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trlProps/ctrlProp2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mil\Downloads\"/>
    </mc:Choice>
  </mc:AlternateContent>
  <xr:revisionPtr revIDLastSave="0" documentId="13_ncr:1_{CFF4CC10-7C19-47D9-88DC-0FCD3906B49F}" xr6:coauthVersionLast="47" xr6:coauthVersionMax="47" xr10:uidLastSave="{00000000-0000-0000-0000-000000000000}"/>
  <bookViews>
    <workbookView xWindow="-108" yWindow="-108" windowWidth="23256" windowHeight="12456" tabRatio="924" firstSheet="1" activeTab="1" xr2:uid="{00000000-000D-0000-FFFF-FFFF00000000}"/>
  </bookViews>
  <sheets>
    <sheet name="Assets" sheetId="28" state="hidden" r:id="rId1"/>
    <sheet name="Personal Details" sheetId="48" r:id="rId2"/>
    <sheet name="Assumptions" sheetId="57" r:id="rId3"/>
    <sheet name="Networth" sheetId="14" r:id="rId4"/>
    <sheet name="Loan Amortization" sheetId="5" r:id="rId5"/>
    <sheet name="WAR" sheetId="2" r:id="rId6"/>
    <sheet name="WAR - Rev" sheetId="54" state="hidden" r:id="rId7"/>
    <sheet name="YoY WAR" sheetId="41" state="hidden" r:id="rId8"/>
    <sheet name="YoY Assets" sheetId="49" state="hidden" r:id="rId9"/>
    <sheet name="Key Life Events" sheetId="37" r:id="rId10"/>
    <sheet name="LIFE EVENTS" sheetId="58" r:id="rId11"/>
    <sheet name="Sheet2" sheetId="35" state="hidden" r:id="rId12"/>
    <sheet name="Accumulation Chart" sheetId="29" state="hidden" r:id="rId13"/>
    <sheet name="Budget" sheetId="13" r:id="rId14"/>
    <sheet name="Yearly Budget" sheetId="33" r:id="rId15"/>
    <sheet name="Cashflow Working" sheetId="19" state="hidden" r:id="rId16"/>
    <sheet name="Yearly Budget (Pie)" sheetId="34" r:id="rId17"/>
    <sheet name="Cashflow Chart" sheetId="15" r:id="rId18"/>
    <sheet name="Yoy WAR OG" sheetId="50" r:id="rId19"/>
    <sheet name="Withdrawal Working" sheetId="51" state="hidden" r:id="rId20"/>
    <sheet name="Yoy Assets Working" sheetId="52" state="hidden" r:id="rId21"/>
    <sheet name="NWGC - AS IS" sheetId="56" r:id="rId22"/>
    <sheet name="NWGC - SCENARIOS" sheetId="24" r:id="rId23"/>
    <sheet name="working" sheetId="17" state="hidden" r:id="rId24"/>
    <sheet name="NW CHARTS" sheetId="44" state="hidden" r:id="rId25"/>
    <sheet name="HLV Calc" sheetId="30" r:id="rId26"/>
    <sheet name="HLV Working" sheetId="31" r:id="rId27"/>
    <sheet name="Health Insurance" sheetId="47" state="hidden" r:id="rId28"/>
    <sheet name="Wheel of Wealth" sheetId="46" state="hidden" r:id="rId29"/>
    <sheet name="WoW - Working" sheetId="45" state="hidden" r:id="rId30"/>
  </sheets>
  <definedNames>
    <definedName name="Car">'Loan Amortization'!$CQ$2:$CQ$13</definedName>
    <definedName name="House">'Loan Amortization'!$BD$2:$BD$13</definedName>
    <definedName name="House2">'Loan Amortization'!$BQ$2:$BQ$13</definedName>
    <definedName name="Land">'Loan Amortization'!$CD$2:$CD$13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6" i="13" l="1"/>
  <c r="G5" i="5"/>
  <c r="D12" i="48"/>
  <c r="C4" i="30"/>
  <c r="CW9" i="50"/>
  <c r="CW8" i="50"/>
  <c r="CW7" i="50"/>
  <c r="CW6" i="50"/>
  <c r="CW5" i="50"/>
  <c r="CW4" i="50"/>
  <c r="E27" i="50"/>
  <c r="E26" i="50"/>
  <c r="E25" i="50"/>
  <c r="G20" i="2"/>
  <c r="D6" i="2"/>
  <c r="B3" i="54"/>
  <c r="B4" i="54"/>
  <c r="B6" i="54"/>
  <c r="B7" i="54"/>
  <c r="B9" i="54"/>
  <c r="C11" i="50" s="1"/>
  <c r="B10" i="54"/>
  <c r="B11" i="54"/>
  <c r="B12" i="54"/>
  <c r="B13" i="54"/>
  <c r="B14" i="54"/>
  <c r="B15" i="54"/>
  <c r="B16" i="54"/>
  <c r="B17" i="54"/>
  <c r="B18" i="54"/>
  <c r="B20" i="54"/>
  <c r="B21" i="54"/>
  <c r="B22" i="54"/>
  <c r="B23" i="54"/>
  <c r="B25" i="54"/>
  <c r="D5" i="2"/>
  <c r="D24" i="2"/>
  <c r="D110" i="13"/>
  <c r="K12" i="13"/>
  <c r="D12" i="13"/>
  <c r="D145" i="13"/>
  <c r="C7" i="14"/>
  <c r="H106" i="13"/>
  <c r="H102" i="13"/>
  <c r="F106" i="13"/>
  <c r="F102" i="13"/>
  <c r="H91" i="13"/>
  <c r="H90" i="13"/>
  <c r="F91" i="13"/>
  <c r="F90" i="13"/>
  <c r="H85" i="13"/>
  <c r="F85" i="13"/>
  <c r="H73" i="13"/>
  <c r="H72" i="13"/>
  <c r="H71" i="13"/>
  <c r="F73" i="13"/>
  <c r="F72" i="13"/>
  <c r="F71" i="13"/>
  <c r="H64" i="13"/>
  <c r="H63" i="13"/>
  <c r="H62" i="13"/>
  <c r="F64" i="13"/>
  <c r="F63" i="13"/>
  <c r="F62" i="13"/>
  <c r="H57" i="13"/>
  <c r="F57" i="13"/>
  <c r="H38" i="13"/>
  <c r="H37" i="13"/>
  <c r="H35" i="13"/>
  <c r="H34" i="13"/>
  <c r="H33" i="13"/>
  <c r="H32" i="13"/>
  <c r="F38" i="13"/>
  <c r="F37" i="13"/>
  <c r="F35" i="13"/>
  <c r="F34" i="13"/>
  <c r="F33" i="13"/>
  <c r="F32" i="13"/>
  <c r="D148" i="13"/>
  <c r="D122" i="13"/>
  <c r="D106" i="13"/>
  <c r="D102" i="13"/>
  <c r="D91" i="13"/>
  <c r="D90" i="13"/>
  <c r="D85" i="13"/>
  <c r="D73" i="13"/>
  <c r="D72" i="13"/>
  <c r="D71" i="13"/>
  <c r="D64" i="13"/>
  <c r="D63" i="13"/>
  <c r="D62" i="13"/>
  <c r="D57" i="13"/>
  <c r="D38" i="13"/>
  <c r="D37" i="13"/>
  <c r="D35" i="13"/>
  <c r="D34" i="13"/>
  <c r="D33" i="13"/>
  <c r="D32" i="13"/>
  <c r="D4" i="13"/>
  <c r="F40" i="14"/>
  <c r="E40" i="14"/>
  <c r="D40" i="14"/>
  <c r="F31" i="14"/>
  <c r="E31" i="14"/>
  <c r="D31" i="14"/>
  <c r="F16" i="14"/>
  <c r="F33" i="14" s="1"/>
  <c r="F42" i="14" s="1"/>
  <c r="E16" i="14"/>
  <c r="D16" i="14"/>
  <c r="D8" i="50"/>
  <c r="B8" i="50"/>
  <c r="EF2" i="50" s="1"/>
  <c r="A6" i="54"/>
  <c r="G8" i="14"/>
  <c r="D8" i="2" s="1"/>
  <c r="CS303" i="5"/>
  <c r="CS304" i="5"/>
  <c r="CS305" i="5"/>
  <c r="CS306" i="5"/>
  <c r="CS307" i="5"/>
  <c r="CS308" i="5"/>
  <c r="CS309" i="5"/>
  <c r="CS310" i="5"/>
  <c r="CS311" i="5"/>
  <c r="CS312" i="5"/>
  <c r="CS313" i="5"/>
  <c r="CS314" i="5"/>
  <c r="CS315" i="5"/>
  <c r="CS316" i="5"/>
  <c r="CS317" i="5"/>
  <c r="CS318" i="5"/>
  <c r="CS319" i="5"/>
  <c r="CS320" i="5"/>
  <c r="CS321" i="5"/>
  <c r="CS322" i="5"/>
  <c r="CS323" i="5"/>
  <c r="CS324" i="5"/>
  <c r="CS325" i="5"/>
  <c r="CS326" i="5"/>
  <c r="CS327" i="5"/>
  <c r="CS328" i="5"/>
  <c r="CS329" i="5"/>
  <c r="CS330" i="5"/>
  <c r="CS331" i="5"/>
  <c r="CS332" i="5"/>
  <c r="CS333" i="5"/>
  <c r="CS334" i="5"/>
  <c r="CS335" i="5"/>
  <c r="CS336" i="5"/>
  <c r="CS337" i="5"/>
  <c r="CS338" i="5"/>
  <c r="CS339" i="5"/>
  <c r="CS340" i="5"/>
  <c r="CS341" i="5"/>
  <c r="CS342" i="5"/>
  <c r="CS343" i="5"/>
  <c r="CS344" i="5"/>
  <c r="CS345" i="5"/>
  <c r="CS346" i="5"/>
  <c r="CS347" i="5"/>
  <c r="CS348" i="5"/>
  <c r="CS349" i="5"/>
  <c r="CS350" i="5"/>
  <c r="CS351" i="5"/>
  <c r="CS352" i="5"/>
  <c r="CS353" i="5"/>
  <c r="CS354" i="5"/>
  <c r="CS355" i="5"/>
  <c r="CS356" i="5"/>
  <c r="CS357" i="5"/>
  <c r="CS358" i="5"/>
  <c r="CS359" i="5"/>
  <c r="CS360" i="5"/>
  <c r="CS361" i="5"/>
  <c r="CS362" i="5"/>
  <c r="CS363" i="5"/>
  <c r="CS364" i="5"/>
  <c r="CS365" i="5"/>
  <c r="CS366" i="5"/>
  <c r="CS367" i="5"/>
  <c r="CS368" i="5"/>
  <c r="CS369" i="5"/>
  <c r="CS370" i="5"/>
  <c r="CS371" i="5"/>
  <c r="CS372" i="5"/>
  <c r="CS373" i="5"/>
  <c r="CS374" i="5"/>
  <c r="CS375" i="5"/>
  <c r="CS376" i="5"/>
  <c r="CS377" i="5"/>
  <c r="CS378" i="5"/>
  <c r="CS379" i="5"/>
  <c r="CS380" i="5"/>
  <c r="CS381" i="5"/>
  <c r="CS382" i="5"/>
  <c r="CS383" i="5"/>
  <c r="CS384" i="5"/>
  <c r="CS385" i="5"/>
  <c r="CS386" i="5"/>
  <c r="CS387" i="5"/>
  <c r="CS388" i="5"/>
  <c r="CS389" i="5"/>
  <c r="CS390" i="5"/>
  <c r="CS391" i="5"/>
  <c r="CS392" i="5"/>
  <c r="CS393" i="5"/>
  <c r="CS394" i="5"/>
  <c r="CS395" i="5"/>
  <c r="CS396" i="5"/>
  <c r="CS397" i="5"/>
  <c r="CS398" i="5"/>
  <c r="CS399" i="5"/>
  <c r="CS400" i="5"/>
  <c r="CS401" i="5"/>
  <c r="CS402" i="5"/>
  <c r="CS403" i="5"/>
  <c r="CS404" i="5"/>
  <c r="CS405" i="5"/>
  <c r="CS406" i="5"/>
  <c r="CS407" i="5"/>
  <c r="CS408" i="5"/>
  <c r="CS409" i="5"/>
  <c r="CS410" i="5"/>
  <c r="CS411" i="5"/>
  <c r="CS412" i="5"/>
  <c r="CS413" i="5"/>
  <c r="CS414" i="5"/>
  <c r="CS415" i="5"/>
  <c r="CS416" i="5"/>
  <c r="CS417" i="5"/>
  <c r="CS418" i="5"/>
  <c r="CS419" i="5"/>
  <c r="CS420" i="5"/>
  <c r="CS421" i="5"/>
  <c r="CS422" i="5"/>
  <c r="CS423" i="5"/>
  <c r="CS424" i="5"/>
  <c r="CS425" i="5"/>
  <c r="CS426" i="5"/>
  <c r="CS427" i="5"/>
  <c r="CS428" i="5"/>
  <c r="CS429" i="5"/>
  <c r="CS430" i="5"/>
  <c r="CS431" i="5"/>
  <c r="CS432" i="5"/>
  <c r="CS433" i="5"/>
  <c r="CS434" i="5"/>
  <c r="CS435" i="5"/>
  <c r="CS436" i="5"/>
  <c r="CS437" i="5"/>
  <c r="CS438" i="5"/>
  <c r="CS439" i="5"/>
  <c r="CS440" i="5"/>
  <c r="CS441" i="5"/>
  <c r="CS442" i="5"/>
  <c r="CS443" i="5"/>
  <c r="CS444" i="5"/>
  <c r="CS445" i="5"/>
  <c r="CS446" i="5"/>
  <c r="CS447" i="5"/>
  <c r="CS448" i="5"/>
  <c r="CS449" i="5"/>
  <c r="CS450" i="5"/>
  <c r="CS451" i="5"/>
  <c r="CS452" i="5"/>
  <c r="CS453" i="5"/>
  <c r="CS454" i="5"/>
  <c r="CS455" i="5"/>
  <c r="CS456" i="5"/>
  <c r="CS457" i="5"/>
  <c r="CS458" i="5"/>
  <c r="CS459" i="5"/>
  <c r="CS460" i="5"/>
  <c r="CS461" i="5"/>
  <c r="CS462" i="5"/>
  <c r="CS463" i="5"/>
  <c r="CS464" i="5"/>
  <c r="CS465" i="5"/>
  <c r="CS466" i="5"/>
  <c r="CS467" i="5"/>
  <c r="CS468" i="5"/>
  <c r="CS469" i="5"/>
  <c r="CS470" i="5"/>
  <c r="CS471" i="5"/>
  <c r="CS472" i="5"/>
  <c r="CS473" i="5"/>
  <c r="CS474" i="5"/>
  <c r="CS475" i="5"/>
  <c r="CS476" i="5"/>
  <c r="CS477" i="5"/>
  <c r="CS478" i="5"/>
  <c r="CS479" i="5"/>
  <c r="CS480" i="5"/>
  <c r="CS481" i="5"/>
  <c r="CS482" i="5"/>
  <c r="CS483" i="5"/>
  <c r="CS484" i="5"/>
  <c r="CS485" i="5"/>
  <c r="CS486" i="5"/>
  <c r="CS487" i="5"/>
  <c r="CS488" i="5"/>
  <c r="CS489" i="5"/>
  <c r="CS490" i="5"/>
  <c r="CS491" i="5"/>
  <c r="CS492" i="5"/>
  <c r="CS493" i="5"/>
  <c r="CS494" i="5"/>
  <c r="CS495" i="5"/>
  <c r="CS496" i="5"/>
  <c r="CS497" i="5"/>
  <c r="CS498" i="5"/>
  <c r="CS499" i="5"/>
  <c r="CS500" i="5"/>
  <c r="CS501" i="5"/>
  <c r="CS502" i="5"/>
  <c r="CS503" i="5"/>
  <c r="CS504" i="5"/>
  <c r="CS505" i="5"/>
  <c r="CS506" i="5"/>
  <c r="CS507" i="5"/>
  <c r="CS508" i="5"/>
  <c r="CS509" i="5"/>
  <c r="CS510" i="5"/>
  <c r="CS511" i="5"/>
  <c r="CS512" i="5"/>
  <c r="CS513" i="5"/>
  <c r="CS514" i="5"/>
  <c r="CS515" i="5"/>
  <c r="CS516" i="5"/>
  <c r="CS517" i="5"/>
  <c r="CS518" i="5"/>
  <c r="CS519" i="5"/>
  <c r="CS520" i="5"/>
  <c r="CS521" i="5"/>
  <c r="CS522" i="5"/>
  <c r="CS523" i="5"/>
  <c r="CS524" i="5"/>
  <c r="CS525" i="5"/>
  <c r="CS526" i="5"/>
  <c r="CS527" i="5"/>
  <c r="CS528" i="5"/>
  <c r="CS529" i="5"/>
  <c r="CS530" i="5"/>
  <c r="CS531" i="5"/>
  <c r="CS532" i="5"/>
  <c r="CS533" i="5"/>
  <c r="CS534" i="5"/>
  <c r="CS535" i="5"/>
  <c r="CS536" i="5"/>
  <c r="CS537" i="5"/>
  <c r="CS538" i="5"/>
  <c r="CS539" i="5"/>
  <c r="CS540" i="5"/>
  <c r="CS541" i="5"/>
  <c r="CS542" i="5"/>
  <c r="CS543" i="5"/>
  <c r="CS544" i="5"/>
  <c r="CS545" i="5"/>
  <c r="CS546" i="5"/>
  <c r="CS547" i="5"/>
  <c r="CS548" i="5"/>
  <c r="CS549" i="5"/>
  <c r="CS550" i="5"/>
  <c r="CS551" i="5"/>
  <c r="CS552" i="5"/>
  <c r="CS553" i="5"/>
  <c r="CS554" i="5"/>
  <c r="CS555" i="5"/>
  <c r="CS556" i="5"/>
  <c r="CS557" i="5"/>
  <c r="CS558" i="5"/>
  <c r="CS559" i="5"/>
  <c r="CS560" i="5"/>
  <c r="CS561" i="5"/>
  <c r="CS562" i="5"/>
  <c r="CS563" i="5"/>
  <c r="CS564" i="5"/>
  <c r="CS565" i="5"/>
  <c r="CS566" i="5"/>
  <c r="CS567" i="5"/>
  <c r="CS568" i="5"/>
  <c r="CS569" i="5"/>
  <c r="CS570" i="5"/>
  <c r="CS571" i="5"/>
  <c r="CS572" i="5"/>
  <c r="CS573" i="5"/>
  <c r="CS574" i="5"/>
  <c r="CS575" i="5"/>
  <c r="CS576" i="5"/>
  <c r="CS577" i="5"/>
  <c r="CS578" i="5"/>
  <c r="CS579" i="5"/>
  <c r="CS580" i="5"/>
  <c r="CS581" i="5"/>
  <c r="CS582" i="5"/>
  <c r="CS583" i="5"/>
  <c r="CS584" i="5"/>
  <c r="CS585" i="5"/>
  <c r="CS586" i="5"/>
  <c r="CS587" i="5"/>
  <c r="CS588" i="5"/>
  <c r="CS589" i="5"/>
  <c r="CS590" i="5"/>
  <c r="CS591" i="5"/>
  <c r="CS592" i="5"/>
  <c r="CS593" i="5"/>
  <c r="CS594" i="5"/>
  <c r="CS595" i="5"/>
  <c r="CS596" i="5"/>
  <c r="CS597" i="5"/>
  <c r="CS598" i="5"/>
  <c r="CS599" i="5"/>
  <c r="CS600" i="5"/>
  <c r="CS601" i="5"/>
  <c r="CS602" i="5"/>
  <c r="CS603" i="5"/>
  <c r="CS604" i="5"/>
  <c r="CS605" i="5"/>
  <c r="CS606" i="5"/>
  <c r="CS607" i="5"/>
  <c r="CS608" i="5"/>
  <c r="CS609" i="5"/>
  <c r="CS610" i="5"/>
  <c r="CS611" i="5"/>
  <c r="CS612" i="5"/>
  <c r="CS613" i="5"/>
  <c r="CS614" i="5"/>
  <c r="CS615" i="5"/>
  <c r="CS616" i="5"/>
  <c r="CS617" i="5"/>
  <c r="CS618" i="5"/>
  <c r="CS619" i="5"/>
  <c r="CS620" i="5"/>
  <c r="CS621" i="5"/>
  <c r="CS622" i="5"/>
  <c r="CS623" i="5"/>
  <c r="CS624" i="5"/>
  <c r="CS625" i="5"/>
  <c r="CS626" i="5"/>
  <c r="CS627" i="5"/>
  <c r="CS628" i="5"/>
  <c r="CS629" i="5"/>
  <c r="CS630" i="5"/>
  <c r="CS631" i="5"/>
  <c r="CS632" i="5"/>
  <c r="CS633" i="5"/>
  <c r="CS634" i="5"/>
  <c r="CS635" i="5"/>
  <c r="CS636" i="5"/>
  <c r="CS637" i="5"/>
  <c r="CS638" i="5"/>
  <c r="CS639" i="5"/>
  <c r="CS640" i="5"/>
  <c r="CS641" i="5"/>
  <c r="CS642" i="5"/>
  <c r="CS643" i="5"/>
  <c r="CS644" i="5"/>
  <c r="CS645" i="5"/>
  <c r="CS646" i="5"/>
  <c r="CS647" i="5"/>
  <c r="CS648" i="5"/>
  <c r="CS649" i="5"/>
  <c r="CS650" i="5"/>
  <c r="CS651" i="5"/>
  <c r="CS652" i="5"/>
  <c r="CS653" i="5"/>
  <c r="CS654" i="5"/>
  <c r="CS655" i="5"/>
  <c r="CS656" i="5"/>
  <c r="CS657" i="5"/>
  <c r="CS658" i="5"/>
  <c r="CS659" i="5"/>
  <c r="CS660" i="5"/>
  <c r="CS661" i="5"/>
  <c r="CS662" i="5"/>
  <c r="CS663" i="5"/>
  <c r="CS664" i="5"/>
  <c r="CS665" i="5"/>
  <c r="CS666" i="5"/>
  <c r="CS667" i="5"/>
  <c r="CS668" i="5"/>
  <c r="CS669" i="5"/>
  <c r="CS670" i="5"/>
  <c r="CS671" i="5"/>
  <c r="CS672" i="5"/>
  <c r="CS673" i="5"/>
  <c r="CS674" i="5"/>
  <c r="CS289" i="5"/>
  <c r="CS290" i="5"/>
  <c r="CS291" i="5"/>
  <c r="CS292" i="5"/>
  <c r="CS293" i="5"/>
  <c r="CS294" i="5"/>
  <c r="CS295" i="5"/>
  <c r="CS296" i="5"/>
  <c r="CS297" i="5"/>
  <c r="CS298" i="5"/>
  <c r="CS299" i="5"/>
  <c r="CS300" i="5"/>
  <c r="CS301" i="5"/>
  <c r="CS302" i="5"/>
  <c r="N289" i="5"/>
  <c r="P289" i="5"/>
  <c r="O289" i="5" s="1"/>
  <c r="Q289" i="5"/>
  <c r="Y289" i="5"/>
  <c r="AJ289" i="5"/>
  <c r="CO1" i="5"/>
  <c r="CQ1" i="5"/>
  <c r="CG2" i="5"/>
  <c r="CD1" i="5"/>
  <c r="CB1" i="5"/>
  <c r="BT2" i="5"/>
  <c r="CC2" i="5" s="1"/>
  <c r="BG2" i="5"/>
  <c r="BP2" i="5" s="1"/>
  <c r="BQ1" i="5"/>
  <c r="BO1" i="5"/>
  <c r="BD1" i="5"/>
  <c r="BB1" i="5"/>
  <c r="AT2" i="5"/>
  <c r="BC2" i="5" s="1"/>
  <c r="L22" i="37"/>
  <c r="L21" i="37"/>
  <c r="L12" i="37"/>
  <c r="L8" i="37"/>
  <c r="L7" i="37"/>
  <c r="K24" i="37"/>
  <c r="L24" i="37" s="1"/>
  <c r="K12" i="37"/>
  <c r="K11" i="37"/>
  <c r="K10" i="37"/>
  <c r="K9" i="37"/>
  <c r="I28" i="37"/>
  <c r="I27" i="37"/>
  <c r="I26" i="37"/>
  <c r="I25" i="37"/>
  <c r="K25" i="37" s="1"/>
  <c r="L25" i="37" s="1"/>
  <c r="I24" i="37"/>
  <c r="I23" i="37"/>
  <c r="K23" i="37" s="1"/>
  <c r="L23" i="37" s="1"/>
  <c r="I22" i="37"/>
  <c r="K22" i="37" s="1"/>
  <c r="I21" i="37"/>
  <c r="K21" i="37" s="1"/>
  <c r="I20" i="37"/>
  <c r="K20" i="37" s="1"/>
  <c r="I19" i="37"/>
  <c r="K19" i="37" s="1"/>
  <c r="I18" i="37"/>
  <c r="K18" i="37" s="1"/>
  <c r="I17" i="37"/>
  <c r="K17" i="37" s="1"/>
  <c r="I16" i="37"/>
  <c r="I15" i="37"/>
  <c r="K15" i="37" s="1"/>
  <c r="I14" i="37"/>
  <c r="I13" i="37"/>
  <c r="K13" i="37" s="1"/>
  <c r="L13" i="37" s="1"/>
  <c r="I12" i="37"/>
  <c r="I11" i="37"/>
  <c r="I10" i="37"/>
  <c r="I9" i="37"/>
  <c r="I8" i="37"/>
  <c r="K8" i="37" s="1"/>
  <c r="I7" i="37"/>
  <c r="K7" i="37" s="1"/>
  <c r="I6" i="37"/>
  <c r="I5" i="37"/>
  <c r="K5" i="37" s="1"/>
  <c r="I3" i="37"/>
  <c r="I4" i="37"/>
  <c r="L15" i="37" l="1"/>
  <c r="L18" i="37"/>
  <c r="L9" i="37"/>
  <c r="L10" i="37"/>
  <c r="L19" i="37"/>
  <c r="L11" i="37"/>
  <c r="L20" i="37"/>
  <c r="K14" i="37"/>
  <c r="L14" i="37"/>
  <c r="K26" i="37"/>
  <c r="L26" i="37"/>
  <c r="K27" i="37"/>
  <c r="L27" i="37" s="1"/>
  <c r="K16" i="37"/>
  <c r="L16" i="37" s="1"/>
  <c r="K28" i="37"/>
  <c r="L28" i="37" s="1"/>
  <c r="L17" i="37"/>
  <c r="E33" i="14"/>
  <c r="E42" i="14" s="1"/>
  <c r="D33" i="14"/>
  <c r="D42" i="14" s="1"/>
  <c r="K6" i="37"/>
  <c r="L6" i="37" s="1"/>
  <c r="L5" i="37"/>
  <c r="AA289" i="5"/>
  <c r="Z289" i="5" s="1"/>
  <c r="AL289" i="5"/>
  <c r="AK289" i="5" s="1"/>
  <c r="N290" i="5"/>
  <c r="K3" i="37"/>
  <c r="L3" i="37" s="1"/>
  <c r="CH2" i="5"/>
  <c r="CM2" i="5" s="1"/>
  <c r="CP2" i="5"/>
  <c r="BU2" i="5"/>
  <c r="BZ2" i="5" s="1"/>
  <c r="K4" i="37"/>
  <c r="L4" i="37" s="1"/>
  <c r="AU2" i="5"/>
  <c r="AM289" i="5" l="1"/>
  <c r="AJ290" i="5"/>
  <c r="AB289" i="5"/>
  <c r="Y290" i="5" s="1"/>
  <c r="P290" i="5"/>
  <c r="O290" i="5" s="1"/>
  <c r="CI2" i="5"/>
  <c r="CJ2" i="5"/>
  <c r="BV2" i="5"/>
  <c r="BW2" i="5"/>
  <c r="AV2" i="5"/>
  <c r="EM2" i="37"/>
  <c r="EL2" i="37"/>
  <c r="EK2" i="37"/>
  <c r="EJ2" i="37"/>
  <c r="EI2" i="37"/>
  <c r="EH2" i="37"/>
  <c r="EG2" i="37"/>
  <c r="EF2" i="37"/>
  <c r="EE2" i="37"/>
  <c r="ED2" i="37"/>
  <c r="EC2" i="37"/>
  <c r="EB2" i="37"/>
  <c r="EA2" i="37"/>
  <c r="DZ2" i="37"/>
  <c r="DY2" i="37"/>
  <c r="DX2" i="37"/>
  <c r="DW2" i="37"/>
  <c r="DV2" i="37"/>
  <c r="DU2" i="37"/>
  <c r="DT2" i="37"/>
  <c r="DS2" i="37"/>
  <c r="DR2" i="37"/>
  <c r="DQ2" i="37"/>
  <c r="DP2" i="37"/>
  <c r="DO2" i="37"/>
  <c r="DN2" i="37"/>
  <c r="DL3" i="37"/>
  <c r="DL4" i="37" s="1"/>
  <c r="DL5" i="37" s="1"/>
  <c r="DL6" i="37" s="1"/>
  <c r="DL7" i="37" s="1"/>
  <c r="DL8" i="37" s="1"/>
  <c r="DL9" i="37" s="1"/>
  <c r="DL10" i="37" s="1"/>
  <c r="DL11" i="37" s="1"/>
  <c r="DL12" i="37" s="1"/>
  <c r="DL13" i="37" s="1"/>
  <c r="DL14" i="37" s="1"/>
  <c r="DL15" i="37" s="1"/>
  <c r="DL16" i="37" s="1"/>
  <c r="DL17" i="37" s="1"/>
  <c r="DL18" i="37" s="1"/>
  <c r="DL19" i="37" s="1"/>
  <c r="DL20" i="37" s="1"/>
  <c r="DL21" i="37" s="1"/>
  <c r="DL22" i="37" s="1"/>
  <c r="DL23" i="37" s="1"/>
  <c r="DL24" i="37" s="1"/>
  <c r="DL25" i="37" s="1"/>
  <c r="DL26" i="37" s="1"/>
  <c r="DL27" i="37" s="1"/>
  <c r="DL28" i="37" s="1"/>
  <c r="DL29" i="37" s="1"/>
  <c r="DL30" i="37" s="1"/>
  <c r="DL31" i="37" s="1"/>
  <c r="DL32" i="37" s="1"/>
  <c r="DL33" i="37" s="1"/>
  <c r="DL34" i="37" s="1"/>
  <c r="DL35" i="37" s="1"/>
  <c r="DL36" i="37" s="1"/>
  <c r="DL37" i="37" s="1"/>
  <c r="DL38" i="37" s="1"/>
  <c r="DL39" i="37" s="1"/>
  <c r="DL40" i="37" s="1"/>
  <c r="DL41" i="37" s="1"/>
  <c r="DL42" i="37" s="1"/>
  <c r="DL43" i="37" s="1"/>
  <c r="DL44" i="37" s="1"/>
  <c r="DL45" i="37" s="1"/>
  <c r="DL46" i="37" s="1"/>
  <c r="DL47" i="37" s="1"/>
  <c r="DL48" i="37" s="1"/>
  <c r="DL49" i="37" s="1"/>
  <c r="DL50" i="37" s="1"/>
  <c r="DL51" i="37" s="1"/>
  <c r="DL52" i="37" s="1"/>
  <c r="DL53" i="37" s="1"/>
  <c r="DL54" i="37" s="1"/>
  <c r="DL55" i="37" s="1"/>
  <c r="DL56" i="37" s="1"/>
  <c r="DL57" i="37" s="1"/>
  <c r="DL58" i="37" s="1"/>
  <c r="DL59" i="37" s="1"/>
  <c r="DL60" i="37" s="1"/>
  <c r="DL61" i="37" s="1"/>
  <c r="DL62" i="37" s="1"/>
  <c r="DL63" i="37" s="1"/>
  <c r="DL64" i="37" s="1"/>
  <c r="DL65" i="37" s="1"/>
  <c r="DL66" i="37" s="1"/>
  <c r="DL67" i="37" s="1"/>
  <c r="DL68" i="37" s="1"/>
  <c r="DL69" i="37" s="1"/>
  <c r="DL70" i="37" s="1"/>
  <c r="DL71" i="37" s="1"/>
  <c r="DL72" i="37" s="1"/>
  <c r="DL73" i="37" s="1"/>
  <c r="DL74" i="37" s="1"/>
  <c r="DL75" i="37" s="1"/>
  <c r="DL76" i="37" s="1"/>
  <c r="DL77" i="37" s="1"/>
  <c r="DL78" i="37" s="1"/>
  <c r="DM3" i="37"/>
  <c r="DM4" i="37" s="1"/>
  <c r="DM5" i="37" s="1"/>
  <c r="DM6" i="37" s="1"/>
  <c r="DM7" i="37" s="1"/>
  <c r="DM8" i="37" s="1"/>
  <c r="DM9" i="37" s="1"/>
  <c r="DM10" i="37" s="1"/>
  <c r="DM11" i="37" s="1"/>
  <c r="DM12" i="37" s="1"/>
  <c r="DM13" i="37" s="1"/>
  <c r="DM14" i="37" s="1"/>
  <c r="DM15" i="37" s="1"/>
  <c r="DM16" i="37" s="1"/>
  <c r="DM17" i="37" s="1"/>
  <c r="DM18" i="37" s="1"/>
  <c r="DM19" i="37" s="1"/>
  <c r="DM20" i="37" s="1"/>
  <c r="DM21" i="37" s="1"/>
  <c r="DM22" i="37" s="1"/>
  <c r="DM23" i="37" s="1"/>
  <c r="DM24" i="37" s="1"/>
  <c r="DM25" i="37" s="1"/>
  <c r="DM26" i="37" s="1"/>
  <c r="DM27" i="37" s="1"/>
  <c r="DM28" i="37" s="1"/>
  <c r="DM29" i="37" s="1"/>
  <c r="DM30" i="37" s="1"/>
  <c r="DM31" i="37" s="1"/>
  <c r="DM32" i="37" s="1"/>
  <c r="DM33" i="37" s="1"/>
  <c r="DM34" i="37" s="1"/>
  <c r="DM35" i="37" s="1"/>
  <c r="DM36" i="37" s="1"/>
  <c r="DM37" i="37" s="1"/>
  <c r="DM38" i="37" s="1"/>
  <c r="DM39" i="37" s="1"/>
  <c r="DM40" i="37" s="1"/>
  <c r="DM41" i="37" s="1"/>
  <c r="DM42" i="37" s="1"/>
  <c r="DM43" i="37" s="1"/>
  <c r="DM44" i="37" s="1"/>
  <c r="DM45" i="37" s="1"/>
  <c r="DM46" i="37" s="1"/>
  <c r="DM47" i="37" s="1"/>
  <c r="DM48" i="37" s="1"/>
  <c r="DM49" i="37" s="1"/>
  <c r="DM50" i="37" s="1"/>
  <c r="DM51" i="37" s="1"/>
  <c r="DM52" i="37" s="1"/>
  <c r="DM53" i="37" s="1"/>
  <c r="DM54" i="37" s="1"/>
  <c r="DM55" i="37" s="1"/>
  <c r="DM56" i="37" s="1"/>
  <c r="DM57" i="37" s="1"/>
  <c r="DM58" i="37" s="1"/>
  <c r="DM59" i="37" s="1"/>
  <c r="DM60" i="37" s="1"/>
  <c r="DM61" i="37" s="1"/>
  <c r="DM62" i="37" s="1"/>
  <c r="DM63" i="37" s="1"/>
  <c r="DM64" i="37" s="1"/>
  <c r="DM65" i="37" s="1"/>
  <c r="DM66" i="37" s="1"/>
  <c r="DM67" i="37" s="1"/>
  <c r="DM68" i="37" s="1"/>
  <c r="DM69" i="37" s="1"/>
  <c r="DM70" i="37" s="1"/>
  <c r="DM71" i="37" s="1"/>
  <c r="DM72" i="37" s="1"/>
  <c r="DM73" i="37" s="1"/>
  <c r="DM74" i="37" s="1"/>
  <c r="DM75" i="37" s="1"/>
  <c r="DM76" i="37" s="1"/>
  <c r="DM77" i="37" s="1"/>
  <c r="DM78" i="37" s="1"/>
  <c r="DL1" i="37"/>
  <c r="DM1" i="37"/>
  <c r="DK4" i="37"/>
  <c r="DK5" i="37" s="1"/>
  <c r="DK6" i="37" s="1"/>
  <c r="DK7" i="37" s="1"/>
  <c r="DK8" i="37" s="1"/>
  <c r="DK9" i="37" s="1"/>
  <c r="DK10" i="37" s="1"/>
  <c r="DK11" i="37" s="1"/>
  <c r="DK12" i="37" s="1"/>
  <c r="DK13" i="37" s="1"/>
  <c r="DK14" i="37" s="1"/>
  <c r="DK15" i="37" s="1"/>
  <c r="DK16" i="37" s="1"/>
  <c r="DK17" i="37" s="1"/>
  <c r="DK18" i="37" s="1"/>
  <c r="DK19" i="37" s="1"/>
  <c r="DK20" i="37" s="1"/>
  <c r="DK21" i="37" s="1"/>
  <c r="DK22" i="37" s="1"/>
  <c r="DK23" i="37" s="1"/>
  <c r="DK24" i="37" s="1"/>
  <c r="DK25" i="37" s="1"/>
  <c r="DK26" i="37" s="1"/>
  <c r="DK27" i="37" s="1"/>
  <c r="DK28" i="37" s="1"/>
  <c r="DK29" i="37" s="1"/>
  <c r="DK30" i="37" s="1"/>
  <c r="DK31" i="37" s="1"/>
  <c r="DK32" i="37" s="1"/>
  <c r="DK33" i="37" s="1"/>
  <c r="DK34" i="37" s="1"/>
  <c r="DK35" i="37" s="1"/>
  <c r="DK36" i="37" s="1"/>
  <c r="DK37" i="37" s="1"/>
  <c r="DK38" i="37" s="1"/>
  <c r="DK39" i="37" s="1"/>
  <c r="DK40" i="37" s="1"/>
  <c r="DK41" i="37" s="1"/>
  <c r="DK42" i="37" s="1"/>
  <c r="DK43" i="37" s="1"/>
  <c r="DK44" i="37" s="1"/>
  <c r="DK45" i="37" s="1"/>
  <c r="DK46" i="37" s="1"/>
  <c r="DK47" i="37" s="1"/>
  <c r="DK48" i="37" s="1"/>
  <c r="DK49" i="37" s="1"/>
  <c r="DK50" i="37" s="1"/>
  <c r="DK51" i="37" s="1"/>
  <c r="DK52" i="37" s="1"/>
  <c r="DK53" i="37" s="1"/>
  <c r="DK54" i="37" s="1"/>
  <c r="DK55" i="37" s="1"/>
  <c r="DK56" i="37" s="1"/>
  <c r="DK57" i="37" s="1"/>
  <c r="DK58" i="37" s="1"/>
  <c r="DK59" i="37" s="1"/>
  <c r="DK60" i="37" s="1"/>
  <c r="DK61" i="37" s="1"/>
  <c r="DK62" i="37" s="1"/>
  <c r="DK63" i="37" s="1"/>
  <c r="DK64" i="37" s="1"/>
  <c r="DK65" i="37" s="1"/>
  <c r="DK66" i="37" s="1"/>
  <c r="DK67" i="37" s="1"/>
  <c r="DK68" i="37" s="1"/>
  <c r="DK69" i="37" s="1"/>
  <c r="DK70" i="37" s="1"/>
  <c r="DK71" i="37" s="1"/>
  <c r="DK72" i="37" s="1"/>
  <c r="DK73" i="37" s="1"/>
  <c r="DK74" i="37" s="1"/>
  <c r="DK75" i="37" s="1"/>
  <c r="DK76" i="37" s="1"/>
  <c r="DK77" i="37" s="1"/>
  <c r="DK78" i="37" s="1"/>
  <c r="AH28" i="37"/>
  <c r="AH27" i="37"/>
  <c r="AH26" i="37"/>
  <c r="AH25" i="37"/>
  <c r="AH24" i="37"/>
  <c r="AH23" i="37"/>
  <c r="AH22" i="37"/>
  <c r="AH21" i="37"/>
  <c r="AH20" i="37"/>
  <c r="AH19" i="37"/>
  <c r="AH18" i="37"/>
  <c r="AH17" i="37"/>
  <c r="AH16" i="37"/>
  <c r="AH15" i="37"/>
  <c r="AH14" i="37"/>
  <c r="AH13" i="37"/>
  <c r="AH12" i="37"/>
  <c r="AH11" i="37"/>
  <c r="AH10" i="37"/>
  <c r="AH9" i="37"/>
  <c r="AH8" i="37"/>
  <c r="AH7" i="37"/>
  <c r="AH6" i="37"/>
  <c r="AH5" i="37"/>
  <c r="AH4" i="37"/>
  <c r="AH3" i="37"/>
  <c r="AO2" i="5"/>
  <c r="Q290" i="5" l="1"/>
  <c r="N291" i="5" s="1"/>
  <c r="AA290" i="5"/>
  <c r="Z290" i="5" s="1"/>
  <c r="AL290" i="5"/>
  <c r="AK290" i="5" s="1"/>
  <c r="CK2" i="5"/>
  <c r="CG3" i="5"/>
  <c r="BX2" i="5"/>
  <c r="BT3" i="5"/>
  <c r="BU3" i="5" s="1"/>
  <c r="B2" i="31"/>
  <c r="Z19" i="13"/>
  <c r="Z18" i="13"/>
  <c r="Z17" i="13"/>
  <c r="Z16" i="13"/>
  <c r="Z15" i="13"/>
  <c r="Z14" i="13"/>
  <c r="Z13" i="13"/>
  <c r="Z12" i="13"/>
  <c r="Z11" i="13"/>
  <c r="Z10" i="13"/>
  <c r="Z9" i="13"/>
  <c r="Z8" i="13"/>
  <c r="Z7" i="13"/>
  <c r="Z6" i="13"/>
  <c r="Z5" i="13"/>
  <c r="Z4" i="13"/>
  <c r="Y19" i="13"/>
  <c r="Y18" i="13"/>
  <c r="Y17" i="13"/>
  <c r="Y16" i="13"/>
  <c r="Y15" i="13"/>
  <c r="Y14" i="13"/>
  <c r="Y13" i="13"/>
  <c r="Y11" i="13"/>
  <c r="Y9" i="13"/>
  <c r="Y6" i="13"/>
  <c r="D21" i="13"/>
  <c r="B11" i="24"/>
  <c r="X1" i="19"/>
  <c r="Y1" i="19"/>
  <c r="C11" i="24"/>
  <c r="C10" i="24"/>
  <c r="AE87" i="56"/>
  <c r="AE86" i="56"/>
  <c r="AE85" i="56"/>
  <c r="AE84" i="56"/>
  <c r="AE83" i="56"/>
  <c r="AE82" i="56"/>
  <c r="AE81" i="56"/>
  <c r="AE80" i="56"/>
  <c r="AE79" i="56"/>
  <c r="AE78" i="56"/>
  <c r="AE77" i="56"/>
  <c r="AE76" i="56"/>
  <c r="AE75" i="56"/>
  <c r="AE74" i="56"/>
  <c r="AE73" i="56"/>
  <c r="AE72" i="56"/>
  <c r="AE71" i="56"/>
  <c r="AE70" i="56"/>
  <c r="AE69" i="56"/>
  <c r="AE68" i="56"/>
  <c r="AE67" i="56"/>
  <c r="AE66" i="56"/>
  <c r="AE65" i="56"/>
  <c r="AE64" i="56"/>
  <c r="AE63" i="56"/>
  <c r="AE62" i="56"/>
  <c r="AE61" i="56"/>
  <c r="AE60" i="56"/>
  <c r="AE59" i="56"/>
  <c r="AE58" i="56"/>
  <c r="AE57" i="56"/>
  <c r="AE56" i="56"/>
  <c r="AE55" i="56"/>
  <c r="AE54" i="56"/>
  <c r="AE53" i="56"/>
  <c r="AE52" i="56"/>
  <c r="AE51" i="56"/>
  <c r="AE50" i="56"/>
  <c r="AE49" i="56"/>
  <c r="AE48" i="56"/>
  <c r="AE47" i="56"/>
  <c r="AE46" i="56"/>
  <c r="AE45" i="56"/>
  <c r="AE44" i="56"/>
  <c r="AE43" i="56"/>
  <c r="AE42" i="56"/>
  <c r="AE41" i="56"/>
  <c r="AE40" i="56"/>
  <c r="AE39" i="56"/>
  <c r="AE38" i="56"/>
  <c r="AE37" i="56"/>
  <c r="AE36" i="56"/>
  <c r="AE35" i="56"/>
  <c r="AE34" i="56"/>
  <c r="AE33" i="56"/>
  <c r="AE32" i="56"/>
  <c r="AE31" i="56"/>
  <c r="AE30" i="56"/>
  <c r="AE29" i="56"/>
  <c r="AE28" i="56"/>
  <c r="AE27" i="56"/>
  <c r="AE26" i="56"/>
  <c r="AE25" i="56"/>
  <c r="AE24" i="56"/>
  <c r="AE23" i="56"/>
  <c r="AE22" i="56"/>
  <c r="AE21" i="56"/>
  <c r="AE20" i="56"/>
  <c r="AE19" i="56"/>
  <c r="AE18" i="56"/>
  <c r="AE17" i="56"/>
  <c r="AE16" i="56"/>
  <c r="AE15" i="56"/>
  <c r="AE14" i="56"/>
  <c r="AE13" i="56"/>
  <c r="AE12" i="56"/>
  <c r="AE11" i="56"/>
  <c r="AA11" i="56"/>
  <c r="K20" i="13"/>
  <c r="K19" i="13"/>
  <c r="K18" i="13"/>
  <c r="K17" i="13"/>
  <c r="K16" i="13"/>
  <c r="K15" i="13"/>
  <c r="K14" i="13"/>
  <c r="K13" i="13"/>
  <c r="K11" i="13"/>
  <c r="K9" i="13"/>
  <c r="K8" i="13"/>
  <c r="K7" i="13"/>
  <c r="K6" i="13"/>
  <c r="K5" i="13"/>
  <c r="AI28" i="37"/>
  <c r="AI27" i="37"/>
  <c r="AI26" i="37"/>
  <c r="AI25" i="37"/>
  <c r="AI24" i="37"/>
  <c r="AI23" i="37"/>
  <c r="AI22" i="37"/>
  <c r="AI21" i="37"/>
  <c r="AI20" i="37"/>
  <c r="AI19" i="37"/>
  <c r="AI18" i="37"/>
  <c r="AI17" i="37"/>
  <c r="AI16" i="37"/>
  <c r="AI15" i="37"/>
  <c r="AI14" i="37"/>
  <c r="AI13" i="37"/>
  <c r="AI12" i="37"/>
  <c r="AI11" i="37"/>
  <c r="AI10" i="37"/>
  <c r="AI9" i="37"/>
  <c r="AI8" i="37"/>
  <c r="AI7" i="37"/>
  <c r="AI6" i="37"/>
  <c r="AI5" i="37"/>
  <c r="AI4" i="37"/>
  <c r="AI3" i="37"/>
  <c r="Y10" i="13" l="1"/>
  <c r="Y12" i="13"/>
  <c r="Y7" i="13"/>
  <c r="Y8" i="13"/>
  <c r="Y4" i="13"/>
  <c r="Y5" i="13"/>
  <c r="Z20" i="13" s="1"/>
  <c r="L5" i="24" s="1"/>
  <c r="P291" i="5"/>
  <c r="O291" i="5" s="1"/>
  <c r="AM290" i="5"/>
  <c r="AJ291" i="5"/>
  <c r="AB290" i="5"/>
  <c r="Y291" i="5"/>
  <c r="CH3" i="5"/>
  <c r="CP3" i="5"/>
  <c r="CC3" i="5"/>
  <c r="BW3" i="5"/>
  <c r="BV3" i="5" s="1"/>
  <c r="BX3" i="5" s="1"/>
  <c r="Z1" i="19"/>
  <c r="AA12" i="56"/>
  <c r="Q291" i="5" l="1"/>
  <c r="N292" i="5" s="1"/>
  <c r="AA291" i="5"/>
  <c r="Z291" i="5" s="1"/>
  <c r="AK291" i="5"/>
  <c r="AM291" i="5" s="1"/>
  <c r="AL291" i="5"/>
  <c r="CJ3" i="5"/>
  <c r="CI3" i="5" s="1"/>
  <c r="BT4" i="5"/>
  <c r="BU4" i="5" s="1"/>
  <c r="AA1" i="19"/>
  <c r="AA13" i="56"/>
  <c r="P292" i="5" l="1"/>
  <c r="O292" i="5"/>
  <c r="Q292" i="5" s="1"/>
  <c r="AB291" i="5"/>
  <c r="Y292" i="5"/>
  <c r="AJ292" i="5"/>
  <c r="CK3" i="5"/>
  <c r="CG4" i="5"/>
  <c r="CC4" i="5"/>
  <c r="AB1" i="19"/>
  <c r="AA14" i="56"/>
  <c r="CW3" i="5"/>
  <c r="CW4" i="5" s="1"/>
  <c r="CW5" i="5" s="1"/>
  <c r="CW6" i="5" s="1"/>
  <c r="CW7" i="5" s="1"/>
  <c r="CW8" i="5" s="1"/>
  <c r="CW9" i="5" s="1"/>
  <c r="CW10" i="5" s="1"/>
  <c r="CW11" i="5" s="1"/>
  <c r="CW12" i="5" s="1"/>
  <c r="CW13" i="5" s="1"/>
  <c r="CW14" i="5" s="1"/>
  <c r="CW15" i="5" s="1"/>
  <c r="CW16" i="5" s="1"/>
  <c r="CW17" i="5" s="1"/>
  <c r="CW18" i="5" s="1"/>
  <c r="CW19" i="5" s="1"/>
  <c r="CW20" i="5" s="1"/>
  <c r="CW21" i="5" s="1"/>
  <c r="CW22" i="5" s="1"/>
  <c r="CW23" i="5" s="1"/>
  <c r="CW24" i="5" s="1"/>
  <c r="CW25" i="5" s="1"/>
  <c r="CW26" i="5" s="1"/>
  <c r="CS3" i="5"/>
  <c r="CS4" i="5"/>
  <c r="CS5" i="5"/>
  <c r="CS6" i="5"/>
  <c r="CS7" i="5"/>
  <c r="CS8" i="5"/>
  <c r="CS9" i="5"/>
  <c r="CS10" i="5"/>
  <c r="CS11" i="5"/>
  <c r="CS12" i="5"/>
  <c r="CS13" i="5"/>
  <c r="CS14" i="5"/>
  <c r="CS15" i="5"/>
  <c r="CS16" i="5"/>
  <c r="CS17" i="5"/>
  <c r="CS18" i="5"/>
  <c r="CS19" i="5"/>
  <c r="CS20" i="5"/>
  <c r="CS21" i="5"/>
  <c r="CS22" i="5"/>
  <c r="CS23" i="5"/>
  <c r="CS24" i="5"/>
  <c r="CS25" i="5"/>
  <c r="CS26" i="5"/>
  <c r="CS27" i="5"/>
  <c r="CS28" i="5"/>
  <c r="CS29" i="5"/>
  <c r="CS30" i="5"/>
  <c r="CS31" i="5"/>
  <c r="CS32" i="5"/>
  <c r="CS33" i="5"/>
  <c r="CS34" i="5"/>
  <c r="CS35" i="5"/>
  <c r="CS36" i="5"/>
  <c r="CS37" i="5"/>
  <c r="CS38" i="5"/>
  <c r="CS39" i="5"/>
  <c r="CS40" i="5"/>
  <c r="CS41" i="5"/>
  <c r="CS42" i="5"/>
  <c r="CS43" i="5"/>
  <c r="CS44" i="5"/>
  <c r="CS45" i="5"/>
  <c r="CS46" i="5"/>
  <c r="CS47" i="5"/>
  <c r="CS48" i="5"/>
  <c r="CS49" i="5"/>
  <c r="CS50" i="5"/>
  <c r="CS51" i="5"/>
  <c r="CS52" i="5"/>
  <c r="CS53" i="5"/>
  <c r="CS54" i="5"/>
  <c r="CS55" i="5"/>
  <c r="CS56" i="5"/>
  <c r="CS57" i="5"/>
  <c r="CS58" i="5"/>
  <c r="CS59" i="5"/>
  <c r="CS60" i="5"/>
  <c r="CS61" i="5"/>
  <c r="CS62" i="5"/>
  <c r="CS63" i="5"/>
  <c r="CS64" i="5"/>
  <c r="CS65" i="5"/>
  <c r="CS66" i="5"/>
  <c r="CS67" i="5"/>
  <c r="CS68" i="5"/>
  <c r="CS69" i="5"/>
  <c r="CS70" i="5"/>
  <c r="CS71" i="5"/>
  <c r="CS72" i="5"/>
  <c r="CS73" i="5"/>
  <c r="CS74" i="5"/>
  <c r="CS75" i="5"/>
  <c r="CS76" i="5"/>
  <c r="CS77" i="5"/>
  <c r="CS78" i="5"/>
  <c r="CS79" i="5"/>
  <c r="CS80" i="5"/>
  <c r="CS81" i="5"/>
  <c r="CS82" i="5"/>
  <c r="CS83" i="5"/>
  <c r="CS84" i="5"/>
  <c r="CS85" i="5"/>
  <c r="CS86" i="5"/>
  <c r="CS87" i="5"/>
  <c r="CS88" i="5"/>
  <c r="CS89" i="5"/>
  <c r="CS90" i="5"/>
  <c r="CS91" i="5"/>
  <c r="CS92" i="5"/>
  <c r="CS93" i="5"/>
  <c r="CS94" i="5"/>
  <c r="CS95" i="5"/>
  <c r="CS96" i="5"/>
  <c r="CS97" i="5"/>
  <c r="CS98" i="5"/>
  <c r="CS99" i="5"/>
  <c r="CS100" i="5"/>
  <c r="CS101" i="5"/>
  <c r="CS102" i="5"/>
  <c r="CS103" i="5"/>
  <c r="CS104" i="5"/>
  <c r="CS105" i="5"/>
  <c r="CS106" i="5"/>
  <c r="CS107" i="5"/>
  <c r="CS108" i="5"/>
  <c r="CS109" i="5"/>
  <c r="CS110" i="5"/>
  <c r="CS111" i="5"/>
  <c r="CS112" i="5"/>
  <c r="CS113" i="5"/>
  <c r="CS114" i="5"/>
  <c r="CS115" i="5"/>
  <c r="CS116" i="5"/>
  <c r="CS117" i="5"/>
  <c r="CS118" i="5"/>
  <c r="CS119" i="5"/>
  <c r="CS120" i="5"/>
  <c r="CS121" i="5"/>
  <c r="CS122" i="5"/>
  <c r="CS123" i="5"/>
  <c r="CS124" i="5"/>
  <c r="CS125" i="5"/>
  <c r="CS126" i="5"/>
  <c r="CS127" i="5"/>
  <c r="CS128" i="5"/>
  <c r="CS129" i="5"/>
  <c r="CS130" i="5"/>
  <c r="CS131" i="5"/>
  <c r="CS132" i="5"/>
  <c r="CS133" i="5"/>
  <c r="CS134" i="5"/>
  <c r="CS135" i="5"/>
  <c r="CS136" i="5"/>
  <c r="CS137" i="5"/>
  <c r="CS138" i="5"/>
  <c r="CS139" i="5"/>
  <c r="CS140" i="5"/>
  <c r="CS141" i="5"/>
  <c r="CS142" i="5"/>
  <c r="CS143" i="5"/>
  <c r="CS144" i="5"/>
  <c r="CS145" i="5"/>
  <c r="CS146" i="5"/>
  <c r="CS147" i="5"/>
  <c r="CS148" i="5"/>
  <c r="CS149" i="5"/>
  <c r="CS150" i="5"/>
  <c r="CS151" i="5"/>
  <c r="CS152" i="5"/>
  <c r="CS153" i="5"/>
  <c r="CS154" i="5"/>
  <c r="CS155" i="5"/>
  <c r="CS156" i="5"/>
  <c r="CS157" i="5"/>
  <c r="CS158" i="5"/>
  <c r="CS159" i="5"/>
  <c r="CS160" i="5"/>
  <c r="CS161" i="5"/>
  <c r="CS162" i="5"/>
  <c r="CS163" i="5"/>
  <c r="CS164" i="5"/>
  <c r="CS165" i="5"/>
  <c r="CS166" i="5"/>
  <c r="CS167" i="5"/>
  <c r="CS168" i="5"/>
  <c r="CS169" i="5"/>
  <c r="CS170" i="5"/>
  <c r="CS171" i="5"/>
  <c r="CS172" i="5"/>
  <c r="CS173" i="5"/>
  <c r="CS174" i="5"/>
  <c r="CS175" i="5"/>
  <c r="CS176" i="5"/>
  <c r="CS177" i="5"/>
  <c r="CS178" i="5"/>
  <c r="CS179" i="5"/>
  <c r="CS180" i="5"/>
  <c r="CS181" i="5"/>
  <c r="CS182" i="5"/>
  <c r="CS183" i="5"/>
  <c r="CS184" i="5"/>
  <c r="CS185" i="5"/>
  <c r="CS186" i="5"/>
  <c r="CS187" i="5"/>
  <c r="CS188" i="5"/>
  <c r="CS189" i="5"/>
  <c r="CS190" i="5"/>
  <c r="CS191" i="5"/>
  <c r="CS192" i="5"/>
  <c r="CS193" i="5"/>
  <c r="CS194" i="5"/>
  <c r="CS195" i="5"/>
  <c r="CS196" i="5"/>
  <c r="CS197" i="5"/>
  <c r="CS198" i="5"/>
  <c r="CS199" i="5"/>
  <c r="CS200" i="5"/>
  <c r="CS201" i="5"/>
  <c r="CS202" i="5"/>
  <c r="CS203" i="5"/>
  <c r="CS204" i="5"/>
  <c r="CS205" i="5"/>
  <c r="CS206" i="5"/>
  <c r="CS207" i="5"/>
  <c r="CS208" i="5"/>
  <c r="CS209" i="5"/>
  <c r="CS210" i="5"/>
  <c r="CS211" i="5"/>
  <c r="CS212" i="5"/>
  <c r="CS213" i="5"/>
  <c r="CS214" i="5"/>
  <c r="CS215" i="5"/>
  <c r="CS216" i="5"/>
  <c r="CS217" i="5"/>
  <c r="CS218" i="5"/>
  <c r="CS219" i="5"/>
  <c r="CS220" i="5"/>
  <c r="CS221" i="5"/>
  <c r="CS222" i="5"/>
  <c r="CS223" i="5"/>
  <c r="CS224" i="5"/>
  <c r="CS225" i="5"/>
  <c r="CS226" i="5"/>
  <c r="CS227" i="5"/>
  <c r="CS228" i="5"/>
  <c r="CS229" i="5"/>
  <c r="CS230" i="5"/>
  <c r="CS231" i="5"/>
  <c r="CS232" i="5"/>
  <c r="CS233" i="5"/>
  <c r="CS234" i="5"/>
  <c r="CS235" i="5"/>
  <c r="CS236" i="5"/>
  <c r="CS237" i="5"/>
  <c r="CS238" i="5"/>
  <c r="CS239" i="5"/>
  <c r="CS240" i="5"/>
  <c r="CS241" i="5"/>
  <c r="CS242" i="5"/>
  <c r="CS243" i="5"/>
  <c r="CS244" i="5"/>
  <c r="CS245" i="5"/>
  <c r="CS246" i="5"/>
  <c r="CS247" i="5"/>
  <c r="CS248" i="5"/>
  <c r="CS249" i="5"/>
  <c r="CS250" i="5"/>
  <c r="CS251" i="5"/>
  <c r="CS252" i="5"/>
  <c r="CS253" i="5"/>
  <c r="CS254" i="5"/>
  <c r="CS255" i="5"/>
  <c r="CS256" i="5"/>
  <c r="CS257" i="5"/>
  <c r="CS258" i="5"/>
  <c r="CS259" i="5"/>
  <c r="CS260" i="5"/>
  <c r="CS261" i="5"/>
  <c r="CS262" i="5"/>
  <c r="CS263" i="5"/>
  <c r="CS264" i="5"/>
  <c r="CS265" i="5"/>
  <c r="CS266" i="5"/>
  <c r="CS267" i="5"/>
  <c r="CS268" i="5"/>
  <c r="CS269" i="5"/>
  <c r="CS270" i="5"/>
  <c r="CS271" i="5"/>
  <c r="CS272" i="5"/>
  <c r="CS273" i="5"/>
  <c r="CS274" i="5"/>
  <c r="CS275" i="5"/>
  <c r="CS276" i="5"/>
  <c r="CS277" i="5"/>
  <c r="CS278" i="5"/>
  <c r="CS279" i="5"/>
  <c r="CS280" i="5"/>
  <c r="CS281" i="5"/>
  <c r="CS282" i="5"/>
  <c r="CS283" i="5"/>
  <c r="CS284" i="5"/>
  <c r="CS285" i="5"/>
  <c r="CS286" i="5"/>
  <c r="CS287" i="5"/>
  <c r="CS288" i="5"/>
  <c r="CS2" i="5"/>
  <c r="AK2" i="5"/>
  <c r="AL2" i="5"/>
  <c r="AI2" i="5"/>
  <c r="AD2" i="5"/>
  <c r="S2" i="5"/>
  <c r="AA2" i="5"/>
  <c r="Z2" i="5"/>
  <c r="X2" i="5"/>
  <c r="P2" i="5"/>
  <c r="O2" i="5"/>
  <c r="M2" i="5"/>
  <c r="B80" i="51"/>
  <c r="B81" i="51"/>
  <c r="B82" i="51"/>
  <c r="B83" i="51"/>
  <c r="B84" i="51"/>
  <c r="B85" i="51"/>
  <c r="B86" i="51"/>
  <c r="B87" i="51"/>
  <c r="B88" i="51"/>
  <c r="B89" i="51"/>
  <c r="B90" i="51"/>
  <c r="B91" i="51"/>
  <c r="B92" i="51"/>
  <c r="B93" i="51"/>
  <c r="B94" i="51"/>
  <c r="B95" i="51"/>
  <c r="B96" i="51"/>
  <c r="B97" i="51"/>
  <c r="B98" i="51"/>
  <c r="B99" i="51"/>
  <c r="B100" i="51"/>
  <c r="B101" i="51"/>
  <c r="B102" i="51"/>
  <c r="B103" i="51"/>
  <c r="B104" i="51"/>
  <c r="B105" i="51"/>
  <c r="B106" i="51"/>
  <c r="B107" i="51"/>
  <c r="B108" i="51"/>
  <c r="B109" i="51"/>
  <c r="B110" i="51"/>
  <c r="B111" i="51"/>
  <c r="B112" i="51"/>
  <c r="B113" i="51"/>
  <c r="B114" i="51"/>
  <c r="B115" i="51"/>
  <c r="B116" i="51"/>
  <c r="B117" i="51"/>
  <c r="B118" i="51"/>
  <c r="B119" i="51"/>
  <c r="B120" i="51"/>
  <c r="B121" i="51"/>
  <c r="I63" i="17"/>
  <c r="J63" i="17"/>
  <c r="I64" i="17"/>
  <c r="J64" i="17"/>
  <c r="I65" i="17"/>
  <c r="J65" i="17"/>
  <c r="I66" i="17"/>
  <c r="J66" i="17"/>
  <c r="I67" i="17"/>
  <c r="J67" i="17"/>
  <c r="I68" i="17"/>
  <c r="J68" i="17"/>
  <c r="I69" i="17"/>
  <c r="J69" i="17"/>
  <c r="I70" i="17"/>
  <c r="J70" i="17"/>
  <c r="I71" i="17"/>
  <c r="J71" i="17"/>
  <c r="I72" i="17"/>
  <c r="J72" i="17"/>
  <c r="I73" i="17"/>
  <c r="J73" i="17"/>
  <c r="I74" i="17"/>
  <c r="J74" i="17"/>
  <c r="I75" i="17"/>
  <c r="J75" i="17"/>
  <c r="I76" i="17"/>
  <c r="J76" i="17"/>
  <c r="I77" i="17"/>
  <c r="J77" i="17"/>
  <c r="I78" i="17"/>
  <c r="J78" i="17"/>
  <c r="A10" i="33"/>
  <c r="A30" i="33" s="1"/>
  <c r="W8" i="19" s="1"/>
  <c r="A11" i="33"/>
  <c r="A31" i="33" s="1"/>
  <c r="W9" i="19" s="1"/>
  <c r="A12" i="33"/>
  <c r="A32" i="33" s="1"/>
  <c r="W10" i="19" s="1"/>
  <c r="A13" i="33"/>
  <c r="A33" i="33" s="1"/>
  <c r="W11" i="19" s="1"/>
  <c r="A14" i="33"/>
  <c r="A34" i="33" s="1"/>
  <c r="W12" i="19" s="1"/>
  <c r="A15" i="33"/>
  <c r="A35" i="33" s="1"/>
  <c r="W13" i="19" s="1"/>
  <c r="A16" i="33"/>
  <c r="A36" i="33" s="1"/>
  <c r="W14" i="19" s="1"/>
  <c r="A17" i="33"/>
  <c r="A37" i="33" s="1"/>
  <c r="W15" i="19" s="1"/>
  <c r="A18" i="33"/>
  <c r="A38" i="33" s="1"/>
  <c r="W16" i="19" s="1"/>
  <c r="A19" i="33"/>
  <c r="A20" i="33"/>
  <c r="D118" i="13"/>
  <c r="F118" i="13"/>
  <c r="H118" i="13"/>
  <c r="X16" i="19" l="1"/>
  <c r="Y16" i="19"/>
  <c r="Z16" i="19"/>
  <c r="AA16" i="19"/>
  <c r="X15" i="19"/>
  <c r="Y15" i="19"/>
  <c r="Z15" i="19"/>
  <c r="AA15" i="19"/>
  <c r="X14" i="19"/>
  <c r="Y14" i="19"/>
  <c r="Z14" i="19"/>
  <c r="AA14" i="19"/>
  <c r="X13" i="19"/>
  <c r="Y13" i="19"/>
  <c r="Z13" i="19"/>
  <c r="AA13" i="19"/>
  <c r="X12" i="19"/>
  <c r="Y12" i="19"/>
  <c r="Z12" i="19"/>
  <c r="AA12" i="19"/>
  <c r="X11" i="19"/>
  <c r="Y11" i="19"/>
  <c r="Z11" i="19"/>
  <c r="AA11" i="19"/>
  <c r="Y10" i="19"/>
  <c r="X10" i="19"/>
  <c r="Z10" i="19"/>
  <c r="AA10" i="19"/>
  <c r="X9" i="19"/>
  <c r="Y9" i="19"/>
  <c r="Z9" i="19"/>
  <c r="AA9" i="19"/>
  <c r="X8" i="19"/>
  <c r="Y8" i="19"/>
  <c r="Z8" i="19"/>
  <c r="AA8" i="19"/>
  <c r="AL292" i="5"/>
  <c r="AK292" i="5" s="1"/>
  <c r="AA292" i="5"/>
  <c r="Z292" i="5" s="1"/>
  <c r="N293" i="5"/>
  <c r="CP4" i="5"/>
  <c r="CH4" i="5"/>
  <c r="BW4" i="5"/>
  <c r="CW27" i="5"/>
  <c r="AC1" i="19"/>
  <c r="AB8" i="19"/>
  <c r="AB14" i="19"/>
  <c r="AB11" i="19"/>
  <c r="AB13" i="19"/>
  <c r="AB10" i="19"/>
  <c r="AB15" i="19"/>
  <c r="AB12" i="19"/>
  <c r="AB16" i="19"/>
  <c r="AB9" i="19"/>
  <c r="AA15" i="56"/>
  <c r="AI3" i="5"/>
  <c r="AM2" i="5"/>
  <c r="AJ3" i="5" s="1"/>
  <c r="X3" i="5"/>
  <c r="AB2" i="5"/>
  <c r="Y3" i="5" s="1"/>
  <c r="M3" i="5"/>
  <c r="Q2" i="5"/>
  <c r="N3" i="5" s="1"/>
  <c r="BC2" i="51"/>
  <c r="BC3" i="51" s="1"/>
  <c r="BC4" i="51" s="1"/>
  <c r="BC5" i="51" s="1"/>
  <c r="BC6" i="51" s="1"/>
  <c r="BC7" i="51" s="1"/>
  <c r="BC8" i="51" s="1"/>
  <c r="BC9" i="51" s="1"/>
  <c r="BC10" i="51" s="1"/>
  <c r="BC11" i="51" s="1"/>
  <c r="BC12" i="51" s="1"/>
  <c r="BC13" i="51" s="1"/>
  <c r="BC14" i="51" s="1"/>
  <c r="BC15" i="51" s="1"/>
  <c r="BC16" i="51" s="1"/>
  <c r="BC17" i="51" s="1"/>
  <c r="BC18" i="51" s="1"/>
  <c r="BC19" i="51" s="1"/>
  <c r="BC20" i="51" s="1"/>
  <c r="BC21" i="51" s="1"/>
  <c r="BC22" i="51" s="1"/>
  <c r="BC23" i="51" s="1"/>
  <c r="BC24" i="51" s="1"/>
  <c r="BC25" i="51" s="1"/>
  <c r="BC26" i="51" s="1"/>
  <c r="BC27" i="51" s="1"/>
  <c r="BC28" i="51" s="1"/>
  <c r="BC29" i="51" s="1"/>
  <c r="BC30" i="51" s="1"/>
  <c r="BC31" i="51" s="1"/>
  <c r="BC32" i="51" s="1"/>
  <c r="BC33" i="51" s="1"/>
  <c r="BC34" i="51" s="1"/>
  <c r="BC35" i="51" s="1"/>
  <c r="BC36" i="51" s="1"/>
  <c r="BC37" i="51" s="1"/>
  <c r="BC38" i="51" s="1"/>
  <c r="BC39" i="51" s="1"/>
  <c r="BC40" i="51" s="1"/>
  <c r="BC41" i="51" s="1"/>
  <c r="BC42" i="51" s="1"/>
  <c r="BC43" i="51" s="1"/>
  <c r="BC44" i="51" s="1"/>
  <c r="BC45" i="51" s="1"/>
  <c r="BC46" i="51" s="1"/>
  <c r="AB292" i="5" l="1"/>
  <c r="Y293" i="5"/>
  <c r="AM292" i="5"/>
  <c r="AJ293" i="5" s="1"/>
  <c r="O293" i="5"/>
  <c r="Q293" i="5" s="1"/>
  <c r="N294" i="5"/>
  <c r="P293" i="5"/>
  <c r="CJ4" i="5"/>
  <c r="CI4" i="5" s="1"/>
  <c r="BV4" i="5"/>
  <c r="BX4" i="5" s="1"/>
  <c r="AA3" i="5"/>
  <c r="Z3" i="5" s="1"/>
  <c r="AB3" i="5" s="1"/>
  <c r="P3" i="5"/>
  <c r="O3" i="5"/>
  <c r="Q3" i="5" s="1"/>
  <c r="CW28" i="5"/>
  <c r="AD1" i="19"/>
  <c r="AC8" i="19"/>
  <c r="AC14" i="19"/>
  <c r="AC11" i="19"/>
  <c r="AC13" i="19"/>
  <c r="AC15" i="19"/>
  <c r="AC10" i="19"/>
  <c r="AC12" i="19"/>
  <c r="AC16" i="19"/>
  <c r="AC9" i="19"/>
  <c r="AA16" i="56"/>
  <c r="AL3" i="5"/>
  <c r="AK3" i="5" s="1"/>
  <c r="D5" i="50"/>
  <c r="D6" i="50"/>
  <c r="D7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D26" i="50"/>
  <c r="D27" i="50"/>
  <c r="D4" i="50"/>
  <c r="AK293" i="5" l="1"/>
  <c r="AM293" i="5" s="1"/>
  <c r="AL293" i="5"/>
  <c r="AJ294" i="5"/>
  <c r="P294" i="5"/>
  <c r="O294" i="5"/>
  <c r="Q294" i="5" s="1"/>
  <c r="Z293" i="5"/>
  <c r="AB293" i="5" s="1"/>
  <c r="AA293" i="5"/>
  <c r="Y294" i="5"/>
  <c r="CK4" i="5"/>
  <c r="CG5" i="5"/>
  <c r="CH5" i="5" s="1"/>
  <c r="BT5" i="5"/>
  <c r="BU5" i="5" s="1"/>
  <c r="AI4" i="5"/>
  <c r="AM3" i="5"/>
  <c r="AJ4" i="5" s="1"/>
  <c r="CW29" i="5"/>
  <c r="AE1" i="19"/>
  <c r="AD11" i="19"/>
  <c r="AD13" i="19"/>
  <c r="AD8" i="19"/>
  <c r="AD14" i="19"/>
  <c r="AD12" i="19"/>
  <c r="AD16" i="19"/>
  <c r="AD9" i="19"/>
  <c r="AD15" i="19"/>
  <c r="AD10" i="19"/>
  <c r="AA17" i="56"/>
  <c r="AL4" i="5"/>
  <c r="X4" i="5"/>
  <c r="Y4" i="5"/>
  <c r="M4" i="5"/>
  <c r="N4" i="5"/>
  <c r="A15" i="54"/>
  <c r="A16" i="54"/>
  <c r="A17" i="54"/>
  <c r="A18" i="54"/>
  <c r="A19" i="54"/>
  <c r="A20" i="54"/>
  <c r="A21" i="54"/>
  <c r="A22" i="54"/>
  <c r="A23" i="54"/>
  <c r="A24" i="54"/>
  <c r="A25" i="54"/>
  <c r="A14" i="54"/>
  <c r="A13" i="54"/>
  <c r="A3" i="54"/>
  <c r="A4" i="54"/>
  <c r="A5" i="54"/>
  <c r="A7" i="54"/>
  <c r="A8" i="54"/>
  <c r="A9" i="54"/>
  <c r="A10" i="54"/>
  <c r="A11" i="54"/>
  <c r="A12" i="54"/>
  <c r="A2" i="54"/>
  <c r="B20" i="50"/>
  <c r="B21" i="50"/>
  <c r="B26" i="50"/>
  <c r="B25" i="50"/>
  <c r="C8" i="50" l="1"/>
  <c r="N295" i="5"/>
  <c r="AL294" i="5"/>
  <c r="AK294" i="5" s="1"/>
  <c r="AA294" i="5"/>
  <c r="Z294" i="5" s="1"/>
  <c r="CP5" i="5"/>
  <c r="CJ5" i="5"/>
  <c r="CI5" i="5" s="1"/>
  <c r="CC5" i="5"/>
  <c r="BW5" i="5"/>
  <c r="BV5" i="5" s="1"/>
  <c r="BX5" i="5" s="1"/>
  <c r="CW30" i="5"/>
  <c r="AK4" i="5"/>
  <c r="AM4" i="5" s="1"/>
  <c r="AJ5" i="5" s="1"/>
  <c r="AA4" i="5"/>
  <c r="Z4" i="5" s="1"/>
  <c r="AF1" i="19"/>
  <c r="AE9" i="19"/>
  <c r="AE12" i="19"/>
  <c r="AE15" i="19"/>
  <c r="AE8" i="19"/>
  <c r="AE14" i="19"/>
  <c r="AE11" i="19"/>
  <c r="AE10" i="19"/>
  <c r="AE16" i="19"/>
  <c r="AE13" i="19"/>
  <c r="AA18" i="56"/>
  <c r="P4" i="5"/>
  <c r="O4" i="5" s="1"/>
  <c r="Q4" i="5" s="1"/>
  <c r="AB294" i="5" l="1"/>
  <c r="Y295" i="5" s="1"/>
  <c r="AM294" i="5"/>
  <c r="AJ295" i="5"/>
  <c r="P295" i="5"/>
  <c r="O295" i="5" s="1"/>
  <c r="CK5" i="5"/>
  <c r="CG6" i="5"/>
  <c r="BT6" i="5"/>
  <c r="BU6" i="5" s="1"/>
  <c r="AI5" i="5"/>
  <c r="CW31" i="5"/>
  <c r="AG1" i="19"/>
  <c r="AF9" i="19"/>
  <c r="AF12" i="19"/>
  <c r="AF15" i="19"/>
  <c r="AF14" i="19"/>
  <c r="AF8" i="19"/>
  <c r="AF10" i="19"/>
  <c r="AF11" i="19"/>
  <c r="AF16" i="19"/>
  <c r="AF13" i="19"/>
  <c r="AA19" i="56"/>
  <c r="AL5" i="5"/>
  <c r="AK5" i="5" s="1"/>
  <c r="AB4" i="5"/>
  <c r="Y5" i="5" s="1"/>
  <c r="X5" i="5"/>
  <c r="M5" i="5"/>
  <c r="N5" i="5"/>
  <c r="BA1" i="52"/>
  <c r="AZ1" i="52"/>
  <c r="AY1" i="52"/>
  <c r="AW1" i="52"/>
  <c r="AV1" i="52"/>
  <c r="AU1" i="52"/>
  <c r="AT1" i="52"/>
  <c r="AS1" i="52"/>
  <c r="AR1" i="52"/>
  <c r="AQ1" i="52"/>
  <c r="AP1" i="52"/>
  <c r="AO1" i="52"/>
  <c r="AN1" i="52"/>
  <c r="AM1" i="52"/>
  <c r="AL1" i="52"/>
  <c r="AK1" i="52"/>
  <c r="AJ1" i="52"/>
  <c r="AI1" i="52"/>
  <c r="AH1" i="52"/>
  <c r="AG1" i="52"/>
  <c r="AF1" i="52"/>
  <c r="AE1" i="52"/>
  <c r="AD1" i="52"/>
  <c r="Q295" i="5" l="1"/>
  <c r="N296" i="5"/>
  <c r="AA295" i="5"/>
  <c r="Z295" i="5" s="1"/>
  <c r="AJ296" i="5"/>
  <c r="AL295" i="5"/>
  <c r="AK295" i="5"/>
  <c r="AM295" i="5" s="1"/>
  <c r="CH6" i="5"/>
  <c r="CP6" i="5"/>
  <c r="CC6" i="5"/>
  <c r="CW32" i="5"/>
  <c r="AH1" i="19"/>
  <c r="AG9" i="19"/>
  <c r="AG12" i="19"/>
  <c r="AG15" i="19"/>
  <c r="AG8" i="19"/>
  <c r="AG14" i="19"/>
  <c r="AG11" i="19"/>
  <c r="AG10" i="19"/>
  <c r="AG13" i="19"/>
  <c r="AG16" i="19"/>
  <c r="AA20" i="56"/>
  <c r="AA5" i="5"/>
  <c r="Z5" i="5" s="1"/>
  <c r="X6" i="5" s="1"/>
  <c r="AM5" i="5"/>
  <c r="AJ6" i="5" s="1"/>
  <c r="AI6" i="5"/>
  <c r="P5" i="5"/>
  <c r="O5" i="5" s="1"/>
  <c r="M6" i="5" s="1"/>
  <c r="ER2" i="50"/>
  <c r="DH2" i="50"/>
  <c r="DB2" i="50"/>
  <c r="B17" i="50"/>
  <c r="B18" i="50"/>
  <c r="B19" i="50"/>
  <c r="CV2" i="50" s="1"/>
  <c r="B22" i="50"/>
  <c r="B23" i="50"/>
  <c r="B24" i="50"/>
  <c r="EL2" i="50"/>
  <c r="B27" i="50"/>
  <c r="EX2" i="50" s="1"/>
  <c r="B16" i="50"/>
  <c r="CD2" i="50" s="1"/>
  <c r="B5" i="50"/>
  <c r="V2" i="50" s="1"/>
  <c r="B6" i="50"/>
  <c r="AB2" i="50" s="1"/>
  <c r="B7" i="50"/>
  <c r="AH2" i="50" s="1"/>
  <c r="B9" i="50"/>
  <c r="AN2" i="50" s="1"/>
  <c r="B10" i="50"/>
  <c r="AT2" i="50" s="1"/>
  <c r="B11" i="50"/>
  <c r="AZ2" i="50" s="1"/>
  <c r="B12" i="50"/>
  <c r="BF2" i="50" s="1"/>
  <c r="B13" i="50"/>
  <c r="BL2" i="50" s="1"/>
  <c r="B14" i="50"/>
  <c r="B15" i="50"/>
  <c r="B4" i="50"/>
  <c r="P2" i="50" s="1"/>
  <c r="I61" i="17"/>
  <c r="J61" i="17"/>
  <c r="I62" i="17"/>
  <c r="J62" i="17"/>
  <c r="Q24" i="34"/>
  <c r="Q47" i="34"/>
  <c r="Q46" i="34"/>
  <c r="Q45" i="34"/>
  <c r="Q44" i="34"/>
  <c r="Q43" i="34"/>
  <c r="Q42" i="34"/>
  <c r="Q41" i="34"/>
  <c r="Q40" i="34"/>
  <c r="Q39" i="34"/>
  <c r="Q38" i="34"/>
  <c r="Q37" i="34"/>
  <c r="Q36" i="34"/>
  <c r="Q35" i="34"/>
  <c r="Q34" i="34"/>
  <c r="Q33" i="34"/>
  <c r="Q32" i="34"/>
  <c r="Q31" i="34"/>
  <c r="Q30" i="34"/>
  <c r="Q29" i="34"/>
  <c r="Q28" i="34"/>
  <c r="Q27" i="34"/>
  <c r="Q26" i="34"/>
  <c r="Q25" i="34"/>
  <c r="DZ2" i="50" l="1"/>
  <c r="DT2" i="50"/>
  <c r="DN2" i="50"/>
  <c r="DR3" i="50" s="1"/>
  <c r="CP2" i="50"/>
  <c r="CT3" i="50" s="1"/>
  <c r="BX2" i="50"/>
  <c r="CB3" i="50" s="1"/>
  <c r="CJ2" i="50"/>
  <c r="CN3" i="50" s="1"/>
  <c r="AB295" i="5"/>
  <c r="Y296" i="5"/>
  <c r="P296" i="5"/>
  <c r="O296" i="5" s="1"/>
  <c r="AK296" i="5"/>
  <c r="AM296" i="5" s="1"/>
  <c r="AL296" i="5"/>
  <c r="CJ6" i="5"/>
  <c r="CI6" i="5" s="1"/>
  <c r="BW6" i="5"/>
  <c r="BV6" i="5" s="1"/>
  <c r="BX6" i="5" s="1"/>
  <c r="CW33" i="5"/>
  <c r="AI1" i="19"/>
  <c r="AH10" i="19"/>
  <c r="AH16" i="19"/>
  <c r="AH8" i="19"/>
  <c r="AH9" i="19"/>
  <c r="AH12" i="19"/>
  <c r="AH15" i="19"/>
  <c r="AH13" i="19"/>
  <c r="AH11" i="19"/>
  <c r="AH14" i="19"/>
  <c r="AA21" i="56"/>
  <c r="AL6" i="5"/>
  <c r="AK6" i="5" s="1"/>
  <c r="AM6" i="5" s="1"/>
  <c r="AJ7" i="5" s="1"/>
  <c r="AB5" i="5"/>
  <c r="Y6" i="5" s="1"/>
  <c r="Q5" i="5"/>
  <c r="N6" i="5" s="1"/>
  <c r="BR2" i="50"/>
  <c r="BV3" i="50" s="1"/>
  <c r="AH84" i="51"/>
  <c r="AH85" i="51"/>
  <c r="AH86" i="51"/>
  <c r="AH87" i="51"/>
  <c r="AH88" i="51"/>
  <c r="AH89" i="51"/>
  <c r="AH90" i="51"/>
  <c r="AH91" i="51"/>
  <c r="AH92" i="51"/>
  <c r="AH93" i="51"/>
  <c r="AH94" i="51"/>
  <c r="AH95" i="51"/>
  <c r="AH96" i="51"/>
  <c r="AH97" i="51"/>
  <c r="AH98" i="51"/>
  <c r="AH99" i="51"/>
  <c r="AH100" i="51"/>
  <c r="U2" i="51"/>
  <c r="S2" i="51"/>
  <c r="Q2" i="51"/>
  <c r="O2" i="51"/>
  <c r="M2" i="51"/>
  <c r="K2" i="51"/>
  <c r="I2" i="51"/>
  <c r="G2" i="51"/>
  <c r="E2" i="51"/>
  <c r="C2" i="51"/>
  <c r="FB3" i="50"/>
  <c r="EV3" i="50"/>
  <c r="EP3" i="50"/>
  <c r="EJ3" i="50"/>
  <c r="ED3" i="50"/>
  <c r="DX3" i="50"/>
  <c r="DL3" i="50"/>
  <c r="DF3" i="50"/>
  <c r="CZ3" i="50"/>
  <c r="CH3" i="50"/>
  <c r="BP3" i="50"/>
  <c r="BJ3" i="50"/>
  <c r="BD3" i="50"/>
  <c r="AX3" i="50"/>
  <c r="AR3" i="50"/>
  <c r="Q296" i="5" l="1"/>
  <c r="N297" i="5"/>
  <c r="AJ297" i="5"/>
  <c r="AA296" i="5"/>
  <c r="Z296" i="5" s="1"/>
  <c r="CK6" i="5"/>
  <c r="CG7" i="5"/>
  <c r="BT7" i="5"/>
  <c r="BU7" i="5" s="1"/>
  <c r="CW34" i="5"/>
  <c r="AJ1" i="19"/>
  <c r="AI10" i="19"/>
  <c r="AI16" i="19"/>
  <c r="AI9" i="19"/>
  <c r="AI12" i="19"/>
  <c r="AI15" i="19"/>
  <c r="AI13" i="19"/>
  <c r="AI8" i="19"/>
  <c r="AI11" i="19"/>
  <c r="AI14" i="19"/>
  <c r="AA22" i="56"/>
  <c r="P6" i="5"/>
  <c r="O6" i="5" s="1"/>
  <c r="AA6" i="5"/>
  <c r="Z6" i="5" s="1"/>
  <c r="AB6" i="5" s="1"/>
  <c r="AI7" i="5"/>
  <c r="AL7" i="5"/>
  <c r="AK7" i="5" s="1"/>
  <c r="C31" i="14"/>
  <c r="AB296" i="5" l="1"/>
  <c r="Y297" i="5"/>
  <c r="AL297" i="5"/>
  <c r="AK297" i="5" s="1"/>
  <c r="P297" i="5"/>
  <c r="O297" i="5"/>
  <c r="Q297" i="5" s="1"/>
  <c r="CH7" i="5"/>
  <c r="CP7" i="5"/>
  <c r="CC7" i="5"/>
  <c r="CW35" i="5"/>
  <c r="AK1" i="19"/>
  <c r="AJ12" i="19"/>
  <c r="AJ10" i="19"/>
  <c r="AJ16" i="19"/>
  <c r="AJ9" i="19"/>
  <c r="AJ15" i="19"/>
  <c r="AJ13" i="19"/>
  <c r="AJ11" i="19"/>
  <c r="AJ14" i="19"/>
  <c r="AJ8" i="19"/>
  <c r="AA23" i="56"/>
  <c r="AM7" i="5"/>
  <c r="AJ8" i="5" s="1"/>
  <c r="AI8" i="5"/>
  <c r="X7" i="5"/>
  <c r="Y7" i="5"/>
  <c r="Q6" i="5"/>
  <c r="N7" i="5" s="1"/>
  <c r="M7" i="5"/>
  <c r="AL3" i="50"/>
  <c r="T3" i="50"/>
  <c r="V2" i="51"/>
  <c r="T2" i="51"/>
  <c r="R2" i="51"/>
  <c r="P2" i="51"/>
  <c r="N2" i="51"/>
  <c r="L2" i="51"/>
  <c r="J2" i="51"/>
  <c r="AD84" i="51"/>
  <c r="AD85" i="51"/>
  <c r="AD86" i="51"/>
  <c r="AD87" i="51"/>
  <c r="AD88" i="51"/>
  <c r="AD89" i="51"/>
  <c r="AD90" i="51"/>
  <c r="AD91" i="51"/>
  <c r="AD92" i="51"/>
  <c r="AD93" i="51"/>
  <c r="AD94" i="51"/>
  <c r="AD95" i="51"/>
  <c r="AD96" i="51"/>
  <c r="AD97" i="51"/>
  <c r="AD98" i="51"/>
  <c r="AD99" i="51"/>
  <c r="AD100" i="51"/>
  <c r="EZ3" i="50"/>
  <c r="ET3" i="50"/>
  <c r="EN3" i="50"/>
  <c r="EH3" i="50"/>
  <c r="EB3" i="50"/>
  <c r="DV3" i="50"/>
  <c r="DP3" i="50"/>
  <c r="DJ3" i="50"/>
  <c r="DD3" i="50"/>
  <c r="CX3" i="50"/>
  <c r="CR3" i="50"/>
  <c r="CL3" i="50"/>
  <c r="CF3" i="50"/>
  <c r="BZ3" i="50"/>
  <c r="BT3" i="50"/>
  <c r="BN3" i="50"/>
  <c r="BH3" i="50"/>
  <c r="BB3" i="50"/>
  <c r="AV3" i="50"/>
  <c r="AP3" i="50"/>
  <c r="AM297" i="5" l="1"/>
  <c r="AJ298" i="5"/>
  <c r="AA297" i="5"/>
  <c r="Z297" i="5" s="1"/>
  <c r="N298" i="5"/>
  <c r="CJ7" i="5"/>
  <c r="CI7" i="5" s="1"/>
  <c r="BW7" i="5"/>
  <c r="BV7" i="5" s="1"/>
  <c r="BX7" i="5" s="1"/>
  <c r="CW36" i="5"/>
  <c r="AL1" i="19"/>
  <c r="AK11" i="19"/>
  <c r="AK13" i="19"/>
  <c r="AK10" i="19"/>
  <c r="AK16" i="19"/>
  <c r="AK9" i="19"/>
  <c r="AK8" i="19"/>
  <c r="AK14" i="19"/>
  <c r="AK12" i="19"/>
  <c r="AK15" i="19"/>
  <c r="AA24" i="56"/>
  <c r="P7" i="5"/>
  <c r="O7" i="5" s="1"/>
  <c r="Q7" i="5" s="1"/>
  <c r="AA7" i="5"/>
  <c r="Z7" i="5" s="1"/>
  <c r="AB7" i="5" s="1"/>
  <c r="Y8" i="5" s="1"/>
  <c r="AL8" i="5"/>
  <c r="AK8" i="5" s="1"/>
  <c r="AI9" i="5" s="1"/>
  <c r="AJ3" i="50"/>
  <c r="AD3" i="50"/>
  <c r="H2" i="51"/>
  <c r="R3" i="50"/>
  <c r="F2" i="51"/>
  <c r="D2" i="51"/>
  <c r="X3" i="50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A105" i="51"/>
  <c r="A106" i="51"/>
  <c r="A107" i="51"/>
  <c r="A108" i="51"/>
  <c r="A109" i="51"/>
  <c r="A110" i="51"/>
  <c r="A111" i="51"/>
  <c r="A112" i="51"/>
  <c r="A113" i="51"/>
  <c r="A114" i="51"/>
  <c r="A115" i="51"/>
  <c r="A116" i="51"/>
  <c r="A117" i="51"/>
  <c r="A118" i="51"/>
  <c r="A119" i="51"/>
  <c r="A120" i="51"/>
  <c r="A121" i="51"/>
  <c r="AF3" i="50"/>
  <c r="Z3" i="50"/>
  <c r="FA1" i="50"/>
  <c r="EU1" i="50"/>
  <c r="EO1" i="50"/>
  <c r="EI1" i="50"/>
  <c r="EC1" i="50"/>
  <c r="DW1" i="50"/>
  <c r="DQ1" i="50"/>
  <c r="DK1" i="50"/>
  <c r="DE1" i="50"/>
  <c r="CY1" i="50"/>
  <c r="CS1" i="50"/>
  <c r="CM1" i="50"/>
  <c r="CG1" i="50"/>
  <c r="CA1" i="50"/>
  <c r="BU1" i="50"/>
  <c r="BO1" i="50"/>
  <c r="BI1" i="50"/>
  <c r="BC1" i="50"/>
  <c r="AW1" i="50"/>
  <c r="AQ1" i="50"/>
  <c r="AK1" i="50"/>
  <c r="AE1" i="50"/>
  <c r="Y1" i="50"/>
  <c r="S1" i="50"/>
  <c r="AB297" i="5" l="1"/>
  <c r="Y298" i="5"/>
  <c r="P298" i="5"/>
  <c r="O298" i="5"/>
  <c r="Q298" i="5" s="1"/>
  <c r="AL298" i="5"/>
  <c r="AK298" i="5" s="1"/>
  <c r="CK7" i="5"/>
  <c r="CG8" i="5"/>
  <c r="BT8" i="5"/>
  <c r="BU8" i="5" s="1"/>
  <c r="N8" i="5"/>
  <c r="P8" i="5" s="1"/>
  <c r="O8" i="5" s="1"/>
  <c r="Q8" i="5" s="1"/>
  <c r="CW37" i="5"/>
  <c r="AM1" i="19"/>
  <c r="AL11" i="19"/>
  <c r="AL13" i="19"/>
  <c r="AL10" i="19"/>
  <c r="AL16" i="19"/>
  <c r="AL12" i="19"/>
  <c r="AL8" i="19"/>
  <c r="AL14" i="19"/>
  <c r="AL9" i="19"/>
  <c r="AL15" i="19"/>
  <c r="AA25" i="56"/>
  <c r="AM8" i="5"/>
  <c r="AJ9" i="5" s="1"/>
  <c r="AA8" i="5"/>
  <c r="Z8" i="5" s="1"/>
  <c r="X8" i="5"/>
  <c r="M8" i="5"/>
  <c r="AM298" i="5" l="1"/>
  <c r="AJ299" i="5"/>
  <c r="N299" i="5"/>
  <c r="AA298" i="5"/>
  <c r="Z298" i="5" s="1"/>
  <c r="CH8" i="5"/>
  <c r="CP8" i="5"/>
  <c r="CC8" i="5"/>
  <c r="N9" i="5"/>
  <c r="X9" i="5"/>
  <c r="CW38" i="5"/>
  <c r="AN1" i="19"/>
  <c r="AM11" i="19"/>
  <c r="AM13" i="19"/>
  <c r="AM10" i="19"/>
  <c r="AM16" i="19"/>
  <c r="AM15" i="19"/>
  <c r="AM9" i="19"/>
  <c r="AM14" i="19"/>
  <c r="AM12" i="19"/>
  <c r="AM8" i="19"/>
  <c r="AA26" i="56"/>
  <c r="P9" i="5"/>
  <c r="O9" i="5" s="1"/>
  <c r="AL9" i="5"/>
  <c r="AK9" i="5" s="1"/>
  <c r="AB8" i="5"/>
  <c r="Y9" i="5" s="1"/>
  <c r="AA9" i="5" s="1"/>
  <c r="M9" i="5"/>
  <c r="AB298" i="5" l="1"/>
  <c r="Y299" i="5"/>
  <c r="P299" i="5"/>
  <c r="O299" i="5"/>
  <c r="Q299" i="5" s="1"/>
  <c r="AL299" i="5"/>
  <c r="AK299" i="5" s="1"/>
  <c r="CJ8" i="5"/>
  <c r="CI8" i="5" s="1"/>
  <c r="CK8" i="5" s="1"/>
  <c r="BW8" i="5"/>
  <c r="BV8" i="5" s="1"/>
  <c r="BX8" i="5" s="1"/>
  <c r="CW39" i="5"/>
  <c r="AO1" i="19"/>
  <c r="AN8" i="19"/>
  <c r="AN14" i="19"/>
  <c r="AN10" i="19"/>
  <c r="AN11" i="19"/>
  <c r="AN13" i="19"/>
  <c r="AN9" i="19"/>
  <c r="AN15" i="19"/>
  <c r="AN12" i="19"/>
  <c r="AN16" i="19"/>
  <c r="AA27" i="56"/>
  <c r="Z9" i="5"/>
  <c r="X10" i="5" s="1"/>
  <c r="AM9" i="5"/>
  <c r="AJ10" i="5" s="1"/>
  <c r="AI10" i="5"/>
  <c r="Q9" i="5"/>
  <c r="N10" i="5" s="1"/>
  <c r="M10" i="5"/>
  <c r="B51" i="33"/>
  <c r="CV2" i="5"/>
  <c r="H149" i="13"/>
  <c r="F149" i="13"/>
  <c r="D149" i="13"/>
  <c r="H107" i="13"/>
  <c r="F107" i="13"/>
  <c r="D107" i="13"/>
  <c r="H97" i="13"/>
  <c r="F97" i="13"/>
  <c r="D97" i="13"/>
  <c r="H87" i="13"/>
  <c r="F87" i="13"/>
  <c r="D87" i="13"/>
  <c r="H77" i="13"/>
  <c r="F77" i="13"/>
  <c r="D77" i="13"/>
  <c r="H68" i="13"/>
  <c r="F68" i="13"/>
  <c r="D68" i="13"/>
  <c r="H59" i="13"/>
  <c r="F59" i="13"/>
  <c r="D59" i="13"/>
  <c r="H52" i="13"/>
  <c r="F52" i="13"/>
  <c r="D52" i="13"/>
  <c r="H44" i="13"/>
  <c r="F44" i="13"/>
  <c r="D44" i="13"/>
  <c r="D1" i="41"/>
  <c r="AM299" i="5" l="1"/>
  <c r="AJ300" i="5"/>
  <c r="N300" i="5"/>
  <c r="AA299" i="5"/>
  <c r="Z299" i="5" s="1"/>
  <c r="CG9" i="5"/>
  <c r="BT9" i="5"/>
  <c r="BU9" i="5" s="1"/>
  <c r="AB9" i="5"/>
  <c r="Y10" i="5"/>
  <c r="CW40" i="5"/>
  <c r="AP1" i="19"/>
  <c r="AO8" i="19"/>
  <c r="AO14" i="19"/>
  <c r="AO11" i="19"/>
  <c r="AO13" i="19"/>
  <c r="AO16" i="19"/>
  <c r="AO10" i="19"/>
  <c r="AO12" i="19"/>
  <c r="AO9" i="19"/>
  <c r="AO15" i="19"/>
  <c r="AA28" i="56"/>
  <c r="P10" i="5"/>
  <c r="O10" i="5" s="1"/>
  <c r="Q10" i="5" s="1"/>
  <c r="AL10" i="5"/>
  <c r="AK10" i="5" s="1"/>
  <c r="AM10" i="5" s="1"/>
  <c r="AA10" i="5"/>
  <c r="Z10" i="5" s="1"/>
  <c r="AB10" i="5" s="1"/>
  <c r="Y11" i="5" s="1"/>
  <c r="EF4" i="50"/>
  <c r="G27" i="14"/>
  <c r="G25" i="14"/>
  <c r="D16" i="2" s="1"/>
  <c r="G16" i="2" s="1"/>
  <c r="G26" i="14"/>
  <c r="G28" i="14"/>
  <c r="G29" i="14"/>
  <c r="B24" i="54" s="1"/>
  <c r="C16" i="14"/>
  <c r="G14" i="14"/>
  <c r="G7" i="14"/>
  <c r="G9" i="14"/>
  <c r="G10" i="14"/>
  <c r="D10" i="2" l="1"/>
  <c r="G10" i="2" s="1"/>
  <c r="B8" i="54"/>
  <c r="B5" i="54"/>
  <c r="C7" i="50" s="1"/>
  <c r="AH4" i="50" s="1"/>
  <c r="D18" i="2"/>
  <c r="C26" i="50"/>
  <c r="ER4" i="50" s="1"/>
  <c r="D19" i="2"/>
  <c r="C25" i="50"/>
  <c r="EL4" i="50" s="1"/>
  <c r="C23" i="50"/>
  <c r="DT4" i="50" s="1"/>
  <c r="C22" i="50"/>
  <c r="DN4" i="50" s="1"/>
  <c r="C10" i="50"/>
  <c r="AT4" i="50" s="1"/>
  <c r="AB299" i="5"/>
  <c r="Y300" i="5" s="1"/>
  <c r="P300" i="5"/>
  <c r="O300" i="5"/>
  <c r="Q300" i="5" s="1"/>
  <c r="AL300" i="5"/>
  <c r="AK300" i="5" s="1"/>
  <c r="CH9" i="5"/>
  <c r="CP9" i="5"/>
  <c r="CC9" i="5"/>
  <c r="X11" i="5"/>
  <c r="CW41" i="5"/>
  <c r="AQ1" i="19"/>
  <c r="AP11" i="19"/>
  <c r="AP13" i="19"/>
  <c r="AP8" i="19"/>
  <c r="AP14" i="19"/>
  <c r="AP16" i="19"/>
  <c r="AP15" i="19"/>
  <c r="AP10" i="19"/>
  <c r="AP12" i="19"/>
  <c r="AP9" i="19"/>
  <c r="AA29" i="56"/>
  <c r="AJ11" i="5"/>
  <c r="AI11" i="5"/>
  <c r="AA11" i="5"/>
  <c r="Z11" i="5" s="1"/>
  <c r="M11" i="5"/>
  <c r="N11" i="5"/>
  <c r="G27" i="2"/>
  <c r="C9" i="50"/>
  <c r="AN4" i="50" s="1"/>
  <c r="D7" i="2"/>
  <c r="D6" i="41" s="1"/>
  <c r="D7" i="41"/>
  <c r="D5" i="41"/>
  <c r="D17" i="2"/>
  <c r="D14" i="41" s="1"/>
  <c r="D4" i="41"/>
  <c r="D15" i="2"/>
  <c r="D26" i="41"/>
  <c r="BY1" i="41"/>
  <c r="E1" i="41"/>
  <c r="D9" i="41" l="1"/>
  <c r="C14" i="50"/>
  <c r="C24" i="50"/>
  <c r="AA300" i="5"/>
  <c r="Z300" i="5" s="1"/>
  <c r="AM300" i="5"/>
  <c r="AJ301" i="5"/>
  <c r="N301" i="5"/>
  <c r="CJ9" i="5"/>
  <c r="CI9" i="5" s="1"/>
  <c r="BW9" i="5"/>
  <c r="BV9" i="5" s="1"/>
  <c r="BX9" i="5" s="1"/>
  <c r="CW42" i="5"/>
  <c r="AR1" i="19"/>
  <c r="AQ9" i="19"/>
  <c r="AQ12" i="19"/>
  <c r="AQ15" i="19"/>
  <c r="AQ11" i="19"/>
  <c r="AQ8" i="19"/>
  <c r="AQ14" i="19"/>
  <c r="AQ13" i="19"/>
  <c r="AQ16" i="19"/>
  <c r="AQ10" i="19"/>
  <c r="AA30" i="56"/>
  <c r="P11" i="5"/>
  <c r="O11" i="5" s="1"/>
  <c r="Q11" i="5" s="1"/>
  <c r="AB11" i="5"/>
  <c r="Y12" i="5" s="1"/>
  <c r="AA12" i="5" s="1"/>
  <c r="X12" i="5"/>
  <c r="AL11" i="5"/>
  <c r="AK11" i="5" s="1"/>
  <c r="G15" i="2"/>
  <c r="D12" i="41"/>
  <c r="F1" i="41"/>
  <c r="BZ1" i="41"/>
  <c r="H125" i="13"/>
  <c r="H138" i="13" s="1"/>
  <c r="F125" i="13"/>
  <c r="F138" i="13" s="1"/>
  <c r="D125" i="13"/>
  <c r="D138" i="13" s="1"/>
  <c r="H137" i="13"/>
  <c r="F137" i="13"/>
  <c r="D137" i="13"/>
  <c r="F136" i="13"/>
  <c r="D136" i="13"/>
  <c r="H135" i="13"/>
  <c r="F135" i="13"/>
  <c r="D135" i="13"/>
  <c r="F133" i="13"/>
  <c r="D133" i="13"/>
  <c r="H132" i="13"/>
  <c r="H131" i="13"/>
  <c r="F131" i="13"/>
  <c r="D131" i="13"/>
  <c r="D130" i="13"/>
  <c r="H129" i="13"/>
  <c r="F129" i="13"/>
  <c r="D129" i="13"/>
  <c r="F130" i="13"/>
  <c r="H130" i="13"/>
  <c r="D134" i="13"/>
  <c r="F134" i="13"/>
  <c r="H134" i="13"/>
  <c r="D132" i="13"/>
  <c r="F132" i="13"/>
  <c r="H133" i="13"/>
  <c r="H136" i="13"/>
  <c r="BR4" i="50" l="1"/>
  <c r="DZ4" i="50"/>
  <c r="Y136" i="13"/>
  <c r="Y137" i="13"/>
  <c r="Z137" i="13"/>
  <c r="B48" i="33"/>
  <c r="Y135" i="13"/>
  <c r="Z135" i="13"/>
  <c r="Y134" i="13"/>
  <c r="Z134" i="13"/>
  <c r="B46" i="33"/>
  <c r="B61" i="33" s="1"/>
  <c r="Y133" i="13"/>
  <c r="Z133" i="13"/>
  <c r="B45" i="33"/>
  <c r="Y132" i="13"/>
  <c r="Z132" i="13"/>
  <c r="B44" i="33"/>
  <c r="Y131" i="13"/>
  <c r="Z131" i="13"/>
  <c r="B43" i="33"/>
  <c r="Y130" i="13"/>
  <c r="Z130" i="13"/>
  <c r="Y129" i="13"/>
  <c r="Z129" i="13"/>
  <c r="AB300" i="5"/>
  <c r="Y301" i="5" s="1"/>
  <c r="P301" i="5"/>
  <c r="O301" i="5" s="1"/>
  <c r="AK301" i="5"/>
  <c r="AM301" i="5" s="1"/>
  <c r="AL301" i="5"/>
  <c r="CK9" i="5"/>
  <c r="CG10" i="5"/>
  <c r="BT10" i="5"/>
  <c r="BU10" i="5" s="1"/>
  <c r="M12" i="5"/>
  <c r="CW43" i="5"/>
  <c r="AS1" i="19"/>
  <c r="AR9" i="19"/>
  <c r="AR12" i="19"/>
  <c r="AR15" i="19"/>
  <c r="AR8" i="19"/>
  <c r="AR14" i="19"/>
  <c r="AR16" i="19"/>
  <c r="AR10" i="19"/>
  <c r="AR13" i="19"/>
  <c r="AR11" i="19"/>
  <c r="B49" i="33"/>
  <c r="B64" i="33" s="1"/>
  <c r="Z136" i="13"/>
  <c r="AA31" i="56"/>
  <c r="N12" i="5"/>
  <c r="Z12" i="5"/>
  <c r="AB12" i="5" s="1"/>
  <c r="Y13" i="5" s="1"/>
  <c r="AM11" i="5"/>
  <c r="AJ12" i="5" s="1"/>
  <c r="AI12" i="5"/>
  <c r="B47" i="33"/>
  <c r="B62" i="33" s="1"/>
  <c r="B50" i="33"/>
  <c r="B65" i="33" s="1"/>
  <c r="B42" i="33"/>
  <c r="B57" i="33" s="1"/>
  <c r="B60" i="33"/>
  <c r="B63" i="33"/>
  <c r="B59" i="33"/>
  <c r="B58" i="33"/>
  <c r="G1" i="41"/>
  <c r="CA1" i="41"/>
  <c r="D139" i="13"/>
  <c r="D151" i="13" s="1"/>
  <c r="H139" i="13"/>
  <c r="F139" i="13"/>
  <c r="I4" i="47"/>
  <c r="F2" i="48"/>
  <c r="F1" i="48"/>
  <c r="Q301" i="5" l="1"/>
  <c r="N302" i="5"/>
  <c r="Z301" i="5"/>
  <c r="AB301" i="5" s="1"/>
  <c r="AA301" i="5"/>
  <c r="Y302" i="5"/>
  <c r="AJ302" i="5"/>
  <c r="CH10" i="5"/>
  <c r="CP10" i="5"/>
  <c r="CC10" i="5"/>
  <c r="X13" i="5"/>
  <c r="CW44" i="5"/>
  <c r="AT1" i="19"/>
  <c r="AT13" i="19" s="1"/>
  <c r="AS14" i="19"/>
  <c r="AS9" i="19"/>
  <c r="AS12" i="19"/>
  <c r="AS15" i="19"/>
  <c r="AS8" i="19"/>
  <c r="AS11" i="19"/>
  <c r="AS13" i="19"/>
  <c r="AS10" i="19"/>
  <c r="AS16" i="19"/>
  <c r="AA32" i="56"/>
  <c r="P12" i="5"/>
  <c r="O12" i="5" s="1"/>
  <c r="AL12" i="5"/>
  <c r="AK12" i="5" s="1"/>
  <c r="AI13" i="5" s="1"/>
  <c r="AA13" i="5"/>
  <c r="Z13" i="5" s="1"/>
  <c r="H1" i="41"/>
  <c r="CB1" i="41"/>
  <c r="F7" i="47"/>
  <c r="E26" i="47"/>
  <c r="G18" i="47"/>
  <c r="I18" i="47" s="1"/>
  <c r="G15" i="47"/>
  <c r="I15" i="47" s="1"/>
  <c r="G12" i="47"/>
  <c r="I12" i="47" s="1"/>
  <c r="G9" i="47"/>
  <c r="I9" i="47" s="1"/>
  <c r="Z302" i="5" l="1"/>
  <c r="AB302" i="5" s="1"/>
  <c r="AA302" i="5"/>
  <c r="P302" i="5"/>
  <c r="O302" i="5" s="1"/>
  <c r="AK302" i="5"/>
  <c r="AM302" i="5" s="1"/>
  <c r="AL302" i="5"/>
  <c r="CJ10" i="5"/>
  <c r="CI10" i="5" s="1"/>
  <c r="BW10" i="5"/>
  <c r="BV10" i="5" s="1"/>
  <c r="BX10" i="5" s="1"/>
  <c r="CW45" i="5"/>
  <c r="AU1" i="19"/>
  <c r="AT10" i="19"/>
  <c r="AT16" i="19"/>
  <c r="AT9" i="19"/>
  <c r="AT12" i="19"/>
  <c r="AT15" i="19"/>
  <c r="AT8" i="19"/>
  <c r="AT11" i="19"/>
  <c r="AT14" i="19"/>
  <c r="AA33" i="56"/>
  <c r="Q12" i="5"/>
  <c r="M13" i="5"/>
  <c r="N13" i="5"/>
  <c r="AM12" i="5"/>
  <c r="AJ13" i="5" s="1"/>
  <c r="AL13" i="5" s="1"/>
  <c r="AB13" i="5"/>
  <c r="Y14" i="5" s="1"/>
  <c r="X14" i="5"/>
  <c r="I1" i="41"/>
  <c r="CC1" i="41"/>
  <c r="C7" i="47"/>
  <c r="E7" i="47"/>
  <c r="D7" i="47"/>
  <c r="Q302" i="5" l="1"/>
  <c r="N303" i="5" s="1"/>
  <c r="AJ303" i="5"/>
  <c r="Y303" i="5"/>
  <c r="CK10" i="5"/>
  <c r="CG11" i="5"/>
  <c r="BT11" i="5"/>
  <c r="BU11" i="5" s="1"/>
  <c r="CW46" i="5"/>
  <c r="AV1" i="19"/>
  <c r="AU10" i="19"/>
  <c r="AU16" i="19"/>
  <c r="AU15" i="19"/>
  <c r="AU9" i="19"/>
  <c r="AU12" i="19"/>
  <c r="AU11" i="19"/>
  <c r="AU8" i="19"/>
  <c r="AU13" i="19"/>
  <c r="AU14" i="19"/>
  <c r="AA34" i="56"/>
  <c r="P13" i="5"/>
  <c r="O13" i="5" s="1"/>
  <c r="AK13" i="5"/>
  <c r="AI14" i="5" s="1"/>
  <c r="AA14" i="5"/>
  <c r="Z14" i="5" s="1"/>
  <c r="AB14" i="5" s="1"/>
  <c r="J1" i="41"/>
  <c r="CD1" i="41"/>
  <c r="G7" i="47"/>
  <c r="I7" i="47" s="1"/>
  <c r="H21" i="47" s="1"/>
  <c r="D28" i="47" s="1"/>
  <c r="P303" i="5" l="1"/>
  <c r="O303" i="5"/>
  <c r="Q303" i="5" s="1"/>
  <c r="N304" i="5"/>
  <c r="AA303" i="5"/>
  <c r="Z303" i="5" s="1"/>
  <c r="AL303" i="5"/>
  <c r="AK303" i="5" s="1"/>
  <c r="CH11" i="5"/>
  <c r="CP11" i="5"/>
  <c r="CC11" i="5"/>
  <c r="AM13" i="5"/>
  <c r="AJ14" i="5" s="1"/>
  <c r="CW47" i="5"/>
  <c r="AW1" i="19"/>
  <c r="AV16" i="19"/>
  <c r="AV10" i="19"/>
  <c r="AV9" i="19"/>
  <c r="AV12" i="19"/>
  <c r="AV15" i="19"/>
  <c r="AV14" i="19"/>
  <c r="AV13" i="19"/>
  <c r="AV11" i="19"/>
  <c r="AV8" i="19"/>
  <c r="AA35" i="56"/>
  <c r="Q13" i="5"/>
  <c r="M14" i="5"/>
  <c r="N14" i="5"/>
  <c r="AL14" i="5"/>
  <c r="AK14" i="5" s="1"/>
  <c r="AI15" i="5" s="1"/>
  <c r="Y15" i="5"/>
  <c r="X15" i="5"/>
  <c r="K1" i="41"/>
  <c r="CE1" i="41"/>
  <c r="C28" i="47"/>
  <c r="H23" i="47"/>
  <c r="AM303" i="5" l="1"/>
  <c r="AJ304" i="5"/>
  <c r="AB303" i="5"/>
  <c r="Y304" i="5"/>
  <c r="N305" i="5"/>
  <c r="P304" i="5"/>
  <c r="O304" i="5"/>
  <c r="Q304" i="5" s="1"/>
  <c r="CJ11" i="5"/>
  <c r="CI11" i="5" s="1"/>
  <c r="CG12" i="5" s="1"/>
  <c r="BW11" i="5"/>
  <c r="BV11" i="5" s="1"/>
  <c r="BX11" i="5" s="1"/>
  <c r="CW48" i="5"/>
  <c r="AX1" i="19"/>
  <c r="AW11" i="19"/>
  <c r="AW13" i="19"/>
  <c r="AW9" i="19"/>
  <c r="AW10" i="19"/>
  <c r="AW16" i="19"/>
  <c r="AW12" i="19"/>
  <c r="AW14" i="19"/>
  <c r="AW15" i="19"/>
  <c r="AW8" i="19"/>
  <c r="AA36" i="56"/>
  <c r="P14" i="5"/>
  <c r="O14" i="5" s="1"/>
  <c r="AM14" i="5"/>
  <c r="AJ15" i="5" s="1"/>
  <c r="AA15" i="5"/>
  <c r="Z15" i="5" s="1"/>
  <c r="L1" i="41"/>
  <c r="CF1" i="41"/>
  <c r="G3" i="45"/>
  <c r="H3" i="45" s="1"/>
  <c r="P305" i="5" l="1"/>
  <c r="O305" i="5" s="1"/>
  <c r="AA304" i="5"/>
  <c r="Z304" i="5" s="1"/>
  <c r="AL304" i="5"/>
  <c r="AK304" i="5" s="1"/>
  <c r="CK11" i="5"/>
  <c r="CH12" i="5" s="1"/>
  <c r="CJ12" i="5" s="1"/>
  <c r="CI12" i="5" s="1"/>
  <c r="CK12" i="5" s="1"/>
  <c r="CP12" i="5"/>
  <c r="BT12" i="5"/>
  <c r="BU12" i="5" s="1"/>
  <c r="CW49" i="5"/>
  <c r="AY1" i="19"/>
  <c r="AX11" i="19"/>
  <c r="AX13" i="19"/>
  <c r="AX16" i="19"/>
  <c r="AX10" i="19"/>
  <c r="AX9" i="19"/>
  <c r="AX15" i="19"/>
  <c r="AX8" i="19"/>
  <c r="AX14" i="19"/>
  <c r="AX12" i="19"/>
  <c r="AA37" i="56"/>
  <c r="Q14" i="5"/>
  <c r="N15" i="5" s="1"/>
  <c r="M15" i="5"/>
  <c r="AB15" i="5"/>
  <c r="Y16" i="5" s="1"/>
  <c r="AA16" i="5" s="1"/>
  <c r="AL15" i="5"/>
  <c r="AK15" i="5" s="1"/>
  <c r="AI16" i="5" s="1"/>
  <c r="X16" i="5"/>
  <c r="M1" i="41"/>
  <c r="CG1" i="41"/>
  <c r="G24" i="45"/>
  <c r="H24" i="45" s="1"/>
  <c r="L2" i="45" s="1"/>
  <c r="AM304" i="5" l="1"/>
  <c r="AJ305" i="5" s="1"/>
  <c r="AB304" i="5"/>
  <c r="Y305" i="5" s="1"/>
  <c r="Q305" i="5"/>
  <c r="N306" i="5"/>
  <c r="CG13" i="5"/>
  <c r="CH13" i="5" s="1"/>
  <c r="CC12" i="5"/>
  <c r="CW50" i="5"/>
  <c r="AZ1" i="19"/>
  <c r="AY13" i="19"/>
  <c r="AY11" i="19"/>
  <c r="AY10" i="19"/>
  <c r="AY16" i="19"/>
  <c r="AY8" i="19"/>
  <c r="AY14" i="19"/>
  <c r="AY9" i="19"/>
  <c r="AY15" i="19"/>
  <c r="AY12" i="19"/>
  <c r="AA38" i="56"/>
  <c r="P15" i="5"/>
  <c r="O15" i="5" s="1"/>
  <c r="Q15" i="5" s="1"/>
  <c r="N16" i="5" s="1"/>
  <c r="Z16" i="5"/>
  <c r="AB16" i="5" s="1"/>
  <c r="Y17" i="5" s="1"/>
  <c r="AM15" i="5"/>
  <c r="AJ16" i="5" s="1"/>
  <c r="AL16" i="5" s="1"/>
  <c r="N1" i="41"/>
  <c r="CH1" i="41"/>
  <c r="AA305" i="5" l="1"/>
  <c r="Z305" i="5" s="1"/>
  <c r="AL305" i="5"/>
  <c r="AK305" i="5" s="1"/>
  <c r="P306" i="5"/>
  <c r="O306" i="5"/>
  <c r="Q306" i="5" s="1"/>
  <c r="CP13" i="5"/>
  <c r="BW12" i="5"/>
  <c r="BV12" i="5" s="1"/>
  <c r="BX12" i="5" s="1"/>
  <c r="M16" i="5"/>
  <c r="CW51" i="5"/>
  <c r="BA1" i="19"/>
  <c r="AZ8" i="19"/>
  <c r="AZ14" i="19"/>
  <c r="AZ13" i="19"/>
  <c r="AZ10" i="19"/>
  <c r="AZ11" i="19"/>
  <c r="AZ16" i="19"/>
  <c r="AZ9" i="19"/>
  <c r="AZ15" i="19"/>
  <c r="AZ12" i="19"/>
  <c r="AA39" i="56"/>
  <c r="P16" i="5"/>
  <c r="O16" i="5" s="1"/>
  <c r="X17" i="5"/>
  <c r="AK16" i="5"/>
  <c r="AM16" i="5" s="1"/>
  <c r="AJ17" i="5" s="1"/>
  <c r="AA17" i="5"/>
  <c r="Z17" i="5" s="1"/>
  <c r="O1" i="41"/>
  <c r="CI1" i="41"/>
  <c r="AM305" i="5" l="1"/>
  <c r="AJ306" i="5"/>
  <c r="AB305" i="5"/>
  <c r="Y306" i="5"/>
  <c r="N307" i="5"/>
  <c r="CJ13" i="5"/>
  <c r="CI13" i="5" s="1"/>
  <c r="CK13" i="5" s="1"/>
  <c r="BT13" i="5"/>
  <c r="BU13" i="5" s="1"/>
  <c r="AI17" i="5"/>
  <c r="CW52" i="5"/>
  <c r="BB1" i="19"/>
  <c r="BA8" i="19"/>
  <c r="BA14" i="19"/>
  <c r="BA13" i="19"/>
  <c r="BA10" i="19"/>
  <c r="BA9" i="19"/>
  <c r="BA12" i="19"/>
  <c r="BA16" i="19"/>
  <c r="BA11" i="19"/>
  <c r="BA15" i="19"/>
  <c r="AA40" i="56"/>
  <c r="X18" i="5"/>
  <c r="Q16" i="5"/>
  <c r="N17" i="5" s="1"/>
  <c r="M17" i="5"/>
  <c r="AL17" i="5"/>
  <c r="AK17" i="5" s="1"/>
  <c r="AB17" i="5"/>
  <c r="Y18" i="5" s="1"/>
  <c r="P1" i="41"/>
  <c r="CJ1" i="41"/>
  <c r="G9" i="45"/>
  <c r="H9" i="45" s="1"/>
  <c r="A8" i="33"/>
  <c r="A28" i="33" s="1"/>
  <c r="W6" i="19" s="1"/>
  <c r="A9" i="33"/>
  <c r="A29" i="33" s="1"/>
  <c r="W7" i="19" s="1"/>
  <c r="A6" i="33"/>
  <c r="A26" i="33" s="1"/>
  <c r="W4" i="19" s="1"/>
  <c r="A7" i="33"/>
  <c r="A27" i="33" s="1"/>
  <c r="W5" i="19" s="1"/>
  <c r="X5" i="19" l="1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AL306" i="5"/>
  <c r="AK306" i="5" s="1"/>
  <c r="P307" i="5"/>
  <c r="O307" i="5"/>
  <c r="Q307" i="5" s="1"/>
  <c r="AA306" i="5"/>
  <c r="Z306" i="5" s="1"/>
  <c r="CG14" i="5"/>
  <c r="CH14" i="5" s="1"/>
  <c r="CC13" i="5"/>
  <c r="CW53" i="5"/>
  <c r="BC1" i="19"/>
  <c r="BB4" i="19"/>
  <c r="BB8" i="19"/>
  <c r="BB11" i="19"/>
  <c r="BB14" i="19"/>
  <c r="BB7" i="19"/>
  <c r="BB13" i="19"/>
  <c r="BB5" i="19"/>
  <c r="BB15" i="19"/>
  <c r="BB16" i="19"/>
  <c r="BB10" i="19"/>
  <c r="BB9" i="19"/>
  <c r="BB6" i="19"/>
  <c r="BB12" i="19"/>
  <c r="AA41" i="56"/>
  <c r="P17" i="5"/>
  <c r="O17" i="5" s="1"/>
  <c r="Q17" i="5" s="1"/>
  <c r="N18" i="5" s="1"/>
  <c r="AM17" i="5"/>
  <c r="AJ18" i="5" s="1"/>
  <c r="AI18" i="5"/>
  <c r="AA18" i="5"/>
  <c r="Z18" i="5" s="1"/>
  <c r="X19" i="5" s="1"/>
  <c r="Q1" i="41"/>
  <c r="CK1" i="41"/>
  <c r="G10" i="45"/>
  <c r="H10" i="45" s="1"/>
  <c r="AB306" i="5" l="1"/>
  <c r="Y307" i="5"/>
  <c r="AM306" i="5"/>
  <c r="AJ307" i="5" s="1"/>
  <c r="N308" i="5"/>
  <c r="CP14" i="5"/>
  <c r="BW13" i="5"/>
  <c r="BV13" i="5" s="1"/>
  <c r="BX13" i="5" s="1"/>
  <c r="M18" i="5"/>
  <c r="CW54" i="5"/>
  <c r="BD1" i="19"/>
  <c r="BC5" i="19"/>
  <c r="BC9" i="19"/>
  <c r="BC15" i="19"/>
  <c r="BC7" i="19"/>
  <c r="BC4" i="19"/>
  <c r="BC8" i="19"/>
  <c r="BC11" i="19"/>
  <c r="BC14" i="19"/>
  <c r="BC12" i="19"/>
  <c r="BC6" i="19"/>
  <c r="BC13" i="19"/>
  <c r="BC10" i="19"/>
  <c r="BC16" i="19"/>
  <c r="AA42" i="56"/>
  <c r="P18" i="5"/>
  <c r="O18" i="5" s="1"/>
  <c r="AL18" i="5"/>
  <c r="AK18" i="5" s="1"/>
  <c r="AM18" i="5" s="1"/>
  <c r="AB18" i="5"/>
  <c r="Y19" i="5" s="1"/>
  <c r="R1" i="41"/>
  <c r="CL1" i="41"/>
  <c r="A2" i="31"/>
  <c r="A82" i="33"/>
  <c r="A84" i="33"/>
  <c r="A85" i="33"/>
  <c r="E33" i="41"/>
  <c r="F33" i="41" s="1"/>
  <c r="G33" i="41" s="1"/>
  <c r="H33" i="41" s="1"/>
  <c r="I33" i="41" s="1"/>
  <c r="J33" i="41" s="1"/>
  <c r="K33" i="41" s="1"/>
  <c r="L33" i="41" s="1"/>
  <c r="M33" i="41" s="1"/>
  <c r="N33" i="41" s="1"/>
  <c r="O33" i="41" s="1"/>
  <c r="P33" i="41" s="1"/>
  <c r="E32" i="41"/>
  <c r="F32" i="41" s="1"/>
  <c r="G32" i="41" s="1"/>
  <c r="H32" i="41" s="1"/>
  <c r="I32" i="41" s="1"/>
  <c r="J32" i="41" s="1"/>
  <c r="K32" i="41" s="1"/>
  <c r="L32" i="41" s="1"/>
  <c r="M32" i="41" s="1"/>
  <c r="N32" i="41" s="1"/>
  <c r="O32" i="41" s="1"/>
  <c r="P32" i="41" s="1"/>
  <c r="E31" i="41"/>
  <c r="F31" i="41" s="1"/>
  <c r="G31" i="41" s="1"/>
  <c r="H31" i="41" s="1"/>
  <c r="I31" i="41" s="1"/>
  <c r="J31" i="41" s="1"/>
  <c r="K31" i="41" s="1"/>
  <c r="L31" i="41" s="1"/>
  <c r="M31" i="41" s="1"/>
  <c r="N31" i="41" s="1"/>
  <c r="O31" i="41" s="1"/>
  <c r="P31" i="41" s="1"/>
  <c r="E29" i="41"/>
  <c r="F29" i="41" s="1"/>
  <c r="G29" i="41" s="1"/>
  <c r="H29" i="41" s="1"/>
  <c r="I29" i="41" s="1"/>
  <c r="J29" i="41" s="1"/>
  <c r="K29" i="41" s="1"/>
  <c r="L29" i="41" s="1"/>
  <c r="M29" i="41" s="1"/>
  <c r="N29" i="41" s="1"/>
  <c r="O29" i="41" s="1"/>
  <c r="P29" i="41" s="1"/>
  <c r="E27" i="41"/>
  <c r="F27" i="41" s="1"/>
  <c r="E26" i="41"/>
  <c r="E14" i="41"/>
  <c r="E12" i="41"/>
  <c r="E9" i="41"/>
  <c r="E7" i="41"/>
  <c r="E6" i="41"/>
  <c r="E5" i="41"/>
  <c r="E4" i="41"/>
  <c r="AJ308" i="5" l="1"/>
  <c r="AL307" i="5"/>
  <c r="AK307" i="5"/>
  <c r="AM307" i="5" s="1"/>
  <c r="P308" i="5"/>
  <c r="O308" i="5" s="1"/>
  <c r="Z307" i="5"/>
  <c r="AB307" i="5" s="1"/>
  <c r="AA307" i="5"/>
  <c r="CJ14" i="5"/>
  <c r="CI14" i="5" s="1"/>
  <c r="BT14" i="5"/>
  <c r="BU14" i="5" s="1"/>
  <c r="CW55" i="5"/>
  <c r="BE1" i="19"/>
  <c r="BD5" i="19"/>
  <c r="BD9" i="19"/>
  <c r="BD15" i="19"/>
  <c r="BD14" i="19"/>
  <c r="BD4" i="19"/>
  <c r="BD8" i="19"/>
  <c r="BD11" i="19"/>
  <c r="BD7" i="19"/>
  <c r="BD12" i="19"/>
  <c r="BD6" i="19"/>
  <c r="BD16" i="19"/>
  <c r="BD13" i="19"/>
  <c r="BD10" i="19"/>
  <c r="AA43" i="56"/>
  <c r="M19" i="5"/>
  <c r="Q18" i="5"/>
  <c r="N19" i="5" s="1"/>
  <c r="AJ19" i="5"/>
  <c r="AI19" i="5"/>
  <c r="AA19" i="5"/>
  <c r="Z19" i="5" s="1"/>
  <c r="S1" i="41"/>
  <c r="CM1" i="41"/>
  <c r="G8" i="45"/>
  <c r="H8" i="45" s="1"/>
  <c r="C35" i="47"/>
  <c r="C31" i="47"/>
  <c r="G11" i="45"/>
  <c r="H11" i="45" s="1"/>
  <c r="G5" i="45"/>
  <c r="H5" i="45" s="1"/>
  <c r="G4" i="45"/>
  <c r="H4" i="45" s="1"/>
  <c r="F9" i="41"/>
  <c r="F4" i="41"/>
  <c r="F5" i="41"/>
  <c r="F6" i="41"/>
  <c r="F7" i="41"/>
  <c r="F12" i="41"/>
  <c r="F14" i="41"/>
  <c r="F26" i="41"/>
  <c r="G27" i="41"/>
  <c r="Q308" i="5" l="1"/>
  <c r="N309" i="5"/>
  <c r="AL308" i="5"/>
  <c r="AK308" i="5" s="1"/>
  <c r="Y308" i="5"/>
  <c r="CK14" i="5"/>
  <c r="CG15" i="5"/>
  <c r="CC14" i="5"/>
  <c r="CW56" i="5"/>
  <c r="BF1" i="19"/>
  <c r="BE11" i="19"/>
  <c r="BE5" i="19"/>
  <c r="BE9" i="19"/>
  <c r="BE15" i="19"/>
  <c r="BE8" i="19"/>
  <c r="BE4" i="19"/>
  <c r="BE14" i="19"/>
  <c r="BE10" i="19"/>
  <c r="BE6" i="19"/>
  <c r="BE7" i="19"/>
  <c r="BE12" i="19"/>
  <c r="BE16" i="19"/>
  <c r="BE13" i="19"/>
  <c r="AA44" i="56"/>
  <c r="P19" i="5"/>
  <c r="O19" i="5" s="1"/>
  <c r="Q19" i="5" s="1"/>
  <c r="AL19" i="5"/>
  <c r="AK19" i="5" s="1"/>
  <c r="AB19" i="5"/>
  <c r="Y20" i="5" s="1"/>
  <c r="X20" i="5"/>
  <c r="T1" i="41"/>
  <c r="CN1" i="41"/>
  <c r="H12" i="45"/>
  <c r="L4" i="45" s="1"/>
  <c r="H27" i="41"/>
  <c r="G26" i="41"/>
  <c r="G9" i="41"/>
  <c r="G7" i="41"/>
  <c r="G5" i="41"/>
  <c r="G14" i="41"/>
  <c r="G12" i="41"/>
  <c r="G6" i="41"/>
  <c r="G4" i="41"/>
  <c r="AM308" i="5" l="1"/>
  <c r="AJ309" i="5" s="1"/>
  <c r="P309" i="5"/>
  <c r="O309" i="5"/>
  <c r="Q309" i="5" s="1"/>
  <c r="N310" i="5"/>
  <c r="AA308" i="5"/>
  <c r="Z308" i="5" s="1"/>
  <c r="CH15" i="5"/>
  <c r="CP15" i="5"/>
  <c r="BW14" i="5"/>
  <c r="BV14" i="5" s="1"/>
  <c r="BX14" i="5" s="1"/>
  <c r="CW57" i="5"/>
  <c r="BG1" i="19"/>
  <c r="BF6" i="19"/>
  <c r="BF10" i="19"/>
  <c r="BF12" i="19"/>
  <c r="BF16" i="19"/>
  <c r="BF4" i="19"/>
  <c r="BF8" i="19"/>
  <c r="BF5" i="19"/>
  <c r="BF9" i="19"/>
  <c r="BF15" i="19"/>
  <c r="BF13" i="19"/>
  <c r="BF7" i="19"/>
  <c r="BF11" i="19"/>
  <c r="BF14" i="19"/>
  <c r="AA45" i="56"/>
  <c r="N20" i="5"/>
  <c r="M20" i="5"/>
  <c r="AI20" i="5"/>
  <c r="AM19" i="5"/>
  <c r="AJ20" i="5" s="1"/>
  <c r="AL20" i="5" s="1"/>
  <c r="AA20" i="5"/>
  <c r="Z20" i="5" s="1"/>
  <c r="U1" i="41"/>
  <c r="CO1" i="41"/>
  <c r="H5" i="41"/>
  <c r="H7" i="41"/>
  <c r="H9" i="41"/>
  <c r="H26" i="41"/>
  <c r="I27" i="41"/>
  <c r="H4" i="41"/>
  <c r="H6" i="41"/>
  <c r="H12" i="41"/>
  <c r="H14" i="41"/>
  <c r="AB308" i="5" l="1"/>
  <c r="Y309" i="5"/>
  <c r="AL309" i="5"/>
  <c r="AK309" i="5" s="1"/>
  <c r="N311" i="5"/>
  <c r="O310" i="5"/>
  <c r="Q310" i="5" s="1"/>
  <c r="P310" i="5"/>
  <c r="CJ15" i="5"/>
  <c r="CI15" i="5" s="1"/>
  <c r="BT15" i="5"/>
  <c r="BU15" i="5" s="1"/>
  <c r="CW58" i="5"/>
  <c r="BH1" i="19"/>
  <c r="BG6" i="19"/>
  <c r="BG10" i="19"/>
  <c r="BG12" i="19"/>
  <c r="BG16" i="19"/>
  <c r="BG15" i="19"/>
  <c r="BG5" i="19"/>
  <c r="BG9" i="19"/>
  <c r="BG13" i="19"/>
  <c r="BG7" i="19"/>
  <c r="BG11" i="19"/>
  <c r="BG8" i="19"/>
  <c r="BG4" i="19"/>
  <c r="BG14" i="19"/>
  <c r="AA46" i="56"/>
  <c r="P20" i="5"/>
  <c r="O20" i="5" s="1"/>
  <c r="AK20" i="5"/>
  <c r="AM20" i="5" s="1"/>
  <c r="AJ21" i="5" s="1"/>
  <c r="AB20" i="5"/>
  <c r="Y21" i="5" s="1"/>
  <c r="X21" i="5"/>
  <c r="V1" i="41"/>
  <c r="CP1" i="41"/>
  <c r="I14" i="41"/>
  <c r="I12" i="41"/>
  <c r="I6" i="41"/>
  <c r="I4" i="41"/>
  <c r="J27" i="41"/>
  <c r="I26" i="41"/>
  <c r="I9" i="41"/>
  <c r="I7" i="41"/>
  <c r="I5" i="41"/>
  <c r="G6" i="2"/>
  <c r="AM309" i="5" l="1"/>
  <c r="AJ310" i="5"/>
  <c r="P311" i="5"/>
  <c r="O311" i="5" s="1"/>
  <c r="Y310" i="5"/>
  <c r="AA309" i="5"/>
  <c r="Z309" i="5"/>
  <c r="AB309" i="5" s="1"/>
  <c r="CK15" i="5"/>
  <c r="CG16" i="5"/>
  <c r="CC15" i="5"/>
  <c r="AI21" i="5"/>
  <c r="Q20" i="5"/>
  <c r="N21" i="5" s="1"/>
  <c r="CW59" i="5"/>
  <c r="BI1" i="19"/>
  <c r="BH6" i="19"/>
  <c r="BH10" i="19"/>
  <c r="BH12" i="19"/>
  <c r="BH16" i="19"/>
  <c r="BH5" i="19"/>
  <c r="BH9" i="19"/>
  <c r="BH15" i="19"/>
  <c r="BH13" i="19"/>
  <c r="BH11" i="19"/>
  <c r="BH8" i="19"/>
  <c r="BH7" i="19"/>
  <c r="BH4" i="19"/>
  <c r="BH14" i="19"/>
  <c r="AA47" i="56"/>
  <c r="M21" i="5"/>
  <c r="AL21" i="5"/>
  <c r="AA21" i="5"/>
  <c r="Z21" i="5" s="1"/>
  <c r="W1" i="41"/>
  <c r="CQ1" i="41"/>
  <c r="G8" i="2"/>
  <c r="J5" i="41"/>
  <c r="J7" i="41"/>
  <c r="J9" i="41"/>
  <c r="J26" i="41"/>
  <c r="K27" i="41"/>
  <c r="J4" i="41"/>
  <c r="J6" i="41"/>
  <c r="J12" i="41"/>
  <c r="J14" i="41"/>
  <c r="Q311" i="5" l="1"/>
  <c r="N312" i="5"/>
  <c r="AA310" i="5"/>
  <c r="Z310" i="5" s="1"/>
  <c r="AL310" i="5"/>
  <c r="AK310" i="5" s="1"/>
  <c r="CH16" i="5"/>
  <c r="CP16" i="5"/>
  <c r="BW15" i="5"/>
  <c r="BV15" i="5" s="1"/>
  <c r="BX15" i="5" s="1"/>
  <c r="P21" i="5"/>
  <c r="O21" i="5" s="1"/>
  <c r="CX59" i="5"/>
  <c r="CW60" i="5"/>
  <c r="BJ1" i="19"/>
  <c r="BI7" i="19"/>
  <c r="BI13" i="19"/>
  <c r="BI9" i="19"/>
  <c r="BI5" i="19"/>
  <c r="BI6" i="19"/>
  <c r="BI10" i="19"/>
  <c r="BI12" i="19"/>
  <c r="BI16" i="19"/>
  <c r="BI14" i="19"/>
  <c r="BI4" i="19"/>
  <c r="BI8" i="19"/>
  <c r="BI11" i="19"/>
  <c r="BI15" i="19"/>
  <c r="AA48" i="56"/>
  <c r="AK21" i="5"/>
  <c r="AI22" i="5" s="1"/>
  <c r="AB21" i="5"/>
  <c r="Y22" i="5" s="1"/>
  <c r="X22" i="5"/>
  <c r="X1" i="41"/>
  <c r="CR1" i="41"/>
  <c r="K14" i="41"/>
  <c r="K12" i="41"/>
  <c r="K6" i="41"/>
  <c r="K4" i="41"/>
  <c r="L27" i="41"/>
  <c r="K26" i="41"/>
  <c r="K9" i="41"/>
  <c r="K7" i="41"/>
  <c r="K5" i="41"/>
  <c r="A2" i="17"/>
  <c r="A3" i="17" s="1"/>
  <c r="AB310" i="5" l="1"/>
  <c r="Y311" i="5"/>
  <c r="AM310" i="5"/>
  <c r="AJ311" i="5"/>
  <c r="P312" i="5"/>
  <c r="O312" i="5"/>
  <c r="Q312" i="5" s="1"/>
  <c r="CJ16" i="5"/>
  <c r="CI16" i="5" s="1"/>
  <c r="CK16" i="5" s="1"/>
  <c r="BT16" i="5"/>
  <c r="BU16" i="5" s="1"/>
  <c r="M22" i="5"/>
  <c r="Q21" i="5"/>
  <c r="N22" i="5" s="1"/>
  <c r="CX60" i="5"/>
  <c r="CW61" i="5"/>
  <c r="BK1" i="19"/>
  <c r="BJ7" i="19"/>
  <c r="BJ13" i="19"/>
  <c r="BJ12" i="19"/>
  <c r="BJ16" i="19"/>
  <c r="BJ6" i="19"/>
  <c r="BJ10" i="19"/>
  <c r="BJ14" i="19"/>
  <c r="BJ5" i="19"/>
  <c r="BJ4" i="19"/>
  <c r="BJ9" i="19"/>
  <c r="BJ11" i="19"/>
  <c r="BJ8" i="19"/>
  <c r="BJ15" i="19"/>
  <c r="AA49" i="56"/>
  <c r="P22" i="5"/>
  <c r="O22" i="5" s="1"/>
  <c r="AM21" i="5"/>
  <c r="AJ22" i="5" s="1"/>
  <c r="AA22" i="5"/>
  <c r="Z22" i="5" s="1"/>
  <c r="X23" i="5" s="1"/>
  <c r="J4" i="50"/>
  <c r="A3" i="52"/>
  <c r="Y1" i="41"/>
  <c r="CS1" i="41"/>
  <c r="B12" i="24"/>
  <c r="AA11" i="24"/>
  <c r="L7" i="41"/>
  <c r="L26" i="41"/>
  <c r="M27" i="41"/>
  <c r="L4" i="41"/>
  <c r="L6" i="41"/>
  <c r="L12" i="41"/>
  <c r="L14" i="41"/>
  <c r="L5" i="41"/>
  <c r="L9" i="41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4" i="52" l="1"/>
  <c r="N313" i="5"/>
  <c r="AL311" i="5"/>
  <c r="AK311" i="5" s="1"/>
  <c r="AA311" i="5"/>
  <c r="Z311" i="5"/>
  <c r="AB311" i="5" s="1"/>
  <c r="CG17" i="5"/>
  <c r="CH17" i="5" s="1"/>
  <c r="CC16" i="5"/>
  <c r="M23" i="5"/>
  <c r="CW62" i="5"/>
  <c r="CX61" i="5"/>
  <c r="BL1" i="19"/>
  <c r="BK10" i="19"/>
  <c r="BK12" i="19"/>
  <c r="BK7" i="19"/>
  <c r="BK13" i="19"/>
  <c r="BK6" i="19"/>
  <c r="BK16" i="19"/>
  <c r="BK8" i="19"/>
  <c r="BK15" i="19"/>
  <c r="BK11" i="19"/>
  <c r="BK5" i="19"/>
  <c r="BK14" i="19"/>
  <c r="BK9" i="19"/>
  <c r="BK4" i="19"/>
  <c r="AA50" i="56"/>
  <c r="AL22" i="5"/>
  <c r="AK22" i="5" s="1"/>
  <c r="AB22" i="5"/>
  <c r="Y23" i="5" s="1"/>
  <c r="Q22" i="5"/>
  <c r="N23" i="5" s="1"/>
  <c r="ES4" i="50"/>
  <c r="DI4" i="50"/>
  <c r="EM4" i="50"/>
  <c r="EY4" i="50"/>
  <c r="J5" i="50"/>
  <c r="A4" i="51" s="1"/>
  <c r="A3" i="51"/>
  <c r="Z1" i="41"/>
  <c r="CT1" i="41"/>
  <c r="B13" i="24"/>
  <c r="AA12" i="24"/>
  <c r="M14" i="41"/>
  <c r="M12" i="41"/>
  <c r="M6" i="41"/>
  <c r="M4" i="41"/>
  <c r="N27" i="41"/>
  <c r="M26" i="41"/>
  <c r="M7" i="41"/>
  <c r="M9" i="41"/>
  <c r="M5" i="41"/>
  <c r="A35" i="17"/>
  <c r="G12" i="14"/>
  <c r="C12" i="50" s="1"/>
  <c r="A3" i="19"/>
  <c r="C40" i="14"/>
  <c r="AM311" i="5" l="1"/>
  <c r="AJ312" i="5"/>
  <c r="Y312" i="5"/>
  <c r="P313" i="5"/>
  <c r="O313" i="5" s="1"/>
  <c r="CP17" i="5"/>
  <c r="BW16" i="5"/>
  <c r="BV16" i="5" s="1"/>
  <c r="BX16" i="5" s="1"/>
  <c r="CW63" i="5"/>
  <c r="CX62" i="5"/>
  <c r="BM1" i="19"/>
  <c r="BL4" i="19"/>
  <c r="BL8" i="19"/>
  <c r="BL11" i="19"/>
  <c r="BL14" i="19"/>
  <c r="BL10" i="19"/>
  <c r="BL7" i="19"/>
  <c r="BL13" i="19"/>
  <c r="BL6" i="19"/>
  <c r="BL15" i="19"/>
  <c r="BL5" i="19"/>
  <c r="BL9" i="19"/>
  <c r="BL12" i="19"/>
  <c r="BL16" i="19"/>
  <c r="AA51" i="56"/>
  <c r="P23" i="5"/>
  <c r="O23" i="5" s="1"/>
  <c r="Q23" i="5" s="1"/>
  <c r="AM22" i="5"/>
  <c r="AJ23" i="5" s="1"/>
  <c r="AI23" i="5"/>
  <c r="AA23" i="5"/>
  <c r="Z23" i="5" s="1"/>
  <c r="X24" i="5" s="1"/>
  <c r="DI5" i="50"/>
  <c r="EY5" i="50"/>
  <c r="ES5" i="50"/>
  <c r="EM5" i="50"/>
  <c r="J6" i="50"/>
  <c r="A5" i="52"/>
  <c r="U4" i="51"/>
  <c r="S4" i="51"/>
  <c r="S3" i="51"/>
  <c r="U3" i="51"/>
  <c r="BF4" i="50"/>
  <c r="D32" i="2"/>
  <c r="G32" i="2" s="1"/>
  <c r="AA1" i="41"/>
  <c r="CU1" i="41"/>
  <c r="B14" i="24"/>
  <c r="AA13" i="24"/>
  <c r="N5" i="41"/>
  <c r="N9" i="41"/>
  <c r="N7" i="41"/>
  <c r="N26" i="41"/>
  <c r="O27" i="41"/>
  <c r="N4" i="41"/>
  <c r="N6" i="41"/>
  <c r="N12" i="41"/>
  <c r="N14" i="41"/>
  <c r="A36" i="17"/>
  <c r="Q313" i="5" l="1"/>
  <c r="N314" i="5"/>
  <c r="AA312" i="5"/>
  <c r="Z312" i="5" s="1"/>
  <c r="AL312" i="5"/>
  <c r="AK312" i="5"/>
  <c r="AM312" i="5" s="1"/>
  <c r="CJ17" i="5"/>
  <c r="CI17" i="5" s="1"/>
  <c r="CK17" i="5" s="1"/>
  <c r="BT17" i="5"/>
  <c r="BU17" i="5" s="1"/>
  <c r="N24" i="5"/>
  <c r="P24" i="5" s="1"/>
  <c r="O24" i="5" s="1"/>
  <c r="CX63" i="5"/>
  <c r="CW64" i="5"/>
  <c r="BN1" i="19"/>
  <c r="BM4" i="19"/>
  <c r="BM8" i="19"/>
  <c r="BM11" i="19"/>
  <c r="BM14" i="19"/>
  <c r="BM7" i="19"/>
  <c r="BM13" i="19"/>
  <c r="BM16" i="19"/>
  <c r="BM10" i="19"/>
  <c r="BM15" i="19"/>
  <c r="BM9" i="19"/>
  <c r="BM6" i="19"/>
  <c r="BM5" i="19"/>
  <c r="BM12" i="19"/>
  <c r="AA52" i="56"/>
  <c r="AL23" i="5"/>
  <c r="AK23" i="5" s="1"/>
  <c r="AB23" i="5"/>
  <c r="Y24" i="5" s="1"/>
  <c r="M24" i="5"/>
  <c r="EY6" i="50"/>
  <c r="EM6" i="50"/>
  <c r="ES6" i="50"/>
  <c r="DI6" i="50"/>
  <c r="J7" i="50"/>
  <c r="A6" i="52"/>
  <c r="A5" i="51"/>
  <c r="D24" i="41"/>
  <c r="E24" i="41" s="1"/>
  <c r="F24" i="41" s="1"/>
  <c r="G24" i="41" s="1"/>
  <c r="H24" i="41" s="1"/>
  <c r="AB1" i="41"/>
  <c r="CV1" i="41"/>
  <c r="B15" i="24"/>
  <c r="AA14" i="24"/>
  <c r="O14" i="41"/>
  <c r="O6" i="41"/>
  <c r="P27" i="41"/>
  <c r="O7" i="41"/>
  <c r="O9" i="41"/>
  <c r="O5" i="41"/>
  <c r="O12" i="41"/>
  <c r="O4" i="41"/>
  <c r="O26" i="41"/>
  <c r="A37" i="17"/>
  <c r="B66" i="33"/>
  <c r="A66" i="33"/>
  <c r="AB312" i="5" l="1"/>
  <c r="Y313" i="5"/>
  <c r="AJ313" i="5"/>
  <c r="P314" i="5"/>
  <c r="O314" i="5" s="1"/>
  <c r="CG18" i="5"/>
  <c r="CH18" i="5" s="1"/>
  <c r="CC17" i="5"/>
  <c r="CX64" i="5"/>
  <c r="CW65" i="5"/>
  <c r="BO1" i="19"/>
  <c r="BN13" i="19"/>
  <c r="BN4" i="19"/>
  <c r="BN8" i="19"/>
  <c r="BN11" i="19"/>
  <c r="BN14" i="19"/>
  <c r="BN7" i="19"/>
  <c r="BN16" i="19"/>
  <c r="BN15" i="19"/>
  <c r="BN6" i="19"/>
  <c r="BN10" i="19"/>
  <c r="BN12" i="19"/>
  <c r="BN5" i="19"/>
  <c r="BN9" i="19"/>
  <c r="AA53" i="56"/>
  <c r="AA24" i="5"/>
  <c r="Z24" i="5" s="1"/>
  <c r="AB24" i="5" s="1"/>
  <c r="AI24" i="5"/>
  <c r="AM23" i="5"/>
  <c r="AJ24" i="5" s="1"/>
  <c r="Q24" i="5"/>
  <c r="N25" i="5" s="1"/>
  <c r="M25" i="5"/>
  <c r="A6" i="51"/>
  <c r="ES7" i="50"/>
  <c r="EM7" i="50"/>
  <c r="EY7" i="50"/>
  <c r="DI7" i="50"/>
  <c r="J8" i="50"/>
  <c r="A7" i="52"/>
  <c r="S5" i="51"/>
  <c r="U5" i="51"/>
  <c r="AC1" i="41"/>
  <c r="CW1" i="41"/>
  <c r="I24" i="41"/>
  <c r="B16" i="24"/>
  <c r="AA15" i="24"/>
  <c r="P9" i="41"/>
  <c r="P7" i="41"/>
  <c r="Q27" i="41"/>
  <c r="P6" i="41"/>
  <c r="P14" i="41"/>
  <c r="P26" i="41"/>
  <c r="P4" i="41"/>
  <c r="P12" i="41"/>
  <c r="P5" i="41"/>
  <c r="A38" i="17"/>
  <c r="Q314" i="5" l="1"/>
  <c r="N315" i="5" s="1"/>
  <c r="AL313" i="5"/>
  <c r="AK313" i="5" s="1"/>
  <c r="AA313" i="5"/>
  <c r="Z313" i="5" s="1"/>
  <c r="CP18" i="5"/>
  <c r="BW17" i="5"/>
  <c r="BV17" i="5" s="1"/>
  <c r="BX17" i="5" s="1"/>
  <c r="CX65" i="5"/>
  <c r="CW66" i="5"/>
  <c r="BP1" i="19"/>
  <c r="BO5" i="19"/>
  <c r="BO9" i="19"/>
  <c r="BO15" i="19"/>
  <c r="BO4" i="19"/>
  <c r="BO8" i="19"/>
  <c r="BO11" i="19"/>
  <c r="BO14" i="19"/>
  <c r="BO7" i="19"/>
  <c r="BO16" i="19"/>
  <c r="BO10" i="19"/>
  <c r="BO13" i="19"/>
  <c r="BO12" i="19"/>
  <c r="BO6" i="19"/>
  <c r="AA54" i="56"/>
  <c r="P25" i="5"/>
  <c r="O25" i="5" s="1"/>
  <c r="Q25" i="5" s="1"/>
  <c r="AL24" i="5"/>
  <c r="AK24" i="5" s="1"/>
  <c r="U6" i="51"/>
  <c r="S6" i="51"/>
  <c r="Y25" i="5"/>
  <c r="X25" i="5"/>
  <c r="EM8" i="50"/>
  <c r="ES8" i="50"/>
  <c r="EY8" i="50"/>
  <c r="A8" i="52"/>
  <c r="DI8" i="50"/>
  <c r="J9" i="50"/>
  <c r="A7" i="51"/>
  <c r="AD1" i="41"/>
  <c r="CX1" i="41"/>
  <c r="J24" i="41"/>
  <c r="B17" i="24"/>
  <c r="AA16" i="24"/>
  <c r="Q5" i="41"/>
  <c r="Q26" i="41"/>
  <c r="Q14" i="41"/>
  <c r="Q6" i="41"/>
  <c r="R27" i="41"/>
  <c r="Q7" i="41"/>
  <c r="Q9" i="41"/>
  <c r="Q12" i="41"/>
  <c r="Q4" i="41"/>
  <c r="A39" i="17"/>
  <c r="AB313" i="5" l="1"/>
  <c r="Y314" i="5"/>
  <c r="AM313" i="5"/>
  <c r="AJ314" i="5" s="1"/>
  <c r="P315" i="5"/>
  <c r="O315" i="5"/>
  <c r="Q315" i="5" s="1"/>
  <c r="CJ18" i="5"/>
  <c r="CI18" i="5" s="1"/>
  <c r="CK18" i="5" s="1"/>
  <c r="BT18" i="5"/>
  <c r="BU18" i="5" s="1"/>
  <c r="CX66" i="5"/>
  <c r="CW67" i="5"/>
  <c r="BP5" i="19"/>
  <c r="BP9" i="19"/>
  <c r="BP15" i="19"/>
  <c r="BP14" i="19"/>
  <c r="BP4" i="19"/>
  <c r="BP8" i="19"/>
  <c r="BP11" i="19"/>
  <c r="BP6" i="19"/>
  <c r="BP16" i="19"/>
  <c r="BP12" i="19"/>
  <c r="BP10" i="19"/>
  <c r="BP13" i="19"/>
  <c r="BP7" i="19"/>
  <c r="AA55" i="56"/>
  <c r="AA25" i="5"/>
  <c r="Z25" i="5" s="1"/>
  <c r="AM24" i="5"/>
  <c r="AJ25" i="5" s="1"/>
  <c r="AI25" i="5"/>
  <c r="M26" i="5"/>
  <c r="N26" i="5"/>
  <c r="A8" i="51"/>
  <c r="U8" i="51" s="1"/>
  <c r="EY9" i="50"/>
  <c r="ES9" i="50"/>
  <c r="EM9" i="50"/>
  <c r="DI9" i="50"/>
  <c r="J10" i="50"/>
  <c r="A9" i="52"/>
  <c r="U7" i="51"/>
  <c r="S7" i="51"/>
  <c r="AE1" i="41"/>
  <c r="CY1" i="41"/>
  <c r="K24" i="41"/>
  <c r="B18" i="24"/>
  <c r="AA17" i="24"/>
  <c r="R26" i="41"/>
  <c r="R5" i="41"/>
  <c r="R4" i="41"/>
  <c r="R12" i="41"/>
  <c r="R9" i="41"/>
  <c r="R7" i="41"/>
  <c r="S27" i="41"/>
  <c r="R6" i="41"/>
  <c r="R14" i="41"/>
  <c r="A40" i="17"/>
  <c r="AK314" i="5" l="1"/>
  <c r="AM314" i="5" s="1"/>
  <c r="AL314" i="5"/>
  <c r="AJ315" i="5"/>
  <c r="AA314" i="5"/>
  <c r="Z314" i="5" s="1"/>
  <c r="N316" i="5"/>
  <c r="CG19" i="5"/>
  <c r="CH19" i="5" s="1"/>
  <c r="CC18" i="5"/>
  <c r="X26" i="5"/>
  <c r="AB25" i="5"/>
  <c r="Y26" i="5" s="1"/>
  <c r="AA26" i="5" s="1"/>
  <c r="Z26" i="5" s="1"/>
  <c r="AB26" i="5" s="1"/>
  <c r="CX67" i="5"/>
  <c r="CW68" i="5"/>
  <c r="AA56" i="56"/>
  <c r="P26" i="5"/>
  <c r="O26" i="5" s="1"/>
  <c r="Q26" i="5" s="1"/>
  <c r="AL25" i="5"/>
  <c r="AK25" i="5" s="1"/>
  <c r="S8" i="51"/>
  <c r="A10" i="52"/>
  <c r="EM10" i="50"/>
  <c r="ES10" i="50"/>
  <c r="EY10" i="50"/>
  <c r="DI10" i="50"/>
  <c r="J11" i="50"/>
  <c r="A9" i="51"/>
  <c r="AF1" i="41"/>
  <c r="CZ1" i="41"/>
  <c r="L24" i="41"/>
  <c r="B19" i="24"/>
  <c r="AA18" i="24"/>
  <c r="S14" i="41"/>
  <c r="S6" i="41"/>
  <c r="T27" i="41"/>
  <c r="S7" i="41"/>
  <c r="S9" i="41"/>
  <c r="S12" i="41"/>
  <c r="S4" i="41"/>
  <c r="S5" i="41"/>
  <c r="S26" i="41"/>
  <c r="A41" i="17"/>
  <c r="AB314" i="5" l="1"/>
  <c r="Y315" i="5"/>
  <c r="P316" i="5"/>
  <c r="O316" i="5" s="1"/>
  <c r="AL315" i="5"/>
  <c r="AK315" i="5" s="1"/>
  <c r="CP19" i="5"/>
  <c r="BW18" i="5"/>
  <c r="BV18" i="5" s="1"/>
  <c r="BX18" i="5" s="1"/>
  <c r="CW69" i="5"/>
  <c r="CX68" i="5"/>
  <c r="AA57" i="56"/>
  <c r="AI26" i="5"/>
  <c r="AM25" i="5"/>
  <c r="AJ26" i="5" s="1"/>
  <c r="Y27" i="5"/>
  <c r="X27" i="5"/>
  <c r="N27" i="5"/>
  <c r="M27" i="5"/>
  <c r="A10" i="51"/>
  <c r="EY11" i="50"/>
  <c r="EM11" i="50"/>
  <c r="ES11" i="50"/>
  <c r="DI11" i="50"/>
  <c r="J12" i="50"/>
  <c r="A11" i="52"/>
  <c r="U9" i="51"/>
  <c r="S9" i="51"/>
  <c r="AG1" i="41"/>
  <c r="DA1" i="41"/>
  <c r="M24" i="41"/>
  <c r="B20" i="24"/>
  <c r="AA19" i="24"/>
  <c r="T5" i="41"/>
  <c r="T4" i="41"/>
  <c r="T12" i="41"/>
  <c r="T9" i="41"/>
  <c r="T7" i="41"/>
  <c r="U27" i="41"/>
  <c r="T6" i="41"/>
  <c r="T14" i="41"/>
  <c r="T26" i="41"/>
  <c r="A42" i="17"/>
  <c r="A4" i="35"/>
  <c r="A5" i="35" s="1"/>
  <c r="A6" i="35" s="1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12" i="52" l="1"/>
  <c r="Q316" i="5"/>
  <c r="N317" i="5" s="1"/>
  <c r="AM315" i="5"/>
  <c r="AJ316" i="5"/>
  <c r="AA315" i="5"/>
  <c r="Z315" i="5" s="1"/>
  <c r="CJ19" i="5"/>
  <c r="CI19" i="5" s="1"/>
  <c r="CK19" i="5" s="1"/>
  <c r="BT19" i="5"/>
  <c r="BU19" i="5" s="1"/>
  <c r="CX69" i="5"/>
  <c r="CW70" i="5"/>
  <c r="AA58" i="56"/>
  <c r="P27" i="5"/>
  <c r="O27" i="5" s="1"/>
  <c r="Q27" i="5" s="1"/>
  <c r="AL26" i="5"/>
  <c r="AK26" i="5" s="1"/>
  <c r="AA27" i="5"/>
  <c r="Z27" i="5" s="1"/>
  <c r="Q10" i="51"/>
  <c r="S10" i="51"/>
  <c r="U10" i="51"/>
  <c r="ES12" i="50"/>
  <c r="EM12" i="50"/>
  <c r="EY12" i="50"/>
  <c r="DI12" i="50"/>
  <c r="J13" i="50"/>
  <c r="A12" i="51" s="1"/>
  <c r="A11" i="51"/>
  <c r="AH1" i="41"/>
  <c r="DB1" i="41"/>
  <c r="N24" i="41"/>
  <c r="B21" i="24"/>
  <c r="AA20" i="24"/>
  <c r="U26" i="41"/>
  <c r="U14" i="41"/>
  <c r="U6" i="41"/>
  <c r="V27" i="41"/>
  <c r="U7" i="41"/>
  <c r="U9" i="41"/>
  <c r="U12" i="41"/>
  <c r="U4" i="41"/>
  <c r="U5" i="41"/>
  <c r="A43" i="17"/>
  <c r="AJ2" i="37"/>
  <c r="A68" i="33"/>
  <c r="Z12" i="34"/>
  <c r="AJ15" i="37" l="1"/>
  <c r="AJ27" i="37"/>
  <c r="AJ14" i="37"/>
  <c r="AJ28" i="37"/>
  <c r="AJ57" i="37" s="1"/>
  <c r="AJ16" i="37"/>
  <c r="AJ45" i="37" s="1"/>
  <c r="EA3" i="37" s="1"/>
  <c r="AJ18" i="37"/>
  <c r="AJ47" i="37" s="1"/>
  <c r="EC3" i="37" s="1"/>
  <c r="AJ4" i="37"/>
  <c r="AJ33" i="37" s="1"/>
  <c r="AJ19" i="37"/>
  <c r="AJ48" i="37" s="1"/>
  <c r="ED3" i="37" s="1"/>
  <c r="AJ5" i="37"/>
  <c r="AJ34" i="37" s="1"/>
  <c r="AJ20" i="37"/>
  <c r="AJ49" i="37" s="1"/>
  <c r="EE3" i="37" s="1"/>
  <c r="AJ21" i="37"/>
  <c r="AJ50" i="37" s="1"/>
  <c r="EF3" i="37" s="1"/>
  <c r="AJ22" i="37"/>
  <c r="AJ51" i="37" s="1"/>
  <c r="EG3" i="37" s="1"/>
  <c r="AJ23" i="37"/>
  <c r="AJ6" i="37"/>
  <c r="AJ24" i="37"/>
  <c r="AJ7" i="37"/>
  <c r="AJ36" i="37" s="1"/>
  <c r="AJ25" i="37"/>
  <c r="AJ8" i="37"/>
  <c r="AJ26" i="37"/>
  <c r="AJ55" i="37" s="1"/>
  <c r="EK3" i="37" s="1"/>
  <c r="AJ9" i="37"/>
  <c r="AJ38" i="37" s="1"/>
  <c r="DT3" i="37" s="1"/>
  <c r="AJ10" i="37"/>
  <c r="AJ39" i="37" s="1"/>
  <c r="DU3" i="37" s="1"/>
  <c r="AJ11" i="37"/>
  <c r="AJ40" i="37" s="1"/>
  <c r="DV3" i="37" s="1"/>
  <c r="AJ12" i="37"/>
  <c r="AJ41" i="37" s="1"/>
  <c r="DW3" i="37" s="1"/>
  <c r="AJ13" i="37"/>
  <c r="AJ42" i="37" s="1"/>
  <c r="DX3" i="37" s="1"/>
  <c r="AJ17" i="37"/>
  <c r="AJ3" i="37"/>
  <c r="A13" i="52"/>
  <c r="O317" i="5"/>
  <c r="Q317" i="5" s="1"/>
  <c r="P317" i="5"/>
  <c r="N318" i="5"/>
  <c r="AB315" i="5"/>
  <c r="Y316" i="5"/>
  <c r="AL316" i="5"/>
  <c r="AK316" i="5" s="1"/>
  <c r="CG20" i="5"/>
  <c r="CH20" i="5" s="1"/>
  <c r="CC19" i="5"/>
  <c r="CW71" i="5"/>
  <c r="CX70" i="5"/>
  <c r="AJ31" i="37"/>
  <c r="AJ35" i="37"/>
  <c r="AJ46" i="37"/>
  <c r="EB3" i="37" s="1"/>
  <c r="AJ37" i="37"/>
  <c r="DS3" i="37" s="1"/>
  <c r="AJ56" i="37"/>
  <c r="EL3" i="37" s="1"/>
  <c r="AJ43" i="37"/>
  <c r="DY3" i="37" s="1"/>
  <c r="AJ44" i="37"/>
  <c r="DZ3" i="37" s="1"/>
  <c r="AJ54" i="37"/>
  <c r="EJ3" i="37" s="1"/>
  <c r="AJ52" i="37"/>
  <c r="EH3" i="37" s="1"/>
  <c r="AJ53" i="37"/>
  <c r="EI3" i="37" s="1"/>
  <c r="AA59" i="56"/>
  <c r="AM26" i="5"/>
  <c r="AJ27" i="5" s="1"/>
  <c r="AI27" i="5"/>
  <c r="AB27" i="5"/>
  <c r="Y28" i="5" s="1"/>
  <c r="X28" i="5"/>
  <c r="M28" i="5"/>
  <c r="N28" i="5"/>
  <c r="Q11" i="51"/>
  <c r="U11" i="51"/>
  <c r="S11" i="51"/>
  <c r="U12" i="51"/>
  <c r="Q12" i="51"/>
  <c r="S12" i="51"/>
  <c r="B19" i="33"/>
  <c r="B7" i="33"/>
  <c r="B27" i="33" s="1"/>
  <c r="B20" i="33"/>
  <c r="B8" i="33"/>
  <c r="B28" i="33" s="1"/>
  <c r="B9" i="33"/>
  <c r="B29" i="33" s="1"/>
  <c r="B10" i="33"/>
  <c r="B30" i="33" s="1"/>
  <c r="B11" i="33"/>
  <c r="B31" i="33" s="1"/>
  <c r="B12" i="33"/>
  <c r="B32" i="33" s="1"/>
  <c r="B13" i="33"/>
  <c r="B33" i="33" s="1"/>
  <c r="B15" i="33"/>
  <c r="B35" i="33" s="1"/>
  <c r="B16" i="33"/>
  <c r="B36" i="33" s="1"/>
  <c r="B17" i="33"/>
  <c r="B37" i="33" s="1"/>
  <c r="B18" i="33"/>
  <c r="B38" i="33" s="1"/>
  <c r="EM13" i="50"/>
  <c r="EY13" i="50"/>
  <c r="ES13" i="50"/>
  <c r="DI13" i="50"/>
  <c r="J14" i="50"/>
  <c r="A13" i="51" s="1"/>
  <c r="AI1" i="41"/>
  <c r="DC1" i="41"/>
  <c r="O24" i="41"/>
  <c r="B22" i="24"/>
  <c r="AA21" i="24"/>
  <c r="V4" i="41"/>
  <c r="V9" i="41"/>
  <c r="V7" i="41"/>
  <c r="W27" i="41"/>
  <c r="V6" i="41"/>
  <c r="V14" i="41"/>
  <c r="V26" i="41"/>
  <c r="V5" i="41"/>
  <c r="V12" i="41"/>
  <c r="A44" i="17"/>
  <c r="B74" i="33"/>
  <c r="B75" i="33"/>
  <c r="B76" i="33"/>
  <c r="B77" i="33"/>
  <c r="B79" i="33"/>
  <c r="B80" i="33"/>
  <c r="B81" i="33"/>
  <c r="B73" i="33"/>
  <c r="A52" i="33"/>
  <c r="A83" i="33" s="1"/>
  <c r="A43" i="33"/>
  <c r="A74" i="33" s="1"/>
  <c r="A44" i="33"/>
  <c r="A75" i="33" s="1"/>
  <c r="A45" i="33"/>
  <c r="A76" i="33" s="1"/>
  <c r="A46" i="33"/>
  <c r="A77" i="33" s="1"/>
  <c r="A47" i="33"/>
  <c r="A78" i="33" s="1"/>
  <c r="A48" i="33"/>
  <c r="A79" i="33" s="1"/>
  <c r="A49" i="33"/>
  <c r="A80" i="33" s="1"/>
  <c r="A50" i="33"/>
  <c r="A81" i="33" s="1"/>
  <c r="A42" i="33"/>
  <c r="C2" i="33"/>
  <c r="AK2" i="37" s="1"/>
  <c r="A5" i="33"/>
  <c r="A25" i="33" s="1"/>
  <c r="W3" i="19" s="1"/>
  <c r="A4" i="33"/>
  <c r="A24" i="33" s="1"/>
  <c r="W2" i="19" s="1"/>
  <c r="X2" i="19" s="1"/>
  <c r="AK31" i="37" l="1"/>
  <c r="AK5" i="37"/>
  <c r="AK10" i="37"/>
  <c r="AK39" i="37" s="1"/>
  <c r="DU4" i="37" s="1"/>
  <c r="AK6" i="37"/>
  <c r="AK35" i="37" s="1"/>
  <c r="AK7" i="37"/>
  <c r="AK36" i="37" s="1"/>
  <c r="AK11" i="37"/>
  <c r="AK40" i="37" s="1"/>
  <c r="DV4" i="37" s="1"/>
  <c r="AK15" i="37"/>
  <c r="AK44" i="37" s="1"/>
  <c r="DZ4" i="37" s="1"/>
  <c r="AK26" i="37"/>
  <c r="AK55" i="37" s="1"/>
  <c r="EK4" i="37" s="1"/>
  <c r="AK22" i="37"/>
  <c r="AK51" i="37" s="1"/>
  <c r="EG4" i="37" s="1"/>
  <c r="AK18" i="37"/>
  <c r="AK47" i="37" s="1"/>
  <c r="EC4" i="37" s="1"/>
  <c r="AK25" i="37"/>
  <c r="AK54" i="37" s="1"/>
  <c r="EJ4" i="37" s="1"/>
  <c r="AK4" i="37"/>
  <c r="AK33" i="37" s="1"/>
  <c r="AK17" i="37"/>
  <c r="AK20" i="37"/>
  <c r="AK27" i="37"/>
  <c r="AK16" i="37"/>
  <c r="AK45" i="37" s="1"/>
  <c r="EA4" i="37" s="1"/>
  <c r="AK24" i="37"/>
  <c r="AK53" i="37" s="1"/>
  <c r="EI4" i="37" s="1"/>
  <c r="AK13" i="37"/>
  <c r="AK42" i="37" s="1"/>
  <c r="DX4" i="37" s="1"/>
  <c r="AK12" i="37"/>
  <c r="AK41" i="37" s="1"/>
  <c r="DW4" i="37" s="1"/>
  <c r="AK14" i="37"/>
  <c r="AK43" i="37" s="1"/>
  <c r="DY4" i="37" s="1"/>
  <c r="AK9" i="37"/>
  <c r="AK28" i="37"/>
  <c r="AK57" i="37" s="1"/>
  <c r="EM4" i="37" s="1"/>
  <c r="AK23" i="37"/>
  <c r="AK52" i="37" s="1"/>
  <c r="EH4" i="37" s="1"/>
  <c r="AK19" i="37"/>
  <c r="AK48" i="37" s="1"/>
  <c r="ED4" i="37" s="1"/>
  <c r="AK21" i="37"/>
  <c r="AK8" i="37"/>
  <c r="AK3" i="37"/>
  <c r="A14" i="52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AM316" i="5"/>
  <c r="AJ317" i="5"/>
  <c r="AA316" i="5"/>
  <c r="Z316" i="5" s="1"/>
  <c r="P318" i="5"/>
  <c r="O318" i="5"/>
  <c r="Q318" i="5" s="1"/>
  <c r="CP20" i="5"/>
  <c r="BW19" i="5"/>
  <c r="BV19" i="5" s="1"/>
  <c r="BX19" i="5" s="1"/>
  <c r="CX71" i="5"/>
  <c r="CW72" i="5"/>
  <c r="DO3" i="37"/>
  <c r="DP3" i="37"/>
  <c r="DR3" i="37"/>
  <c r="DQ3" i="37"/>
  <c r="EM3" i="37"/>
  <c r="AJ29" i="37"/>
  <c r="B53" i="33" s="1"/>
  <c r="AJ32" i="37"/>
  <c r="Z2" i="19"/>
  <c r="Y2" i="19"/>
  <c r="AA2" i="19"/>
  <c r="AB2" i="19"/>
  <c r="AC2" i="19"/>
  <c r="AD2" i="19"/>
  <c r="AE2" i="19"/>
  <c r="AF2" i="19"/>
  <c r="AG2" i="19"/>
  <c r="AH2" i="19"/>
  <c r="AI2" i="19"/>
  <c r="AJ2" i="19"/>
  <c r="AK2" i="19"/>
  <c r="AL2" i="19"/>
  <c r="AM2" i="19"/>
  <c r="AN2" i="19"/>
  <c r="AO2" i="19"/>
  <c r="AP2" i="19"/>
  <c r="AQ2" i="19"/>
  <c r="AR2" i="19"/>
  <c r="AS2" i="19"/>
  <c r="AT2" i="19"/>
  <c r="AU2" i="19"/>
  <c r="AV2" i="19"/>
  <c r="AW2" i="19"/>
  <c r="AX2" i="19"/>
  <c r="AY2" i="19"/>
  <c r="AZ2" i="19"/>
  <c r="BA2" i="19"/>
  <c r="BB2" i="19"/>
  <c r="BC2" i="19"/>
  <c r="BD2" i="19"/>
  <c r="BE2" i="19"/>
  <c r="BF2" i="19"/>
  <c r="BG2" i="19"/>
  <c r="BH2" i="19"/>
  <c r="BI2" i="19"/>
  <c r="BJ2" i="19"/>
  <c r="BK2" i="19"/>
  <c r="BL2" i="19"/>
  <c r="BM2" i="19"/>
  <c r="BN2" i="19"/>
  <c r="BO2" i="19"/>
  <c r="BP2" i="19"/>
  <c r="AK46" i="37"/>
  <c r="EB4" i="37" s="1"/>
  <c r="AK37" i="37"/>
  <c r="DS4" i="37" s="1"/>
  <c r="AK34" i="37"/>
  <c r="AK49" i="37"/>
  <c r="EE4" i="37" s="1"/>
  <c r="AK32" i="37"/>
  <c r="DN4" i="37" s="1"/>
  <c r="AK50" i="37"/>
  <c r="EF4" i="37" s="1"/>
  <c r="AK38" i="37"/>
  <c r="DT4" i="37" s="1"/>
  <c r="AK56" i="37"/>
  <c r="EL4" i="37" s="1"/>
  <c r="AA60" i="56"/>
  <c r="P28" i="5"/>
  <c r="O28" i="5" s="1"/>
  <c r="AL27" i="5"/>
  <c r="AK27" i="5" s="1"/>
  <c r="AA28" i="5"/>
  <c r="Z28" i="5" s="1"/>
  <c r="AB28" i="5" s="1"/>
  <c r="Q13" i="51"/>
  <c r="S13" i="51"/>
  <c r="U13" i="51"/>
  <c r="C9" i="33"/>
  <c r="C29" i="33" s="1"/>
  <c r="C13" i="33"/>
  <c r="C33" i="33" s="1"/>
  <c r="C18" i="33"/>
  <c r="C38" i="33" s="1"/>
  <c r="C8" i="33"/>
  <c r="C28" i="33" s="1"/>
  <c r="C15" i="33"/>
  <c r="C35" i="33" s="1"/>
  <c r="C16" i="33"/>
  <c r="C36" i="33" s="1"/>
  <c r="C7" i="33"/>
  <c r="C27" i="33" s="1"/>
  <c r="C17" i="33"/>
  <c r="C37" i="33" s="1"/>
  <c r="C19" i="33"/>
  <c r="C10" i="33"/>
  <c r="C30" i="33" s="1"/>
  <c r="C11" i="33"/>
  <c r="C31" i="33" s="1"/>
  <c r="C20" i="33"/>
  <c r="C12" i="33"/>
  <c r="C32" i="33" s="1"/>
  <c r="EY14" i="50"/>
  <c r="ES14" i="50"/>
  <c r="EM14" i="50"/>
  <c r="DI14" i="50"/>
  <c r="J15" i="50"/>
  <c r="A14" i="51" s="1"/>
  <c r="AJ1" i="41"/>
  <c r="DD1" i="41"/>
  <c r="P24" i="41"/>
  <c r="B23" i="24"/>
  <c r="A15" i="52" s="1"/>
  <c r="AA22" i="24"/>
  <c r="A57" i="33"/>
  <c r="O6" i="34" s="1"/>
  <c r="A73" i="33"/>
  <c r="W5" i="41"/>
  <c r="W26" i="41"/>
  <c r="W14" i="41"/>
  <c r="W6" i="41"/>
  <c r="X27" i="41"/>
  <c r="W7" i="41"/>
  <c r="W9" i="41"/>
  <c r="W4" i="41"/>
  <c r="W12" i="41"/>
  <c r="A45" i="17"/>
  <c r="B78" i="33"/>
  <c r="A65" i="33"/>
  <c r="O14" i="34" s="1"/>
  <c r="Z10" i="34"/>
  <c r="A63" i="33"/>
  <c r="O12" i="34" s="1"/>
  <c r="Z8" i="34"/>
  <c r="A61" i="33"/>
  <c r="O10" i="34" s="1"/>
  <c r="Z6" i="34"/>
  <c r="A59" i="33"/>
  <c r="O8" i="34" s="1"/>
  <c r="Z4" i="34"/>
  <c r="Z11" i="34"/>
  <c r="A67" i="33"/>
  <c r="A64" i="33"/>
  <c r="O13" i="34" s="1"/>
  <c r="Z9" i="34"/>
  <c r="A62" i="33"/>
  <c r="O11" i="34" s="1"/>
  <c r="Z7" i="34"/>
  <c r="A60" i="33"/>
  <c r="O9" i="34" s="1"/>
  <c r="Z5" i="34"/>
  <c r="A58" i="33"/>
  <c r="O7" i="34" s="1"/>
  <c r="Z3" i="34"/>
  <c r="D2" i="33"/>
  <c r="AL2" i="37" s="1"/>
  <c r="C1" i="33"/>
  <c r="AL31" i="37" l="1"/>
  <c r="AL14" i="37"/>
  <c r="AL5" i="37"/>
  <c r="AL34" i="37" s="1"/>
  <c r="AL19" i="37"/>
  <c r="AL48" i="37" s="1"/>
  <c r="ED5" i="37" s="1"/>
  <c r="AL7" i="37"/>
  <c r="AL11" i="37"/>
  <c r="AL15" i="37"/>
  <c r="AL44" i="37" s="1"/>
  <c r="DZ5" i="37" s="1"/>
  <c r="AL26" i="37"/>
  <c r="AL55" i="37" s="1"/>
  <c r="EK5" i="37" s="1"/>
  <c r="AL6" i="37"/>
  <c r="AL35" i="37" s="1"/>
  <c r="AL21" i="37"/>
  <c r="AL50" i="37" s="1"/>
  <c r="EF5" i="37" s="1"/>
  <c r="AL25" i="37"/>
  <c r="AL54" i="37" s="1"/>
  <c r="EJ5" i="37" s="1"/>
  <c r="AL4" i="37"/>
  <c r="AL20" i="37"/>
  <c r="AL49" i="37" s="1"/>
  <c r="EE5" i="37" s="1"/>
  <c r="AL17" i="37"/>
  <c r="AL22" i="37"/>
  <c r="AL27" i="37"/>
  <c r="AL56" i="37" s="1"/>
  <c r="EL5" i="37" s="1"/>
  <c r="AL16" i="37"/>
  <c r="AL24" i="37"/>
  <c r="AL53" i="37" s="1"/>
  <c r="EI5" i="37" s="1"/>
  <c r="AL13" i="37"/>
  <c r="AL42" i="37" s="1"/>
  <c r="DX5" i="37" s="1"/>
  <c r="AL18" i="37"/>
  <c r="AL47" i="37" s="1"/>
  <c r="EC5" i="37" s="1"/>
  <c r="AL12" i="37"/>
  <c r="AL8" i="37"/>
  <c r="AL37" i="37" s="1"/>
  <c r="DS5" i="37" s="1"/>
  <c r="AL28" i="37"/>
  <c r="AL57" i="37" s="1"/>
  <c r="EM5" i="37" s="1"/>
  <c r="AL10" i="37"/>
  <c r="AL39" i="37" s="1"/>
  <c r="DU5" i="37" s="1"/>
  <c r="AL23" i="37"/>
  <c r="AL9" i="37"/>
  <c r="AL3" i="37"/>
  <c r="AB316" i="5"/>
  <c r="Y317" i="5"/>
  <c r="AL317" i="5"/>
  <c r="AK317" i="5" s="1"/>
  <c r="N319" i="5"/>
  <c r="CJ20" i="5"/>
  <c r="CI20" i="5" s="1"/>
  <c r="BT20" i="5"/>
  <c r="BU20" i="5" s="1"/>
  <c r="CX72" i="5"/>
  <c r="CW73" i="5"/>
  <c r="DR4" i="37"/>
  <c r="DP4" i="37"/>
  <c r="AJ58" i="37"/>
  <c r="B68" i="33" s="1"/>
  <c r="DN3" i="37"/>
  <c r="DQ4" i="37"/>
  <c r="DO4" i="37"/>
  <c r="AK58" i="37"/>
  <c r="C68" i="33" s="1"/>
  <c r="AK29" i="37"/>
  <c r="C53" i="33" s="1"/>
  <c r="AL51" i="37"/>
  <c r="EG5" i="37" s="1"/>
  <c r="AL43" i="37"/>
  <c r="DY5" i="37" s="1"/>
  <c r="AL45" i="37"/>
  <c r="EA5" i="37" s="1"/>
  <c r="AL36" i="37"/>
  <c r="AL33" i="37"/>
  <c r="AL32" i="37"/>
  <c r="DN5" i="37" s="1"/>
  <c r="AL46" i="37"/>
  <c r="EB5" i="37" s="1"/>
  <c r="AL52" i="37"/>
  <c r="EH5" i="37" s="1"/>
  <c r="AL40" i="37"/>
  <c r="DV5" i="37" s="1"/>
  <c r="AL41" i="37"/>
  <c r="DW5" i="37" s="1"/>
  <c r="AA61" i="56"/>
  <c r="AM27" i="5"/>
  <c r="AJ28" i="5" s="1"/>
  <c r="AI28" i="5"/>
  <c r="X29" i="5"/>
  <c r="Y29" i="5"/>
  <c r="Q28" i="5"/>
  <c r="N29" i="5" s="1"/>
  <c r="M29" i="5"/>
  <c r="Q14" i="51"/>
  <c r="S14" i="51"/>
  <c r="U14" i="51"/>
  <c r="D9" i="33"/>
  <c r="D29" i="33" s="1"/>
  <c r="D13" i="33"/>
  <c r="D33" i="33" s="1"/>
  <c r="D18" i="33"/>
  <c r="D38" i="33" s="1"/>
  <c r="D8" i="33"/>
  <c r="D28" i="33" s="1"/>
  <c r="D12" i="33"/>
  <c r="D32" i="33" s="1"/>
  <c r="D17" i="33"/>
  <c r="D37" i="33" s="1"/>
  <c r="D15" i="33"/>
  <c r="D35" i="33" s="1"/>
  <c r="D16" i="33"/>
  <c r="D36" i="33" s="1"/>
  <c r="D7" i="33"/>
  <c r="D27" i="33" s="1"/>
  <c r="D19" i="33"/>
  <c r="D20" i="33"/>
  <c r="D11" i="33"/>
  <c r="D31" i="33" s="1"/>
  <c r="D10" i="33"/>
  <c r="D30" i="33" s="1"/>
  <c r="T3" i="19"/>
  <c r="C51" i="33"/>
  <c r="C66" i="33" s="1"/>
  <c r="C50" i="33"/>
  <c r="C65" i="33" s="1"/>
  <c r="EM15" i="50"/>
  <c r="ES15" i="50"/>
  <c r="EY15" i="50"/>
  <c r="DI15" i="50"/>
  <c r="C47" i="33"/>
  <c r="C62" i="33" s="1"/>
  <c r="C48" i="33"/>
  <c r="C63" i="33" s="1"/>
  <c r="C49" i="33"/>
  <c r="C64" i="33" s="1"/>
  <c r="J16" i="50"/>
  <c r="A15" i="51" s="1"/>
  <c r="C43" i="33"/>
  <c r="C45" i="33"/>
  <c r="C60" i="33" s="1"/>
  <c r="C44" i="33"/>
  <c r="C59" i="33" s="1"/>
  <c r="C46" i="33"/>
  <c r="C61" i="33" s="1"/>
  <c r="C42" i="33"/>
  <c r="C57" i="33" s="1"/>
  <c r="AK1" i="41"/>
  <c r="DE1" i="41"/>
  <c r="Q24" i="41"/>
  <c r="B24" i="24"/>
  <c r="A16" i="52" s="1"/>
  <c r="AA23" i="24"/>
  <c r="X12" i="41"/>
  <c r="X4" i="41"/>
  <c r="X9" i="41"/>
  <c r="X7" i="41"/>
  <c r="Y27" i="41"/>
  <c r="X6" i="41"/>
  <c r="X14" i="41"/>
  <c r="X26" i="41"/>
  <c r="X5" i="41"/>
  <c r="A46" i="17"/>
  <c r="E2" i="33"/>
  <c r="AM2" i="37" s="1"/>
  <c r="D1" i="33"/>
  <c r="D50" i="33" s="1"/>
  <c r="D65" i="33" s="1"/>
  <c r="AL38" i="37" l="1"/>
  <c r="DT5" i="37" s="1"/>
  <c r="AM31" i="37"/>
  <c r="AM4" i="37"/>
  <c r="AM33" i="37" s="1"/>
  <c r="AM8" i="37"/>
  <c r="AM12" i="37"/>
  <c r="AM16" i="37"/>
  <c r="AM45" i="37" s="1"/>
  <c r="EA6" i="37" s="1"/>
  <c r="AM7" i="37"/>
  <c r="AM36" i="37" s="1"/>
  <c r="AM20" i="37"/>
  <c r="AM24" i="37"/>
  <c r="AM53" i="37" s="1"/>
  <c r="EI6" i="37" s="1"/>
  <c r="AM28" i="37"/>
  <c r="AM57" i="37" s="1"/>
  <c r="EM6" i="37" s="1"/>
  <c r="AM23" i="37"/>
  <c r="AM52" i="37" s="1"/>
  <c r="EH6" i="37" s="1"/>
  <c r="AM5" i="37"/>
  <c r="AM34" i="37" s="1"/>
  <c r="AM19" i="37"/>
  <c r="AM48" i="37" s="1"/>
  <c r="ED6" i="37" s="1"/>
  <c r="AM11" i="37"/>
  <c r="AM40" i="37" s="1"/>
  <c r="DV6" i="37" s="1"/>
  <c r="AM15" i="37"/>
  <c r="AM6" i="37"/>
  <c r="AM21" i="37"/>
  <c r="AM25" i="37"/>
  <c r="AM54" i="37" s="1"/>
  <c r="EJ6" i="37" s="1"/>
  <c r="AM17" i="37"/>
  <c r="AM46" i="37" s="1"/>
  <c r="EB6" i="37" s="1"/>
  <c r="AM22" i="37"/>
  <c r="AM51" i="37" s="1"/>
  <c r="EG6" i="37" s="1"/>
  <c r="AM27" i="37"/>
  <c r="AM56" i="37" s="1"/>
  <c r="EL6" i="37" s="1"/>
  <c r="AM13" i="37"/>
  <c r="AM42" i="37" s="1"/>
  <c r="DX6" i="37" s="1"/>
  <c r="AM14" i="37"/>
  <c r="AM43" i="37" s="1"/>
  <c r="DY6" i="37" s="1"/>
  <c r="AM18" i="37"/>
  <c r="AM47" i="37" s="1"/>
  <c r="EC6" i="37" s="1"/>
  <c r="AM10" i="37"/>
  <c r="AM39" i="37" s="1"/>
  <c r="DU6" i="37" s="1"/>
  <c r="AM9" i="37"/>
  <c r="AM38" i="37" s="1"/>
  <c r="DT6" i="37" s="1"/>
  <c r="AM26" i="37"/>
  <c r="AM3" i="37"/>
  <c r="AM317" i="5"/>
  <c r="AJ318" i="5" s="1"/>
  <c r="AA317" i="5"/>
  <c r="Z317" i="5" s="1"/>
  <c r="P319" i="5"/>
  <c r="O319" i="5" s="1"/>
  <c r="CK20" i="5"/>
  <c r="CG21" i="5"/>
  <c r="CC20" i="5"/>
  <c r="CW74" i="5"/>
  <c r="CX73" i="5"/>
  <c r="DR5" i="37"/>
  <c r="DQ5" i="37"/>
  <c r="DO5" i="37"/>
  <c r="DP5" i="37"/>
  <c r="AL58" i="37"/>
  <c r="D68" i="33" s="1"/>
  <c r="AL29" i="37"/>
  <c r="D53" i="33" s="1"/>
  <c r="AM50" i="37"/>
  <c r="EF6" i="37" s="1"/>
  <c r="AM35" i="37"/>
  <c r="AM49" i="37"/>
  <c r="EE6" i="37" s="1"/>
  <c r="AM32" i="37"/>
  <c r="DN6" i="37" s="1"/>
  <c r="AM41" i="37"/>
  <c r="DW6" i="37" s="1"/>
  <c r="AM44" i="37"/>
  <c r="DZ6" i="37" s="1"/>
  <c r="AM37" i="37"/>
  <c r="DS6" i="37" s="1"/>
  <c r="AM55" i="37"/>
  <c r="EK6" i="37" s="1"/>
  <c r="AA62" i="56"/>
  <c r="P29" i="5"/>
  <c r="O29" i="5" s="1"/>
  <c r="M30" i="5" s="1"/>
  <c r="AL28" i="5"/>
  <c r="AK28" i="5" s="1"/>
  <c r="AA29" i="5"/>
  <c r="Z29" i="5" s="1"/>
  <c r="X30" i="5" s="1"/>
  <c r="C58" i="33"/>
  <c r="C74" i="33" s="1"/>
  <c r="U15" i="51"/>
  <c r="Q15" i="51"/>
  <c r="S15" i="51"/>
  <c r="E13" i="33"/>
  <c r="E33" i="33" s="1"/>
  <c r="E15" i="33"/>
  <c r="E35" i="33" s="1"/>
  <c r="E16" i="33"/>
  <c r="E36" i="33" s="1"/>
  <c r="E17" i="33"/>
  <c r="E37" i="33" s="1"/>
  <c r="E7" i="33"/>
  <c r="E27" i="33" s="1"/>
  <c r="E9" i="33"/>
  <c r="E29" i="33" s="1"/>
  <c r="E18" i="33"/>
  <c r="E38" i="33" s="1"/>
  <c r="E19" i="33"/>
  <c r="E8" i="33"/>
  <c r="E28" i="33" s="1"/>
  <c r="E12" i="33"/>
  <c r="E32" i="33" s="1"/>
  <c r="E20" i="33"/>
  <c r="E10" i="33"/>
  <c r="E30" i="33" s="1"/>
  <c r="E11" i="33"/>
  <c r="E31" i="33" s="1"/>
  <c r="B84" i="33"/>
  <c r="B85" i="33" s="1"/>
  <c r="E2" i="31" s="1"/>
  <c r="F2" i="33"/>
  <c r="AN2" i="37" s="1"/>
  <c r="EY16" i="50"/>
  <c r="ES16" i="50"/>
  <c r="EM16" i="50"/>
  <c r="DI16" i="50"/>
  <c r="D42" i="33"/>
  <c r="D46" i="33"/>
  <c r="D45" i="33"/>
  <c r="D49" i="33"/>
  <c r="D43" i="33"/>
  <c r="D47" i="33"/>
  <c r="D44" i="33"/>
  <c r="D48" i="33"/>
  <c r="J17" i="50"/>
  <c r="A16" i="51" s="1"/>
  <c r="D51" i="33"/>
  <c r="D66" i="33" s="1"/>
  <c r="C80" i="33"/>
  <c r="C79" i="33"/>
  <c r="C78" i="33"/>
  <c r="C77" i="33"/>
  <c r="C76" i="33"/>
  <c r="C75" i="33"/>
  <c r="C73" i="33"/>
  <c r="AL1" i="41"/>
  <c r="DF1" i="41"/>
  <c r="R24" i="41"/>
  <c r="B25" i="24"/>
  <c r="A17" i="52" s="1"/>
  <c r="AA24" i="24"/>
  <c r="C81" i="33"/>
  <c r="Y5" i="41"/>
  <c r="Y26" i="41"/>
  <c r="Y14" i="41"/>
  <c r="Y6" i="41"/>
  <c r="Z27" i="41"/>
  <c r="Y7" i="41"/>
  <c r="Y9" i="41"/>
  <c r="Y4" i="41"/>
  <c r="Y12" i="41"/>
  <c r="A47" i="17"/>
  <c r="E1" i="33"/>
  <c r="AN31" i="37" l="1"/>
  <c r="AN33" i="37" s="1"/>
  <c r="AN4" i="37"/>
  <c r="AN11" i="37"/>
  <c r="AN27" i="37"/>
  <c r="AN23" i="37"/>
  <c r="AN52" i="37" s="1"/>
  <c r="EH7" i="37" s="1"/>
  <c r="AN5" i="37"/>
  <c r="AN34" i="37" s="1"/>
  <c r="AN7" i="37"/>
  <c r="AN19" i="37"/>
  <c r="AN48" i="37" s="1"/>
  <c r="ED7" i="37" s="1"/>
  <c r="AN26" i="37"/>
  <c r="AN55" i="37" s="1"/>
  <c r="EK7" i="37" s="1"/>
  <c r="AN6" i="37"/>
  <c r="AN35" i="37" s="1"/>
  <c r="AN21" i="37"/>
  <c r="AN50" i="37" s="1"/>
  <c r="EF7" i="37" s="1"/>
  <c r="AN25" i="37"/>
  <c r="AN54" i="37" s="1"/>
  <c r="EJ7" i="37" s="1"/>
  <c r="AN20" i="37"/>
  <c r="AN16" i="37"/>
  <c r="AN17" i="37"/>
  <c r="AN22" i="37"/>
  <c r="AN15" i="37"/>
  <c r="AN24" i="37"/>
  <c r="AN53" i="37" s="1"/>
  <c r="EI7" i="37" s="1"/>
  <c r="AN12" i="37"/>
  <c r="AN41" i="37" s="1"/>
  <c r="DW7" i="37" s="1"/>
  <c r="AN13" i="37"/>
  <c r="AN14" i="37"/>
  <c r="AN43" i="37" s="1"/>
  <c r="DY7" i="37" s="1"/>
  <c r="AN8" i="37"/>
  <c r="AN37" i="37" s="1"/>
  <c r="DS7" i="37" s="1"/>
  <c r="AN28" i="37"/>
  <c r="AN57" i="37" s="1"/>
  <c r="EM7" i="37" s="1"/>
  <c r="AN18" i="37"/>
  <c r="AN47" i="37" s="1"/>
  <c r="EC7" i="37" s="1"/>
  <c r="AN10" i="37"/>
  <c r="AN39" i="37" s="1"/>
  <c r="DU7" i="37" s="1"/>
  <c r="AN9" i="37"/>
  <c r="AN3" i="37"/>
  <c r="AN32" i="37" s="1"/>
  <c r="DN7" i="37" s="1"/>
  <c r="AK318" i="5"/>
  <c r="AM318" i="5" s="1"/>
  <c r="AL318" i="5"/>
  <c r="Q319" i="5"/>
  <c r="N320" i="5"/>
  <c r="AB317" i="5"/>
  <c r="Y318" i="5"/>
  <c r="CH21" i="5"/>
  <c r="CP21" i="5"/>
  <c r="BW20" i="5"/>
  <c r="BV20" i="5" s="1"/>
  <c r="BX20" i="5" s="1"/>
  <c r="CW75" i="5"/>
  <c r="CX74" i="5"/>
  <c r="DR6" i="37"/>
  <c r="DQ6" i="37"/>
  <c r="DO6" i="37"/>
  <c r="DP6" i="37"/>
  <c r="AM58" i="37"/>
  <c r="E68" i="33" s="1"/>
  <c r="AN36" i="37"/>
  <c r="AN49" i="37"/>
  <c r="EE7" i="37" s="1"/>
  <c r="AN42" i="37"/>
  <c r="DX7" i="37" s="1"/>
  <c r="AN56" i="37"/>
  <c r="EL7" i="37" s="1"/>
  <c r="AN44" i="37"/>
  <c r="DZ7" i="37" s="1"/>
  <c r="AN45" i="37"/>
  <c r="EA7" i="37" s="1"/>
  <c r="AN51" i="37"/>
  <c r="EG7" i="37" s="1"/>
  <c r="AN46" i="37"/>
  <c r="EB7" i="37" s="1"/>
  <c r="AN40" i="37"/>
  <c r="DV7" i="37" s="1"/>
  <c r="AM29" i="37"/>
  <c r="E53" i="33" s="1"/>
  <c r="AA63" i="56"/>
  <c r="AB29" i="5"/>
  <c r="Y30" i="5" s="1"/>
  <c r="AM28" i="5"/>
  <c r="AJ29" i="5" s="1"/>
  <c r="AI29" i="5"/>
  <c r="Q29" i="5"/>
  <c r="N30" i="5" s="1"/>
  <c r="T4" i="19"/>
  <c r="O3" i="19"/>
  <c r="F11" i="24"/>
  <c r="D60" i="33"/>
  <c r="D76" i="33" s="1"/>
  <c r="D61" i="33"/>
  <c r="D77" i="33" s="1"/>
  <c r="D57" i="33"/>
  <c r="D73" i="33" s="1"/>
  <c r="Q16" i="51"/>
  <c r="S16" i="51"/>
  <c r="U16" i="51"/>
  <c r="D63" i="33"/>
  <c r="D79" i="33" s="1"/>
  <c r="D59" i="33"/>
  <c r="D75" i="33" s="1"/>
  <c r="D62" i="33"/>
  <c r="D78" i="33" s="1"/>
  <c r="D58" i="33"/>
  <c r="D74" i="33" s="1"/>
  <c r="D64" i="33"/>
  <c r="D80" i="33" s="1"/>
  <c r="F10" i="33"/>
  <c r="F30" i="33" s="1"/>
  <c r="F15" i="33"/>
  <c r="F35" i="33" s="1"/>
  <c r="F9" i="33"/>
  <c r="F29" i="33" s="1"/>
  <c r="F11" i="33"/>
  <c r="F31" i="33" s="1"/>
  <c r="F12" i="33"/>
  <c r="F32" i="33" s="1"/>
  <c r="F13" i="33"/>
  <c r="F33" i="33" s="1"/>
  <c r="F16" i="33"/>
  <c r="F36" i="33" s="1"/>
  <c r="F17" i="33"/>
  <c r="F37" i="33" s="1"/>
  <c r="F7" i="33"/>
  <c r="F27" i="33" s="1"/>
  <c r="F18" i="33"/>
  <c r="F38" i="33" s="1"/>
  <c r="F19" i="33"/>
  <c r="F8" i="33"/>
  <c r="F28" i="33" s="1"/>
  <c r="F20" i="33"/>
  <c r="E50" i="33"/>
  <c r="E65" i="33" s="1"/>
  <c r="T5" i="19"/>
  <c r="G2" i="33"/>
  <c r="AO2" i="37" s="1"/>
  <c r="EM17" i="50"/>
  <c r="ES17" i="50"/>
  <c r="EY17" i="50"/>
  <c r="DI17" i="50"/>
  <c r="E42" i="33"/>
  <c r="E46" i="33"/>
  <c r="E45" i="33"/>
  <c r="E49" i="33"/>
  <c r="E48" i="33"/>
  <c r="E44" i="33"/>
  <c r="E47" i="33"/>
  <c r="E43" i="33"/>
  <c r="J18" i="50"/>
  <c r="A17" i="51" s="1"/>
  <c r="E51" i="33"/>
  <c r="E66" i="33" s="1"/>
  <c r="AM1" i="41"/>
  <c r="DG1" i="41"/>
  <c r="S24" i="41"/>
  <c r="B26" i="24"/>
  <c r="A18" i="52" s="1"/>
  <c r="AA25" i="24"/>
  <c r="D81" i="33"/>
  <c r="Z12" i="41"/>
  <c r="Z4" i="41"/>
  <c r="Z9" i="41"/>
  <c r="Z7" i="41"/>
  <c r="AA27" i="41"/>
  <c r="Z6" i="41"/>
  <c r="Z14" i="41"/>
  <c r="Z26" i="41"/>
  <c r="Z5" i="41"/>
  <c r="A48" i="17"/>
  <c r="F1" i="33"/>
  <c r="F50" i="33" s="1"/>
  <c r="F65" i="33" s="1"/>
  <c r="AN38" i="37" l="1"/>
  <c r="DT7" i="37" s="1"/>
  <c r="AO31" i="37"/>
  <c r="AO15" i="37"/>
  <c r="AO6" i="37"/>
  <c r="AO10" i="37"/>
  <c r="AO39" i="37" s="1"/>
  <c r="DU8" i="37" s="1"/>
  <c r="AO14" i="37"/>
  <c r="AO27" i="37"/>
  <c r="AO56" i="37" s="1"/>
  <c r="EL8" i="37" s="1"/>
  <c r="AO7" i="37"/>
  <c r="AO36" i="37" s="1"/>
  <c r="AO8" i="37"/>
  <c r="AO37" i="37" s="1"/>
  <c r="DS8" i="37" s="1"/>
  <c r="AO9" i="37"/>
  <c r="AO38" i="37" s="1"/>
  <c r="DT8" i="37" s="1"/>
  <c r="AO19" i="37"/>
  <c r="AO48" i="37" s="1"/>
  <c r="ED8" i="37" s="1"/>
  <c r="AO22" i="37"/>
  <c r="AO51" i="37" s="1"/>
  <c r="EG8" i="37" s="1"/>
  <c r="AO26" i="37"/>
  <c r="AO55" i="37" s="1"/>
  <c r="EK8" i="37" s="1"/>
  <c r="AO23" i="37"/>
  <c r="AO5" i="37"/>
  <c r="AO25" i="37"/>
  <c r="AO20" i="37"/>
  <c r="AO49" i="37" s="1"/>
  <c r="EE8" i="37" s="1"/>
  <c r="AO16" i="37"/>
  <c r="AO45" i="37" s="1"/>
  <c r="EA8" i="37" s="1"/>
  <c r="AO17" i="37"/>
  <c r="AO46" i="37" s="1"/>
  <c r="EB8" i="37" s="1"/>
  <c r="AO24" i="37"/>
  <c r="AO53" i="37" s="1"/>
  <c r="EI8" i="37" s="1"/>
  <c r="AO11" i="37"/>
  <c r="AO40" i="37" s="1"/>
  <c r="DV8" i="37" s="1"/>
  <c r="AO28" i="37"/>
  <c r="AO57" i="37" s="1"/>
  <c r="EM8" i="37" s="1"/>
  <c r="AO4" i="37"/>
  <c r="AO33" i="37" s="1"/>
  <c r="AO18" i="37"/>
  <c r="AO47" i="37" s="1"/>
  <c r="EC8" i="37" s="1"/>
  <c r="AO13" i="37"/>
  <c r="AO12" i="37"/>
  <c r="AO21" i="37"/>
  <c r="AO3" i="37"/>
  <c r="AA318" i="5"/>
  <c r="Z318" i="5" s="1"/>
  <c r="P320" i="5"/>
  <c r="O320" i="5" s="1"/>
  <c r="AJ319" i="5"/>
  <c r="CJ21" i="5"/>
  <c r="CI21" i="5" s="1"/>
  <c r="CK21" i="5" s="1"/>
  <c r="BT21" i="5"/>
  <c r="BU21" i="5" s="1"/>
  <c r="CX75" i="5"/>
  <c r="CW76" i="5"/>
  <c r="DP7" i="37"/>
  <c r="DR7" i="37"/>
  <c r="DO7" i="37"/>
  <c r="DQ7" i="37"/>
  <c r="AN58" i="37"/>
  <c r="F68" i="33" s="1"/>
  <c r="AN29" i="37"/>
  <c r="F53" i="33" s="1"/>
  <c r="AO34" i="37"/>
  <c r="AO44" i="37"/>
  <c r="DZ8" i="37" s="1"/>
  <c r="AO54" i="37"/>
  <c r="EJ8" i="37" s="1"/>
  <c r="AO42" i="37"/>
  <c r="DX8" i="37" s="1"/>
  <c r="AO32" i="37"/>
  <c r="DN8" i="37" s="1"/>
  <c r="AO35" i="37"/>
  <c r="AO52" i="37"/>
  <c r="EH8" i="37" s="1"/>
  <c r="AO41" i="37"/>
  <c r="DW8" i="37" s="1"/>
  <c r="AO43" i="37"/>
  <c r="DY8" i="37" s="1"/>
  <c r="AA64" i="56"/>
  <c r="F12" i="24"/>
  <c r="AA30" i="5"/>
  <c r="Z30" i="5" s="1"/>
  <c r="AL29" i="5"/>
  <c r="AK29" i="5" s="1"/>
  <c r="P30" i="5"/>
  <c r="O30" i="5" s="1"/>
  <c r="M31" i="5" s="1"/>
  <c r="E61" i="33"/>
  <c r="E77" i="33" s="1"/>
  <c r="E57" i="33"/>
  <c r="E73" i="33" s="1"/>
  <c r="S17" i="51"/>
  <c r="U17" i="51"/>
  <c r="Q17" i="51"/>
  <c r="E58" i="33"/>
  <c r="E74" i="33" s="1"/>
  <c r="E62" i="33"/>
  <c r="E78" i="33" s="1"/>
  <c r="E59" i="33"/>
  <c r="E75" i="33" s="1"/>
  <c r="E63" i="33"/>
  <c r="E79" i="33" s="1"/>
  <c r="E64" i="33"/>
  <c r="E80" i="33" s="1"/>
  <c r="E60" i="33"/>
  <c r="E76" i="33" s="1"/>
  <c r="O4" i="19"/>
  <c r="C84" i="33"/>
  <c r="C85" i="33" s="1"/>
  <c r="E3" i="31" s="1"/>
  <c r="G10" i="33"/>
  <c r="G30" i="33" s="1"/>
  <c r="G15" i="33"/>
  <c r="G35" i="33" s="1"/>
  <c r="G9" i="33"/>
  <c r="G29" i="33" s="1"/>
  <c r="G13" i="33"/>
  <c r="G33" i="33" s="1"/>
  <c r="G11" i="33"/>
  <c r="G31" i="33" s="1"/>
  <c r="G12" i="33"/>
  <c r="G32" i="33" s="1"/>
  <c r="G7" i="33"/>
  <c r="G27" i="33" s="1"/>
  <c r="G16" i="33"/>
  <c r="G36" i="33" s="1"/>
  <c r="G17" i="33"/>
  <c r="G37" i="33" s="1"/>
  <c r="G20" i="33"/>
  <c r="G8" i="33"/>
  <c r="G28" i="33" s="1"/>
  <c r="G18" i="33"/>
  <c r="G38" i="33" s="1"/>
  <c r="G19" i="33"/>
  <c r="H2" i="33"/>
  <c r="AP2" i="37" s="1"/>
  <c r="T6" i="19"/>
  <c r="EY18" i="50"/>
  <c r="EM18" i="50"/>
  <c r="ES18" i="50"/>
  <c r="DI18" i="50"/>
  <c r="F42" i="33"/>
  <c r="F46" i="33"/>
  <c r="F45" i="33"/>
  <c r="F49" i="33"/>
  <c r="F48" i="33"/>
  <c r="F47" i="33"/>
  <c r="F44" i="33"/>
  <c r="F43" i="33"/>
  <c r="J19" i="50"/>
  <c r="A18" i="51" s="1"/>
  <c r="F51" i="33"/>
  <c r="F66" i="33" s="1"/>
  <c r="AN1" i="41"/>
  <c r="DH1" i="41"/>
  <c r="T24" i="41"/>
  <c r="B27" i="24"/>
  <c r="A19" i="52" s="1"/>
  <c r="AA26" i="24"/>
  <c r="E81" i="33"/>
  <c r="AA5" i="41"/>
  <c r="AA26" i="41"/>
  <c r="AA14" i="41"/>
  <c r="AA6" i="41"/>
  <c r="AB27" i="41"/>
  <c r="AA7" i="41"/>
  <c r="AA9" i="41"/>
  <c r="AA4" i="41"/>
  <c r="AA12" i="41"/>
  <c r="A49" i="17"/>
  <c r="G1" i="33"/>
  <c r="G50" i="33" s="1"/>
  <c r="G65" i="33" s="1"/>
  <c r="B3" i="31"/>
  <c r="B4" i="31" s="1"/>
  <c r="B5" i="31" s="1"/>
  <c r="B6" i="31" s="1"/>
  <c r="B7" i="31" s="1"/>
  <c r="B8" i="31" s="1"/>
  <c r="B9" i="31" s="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A3" i="31"/>
  <c r="A4" i="31" s="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O50" i="37" l="1"/>
  <c r="EF8" i="37" s="1"/>
  <c r="AP31" i="37"/>
  <c r="AP7" i="37"/>
  <c r="AP11" i="37"/>
  <c r="AP15" i="37"/>
  <c r="AP19" i="37"/>
  <c r="AP48" i="37" s="1"/>
  <c r="ED9" i="37" s="1"/>
  <c r="AP23" i="37"/>
  <c r="AP52" i="37" s="1"/>
  <c r="EH9" i="37" s="1"/>
  <c r="AP27" i="37"/>
  <c r="AP56" i="37" s="1"/>
  <c r="EL9" i="37" s="1"/>
  <c r="AP20" i="37"/>
  <c r="AP49" i="37" s="1"/>
  <c r="EE9" i="37" s="1"/>
  <c r="AP6" i="37"/>
  <c r="AP35" i="37" s="1"/>
  <c r="AP10" i="37"/>
  <c r="AP39" i="37" s="1"/>
  <c r="DU9" i="37" s="1"/>
  <c r="AP14" i="37"/>
  <c r="AP43" i="37" s="1"/>
  <c r="DY9" i="37" s="1"/>
  <c r="AP8" i="37"/>
  <c r="AP37" i="37" s="1"/>
  <c r="DS9" i="37" s="1"/>
  <c r="AP9" i="37"/>
  <c r="AP22" i="37"/>
  <c r="AP26" i="37"/>
  <c r="AP4" i="37"/>
  <c r="AP28" i="37"/>
  <c r="AP5" i="37"/>
  <c r="AP34" i="37" s="1"/>
  <c r="AP25" i="37"/>
  <c r="AP54" i="37" s="1"/>
  <c r="EJ9" i="37" s="1"/>
  <c r="AP16" i="37"/>
  <c r="AP45" i="37" s="1"/>
  <c r="EA9" i="37" s="1"/>
  <c r="AP17" i="37"/>
  <c r="AP46" i="37" s="1"/>
  <c r="EB9" i="37" s="1"/>
  <c r="AP12" i="37"/>
  <c r="AP41" i="37" s="1"/>
  <c r="DW9" i="37" s="1"/>
  <c r="AP21" i="37"/>
  <c r="AP50" i="37" s="1"/>
  <c r="EF9" i="37" s="1"/>
  <c r="AP24" i="37"/>
  <c r="AP53" i="37" s="1"/>
  <c r="EI9" i="37" s="1"/>
  <c r="AP18" i="37"/>
  <c r="AP13" i="37"/>
  <c r="AP3" i="37"/>
  <c r="AB318" i="5"/>
  <c r="Y319" i="5" s="1"/>
  <c r="Q320" i="5"/>
  <c r="N321" i="5"/>
  <c r="AK319" i="5"/>
  <c r="AM319" i="5" s="1"/>
  <c r="AL319" i="5"/>
  <c r="CG22" i="5"/>
  <c r="CH22" i="5" s="1"/>
  <c r="CC21" i="5"/>
  <c r="CX76" i="5"/>
  <c r="CW77" i="5"/>
  <c r="DQ8" i="37"/>
  <c r="DO8" i="37"/>
  <c r="DP8" i="37"/>
  <c r="DR8" i="37"/>
  <c r="AO58" i="37"/>
  <c r="G68" i="33" s="1"/>
  <c r="AO29" i="37"/>
  <c r="G53" i="33" s="1"/>
  <c r="AP32" i="37"/>
  <c r="DN9" i="37" s="1"/>
  <c r="AP57" i="37"/>
  <c r="EM9" i="37" s="1"/>
  <c r="AP36" i="37"/>
  <c r="AP38" i="37"/>
  <c r="DT9" i="37" s="1"/>
  <c r="AP33" i="37"/>
  <c r="AP47" i="37"/>
  <c r="EC9" i="37" s="1"/>
  <c r="AP42" i="37"/>
  <c r="DX9" i="37" s="1"/>
  <c r="AP51" i="37"/>
  <c r="EG9" i="37" s="1"/>
  <c r="AP40" i="37"/>
  <c r="DV9" i="37" s="1"/>
  <c r="AP44" i="37"/>
  <c r="DZ9" i="37" s="1"/>
  <c r="AP55" i="37"/>
  <c r="EK9" i="37" s="1"/>
  <c r="AA65" i="56"/>
  <c r="D84" i="33"/>
  <c r="D85" i="33" s="1"/>
  <c r="E4" i="31" s="1"/>
  <c r="X31" i="5"/>
  <c r="AB30" i="5"/>
  <c r="Y31" i="5" s="1"/>
  <c r="AM29" i="5"/>
  <c r="AJ30" i="5" s="1"/>
  <c r="AI30" i="5"/>
  <c r="AA31" i="5"/>
  <c r="Q30" i="5"/>
  <c r="N31" i="5" s="1"/>
  <c r="U18" i="51"/>
  <c r="Q18" i="51"/>
  <c r="S18" i="51"/>
  <c r="F58" i="33"/>
  <c r="F74" i="33" s="1"/>
  <c r="F59" i="33"/>
  <c r="F75" i="33" s="1"/>
  <c r="F13" i="24"/>
  <c r="F62" i="33"/>
  <c r="F78" i="33" s="1"/>
  <c r="E85" i="33"/>
  <c r="E5" i="31" s="1"/>
  <c r="F63" i="33"/>
  <c r="F79" i="33" s="1"/>
  <c r="F64" i="33"/>
  <c r="F80" i="33" s="1"/>
  <c r="F60" i="33"/>
  <c r="F76" i="33" s="1"/>
  <c r="F61" i="33"/>
  <c r="F77" i="33" s="1"/>
  <c r="F57" i="33"/>
  <c r="F73" i="33" s="1"/>
  <c r="H10" i="33"/>
  <c r="H30" i="33" s="1"/>
  <c r="H19" i="33"/>
  <c r="H11" i="33"/>
  <c r="H31" i="33" s="1"/>
  <c r="H12" i="33"/>
  <c r="H32" i="33" s="1"/>
  <c r="H13" i="33"/>
  <c r="H33" i="33" s="1"/>
  <c r="H15" i="33"/>
  <c r="H35" i="33" s="1"/>
  <c r="H9" i="33"/>
  <c r="H29" i="33" s="1"/>
  <c r="H18" i="33"/>
  <c r="H38" i="33" s="1"/>
  <c r="H20" i="33"/>
  <c r="H16" i="33"/>
  <c r="H36" i="33" s="1"/>
  <c r="H7" i="33"/>
  <c r="H27" i="33" s="1"/>
  <c r="H8" i="33"/>
  <c r="H28" i="33" s="1"/>
  <c r="H17" i="33"/>
  <c r="H37" i="33" s="1"/>
  <c r="O5" i="19"/>
  <c r="I2" i="33"/>
  <c r="AQ2" i="37" s="1"/>
  <c r="ES19" i="50"/>
  <c r="EM19" i="50"/>
  <c r="EY19" i="50"/>
  <c r="DI19" i="50"/>
  <c r="G43" i="33"/>
  <c r="G47" i="33"/>
  <c r="G42" i="33"/>
  <c r="G46" i="33"/>
  <c r="G44" i="33"/>
  <c r="G48" i="33"/>
  <c r="G45" i="33"/>
  <c r="G49" i="33"/>
  <c r="J20" i="50"/>
  <c r="A19" i="51" s="1"/>
  <c r="G81" i="33"/>
  <c r="G51" i="33"/>
  <c r="G66" i="33" s="1"/>
  <c r="AO1" i="41"/>
  <c r="DI1" i="41"/>
  <c r="U24" i="41"/>
  <c r="B28" i="24"/>
  <c r="A20" i="52" s="1"/>
  <c r="AA27" i="24"/>
  <c r="F81" i="33"/>
  <c r="AB12" i="41"/>
  <c r="AB4" i="41"/>
  <c r="AB9" i="41"/>
  <c r="AB7" i="41"/>
  <c r="AC27" i="41"/>
  <c r="AB6" i="41"/>
  <c r="AB14" i="41"/>
  <c r="AB26" i="41"/>
  <c r="AB5" i="41"/>
  <c r="A50" i="17"/>
  <c r="H1" i="33"/>
  <c r="H50" i="33" s="1"/>
  <c r="H65" i="33" s="1"/>
  <c r="AQ31" i="37" l="1"/>
  <c r="AQ8" i="37"/>
  <c r="AQ4" i="37"/>
  <c r="AQ33" i="37" s="1"/>
  <c r="AQ24" i="37"/>
  <c r="AQ20" i="37"/>
  <c r="AQ49" i="37" s="1"/>
  <c r="EE10" i="37" s="1"/>
  <c r="AQ6" i="37"/>
  <c r="AQ35" i="37" s="1"/>
  <c r="AQ10" i="37"/>
  <c r="AQ39" i="37" s="1"/>
  <c r="DU10" i="37" s="1"/>
  <c r="AQ14" i="37"/>
  <c r="AQ7" i="37"/>
  <c r="AQ36" i="37" s="1"/>
  <c r="AQ19" i="37"/>
  <c r="AQ48" i="37" s="1"/>
  <c r="ED10" i="37" s="1"/>
  <c r="AQ9" i="37"/>
  <c r="AQ38" i="37" s="1"/>
  <c r="DT10" i="37" s="1"/>
  <c r="AQ22" i="37"/>
  <c r="AQ51" i="37" s="1"/>
  <c r="EG10" i="37" s="1"/>
  <c r="AQ23" i="37"/>
  <c r="AQ28" i="37"/>
  <c r="AQ5" i="37"/>
  <c r="AQ34" i="37" s="1"/>
  <c r="AQ25" i="37"/>
  <c r="AQ54" i="37" s="1"/>
  <c r="EJ10" i="37" s="1"/>
  <c r="AQ27" i="37"/>
  <c r="AQ15" i="37"/>
  <c r="AQ16" i="37"/>
  <c r="AQ17" i="37"/>
  <c r="AQ46" i="37" s="1"/>
  <c r="EB10" i="37" s="1"/>
  <c r="AQ12" i="37"/>
  <c r="AQ41" i="37" s="1"/>
  <c r="DW10" i="37" s="1"/>
  <c r="AQ21" i="37"/>
  <c r="AQ50" i="37" s="1"/>
  <c r="EF10" i="37" s="1"/>
  <c r="AQ11" i="37"/>
  <c r="AQ40" i="37" s="1"/>
  <c r="DV10" i="37" s="1"/>
  <c r="AQ18" i="37"/>
  <c r="AQ47" i="37" s="1"/>
  <c r="EC10" i="37" s="1"/>
  <c r="AQ13" i="37"/>
  <c r="AQ42" i="37" s="1"/>
  <c r="DX10" i="37" s="1"/>
  <c r="AQ26" i="37"/>
  <c r="AQ3" i="37"/>
  <c r="Z319" i="5"/>
  <c r="AB319" i="5" s="1"/>
  <c r="AA319" i="5"/>
  <c r="Y320" i="5"/>
  <c r="P321" i="5"/>
  <c r="O321" i="5"/>
  <c r="Q321" i="5" s="1"/>
  <c r="N322" i="5"/>
  <c r="AJ320" i="5"/>
  <c r="CP22" i="5"/>
  <c r="BW21" i="5"/>
  <c r="BV21" i="5" s="1"/>
  <c r="BX21" i="5" s="1"/>
  <c r="CX77" i="5"/>
  <c r="CW78" i="5"/>
  <c r="DP9" i="37"/>
  <c r="DQ9" i="37"/>
  <c r="DR9" i="37"/>
  <c r="DO9" i="37"/>
  <c r="AP58" i="37"/>
  <c r="H68" i="33" s="1"/>
  <c r="AQ44" i="37"/>
  <c r="DZ10" i="37" s="1"/>
  <c r="AQ45" i="37"/>
  <c r="EA10" i="37" s="1"/>
  <c r="AQ52" i="37"/>
  <c r="EH10" i="37" s="1"/>
  <c r="AQ43" i="37"/>
  <c r="DY10" i="37" s="1"/>
  <c r="AQ55" i="37"/>
  <c r="EK10" i="37" s="1"/>
  <c r="AQ32" i="37"/>
  <c r="DN10" i="37" s="1"/>
  <c r="AQ56" i="37"/>
  <c r="EL10" i="37" s="1"/>
  <c r="AQ57" i="37"/>
  <c r="EM10" i="37" s="1"/>
  <c r="AQ53" i="37"/>
  <c r="EI10" i="37" s="1"/>
  <c r="AP29" i="37"/>
  <c r="H53" i="33" s="1"/>
  <c r="AA66" i="56"/>
  <c r="O6" i="19"/>
  <c r="P31" i="5"/>
  <c r="O31" i="5" s="1"/>
  <c r="Z31" i="5"/>
  <c r="X32" i="5" s="1"/>
  <c r="AL30" i="5"/>
  <c r="AK30" i="5" s="1"/>
  <c r="U19" i="51"/>
  <c r="Q19" i="51"/>
  <c r="S19" i="51"/>
  <c r="G64" i="33"/>
  <c r="G80" i="33" s="1"/>
  <c r="F14" i="24"/>
  <c r="G60" i="33"/>
  <c r="G76" i="33" s="1"/>
  <c r="G63" i="33"/>
  <c r="G79" i="33" s="1"/>
  <c r="G59" i="33"/>
  <c r="G75" i="33" s="1"/>
  <c r="G61" i="33"/>
  <c r="G77" i="33" s="1"/>
  <c r="G57" i="33"/>
  <c r="G73" i="33" s="1"/>
  <c r="G62" i="33"/>
  <c r="G78" i="33" s="1"/>
  <c r="G58" i="33"/>
  <c r="G74" i="33" s="1"/>
  <c r="I7" i="33"/>
  <c r="I27" i="33" s="1"/>
  <c r="I11" i="33"/>
  <c r="I31" i="33" s="1"/>
  <c r="I16" i="33"/>
  <c r="I36" i="33" s="1"/>
  <c r="I8" i="33"/>
  <c r="I28" i="33" s="1"/>
  <c r="I10" i="33"/>
  <c r="I30" i="33" s="1"/>
  <c r="I19" i="33"/>
  <c r="I12" i="33"/>
  <c r="I32" i="33" s="1"/>
  <c r="I13" i="33"/>
  <c r="I33" i="33" s="1"/>
  <c r="I15" i="33"/>
  <c r="I35" i="33" s="1"/>
  <c r="I9" i="33"/>
  <c r="I29" i="33" s="1"/>
  <c r="I18" i="33"/>
  <c r="I38" i="33" s="1"/>
  <c r="I20" i="33"/>
  <c r="I17" i="33"/>
  <c r="I37" i="33" s="1"/>
  <c r="J2" i="33"/>
  <c r="AR2" i="37" s="1"/>
  <c r="T7" i="19"/>
  <c r="EY20" i="50"/>
  <c r="EM20" i="50"/>
  <c r="ES20" i="50"/>
  <c r="DI20" i="50"/>
  <c r="H43" i="33"/>
  <c r="H47" i="33"/>
  <c r="H46" i="33"/>
  <c r="H42" i="33"/>
  <c r="H48" i="33"/>
  <c r="H49" i="33"/>
  <c r="H44" i="33"/>
  <c r="H45" i="33"/>
  <c r="J21" i="50"/>
  <c r="A20" i="51" s="1"/>
  <c r="H51" i="33"/>
  <c r="H66" i="33" s="1"/>
  <c r="AP1" i="41"/>
  <c r="DJ1" i="41"/>
  <c r="V24" i="41"/>
  <c r="B29" i="24"/>
  <c r="A21" i="52" s="1"/>
  <c r="AA28" i="24"/>
  <c r="AC5" i="41"/>
  <c r="AC26" i="41"/>
  <c r="AC14" i="41"/>
  <c r="AC6" i="41"/>
  <c r="AD27" i="41"/>
  <c r="AC7" i="41"/>
  <c r="AC9" i="41"/>
  <c r="AC4" i="41"/>
  <c r="AC12" i="41"/>
  <c r="A51" i="17"/>
  <c r="I1" i="33"/>
  <c r="I50" i="33" s="1"/>
  <c r="I65" i="33" s="1"/>
  <c r="AQ37" i="37" l="1"/>
  <c r="DS10" i="37" s="1"/>
  <c r="AR31" i="37"/>
  <c r="AR12" i="37"/>
  <c r="AR9" i="37"/>
  <c r="AR38" i="37" s="1"/>
  <c r="DT11" i="37" s="1"/>
  <c r="AR13" i="37"/>
  <c r="AR17" i="37"/>
  <c r="AR28" i="37"/>
  <c r="AR4" i="37"/>
  <c r="AR33" i="37" s="1"/>
  <c r="AR24" i="37"/>
  <c r="AR53" i="37" s="1"/>
  <c r="EI11" i="37" s="1"/>
  <c r="AR10" i="37"/>
  <c r="AR39" i="37" s="1"/>
  <c r="DU11" i="37" s="1"/>
  <c r="AR18" i="37"/>
  <c r="AR47" i="37" s="1"/>
  <c r="EC11" i="37" s="1"/>
  <c r="AR27" i="37"/>
  <c r="AR56" i="37" s="1"/>
  <c r="EL11" i="37" s="1"/>
  <c r="AR7" i="37"/>
  <c r="AR8" i="37"/>
  <c r="AR37" i="37" s="1"/>
  <c r="DS11" i="37" s="1"/>
  <c r="AR19" i="37"/>
  <c r="AR6" i="37"/>
  <c r="AR21" i="37"/>
  <c r="AR23" i="37"/>
  <c r="AR52" i="37" s="1"/>
  <c r="EH11" i="37" s="1"/>
  <c r="AR5" i="37"/>
  <c r="AR34" i="37" s="1"/>
  <c r="AR20" i="37"/>
  <c r="AR49" i="37" s="1"/>
  <c r="EE11" i="37" s="1"/>
  <c r="AR25" i="37"/>
  <c r="AR22" i="37"/>
  <c r="AR51" i="37" s="1"/>
  <c r="EG11" i="37" s="1"/>
  <c r="AR15" i="37"/>
  <c r="AR44" i="37" s="1"/>
  <c r="DZ11" i="37" s="1"/>
  <c r="AR26" i="37"/>
  <c r="AR55" i="37" s="1"/>
  <c r="EK11" i="37" s="1"/>
  <c r="AR11" i="37"/>
  <c r="AR14" i="37"/>
  <c r="AR16" i="37"/>
  <c r="AR3" i="37"/>
  <c r="AR32" i="37" s="1"/>
  <c r="DN11" i="37" s="1"/>
  <c r="AA320" i="5"/>
  <c r="Z320" i="5" s="1"/>
  <c r="P322" i="5"/>
  <c r="O322" i="5" s="1"/>
  <c r="AL320" i="5"/>
  <c r="AK320" i="5" s="1"/>
  <c r="CJ22" i="5"/>
  <c r="CI22" i="5" s="1"/>
  <c r="BT22" i="5"/>
  <c r="BU22" i="5" s="1"/>
  <c r="M32" i="5"/>
  <c r="Q31" i="5"/>
  <c r="N32" i="5" s="1"/>
  <c r="CX78" i="5"/>
  <c r="CW79" i="5"/>
  <c r="DR10" i="37"/>
  <c r="DO10" i="37"/>
  <c r="DQ10" i="37"/>
  <c r="DP10" i="37"/>
  <c r="AQ58" i="37"/>
  <c r="I68" i="33" s="1"/>
  <c r="AQ29" i="37"/>
  <c r="AR57" i="37"/>
  <c r="EM11" i="37" s="1"/>
  <c r="AR35" i="37"/>
  <c r="AR42" i="37"/>
  <c r="DX11" i="37" s="1"/>
  <c r="AR54" i="37"/>
  <c r="EJ11" i="37" s="1"/>
  <c r="AR46" i="37"/>
  <c r="EB11" i="37" s="1"/>
  <c r="AR48" i="37"/>
  <c r="ED11" i="37" s="1"/>
  <c r="AR41" i="37"/>
  <c r="DW11" i="37" s="1"/>
  <c r="AR50" i="37"/>
  <c r="EF11" i="37" s="1"/>
  <c r="AR45" i="37"/>
  <c r="EA11" i="37" s="1"/>
  <c r="AR43" i="37"/>
  <c r="DY11" i="37" s="1"/>
  <c r="AA67" i="56"/>
  <c r="P32" i="5"/>
  <c r="O32" i="5" s="1"/>
  <c r="Q32" i="5" s="1"/>
  <c r="AB31" i="5"/>
  <c r="Y32" i="5" s="1"/>
  <c r="AM30" i="5"/>
  <c r="AJ31" i="5" s="1"/>
  <c r="AI31" i="5"/>
  <c r="AA32" i="5"/>
  <c r="G85" i="33"/>
  <c r="E7" i="31" s="1"/>
  <c r="H58" i="33"/>
  <c r="H74" i="33" s="1"/>
  <c r="U20" i="51"/>
  <c r="Q20" i="51"/>
  <c r="S20" i="51"/>
  <c r="H60" i="33"/>
  <c r="H76" i="33" s="1"/>
  <c r="H59" i="33"/>
  <c r="H75" i="33" s="1"/>
  <c r="H64" i="33"/>
  <c r="H80" i="33" s="1"/>
  <c r="H63" i="33"/>
  <c r="H79" i="33" s="1"/>
  <c r="H57" i="33"/>
  <c r="H73" i="33" s="1"/>
  <c r="H61" i="33"/>
  <c r="H77" i="33" s="1"/>
  <c r="H62" i="33"/>
  <c r="H78" i="33" s="1"/>
  <c r="K2" i="33"/>
  <c r="AS2" i="37" s="1"/>
  <c r="J7" i="33"/>
  <c r="J27" i="33" s="1"/>
  <c r="J11" i="33"/>
  <c r="J31" i="33" s="1"/>
  <c r="J16" i="33"/>
  <c r="J36" i="33" s="1"/>
  <c r="J10" i="33"/>
  <c r="J30" i="33" s="1"/>
  <c r="J15" i="33"/>
  <c r="J35" i="33" s="1"/>
  <c r="J8" i="33"/>
  <c r="J28" i="33" s="1"/>
  <c r="J19" i="33"/>
  <c r="J12" i="33"/>
  <c r="J32" i="33" s="1"/>
  <c r="J13" i="33"/>
  <c r="J33" i="33" s="1"/>
  <c r="J9" i="33"/>
  <c r="J29" i="33" s="1"/>
  <c r="J18" i="33"/>
  <c r="J38" i="33" s="1"/>
  <c r="J20" i="33"/>
  <c r="J17" i="33"/>
  <c r="J37" i="33" s="1"/>
  <c r="O8" i="19"/>
  <c r="F16" i="24"/>
  <c r="T8" i="19"/>
  <c r="T9" i="19"/>
  <c r="F15" i="24"/>
  <c r="O7" i="19"/>
  <c r="F84" i="33"/>
  <c r="F85" i="33" s="1"/>
  <c r="E6" i="31" s="1"/>
  <c r="ES21" i="50"/>
  <c r="EM21" i="50"/>
  <c r="EY21" i="50"/>
  <c r="DI21" i="50"/>
  <c r="I46" i="33"/>
  <c r="I43" i="33"/>
  <c r="I47" i="33"/>
  <c r="I42" i="33"/>
  <c r="I45" i="33"/>
  <c r="I48" i="33"/>
  <c r="I49" i="33"/>
  <c r="I44" i="33"/>
  <c r="J22" i="50"/>
  <c r="A21" i="51" s="1"/>
  <c r="I51" i="33"/>
  <c r="I66" i="33" s="1"/>
  <c r="I81" i="33"/>
  <c r="AQ1" i="41"/>
  <c r="DK1" i="41"/>
  <c r="W24" i="41"/>
  <c r="B30" i="24"/>
  <c r="A22" i="52" s="1"/>
  <c r="AA29" i="24"/>
  <c r="H81" i="33"/>
  <c r="AD12" i="41"/>
  <c r="AD4" i="41"/>
  <c r="AD9" i="41"/>
  <c r="AD7" i="41"/>
  <c r="AE27" i="41"/>
  <c r="AD6" i="41"/>
  <c r="AD14" i="41"/>
  <c r="AD26" i="41"/>
  <c r="AD5" i="41"/>
  <c r="A52" i="17"/>
  <c r="L2" i="33"/>
  <c r="AT2" i="37" s="1"/>
  <c r="J1" i="33"/>
  <c r="J50" i="33" s="1"/>
  <c r="J65" i="33" s="1"/>
  <c r="H3" i="35"/>
  <c r="P3" i="29"/>
  <c r="G38" i="14"/>
  <c r="G37" i="14"/>
  <c r="C2" i="5" s="1"/>
  <c r="G36" i="14"/>
  <c r="G30" i="14"/>
  <c r="G24" i="14"/>
  <c r="G23" i="14"/>
  <c r="G22" i="14"/>
  <c r="D20" i="2" s="1"/>
  <c r="G21" i="14"/>
  <c r="G20" i="14"/>
  <c r="G19" i="14"/>
  <c r="G15" i="14"/>
  <c r="C15" i="50" s="1"/>
  <c r="G13" i="14"/>
  <c r="C13" i="50" s="1"/>
  <c r="G11" i="14"/>
  <c r="G6" i="14"/>
  <c r="G5" i="14"/>
  <c r="C5" i="50" s="1"/>
  <c r="G4" i="14"/>
  <c r="B2" i="54" s="1"/>
  <c r="D35" i="2" l="1"/>
  <c r="G35" i="2" s="1"/>
  <c r="B19" i="54"/>
  <c r="AR40" i="37"/>
  <c r="DV11" i="37" s="1"/>
  <c r="AR36" i="37"/>
  <c r="AS31" i="37"/>
  <c r="AS6" i="37"/>
  <c r="AS35" i="37" s="1"/>
  <c r="AS10" i="37"/>
  <c r="AS14" i="37"/>
  <c r="AS43" i="37" s="1"/>
  <c r="DY12" i="37" s="1"/>
  <c r="AS5" i="37"/>
  <c r="AS16" i="37"/>
  <c r="AS45" i="37" s="1"/>
  <c r="EA12" i="37" s="1"/>
  <c r="AS18" i="37"/>
  <c r="AS47" i="37" s="1"/>
  <c r="EC12" i="37" s="1"/>
  <c r="AS22" i="37"/>
  <c r="AS51" i="37" s="1"/>
  <c r="EG12" i="37" s="1"/>
  <c r="AS26" i="37"/>
  <c r="AS55" i="37" s="1"/>
  <c r="EK12" i="37" s="1"/>
  <c r="AS21" i="37"/>
  <c r="AS50" i="37" s="1"/>
  <c r="EF12" i="37" s="1"/>
  <c r="AS9" i="37"/>
  <c r="AS13" i="37"/>
  <c r="AS17" i="37"/>
  <c r="AS46" i="37" s="1"/>
  <c r="EB12" i="37" s="1"/>
  <c r="AS28" i="37"/>
  <c r="AS4" i="37"/>
  <c r="AS11" i="37"/>
  <c r="AS12" i="37"/>
  <c r="AS41" i="37" s="1"/>
  <c r="DW12" i="37" s="1"/>
  <c r="AS23" i="37"/>
  <c r="AS27" i="37"/>
  <c r="AS56" i="37" s="1"/>
  <c r="EL12" i="37" s="1"/>
  <c r="AS7" i="37"/>
  <c r="AS36" i="37" s="1"/>
  <c r="AS8" i="37"/>
  <c r="AS37" i="37" s="1"/>
  <c r="DS12" i="37" s="1"/>
  <c r="AS19" i="37"/>
  <c r="AS48" i="37" s="1"/>
  <c r="ED12" i="37" s="1"/>
  <c r="AS20" i="37"/>
  <c r="AS25" i="37"/>
  <c r="AS15" i="37"/>
  <c r="AS24" i="37"/>
  <c r="AS3" i="37"/>
  <c r="AS32" i="37" s="1"/>
  <c r="DN12" i="37" s="1"/>
  <c r="AT31" i="37"/>
  <c r="AT55" i="37" s="1"/>
  <c r="EK13" i="37" s="1"/>
  <c r="AT9" i="37"/>
  <c r="AT38" i="37" s="1"/>
  <c r="DT13" i="37" s="1"/>
  <c r="AT5" i="37"/>
  <c r="AT34" i="37" s="1"/>
  <c r="AT25" i="37"/>
  <c r="AT54" i="37" s="1"/>
  <c r="EJ13" i="37" s="1"/>
  <c r="AT21" i="37"/>
  <c r="AT50" i="37" s="1"/>
  <c r="EF13" i="37" s="1"/>
  <c r="AT13" i="37"/>
  <c r="AT42" i="37" s="1"/>
  <c r="DX13" i="37" s="1"/>
  <c r="AT17" i="37"/>
  <c r="AT46" i="37" s="1"/>
  <c r="EB13" i="37" s="1"/>
  <c r="AT10" i="37"/>
  <c r="AT11" i="37"/>
  <c r="AT12" i="37"/>
  <c r="AT18" i="37"/>
  <c r="AT23" i="37"/>
  <c r="AT27" i="37"/>
  <c r="AT56" i="37" s="1"/>
  <c r="EL13" i="37" s="1"/>
  <c r="AT4" i="37"/>
  <c r="AT33" i="37" s="1"/>
  <c r="AT8" i="37"/>
  <c r="AT37" i="37" s="1"/>
  <c r="DS13" i="37" s="1"/>
  <c r="AT19" i="37"/>
  <c r="AT48" i="37" s="1"/>
  <c r="ED13" i="37" s="1"/>
  <c r="AT28" i="37"/>
  <c r="AT57" i="37" s="1"/>
  <c r="EM13" i="37" s="1"/>
  <c r="AT7" i="37"/>
  <c r="AT36" i="37" s="1"/>
  <c r="AT20" i="37"/>
  <c r="AT49" i="37" s="1"/>
  <c r="EE13" i="37" s="1"/>
  <c r="AT6" i="37"/>
  <c r="AT35" i="37" s="1"/>
  <c r="AT22" i="37"/>
  <c r="AT16" i="37"/>
  <c r="AT26" i="37"/>
  <c r="AT15" i="37"/>
  <c r="AT44" i="37" s="1"/>
  <c r="DZ13" i="37" s="1"/>
  <c r="AT14" i="37"/>
  <c r="AT43" i="37" s="1"/>
  <c r="DY13" i="37" s="1"/>
  <c r="AT24" i="37"/>
  <c r="AT3" i="37"/>
  <c r="AT32" i="37" s="1"/>
  <c r="DN13" i="37" s="1"/>
  <c r="E2" i="5"/>
  <c r="F2" i="5" s="1"/>
  <c r="B3" i="5"/>
  <c r="D17" i="41"/>
  <c r="E17" i="41" s="1"/>
  <c r="F17" i="41" s="1"/>
  <c r="G17" i="41" s="1"/>
  <c r="H17" i="41" s="1"/>
  <c r="I17" i="41" s="1"/>
  <c r="J17" i="41" s="1"/>
  <c r="K17" i="41" s="1"/>
  <c r="L17" i="41" s="1"/>
  <c r="M17" i="41" s="1"/>
  <c r="N17" i="41" s="1"/>
  <c r="O17" i="41" s="1"/>
  <c r="P17" i="41" s="1"/>
  <c r="Q17" i="41" s="1"/>
  <c r="R17" i="41" s="1"/>
  <c r="S17" i="41" s="1"/>
  <c r="T17" i="41" s="1"/>
  <c r="U17" i="41" s="1"/>
  <c r="V17" i="41" s="1"/>
  <c r="W17" i="41" s="1"/>
  <c r="X17" i="41" s="1"/>
  <c r="Y17" i="41" s="1"/>
  <c r="Z17" i="41" s="1"/>
  <c r="AA17" i="41" s="1"/>
  <c r="AB17" i="41" s="1"/>
  <c r="AC17" i="41" s="1"/>
  <c r="AD17" i="41" s="1"/>
  <c r="C27" i="50"/>
  <c r="D9" i="2"/>
  <c r="D26" i="2"/>
  <c r="G26" i="2" s="1"/>
  <c r="C18" i="50"/>
  <c r="CP4" i="50" s="1"/>
  <c r="C19" i="50"/>
  <c r="CV4" i="50" s="1"/>
  <c r="C4" i="50"/>
  <c r="P4" i="50" s="1"/>
  <c r="D21" i="2"/>
  <c r="C20" i="50"/>
  <c r="DB4" i="50" s="1"/>
  <c r="D30" i="2"/>
  <c r="G30" i="2" s="1"/>
  <c r="AZ4" i="50"/>
  <c r="C16" i="50"/>
  <c r="CD4" i="50" s="1"/>
  <c r="C17" i="50"/>
  <c r="CJ4" i="50" s="1"/>
  <c r="AM320" i="5"/>
  <c r="AJ321" i="5" s="1"/>
  <c r="Q322" i="5"/>
  <c r="N323" i="5"/>
  <c r="AB320" i="5"/>
  <c r="Y321" i="5"/>
  <c r="CK22" i="5"/>
  <c r="CG23" i="5"/>
  <c r="CC22" i="5"/>
  <c r="CW80" i="5"/>
  <c r="CX79" i="5"/>
  <c r="DP11" i="37"/>
  <c r="DO11" i="37"/>
  <c r="DR11" i="37"/>
  <c r="DQ11" i="37"/>
  <c r="I53" i="33"/>
  <c r="T10" i="19" s="1"/>
  <c r="AR58" i="37"/>
  <c r="J68" i="33" s="1"/>
  <c r="AT47" i="37"/>
  <c r="EC13" i="37" s="1"/>
  <c r="AT52" i="37"/>
  <c r="EH13" i="37" s="1"/>
  <c r="AT53" i="37"/>
  <c r="EI13" i="37" s="1"/>
  <c r="AT45" i="37"/>
  <c r="EA13" i="37" s="1"/>
  <c r="AR29" i="37"/>
  <c r="J53" i="33" s="1"/>
  <c r="AS53" i="37"/>
  <c r="EI12" i="37" s="1"/>
  <c r="AS39" i="37"/>
  <c r="DU12" i="37" s="1"/>
  <c r="AS40" i="37"/>
  <c r="DV12" i="37" s="1"/>
  <c r="AS52" i="37"/>
  <c r="EH12" i="37" s="1"/>
  <c r="AS34" i="37"/>
  <c r="AS33" i="37"/>
  <c r="AS44" i="37"/>
  <c r="DZ12" i="37" s="1"/>
  <c r="AS57" i="37"/>
  <c r="EM12" i="37" s="1"/>
  <c r="AA68" i="56"/>
  <c r="Z32" i="5"/>
  <c r="AB32" i="5" s="1"/>
  <c r="AL31" i="5"/>
  <c r="AK31" i="5" s="1"/>
  <c r="N33" i="5"/>
  <c r="M33" i="5"/>
  <c r="U21" i="51"/>
  <c r="Q21" i="51"/>
  <c r="S21" i="51"/>
  <c r="I59" i="33"/>
  <c r="I75" i="33" s="1"/>
  <c r="I64" i="33"/>
  <c r="I80" i="33" s="1"/>
  <c r="I63" i="33"/>
  <c r="I79" i="33" s="1"/>
  <c r="I60" i="33"/>
  <c r="I76" i="33" s="1"/>
  <c r="I57" i="33"/>
  <c r="I73" i="33" s="1"/>
  <c r="I62" i="33"/>
  <c r="I78" i="33" s="1"/>
  <c r="I58" i="33"/>
  <c r="I74" i="33" s="1"/>
  <c r="I61" i="33"/>
  <c r="I77" i="33" s="1"/>
  <c r="L8" i="33"/>
  <c r="L28" i="33" s="1"/>
  <c r="L12" i="33"/>
  <c r="L32" i="33" s="1"/>
  <c r="L17" i="33"/>
  <c r="L37" i="33" s="1"/>
  <c r="L7" i="33"/>
  <c r="L27" i="33" s="1"/>
  <c r="L20" i="33"/>
  <c r="L10" i="33"/>
  <c r="L30" i="33" s="1"/>
  <c r="L11" i="33"/>
  <c r="L31" i="33" s="1"/>
  <c r="L18" i="33"/>
  <c r="L38" i="33" s="1"/>
  <c r="L9" i="33"/>
  <c r="L29" i="33" s="1"/>
  <c r="L13" i="33"/>
  <c r="L33" i="33" s="1"/>
  <c r="L19" i="33"/>
  <c r="L16" i="33"/>
  <c r="L36" i="33" s="1"/>
  <c r="L15" i="33"/>
  <c r="L35" i="33" s="1"/>
  <c r="K7" i="33"/>
  <c r="K27" i="33" s="1"/>
  <c r="K20" i="33"/>
  <c r="K8" i="33"/>
  <c r="K28" i="33" s="1"/>
  <c r="K10" i="33"/>
  <c r="K30" i="33" s="1"/>
  <c r="K19" i="33"/>
  <c r="K11" i="33"/>
  <c r="K31" i="33" s="1"/>
  <c r="K9" i="33"/>
  <c r="K29" i="33" s="1"/>
  <c r="K18" i="33"/>
  <c r="K38" i="33" s="1"/>
  <c r="K12" i="33"/>
  <c r="K32" i="33" s="1"/>
  <c r="K13" i="33"/>
  <c r="K33" i="33" s="1"/>
  <c r="K16" i="33"/>
  <c r="K36" i="33" s="1"/>
  <c r="K17" i="33"/>
  <c r="K37" i="33" s="1"/>
  <c r="K15" i="33"/>
  <c r="K35" i="33" s="1"/>
  <c r="C21" i="50"/>
  <c r="DH4" i="50" s="1"/>
  <c r="C6" i="50"/>
  <c r="AB4" i="50" s="1"/>
  <c r="EM22" i="50"/>
  <c r="EY22" i="50"/>
  <c r="ES22" i="50"/>
  <c r="DI22" i="50"/>
  <c r="J44" i="33"/>
  <c r="J48" i="33"/>
  <c r="J43" i="33"/>
  <c r="J47" i="33"/>
  <c r="J45" i="33"/>
  <c r="J49" i="33"/>
  <c r="J46" i="33"/>
  <c r="J42" i="33"/>
  <c r="D13" i="2"/>
  <c r="D10" i="41" s="1"/>
  <c r="E10" i="41" s="1"/>
  <c r="F10" i="41" s="1"/>
  <c r="G10" i="41" s="1"/>
  <c r="H10" i="41" s="1"/>
  <c r="I10" i="41" s="1"/>
  <c r="J10" i="41" s="1"/>
  <c r="K10" i="41" s="1"/>
  <c r="L10" i="41" s="1"/>
  <c r="M10" i="41" s="1"/>
  <c r="N10" i="41" s="1"/>
  <c r="O10" i="41" s="1"/>
  <c r="P10" i="41" s="1"/>
  <c r="Q10" i="41" s="1"/>
  <c r="R10" i="41" s="1"/>
  <c r="S10" i="41" s="1"/>
  <c r="T10" i="41" s="1"/>
  <c r="U10" i="41" s="1"/>
  <c r="V10" i="41" s="1"/>
  <c r="W10" i="41" s="1"/>
  <c r="X10" i="41" s="1"/>
  <c r="Y10" i="41" s="1"/>
  <c r="Z10" i="41" s="1"/>
  <c r="AA10" i="41" s="1"/>
  <c r="AB10" i="41" s="1"/>
  <c r="AC10" i="41" s="1"/>
  <c r="AD10" i="41" s="1"/>
  <c r="AE10" i="41" s="1"/>
  <c r="D14" i="2"/>
  <c r="D11" i="41" s="1"/>
  <c r="V4" i="50"/>
  <c r="D4" i="2"/>
  <c r="J23" i="50"/>
  <c r="A22" i="51" s="1"/>
  <c r="D15" i="41"/>
  <c r="E15" i="41" s="1"/>
  <c r="F15" i="41" s="1"/>
  <c r="G15" i="41" s="1"/>
  <c r="H15" i="41" s="1"/>
  <c r="I15" i="41" s="1"/>
  <c r="J15" i="41" s="1"/>
  <c r="K15" i="41" s="1"/>
  <c r="L15" i="41" s="1"/>
  <c r="M15" i="41" s="1"/>
  <c r="N15" i="41" s="1"/>
  <c r="O15" i="41" s="1"/>
  <c r="P15" i="41" s="1"/>
  <c r="Q15" i="41" s="1"/>
  <c r="R15" i="41" s="1"/>
  <c r="S15" i="41" s="1"/>
  <c r="T15" i="41" s="1"/>
  <c r="U15" i="41" s="1"/>
  <c r="V15" i="41" s="1"/>
  <c r="W15" i="41" s="1"/>
  <c r="X15" i="41" s="1"/>
  <c r="Y15" i="41" s="1"/>
  <c r="Z15" i="41" s="1"/>
  <c r="AA15" i="41" s="1"/>
  <c r="AB15" i="41" s="1"/>
  <c r="AC15" i="41" s="1"/>
  <c r="AD15" i="41" s="1"/>
  <c r="AE15" i="41" s="1"/>
  <c r="EX4" i="50"/>
  <c r="D16" i="41"/>
  <c r="E16" i="41" s="1"/>
  <c r="F16" i="41" s="1"/>
  <c r="G16" i="41" s="1"/>
  <c r="H16" i="41" s="1"/>
  <c r="I16" i="41" s="1"/>
  <c r="J16" i="41" s="1"/>
  <c r="K16" i="41" s="1"/>
  <c r="L16" i="41" s="1"/>
  <c r="M16" i="41" s="1"/>
  <c r="N16" i="41" s="1"/>
  <c r="O16" i="41" s="1"/>
  <c r="P16" i="41" s="1"/>
  <c r="Q16" i="41" s="1"/>
  <c r="R16" i="41" s="1"/>
  <c r="S16" i="41" s="1"/>
  <c r="T16" i="41" s="1"/>
  <c r="U16" i="41" s="1"/>
  <c r="V16" i="41" s="1"/>
  <c r="W16" i="41" s="1"/>
  <c r="X16" i="41" s="1"/>
  <c r="Y16" i="41" s="1"/>
  <c r="Z16" i="41" s="1"/>
  <c r="AA16" i="41" s="1"/>
  <c r="AB16" i="41" s="1"/>
  <c r="AC16" i="41" s="1"/>
  <c r="AD16" i="41" s="1"/>
  <c r="AE16" i="41" s="1"/>
  <c r="BL4" i="50"/>
  <c r="D31" i="2"/>
  <c r="AL3" i="35" s="1"/>
  <c r="BX4" i="50"/>
  <c r="J51" i="33"/>
  <c r="J66" i="33" s="1"/>
  <c r="AR1" i="41"/>
  <c r="DL1" i="41"/>
  <c r="X24" i="41"/>
  <c r="B31" i="24"/>
  <c r="A23" i="52" s="1"/>
  <c r="AA30" i="24"/>
  <c r="G7" i="2"/>
  <c r="AE5" i="41"/>
  <c r="AE26" i="41"/>
  <c r="AE14" i="41"/>
  <c r="AE6" i="41"/>
  <c r="AF27" i="41"/>
  <c r="AE7" i="41"/>
  <c r="AE17" i="41"/>
  <c r="AE9" i="41"/>
  <c r="AE4" i="41"/>
  <c r="AE12" i="41"/>
  <c r="A53" i="17"/>
  <c r="D21" i="41"/>
  <c r="E21" i="41" s="1"/>
  <c r="F21" i="41" s="1"/>
  <c r="G21" i="41" s="1"/>
  <c r="H21" i="41" s="1"/>
  <c r="I21" i="41" s="1"/>
  <c r="J21" i="41" s="1"/>
  <c r="K21" i="41" s="1"/>
  <c r="L21" i="41" s="1"/>
  <c r="M21" i="41" s="1"/>
  <c r="N21" i="41" s="1"/>
  <c r="O21" i="41" s="1"/>
  <c r="P21" i="41" s="1"/>
  <c r="Q21" i="41" s="1"/>
  <c r="R21" i="41" s="1"/>
  <c r="S21" i="41" s="1"/>
  <c r="T21" i="41" s="1"/>
  <c r="U21" i="41" s="1"/>
  <c r="V21" i="41" s="1"/>
  <c r="W21" i="41" s="1"/>
  <c r="X21" i="41" s="1"/>
  <c r="Y21" i="41" s="1"/>
  <c r="Z21" i="41" s="1"/>
  <c r="AA21" i="41" s="1"/>
  <c r="AB21" i="41" s="1"/>
  <c r="AC21" i="41" s="1"/>
  <c r="AD21" i="41" s="1"/>
  <c r="AE21" i="41" s="1"/>
  <c r="D25" i="2"/>
  <c r="G25" i="2" s="1"/>
  <c r="G18" i="2"/>
  <c r="AG3" i="35"/>
  <c r="C3" i="35"/>
  <c r="M2" i="33"/>
  <c r="AU2" i="37" s="1"/>
  <c r="C33" i="14"/>
  <c r="C42" i="14" s="1"/>
  <c r="W3" i="35"/>
  <c r="K3" i="35"/>
  <c r="L3" i="35" s="1"/>
  <c r="H4" i="35" s="1"/>
  <c r="K1" i="33"/>
  <c r="K50" i="33" s="1"/>
  <c r="K65" i="33" s="1"/>
  <c r="R3" i="35"/>
  <c r="G16" i="14"/>
  <c r="I10" i="24" s="1"/>
  <c r="P4" i="29"/>
  <c r="AT41" i="37" l="1"/>
  <c r="DW13" i="37" s="1"/>
  <c r="AT51" i="37"/>
  <c r="EG13" i="37" s="1"/>
  <c r="AT40" i="37"/>
  <c r="DV13" i="37" s="1"/>
  <c r="AS54" i="37"/>
  <c r="EJ12" i="37" s="1"/>
  <c r="AS42" i="37"/>
  <c r="DX12" i="37" s="1"/>
  <c r="AT39" i="37"/>
  <c r="DU13" i="37" s="1"/>
  <c r="AS49" i="37"/>
  <c r="EE12" i="37" s="1"/>
  <c r="AS38" i="37"/>
  <c r="DT12" i="37" s="1"/>
  <c r="AU31" i="37"/>
  <c r="AU57" i="37" s="1"/>
  <c r="EM14" i="37" s="1"/>
  <c r="AU13" i="37"/>
  <c r="AU42" i="37" s="1"/>
  <c r="DX14" i="37" s="1"/>
  <c r="AU25" i="37"/>
  <c r="AU54" i="37" s="1"/>
  <c r="EJ14" i="37" s="1"/>
  <c r="AU9" i="37"/>
  <c r="AU38" i="37" s="1"/>
  <c r="DT14" i="37" s="1"/>
  <c r="AU28" i="37"/>
  <c r="AU10" i="37"/>
  <c r="AU11" i="37"/>
  <c r="AU12" i="37"/>
  <c r="AU18" i="37"/>
  <c r="AU23" i="37"/>
  <c r="AU26" i="37"/>
  <c r="AU21" i="37"/>
  <c r="AU4" i="37"/>
  <c r="AU33" i="37" s="1"/>
  <c r="AU8" i="37"/>
  <c r="AU37" i="37" s="1"/>
  <c r="DS14" i="37" s="1"/>
  <c r="AU19" i="37"/>
  <c r="AU48" i="37" s="1"/>
  <c r="ED14" i="37" s="1"/>
  <c r="AU7" i="37"/>
  <c r="AU36" i="37" s="1"/>
  <c r="AU5" i="37"/>
  <c r="AU27" i="37"/>
  <c r="AU20" i="37"/>
  <c r="AU6" i="37"/>
  <c r="AU16" i="37"/>
  <c r="AU22" i="37"/>
  <c r="AU15" i="37"/>
  <c r="AU14" i="37"/>
  <c r="AU17" i="37"/>
  <c r="AU46" i="37" s="1"/>
  <c r="EB14" i="37" s="1"/>
  <c r="AU24" i="37"/>
  <c r="AU53" i="37" s="1"/>
  <c r="EI14" i="37" s="1"/>
  <c r="AU3" i="37"/>
  <c r="AU32" i="37" s="1"/>
  <c r="DN14" i="37" s="1"/>
  <c r="G9" i="2"/>
  <c r="D8" i="41"/>
  <c r="E8" i="41" s="1"/>
  <c r="F8" i="41" s="1"/>
  <c r="G8" i="41" s="1"/>
  <c r="H8" i="41" s="1"/>
  <c r="I8" i="41" s="1"/>
  <c r="J8" i="41" s="1"/>
  <c r="K8" i="41" s="1"/>
  <c r="L8" i="41" s="1"/>
  <c r="M8" i="41" s="1"/>
  <c r="N8" i="41" s="1"/>
  <c r="O8" i="41" s="1"/>
  <c r="P8" i="41" s="1"/>
  <c r="Q8" i="41" s="1"/>
  <c r="R8" i="41" s="1"/>
  <c r="S8" i="41" s="1"/>
  <c r="T8" i="41" s="1"/>
  <c r="U8" i="41" s="1"/>
  <c r="V8" i="41" s="1"/>
  <c r="W8" i="41" s="1"/>
  <c r="X8" i="41" s="1"/>
  <c r="Y8" i="41" s="1"/>
  <c r="Z8" i="41" s="1"/>
  <c r="AA8" i="41" s="1"/>
  <c r="AB8" i="41" s="1"/>
  <c r="AC8" i="41" s="1"/>
  <c r="AD8" i="41" s="1"/>
  <c r="AE8" i="41" s="1"/>
  <c r="D18" i="41"/>
  <c r="E18" i="41" s="1"/>
  <c r="F18" i="41" s="1"/>
  <c r="G18" i="41" s="1"/>
  <c r="H18" i="41" s="1"/>
  <c r="I18" i="41" s="1"/>
  <c r="J18" i="41" s="1"/>
  <c r="K18" i="41" s="1"/>
  <c r="L18" i="41" s="1"/>
  <c r="M18" i="41" s="1"/>
  <c r="N18" i="41" s="1"/>
  <c r="O18" i="41" s="1"/>
  <c r="P18" i="41" s="1"/>
  <c r="Q18" i="41" s="1"/>
  <c r="R18" i="41" s="1"/>
  <c r="S18" i="41" s="1"/>
  <c r="T18" i="41" s="1"/>
  <c r="U18" i="41" s="1"/>
  <c r="V18" i="41" s="1"/>
  <c r="W18" i="41" s="1"/>
  <c r="X18" i="41" s="1"/>
  <c r="Y18" i="41" s="1"/>
  <c r="Z18" i="41" s="1"/>
  <c r="AA18" i="41" s="1"/>
  <c r="AB18" i="41" s="1"/>
  <c r="AC18" i="41" s="1"/>
  <c r="AD18" i="41" s="1"/>
  <c r="AE18" i="41" s="1"/>
  <c r="G21" i="2"/>
  <c r="G24" i="2"/>
  <c r="D19" i="41"/>
  <c r="E19" i="41" s="1"/>
  <c r="F19" i="41" s="1"/>
  <c r="G19" i="41" s="1"/>
  <c r="H19" i="41" s="1"/>
  <c r="I19" i="41" s="1"/>
  <c r="J19" i="41" s="1"/>
  <c r="K19" i="41" s="1"/>
  <c r="L19" i="41" s="1"/>
  <c r="M19" i="41" s="1"/>
  <c r="N19" i="41" s="1"/>
  <c r="O19" i="41" s="1"/>
  <c r="P19" i="41" s="1"/>
  <c r="Q19" i="41" s="1"/>
  <c r="R19" i="41" s="1"/>
  <c r="S19" i="41" s="1"/>
  <c r="T19" i="41" s="1"/>
  <c r="U19" i="41" s="1"/>
  <c r="V19" i="41" s="1"/>
  <c r="W19" i="41" s="1"/>
  <c r="X19" i="41" s="1"/>
  <c r="Y19" i="41" s="1"/>
  <c r="Z19" i="41" s="1"/>
  <c r="AA19" i="41" s="1"/>
  <c r="AB19" i="41" s="1"/>
  <c r="AC19" i="41" s="1"/>
  <c r="AD19" i="41" s="1"/>
  <c r="AE19" i="41" s="1"/>
  <c r="AF19" i="41" s="1"/>
  <c r="AK321" i="5"/>
  <c r="AM321" i="5" s="1"/>
  <c r="AL321" i="5"/>
  <c r="P323" i="5"/>
  <c r="O323" i="5" s="1"/>
  <c r="AA321" i="5"/>
  <c r="Z321" i="5" s="1"/>
  <c r="CH23" i="5"/>
  <c r="CP23" i="5"/>
  <c r="BW22" i="5"/>
  <c r="BV22" i="5" s="1"/>
  <c r="BX22" i="5" s="1"/>
  <c r="Y33" i="5"/>
  <c r="CX80" i="5"/>
  <c r="CW81" i="5"/>
  <c r="DP13" i="37"/>
  <c r="DQ13" i="37"/>
  <c r="DR13" i="37"/>
  <c r="DO13" i="37"/>
  <c r="DP12" i="37"/>
  <c r="DQ12" i="37"/>
  <c r="DR12" i="37"/>
  <c r="DO12" i="37"/>
  <c r="AS58" i="37"/>
  <c r="K68" i="33" s="1"/>
  <c r="AU45" i="37"/>
  <c r="EA14" i="37" s="1"/>
  <c r="AU41" i="37"/>
  <c r="DW14" i="37" s="1"/>
  <c r="AU47" i="37"/>
  <c r="EC14" i="37" s="1"/>
  <c r="AS29" i="37"/>
  <c r="K53" i="33" s="1"/>
  <c r="T12" i="19" s="1"/>
  <c r="AT29" i="37"/>
  <c r="L53" i="33" s="1"/>
  <c r="AA69" i="56"/>
  <c r="I84" i="33"/>
  <c r="I85" i="33" s="1"/>
  <c r="E9" i="31" s="1"/>
  <c r="H84" i="33"/>
  <c r="H85" i="33" s="1"/>
  <c r="E8" i="31" s="1"/>
  <c r="P33" i="5"/>
  <c r="O33" i="5" s="1"/>
  <c r="Q33" i="5" s="1"/>
  <c r="AA33" i="5"/>
  <c r="Z33" i="5" s="1"/>
  <c r="AB33" i="5" s="1"/>
  <c r="X33" i="5"/>
  <c r="AM31" i="5"/>
  <c r="AJ32" i="5" s="1"/>
  <c r="AI32" i="5"/>
  <c r="J57" i="33"/>
  <c r="J73" i="33" s="1"/>
  <c r="J61" i="33"/>
  <c r="J77" i="33" s="1"/>
  <c r="J64" i="33"/>
  <c r="J80" i="33" s="1"/>
  <c r="J60" i="33"/>
  <c r="J76" i="33" s="1"/>
  <c r="J62" i="33"/>
  <c r="J78" i="33" s="1"/>
  <c r="J58" i="33"/>
  <c r="J74" i="33" s="1"/>
  <c r="Q22" i="51"/>
  <c r="S22" i="51"/>
  <c r="U22" i="51"/>
  <c r="J63" i="33"/>
  <c r="J79" i="33" s="1"/>
  <c r="J59" i="33"/>
  <c r="J75" i="33" s="1"/>
  <c r="O9" i="19"/>
  <c r="F17" i="24"/>
  <c r="M8" i="33"/>
  <c r="M28" i="33" s="1"/>
  <c r="M12" i="33"/>
  <c r="M32" i="33" s="1"/>
  <c r="M17" i="33"/>
  <c r="M37" i="33" s="1"/>
  <c r="M7" i="33"/>
  <c r="M27" i="33" s="1"/>
  <c r="M11" i="33"/>
  <c r="M31" i="33" s="1"/>
  <c r="M16" i="33"/>
  <c r="M36" i="33" s="1"/>
  <c r="M20" i="33"/>
  <c r="M10" i="33"/>
  <c r="M30" i="33" s="1"/>
  <c r="M18" i="33"/>
  <c r="M38" i="33" s="1"/>
  <c r="M9" i="33"/>
  <c r="M29" i="33" s="1"/>
  <c r="M13" i="33"/>
  <c r="M33" i="33" s="1"/>
  <c r="M19" i="33"/>
  <c r="M15" i="33"/>
  <c r="M35" i="33" s="1"/>
  <c r="T11" i="19"/>
  <c r="F18" i="24"/>
  <c r="O10" i="19"/>
  <c r="B30" i="54"/>
  <c r="D25" i="41"/>
  <c r="E25" i="41" s="1"/>
  <c r="F25" i="41" s="1"/>
  <c r="G25" i="41" s="1"/>
  <c r="H25" i="41" s="1"/>
  <c r="I25" i="41" s="1"/>
  <c r="J25" i="41" s="1"/>
  <c r="K25" i="41" s="1"/>
  <c r="L25" i="41" s="1"/>
  <c r="M25" i="41" s="1"/>
  <c r="N25" i="41" s="1"/>
  <c r="O25" i="41" s="1"/>
  <c r="P25" i="41" s="1"/>
  <c r="Q25" i="41" s="1"/>
  <c r="R25" i="41" s="1"/>
  <c r="S25" i="41" s="1"/>
  <c r="T25" i="41" s="1"/>
  <c r="U25" i="41" s="1"/>
  <c r="V25" i="41" s="1"/>
  <c r="W25" i="41" s="1"/>
  <c r="X25" i="41" s="1"/>
  <c r="Y25" i="41" s="1"/>
  <c r="Z25" i="41" s="1"/>
  <c r="AA25" i="41" s="1"/>
  <c r="AB25" i="41" s="1"/>
  <c r="AC25" i="41" s="1"/>
  <c r="AD25" i="41" s="1"/>
  <c r="AE25" i="41" s="1"/>
  <c r="AF25" i="41" s="1"/>
  <c r="N8" i="2"/>
  <c r="L8" i="2"/>
  <c r="D3" i="41"/>
  <c r="E3" i="41" s="1"/>
  <c r="F3" i="41" s="1"/>
  <c r="G3" i="41" s="1"/>
  <c r="H3" i="41" s="1"/>
  <c r="I3" i="41" s="1"/>
  <c r="J3" i="41" s="1"/>
  <c r="K3" i="41" s="1"/>
  <c r="L3" i="41" s="1"/>
  <c r="M3" i="41" s="1"/>
  <c r="N3" i="41" s="1"/>
  <c r="O3" i="41" s="1"/>
  <c r="P3" i="41" s="1"/>
  <c r="Q3" i="41" s="1"/>
  <c r="R3" i="41" s="1"/>
  <c r="S3" i="41" s="1"/>
  <c r="T3" i="41" s="1"/>
  <c r="U3" i="41" s="1"/>
  <c r="V3" i="41" s="1"/>
  <c r="W3" i="41" s="1"/>
  <c r="X3" i="41" s="1"/>
  <c r="Y3" i="41" s="1"/>
  <c r="Z3" i="41" s="1"/>
  <c r="AA3" i="41" s="1"/>
  <c r="AB3" i="41" s="1"/>
  <c r="AC3" i="41" s="1"/>
  <c r="AD3" i="41" s="1"/>
  <c r="AE3" i="41" s="1"/>
  <c r="AF3" i="41" s="1"/>
  <c r="M3" i="35"/>
  <c r="G14" i="2"/>
  <c r="G4" i="2"/>
  <c r="ES23" i="50"/>
  <c r="EY23" i="50"/>
  <c r="EM23" i="50"/>
  <c r="AB3" i="35"/>
  <c r="DI23" i="50"/>
  <c r="K44" i="33"/>
  <c r="K48" i="33"/>
  <c r="K43" i="33"/>
  <c r="K47" i="33"/>
  <c r="K42" i="33"/>
  <c r="K45" i="33"/>
  <c r="K46" i="33"/>
  <c r="K49" i="33"/>
  <c r="J24" i="50"/>
  <c r="A23" i="51" s="1"/>
  <c r="D13" i="41"/>
  <c r="E13" i="41" s="1"/>
  <c r="F13" i="41" s="1"/>
  <c r="G13" i="41" s="1"/>
  <c r="H13" i="41" s="1"/>
  <c r="I13" i="41" s="1"/>
  <c r="J13" i="41" s="1"/>
  <c r="K13" i="41" s="1"/>
  <c r="L13" i="41" s="1"/>
  <c r="M13" i="41" s="1"/>
  <c r="N13" i="41" s="1"/>
  <c r="O13" i="41" s="1"/>
  <c r="P13" i="41" s="1"/>
  <c r="Q13" i="41" s="1"/>
  <c r="R13" i="41" s="1"/>
  <c r="S13" i="41" s="1"/>
  <c r="T13" i="41" s="1"/>
  <c r="U13" i="41" s="1"/>
  <c r="V13" i="41" s="1"/>
  <c r="W13" i="41" s="1"/>
  <c r="X13" i="41" s="1"/>
  <c r="Y13" i="41" s="1"/>
  <c r="Z13" i="41" s="1"/>
  <c r="AA13" i="41" s="1"/>
  <c r="AB13" i="41" s="1"/>
  <c r="AC13" i="41" s="1"/>
  <c r="AD13" i="41" s="1"/>
  <c r="AE13" i="41" s="1"/>
  <c r="AF13" i="41" s="1"/>
  <c r="D22" i="41"/>
  <c r="E22" i="41" s="1"/>
  <c r="F22" i="41" s="1"/>
  <c r="G22" i="41" s="1"/>
  <c r="H22" i="41" s="1"/>
  <c r="I22" i="41" s="1"/>
  <c r="J22" i="41" s="1"/>
  <c r="K22" i="41" s="1"/>
  <c r="L22" i="41" s="1"/>
  <c r="M22" i="41" s="1"/>
  <c r="N22" i="41" s="1"/>
  <c r="O22" i="41" s="1"/>
  <c r="P22" i="41" s="1"/>
  <c r="Q22" i="41" s="1"/>
  <c r="R22" i="41" s="1"/>
  <c r="S22" i="41" s="1"/>
  <c r="T22" i="41" s="1"/>
  <c r="U22" i="41" s="1"/>
  <c r="V22" i="41" s="1"/>
  <c r="W22" i="41" s="1"/>
  <c r="X22" i="41" s="1"/>
  <c r="Y22" i="41" s="1"/>
  <c r="Z22" i="41" s="1"/>
  <c r="AA22" i="41" s="1"/>
  <c r="AB22" i="41" s="1"/>
  <c r="AC22" i="41" s="1"/>
  <c r="AD22" i="41" s="1"/>
  <c r="AE22" i="41" s="1"/>
  <c r="AF22" i="41" s="1"/>
  <c r="L7" i="2"/>
  <c r="D33" i="2"/>
  <c r="D23" i="41"/>
  <c r="E23" i="41" s="1"/>
  <c r="F23" i="41" s="1"/>
  <c r="G23" i="41" s="1"/>
  <c r="H23" i="41" s="1"/>
  <c r="I23" i="41" s="1"/>
  <c r="J23" i="41" s="1"/>
  <c r="K23" i="41" s="1"/>
  <c r="L23" i="41" s="1"/>
  <c r="M23" i="41" s="1"/>
  <c r="N23" i="41" s="1"/>
  <c r="O23" i="41" s="1"/>
  <c r="P23" i="41" s="1"/>
  <c r="Q23" i="41" s="1"/>
  <c r="R23" i="41" s="1"/>
  <c r="S23" i="41" s="1"/>
  <c r="T23" i="41" s="1"/>
  <c r="U23" i="41" s="1"/>
  <c r="V23" i="41" s="1"/>
  <c r="W23" i="41" s="1"/>
  <c r="X23" i="41" s="1"/>
  <c r="Y23" i="41" s="1"/>
  <c r="Z23" i="41" s="1"/>
  <c r="AA23" i="41" s="1"/>
  <c r="AB23" i="41" s="1"/>
  <c r="AC23" i="41" s="1"/>
  <c r="AD23" i="41" s="1"/>
  <c r="AE23" i="41" s="1"/>
  <c r="AF23" i="41" s="1"/>
  <c r="G31" i="2"/>
  <c r="AO3" i="35" s="1"/>
  <c r="AP3" i="35" s="1"/>
  <c r="AL4" i="35" s="1"/>
  <c r="AO4" i="35" s="1"/>
  <c r="AP4" i="35" s="1"/>
  <c r="AL5" i="35" s="1"/>
  <c r="AO5" i="35" s="1"/>
  <c r="AP5" i="35" s="1"/>
  <c r="AL6" i="35" s="1"/>
  <c r="AO6" i="35" s="1"/>
  <c r="AP6" i="35" s="1"/>
  <c r="AL7" i="35" s="1"/>
  <c r="AO7" i="35" s="1"/>
  <c r="AP7" i="35" s="1"/>
  <c r="AL8" i="35" s="1"/>
  <c r="AV3" i="35"/>
  <c r="AY3" i="35" s="1"/>
  <c r="AZ3" i="35" s="1"/>
  <c r="AV4" i="35" s="1"/>
  <c r="AY4" i="35" s="1"/>
  <c r="AZ4" i="35" s="1"/>
  <c r="AV5" i="35" s="1"/>
  <c r="D20" i="41"/>
  <c r="E20" i="41" s="1"/>
  <c r="F20" i="41" s="1"/>
  <c r="G20" i="41" s="1"/>
  <c r="H20" i="41" s="1"/>
  <c r="I20" i="41" s="1"/>
  <c r="J20" i="41" s="1"/>
  <c r="K20" i="41" s="1"/>
  <c r="L20" i="41" s="1"/>
  <c r="M20" i="41" s="1"/>
  <c r="N20" i="41" s="1"/>
  <c r="O20" i="41" s="1"/>
  <c r="P20" i="41" s="1"/>
  <c r="Q20" i="41" s="1"/>
  <c r="R20" i="41" s="1"/>
  <c r="S20" i="41" s="1"/>
  <c r="T20" i="41" s="1"/>
  <c r="U20" i="41" s="1"/>
  <c r="V20" i="41" s="1"/>
  <c r="W20" i="41" s="1"/>
  <c r="X20" i="41" s="1"/>
  <c r="Y20" i="41" s="1"/>
  <c r="Z20" i="41" s="1"/>
  <c r="AA20" i="41" s="1"/>
  <c r="AB20" i="41" s="1"/>
  <c r="AC20" i="41" s="1"/>
  <c r="AD20" i="41" s="1"/>
  <c r="AE20" i="41" s="1"/>
  <c r="AF20" i="41" s="1"/>
  <c r="K51" i="33"/>
  <c r="K66" i="33" s="1"/>
  <c r="E11" i="41"/>
  <c r="K81" i="33"/>
  <c r="AS1" i="41"/>
  <c r="DM1" i="41"/>
  <c r="Y24" i="41"/>
  <c r="B32" i="24"/>
  <c r="A24" i="52" s="1"/>
  <c r="AA31" i="24"/>
  <c r="J81" i="33"/>
  <c r="L4" i="2"/>
  <c r="AF8" i="41"/>
  <c r="AF12" i="41"/>
  <c r="AF16" i="41"/>
  <c r="AF4" i="41"/>
  <c r="AF9" i="41"/>
  <c r="AF17" i="41"/>
  <c r="AF21" i="41"/>
  <c r="AF7" i="41"/>
  <c r="AF15" i="41"/>
  <c r="AG27" i="41"/>
  <c r="AF10" i="41"/>
  <c r="AF18" i="41"/>
  <c r="AF6" i="41"/>
  <c r="AF14" i="41"/>
  <c r="AF26" i="41"/>
  <c r="AF5" i="41"/>
  <c r="A54" i="17"/>
  <c r="G17" i="2"/>
  <c r="AJ3" i="35" s="1"/>
  <c r="AK3" i="35" s="1"/>
  <c r="AG4" i="35" s="1"/>
  <c r="G19" i="2"/>
  <c r="L6" i="2"/>
  <c r="D28" i="2"/>
  <c r="G5" i="2"/>
  <c r="D11" i="2"/>
  <c r="G13" i="2"/>
  <c r="D22" i="2"/>
  <c r="L5" i="2"/>
  <c r="F3" i="35"/>
  <c r="G3" i="35" s="1"/>
  <c r="C4" i="35" s="1"/>
  <c r="N2" i="33"/>
  <c r="AV2" i="37" s="1"/>
  <c r="Z3" i="35"/>
  <c r="AA3" i="35" s="1"/>
  <c r="W4" i="35" s="1"/>
  <c r="U3" i="35"/>
  <c r="V3" i="35" s="1"/>
  <c r="R4" i="35" s="1"/>
  <c r="K4" i="35"/>
  <c r="L4" i="35" s="1"/>
  <c r="H5" i="35" s="1"/>
  <c r="K5" i="35" s="1"/>
  <c r="L5" i="35" s="1"/>
  <c r="H6" i="35" s="1"/>
  <c r="K6" i="35" s="1"/>
  <c r="L6" i="35" s="1"/>
  <c r="H7" i="35" s="1"/>
  <c r="K7" i="35" s="1"/>
  <c r="L7" i="35" s="1"/>
  <c r="H8" i="35" s="1"/>
  <c r="K8" i="35" s="1"/>
  <c r="L8" i="35" s="1"/>
  <c r="H9" i="35" s="1"/>
  <c r="K9" i="35" s="1"/>
  <c r="L9" i="35" s="1"/>
  <c r="H10" i="35" s="1"/>
  <c r="K10" i="35" s="1"/>
  <c r="L10" i="35" s="1"/>
  <c r="H11" i="35" s="1"/>
  <c r="K11" i="35" s="1"/>
  <c r="L11" i="35" s="1"/>
  <c r="H12" i="35" s="1"/>
  <c r="K12" i="35" s="1"/>
  <c r="L12" i="35" s="1"/>
  <c r="H13" i="35" s="1"/>
  <c r="K13" i="35" s="1"/>
  <c r="L13" i="35" s="1"/>
  <c r="H14" i="35" s="1"/>
  <c r="K14" i="35" s="1"/>
  <c r="L14" i="35" s="1"/>
  <c r="H15" i="35" s="1"/>
  <c r="L1" i="33"/>
  <c r="L50" i="33" s="1"/>
  <c r="L65" i="33" s="1"/>
  <c r="P5" i="29"/>
  <c r="AU43" i="37" l="1"/>
  <c r="DY14" i="37" s="1"/>
  <c r="AU55" i="37"/>
  <c r="EK14" i="37" s="1"/>
  <c r="AU51" i="37"/>
  <c r="EG14" i="37" s="1"/>
  <c r="AU35" i="37"/>
  <c r="AU39" i="37"/>
  <c r="DU14" i="37" s="1"/>
  <c r="AU49" i="37"/>
  <c r="EE14" i="37" s="1"/>
  <c r="AU56" i="37"/>
  <c r="EL14" i="37" s="1"/>
  <c r="AU50" i="37"/>
  <c r="EF14" i="37" s="1"/>
  <c r="AU34" i="37"/>
  <c r="DP14" i="37" s="1"/>
  <c r="AU44" i="37"/>
  <c r="DZ14" i="37" s="1"/>
  <c r="AU40" i="37"/>
  <c r="DV14" i="37" s="1"/>
  <c r="AU52" i="37"/>
  <c r="EH14" i="37" s="1"/>
  <c r="AT58" i="37"/>
  <c r="L68" i="33" s="1"/>
  <c r="AV31" i="37"/>
  <c r="AV44" i="37" s="1"/>
  <c r="DZ15" i="37" s="1"/>
  <c r="AV5" i="37"/>
  <c r="AV9" i="37"/>
  <c r="AV13" i="37"/>
  <c r="AV4" i="37"/>
  <c r="AV33" i="37" s="1"/>
  <c r="AV17" i="37"/>
  <c r="AV21" i="37"/>
  <c r="AV50" i="37" s="1"/>
  <c r="EF15" i="37" s="1"/>
  <c r="AV25" i="37"/>
  <c r="AV54" i="37" s="1"/>
  <c r="EJ15" i="37" s="1"/>
  <c r="AV8" i="37"/>
  <c r="AV37" i="37" s="1"/>
  <c r="DS15" i="37" s="1"/>
  <c r="AV12" i="37"/>
  <c r="AV41" i="37" s="1"/>
  <c r="DW15" i="37" s="1"/>
  <c r="AV16" i="37"/>
  <c r="AV45" i="37" s="1"/>
  <c r="EA15" i="37" s="1"/>
  <c r="AV18" i="37"/>
  <c r="AV14" i="37"/>
  <c r="AV15" i="37"/>
  <c r="AV24" i="37"/>
  <c r="AV28" i="37"/>
  <c r="AV10" i="37"/>
  <c r="AV39" i="37" s="1"/>
  <c r="DU15" i="37" s="1"/>
  <c r="AV11" i="37"/>
  <c r="AV40" i="37" s="1"/>
  <c r="DV15" i="37" s="1"/>
  <c r="AV26" i="37"/>
  <c r="AV19" i="37"/>
  <c r="AV48" i="37" s="1"/>
  <c r="ED15" i="37" s="1"/>
  <c r="AV23" i="37"/>
  <c r="AV52" i="37" s="1"/>
  <c r="EH15" i="37" s="1"/>
  <c r="AV7" i="37"/>
  <c r="AV36" i="37" s="1"/>
  <c r="AV27" i="37"/>
  <c r="AV56" i="37" s="1"/>
  <c r="EL15" i="37" s="1"/>
  <c r="AV22" i="37"/>
  <c r="AV6" i="37"/>
  <c r="AV35" i="37" s="1"/>
  <c r="AV20" i="37"/>
  <c r="AV3" i="37"/>
  <c r="D4" i="54"/>
  <c r="D6" i="54"/>
  <c r="AB321" i="5"/>
  <c r="Y322" i="5"/>
  <c r="Q323" i="5"/>
  <c r="N324" i="5"/>
  <c r="AJ322" i="5"/>
  <c r="CJ23" i="5"/>
  <c r="CI23" i="5" s="1"/>
  <c r="CK23" i="5" s="1"/>
  <c r="BT23" i="5"/>
  <c r="BU23" i="5" s="1"/>
  <c r="X34" i="5"/>
  <c r="CX81" i="5"/>
  <c r="CW82" i="5"/>
  <c r="DO14" i="37"/>
  <c r="DQ14" i="37"/>
  <c r="DR14" i="37"/>
  <c r="AU29" i="37"/>
  <c r="M53" i="33" s="1"/>
  <c r="AV46" i="37"/>
  <c r="EB15" i="37" s="1"/>
  <c r="AV53" i="37"/>
  <c r="EI15" i="37" s="1"/>
  <c r="AV43" i="37"/>
  <c r="DY15" i="37" s="1"/>
  <c r="AV38" i="37"/>
  <c r="DT15" i="37" s="1"/>
  <c r="AV49" i="37"/>
  <c r="EE15" i="37" s="1"/>
  <c r="AV55" i="37"/>
  <c r="EK15" i="37" s="1"/>
  <c r="AV42" i="37"/>
  <c r="DX15" i="37" s="1"/>
  <c r="AA70" i="56"/>
  <c r="AL32" i="5"/>
  <c r="AK32" i="5" s="1"/>
  <c r="Y34" i="5"/>
  <c r="N34" i="5"/>
  <c r="M34" i="5"/>
  <c r="K58" i="33"/>
  <c r="K74" i="33" s="1"/>
  <c r="K63" i="33"/>
  <c r="K79" i="33" s="1"/>
  <c r="K59" i="33"/>
  <c r="K75" i="33" s="1"/>
  <c r="S23" i="51"/>
  <c r="U23" i="51"/>
  <c r="Q23" i="51"/>
  <c r="K64" i="33"/>
  <c r="K80" i="33" s="1"/>
  <c r="K61" i="33"/>
  <c r="K77" i="33" s="1"/>
  <c r="K60" i="33"/>
  <c r="K76" i="33" s="1"/>
  <c r="K57" i="33"/>
  <c r="K73" i="33" s="1"/>
  <c r="K62" i="33"/>
  <c r="K78" i="33" s="1"/>
  <c r="D8" i="54"/>
  <c r="D23" i="54"/>
  <c r="AQ3" i="35"/>
  <c r="AT3" i="35" s="1"/>
  <c r="AU3" i="35" s="1"/>
  <c r="AQ4" i="35" s="1"/>
  <c r="AT4" i="35" s="1"/>
  <c r="AU4" i="35" s="1"/>
  <c r="AQ5" i="35" s="1"/>
  <c r="AT5" i="35" s="1"/>
  <c r="AU5" i="35" s="1"/>
  <c r="AQ6" i="35" s="1"/>
  <c r="AT6" i="35" s="1"/>
  <c r="AU6" i="35" s="1"/>
  <c r="AQ7" i="35" s="1"/>
  <c r="AT7" i="35" s="1"/>
  <c r="AU7" i="35" s="1"/>
  <c r="AQ8" i="35" s="1"/>
  <c r="F24" i="2"/>
  <c r="F26" i="2"/>
  <c r="F25" i="2"/>
  <c r="F27" i="2"/>
  <c r="D16" i="54"/>
  <c r="D11" i="54"/>
  <c r="D10" i="54"/>
  <c r="D2" i="54"/>
  <c r="D18" i="54"/>
  <c r="D28" i="54"/>
  <c r="D24" i="54"/>
  <c r="D26" i="54"/>
  <c r="D5" i="54"/>
  <c r="D27" i="54"/>
  <c r="D7" i="54"/>
  <c r="D9" i="54"/>
  <c r="D19" i="54"/>
  <c r="D25" i="54"/>
  <c r="D12" i="54"/>
  <c r="D3" i="54"/>
  <c r="D20" i="54"/>
  <c r="D13" i="54"/>
  <c r="D21" i="54"/>
  <c r="D22" i="54"/>
  <c r="D14" i="54"/>
  <c r="N7" i="33"/>
  <c r="N27" i="33" s="1"/>
  <c r="N20" i="33"/>
  <c r="N8" i="33"/>
  <c r="N28" i="33" s="1"/>
  <c r="N9" i="33"/>
  <c r="N29" i="33" s="1"/>
  <c r="N17" i="33"/>
  <c r="N37" i="33" s="1"/>
  <c r="N19" i="33"/>
  <c r="N11" i="33"/>
  <c r="N31" i="33" s="1"/>
  <c r="N12" i="33"/>
  <c r="N32" i="33" s="1"/>
  <c r="N10" i="33"/>
  <c r="N30" i="33" s="1"/>
  <c r="N16" i="33"/>
  <c r="N36" i="33" s="1"/>
  <c r="N13" i="33"/>
  <c r="N33" i="33" s="1"/>
  <c r="N18" i="33"/>
  <c r="N38" i="33" s="1"/>
  <c r="N15" i="33"/>
  <c r="N35" i="33" s="1"/>
  <c r="T13" i="19"/>
  <c r="F31" i="2"/>
  <c r="F30" i="2"/>
  <c r="F32" i="2"/>
  <c r="F14" i="2"/>
  <c r="F13" i="2"/>
  <c r="F21" i="2"/>
  <c r="F20" i="2"/>
  <c r="F19" i="2"/>
  <c r="F18" i="2"/>
  <c r="F17" i="2"/>
  <c r="F16" i="2"/>
  <c r="F15" i="2"/>
  <c r="D17" i="54"/>
  <c r="D15" i="54"/>
  <c r="F10" i="2"/>
  <c r="F9" i="2"/>
  <c r="F8" i="2"/>
  <c r="F7" i="2"/>
  <c r="F5" i="2"/>
  <c r="F6" i="2"/>
  <c r="F4" i="2"/>
  <c r="P3" i="35"/>
  <c r="Q3" i="35" s="1"/>
  <c r="M4" i="35" s="1"/>
  <c r="P4" i="35" s="1"/>
  <c r="Q4" i="35" s="1"/>
  <c r="M5" i="35" s="1"/>
  <c r="AE3" i="35"/>
  <c r="AF3" i="35" s="1"/>
  <c r="AB4" i="35" s="1"/>
  <c r="AE4" i="35" s="1"/>
  <c r="AF4" i="35" s="1"/>
  <c r="AB5" i="35" s="1"/>
  <c r="AE5" i="35" s="1"/>
  <c r="AF5" i="35" s="1"/>
  <c r="AB6" i="35" s="1"/>
  <c r="AE6" i="35" s="1"/>
  <c r="AF6" i="35" s="1"/>
  <c r="AB7" i="35" s="1"/>
  <c r="AE7" i="35" s="1"/>
  <c r="AF7" i="35" s="1"/>
  <c r="AB8" i="35" s="1"/>
  <c r="AE8" i="35" s="1"/>
  <c r="AF8" i="35" s="1"/>
  <c r="AB9" i="35" s="1"/>
  <c r="AE9" i="35" s="1"/>
  <c r="AF9" i="35" s="1"/>
  <c r="AB10" i="35" s="1"/>
  <c r="AE10" i="35" s="1"/>
  <c r="AF10" i="35" s="1"/>
  <c r="AB11" i="35" s="1"/>
  <c r="AE11" i="35" s="1"/>
  <c r="AF11" i="35" s="1"/>
  <c r="AB12" i="35" s="1"/>
  <c r="AE12" i="35" s="1"/>
  <c r="AF12" i="35" s="1"/>
  <c r="AB13" i="35" s="1"/>
  <c r="AE13" i="35" s="1"/>
  <c r="AF13" i="35" s="1"/>
  <c r="AB14" i="35" s="1"/>
  <c r="AE14" i="35" s="1"/>
  <c r="AF14" i="35" s="1"/>
  <c r="AB15" i="35" s="1"/>
  <c r="AE15" i="35" s="1"/>
  <c r="AF15" i="35" s="1"/>
  <c r="AB16" i="35" s="1"/>
  <c r="AE16" i="35" s="1"/>
  <c r="AF16" i="35" s="1"/>
  <c r="AB17" i="35" s="1"/>
  <c r="AE17" i="35" s="1"/>
  <c r="AF17" i="35" s="1"/>
  <c r="AB18" i="35" s="1"/>
  <c r="ES24" i="50"/>
  <c r="EM24" i="50"/>
  <c r="EY24" i="50"/>
  <c r="DI24" i="50"/>
  <c r="L44" i="33"/>
  <c r="L48" i="33"/>
  <c r="L63" i="33" s="1"/>
  <c r="L79" i="33" s="1"/>
  <c r="L43" i="33"/>
  <c r="L47" i="33"/>
  <c r="L42" i="33"/>
  <c r="L45" i="33"/>
  <c r="L49" i="33"/>
  <c r="L46" i="33"/>
  <c r="J25" i="50"/>
  <c r="A24" i="51" s="1"/>
  <c r="D36" i="41"/>
  <c r="BY11" i="41" s="1"/>
  <c r="L51" i="33"/>
  <c r="L66" i="33" s="1"/>
  <c r="F11" i="41"/>
  <c r="E36" i="41"/>
  <c r="BZ11" i="41" s="1"/>
  <c r="AT1" i="41"/>
  <c r="DN1" i="41"/>
  <c r="G20" i="45"/>
  <c r="H20" i="45" s="1"/>
  <c r="Z24" i="41"/>
  <c r="B33" i="24"/>
  <c r="A25" i="52" s="1"/>
  <c r="AA32" i="24"/>
  <c r="AG5" i="41"/>
  <c r="AG3" i="41"/>
  <c r="AG26" i="41"/>
  <c r="AG14" i="41"/>
  <c r="AG6" i="41"/>
  <c r="AG25" i="41"/>
  <c r="AG19" i="41"/>
  <c r="AG18" i="41"/>
  <c r="AG10" i="41"/>
  <c r="AH27" i="41"/>
  <c r="AG15" i="41"/>
  <c r="AG7" i="41"/>
  <c r="AG23" i="41"/>
  <c r="AG20" i="41"/>
  <c r="AG21" i="41"/>
  <c r="AG17" i="41"/>
  <c r="AG9" i="41"/>
  <c r="AG13" i="41"/>
  <c r="AG22" i="41"/>
  <c r="AG4" i="41"/>
  <c r="AG16" i="41"/>
  <c r="AG12" i="41"/>
  <c r="AG8" i="41"/>
  <c r="A55" i="17"/>
  <c r="L9" i="2"/>
  <c r="E30" i="2" s="1"/>
  <c r="O2" i="33"/>
  <c r="AW2" i="37" s="1"/>
  <c r="Z4" i="35"/>
  <c r="AA4" i="35" s="1"/>
  <c r="W5" i="35" s="1"/>
  <c r="Z5" i="35" s="1"/>
  <c r="AA5" i="35" s="1"/>
  <c r="W6" i="35" s="1"/>
  <c r="Z6" i="35" s="1"/>
  <c r="AA6" i="35" s="1"/>
  <c r="W7" i="35" s="1"/>
  <c r="Z7" i="35" s="1"/>
  <c r="AA7" i="35" s="1"/>
  <c r="W8" i="35" s="1"/>
  <c r="Z8" i="35" s="1"/>
  <c r="AA8" i="35" s="1"/>
  <c r="W9" i="35" s="1"/>
  <c r="Z9" i="35" s="1"/>
  <c r="AA9" i="35" s="1"/>
  <c r="W10" i="35" s="1"/>
  <c r="Z10" i="35" s="1"/>
  <c r="AA10" i="35" s="1"/>
  <c r="W11" i="35" s="1"/>
  <c r="Z11" i="35" s="1"/>
  <c r="AA11" i="35" s="1"/>
  <c r="W12" i="35" s="1"/>
  <c r="Z12" i="35" s="1"/>
  <c r="AA12" i="35" s="1"/>
  <c r="W13" i="35" s="1"/>
  <c r="Z13" i="35" s="1"/>
  <c r="AA13" i="35" s="1"/>
  <c r="W14" i="35" s="1"/>
  <c r="Z14" i="35" s="1"/>
  <c r="AA14" i="35" s="1"/>
  <c r="W15" i="35" s="1"/>
  <c r="Z15" i="35" s="1"/>
  <c r="AA15" i="35" s="1"/>
  <c r="W16" i="35" s="1"/>
  <c r="Z16" i="35" s="1"/>
  <c r="AA16" i="35" s="1"/>
  <c r="W17" i="35" s="1"/>
  <c r="Z17" i="35" s="1"/>
  <c r="AA17" i="35" s="1"/>
  <c r="W18" i="35" s="1"/>
  <c r="AY5" i="35"/>
  <c r="AZ5" i="35" s="1"/>
  <c r="AV6" i="35" s="1"/>
  <c r="AY6" i="35" s="1"/>
  <c r="AZ6" i="35" s="1"/>
  <c r="AV7" i="35" s="1"/>
  <c r="AY7" i="35" s="1"/>
  <c r="AZ7" i="35" s="1"/>
  <c r="AV8" i="35" s="1"/>
  <c r="AY8" i="35" s="1"/>
  <c r="AZ8" i="35" s="1"/>
  <c r="AV9" i="35" s="1"/>
  <c r="AY9" i="35" s="1"/>
  <c r="AZ9" i="35" s="1"/>
  <c r="AV10" i="35" s="1"/>
  <c r="AY10" i="35" s="1"/>
  <c r="AZ10" i="35" s="1"/>
  <c r="AV11" i="35" s="1"/>
  <c r="AY11" i="35" s="1"/>
  <c r="AZ11" i="35" s="1"/>
  <c r="AV12" i="35" s="1"/>
  <c r="AY12" i="35" s="1"/>
  <c r="AZ12" i="35" s="1"/>
  <c r="AV13" i="35" s="1"/>
  <c r="AY13" i="35" s="1"/>
  <c r="AZ13" i="35" s="1"/>
  <c r="AV14" i="35" s="1"/>
  <c r="AY14" i="35" s="1"/>
  <c r="AZ14" i="35" s="1"/>
  <c r="AV15" i="35" s="1"/>
  <c r="AY15" i="35" s="1"/>
  <c r="AZ15" i="35" s="1"/>
  <c r="AV16" i="35" s="1"/>
  <c r="AY16" i="35" s="1"/>
  <c r="AZ16" i="35" s="1"/>
  <c r="AV17" i="35" s="1"/>
  <c r="AY17" i="35" s="1"/>
  <c r="AZ17" i="35" s="1"/>
  <c r="AV18" i="35" s="1"/>
  <c r="F4" i="35"/>
  <c r="G4" i="35" s="1"/>
  <c r="C5" i="35" s="1"/>
  <c r="K15" i="35"/>
  <c r="L15" i="35" s="1"/>
  <c r="H16" i="35" s="1"/>
  <c r="K16" i="35" s="1"/>
  <c r="L16" i="35" s="1"/>
  <c r="H17" i="35" s="1"/>
  <c r="K17" i="35" s="1"/>
  <c r="L17" i="35" s="1"/>
  <c r="H18" i="35" s="1"/>
  <c r="K18" i="35" s="1"/>
  <c r="L18" i="35" s="1"/>
  <c r="H19" i="35" s="1"/>
  <c r="AO8" i="35"/>
  <c r="AP8" i="35" s="1"/>
  <c r="AL9" i="35" s="1"/>
  <c r="AO9" i="35" s="1"/>
  <c r="AP9" i="35" s="1"/>
  <c r="AL10" i="35" s="1"/>
  <c r="AJ4" i="35"/>
  <c r="AK4" i="35" s="1"/>
  <c r="AG5" i="35" s="1"/>
  <c r="AJ5" i="35" s="1"/>
  <c r="AK5" i="35" s="1"/>
  <c r="AG6" i="35" s="1"/>
  <c r="AJ6" i="35" s="1"/>
  <c r="AK6" i="35" s="1"/>
  <c r="AG7" i="35" s="1"/>
  <c r="AJ7" i="35" s="1"/>
  <c r="AK7" i="35" s="1"/>
  <c r="AG8" i="35" s="1"/>
  <c r="AJ8" i="35" s="1"/>
  <c r="AK8" i="35" s="1"/>
  <c r="AG9" i="35" s="1"/>
  <c r="AJ9" i="35" s="1"/>
  <c r="AK9" i="35" s="1"/>
  <c r="AG10" i="35" s="1"/>
  <c r="AJ10" i="35" s="1"/>
  <c r="AK10" i="35" s="1"/>
  <c r="AG11" i="35" s="1"/>
  <c r="AJ11" i="35" s="1"/>
  <c r="AK11" i="35" s="1"/>
  <c r="AG12" i="35" s="1"/>
  <c r="AJ12" i="35" s="1"/>
  <c r="AK12" i="35" s="1"/>
  <c r="AG13" i="35" s="1"/>
  <c r="AJ13" i="35" s="1"/>
  <c r="AK13" i="35" s="1"/>
  <c r="AG14" i="35" s="1"/>
  <c r="AJ14" i="35" s="1"/>
  <c r="AK14" i="35" s="1"/>
  <c r="AG15" i="35" s="1"/>
  <c r="AJ15" i="35" s="1"/>
  <c r="AK15" i="35" s="1"/>
  <c r="AG16" i="35" s="1"/>
  <c r="AJ16" i="35" s="1"/>
  <c r="AK16" i="35" s="1"/>
  <c r="AG17" i="35" s="1"/>
  <c r="AJ17" i="35" s="1"/>
  <c r="AK17" i="35" s="1"/>
  <c r="AG18" i="35" s="1"/>
  <c r="U4" i="35"/>
  <c r="V4" i="35" s="1"/>
  <c r="R5" i="35" s="1"/>
  <c r="U5" i="35" s="1"/>
  <c r="V5" i="35" s="1"/>
  <c r="R6" i="35" s="1"/>
  <c r="U6" i="35" s="1"/>
  <c r="V6" i="35" s="1"/>
  <c r="R7" i="35" s="1"/>
  <c r="U7" i="35" s="1"/>
  <c r="V7" i="35" s="1"/>
  <c r="R8" i="35" s="1"/>
  <c r="U8" i="35" s="1"/>
  <c r="V8" i="35" s="1"/>
  <c r="R9" i="35" s="1"/>
  <c r="U9" i="35" s="1"/>
  <c r="V9" i="35" s="1"/>
  <c r="R10" i="35" s="1"/>
  <c r="U10" i="35" s="1"/>
  <c r="V10" i="35" s="1"/>
  <c r="R11" i="35" s="1"/>
  <c r="U11" i="35" s="1"/>
  <c r="V11" i="35" s="1"/>
  <c r="R12" i="35" s="1"/>
  <c r="U12" i="35" s="1"/>
  <c r="V12" i="35" s="1"/>
  <c r="R13" i="35" s="1"/>
  <c r="U13" i="35" s="1"/>
  <c r="V13" i="35" s="1"/>
  <c r="R14" i="35" s="1"/>
  <c r="U14" i="35" s="1"/>
  <c r="V14" i="35" s="1"/>
  <c r="R15" i="35" s="1"/>
  <c r="U15" i="35" s="1"/>
  <c r="V15" i="35" s="1"/>
  <c r="R16" i="35" s="1"/>
  <c r="U16" i="35" s="1"/>
  <c r="V16" i="35" s="1"/>
  <c r="R17" i="35" s="1"/>
  <c r="U17" i="35" s="1"/>
  <c r="V17" i="35" s="1"/>
  <c r="R18" i="35" s="1"/>
  <c r="M1" i="33"/>
  <c r="M50" i="33" s="1"/>
  <c r="M65" i="33" s="1"/>
  <c r="P6" i="29"/>
  <c r="B2" i="17"/>
  <c r="B3" i="52"/>
  <c r="B4" i="19"/>
  <c r="C12" i="24" s="1"/>
  <c r="A4" i="19"/>
  <c r="AV57" i="37" l="1"/>
  <c r="EM15" i="37" s="1"/>
  <c r="AU58" i="37"/>
  <c r="M68" i="33" s="1"/>
  <c r="AV34" i="37"/>
  <c r="DP15" i="37" s="1"/>
  <c r="AV51" i="37"/>
  <c r="EG15" i="37" s="1"/>
  <c r="AV47" i="37"/>
  <c r="EC15" i="37" s="1"/>
  <c r="AW31" i="37"/>
  <c r="AW49" i="37" s="1"/>
  <c r="EE16" i="37" s="1"/>
  <c r="AW6" i="37"/>
  <c r="AW4" i="37"/>
  <c r="AW33" i="37" s="1"/>
  <c r="AW22" i="37"/>
  <c r="AW51" i="37" s="1"/>
  <c r="EG16" i="37" s="1"/>
  <c r="AW8" i="37"/>
  <c r="AW37" i="37" s="1"/>
  <c r="DS16" i="37" s="1"/>
  <c r="AW12" i="37"/>
  <c r="AW41" i="37" s="1"/>
  <c r="DW16" i="37" s="1"/>
  <c r="AW16" i="37"/>
  <c r="AW45" i="37" s="1"/>
  <c r="EA16" i="37" s="1"/>
  <c r="AW18" i="37"/>
  <c r="AW13" i="37"/>
  <c r="AW20" i="37"/>
  <c r="AW14" i="37"/>
  <c r="AW15" i="37"/>
  <c r="AW24" i="37"/>
  <c r="AW28" i="37"/>
  <c r="AW57" i="37" s="1"/>
  <c r="EM16" i="37" s="1"/>
  <c r="AW9" i="37"/>
  <c r="AW38" i="37" s="1"/>
  <c r="DT16" i="37" s="1"/>
  <c r="AW10" i="37"/>
  <c r="AW39" i="37" s="1"/>
  <c r="DU16" i="37" s="1"/>
  <c r="AW11" i="37"/>
  <c r="AW40" i="37" s="1"/>
  <c r="DV16" i="37" s="1"/>
  <c r="AW21" i="37"/>
  <c r="AW50" i="37" s="1"/>
  <c r="EF16" i="37" s="1"/>
  <c r="AW26" i="37"/>
  <c r="AW55" i="37" s="1"/>
  <c r="EK16" i="37" s="1"/>
  <c r="AW19" i="37"/>
  <c r="AW23" i="37"/>
  <c r="AW5" i="37"/>
  <c r="AW7" i="37"/>
  <c r="AW25" i="37"/>
  <c r="AW27" i="37"/>
  <c r="AW17" i="37"/>
  <c r="AW3" i="37"/>
  <c r="AW32" i="37" s="1"/>
  <c r="DN16" i="37" s="1"/>
  <c r="AV32" i="37"/>
  <c r="DN15" i="37" s="1"/>
  <c r="E4" i="2"/>
  <c r="H4" i="2" s="1"/>
  <c r="E26" i="2"/>
  <c r="H26" i="2" s="1"/>
  <c r="AA322" i="5"/>
  <c r="Z322" i="5" s="1"/>
  <c r="AL322" i="5"/>
  <c r="AK322" i="5"/>
  <c r="AM322" i="5" s="1"/>
  <c r="P324" i="5"/>
  <c r="O324" i="5" s="1"/>
  <c r="CG24" i="5"/>
  <c r="CH24" i="5" s="1"/>
  <c r="CC23" i="5"/>
  <c r="AM32" i="5"/>
  <c r="AJ33" i="5" s="1"/>
  <c r="AL33" i="5" s="1"/>
  <c r="AI33" i="5"/>
  <c r="CW83" i="5"/>
  <c r="CX82" i="5"/>
  <c r="N6" i="2"/>
  <c r="DQ15" i="37"/>
  <c r="DO15" i="37"/>
  <c r="DR15" i="37"/>
  <c r="AW53" i="37"/>
  <c r="EI16" i="37" s="1"/>
  <c r="AW42" i="37"/>
  <c r="DX16" i="37" s="1"/>
  <c r="AW43" i="37"/>
  <c r="DY16" i="37" s="1"/>
  <c r="AW48" i="37"/>
  <c r="ED16" i="37" s="1"/>
  <c r="AW46" i="37"/>
  <c r="EB16" i="37" s="1"/>
  <c r="AW56" i="37"/>
  <c r="EL16" i="37" s="1"/>
  <c r="AW35" i="37"/>
  <c r="AV29" i="37"/>
  <c r="N53" i="33" s="1"/>
  <c r="AA71" i="56"/>
  <c r="O12" i="19"/>
  <c r="J84" i="33"/>
  <c r="J85" i="33" s="1"/>
  <c r="E10" i="31" s="1"/>
  <c r="P34" i="5"/>
  <c r="O34" i="5" s="1"/>
  <c r="AA34" i="5"/>
  <c r="Z34" i="5"/>
  <c r="X35" i="5" s="1"/>
  <c r="AK33" i="5"/>
  <c r="O11" i="19"/>
  <c r="AB34" i="5"/>
  <c r="U24" i="51"/>
  <c r="Q24" i="51"/>
  <c r="S24" i="51"/>
  <c r="L61" i="33"/>
  <c r="L77" i="33" s="1"/>
  <c r="L64" i="33"/>
  <c r="L80" i="33" s="1"/>
  <c r="L60" i="33"/>
  <c r="L76" i="33" s="1"/>
  <c r="L57" i="33"/>
  <c r="L73" i="33" s="1"/>
  <c r="L62" i="33"/>
  <c r="L78" i="33" s="1"/>
  <c r="L58" i="33"/>
  <c r="L74" i="33" s="1"/>
  <c r="L59" i="33"/>
  <c r="L75" i="33" s="1"/>
  <c r="K84" i="33"/>
  <c r="K85" i="33" s="1"/>
  <c r="E11" i="31" s="1"/>
  <c r="F19" i="24"/>
  <c r="O9" i="33"/>
  <c r="O29" i="33" s="1"/>
  <c r="O13" i="33"/>
  <c r="O33" i="33" s="1"/>
  <c r="O8" i="33"/>
  <c r="O28" i="33" s="1"/>
  <c r="O18" i="33"/>
  <c r="O38" i="33" s="1"/>
  <c r="O10" i="33"/>
  <c r="O30" i="33" s="1"/>
  <c r="O20" i="33"/>
  <c r="O12" i="33"/>
  <c r="O32" i="33" s="1"/>
  <c r="O16" i="33"/>
  <c r="O36" i="33" s="1"/>
  <c r="O11" i="33"/>
  <c r="O31" i="33" s="1"/>
  <c r="O17" i="33"/>
  <c r="O37" i="33" s="1"/>
  <c r="O19" i="33"/>
  <c r="O7" i="33"/>
  <c r="O27" i="33" s="1"/>
  <c r="O15" i="33"/>
  <c r="O35" i="33" s="1"/>
  <c r="F20" i="24"/>
  <c r="T14" i="19"/>
  <c r="N7" i="2"/>
  <c r="C30" i="54"/>
  <c r="L4" i="24" s="1"/>
  <c r="N4" i="2"/>
  <c r="N5" i="2"/>
  <c r="EY25" i="50"/>
  <c r="EM25" i="50"/>
  <c r="ES25" i="50"/>
  <c r="BY12" i="41"/>
  <c r="DI25" i="50"/>
  <c r="BY18" i="41"/>
  <c r="BY20" i="41"/>
  <c r="BY19" i="41"/>
  <c r="BY9" i="41"/>
  <c r="BY15" i="41"/>
  <c r="BY21" i="41"/>
  <c r="BY10" i="41"/>
  <c r="BY6" i="41"/>
  <c r="BY17" i="41"/>
  <c r="BY13" i="41"/>
  <c r="BY5" i="41"/>
  <c r="BY16" i="41"/>
  <c r="BY7" i="41"/>
  <c r="BY23" i="41"/>
  <c r="M45" i="33"/>
  <c r="M49" i="33"/>
  <c r="M44" i="33"/>
  <c r="M48" i="33"/>
  <c r="M42" i="33"/>
  <c r="M46" i="33"/>
  <c r="M47" i="33"/>
  <c r="M43" i="33"/>
  <c r="BY8" i="41"/>
  <c r="J26" i="50"/>
  <c r="A25" i="51" s="1"/>
  <c r="K4" i="50"/>
  <c r="BY14" i="41"/>
  <c r="BY4" i="41"/>
  <c r="BY26" i="41"/>
  <c r="BY22" i="41"/>
  <c r="BY25" i="41"/>
  <c r="BY27" i="41"/>
  <c r="BY3" i="41"/>
  <c r="BY24" i="41"/>
  <c r="M51" i="33"/>
  <c r="M66" i="33" s="1"/>
  <c r="BZ24" i="41"/>
  <c r="BZ26" i="41"/>
  <c r="BZ10" i="41"/>
  <c r="BZ3" i="41"/>
  <c r="BZ18" i="41"/>
  <c r="BZ5" i="41"/>
  <c r="BZ16" i="41"/>
  <c r="BZ20" i="41"/>
  <c r="BZ4" i="41"/>
  <c r="BZ9" i="41"/>
  <c r="BZ12" i="41"/>
  <c r="BZ21" i="41"/>
  <c r="BZ25" i="41"/>
  <c r="BZ14" i="41"/>
  <c r="BZ6" i="41"/>
  <c r="BZ13" i="41"/>
  <c r="BZ23" i="41"/>
  <c r="BZ17" i="41"/>
  <c r="BZ15" i="41"/>
  <c r="BZ8" i="41"/>
  <c r="BZ7" i="41"/>
  <c r="BZ22" i="41"/>
  <c r="BZ27" i="41"/>
  <c r="BZ19" i="41"/>
  <c r="G11" i="41"/>
  <c r="F36" i="41"/>
  <c r="CA11" i="41" s="1"/>
  <c r="AU1" i="41"/>
  <c r="DO1" i="41"/>
  <c r="AA24" i="41"/>
  <c r="E6" i="2"/>
  <c r="H6" i="2" s="1"/>
  <c r="E20" i="2"/>
  <c r="H20" i="2" s="1"/>
  <c r="E10" i="2"/>
  <c r="H10" i="2" s="1"/>
  <c r="E5" i="2"/>
  <c r="H5" i="2" s="1"/>
  <c r="B34" i="24"/>
  <c r="A26" i="52" s="1"/>
  <c r="AA33" i="24"/>
  <c r="E7" i="2"/>
  <c r="H7" i="2" s="1"/>
  <c r="E18" i="2"/>
  <c r="H18" i="2" s="1"/>
  <c r="M5" i="2"/>
  <c r="L81" i="33"/>
  <c r="AH8" i="41"/>
  <c r="AH12" i="41"/>
  <c r="AH16" i="41"/>
  <c r="AH4" i="41"/>
  <c r="AH22" i="41"/>
  <c r="AH13" i="41"/>
  <c r="AH9" i="41"/>
  <c r="AH17" i="41"/>
  <c r="AH21" i="41"/>
  <c r="AH20" i="41"/>
  <c r="AH23" i="41"/>
  <c r="AH7" i="41"/>
  <c r="AH15" i="41"/>
  <c r="AI27" i="41"/>
  <c r="AH10" i="41"/>
  <c r="AH18" i="41"/>
  <c r="AH19" i="41"/>
  <c r="AH25" i="41"/>
  <c r="AH6" i="41"/>
  <c r="AH14" i="41"/>
  <c r="AH26" i="41"/>
  <c r="AH3" i="41"/>
  <c r="AH5" i="41"/>
  <c r="M4" i="2"/>
  <c r="C2" i="17"/>
  <c r="A56" i="17"/>
  <c r="M6" i="2"/>
  <c r="E16" i="2"/>
  <c r="H16" i="2" s="1"/>
  <c r="E21" i="2"/>
  <c r="H21" i="2" s="1"/>
  <c r="E31" i="2"/>
  <c r="H31" i="2" s="1"/>
  <c r="M8" i="2"/>
  <c r="E35" i="2"/>
  <c r="H35" i="2" s="1"/>
  <c r="E17" i="2"/>
  <c r="H17" i="2" s="1"/>
  <c r="E19" i="2"/>
  <c r="H19" i="2" s="1"/>
  <c r="E24" i="2"/>
  <c r="H24" i="2" s="1"/>
  <c r="E25" i="2"/>
  <c r="H25" i="2" s="1"/>
  <c r="E14" i="2"/>
  <c r="H14" i="2" s="1"/>
  <c r="M7" i="2"/>
  <c r="E15" i="2"/>
  <c r="H15" i="2" s="1"/>
  <c r="E9" i="2"/>
  <c r="H9" i="2" s="1"/>
  <c r="E32" i="2"/>
  <c r="H32" i="2" s="1"/>
  <c r="E8" i="2"/>
  <c r="H8" i="2" s="1"/>
  <c r="E13" i="2"/>
  <c r="H13" i="2" s="1"/>
  <c r="E27" i="2"/>
  <c r="H27" i="2" s="1"/>
  <c r="P2" i="33"/>
  <c r="AX2" i="37" s="1"/>
  <c r="AT8" i="35"/>
  <c r="AU8" i="35" s="1"/>
  <c r="AQ9" i="35" s="1"/>
  <c r="AT9" i="35" s="1"/>
  <c r="AU9" i="35" s="1"/>
  <c r="AQ10" i="35" s="1"/>
  <c r="AT10" i="35" s="1"/>
  <c r="AU10" i="35" s="1"/>
  <c r="AQ11" i="35" s="1"/>
  <c r="AT11" i="35" s="1"/>
  <c r="AU11" i="35" s="1"/>
  <c r="AQ12" i="35" s="1"/>
  <c r="AT12" i="35" s="1"/>
  <c r="AU12" i="35" s="1"/>
  <c r="AQ13" i="35" s="1"/>
  <c r="AT13" i="35" s="1"/>
  <c r="AU13" i="35" s="1"/>
  <c r="AQ14" i="35" s="1"/>
  <c r="AT14" i="35" s="1"/>
  <c r="AU14" i="35" s="1"/>
  <c r="AQ15" i="35" s="1"/>
  <c r="AO10" i="35"/>
  <c r="AP10" i="35" s="1"/>
  <c r="AL11" i="35" s="1"/>
  <c r="AO11" i="35" s="1"/>
  <c r="AP11" i="35" s="1"/>
  <c r="AL12" i="35" s="1"/>
  <c r="AO12" i="35" s="1"/>
  <c r="AP12" i="35" s="1"/>
  <c r="AL13" i="35" s="1"/>
  <c r="AO13" i="35" s="1"/>
  <c r="AP13" i="35" s="1"/>
  <c r="AL14" i="35" s="1"/>
  <c r="AO14" i="35" s="1"/>
  <c r="AP14" i="35" s="1"/>
  <c r="AL15" i="35" s="1"/>
  <c r="AO15" i="35" s="1"/>
  <c r="AP15" i="35" s="1"/>
  <c r="AL16" i="35" s="1"/>
  <c r="F5" i="35"/>
  <c r="G5" i="35" s="1"/>
  <c r="C6" i="35" s="1"/>
  <c r="P5" i="35"/>
  <c r="Q5" i="35" s="1"/>
  <c r="M6" i="35" s="1"/>
  <c r="AY18" i="35"/>
  <c r="AZ18" i="35" s="1"/>
  <c r="AV19" i="35" s="1"/>
  <c r="AJ18" i="35"/>
  <c r="AK18" i="35" s="1"/>
  <c r="AG19" i="35" s="1"/>
  <c r="AE18" i="35"/>
  <c r="AF18" i="35" s="1"/>
  <c r="AB19" i="35" s="1"/>
  <c r="Z18" i="35"/>
  <c r="AA18" i="35" s="1"/>
  <c r="W19" i="35" s="1"/>
  <c r="U18" i="35"/>
  <c r="V18" i="35" s="1"/>
  <c r="R19" i="35" s="1"/>
  <c r="K19" i="35"/>
  <c r="L19" i="35" s="1"/>
  <c r="H20" i="35" s="1"/>
  <c r="N1" i="33"/>
  <c r="N50" i="33" s="1"/>
  <c r="N65" i="33" s="1"/>
  <c r="A5" i="19"/>
  <c r="B3" i="17"/>
  <c r="P7" i="29"/>
  <c r="B5" i="19"/>
  <c r="C13" i="24" s="1"/>
  <c r="B4" i="52"/>
  <c r="AW34" i="37" l="1"/>
  <c r="AW54" i="37"/>
  <c r="EJ16" i="37" s="1"/>
  <c r="AW44" i="37"/>
  <c r="DZ16" i="37" s="1"/>
  <c r="AW36" i="37"/>
  <c r="AW58" i="37" s="1"/>
  <c r="O68" i="33" s="1"/>
  <c r="AV58" i="37"/>
  <c r="N68" i="33" s="1"/>
  <c r="AW52" i="37"/>
  <c r="EH16" i="37" s="1"/>
  <c r="AW47" i="37"/>
  <c r="EC16" i="37" s="1"/>
  <c r="AX31" i="37"/>
  <c r="AX10" i="37"/>
  <c r="AX39" i="37" s="1"/>
  <c r="DU17" i="37" s="1"/>
  <c r="AX26" i="37"/>
  <c r="AX55" i="37" s="1"/>
  <c r="EK17" i="37" s="1"/>
  <c r="AX22" i="37"/>
  <c r="AX51" i="37" s="1"/>
  <c r="EG17" i="37" s="1"/>
  <c r="AX8" i="37"/>
  <c r="AX37" i="37" s="1"/>
  <c r="DS17" i="37" s="1"/>
  <c r="AX12" i="37"/>
  <c r="AX16" i="37"/>
  <c r="AX18" i="37"/>
  <c r="AX5" i="37"/>
  <c r="AX13" i="37"/>
  <c r="AX20" i="37"/>
  <c r="AX14" i="37"/>
  <c r="AX15" i="37"/>
  <c r="AX44" i="37" s="1"/>
  <c r="DZ17" i="37" s="1"/>
  <c r="AX24" i="37"/>
  <c r="AX53" i="37" s="1"/>
  <c r="EI17" i="37" s="1"/>
  <c r="AX9" i="37"/>
  <c r="AX38" i="37" s="1"/>
  <c r="DT17" i="37" s="1"/>
  <c r="AX11" i="37"/>
  <c r="AX40" i="37" s="1"/>
  <c r="DV17" i="37" s="1"/>
  <c r="AX4" i="37"/>
  <c r="AX33" i="37" s="1"/>
  <c r="AX21" i="37"/>
  <c r="AX28" i="37"/>
  <c r="AX57" i="37" s="1"/>
  <c r="EM17" i="37" s="1"/>
  <c r="AX19" i="37"/>
  <c r="AX23" i="37"/>
  <c r="AX7" i="37"/>
  <c r="AX25" i="37"/>
  <c r="AX54" i="37" s="1"/>
  <c r="EJ17" i="37" s="1"/>
  <c r="AX27" i="37"/>
  <c r="AX6" i="37"/>
  <c r="AX17" i="37"/>
  <c r="AX46" i="37" s="1"/>
  <c r="EB17" i="37" s="1"/>
  <c r="AX3" i="37"/>
  <c r="AX32" i="37" s="1"/>
  <c r="DN17" i="37" s="1"/>
  <c r="AB322" i="5"/>
  <c r="Y323" i="5"/>
  <c r="Q324" i="5"/>
  <c r="N325" i="5" s="1"/>
  <c r="AJ323" i="5"/>
  <c r="CP24" i="5"/>
  <c r="BW23" i="5"/>
  <c r="BV23" i="5" s="1"/>
  <c r="BX23" i="5" s="1"/>
  <c r="AI34" i="5"/>
  <c r="CW84" i="5"/>
  <c r="CX83" i="5"/>
  <c r="C35" i="50"/>
  <c r="DP16" i="37"/>
  <c r="DQ16" i="37"/>
  <c r="DO16" i="37"/>
  <c r="DR16" i="37"/>
  <c r="AX35" i="37"/>
  <c r="AX41" i="37"/>
  <c r="DW17" i="37" s="1"/>
  <c r="AX42" i="37"/>
  <c r="DX17" i="37" s="1"/>
  <c r="AX45" i="37"/>
  <c r="EA17" i="37" s="1"/>
  <c r="AW29" i="37"/>
  <c r="O53" i="33" s="1"/>
  <c r="AA72" i="56"/>
  <c r="O13" i="19"/>
  <c r="Q34" i="5"/>
  <c r="N35" i="5" s="1"/>
  <c r="M35" i="5"/>
  <c r="AM33" i="5"/>
  <c r="AJ34" i="5" s="1"/>
  <c r="Y35" i="5"/>
  <c r="M62" i="33"/>
  <c r="M78" i="33" s="1"/>
  <c r="M61" i="33"/>
  <c r="M77" i="33" s="1"/>
  <c r="M57" i="33"/>
  <c r="M73" i="33" s="1"/>
  <c r="M63" i="33"/>
  <c r="M79" i="33" s="1"/>
  <c r="M59" i="33"/>
  <c r="M75" i="33" s="1"/>
  <c r="M64" i="33"/>
  <c r="M80" i="33" s="1"/>
  <c r="M60" i="33"/>
  <c r="M76" i="33" s="1"/>
  <c r="Q25" i="51"/>
  <c r="S25" i="51"/>
  <c r="U25" i="51"/>
  <c r="M58" i="33"/>
  <c r="M74" i="33" s="1"/>
  <c r="P9" i="33"/>
  <c r="P29" i="33" s="1"/>
  <c r="P13" i="33"/>
  <c r="P33" i="33" s="1"/>
  <c r="P18" i="33"/>
  <c r="P38" i="33" s="1"/>
  <c r="P8" i="33"/>
  <c r="P28" i="33" s="1"/>
  <c r="P12" i="33"/>
  <c r="P32" i="33" s="1"/>
  <c r="P17" i="33"/>
  <c r="P37" i="33" s="1"/>
  <c r="P11" i="33"/>
  <c r="P31" i="33" s="1"/>
  <c r="P15" i="33"/>
  <c r="P35" i="33" s="1"/>
  <c r="P10" i="33"/>
  <c r="P30" i="33" s="1"/>
  <c r="P20" i="33"/>
  <c r="P16" i="33"/>
  <c r="P36" i="33" s="1"/>
  <c r="P19" i="33"/>
  <c r="P7" i="33"/>
  <c r="P27" i="33" s="1"/>
  <c r="L84" i="33"/>
  <c r="L85" i="33" s="1"/>
  <c r="E12" i="31" s="1"/>
  <c r="F21" i="24"/>
  <c r="T15" i="19"/>
  <c r="N9" i="2"/>
  <c r="E11" i="2"/>
  <c r="EY26" i="50"/>
  <c r="ES26" i="50"/>
  <c r="EM26" i="50"/>
  <c r="DI26" i="50"/>
  <c r="N45" i="33"/>
  <c r="N49" i="33"/>
  <c r="N44" i="33"/>
  <c r="N48" i="33"/>
  <c r="N43" i="33"/>
  <c r="N46" i="33"/>
  <c r="N42" i="33"/>
  <c r="N47" i="33"/>
  <c r="D38" i="41"/>
  <c r="CF4" i="50"/>
  <c r="AD3" i="51"/>
  <c r="K5" i="50"/>
  <c r="J27" i="50"/>
  <c r="A26" i="51" s="1"/>
  <c r="N51" i="33"/>
  <c r="N66" i="33" s="1"/>
  <c r="E38" i="41"/>
  <c r="CA24" i="41"/>
  <c r="CA9" i="41"/>
  <c r="CA21" i="41"/>
  <c r="CA5" i="41"/>
  <c r="CA23" i="41"/>
  <c r="CA7" i="41"/>
  <c r="CA4" i="41"/>
  <c r="CA16" i="41"/>
  <c r="CA18" i="41"/>
  <c r="CA6" i="41"/>
  <c r="CA25" i="41"/>
  <c r="CA13" i="41"/>
  <c r="CA14" i="41"/>
  <c r="CA27" i="41"/>
  <c r="CA8" i="41"/>
  <c r="CA20" i="41"/>
  <c r="CA15" i="41"/>
  <c r="CA26" i="41"/>
  <c r="CA10" i="41"/>
  <c r="CA22" i="41"/>
  <c r="CA17" i="41"/>
  <c r="CA19" i="41"/>
  <c r="CA3" i="41"/>
  <c r="CA12" i="41"/>
  <c r="H11" i="41"/>
  <c r="G36" i="41"/>
  <c r="CB11" i="41" s="1"/>
  <c r="AV1" i="41"/>
  <c r="DP1" i="41"/>
  <c r="AB24" i="41"/>
  <c r="E33" i="2"/>
  <c r="B35" i="24"/>
  <c r="A27" i="52" s="1"/>
  <c r="AA34" i="24"/>
  <c r="M81" i="33"/>
  <c r="AI5" i="41"/>
  <c r="AI3" i="41"/>
  <c r="AI26" i="41"/>
  <c r="AI14" i="41"/>
  <c r="AI6" i="41"/>
  <c r="AI25" i="41"/>
  <c r="AI19" i="41"/>
  <c r="AI18" i="41"/>
  <c r="AI10" i="41"/>
  <c r="AJ27" i="41"/>
  <c r="AI15" i="41"/>
  <c r="AI7" i="41"/>
  <c r="AI23" i="41"/>
  <c r="AI20" i="41"/>
  <c r="AI21" i="41"/>
  <c r="AI17" i="41"/>
  <c r="AI9" i="41"/>
  <c r="AI13" i="41"/>
  <c r="AI22" i="41"/>
  <c r="AI4" i="41"/>
  <c r="AI16" i="41"/>
  <c r="AI12" i="41"/>
  <c r="AI8" i="41"/>
  <c r="M9" i="2"/>
  <c r="A57" i="17"/>
  <c r="H30" i="2"/>
  <c r="E28" i="2"/>
  <c r="E22" i="2"/>
  <c r="Q2" i="33"/>
  <c r="AY2" i="37" s="1"/>
  <c r="J2" i="17"/>
  <c r="AT15" i="35"/>
  <c r="AU15" i="35" s="1"/>
  <c r="AQ16" i="35" s="1"/>
  <c r="AT16" i="35" s="1"/>
  <c r="AU16" i="35" s="1"/>
  <c r="AQ17" i="35" s="1"/>
  <c r="AT17" i="35" s="1"/>
  <c r="AU17" i="35" s="1"/>
  <c r="AQ18" i="35" s="1"/>
  <c r="AT18" i="35" s="1"/>
  <c r="AU18" i="35" s="1"/>
  <c r="AQ19" i="35" s="1"/>
  <c r="P6" i="35"/>
  <c r="Q6" i="35" s="1"/>
  <c r="M7" i="35" s="1"/>
  <c r="AO16" i="35"/>
  <c r="AP16" i="35" s="1"/>
  <c r="AL17" i="35" s="1"/>
  <c r="F6" i="35"/>
  <c r="G6" i="35" s="1"/>
  <c r="C7" i="35" s="1"/>
  <c r="AY19" i="35"/>
  <c r="AZ19" i="35" s="1"/>
  <c r="AV20" i="35" s="1"/>
  <c r="AJ19" i="35"/>
  <c r="AK19" i="35" s="1"/>
  <c r="AG20" i="35" s="1"/>
  <c r="AE19" i="35"/>
  <c r="AF19" i="35" s="1"/>
  <c r="AB20" i="35" s="1"/>
  <c r="Z19" i="35"/>
  <c r="AA19" i="35" s="1"/>
  <c r="W20" i="35" s="1"/>
  <c r="U19" i="35"/>
  <c r="V19" i="35" s="1"/>
  <c r="R20" i="35" s="1"/>
  <c r="K20" i="35"/>
  <c r="L20" i="35" s="1"/>
  <c r="H21" i="35" s="1"/>
  <c r="O1" i="33"/>
  <c r="O50" i="33" s="1"/>
  <c r="O65" i="33" s="1"/>
  <c r="J3" i="17"/>
  <c r="A6" i="19"/>
  <c r="P8" i="29"/>
  <c r="B5" i="52"/>
  <c r="B4" i="17"/>
  <c r="J4" i="17" s="1"/>
  <c r="B6" i="19"/>
  <c r="C14" i="24" s="1"/>
  <c r="AX56" i="37" l="1"/>
  <c r="EL17" i="37" s="1"/>
  <c r="AX36" i="37"/>
  <c r="AX52" i="37"/>
  <c r="EH17" i="37" s="1"/>
  <c r="AX34" i="37"/>
  <c r="AX58" i="37" s="1"/>
  <c r="P68" i="33" s="1"/>
  <c r="AX48" i="37"/>
  <c r="ED17" i="37" s="1"/>
  <c r="AX47" i="37"/>
  <c r="EC17" i="37" s="1"/>
  <c r="AX43" i="37"/>
  <c r="DY17" i="37" s="1"/>
  <c r="AX49" i="37"/>
  <c r="EE17" i="37" s="1"/>
  <c r="AX50" i="37"/>
  <c r="EF17" i="37" s="1"/>
  <c r="AY31" i="37"/>
  <c r="AY38" i="37" s="1"/>
  <c r="DT18" i="37" s="1"/>
  <c r="AY4" i="37"/>
  <c r="AY33" i="37" s="1"/>
  <c r="AY8" i="37"/>
  <c r="AY37" i="37" s="1"/>
  <c r="DS18" i="37" s="1"/>
  <c r="AY12" i="37"/>
  <c r="AY16" i="37"/>
  <c r="AY14" i="37"/>
  <c r="AY20" i="37"/>
  <c r="AY24" i="37"/>
  <c r="AY53" i="37" s="1"/>
  <c r="EI18" i="37" s="1"/>
  <c r="AY28" i="37"/>
  <c r="AY7" i="37"/>
  <c r="AY11" i="37"/>
  <c r="AY15" i="37"/>
  <c r="AY19" i="37"/>
  <c r="AY26" i="37"/>
  <c r="AY55" i="37" s="1"/>
  <c r="EK18" i="37" s="1"/>
  <c r="AY17" i="37"/>
  <c r="AY46" i="37" s="1"/>
  <c r="EB18" i="37" s="1"/>
  <c r="AY5" i="37"/>
  <c r="AY34" i="37" s="1"/>
  <c r="AY13" i="37"/>
  <c r="AY18" i="37"/>
  <c r="AY9" i="37"/>
  <c r="AY10" i="37"/>
  <c r="AY21" i="37"/>
  <c r="AY23" i="37"/>
  <c r="AY22" i="37"/>
  <c r="AY51" i="37" s="1"/>
  <c r="EG18" i="37" s="1"/>
  <c r="AY27" i="37"/>
  <c r="AY6" i="37"/>
  <c r="AY35" i="37" s="1"/>
  <c r="AY25" i="37"/>
  <c r="AY54" i="37" s="1"/>
  <c r="EJ18" i="37" s="1"/>
  <c r="AY3" i="37"/>
  <c r="AY32" i="37" s="1"/>
  <c r="DN18" i="37" s="1"/>
  <c r="C36" i="50"/>
  <c r="P325" i="5"/>
  <c r="O325" i="5" s="1"/>
  <c r="AL323" i="5"/>
  <c r="AK323" i="5" s="1"/>
  <c r="AA323" i="5"/>
  <c r="Z323" i="5"/>
  <c r="AB323" i="5" s="1"/>
  <c r="CJ24" i="5"/>
  <c r="CI24" i="5" s="1"/>
  <c r="BT24" i="5"/>
  <c r="BU24" i="5" s="1"/>
  <c r="CW85" i="5"/>
  <c r="CX84" i="5"/>
  <c r="DQ17" i="37"/>
  <c r="DP17" i="37"/>
  <c r="DR17" i="37"/>
  <c r="DO17" i="37"/>
  <c r="AX29" i="37"/>
  <c r="P53" i="33" s="1"/>
  <c r="AY48" i="37"/>
  <c r="ED18" i="37" s="1"/>
  <c r="AY47" i="37"/>
  <c r="EC18" i="37" s="1"/>
  <c r="AA73" i="56"/>
  <c r="O14" i="19"/>
  <c r="P35" i="5"/>
  <c r="O35" i="5" s="1"/>
  <c r="AA35" i="5"/>
  <c r="Z35" i="5" s="1"/>
  <c r="AL34" i="5"/>
  <c r="AK34" i="5" s="1"/>
  <c r="N62" i="33"/>
  <c r="N78" i="33" s="1"/>
  <c r="N57" i="33"/>
  <c r="N73" i="33" s="1"/>
  <c r="N61" i="33"/>
  <c r="N77" i="33" s="1"/>
  <c r="N58" i="33"/>
  <c r="N74" i="33" s="1"/>
  <c r="N63" i="33"/>
  <c r="N79" i="33" s="1"/>
  <c r="N59" i="33"/>
  <c r="N75" i="33" s="1"/>
  <c r="N64" i="33"/>
  <c r="N80" i="33" s="1"/>
  <c r="Q26" i="51"/>
  <c r="S26" i="51"/>
  <c r="U26" i="51"/>
  <c r="N60" i="33"/>
  <c r="N76" i="33" s="1"/>
  <c r="Q18" i="33"/>
  <c r="Q38" i="33" s="1"/>
  <c r="Q8" i="33"/>
  <c r="Q28" i="33" s="1"/>
  <c r="Q12" i="33"/>
  <c r="Q32" i="33" s="1"/>
  <c r="Q13" i="33"/>
  <c r="Q33" i="33" s="1"/>
  <c r="Q16" i="33"/>
  <c r="Q36" i="33" s="1"/>
  <c r="Q17" i="33"/>
  <c r="Q37" i="33" s="1"/>
  <c r="Q19" i="33"/>
  <c r="Q11" i="33"/>
  <c r="Q31" i="33" s="1"/>
  <c r="Q15" i="33"/>
  <c r="Q35" i="33" s="1"/>
  <c r="Q10" i="33"/>
  <c r="Q30" i="33" s="1"/>
  <c r="Q9" i="33"/>
  <c r="Q29" i="33" s="1"/>
  <c r="Q20" i="33"/>
  <c r="Q7" i="33"/>
  <c r="Q27" i="33" s="1"/>
  <c r="M84" i="33"/>
  <c r="M85" i="33" s="1"/>
  <c r="E13" i="31" s="1"/>
  <c r="F22" i="24"/>
  <c r="T16" i="19"/>
  <c r="ES27" i="50"/>
  <c r="EM27" i="50"/>
  <c r="EY27" i="50"/>
  <c r="DI27" i="50"/>
  <c r="O81" i="33"/>
  <c r="O44" i="33"/>
  <c r="O45" i="33"/>
  <c r="O49" i="33"/>
  <c r="O48" i="33"/>
  <c r="O47" i="33"/>
  <c r="O43" i="33"/>
  <c r="O46" i="33"/>
  <c r="O42" i="33"/>
  <c r="CF5" i="50"/>
  <c r="J28" i="50"/>
  <c r="A27" i="51" s="1"/>
  <c r="AD4" i="51"/>
  <c r="K6" i="50"/>
  <c r="F38" i="41"/>
  <c r="O51" i="33"/>
  <c r="O66" i="33" s="1"/>
  <c r="CB24" i="41"/>
  <c r="CB26" i="41"/>
  <c r="CB13" i="41"/>
  <c r="CB16" i="41"/>
  <c r="CB20" i="41"/>
  <c r="CB15" i="41"/>
  <c r="CB8" i="41"/>
  <c r="CB4" i="41"/>
  <c r="CB6" i="41"/>
  <c r="CB18" i="41"/>
  <c r="CB27" i="41"/>
  <c r="CB23" i="41"/>
  <c r="CB19" i="41"/>
  <c r="CB21" i="41"/>
  <c r="CB3" i="41"/>
  <c r="CB17" i="41"/>
  <c r="CB5" i="41"/>
  <c r="CB9" i="41"/>
  <c r="CB12" i="41"/>
  <c r="CB22" i="41"/>
  <c r="CB10" i="41"/>
  <c r="CB14" i="41"/>
  <c r="CB25" i="41"/>
  <c r="CB7" i="41"/>
  <c r="I11" i="41"/>
  <c r="H36" i="41"/>
  <c r="AW1" i="41"/>
  <c r="DQ1" i="41"/>
  <c r="AC24" i="41"/>
  <c r="B36" i="24"/>
  <c r="A28" i="52" s="1"/>
  <c r="AA35" i="24"/>
  <c r="N81" i="33"/>
  <c r="AJ8" i="41"/>
  <c r="AJ12" i="41"/>
  <c r="AJ16" i="41"/>
  <c r="AJ4" i="41"/>
  <c r="AJ22" i="41"/>
  <c r="AJ13" i="41"/>
  <c r="AJ9" i="41"/>
  <c r="AJ17" i="41"/>
  <c r="AJ21" i="41"/>
  <c r="AJ20" i="41"/>
  <c r="AJ23" i="41"/>
  <c r="AJ7" i="41"/>
  <c r="AJ15" i="41"/>
  <c r="AK27" i="41"/>
  <c r="AJ10" i="41"/>
  <c r="AJ18" i="41"/>
  <c r="AJ19" i="41"/>
  <c r="AJ25" i="41"/>
  <c r="AJ6" i="41"/>
  <c r="AJ14" i="41"/>
  <c r="AJ26" i="41"/>
  <c r="AJ3" i="41"/>
  <c r="AJ5" i="41"/>
  <c r="A58" i="17"/>
  <c r="R2" i="33"/>
  <c r="AZ2" i="37" s="1"/>
  <c r="AT19" i="35"/>
  <c r="AU19" i="35" s="1"/>
  <c r="AQ20" i="35" s="1"/>
  <c r="AT20" i="35" s="1"/>
  <c r="AU20" i="35" s="1"/>
  <c r="AQ21" i="35" s="1"/>
  <c r="AT21" i="35" s="1"/>
  <c r="AU21" i="35" s="1"/>
  <c r="AQ22" i="35" s="1"/>
  <c r="AO17" i="35"/>
  <c r="AP17" i="35" s="1"/>
  <c r="AL18" i="35" s="1"/>
  <c r="F7" i="35"/>
  <c r="G7" i="35" s="1"/>
  <c r="C8" i="35" s="1"/>
  <c r="P7" i="35"/>
  <c r="Q7" i="35" s="1"/>
  <c r="M8" i="35" s="1"/>
  <c r="P8" i="35" s="1"/>
  <c r="Q8" i="35" s="1"/>
  <c r="M9" i="35" s="1"/>
  <c r="P9" i="35" s="1"/>
  <c r="Q9" i="35" s="1"/>
  <c r="M10" i="35" s="1"/>
  <c r="P10" i="35" s="1"/>
  <c r="Q10" i="35" s="1"/>
  <c r="M11" i="35" s="1"/>
  <c r="AY20" i="35"/>
  <c r="AZ20" i="35" s="1"/>
  <c r="AV21" i="35" s="1"/>
  <c r="AJ20" i="35"/>
  <c r="AK20" i="35" s="1"/>
  <c r="AG21" i="35" s="1"/>
  <c r="AE20" i="35"/>
  <c r="AF20" i="35" s="1"/>
  <c r="AB21" i="35" s="1"/>
  <c r="Z20" i="35"/>
  <c r="AA20" i="35" s="1"/>
  <c r="W21" i="35" s="1"/>
  <c r="U20" i="35"/>
  <c r="V20" i="35" s="1"/>
  <c r="R21" i="35" s="1"/>
  <c r="K21" i="35"/>
  <c r="L21" i="35" s="1"/>
  <c r="H22" i="35" s="1"/>
  <c r="P1" i="33"/>
  <c r="P50" i="33" s="1"/>
  <c r="P65" i="33" s="1"/>
  <c r="A7" i="19"/>
  <c r="P9" i="29"/>
  <c r="B7" i="19"/>
  <c r="C15" i="24" s="1"/>
  <c r="B5" i="17"/>
  <c r="B6" i="52"/>
  <c r="AY44" i="37" l="1"/>
  <c r="DZ18" i="37" s="1"/>
  <c r="AY40" i="37"/>
  <c r="DV18" i="37" s="1"/>
  <c r="AY41" i="37"/>
  <c r="DW18" i="37" s="1"/>
  <c r="AY36" i="37"/>
  <c r="AY43" i="37"/>
  <c r="DY18" i="37" s="1"/>
  <c r="AY42" i="37"/>
  <c r="DX18" i="37" s="1"/>
  <c r="AY45" i="37"/>
  <c r="EA18" i="37" s="1"/>
  <c r="AY56" i="37"/>
  <c r="EL18" i="37" s="1"/>
  <c r="AY52" i="37"/>
  <c r="EH18" i="37" s="1"/>
  <c r="AY50" i="37"/>
  <c r="EF18" i="37" s="1"/>
  <c r="AY57" i="37"/>
  <c r="EM18" i="37" s="1"/>
  <c r="AY49" i="37"/>
  <c r="EE18" i="37" s="1"/>
  <c r="AY39" i="37"/>
  <c r="DU18" i="37" s="1"/>
  <c r="AZ31" i="37"/>
  <c r="AZ4" i="37"/>
  <c r="AZ33" i="37" s="1"/>
  <c r="AZ7" i="37"/>
  <c r="AZ23" i="37"/>
  <c r="AZ11" i="37"/>
  <c r="AZ40" i="37" s="1"/>
  <c r="DV19" i="37" s="1"/>
  <c r="AZ15" i="37"/>
  <c r="AZ44" i="37" s="1"/>
  <c r="DZ19" i="37" s="1"/>
  <c r="AZ19" i="37"/>
  <c r="AZ16" i="37"/>
  <c r="AZ45" i="37" s="1"/>
  <c r="EA19" i="37" s="1"/>
  <c r="AZ25" i="37"/>
  <c r="AZ54" i="37" s="1"/>
  <c r="EJ19" i="37" s="1"/>
  <c r="AZ17" i="37"/>
  <c r="AZ46" i="37" s="1"/>
  <c r="EB19" i="37" s="1"/>
  <c r="AZ5" i="37"/>
  <c r="AZ34" i="37" s="1"/>
  <c r="AZ20" i="37"/>
  <c r="AZ49" i="37" s="1"/>
  <c r="EE19" i="37" s="1"/>
  <c r="AZ6" i="37"/>
  <c r="AZ12" i="37"/>
  <c r="AZ13" i="37"/>
  <c r="AZ42" i="37" s="1"/>
  <c r="DX19" i="37" s="1"/>
  <c r="AZ14" i="37"/>
  <c r="AZ43" i="37" s="1"/>
  <c r="DY19" i="37" s="1"/>
  <c r="AZ24" i="37"/>
  <c r="AZ53" i="37" s="1"/>
  <c r="EI19" i="37" s="1"/>
  <c r="AZ18" i="37"/>
  <c r="AZ8" i="37"/>
  <c r="AZ9" i="37"/>
  <c r="AZ38" i="37" s="1"/>
  <c r="DT19" i="37" s="1"/>
  <c r="AZ10" i="37"/>
  <c r="AZ39" i="37" s="1"/>
  <c r="DU19" i="37" s="1"/>
  <c r="AZ26" i="37"/>
  <c r="AZ55" i="37" s="1"/>
  <c r="EK19" i="37" s="1"/>
  <c r="AZ28" i="37"/>
  <c r="AZ57" i="37" s="1"/>
  <c r="EM19" i="37" s="1"/>
  <c r="AZ21" i="37"/>
  <c r="AZ50" i="37" s="1"/>
  <c r="EF19" i="37" s="1"/>
  <c r="AZ22" i="37"/>
  <c r="AZ27" i="37"/>
  <c r="AZ56" i="37" s="1"/>
  <c r="EL19" i="37" s="1"/>
  <c r="AZ3" i="37"/>
  <c r="AM323" i="5"/>
  <c r="AJ324" i="5" s="1"/>
  <c r="Q325" i="5"/>
  <c r="N326" i="5"/>
  <c r="Y324" i="5"/>
  <c r="CK24" i="5"/>
  <c r="CG25" i="5"/>
  <c r="CC24" i="5"/>
  <c r="X36" i="5"/>
  <c r="AB35" i="5"/>
  <c r="Q35" i="5"/>
  <c r="N36" i="5" s="1"/>
  <c r="M36" i="5"/>
  <c r="CW86" i="5"/>
  <c r="CX85" i="5"/>
  <c r="DO18" i="37"/>
  <c r="DP18" i="37"/>
  <c r="DR18" i="37"/>
  <c r="DQ18" i="37"/>
  <c r="AY29" i="37"/>
  <c r="Q53" i="33" s="1"/>
  <c r="AZ35" i="37"/>
  <c r="AZ51" i="37"/>
  <c r="EG19" i="37" s="1"/>
  <c r="AZ41" i="37"/>
  <c r="DW19" i="37" s="1"/>
  <c r="AZ32" i="37"/>
  <c r="DN19" i="37" s="1"/>
  <c r="AZ47" i="37"/>
  <c r="EC19" i="37" s="1"/>
  <c r="AZ52" i="37"/>
  <c r="EH19" i="37" s="1"/>
  <c r="AZ36" i="37"/>
  <c r="AZ48" i="37"/>
  <c r="ED19" i="37" s="1"/>
  <c r="AZ37" i="37"/>
  <c r="DS19" i="37" s="1"/>
  <c r="AA74" i="56"/>
  <c r="N84" i="33"/>
  <c r="N85" i="33" s="1"/>
  <c r="E14" i="31" s="1"/>
  <c r="AM34" i="5"/>
  <c r="AJ35" i="5" s="1"/>
  <c r="AI35" i="5"/>
  <c r="Y36" i="5"/>
  <c r="U27" i="51"/>
  <c r="Q27" i="51"/>
  <c r="S27" i="51"/>
  <c r="O57" i="33"/>
  <c r="O73" i="33" s="1"/>
  <c r="O61" i="33"/>
  <c r="O77" i="33" s="1"/>
  <c r="O58" i="33"/>
  <c r="O74" i="33" s="1"/>
  <c r="O62" i="33"/>
  <c r="O78" i="33" s="1"/>
  <c r="F23" i="24"/>
  <c r="O63" i="33"/>
  <c r="O79" i="33" s="1"/>
  <c r="O15" i="19"/>
  <c r="O64" i="33"/>
  <c r="O80" i="33" s="1"/>
  <c r="O60" i="33"/>
  <c r="O76" i="33" s="1"/>
  <c r="D74" i="17"/>
  <c r="D64" i="17"/>
  <c r="D67" i="17"/>
  <c r="D75" i="17"/>
  <c r="D70" i="17"/>
  <c r="D65" i="17"/>
  <c r="D78" i="17"/>
  <c r="D73" i="17"/>
  <c r="D63" i="17"/>
  <c r="D66" i="17"/>
  <c r="D69" i="17"/>
  <c r="D76" i="17"/>
  <c r="D77" i="17"/>
  <c r="D68" i="17"/>
  <c r="D71" i="17"/>
  <c r="D72" i="17"/>
  <c r="O59" i="33"/>
  <c r="O75" i="33" s="1"/>
  <c r="R10" i="33"/>
  <c r="R30" i="33" s="1"/>
  <c r="R15" i="33"/>
  <c r="R35" i="33" s="1"/>
  <c r="R9" i="33"/>
  <c r="R29" i="33" s="1"/>
  <c r="R16" i="33"/>
  <c r="R36" i="33" s="1"/>
  <c r="R18" i="33"/>
  <c r="R38" i="33" s="1"/>
  <c r="R7" i="33"/>
  <c r="R27" i="33" s="1"/>
  <c r="R17" i="33"/>
  <c r="R37" i="33" s="1"/>
  <c r="R12" i="33"/>
  <c r="R32" i="33" s="1"/>
  <c r="R13" i="33"/>
  <c r="R33" i="33" s="1"/>
  <c r="R19" i="33"/>
  <c r="R11" i="33"/>
  <c r="R31" i="33" s="1"/>
  <c r="R20" i="33"/>
  <c r="R8" i="33"/>
  <c r="R28" i="33" s="1"/>
  <c r="T17" i="19"/>
  <c r="EY28" i="50"/>
  <c r="EM28" i="50"/>
  <c r="AD5" i="51"/>
  <c r="ES28" i="50"/>
  <c r="D61" i="17"/>
  <c r="D62" i="17"/>
  <c r="DI28" i="50"/>
  <c r="P42" i="33"/>
  <c r="P46" i="33"/>
  <c r="P45" i="33"/>
  <c r="P49" i="33"/>
  <c r="P43" i="33"/>
  <c r="P47" i="33"/>
  <c r="P44" i="33"/>
  <c r="P48" i="33"/>
  <c r="K7" i="50"/>
  <c r="J29" i="50"/>
  <c r="A28" i="51" s="1"/>
  <c r="CF6" i="50"/>
  <c r="P51" i="33"/>
  <c r="P66" i="33" s="1"/>
  <c r="J11" i="41"/>
  <c r="I36" i="41"/>
  <c r="CD11" i="41" s="1"/>
  <c r="CC24" i="41"/>
  <c r="CC25" i="41"/>
  <c r="CC12" i="41"/>
  <c r="CC23" i="41"/>
  <c r="CC15" i="41"/>
  <c r="CC26" i="41"/>
  <c r="CC14" i="41"/>
  <c r="CC27" i="41"/>
  <c r="CC5" i="41"/>
  <c r="CC17" i="41"/>
  <c r="CC4" i="41"/>
  <c r="CC16" i="41"/>
  <c r="CC7" i="41"/>
  <c r="CC3" i="41"/>
  <c r="CC6" i="41"/>
  <c r="CC19" i="41"/>
  <c r="CC9" i="41"/>
  <c r="CC18" i="41"/>
  <c r="CC8" i="41"/>
  <c r="CC21" i="41"/>
  <c r="CC10" i="41"/>
  <c r="CC22" i="41"/>
  <c r="CC20" i="41"/>
  <c r="CC13" i="41"/>
  <c r="CC11" i="41"/>
  <c r="G38" i="41"/>
  <c r="AX1" i="41"/>
  <c r="DR1" i="41"/>
  <c r="AD24" i="41"/>
  <c r="G15" i="45"/>
  <c r="H15" i="45" s="1"/>
  <c r="H16" i="45" s="1"/>
  <c r="L3" i="45" s="1"/>
  <c r="G21" i="45"/>
  <c r="H21" i="45" s="1"/>
  <c r="B37" i="24"/>
  <c r="A29" i="52" s="1"/>
  <c r="AA36" i="24"/>
  <c r="D4" i="17"/>
  <c r="D6" i="17"/>
  <c r="D8" i="17"/>
  <c r="D10" i="17"/>
  <c r="D12" i="17"/>
  <c r="D14" i="17"/>
  <c r="D16" i="17"/>
  <c r="D18" i="17"/>
  <c r="D20" i="17"/>
  <c r="D22" i="17"/>
  <c r="D24" i="17"/>
  <c r="D26" i="17"/>
  <c r="D28" i="17"/>
  <c r="D30" i="17"/>
  <c r="D32" i="17"/>
  <c r="D34" i="17"/>
  <c r="D36" i="17"/>
  <c r="D38" i="17"/>
  <c r="D40" i="17"/>
  <c r="D42" i="17"/>
  <c r="D44" i="17"/>
  <c r="D46" i="17"/>
  <c r="D48" i="17"/>
  <c r="D50" i="17"/>
  <c r="D52" i="17"/>
  <c r="D54" i="17"/>
  <c r="D56" i="17"/>
  <c r="D58" i="17"/>
  <c r="D60" i="17"/>
  <c r="D2" i="17"/>
  <c r="D3" i="17"/>
  <c r="D5" i="17"/>
  <c r="D7" i="17"/>
  <c r="D9" i="17"/>
  <c r="D11" i="17"/>
  <c r="D13" i="17"/>
  <c r="D15" i="17"/>
  <c r="D17" i="17"/>
  <c r="D19" i="17"/>
  <c r="D21" i="17"/>
  <c r="D23" i="17"/>
  <c r="D25" i="17"/>
  <c r="D27" i="17"/>
  <c r="D29" i="17"/>
  <c r="D31" i="17"/>
  <c r="D33" i="17"/>
  <c r="D35" i="17"/>
  <c r="D37" i="17"/>
  <c r="D39" i="17"/>
  <c r="D41" i="17"/>
  <c r="D43" i="17"/>
  <c r="D45" i="17"/>
  <c r="D47" i="17"/>
  <c r="D49" i="17"/>
  <c r="D51" i="17"/>
  <c r="D53" i="17"/>
  <c r="D55" i="17"/>
  <c r="D57" i="17"/>
  <c r="D59" i="17"/>
  <c r="AK5" i="41"/>
  <c r="AK3" i="41"/>
  <c r="AK26" i="41"/>
  <c r="AK14" i="41"/>
  <c r="AK6" i="41"/>
  <c r="AK25" i="41"/>
  <c r="AK19" i="41"/>
  <c r="AK18" i="41"/>
  <c r="AK10" i="41"/>
  <c r="AL27" i="41"/>
  <c r="AK15" i="41"/>
  <c r="AK7" i="41"/>
  <c r="AK23" i="41"/>
  <c r="AK20" i="41"/>
  <c r="AK21" i="41"/>
  <c r="AK17" i="41"/>
  <c r="AK9" i="41"/>
  <c r="AK13" i="41"/>
  <c r="AK22" i="41"/>
  <c r="AK4" i="41"/>
  <c r="AK16" i="41"/>
  <c r="AK12" i="41"/>
  <c r="AK8" i="41"/>
  <c r="A59" i="17"/>
  <c r="S2" i="33"/>
  <c r="BA2" i="37" s="1"/>
  <c r="F8" i="35"/>
  <c r="G8" i="35" s="1"/>
  <c r="C9" i="35" s="1"/>
  <c r="AO18" i="35"/>
  <c r="AP18" i="35" s="1"/>
  <c r="AL19" i="35" s="1"/>
  <c r="P11" i="35"/>
  <c r="Q11" i="35" s="1"/>
  <c r="M12" i="35" s="1"/>
  <c r="P12" i="35" s="1"/>
  <c r="Q12" i="35" s="1"/>
  <c r="M13" i="35" s="1"/>
  <c r="AY21" i="35"/>
  <c r="AZ21" i="35" s="1"/>
  <c r="AV22" i="35" s="1"/>
  <c r="AT22" i="35"/>
  <c r="AU22" i="35" s="1"/>
  <c r="AQ23" i="35" s="1"/>
  <c r="AJ21" i="35"/>
  <c r="AK21" i="35" s="1"/>
  <c r="AG22" i="35" s="1"/>
  <c r="AE21" i="35"/>
  <c r="AF21" i="35" s="1"/>
  <c r="AB22" i="35" s="1"/>
  <c r="Z21" i="35"/>
  <c r="AA21" i="35" s="1"/>
  <c r="W22" i="35" s="1"/>
  <c r="U21" i="35"/>
  <c r="V21" i="35" s="1"/>
  <c r="R22" i="35" s="1"/>
  <c r="K22" i="35"/>
  <c r="L22" i="35" s="1"/>
  <c r="H23" i="35" s="1"/>
  <c r="Q1" i="33"/>
  <c r="Q50" i="33" s="1"/>
  <c r="Q65" i="33" s="1"/>
  <c r="J5" i="17"/>
  <c r="A8" i="19"/>
  <c r="P10" i="29"/>
  <c r="B8" i="19"/>
  <c r="C16" i="24" s="1"/>
  <c r="B7" i="52"/>
  <c r="B6" i="17"/>
  <c r="AY58" i="37" l="1"/>
  <c r="Q68" i="33" s="1"/>
  <c r="BA31" i="37"/>
  <c r="BA55" i="37" s="1"/>
  <c r="EK20" i="37" s="1"/>
  <c r="BA11" i="37"/>
  <c r="BA5" i="37"/>
  <c r="BA27" i="37"/>
  <c r="BA56" i="37" s="1"/>
  <c r="EL20" i="37" s="1"/>
  <c r="BA7" i="37"/>
  <c r="BA23" i="37"/>
  <c r="BA52" i="37" s="1"/>
  <c r="EH20" i="37" s="1"/>
  <c r="BA15" i="37"/>
  <c r="BA44" i="37" s="1"/>
  <c r="DZ20" i="37" s="1"/>
  <c r="BA19" i="37"/>
  <c r="BA48" i="37" s="1"/>
  <c r="ED20" i="37" s="1"/>
  <c r="BA21" i="37"/>
  <c r="BA50" i="37" s="1"/>
  <c r="EF20" i="37" s="1"/>
  <c r="BA16" i="37"/>
  <c r="BA25" i="37"/>
  <c r="BA54" i="37" s="1"/>
  <c r="EJ20" i="37" s="1"/>
  <c r="BA17" i="37"/>
  <c r="BA22" i="37"/>
  <c r="BA6" i="37"/>
  <c r="BA12" i="37"/>
  <c r="BA13" i="37"/>
  <c r="BA42" i="37" s="1"/>
  <c r="DX20" i="37" s="1"/>
  <c r="BA14" i="37"/>
  <c r="BA43" i="37" s="1"/>
  <c r="DY20" i="37" s="1"/>
  <c r="BA24" i="37"/>
  <c r="BA53" i="37" s="1"/>
  <c r="EI20" i="37" s="1"/>
  <c r="BA18" i="37"/>
  <c r="BA47" i="37" s="1"/>
  <c r="EC20" i="37" s="1"/>
  <c r="BA4" i="37"/>
  <c r="BA33" i="37" s="1"/>
  <c r="BA8" i="37"/>
  <c r="BA37" i="37" s="1"/>
  <c r="DS20" i="37" s="1"/>
  <c r="BA9" i="37"/>
  <c r="BA38" i="37" s="1"/>
  <c r="DT20" i="37" s="1"/>
  <c r="BA10" i="37"/>
  <c r="BA39" i="37" s="1"/>
  <c r="DU20" i="37" s="1"/>
  <c r="BA26" i="37"/>
  <c r="BA28" i="37"/>
  <c r="BA20" i="37"/>
  <c r="BA3" i="37"/>
  <c r="AL324" i="5"/>
  <c r="AK324" i="5"/>
  <c r="AM324" i="5" s="1"/>
  <c r="P326" i="5"/>
  <c r="O326" i="5"/>
  <c r="Q326" i="5" s="1"/>
  <c r="Z324" i="5"/>
  <c r="AB324" i="5" s="1"/>
  <c r="AA324" i="5"/>
  <c r="Y325" i="5"/>
  <c r="CH25" i="5"/>
  <c r="CP25" i="5"/>
  <c r="BW24" i="5"/>
  <c r="BV24" i="5" s="1"/>
  <c r="BX24" i="5" s="1"/>
  <c r="P36" i="5"/>
  <c r="O36" i="5" s="1"/>
  <c r="CW87" i="5"/>
  <c r="CX86" i="5"/>
  <c r="DR19" i="37"/>
  <c r="DQ19" i="37"/>
  <c r="DO19" i="37"/>
  <c r="DP19" i="37"/>
  <c r="AZ58" i="37"/>
  <c r="R68" i="33" s="1"/>
  <c r="AZ29" i="37"/>
  <c r="R53" i="33" s="1"/>
  <c r="BA45" i="37"/>
  <c r="EA20" i="37" s="1"/>
  <c r="BA51" i="37"/>
  <c r="EG20" i="37" s="1"/>
  <c r="BA40" i="37"/>
  <c r="DV20" i="37" s="1"/>
  <c r="BA36" i="37"/>
  <c r="BA41" i="37"/>
  <c r="DW20" i="37" s="1"/>
  <c r="BA32" i="37"/>
  <c r="DN20" i="37" s="1"/>
  <c r="BA34" i="37"/>
  <c r="BA57" i="37"/>
  <c r="EM20" i="37" s="1"/>
  <c r="BA35" i="37"/>
  <c r="BA49" i="37"/>
  <c r="EE20" i="37" s="1"/>
  <c r="AA75" i="56"/>
  <c r="O16" i="19"/>
  <c r="AA36" i="5"/>
  <c r="Z36" i="5"/>
  <c r="AB36" i="5" s="1"/>
  <c r="AL35" i="5"/>
  <c r="AK35" i="5" s="1"/>
  <c r="P62" i="33"/>
  <c r="P78" i="33" s="1"/>
  <c r="P58" i="33"/>
  <c r="P74" i="33" s="1"/>
  <c r="P64" i="33"/>
  <c r="P80" i="33" s="1"/>
  <c r="P60" i="33"/>
  <c r="P76" i="33" s="1"/>
  <c r="P61" i="33"/>
  <c r="P77" i="33" s="1"/>
  <c r="P57" i="33"/>
  <c r="P73" i="33" s="1"/>
  <c r="Q28" i="51"/>
  <c r="S28" i="51"/>
  <c r="U28" i="51"/>
  <c r="P63" i="33"/>
  <c r="P79" i="33" s="1"/>
  <c r="P59" i="33"/>
  <c r="P75" i="33" s="1"/>
  <c r="S10" i="33"/>
  <c r="S30" i="33" s="1"/>
  <c r="S15" i="33"/>
  <c r="S35" i="33" s="1"/>
  <c r="S9" i="33"/>
  <c r="S29" i="33" s="1"/>
  <c r="S13" i="33"/>
  <c r="S33" i="33" s="1"/>
  <c r="S16" i="33"/>
  <c r="S36" i="33" s="1"/>
  <c r="S17" i="33"/>
  <c r="S37" i="33" s="1"/>
  <c r="S18" i="33"/>
  <c r="S38" i="33" s="1"/>
  <c r="S7" i="33"/>
  <c r="S27" i="33" s="1"/>
  <c r="S12" i="33"/>
  <c r="S32" i="33" s="1"/>
  <c r="S19" i="33"/>
  <c r="S11" i="33"/>
  <c r="S31" i="33" s="1"/>
  <c r="S8" i="33"/>
  <c r="S28" i="33" s="1"/>
  <c r="S20" i="33"/>
  <c r="O84" i="33"/>
  <c r="O85" i="33" s="1"/>
  <c r="E15" i="31" s="1"/>
  <c r="F24" i="24"/>
  <c r="T18" i="19"/>
  <c r="EM29" i="50"/>
  <c r="ES29" i="50"/>
  <c r="EY29" i="50"/>
  <c r="DI29" i="50"/>
  <c r="Q81" i="33"/>
  <c r="Q42" i="33"/>
  <c r="Q46" i="33"/>
  <c r="Q49" i="33"/>
  <c r="Q45" i="33"/>
  <c r="Q48" i="33"/>
  <c r="Q44" i="33"/>
  <c r="Q47" i="33"/>
  <c r="Q43" i="33"/>
  <c r="J30" i="50"/>
  <c r="A29" i="51" s="1"/>
  <c r="CF7" i="50"/>
  <c r="AD6" i="51"/>
  <c r="K8" i="50"/>
  <c r="AD7" i="51" s="1"/>
  <c r="Q51" i="33"/>
  <c r="Q66" i="33" s="1"/>
  <c r="H38" i="41"/>
  <c r="CD24" i="41"/>
  <c r="CD25" i="41"/>
  <c r="CD5" i="41"/>
  <c r="CD7" i="41"/>
  <c r="CD6" i="41"/>
  <c r="CD20" i="41"/>
  <c r="CD26" i="41"/>
  <c r="CD16" i="41"/>
  <c r="CD23" i="41"/>
  <c r="CD17" i="41"/>
  <c r="CD22" i="41"/>
  <c r="CD14" i="41"/>
  <c r="CD21" i="41"/>
  <c r="CD27" i="41"/>
  <c r="CD15" i="41"/>
  <c r="CD18" i="41"/>
  <c r="CD12" i="41"/>
  <c r="CD19" i="41"/>
  <c r="CD13" i="41"/>
  <c r="CD3" i="41"/>
  <c r="CD10" i="41"/>
  <c r="CD8" i="41"/>
  <c r="CD9" i="41"/>
  <c r="CD4" i="41"/>
  <c r="K11" i="41"/>
  <c r="J36" i="41"/>
  <c r="CE11" i="41" s="1"/>
  <c r="AY1" i="41"/>
  <c r="DS1" i="41"/>
  <c r="AE24" i="41"/>
  <c r="B38" i="24"/>
  <c r="A30" i="52" s="1"/>
  <c r="AA37" i="24"/>
  <c r="P81" i="33"/>
  <c r="AL8" i="41"/>
  <c r="AL12" i="41"/>
  <c r="AL16" i="41"/>
  <c r="AL4" i="41"/>
  <c r="AL22" i="41"/>
  <c r="AL13" i="41"/>
  <c r="AL9" i="41"/>
  <c r="AL17" i="41"/>
  <c r="AL21" i="41"/>
  <c r="AL20" i="41"/>
  <c r="AL23" i="41"/>
  <c r="AL7" i="41"/>
  <c r="AL15" i="41"/>
  <c r="AM27" i="41"/>
  <c r="AL10" i="41"/>
  <c r="AL18" i="41"/>
  <c r="AL19" i="41"/>
  <c r="AL25" i="41"/>
  <c r="AL6" i="41"/>
  <c r="AL14" i="41"/>
  <c r="AL26" i="41"/>
  <c r="AL3" i="41"/>
  <c r="AL5" i="41"/>
  <c r="A60" i="17"/>
  <c r="A61" i="17" s="1"/>
  <c r="T2" i="33"/>
  <c r="BB2" i="37" s="1"/>
  <c r="P13" i="35"/>
  <c r="Q13" i="35" s="1"/>
  <c r="M14" i="35" s="1"/>
  <c r="P14" i="35" s="1"/>
  <c r="Q14" i="35" s="1"/>
  <c r="M15" i="35" s="1"/>
  <c r="P15" i="35" s="1"/>
  <c r="Q15" i="35" s="1"/>
  <c r="M16" i="35" s="1"/>
  <c r="P16" i="35" s="1"/>
  <c r="Q16" i="35" s="1"/>
  <c r="M17" i="35" s="1"/>
  <c r="P17" i="35" s="1"/>
  <c r="Q17" i="35" s="1"/>
  <c r="M18" i="35" s="1"/>
  <c r="P18" i="35" s="1"/>
  <c r="Q18" i="35" s="1"/>
  <c r="M19" i="35" s="1"/>
  <c r="P19" i="35" s="1"/>
  <c r="Q19" i="35" s="1"/>
  <c r="M20" i="35" s="1"/>
  <c r="P20" i="35" s="1"/>
  <c r="Q20" i="35" s="1"/>
  <c r="M21" i="35" s="1"/>
  <c r="AO19" i="35"/>
  <c r="AP19" i="35" s="1"/>
  <c r="AL20" i="35" s="1"/>
  <c r="AO20" i="35" s="1"/>
  <c r="AP20" i="35" s="1"/>
  <c r="AL21" i="35" s="1"/>
  <c r="AO21" i="35" s="1"/>
  <c r="AP21" i="35" s="1"/>
  <c r="AL22" i="35" s="1"/>
  <c r="AO22" i="35" s="1"/>
  <c r="AP22" i="35" s="1"/>
  <c r="AL23" i="35" s="1"/>
  <c r="F9" i="35"/>
  <c r="G9" i="35" s="1"/>
  <c r="C10" i="35" s="1"/>
  <c r="AY22" i="35"/>
  <c r="AZ22" i="35" s="1"/>
  <c r="AV23" i="35" s="1"/>
  <c r="AT23" i="35"/>
  <c r="AU23" i="35" s="1"/>
  <c r="AQ24" i="35" s="1"/>
  <c r="AJ22" i="35"/>
  <c r="AK22" i="35" s="1"/>
  <c r="AG23" i="35" s="1"/>
  <c r="AE22" i="35"/>
  <c r="AF22" i="35" s="1"/>
  <c r="AB23" i="35" s="1"/>
  <c r="Z22" i="35"/>
  <c r="AA22" i="35" s="1"/>
  <c r="W23" i="35" s="1"/>
  <c r="U22" i="35"/>
  <c r="V22" i="35" s="1"/>
  <c r="R23" i="35" s="1"/>
  <c r="K23" i="35"/>
  <c r="L23" i="35" s="1"/>
  <c r="H24" i="35" s="1"/>
  <c r="R1" i="33"/>
  <c r="R50" i="33" s="1"/>
  <c r="R65" i="33" s="1"/>
  <c r="A9" i="19"/>
  <c r="J6" i="17"/>
  <c r="P11" i="29"/>
  <c r="B9" i="19"/>
  <c r="C17" i="24" s="1"/>
  <c r="B7" i="17"/>
  <c r="B8" i="52"/>
  <c r="BA46" i="37" l="1"/>
  <c r="EB20" i="37" s="1"/>
  <c r="BB31" i="37"/>
  <c r="BB7" i="37"/>
  <c r="BB11" i="37"/>
  <c r="BB15" i="37"/>
  <c r="BB44" i="37" s="1"/>
  <c r="DZ21" i="37" s="1"/>
  <c r="BB19" i="37"/>
  <c r="BB48" i="37" s="1"/>
  <c r="ED21" i="37" s="1"/>
  <c r="BB23" i="37"/>
  <c r="BB52" i="37" s="1"/>
  <c r="EH21" i="37" s="1"/>
  <c r="BB27" i="37"/>
  <c r="BB56" i="37" s="1"/>
  <c r="EL21" i="37" s="1"/>
  <c r="BB5" i="37"/>
  <c r="BB21" i="37"/>
  <c r="BB50" i="37" s="1"/>
  <c r="EF21" i="37" s="1"/>
  <c r="BB16" i="37"/>
  <c r="BB45" i="37" s="1"/>
  <c r="EA21" i="37" s="1"/>
  <c r="BB25" i="37"/>
  <c r="BB54" i="37" s="1"/>
  <c r="EJ21" i="37" s="1"/>
  <c r="BB17" i="37"/>
  <c r="BB22" i="37"/>
  <c r="BB6" i="37"/>
  <c r="BB35" i="37" s="1"/>
  <c r="BB12" i="37"/>
  <c r="BB13" i="37"/>
  <c r="BB14" i="37"/>
  <c r="BB24" i="37"/>
  <c r="BB53" i="37" s="1"/>
  <c r="EI21" i="37" s="1"/>
  <c r="BB18" i="37"/>
  <c r="BB47" i="37" s="1"/>
  <c r="EC21" i="37" s="1"/>
  <c r="BB4" i="37"/>
  <c r="BB8" i="37"/>
  <c r="BB37" i="37" s="1"/>
  <c r="DS21" i="37" s="1"/>
  <c r="BB9" i="37"/>
  <c r="BB38" i="37" s="1"/>
  <c r="DT21" i="37" s="1"/>
  <c r="BB10" i="37"/>
  <c r="BB39" i="37" s="1"/>
  <c r="DU21" i="37" s="1"/>
  <c r="BB26" i="37"/>
  <c r="BB28" i="37"/>
  <c r="BB20" i="37"/>
  <c r="BB3" i="37"/>
  <c r="AJ325" i="5"/>
  <c r="N327" i="5"/>
  <c r="AA325" i="5"/>
  <c r="Z325" i="5" s="1"/>
  <c r="CJ25" i="5"/>
  <c r="CI25" i="5" s="1"/>
  <c r="CK25" i="5" s="1"/>
  <c r="BT25" i="5"/>
  <c r="BU25" i="5" s="1"/>
  <c r="M37" i="5"/>
  <c r="Q36" i="5"/>
  <c r="N37" i="5" s="1"/>
  <c r="CW88" i="5"/>
  <c r="CX87" i="5"/>
  <c r="DR20" i="37"/>
  <c r="DQ20" i="37"/>
  <c r="DO20" i="37"/>
  <c r="DP20" i="37"/>
  <c r="BA58" i="37"/>
  <c r="S68" i="33" s="1"/>
  <c r="BB42" i="37"/>
  <c r="DX21" i="37" s="1"/>
  <c r="BB49" i="37"/>
  <c r="EE21" i="37" s="1"/>
  <c r="BB33" i="37"/>
  <c r="BB57" i="37"/>
  <c r="EM21" i="37" s="1"/>
  <c r="BB34" i="37"/>
  <c r="BB32" i="37"/>
  <c r="DN21" i="37" s="1"/>
  <c r="BB43" i="37"/>
  <c r="DY21" i="37" s="1"/>
  <c r="BB40" i="37"/>
  <c r="DV21" i="37" s="1"/>
  <c r="BB36" i="37"/>
  <c r="BB41" i="37"/>
  <c r="DW21" i="37" s="1"/>
  <c r="BB51" i="37"/>
  <c r="EG21" i="37" s="1"/>
  <c r="BA29" i="37"/>
  <c r="S53" i="33" s="1"/>
  <c r="AA76" i="56"/>
  <c r="F25" i="24"/>
  <c r="P37" i="5"/>
  <c r="O37" i="5"/>
  <c r="AM35" i="5"/>
  <c r="AJ36" i="5" s="1"/>
  <c r="AI36" i="5"/>
  <c r="X37" i="5"/>
  <c r="Y37" i="5"/>
  <c r="Q37" i="5"/>
  <c r="Q29" i="51"/>
  <c r="S29" i="51"/>
  <c r="U29" i="51"/>
  <c r="Q58" i="33"/>
  <c r="Q74" i="33" s="1"/>
  <c r="Q62" i="33"/>
  <c r="Q78" i="33" s="1"/>
  <c r="Q59" i="33"/>
  <c r="Q75" i="33" s="1"/>
  <c r="Q63" i="33"/>
  <c r="Q79" i="33" s="1"/>
  <c r="Q60" i="33"/>
  <c r="Q76" i="33" s="1"/>
  <c r="Q64" i="33"/>
  <c r="Q80" i="33" s="1"/>
  <c r="Q61" i="33"/>
  <c r="Q77" i="33" s="1"/>
  <c r="Q57" i="33"/>
  <c r="Q73" i="33" s="1"/>
  <c r="T7" i="33"/>
  <c r="T27" i="33" s="1"/>
  <c r="T9" i="33"/>
  <c r="T29" i="33" s="1"/>
  <c r="T15" i="33"/>
  <c r="T35" i="33" s="1"/>
  <c r="T19" i="33"/>
  <c r="T16" i="33"/>
  <c r="T36" i="33" s="1"/>
  <c r="T17" i="33"/>
  <c r="T37" i="33" s="1"/>
  <c r="T13" i="33"/>
  <c r="T33" i="33" s="1"/>
  <c r="T10" i="33"/>
  <c r="T30" i="33" s="1"/>
  <c r="T12" i="33"/>
  <c r="T32" i="33" s="1"/>
  <c r="T11" i="33"/>
  <c r="T31" i="33" s="1"/>
  <c r="T8" i="33"/>
  <c r="T28" i="33" s="1"/>
  <c r="T20" i="33"/>
  <c r="T18" i="33"/>
  <c r="T38" i="33" s="1"/>
  <c r="P84" i="33"/>
  <c r="P85" i="33" s="1"/>
  <c r="E16" i="31" s="1"/>
  <c r="O17" i="19"/>
  <c r="T19" i="19"/>
  <c r="EY30" i="50"/>
  <c r="ES30" i="50"/>
  <c r="EM30" i="50"/>
  <c r="DI30" i="50"/>
  <c r="A62" i="17"/>
  <c r="R45" i="33"/>
  <c r="R42" i="33"/>
  <c r="R46" i="33"/>
  <c r="R49" i="33"/>
  <c r="R48" i="33"/>
  <c r="R44" i="33"/>
  <c r="R47" i="33"/>
  <c r="R43" i="33"/>
  <c r="J31" i="50"/>
  <c r="A30" i="51" s="1"/>
  <c r="K9" i="50"/>
  <c r="CF8" i="50"/>
  <c r="R51" i="33"/>
  <c r="R66" i="33" s="1"/>
  <c r="I38" i="41"/>
  <c r="CE24" i="41"/>
  <c r="CE22" i="41"/>
  <c r="CE15" i="41"/>
  <c r="CE19" i="41"/>
  <c r="CE6" i="41"/>
  <c r="CE3" i="41"/>
  <c r="CE7" i="41"/>
  <c r="CE23" i="41"/>
  <c r="CE10" i="41"/>
  <c r="CE18" i="41"/>
  <c r="CE25" i="41"/>
  <c r="CE8" i="41"/>
  <c r="CE9" i="41"/>
  <c r="CE27" i="41"/>
  <c r="CE20" i="41"/>
  <c r="CE5" i="41"/>
  <c r="CE21" i="41"/>
  <c r="CE12" i="41"/>
  <c r="CE26" i="41"/>
  <c r="CE17" i="41"/>
  <c r="CE14" i="41"/>
  <c r="CE4" i="41"/>
  <c r="CE16" i="41"/>
  <c r="CE13" i="41"/>
  <c r="L11" i="41"/>
  <c r="K36" i="41"/>
  <c r="AZ1" i="41"/>
  <c r="DT1" i="41"/>
  <c r="AF24" i="41"/>
  <c r="B39" i="24"/>
  <c r="A31" i="52" s="1"/>
  <c r="AA38" i="24"/>
  <c r="AM5" i="41"/>
  <c r="AM3" i="41"/>
  <c r="AM26" i="41"/>
  <c r="AM14" i="41"/>
  <c r="AM6" i="41"/>
  <c r="AM25" i="41"/>
  <c r="AM19" i="41"/>
  <c r="AM18" i="41"/>
  <c r="AM10" i="41"/>
  <c r="AN27" i="41"/>
  <c r="AM15" i="41"/>
  <c r="AM7" i="41"/>
  <c r="AM23" i="41"/>
  <c r="AM20" i="41"/>
  <c r="AM21" i="41"/>
  <c r="AM17" i="41"/>
  <c r="AM9" i="41"/>
  <c r="AM13" i="41"/>
  <c r="AM22" i="41"/>
  <c r="AM4" i="41"/>
  <c r="AM16" i="41"/>
  <c r="AM12" i="41"/>
  <c r="AM8" i="41"/>
  <c r="U2" i="33"/>
  <c r="BC2" i="37" s="1"/>
  <c r="P21" i="35"/>
  <c r="Q21" i="35" s="1"/>
  <c r="M22" i="35" s="1"/>
  <c r="P22" i="35" s="1"/>
  <c r="Q22" i="35" s="1"/>
  <c r="M23" i="35" s="1"/>
  <c r="F10" i="35"/>
  <c r="G10" i="35" s="1"/>
  <c r="C11" i="35" s="1"/>
  <c r="AY23" i="35"/>
  <c r="AZ23" i="35" s="1"/>
  <c r="AV24" i="35" s="1"/>
  <c r="AT24" i="35"/>
  <c r="AU24" i="35" s="1"/>
  <c r="AQ25" i="35" s="1"/>
  <c r="AO23" i="35"/>
  <c r="AP23" i="35" s="1"/>
  <c r="AL24" i="35" s="1"/>
  <c r="AJ23" i="35"/>
  <c r="AK23" i="35" s="1"/>
  <c r="AG24" i="35" s="1"/>
  <c r="AE23" i="35"/>
  <c r="AF23" i="35" s="1"/>
  <c r="AB24" i="35" s="1"/>
  <c r="Z23" i="35"/>
  <c r="AA23" i="35" s="1"/>
  <c r="W24" i="35" s="1"/>
  <c r="U23" i="35"/>
  <c r="V23" i="35" s="1"/>
  <c r="R24" i="35" s="1"/>
  <c r="K24" i="35"/>
  <c r="L24" i="35" s="1"/>
  <c r="H25" i="35" s="1"/>
  <c r="S1" i="33"/>
  <c r="S50" i="33" s="1"/>
  <c r="S65" i="33" s="1"/>
  <c r="A10" i="19"/>
  <c r="J7" i="17"/>
  <c r="P12" i="29"/>
  <c r="B10" i="19"/>
  <c r="C18" i="24" s="1"/>
  <c r="B9" i="52"/>
  <c r="B8" i="17"/>
  <c r="J8" i="17" s="1"/>
  <c r="I4" i="17"/>
  <c r="I5" i="17"/>
  <c r="I6" i="17"/>
  <c r="I7" i="17"/>
  <c r="I3" i="17"/>
  <c r="BB55" i="37" l="1"/>
  <c r="EK21" i="37" s="1"/>
  <c r="BB46" i="37"/>
  <c r="EB21" i="37" s="1"/>
  <c r="BC31" i="37"/>
  <c r="BC15" i="37"/>
  <c r="BC44" i="37" s="1"/>
  <c r="DZ22" i="37" s="1"/>
  <c r="BC6" i="37"/>
  <c r="BC10" i="37"/>
  <c r="BC14" i="37"/>
  <c r="BC43" i="37" s="1"/>
  <c r="DY22" i="37" s="1"/>
  <c r="BC20" i="37"/>
  <c r="BC49" i="37" s="1"/>
  <c r="EE22" i="37" s="1"/>
  <c r="BC27" i="37"/>
  <c r="BC56" i="37" s="1"/>
  <c r="EL22" i="37" s="1"/>
  <c r="BC5" i="37"/>
  <c r="BC34" i="37" s="1"/>
  <c r="BC7" i="37"/>
  <c r="BC36" i="37" s="1"/>
  <c r="BC11" i="37"/>
  <c r="BC40" i="37" s="1"/>
  <c r="DV22" i="37" s="1"/>
  <c r="BC26" i="37"/>
  <c r="BC21" i="37"/>
  <c r="BC16" i="37"/>
  <c r="BC17" i="37"/>
  <c r="BC22" i="37"/>
  <c r="BC12" i="37"/>
  <c r="BC13" i="37"/>
  <c r="BC24" i="37"/>
  <c r="BC18" i="37"/>
  <c r="BC4" i="37"/>
  <c r="BC33" i="37" s="1"/>
  <c r="BC8" i="37"/>
  <c r="BC37" i="37" s="1"/>
  <c r="DS22" i="37" s="1"/>
  <c r="BC9" i="37"/>
  <c r="BC38" i="37" s="1"/>
  <c r="DT22" i="37" s="1"/>
  <c r="BC19" i="37"/>
  <c r="BC23" i="37"/>
  <c r="BC28" i="37"/>
  <c r="BC57" i="37" s="1"/>
  <c r="EM22" i="37" s="1"/>
  <c r="BC25" i="37"/>
  <c r="BC54" i="37" s="1"/>
  <c r="EJ22" i="37" s="1"/>
  <c r="BC3" i="37"/>
  <c r="BC32" i="37" s="1"/>
  <c r="DN22" i="37" s="1"/>
  <c r="AB325" i="5"/>
  <c r="Y326" i="5"/>
  <c r="P327" i="5"/>
  <c r="O327" i="5"/>
  <c r="Q327" i="5" s="1"/>
  <c r="N328" i="5"/>
  <c r="AL325" i="5"/>
  <c r="AK325" i="5" s="1"/>
  <c r="CG26" i="5"/>
  <c r="CC25" i="5"/>
  <c r="CX88" i="5"/>
  <c r="CW89" i="5"/>
  <c r="DR21" i="37"/>
  <c r="DQ21" i="37"/>
  <c r="DP21" i="37"/>
  <c r="DO21" i="37"/>
  <c r="BB58" i="37"/>
  <c r="T68" i="33" s="1"/>
  <c r="BC39" i="37"/>
  <c r="DU22" i="37" s="1"/>
  <c r="BC46" i="37"/>
  <c r="EB22" i="37" s="1"/>
  <c r="BC41" i="37"/>
  <c r="DW22" i="37" s="1"/>
  <c r="BC51" i="37"/>
  <c r="EG22" i="37" s="1"/>
  <c r="BC35" i="37"/>
  <c r="BC45" i="37"/>
  <c r="EA22" i="37" s="1"/>
  <c r="BC42" i="37"/>
  <c r="DX22" i="37" s="1"/>
  <c r="BC48" i="37"/>
  <c r="ED22" i="37" s="1"/>
  <c r="BC53" i="37"/>
  <c r="EI22" i="37" s="1"/>
  <c r="BC47" i="37"/>
  <c r="EC22" i="37" s="1"/>
  <c r="BB29" i="37"/>
  <c r="T53" i="33" s="1"/>
  <c r="AA77" i="56"/>
  <c r="O18" i="19"/>
  <c r="AA37" i="5"/>
  <c r="Z37" i="5" s="1"/>
  <c r="AL36" i="5"/>
  <c r="F26" i="24"/>
  <c r="Q85" i="33"/>
  <c r="E17" i="31" s="1"/>
  <c r="N38" i="5"/>
  <c r="M38" i="5"/>
  <c r="U30" i="51"/>
  <c r="S30" i="51"/>
  <c r="Q30" i="51"/>
  <c r="R58" i="33"/>
  <c r="R74" i="33" s="1"/>
  <c r="R62" i="33"/>
  <c r="R78" i="33" s="1"/>
  <c r="R59" i="33"/>
  <c r="R75" i="33" s="1"/>
  <c r="R63" i="33"/>
  <c r="R79" i="33" s="1"/>
  <c r="R64" i="33"/>
  <c r="R80" i="33" s="1"/>
  <c r="R61" i="33"/>
  <c r="R77" i="33" s="1"/>
  <c r="R57" i="33"/>
  <c r="R73" i="33" s="1"/>
  <c r="R60" i="33"/>
  <c r="R76" i="33" s="1"/>
  <c r="U7" i="33"/>
  <c r="U27" i="33" s="1"/>
  <c r="U11" i="33"/>
  <c r="U31" i="33" s="1"/>
  <c r="U16" i="33"/>
  <c r="U36" i="33" s="1"/>
  <c r="U12" i="33"/>
  <c r="U32" i="33" s="1"/>
  <c r="U13" i="33"/>
  <c r="U33" i="33" s="1"/>
  <c r="U9" i="33"/>
  <c r="U29" i="33" s="1"/>
  <c r="U15" i="33"/>
  <c r="U35" i="33" s="1"/>
  <c r="U19" i="33"/>
  <c r="U17" i="33"/>
  <c r="U37" i="33" s="1"/>
  <c r="U10" i="33"/>
  <c r="U30" i="33" s="1"/>
  <c r="U8" i="33"/>
  <c r="U28" i="33" s="1"/>
  <c r="U20" i="33"/>
  <c r="U18" i="33"/>
  <c r="U38" i="33" s="1"/>
  <c r="T20" i="19"/>
  <c r="EM31" i="50"/>
  <c r="ES31" i="50"/>
  <c r="EY31" i="50"/>
  <c r="DI31" i="50"/>
  <c r="A63" i="17"/>
  <c r="S43" i="33"/>
  <c r="S47" i="33"/>
  <c r="S42" i="33"/>
  <c r="S46" i="33"/>
  <c r="S44" i="33"/>
  <c r="S48" i="33"/>
  <c r="S45" i="33"/>
  <c r="S49" i="33"/>
  <c r="CF9" i="50"/>
  <c r="AD8" i="51"/>
  <c r="J32" i="50"/>
  <c r="A31" i="51" s="1"/>
  <c r="K10" i="50"/>
  <c r="AD9" i="51" s="1"/>
  <c r="S51" i="33"/>
  <c r="S66" i="33" s="1"/>
  <c r="CF24" i="41"/>
  <c r="CF22" i="41"/>
  <c r="CF7" i="41"/>
  <c r="CF25" i="41"/>
  <c r="CF16" i="41"/>
  <c r="CF18" i="41"/>
  <c r="CF9" i="41"/>
  <c r="CF13" i="41"/>
  <c r="CF23" i="41"/>
  <c r="CF8" i="41"/>
  <c r="CF17" i="41"/>
  <c r="CF20" i="41"/>
  <c r="CF14" i="41"/>
  <c r="CF6" i="41"/>
  <c r="CF27" i="41"/>
  <c r="CF12" i="41"/>
  <c r="CF21" i="41"/>
  <c r="CF10" i="41"/>
  <c r="CF4" i="41"/>
  <c r="CF5" i="41"/>
  <c r="CF3" i="41"/>
  <c r="CF19" i="41"/>
  <c r="CF15" i="41"/>
  <c r="CF26" i="41"/>
  <c r="J38" i="41"/>
  <c r="CF11" i="41"/>
  <c r="M11" i="41"/>
  <c r="L36" i="41"/>
  <c r="CG11" i="41" s="1"/>
  <c r="S81" i="33"/>
  <c r="BA1" i="41"/>
  <c r="DU1" i="41"/>
  <c r="AG24" i="41"/>
  <c r="B40" i="24"/>
  <c r="A32" i="52" s="1"/>
  <c r="AA39" i="24"/>
  <c r="R81" i="33"/>
  <c r="AN8" i="41"/>
  <c r="AN12" i="41"/>
  <c r="AN16" i="41"/>
  <c r="AN4" i="41"/>
  <c r="AN22" i="41"/>
  <c r="AN13" i="41"/>
  <c r="AN9" i="41"/>
  <c r="AN17" i="41"/>
  <c r="AN21" i="41"/>
  <c r="AN20" i="41"/>
  <c r="AN23" i="41"/>
  <c r="AN7" i="41"/>
  <c r="AN15" i="41"/>
  <c r="AO27" i="41"/>
  <c r="AN10" i="41"/>
  <c r="AN18" i="41"/>
  <c r="AN19" i="41"/>
  <c r="AN25" i="41"/>
  <c r="AN6" i="41"/>
  <c r="AN14" i="41"/>
  <c r="AN26" i="41"/>
  <c r="AN3" i="41"/>
  <c r="AN5" i="41"/>
  <c r="V2" i="33"/>
  <c r="BD2" i="37" s="1"/>
  <c r="P23" i="35"/>
  <c r="Q23" i="35" s="1"/>
  <c r="M24" i="35" s="1"/>
  <c r="P24" i="35" s="1"/>
  <c r="Q24" i="35" s="1"/>
  <c r="M25" i="35" s="1"/>
  <c r="F11" i="35"/>
  <c r="G11" i="35" s="1"/>
  <c r="C12" i="35" s="1"/>
  <c r="AY24" i="35"/>
  <c r="AZ24" i="35" s="1"/>
  <c r="AV25" i="35" s="1"/>
  <c r="AT25" i="35"/>
  <c r="AU25" i="35" s="1"/>
  <c r="AQ26" i="35" s="1"/>
  <c r="AO24" i="35"/>
  <c r="AP24" i="35" s="1"/>
  <c r="AL25" i="35" s="1"/>
  <c r="AJ24" i="35"/>
  <c r="AK24" i="35" s="1"/>
  <c r="AG25" i="35" s="1"/>
  <c r="AE24" i="35"/>
  <c r="AF24" i="35" s="1"/>
  <c r="AB25" i="35" s="1"/>
  <c r="Z24" i="35"/>
  <c r="AA24" i="35" s="1"/>
  <c r="W25" i="35" s="1"/>
  <c r="U24" i="35"/>
  <c r="V24" i="35" s="1"/>
  <c r="R25" i="35" s="1"/>
  <c r="K25" i="35"/>
  <c r="L25" i="35" s="1"/>
  <c r="H26" i="35" s="1"/>
  <c r="T1" i="33"/>
  <c r="T50" i="33" s="1"/>
  <c r="T65" i="33" s="1"/>
  <c r="I8" i="17"/>
  <c r="A11" i="19"/>
  <c r="I2" i="17"/>
  <c r="P13" i="29"/>
  <c r="P14" i="29" s="1"/>
  <c r="P15" i="29" s="1"/>
  <c r="P16" i="29" s="1"/>
  <c r="P17" i="29" s="1"/>
  <c r="P18" i="29" s="1"/>
  <c r="P19" i="29" s="1"/>
  <c r="P20" i="29" s="1"/>
  <c r="P21" i="29" s="1"/>
  <c r="P22" i="29" s="1"/>
  <c r="P23" i="29" s="1"/>
  <c r="P24" i="29" s="1"/>
  <c r="P25" i="29" s="1"/>
  <c r="P26" i="29" s="1"/>
  <c r="P27" i="29" s="1"/>
  <c r="P28" i="29" s="1"/>
  <c r="P29" i="29" s="1"/>
  <c r="P30" i="29" s="1"/>
  <c r="B11" i="19"/>
  <c r="C19" i="24" s="1"/>
  <c r="B9" i="17"/>
  <c r="B10" i="52"/>
  <c r="BC52" i="37" l="1"/>
  <c r="EH22" i="37" s="1"/>
  <c r="BC50" i="37"/>
  <c r="EF22" i="37" s="1"/>
  <c r="BC55" i="37"/>
  <c r="EK22" i="37" s="1"/>
  <c r="BD31" i="37"/>
  <c r="BD8" i="37"/>
  <c r="BD37" i="37" s="1"/>
  <c r="DS23" i="37" s="1"/>
  <c r="BD24" i="37"/>
  <c r="BD53" i="37" s="1"/>
  <c r="EI23" i="37" s="1"/>
  <c r="BD6" i="37"/>
  <c r="BD10" i="37"/>
  <c r="BD39" i="37" s="1"/>
  <c r="DU23" i="37" s="1"/>
  <c r="BD14" i="37"/>
  <c r="BD20" i="37"/>
  <c r="BD4" i="37"/>
  <c r="BD33" i="37" s="1"/>
  <c r="BD22" i="37"/>
  <c r="BD51" i="37" s="1"/>
  <c r="EG23" i="37" s="1"/>
  <c r="BD26" i="37"/>
  <c r="BD5" i="37"/>
  <c r="BD15" i="37"/>
  <c r="BD27" i="37"/>
  <c r="BD56" i="37" s="1"/>
  <c r="EL23" i="37" s="1"/>
  <c r="BD16" i="37"/>
  <c r="BD17" i="37"/>
  <c r="BD46" i="37" s="1"/>
  <c r="EB23" i="37" s="1"/>
  <c r="BD11" i="37"/>
  <c r="BD40" i="37" s="1"/>
  <c r="DV23" i="37" s="1"/>
  <c r="BD12" i="37"/>
  <c r="BD13" i="37"/>
  <c r="BD18" i="37"/>
  <c r="BD47" i="37" s="1"/>
  <c r="EC23" i="37" s="1"/>
  <c r="BD21" i="37"/>
  <c r="BD50" i="37" s="1"/>
  <c r="EF23" i="37" s="1"/>
  <c r="BD9" i="37"/>
  <c r="BD38" i="37" s="1"/>
  <c r="DT23" i="37" s="1"/>
  <c r="BD19" i="37"/>
  <c r="BD7" i="37"/>
  <c r="BD25" i="37"/>
  <c r="BD23" i="37"/>
  <c r="BD28" i="37"/>
  <c r="BD57" i="37" s="1"/>
  <c r="EM23" i="37" s="1"/>
  <c r="BD3" i="37"/>
  <c r="AM325" i="5"/>
  <c r="AJ326" i="5" s="1"/>
  <c r="P328" i="5"/>
  <c r="O328" i="5" s="1"/>
  <c r="Z326" i="5"/>
  <c r="AB326" i="5" s="1"/>
  <c r="AA326" i="5"/>
  <c r="CP26" i="5"/>
  <c r="CH26" i="5"/>
  <c r="BW25" i="5"/>
  <c r="BV25" i="5" s="1"/>
  <c r="BX25" i="5" s="1"/>
  <c r="X38" i="5"/>
  <c r="AB37" i="5"/>
  <c r="CW90" i="5"/>
  <c r="CX89" i="5"/>
  <c r="DP22" i="37"/>
  <c r="DR22" i="37"/>
  <c r="DQ22" i="37"/>
  <c r="DO22" i="37"/>
  <c r="BC58" i="37"/>
  <c r="U68" i="33" s="1"/>
  <c r="BD35" i="37"/>
  <c r="BD43" i="37"/>
  <c r="DY23" i="37" s="1"/>
  <c r="BD52" i="37"/>
  <c r="EH23" i="37" s="1"/>
  <c r="BD45" i="37"/>
  <c r="EA23" i="37" s="1"/>
  <c r="BD48" i="37"/>
  <c r="ED23" i="37" s="1"/>
  <c r="BD49" i="37"/>
  <c r="EE23" i="37" s="1"/>
  <c r="BD42" i="37"/>
  <c r="DX23" i="37" s="1"/>
  <c r="BD41" i="37"/>
  <c r="DW23" i="37" s="1"/>
  <c r="BC29" i="37"/>
  <c r="U53" i="33" s="1"/>
  <c r="AA78" i="56"/>
  <c r="O19" i="19"/>
  <c r="P38" i="5"/>
  <c r="O38" i="5" s="1"/>
  <c r="Q38" i="5" s="1"/>
  <c r="AK36" i="5"/>
  <c r="AI37" i="5" s="1"/>
  <c r="Y38" i="5"/>
  <c r="S62" i="33"/>
  <c r="S78" i="33" s="1"/>
  <c r="R85" i="33"/>
  <c r="E18" i="31" s="1"/>
  <c r="S58" i="33"/>
  <c r="S74" i="33" s="1"/>
  <c r="U31" i="51"/>
  <c r="Q31" i="51"/>
  <c r="S31" i="51"/>
  <c r="S64" i="33"/>
  <c r="S80" i="33" s="1"/>
  <c r="S60" i="33"/>
  <c r="S76" i="33" s="1"/>
  <c r="S63" i="33"/>
  <c r="S79" i="33" s="1"/>
  <c r="S59" i="33"/>
  <c r="S75" i="33" s="1"/>
  <c r="S61" i="33"/>
  <c r="S77" i="33" s="1"/>
  <c r="S57" i="33"/>
  <c r="S73" i="33" s="1"/>
  <c r="V7" i="33"/>
  <c r="V27" i="33" s="1"/>
  <c r="V11" i="33"/>
  <c r="V31" i="33" s="1"/>
  <c r="V16" i="33"/>
  <c r="V36" i="33" s="1"/>
  <c r="V10" i="33"/>
  <c r="V30" i="33" s="1"/>
  <c r="V15" i="33"/>
  <c r="V35" i="33" s="1"/>
  <c r="V12" i="33"/>
  <c r="V32" i="33" s="1"/>
  <c r="V13" i="33"/>
  <c r="V33" i="33" s="1"/>
  <c r="V9" i="33"/>
  <c r="V29" i="33" s="1"/>
  <c r="V17" i="33"/>
  <c r="V37" i="33" s="1"/>
  <c r="V19" i="33"/>
  <c r="V8" i="33"/>
  <c r="V28" i="33" s="1"/>
  <c r="V20" i="33"/>
  <c r="V18" i="33"/>
  <c r="V38" i="33" s="1"/>
  <c r="F27" i="24"/>
  <c r="T21" i="19"/>
  <c r="EY32" i="50"/>
  <c r="ES32" i="50"/>
  <c r="EM32" i="50"/>
  <c r="DI32" i="50"/>
  <c r="A64" i="17"/>
  <c r="T43" i="33"/>
  <c r="T47" i="33"/>
  <c r="T42" i="33"/>
  <c r="T46" i="33"/>
  <c r="T45" i="33"/>
  <c r="T48" i="33"/>
  <c r="T44" i="33"/>
  <c r="T49" i="33"/>
  <c r="J33" i="50"/>
  <c r="A32" i="51" s="1"/>
  <c r="K11" i="50"/>
  <c r="CF10" i="50"/>
  <c r="T51" i="33"/>
  <c r="T66" i="33" s="1"/>
  <c r="K38" i="41"/>
  <c r="CG24" i="41"/>
  <c r="CG14" i="41"/>
  <c r="CG18" i="41"/>
  <c r="CG10" i="41"/>
  <c r="CG12" i="41"/>
  <c r="CG16" i="41"/>
  <c r="CG22" i="41"/>
  <c r="CG27" i="41"/>
  <c r="CG15" i="41"/>
  <c r="CG5" i="41"/>
  <c r="CG19" i="41"/>
  <c r="CG25" i="41"/>
  <c r="CG17" i="41"/>
  <c r="CG9" i="41"/>
  <c r="CG6" i="41"/>
  <c r="CG26" i="41"/>
  <c r="CG21" i="41"/>
  <c r="CG13" i="41"/>
  <c r="CG8" i="41"/>
  <c r="CG4" i="41"/>
  <c r="CG20" i="41"/>
  <c r="CG3" i="41"/>
  <c r="CG23" i="41"/>
  <c r="CG7" i="41"/>
  <c r="N11" i="41"/>
  <c r="M36" i="41"/>
  <c r="CH11" i="41" s="1"/>
  <c r="BB1" i="41"/>
  <c r="DV1" i="41"/>
  <c r="AH24" i="41"/>
  <c r="G19" i="45"/>
  <c r="H19" i="45" s="1"/>
  <c r="B41" i="24"/>
  <c r="A33" i="52" s="1"/>
  <c r="AA40" i="24"/>
  <c r="AO5" i="41"/>
  <c r="AO3" i="41"/>
  <c r="AO26" i="41"/>
  <c r="AO14" i="41"/>
  <c r="AO6" i="41"/>
  <c r="AO25" i="41"/>
  <c r="AO19" i="41"/>
  <c r="AO18" i="41"/>
  <c r="AO10" i="41"/>
  <c r="AP27" i="41"/>
  <c r="AO15" i="41"/>
  <c r="AO7" i="41"/>
  <c r="AO23" i="41"/>
  <c r="AO20" i="41"/>
  <c r="AO21" i="41"/>
  <c r="AO17" i="41"/>
  <c r="AO9" i="41"/>
  <c r="AO13" i="41"/>
  <c r="AO22" i="41"/>
  <c r="AO4" i="41"/>
  <c r="AO16" i="41"/>
  <c r="AO12" i="41"/>
  <c r="AO8" i="41"/>
  <c r="W2" i="33"/>
  <c r="BE2" i="37" s="1"/>
  <c r="P25" i="35"/>
  <c r="Q25" i="35" s="1"/>
  <c r="M26" i="35" s="1"/>
  <c r="P26" i="35" s="1"/>
  <c r="Q26" i="35" s="1"/>
  <c r="M27" i="35" s="1"/>
  <c r="F12" i="35"/>
  <c r="G12" i="35" s="1"/>
  <c r="C13" i="35" s="1"/>
  <c r="AY25" i="35"/>
  <c r="AZ25" i="35" s="1"/>
  <c r="AV26" i="35" s="1"/>
  <c r="AT26" i="35"/>
  <c r="AU26" i="35" s="1"/>
  <c r="AQ27" i="35" s="1"/>
  <c r="AO25" i="35"/>
  <c r="AP25" i="35" s="1"/>
  <c r="AL26" i="35" s="1"/>
  <c r="AJ25" i="35"/>
  <c r="AK25" i="35" s="1"/>
  <c r="AG26" i="35" s="1"/>
  <c r="AE25" i="35"/>
  <c r="AF25" i="35" s="1"/>
  <c r="AB26" i="35" s="1"/>
  <c r="Z25" i="35"/>
  <c r="AA25" i="35" s="1"/>
  <c r="W26" i="35" s="1"/>
  <c r="U25" i="35"/>
  <c r="V25" i="35" s="1"/>
  <c r="R26" i="35" s="1"/>
  <c r="K26" i="35"/>
  <c r="L26" i="35" s="1"/>
  <c r="H27" i="35" s="1"/>
  <c r="U1" i="33"/>
  <c r="U50" i="33" s="1"/>
  <c r="U65" i="33" s="1"/>
  <c r="I9" i="17"/>
  <c r="J9" i="17"/>
  <c r="A12" i="19"/>
  <c r="B12" i="19"/>
  <c r="C20" i="24" s="1"/>
  <c r="B11" i="52"/>
  <c r="B10" i="17"/>
  <c r="J10" i="17" s="1"/>
  <c r="BD54" i="37" l="1"/>
  <c r="EJ23" i="37" s="1"/>
  <c r="BD44" i="37"/>
  <c r="DZ23" i="37" s="1"/>
  <c r="BD36" i="37"/>
  <c r="BD34" i="37"/>
  <c r="BD55" i="37"/>
  <c r="EK23" i="37" s="1"/>
  <c r="BE31" i="37"/>
  <c r="BE6" i="37"/>
  <c r="BE10" i="37"/>
  <c r="BE39" i="37" s="1"/>
  <c r="DU24" i="37" s="1"/>
  <c r="BE14" i="37"/>
  <c r="BE43" i="37" s="1"/>
  <c r="DY24" i="37" s="1"/>
  <c r="BE12" i="37"/>
  <c r="BE18" i="37"/>
  <c r="BE47" i="37" s="1"/>
  <c r="EC24" i="37" s="1"/>
  <c r="BE22" i="37"/>
  <c r="BE51" i="37" s="1"/>
  <c r="EG24" i="37" s="1"/>
  <c r="BE26" i="37"/>
  <c r="BE17" i="37"/>
  <c r="BE28" i="37"/>
  <c r="BE24" i="37"/>
  <c r="BE4" i="37"/>
  <c r="BE15" i="37"/>
  <c r="BE44" i="37" s="1"/>
  <c r="DZ24" i="37" s="1"/>
  <c r="BE27" i="37"/>
  <c r="BE56" i="37" s="1"/>
  <c r="EL24" i="37" s="1"/>
  <c r="BE16" i="37"/>
  <c r="BE45" i="37" s="1"/>
  <c r="EA24" i="37" s="1"/>
  <c r="BE11" i="37"/>
  <c r="BE13" i="37"/>
  <c r="BE42" i="37" s="1"/>
  <c r="DX24" i="37" s="1"/>
  <c r="BE5" i="37"/>
  <c r="BE34" i="37" s="1"/>
  <c r="BE8" i="37"/>
  <c r="BE37" i="37" s="1"/>
  <c r="DS24" i="37" s="1"/>
  <c r="BE21" i="37"/>
  <c r="BE9" i="37"/>
  <c r="BE20" i="37"/>
  <c r="BE25" i="37"/>
  <c r="BE7" i="37"/>
  <c r="BE36" i="37" s="1"/>
  <c r="BE23" i="37"/>
  <c r="BE19" i="37"/>
  <c r="BE48" i="37" s="1"/>
  <c r="ED24" i="37" s="1"/>
  <c r="BE3" i="37"/>
  <c r="Q328" i="5"/>
  <c r="N329" i="5"/>
  <c r="AL326" i="5"/>
  <c r="AK326" i="5" s="1"/>
  <c r="Y327" i="5"/>
  <c r="CJ26" i="5"/>
  <c r="CI26" i="5" s="1"/>
  <c r="BT26" i="5"/>
  <c r="BU26" i="5" s="1"/>
  <c r="CX90" i="5"/>
  <c r="CW91" i="5"/>
  <c r="DQ23" i="37"/>
  <c r="DR23" i="37"/>
  <c r="DP23" i="37"/>
  <c r="DO23" i="37"/>
  <c r="BD29" i="37"/>
  <c r="V53" i="33" s="1"/>
  <c r="BD32" i="37"/>
  <c r="BE41" i="37"/>
  <c r="DW24" i="37" s="1"/>
  <c r="BE40" i="37"/>
  <c r="DV24" i="37" s="1"/>
  <c r="BE55" i="37"/>
  <c r="EK24" i="37" s="1"/>
  <c r="BE52" i="37"/>
  <c r="EH24" i="37" s="1"/>
  <c r="BE32" i="37"/>
  <c r="DN24" i="37" s="1"/>
  <c r="BE35" i="37"/>
  <c r="AA79" i="56"/>
  <c r="O20" i="19"/>
  <c r="AM36" i="5"/>
  <c r="AJ37" i="5" s="1"/>
  <c r="AA38" i="5"/>
  <c r="M39" i="5"/>
  <c r="N39" i="5"/>
  <c r="S85" i="33"/>
  <c r="E19" i="31" s="1"/>
  <c r="Q32" i="51"/>
  <c r="S32" i="51"/>
  <c r="U32" i="51"/>
  <c r="T64" i="33"/>
  <c r="T80" i="33" s="1"/>
  <c r="T59" i="33"/>
  <c r="T75" i="33" s="1"/>
  <c r="T63" i="33"/>
  <c r="T79" i="33" s="1"/>
  <c r="T60" i="33"/>
  <c r="T76" i="33" s="1"/>
  <c r="T61" i="33"/>
  <c r="T77" i="33" s="1"/>
  <c r="T57" i="33"/>
  <c r="T73" i="33" s="1"/>
  <c r="T62" i="33"/>
  <c r="T78" i="33" s="1"/>
  <c r="T58" i="33"/>
  <c r="T74" i="33" s="1"/>
  <c r="W7" i="33"/>
  <c r="W27" i="33" s="1"/>
  <c r="W11" i="33"/>
  <c r="W31" i="33" s="1"/>
  <c r="W20" i="33"/>
  <c r="W12" i="33"/>
  <c r="W32" i="33" s="1"/>
  <c r="W13" i="33"/>
  <c r="W33" i="33" s="1"/>
  <c r="W15" i="33"/>
  <c r="W35" i="33" s="1"/>
  <c r="W9" i="33"/>
  <c r="W29" i="33" s="1"/>
  <c r="W16" i="33"/>
  <c r="W36" i="33" s="1"/>
  <c r="W19" i="33"/>
  <c r="W8" i="33"/>
  <c r="W28" i="33" s="1"/>
  <c r="W17" i="33"/>
  <c r="W37" i="33" s="1"/>
  <c r="W10" i="33"/>
  <c r="W30" i="33" s="1"/>
  <c r="W18" i="33"/>
  <c r="W38" i="33" s="1"/>
  <c r="T22" i="19"/>
  <c r="F28" i="24"/>
  <c r="EM33" i="50"/>
  <c r="ES33" i="50"/>
  <c r="EY33" i="50"/>
  <c r="DI33" i="50"/>
  <c r="A65" i="17"/>
  <c r="U43" i="33"/>
  <c r="U47" i="33"/>
  <c r="U42" i="33"/>
  <c r="U46" i="33"/>
  <c r="U44" i="33"/>
  <c r="U45" i="33"/>
  <c r="U48" i="33"/>
  <c r="U49" i="33"/>
  <c r="CF11" i="50"/>
  <c r="AD10" i="51"/>
  <c r="J34" i="50"/>
  <c r="A33" i="51" s="1"/>
  <c r="K12" i="50"/>
  <c r="AD11" i="51" s="1"/>
  <c r="U51" i="33"/>
  <c r="U66" i="33" s="1"/>
  <c r="CH24" i="41"/>
  <c r="CH26" i="41"/>
  <c r="CH6" i="41"/>
  <c r="CH23" i="41"/>
  <c r="CH19" i="41"/>
  <c r="CH16" i="41"/>
  <c r="CH20" i="41"/>
  <c r="CH15" i="41"/>
  <c r="CH9" i="41"/>
  <c r="CH8" i="41"/>
  <c r="CH7" i="41"/>
  <c r="CH25" i="41"/>
  <c r="CH3" i="41"/>
  <c r="CH4" i="41"/>
  <c r="CH17" i="41"/>
  <c r="CH14" i="41"/>
  <c r="CH27" i="41"/>
  <c r="CH13" i="41"/>
  <c r="CH18" i="41"/>
  <c r="CH12" i="41"/>
  <c r="CH5" i="41"/>
  <c r="CH10" i="41"/>
  <c r="CH21" i="41"/>
  <c r="CH22" i="41"/>
  <c r="O11" i="41"/>
  <c r="N36" i="41"/>
  <c r="CI11" i="41" s="1"/>
  <c r="L38" i="41"/>
  <c r="BC1" i="41"/>
  <c r="DW1" i="41"/>
  <c r="AI24" i="41"/>
  <c r="B42" i="24"/>
  <c r="A34" i="52" s="1"/>
  <c r="AA41" i="24"/>
  <c r="T81" i="33"/>
  <c r="AP8" i="41"/>
  <c r="AP12" i="41"/>
  <c r="AP16" i="41"/>
  <c r="AP4" i="41"/>
  <c r="AP22" i="41"/>
  <c r="AP13" i="41"/>
  <c r="AP9" i="41"/>
  <c r="AP17" i="41"/>
  <c r="AP21" i="41"/>
  <c r="AP20" i="41"/>
  <c r="AP23" i="41"/>
  <c r="AP7" i="41"/>
  <c r="AP15" i="41"/>
  <c r="AQ27" i="41"/>
  <c r="AP10" i="41"/>
  <c r="AP18" i="41"/>
  <c r="AP19" i="41"/>
  <c r="AP25" i="41"/>
  <c r="AP6" i="41"/>
  <c r="AP14" i="41"/>
  <c r="AP26" i="41"/>
  <c r="AP3" i="41"/>
  <c r="AP5" i="41"/>
  <c r="X2" i="33"/>
  <c r="BF2" i="37" s="1"/>
  <c r="I10" i="17"/>
  <c r="F13" i="35"/>
  <c r="G13" i="35" s="1"/>
  <c r="C14" i="35" s="1"/>
  <c r="AY26" i="35"/>
  <c r="AZ26" i="35" s="1"/>
  <c r="AV27" i="35" s="1"/>
  <c r="AT27" i="35"/>
  <c r="AU27" i="35" s="1"/>
  <c r="AQ28" i="35" s="1"/>
  <c r="AO26" i="35"/>
  <c r="AP26" i="35" s="1"/>
  <c r="AL27" i="35" s="1"/>
  <c r="AJ26" i="35"/>
  <c r="AK26" i="35" s="1"/>
  <c r="AG27" i="35" s="1"/>
  <c r="AE26" i="35"/>
  <c r="AF26" i="35" s="1"/>
  <c r="AB27" i="35" s="1"/>
  <c r="Z26" i="35"/>
  <c r="AA26" i="35" s="1"/>
  <c r="W27" i="35" s="1"/>
  <c r="U26" i="35"/>
  <c r="V26" i="35" s="1"/>
  <c r="R27" i="35" s="1"/>
  <c r="P27" i="35"/>
  <c r="Q27" i="35" s="1"/>
  <c r="M28" i="35" s="1"/>
  <c r="K27" i="35"/>
  <c r="L27" i="35" s="1"/>
  <c r="H28" i="35" s="1"/>
  <c r="V1" i="33"/>
  <c r="V50" i="33" s="1"/>
  <c r="V65" i="33" s="1"/>
  <c r="A13" i="19"/>
  <c r="B13" i="19"/>
  <c r="C21" i="24" s="1"/>
  <c r="B11" i="17"/>
  <c r="B12" i="52"/>
  <c r="BE33" i="37" l="1"/>
  <c r="BE54" i="37"/>
  <c r="EJ24" i="37" s="1"/>
  <c r="BE53" i="37"/>
  <c r="EI24" i="37" s="1"/>
  <c r="BE49" i="37"/>
  <c r="EE24" i="37" s="1"/>
  <c r="BE57" i="37"/>
  <c r="EM24" i="37" s="1"/>
  <c r="BE38" i="37"/>
  <c r="DT24" i="37" s="1"/>
  <c r="BE46" i="37"/>
  <c r="EB24" i="37" s="1"/>
  <c r="BE50" i="37"/>
  <c r="EF24" i="37" s="1"/>
  <c r="BF31" i="37"/>
  <c r="BF56" i="37" s="1"/>
  <c r="EL25" i="37" s="1"/>
  <c r="BF5" i="37"/>
  <c r="BF34" i="37" s="1"/>
  <c r="BF16" i="37"/>
  <c r="BF9" i="37"/>
  <c r="BF38" i="37" s="1"/>
  <c r="DT25" i="37" s="1"/>
  <c r="BF13" i="37"/>
  <c r="BF21" i="37"/>
  <c r="BF17" i="37"/>
  <c r="BF28" i="37"/>
  <c r="BF6" i="37"/>
  <c r="BF10" i="37"/>
  <c r="BF14" i="37"/>
  <c r="BF19" i="37"/>
  <c r="BF22" i="37"/>
  <c r="BF51" i="37" s="1"/>
  <c r="EG25" i="37" s="1"/>
  <c r="BF4" i="37"/>
  <c r="BF33" i="37" s="1"/>
  <c r="BF26" i="37"/>
  <c r="BF55" i="37" s="1"/>
  <c r="EK25" i="37" s="1"/>
  <c r="BF20" i="37"/>
  <c r="BF49" i="37" s="1"/>
  <c r="EE25" i="37" s="1"/>
  <c r="BF25" i="37"/>
  <c r="BF54" i="37" s="1"/>
  <c r="EJ25" i="37" s="1"/>
  <c r="BF15" i="37"/>
  <c r="BF27" i="37"/>
  <c r="BF24" i="37"/>
  <c r="BF11" i="37"/>
  <c r="BF12" i="37"/>
  <c r="BF41" i="37" s="1"/>
  <c r="DW25" i="37" s="1"/>
  <c r="BF18" i="37"/>
  <c r="BF8" i="37"/>
  <c r="BF7" i="37"/>
  <c r="BF36" i="37" s="1"/>
  <c r="BF23" i="37"/>
  <c r="BF3" i="37"/>
  <c r="BF32" i="37" s="1"/>
  <c r="DN25" i="37" s="1"/>
  <c r="AM326" i="5"/>
  <c r="AJ327" i="5" s="1"/>
  <c r="AA327" i="5"/>
  <c r="Z327" i="5" s="1"/>
  <c r="O329" i="5"/>
  <c r="Q329" i="5" s="1"/>
  <c r="N330" i="5"/>
  <c r="P329" i="5"/>
  <c r="CK26" i="5"/>
  <c r="CG27" i="5"/>
  <c r="CH27" i="5" s="1"/>
  <c r="CC26" i="5"/>
  <c r="CX91" i="5"/>
  <c r="CW92" i="5"/>
  <c r="Z38" i="5"/>
  <c r="X39" i="5" s="1"/>
  <c r="DQ24" i="37"/>
  <c r="BD58" i="37"/>
  <c r="V68" i="33" s="1"/>
  <c r="DN23" i="37"/>
  <c r="DO24" i="37"/>
  <c r="DR24" i="37"/>
  <c r="DP24" i="37"/>
  <c r="BE29" i="37"/>
  <c r="W53" i="33" s="1"/>
  <c r="BF52" i="37"/>
  <c r="EH25" i="37" s="1"/>
  <c r="BF46" i="37"/>
  <c r="EB25" i="37" s="1"/>
  <c r="BF45" i="37"/>
  <c r="EA25" i="37" s="1"/>
  <c r="AA80" i="56"/>
  <c r="O21" i="19"/>
  <c r="AL37" i="5"/>
  <c r="AK37" i="5" s="1"/>
  <c r="P39" i="5"/>
  <c r="O39" i="5" s="1"/>
  <c r="T85" i="33"/>
  <c r="E20" i="31" s="1"/>
  <c r="U33" i="51"/>
  <c r="Q33" i="51"/>
  <c r="S33" i="51"/>
  <c r="U64" i="33"/>
  <c r="U80" i="33" s="1"/>
  <c r="U63" i="33"/>
  <c r="U79" i="33" s="1"/>
  <c r="U60" i="33"/>
  <c r="U76" i="33" s="1"/>
  <c r="U59" i="33"/>
  <c r="U75" i="33" s="1"/>
  <c r="U61" i="33"/>
  <c r="U77" i="33" s="1"/>
  <c r="U57" i="33"/>
  <c r="U73" i="33" s="1"/>
  <c r="U62" i="33"/>
  <c r="U78" i="33" s="1"/>
  <c r="U58" i="33"/>
  <c r="U74" i="33" s="1"/>
  <c r="X8" i="33"/>
  <c r="X28" i="33" s="1"/>
  <c r="X12" i="33"/>
  <c r="X32" i="33" s="1"/>
  <c r="X17" i="33"/>
  <c r="X37" i="33" s="1"/>
  <c r="X7" i="33"/>
  <c r="X27" i="33" s="1"/>
  <c r="X10" i="33"/>
  <c r="X30" i="33" s="1"/>
  <c r="X11" i="33"/>
  <c r="X31" i="33" s="1"/>
  <c r="X20" i="33"/>
  <c r="X13" i="33"/>
  <c r="X33" i="33" s="1"/>
  <c r="X15" i="33"/>
  <c r="X35" i="33" s="1"/>
  <c r="X9" i="33"/>
  <c r="X29" i="33" s="1"/>
  <c r="X16" i="33"/>
  <c r="X36" i="33" s="1"/>
  <c r="X19" i="33"/>
  <c r="X18" i="33"/>
  <c r="X38" i="33" s="1"/>
  <c r="F29" i="24"/>
  <c r="T23" i="19"/>
  <c r="EY34" i="50"/>
  <c r="ES34" i="50"/>
  <c r="EM34" i="50"/>
  <c r="DI34" i="50"/>
  <c r="A66" i="17"/>
  <c r="V44" i="33"/>
  <c r="V48" i="33"/>
  <c r="V43" i="33"/>
  <c r="V47" i="33"/>
  <c r="V45" i="33"/>
  <c r="V49" i="33"/>
  <c r="V42" i="33"/>
  <c r="V46" i="33"/>
  <c r="J35" i="50"/>
  <c r="A34" i="51" s="1"/>
  <c r="K13" i="50"/>
  <c r="CF12" i="50"/>
  <c r="V51" i="33"/>
  <c r="V66" i="33" s="1"/>
  <c r="CI24" i="41"/>
  <c r="CI13" i="41"/>
  <c r="CI8" i="41"/>
  <c r="CI18" i="41"/>
  <c r="CI5" i="41"/>
  <c r="CI17" i="41"/>
  <c r="CI21" i="41"/>
  <c r="CI12" i="41"/>
  <c r="CI7" i="41"/>
  <c r="CI3" i="41"/>
  <c r="CI25" i="41"/>
  <c r="CI15" i="41"/>
  <c r="CI6" i="41"/>
  <c r="CI27" i="41"/>
  <c r="CI19" i="41"/>
  <c r="CI22" i="41"/>
  <c r="CI16" i="41"/>
  <c r="CI9" i="41"/>
  <c r="CI10" i="41"/>
  <c r="CI23" i="41"/>
  <c r="CI26" i="41"/>
  <c r="CI4" i="41"/>
  <c r="CI20" i="41"/>
  <c r="CI14" i="41"/>
  <c r="M38" i="41"/>
  <c r="P11" i="41"/>
  <c r="O36" i="41"/>
  <c r="CJ11" i="41" s="1"/>
  <c r="BD1" i="41"/>
  <c r="DX1" i="41"/>
  <c r="AJ24" i="41"/>
  <c r="B43" i="24"/>
  <c r="A35" i="52" s="1"/>
  <c r="AA42" i="24"/>
  <c r="U81" i="33"/>
  <c r="AQ5" i="41"/>
  <c r="AQ3" i="41"/>
  <c r="AQ26" i="41"/>
  <c r="AQ14" i="41"/>
  <c r="AQ6" i="41"/>
  <c r="AQ25" i="41"/>
  <c r="AQ19" i="41"/>
  <c r="AQ18" i="41"/>
  <c r="AQ10" i="41"/>
  <c r="AR27" i="41"/>
  <c r="AQ15" i="41"/>
  <c r="AQ7" i="41"/>
  <c r="AQ23" i="41"/>
  <c r="AQ20" i="41"/>
  <c r="AQ21" i="41"/>
  <c r="AQ17" i="41"/>
  <c r="AQ9" i="41"/>
  <c r="AQ13" i="41"/>
  <c r="AQ22" i="41"/>
  <c r="AQ4" i="41"/>
  <c r="AQ16" i="41"/>
  <c r="AQ12" i="41"/>
  <c r="AQ8" i="41"/>
  <c r="Y2" i="33"/>
  <c r="BG2" i="37" s="1"/>
  <c r="J11" i="17"/>
  <c r="F14" i="35"/>
  <c r="G14" i="35" s="1"/>
  <c r="C15" i="35" s="1"/>
  <c r="AY27" i="35"/>
  <c r="AZ27" i="35" s="1"/>
  <c r="AV28" i="35" s="1"/>
  <c r="AT28" i="35"/>
  <c r="AU28" i="35" s="1"/>
  <c r="AQ29" i="35" s="1"/>
  <c r="AO27" i="35"/>
  <c r="AP27" i="35" s="1"/>
  <c r="AL28" i="35" s="1"/>
  <c r="AJ27" i="35"/>
  <c r="AK27" i="35" s="1"/>
  <c r="AG28" i="35" s="1"/>
  <c r="AE27" i="35"/>
  <c r="AF27" i="35" s="1"/>
  <c r="AB28" i="35" s="1"/>
  <c r="Z27" i="35"/>
  <c r="AA27" i="35" s="1"/>
  <c r="W28" i="35" s="1"/>
  <c r="U27" i="35"/>
  <c r="V27" i="35" s="1"/>
  <c r="R28" i="35" s="1"/>
  <c r="P28" i="35"/>
  <c r="Q28" i="35" s="1"/>
  <c r="M29" i="35" s="1"/>
  <c r="K28" i="35"/>
  <c r="L28" i="35" s="1"/>
  <c r="H29" i="35" s="1"/>
  <c r="W1" i="33"/>
  <c r="W50" i="33" s="1"/>
  <c r="W65" i="33" s="1"/>
  <c r="I11" i="17"/>
  <c r="A14" i="19"/>
  <c r="B14" i="19"/>
  <c r="C22" i="24" s="1"/>
  <c r="H8" i="50" s="1"/>
  <c r="B13" i="52"/>
  <c r="B12" i="17"/>
  <c r="C3" i="5"/>
  <c r="G40" i="14"/>
  <c r="BF35" i="37" l="1"/>
  <c r="BF37" i="37"/>
  <c r="DS25" i="37" s="1"/>
  <c r="BF48" i="37"/>
  <c r="ED25" i="37" s="1"/>
  <c r="BF47" i="37"/>
  <c r="EC25" i="37" s="1"/>
  <c r="BF43" i="37"/>
  <c r="DY25" i="37" s="1"/>
  <c r="BF39" i="37"/>
  <c r="DU25" i="37" s="1"/>
  <c r="BE58" i="37"/>
  <c r="W68" i="33" s="1"/>
  <c r="BF40" i="37"/>
  <c r="DV25" i="37" s="1"/>
  <c r="BF53" i="37"/>
  <c r="EI25" i="37" s="1"/>
  <c r="BF57" i="37"/>
  <c r="EM25" i="37" s="1"/>
  <c r="BF44" i="37"/>
  <c r="DZ25" i="37" s="1"/>
  <c r="BF50" i="37"/>
  <c r="EF25" i="37" s="1"/>
  <c r="BF42" i="37"/>
  <c r="DX25" i="37" s="1"/>
  <c r="BG31" i="37"/>
  <c r="BG38" i="37" s="1"/>
  <c r="DT26" i="37" s="1"/>
  <c r="BG9" i="37"/>
  <c r="BG5" i="37"/>
  <c r="BG4" i="37"/>
  <c r="BG25" i="37"/>
  <c r="BG13" i="37"/>
  <c r="BG42" i="37" s="1"/>
  <c r="DX26" i="37" s="1"/>
  <c r="BG21" i="37"/>
  <c r="BG50" i="37" s="1"/>
  <c r="EF26" i="37" s="1"/>
  <c r="BG17" i="37"/>
  <c r="BG46" i="37" s="1"/>
  <c r="EB26" i="37" s="1"/>
  <c r="BG6" i="37"/>
  <c r="BG35" i="37" s="1"/>
  <c r="BG7" i="37"/>
  <c r="BG36" i="37" s="1"/>
  <c r="BG8" i="37"/>
  <c r="BG37" i="37" s="1"/>
  <c r="DS26" i="37" s="1"/>
  <c r="BG27" i="37"/>
  <c r="BG19" i="37"/>
  <c r="BG22" i="37"/>
  <c r="BG20" i="37"/>
  <c r="BG14" i="37"/>
  <c r="BG15" i="37"/>
  <c r="BG16" i="37"/>
  <c r="BG45" i="37" s="1"/>
  <c r="EA26" i="37" s="1"/>
  <c r="BG24" i="37"/>
  <c r="BG53" i="37" s="1"/>
  <c r="EI26" i="37" s="1"/>
  <c r="BG10" i="37"/>
  <c r="BG39" i="37" s="1"/>
  <c r="DU26" i="37" s="1"/>
  <c r="BG11" i="37"/>
  <c r="BG12" i="37"/>
  <c r="BG41" i="37" s="1"/>
  <c r="DW26" i="37" s="1"/>
  <c r="BG26" i="37"/>
  <c r="BG55" i="37" s="1"/>
  <c r="EK26" i="37" s="1"/>
  <c r="BG18" i="37"/>
  <c r="BG28" i="37"/>
  <c r="BG23" i="37"/>
  <c r="BG3" i="37"/>
  <c r="F5" i="30"/>
  <c r="K10" i="24"/>
  <c r="AB327" i="5"/>
  <c r="Y328" i="5"/>
  <c r="AL327" i="5"/>
  <c r="AK327" i="5" s="1"/>
  <c r="P330" i="5"/>
  <c r="O330" i="5" s="1"/>
  <c r="CP27" i="5"/>
  <c r="CJ27" i="5"/>
  <c r="CI27" i="5" s="1"/>
  <c r="CK27" i="5" s="1"/>
  <c r="BW26" i="5"/>
  <c r="BV26" i="5" s="1"/>
  <c r="BX26" i="5" s="1"/>
  <c r="CX92" i="5"/>
  <c r="CW93" i="5"/>
  <c r="AB38" i="5"/>
  <c r="Y39" i="5" s="1"/>
  <c r="DR25" i="37"/>
  <c r="DQ25" i="37"/>
  <c r="DO25" i="37"/>
  <c r="DP25" i="37"/>
  <c r="BF29" i="37"/>
  <c r="X53" i="33" s="1"/>
  <c r="BG32" i="37"/>
  <c r="DN26" i="37" s="1"/>
  <c r="BG43" i="37"/>
  <c r="DY26" i="37" s="1"/>
  <c r="BG33" i="37"/>
  <c r="BG57" i="37"/>
  <c r="EM26" i="37" s="1"/>
  <c r="BG52" i="37"/>
  <c r="EH26" i="37" s="1"/>
  <c r="BG49" i="37"/>
  <c r="EE26" i="37" s="1"/>
  <c r="BG54" i="37"/>
  <c r="EJ26" i="37" s="1"/>
  <c r="BG44" i="37"/>
  <c r="DZ26" i="37" s="1"/>
  <c r="BG40" i="37"/>
  <c r="DV26" i="37" s="1"/>
  <c r="BG48" i="37"/>
  <c r="ED26" i="37" s="1"/>
  <c r="AA81" i="56"/>
  <c r="O22" i="19"/>
  <c r="M40" i="5"/>
  <c r="Q39" i="5"/>
  <c r="N40" i="5" s="1"/>
  <c r="AM37" i="5"/>
  <c r="AJ38" i="5" s="1"/>
  <c r="AI38" i="5"/>
  <c r="E3" i="5"/>
  <c r="D3" i="5" s="1"/>
  <c r="Q34" i="51"/>
  <c r="S34" i="51"/>
  <c r="U34" i="51"/>
  <c r="V61" i="33"/>
  <c r="V77" i="33" s="1"/>
  <c r="V57" i="33"/>
  <c r="V73" i="33" s="1"/>
  <c r="V64" i="33"/>
  <c r="V80" i="33" s="1"/>
  <c r="V60" i="33"/>
  <c r="V76" i="33" s="1"/>
  <c r="V62" i="33"/>
  <c r="V78" i="33" s="1"/>
  <c r="F30" i="24"/>
  <c r="V58" i="33"/>
  <c r="V74" i="33" s="1"/>
  <c r="V63" i="33"/>
  <c r="V79" i="33" s="1"/>
  <c r="V59" i="33"/>
  <c r="V75" i="33" s="1"/>
  <c r="U84" i="33"/>
  <c r="U85" i="33" s="1"/>
  <c r="E21" i="31" s="1"/>
  <c r="Y8" i="33"/>
  <c r="Y28" i="33" s="1"/>
  <c r="Y12" i="33"/>
  <c r="Y32" i="33" s="1"/>
  <c r="Y17" i="33"/>
  <c r="Y37" i="33" s="1"/>
  <c r="Y7" i="33"/>
  <c r="Y27" i="33" s="1"/>
  <c r="Y11" i="33"/>
  <c r="Y31" i="33" s="1"/>
  <c r="Y16" i="33"/>
  <c r="Y36" i="33" s="1"/>
  <c r="Y10" i="33"/>
  <c r="Y30" i="33" s="1"/>
  <c r="Y20" i="33"/>
  <c r="Y13" i="33"/>
  <c r="Y33" i="33" s="1"/>
  <c r="Y15" i="33"/>
  <c r="Y35" i="33" s="1"/>
  <c r="Y18" i="33"/>
  <c r="Y38" i="33" s="1"/>
  <c r="Y19" i="33"/>
  <c r="Y9" i="33"/>
  <c r="Y29" i="33" s="1"/>
  <c r="T24" i="19"/>
  <c r="ES35" i="50"/>
  <c r="EM35" i="50"/>
  <c r="EY35" i="50"/>
  <c r="DI35" i="50"/>
  <c r="A67" i="17"/>
  <c r="W44" i="33"/>
  <c r="W48" i="33"/>
  <c r="W47" i="33"/>
  <c r="W43" i="33"/>
  <c r="W42" i="33"/>
  <c r="W45" i="33"/>
  <c r="W49" i="33"/>
  <c r="W46" i="33"/>
  <c r="CF13" i="50"/>
  <c r="J36" i="50"/>
  <c r="A35" i="51" s="1"/>
  <c r="AD12" i="51"/>
  <c r="K14" i="50"/>
  <c r="AD13" i="51" s="1"/>
  <c r="W51" i="33"/>
  <c r="W66" i="33" s="1"/>
  <c r="N38" i="41"/>
  <c r="CJ24" i="41"/>
  <c r="CJ14" i="41"/>
  <c r="CJ15" i="41"/>
  <c r="CJ10" i="41"/>
  <c r="CJ22" i="41"/>
  <c r="CJ18" i="41"/>
  <c r="CJ19" i="41"/>
  <c r="CJ9" i="41"/>
  <c r="CJ6" i="41"/>
  <c r="CJ20" i="41"/>
  <c r="CJ4" i="41"/>
  <c r="CJ25" i="41"/>
  <c r="CJ8" i="41"/>
  <c r="CJ12" i="41"/>
  <c r="CJ27" i="41"/>
  <c r="CJ7" i="41"/>
  <c r="CJ5" i="41"/>
  <c r="CJ23" i="41"/>
  <c r="CJ17" i="41"/>
  <c r="CJ26" i="41"/>
  <c r="CJ13" i="41"/>
  <c r="CJ3" i="41"/>
  <c r="CJ16" i="41"/>
  <c r="CJ21" i="41"/>
  <c r="Q11" i="41"/>
  <c r="P36" i="41"/>
  <c r="CK11" i="41" s="1"/>
  <c r="W81" i="33"/>
  <c r="BE1" i="41"/>
  <c r="DY1" i="41"/>
  <c r="AK24" i="41"/>
  <c r="B44" i="24"/>
  <c r="AA43" i="24"/>
  <c r="V81" i="33"/>
  <c r="AR8" i="41"/>
  <c r="AR12" i="41"/>
  <c r="AR16" i="41"/>
  <c r="AR4" i="41"/>
  <c r="AR22" i="41"/>
  <c r="AR13" i="41"/>
  <c r="AR9" i="41"/>
  <c r="AR17" i="41"/>
  <c r="AR21" i="41"/>
  <c r="AR20" i="41"/>
  <c r="AR23" i="41"/>
  <c r="AR7" i="41"/>
  <c r="AR15" i="41"/>
  <c r="AS27" i="41"/>
  <c r="AR10" i="41"/>
  <c r="AR18" i="41"/>
  <c r="AR19" i="41"/>
  <c r="AR25" i="41"/>
  <c r="AR6" i="41"/>
  <c r="AR14" i="41"/>
  <c r="AR26" i="41"/>
  <c r="AR3" i="41"/>
  <c r="AR5" i="41"/>
  <c r="Z2" i="33"/>
  <c r="BH2" i="37" s="1"/>
  <c r="F15" i="35"/>
  <c r="G15" i="35" s="1"/>
  <c r="C16" i="35" s="1"/>
  <c r="AY28" i="35"/>
  <c r="AZ28" i="35" s="1"/>
  <c r="AV29" i="35" s="1"/>
  <c r="AT29" i="35"/>
  <c r="AU29" i="35" s="1"/>
  <c r="AQ30" i="35" s="1"/>
  <c r="AO28" i="35"/>
  <c r="AP28" i="35" s="1"/>
  <c r="AL29" i="35" s="1"/>
  <c r="AJ28" i="35"/>
  <c r="AK28" i="35" s="1"/>
  <c r="AG29" i="35" s="1"/>
  <c r="AE28" i="35"/>
  <c r="AF28" i="35" s="1"/>
  <c r="AB29" i="35" s="1"/>
  <c r="Z28" i="35"/>
  <c r="AA28" i="35" s="1"/>
  <c r="W29" i="35" s="1"/>
  <c r="U28" i="35"/>
  <c r="V28" i="35" s="1"/>
  <c r="R29" i="35" s="1"/>
  <c r="P29" i="35"/>
  <c r="Q29" i="35" s="1"/>
  <c r="M30" i="35" s="1"/>
  <c r="K29" i="35"/>
  <c r="L29" i="35" s="1"/>
  <c r="H30" i="35" s="1"/>
  <c r="X1" i="33"/>
  <c r="X50" i="33" s="1"/>
  <c r="X65" i="33" s="1"/>
  <c r="I12" i="17"/>
  <c r="J12" i="17"/>
  <c r="A15" i="19"/>
  <c r="B15" i="19"/>
  <c r="C23" i="24" s="1"/>
  <c r="B13" i="17"/>
  <c r="B14" i="52"/>
  <c r="I13" i="17"/>
  <c r="BF58" i="37" l="1"/>
  <c r="X68" i="33" s="1"/>
  <c r="BG34" i="37"/>
  <c r="BG51" i="37"/>
  <c r="EG26" i="37" s="1"/>
  <c r="BG47" i="37"/>
  <c r="EC26" i="37" s="1"/>
  <c r="BG56" i="37"/>
  <c r="EL26" i="37" s="1"/>
  <c r="BH31" i="37"/>
  <c r="BH5" i="37"/>
  <c r="BH9" i="37"/>
  <c r="BH13" i="37"/>
  <c r="BH42" i="37" s="1"/>
  <c r="DX27" i="37" s="1"/>
  <c r="BH17" i="37"/>
  <c r="BH46" i="37" s="1"/>
  <c r="EB27" i="37" s="1"/>
  <c r="BH21" i="37"/>
  <c r="BH50" i="37" s="1"/>
  <c r="EF27" i="37" s="1"/>
  <c r="BH25" i="37"/>
  <c r="BH54" i="37" s="1"/>
  <c r="EJ27" i="37" s="1"/>
  <c r="BH4" i="37"/>
  <c r="BH23" i="37"/>
  <c r="BH6" i="37"/>
  <c r="BH7" i="37"/>
  <c r="BH8" i="37"/>
  <c r="BH27" i="37"/>
  <c r="BH56" i="37" s="1"/>
  <c r="EL27" i="37" s="1"/>
  <c r="BH19" i="37"/>
  <c r="BH48" i="37" s="1"/>
  <c r="ED27" i="37" s="1"/>
  <c r="BH20" i="37"/>
  <c r="BH49" i="37" s="1"/>
  <c r="EE27" i="37" s="1"/>
  <c r="BH22" i="37"/>
  <c r="BH51" i="37" s="1"/>
  <c r="EG27" i="37" s="1"/>
  <c r="BH14" i="37"/>
  <c r="BH43" i="37" s="1"/>
  <c r="DY27" i="37" s="1"/>
  <c r="BH15" i="37"/>
  <c r="BH44" i="37" s="1"/>
  <c r="DZ27" i="37" s="1"/>
  <c r="BH16" i="37"/>
  <c r="BH45" i="37" s="1"/>
  <c r="EA27" i="37" s="1"/>
  <c r="BH24" i="37"/>
  <c r="BH10" i="37"/>
  <c r="BH11" i="37"/>
  <c r="BH12" i="37"/>
  <c r="BH26" i="37"/>
  <c r="BH28" i="37"/>
  <c r="BH57" i="37" s="1"/>
  <c r="EM27" i="37" s="1"/>
  <c r="BH18" i="37"/>
  <c r="BH47" i="37" s="1"/>
  <c r="EC27" i="37" s="1"/>
  <c r="BH3" i="37"/>
  <c r="BH32" i="37" s="1"/>
  <c r="DN27" i="37" s="1"/>
  <c r="Q330" i="5"/>
  <c r="N331" i="5"/>
  <c r="AM327" i="5"/>
  <c r="AJ328" i="5" s="1"/>
  <c r="AA328" i="5"/>
  <c r="Z328" i="5" s="1"/>
  <c r="CG28" i="5"/>
  <c r="BT27" i="5"/>
  <c r="BU27" i="5" s="1"/>
  <c r="B4" i="5"/>
  <c r="F3" i="5"/>
  <c r="AA39" i="5"/>
  <c r="Z39" i="5" s="1"/>
  <c r="CX93" i="5"/>
  <c r="CW94" i="5"/>
  <c r="DO26" i="37"/>
  <c r="DP26" i="37"/>
  <c r="DR26" i="37"/>
  <c r="DQ26" i="37"/>
  <c r="BG58" i="37"/>
  <c r="Y68" i="33" s="1"/>
  <c r="BH52" i="37"/>
  <c r="EH27" i="37" s="1"/>
  <c r="BH34" i="37"/>
  <c r="BH37" i="37"/>
  <c r="DS27" i="37" s="1"/>
  <c r="BH38" i="37"/>
  <c r="DT27" i="37" s="1"/>
  <c r="BG29" i="37"/>
  <c r="Y53" i="33" s="1"/>
  <c r="AA82" i="56"/>
  <c r="V84" i="33"/>
  <c r="V85" i="33" s="1"/>
  <c r="E22" i="31" s="1"/>
  <c r="P40" i="5"/>
  <c r="O40" i="5"/>
  <c r="Q40" i="5" s="1"/>
  <c r="N41" i="5" s="1"/>
  <c r="AL38" i="5"/>
  <c r="AK38" i="5" s="1"/>
  <c r="S35" i="51"/>
  <c r="U35" i="51"/>
  <c r="Q35" i="51"/>
  <c r="W61" i="33"/>
  <c r="W77" i="33" s="1"/>
  <c r="W64" i="33"/>
  <c r="W80" i="33" s="1"/>
  <c r="W60" i="33"/>
  <c r="W76" i="33" s="1"/>
  <c r="W57" i="33"/>
  <c r="W73" i="33" s="1"/>
  <c r="W58" i="33"/>
  <c r="W74" i="33" s="1"/>
  <c r="W62" i="33"/>
  <c r="W78" i="33" s="1"/>
  <c r="W63" i="33"/>
  <c r="W79" i="33" s="1"/>
  <c r="W59" i="33"/>
  <c r="W75" i="33" s="1"/>
  <c r="F31" i="24"/>
  <c r="O23" i="19"/>
  <c r="Z7" i="33"/>
  <c r="Z27" i="33" s="1"/>
  <c r="Z10" i="33"/>
  <c r="Z30" i="33" s="1"/>
  <c r="Z11" i="33"/>
  <c r="Z31" i="33" s="1"/>
  <c r="Z12" i="33"/>
  <c r="Z32" i="33" s="1"/>
  <c r="Z20" i="33"/>
  <c r="Z16" i="33"/>
  <c r="Z36" i="33" s="1"/>
  <c r="Z18" i="33"/>
  <c r="Z38" i="33" s="1"/>
  <c r="Z19" i="33"/>
  <c r="Z8" i="33"/>
  <c r="Z28" i="33" s="1"/>
  <c r="Z15" i="33"/>
  <c r="Z35" i="33" s="1"/>
  <c r="Z13" i="33"/>
  <c r="Z33" i="33" s="1"/>
  <c r="Z17" i="33"/>
  <c r="Z37" i="33" s="1"/>
  <c r="Z9" i="33"/>
  <c r="Z29" i="33" s="1"/>
  <c r="T25" i="19"/>
  <c r="EY36" i="50"/>
  <c r="EM36" i="50"/>
  <c r="ES36" i="50"/>
  <c r="DI36" i="50"/>
  <c r="A68" i="17"/>
  <c r="X47" i="33"/>
  <c r="X62" i="33" s="1"/>
  <c r="X44" i="33"/>
  <c r="X59" i="33" s="1"/>
  <c r="X48" i="33"/>
  <c r="X63" i="33" s="1"/>
  <c r="X43" i="33"/>
  <c r="X58" i="33" s="1"/>
  <c r="X46" i="33"/>
  <c r="X61" i="33" s="1"/>
  <c r="X42" i="33"/>
  <c r="X57" i="33" s="1"/>
  <c r="X45" i="33"/>
  <c r="X60" i="33" s="1"/>
  <c r="X49" i="33"/>
  <c r="X64" i="33" s="1"/>
  <c r="J37" i="50"/>
  <c r="A36" i="51" s="1"/>
  <c r="A36" i="52"/>
  <c r="K15" i="50"/>
  <c r="AD14" i="51" s="1"/>
  <c r="CF14" i="50"/>
  <c r="X51" i="33"/>
  <c r="X66" i="33" s="1"/>
  <c r="R11" i="41"/>
  <c r="Q36" i="41"/>
  <c r="CL11" i="41" s="1"/>
  <c r="O38" i="41"/>
  <c r="CK24" i="41"/>
  <c r="CK26" i="41"/>
  <c r="CK5" i="41"/>
  <c r="CK21" i="41"/>
  <c r="CK17" i="41"/>
  <c r="CK14" i="41"/>
  <c r="CK18" i="41"/>
  <c r="CK15" i="41"/>
  <c r="CK3" i="41"/>
  <c r="CK4" i="41"/>
  <c r="CK12" i="41"/>
  <c r="CK19" i="41"/>
  <c r="CK6" i="41"/>
  <c r="CK22" i="41"/>
  <c r="CK10" i="41"/>
  <c r="CK25" i="41"/>
  <c r="CK9" i="41"/>
  <c r="CK7" i="41"/>
  <c r="CK16" i="41"/>
  <c r="CK23" i="41"/>
  <c r="CK13" i="41"/>
  <c r="CK20" i="41"/>
  <c r="CK27" i="41"/>
  <c r="CK8" i="41"/>
  <c r="BF1" i="41"/>
  <c r="DZ1" i="41"/>
  <c r="AL24" i="41"/>
  <c r="B45" i="24"/>
  <c r="AA44" i="24"/>
  <c r="AS5" i="41"/>
  <c r="AS3" i="41"/>
  <c r="AS26" i="41"/>
  <c r="AS14" i="41"/>
  <c r="AS6" i="41"/>
  <c r="AS25" i="41"/>
  <c r="AS19" i="41"/>
  <c r="AS18" i="41"/>
  <c r="AS10" i="41"/>
  <c r="AT27" i="41"/>
  <c r="AS15" i="41"/>
  <c r="AS7" i="41"/>
  <c r="AS23" i="41"/>
  <c r="AS20" i="41"/>
  <c r="AS21" i="41"/>
  <c r="AS17" i="41"/>
  <c r="AS9" i="41"/>
  <c r="AS13" i="41"/>
  <c r="AS22" i="41"/>
  <c r="AS4" i="41"/>
  <c r="AS16" i="41"/>
  <c r="AS12" i="41"/>
  <c r="AS8" i="41"/>
  <c r="J13" i="17"/>
  <c r="AA2" i="33"/>
  <c r="BI2" i="37" s="1"/>
  <c r="F16" i="35"/>
  <c r="G16" i="35" s="1"/>
  <c r="C17" i="35" s="1"/>
  <c r="AY29" i="35"/>
  <c r="AZ29" i="35" s="1"/>
  <c r="AV30" i="35" s="1"/>
  <c r="AT30" i="35"/>
  <c r="AU30" i="35" s="1"/>
  <c r="AQ31" i="35" s="1"/>
  <c r="AO29" i="35"/>
  <c r="AP29" i="35" s="1"/>
  <c r="AL30" i="35" s="1"/>
  <c r="AJ29" i="35"/>
  <c r="AK29" i="35" s="1"/>
  <c r="AG30" i="35" s="1"/>
  <c r="AE29" i="35"/>
  <c r="AF29" i="35" s="1"/>
  <c r="AB30" i="35" s="1"/>
  <c r="Z29" i="35"/>
  <c r="AA29" i="35" s="1"/>
  <c r="W30" i="35" s="1"/>
  <c r="U29" i="35"/>
  <c r="V29" i="35" s="1"/>
  <c r="R30" i="35" s="1"/>
  <c r="P30" i="35"/>
  <c r="Q30" i="35" s="1"/>
  <c r="M31" i="35" s="1"/>
  <c r="K30" i="35"/>
  <c r="L30" i="35" s="1"/>
  <c r="H31" i="35" s="1"/>
  <c r="Y1" i="33"/>
  <c r="Y50" i="33" s="1"/>
  <c r="Y65" i="33" s="1"/>
  <c r="A16" i="19"/>
  <c r="B16" i="19"/>
  <c r="C24" i="24" s="1"/>
  <c r="B15" i="52"/>
  <c r="B14" i="17"/>
  <c r="BH35" i="37" l="1"/>
  <c r="BH40" i="37"/>
  <c r="DV27" i="37" s="1"/>
  <c r="BH39" i="37"/>
  <c r="DU27" i="37" s="1"/>
  <c r="BH55" i="37"/>
  <c r="EK27" i="37" s="1"/>
  <c r="BH41" i="37"/>
  <c r="DW27" i="37" s="1"/>
  <c r="BH36" i="37"/>
  <c r="DR27" i="37" s="1"/>
  <c r="BH53" i="37"/>
  <c r="EI27" i="37" s="1"/>
  <c r="BH33" i="37"/>
  <c r="DO27" i="37" s="1"/>
  <c r="BI31" i="37"/>
  <c r="BI33" i="37" s="1"/>
  <c r="BI13" i="37"/>
  <c r="BI42" i="37" s="1"/>
  <c r="DX28" i="37" s="1"/>
  <c r="BI18" i="37"/>
  <c r="BI47" i="37" s="1"/>
  <c r="EC28" i="37" s="1"/>
  <c r="BI9" i="37"/>
  <c r="BI38" i="37" s="1"/>
  <c r="DT28" i="37" s="1"/>
  <c r="BI25" i="37"/>
  <c r="BI54" i="37" s="1"/>
  <c r="EJ28" i="37" s="1"/>
  <c r="BI4" i="37"/>
  <c r="BI23" i="37"/>
  <c r="BI6" i="37"/>
  <c r="BI7" i="37"/>
  <c r="BI8" i="37"/>
  <c r="BI27" i="37"/>
  <c r="BI17" i="37"/>
  <c r="BI20" i="37"/>
  <c r="BI22" i="37"/>
  <c r="BI51" i="37" s="1"/>
  <c r="EG28" i="37" s="1"/>
  <c r="BI14" i="37"/>
  <c r="BI15" i="37"/>
  <c r="BI44" i="37" s="1"/>
  <c r="DZ28" i="37" s="1"/>
  <c r="BI16" i="37"/>
  <c r="BI45" i="37" s="1"/>
  <c r="EA28" i="37" s="1"/>
  <c r="BI24" i="37"/>
  <c r="BI5" i="37"/>
  <c r="BI10" i="37"/>
  <c r="BI39" i="37" s="1"/>
  <c r="DU28" i="37" s="1"/>
  <c r="BI11" i="37"/>
  <c r="BI12" i="37"/>
  <c r="BI21" i="37"/>
  <c r="BI26" i="37"/>
  <c r="BI28" i="37"/>
  <c r="BI19" i="37"/>
  <c r="BI48" i="37" s="1"/>
  <c r="ED28" i="37" s="1"/>
  <c r="BI3" i="37"/>
  <c r="BI32" i="37" s="1"/>
  <c r="DN28" i="37" s="1"/>
  <c r="AL328" i="5"/>
  <c r="AK328" i="5"/>
  <c r="AM328" i="5" s="1"/>
  <c r="AB328" i="5"/>
  <c r="Y329" i="5"/>
  <c r="P331" i="5"/>
  <c r="O331" i="5"/>
  <c r="Q331" i="5" s="1"/>
  <c r="CP28" i="5"/>
  <c r="CH28" i="5"/>
  <c r="CC27" i="5"/>
  <c r="X40" i="5"/>
  <c r="AB39" i="5"/>
  <c r="Y40" i="5" s="1"/>
  <c r="M41" i="5"/>
  <c r="CX94" i="5"/>
  <c r="CW95" i="5"/>
  <c r="DQ27" i="37"/>
  <c r="DP27" i="37"/>
  <c r="BI57" i="37"/>
  <c r="EM28" i="37" s="1"/>
  <c r="BI43" i="37"/>
  <c r="DY28" i="37" s="1"/>
  <c r="BI49" i="37"/>
  <c r="EE28" i="37" s="1"/>
  <c r="BI37" i="37"/>
  <c r="DS28" i="37" s="1"/>
  <c r="BH29" i="37"/>
  <c r="Z53" i="33" s="1"/>
  <c r="AA83" i="56"/>
  <c r="O24" i="19"/>
  <c r="P41" i="5"/>
  <c r="O41" i="5" s="1"/>
  <c r="AM38" i="5"/>
  <c r="AJ39" i="5" s="1"/>
  <c r="AI39" i="5"/>
  <c r="F32" i="24"/>
  <c r="W84" i="33"/>
  <c r="W85" i="33" s="1"/>
  <c r="E23" i="31" s="1"/>
  <c r="U36" i="51"/>
  <c r="Q36" i="51"/>
  <c r="S36" i="51"/>
  <c r="AA9" i="33"/>
  <c r="AA29" i="33" s="1"/>
  <c r="AA13" i="33"/>
  <c r="AA33" i="33" s="1"/>
  <c r="AA8" i="33"/>
  <c r="AA28" i="33" s="1"/>
  <c r="AA7" i="33"/>
  <c r="AA27" i="33" s="1"/>
  <c r="AA10" i="33"/>
  <c r="AA30" i="33" s="1"/>
  <c r="AA11" i="33"/>
  <c r="AA31" i="33" s="1"/>
  <c r="AA12" i="33"/>
  <c r="AA32" i="33" s="1"/>
  <c r="AA20" i="33"/>
  <c r="AA16" i="33"/>
  <c r="AA36" i="33" s="1"/>
  <c r="AA18" i="33"/>
  <c r="AA38" i="33" s="1"/>
  <c r="AA15" i="33"/>
  <c r="AA35" i="33" s="1"/>
  <c r="AA17" i="33"/>
  <c r="AA37" i="33" s="1"/>
  <c r="AA19" i="33"/>
  <c r="T26" i="19"/>
  <c r="X75" i="33"/>
  <c r="X76" i="33"/>
  <c r="X80" i="33"/>
  <c r="ES37" i="50"/>
  <c r="EM37" i="50"/>
  <c r="X74" i="33"/>
  <c r="X79" i="33"/>
  <c r="X78" i="33"/>
  <c r="X81" i="33"/>
  <c r="X77" i="33"/>
  <c r="EY37" i="50"/>
  <c r="X73" i="33"/>
  <c r="DI37" i="50"/>
  <c r="A69" i="17"/>
  <c r="Y45" i="33"/>
  <c r="Y49" i="33"/>
  <c r="Y44" i="33"/>
  <c r="Y48" i="33"/>
  <c r="Y42" i="33"/>
  <c r="Y46" i="33"/>
  <c r="Y43" i="33"/>
  <c r="Y47" i="33"/>
  <c r="J38" i="50"/>
  <c r="A37" i="51" s="1"/>
  <c r="A37" i="52"/>
  <c r="K16" i="50"/>
  <c r="CF15" i="50"/>
  <c r="Y51" i="33"/>
  <c r="Y66" i="33" s="1"/>
  <c r="CL24" i="41"/>
  <c r="CL25" i="41"/>
  <c r="CL5" i="41"/>
  <c r="CL23" i="41"/>
  <c r="CL8" i="41"/>
  <c r="CL22" i="41"/>
  <c r="CL16" i="41"/>
  <c r="CL3" i="41"/>
  <c r="CL7" i="41"/>
  <c r="CL15" i="41"/>
  <c r="CL27" i="41"/>
  <c r="CL9" i="41"/>
  <c r="CL4" i="41"/>
  <c r="CL21" i="41"/>
  <c r="CL10" i="41"/>
  <c r="CL19" i="41"/>
  <c r="CL17" i="41"/>
  <c r="CL18" i="41"/>
  <c r="CL26" i="41"/>
  <c r="CL12" i="41"/>
  <c r="CL20" i="41"/>
  <c r="CL13" i="41"/>
  <c r="CL6" i="41"/>
  <c r="CL14" i="41"/>
  <c r="P38" i="41"/>
  <c r="S11" i="41"/>
  <c r="R36" i="41"/>
  <c r="CM11" i="41" s="1"/>
  <c r="BG1" i="41"/>
  <c r="EA1" i="41"/>
  <c r="AM24" i="41"/>
  <c r="B46" i="24"/>
  <c r="A38" i="52" s="1"/>
  <c r="AA45" i="24"/>
  <c r="AT8" i="41"/>
  <c r="AT16" i="41"/>
  <c r="AT4" i="41"/>
  <c r="AT22" i="41"/>
  <c r="AT13" i="41"/>
  <c r="AT9" i="41"/>
  <c r="AT17" i="41"/>
  <c r="AT21" i="41"/>
  <c r="AT20" i="41"/>
  <c r="AT23" i="41"/>
  <c r="AT7" i="41"/>
  <c r="AT15" i="41"/>
  <c r="AU27" i="41"/>
  <c r="AT10" i="41"/>
  <c r="AT18" i="41"/>
  <c r="AT19" i="41"/>
  <c r="AT25" i="41"/>
  <c r="AT6" i="41"/>
  <c r="AT14" i="41"/>
  <c r="AT26" i="41"/>
  <c r="AT3" i="41"/>
  <c r="AT5" i="41"/>
  <c r="AT12" i="41"/>
  <c r="I14" i="17"/>
  <c r="AB2" i="33"/>
  <c r="BJ2" i="37" s="1"/>
  <c r="F17" i="35"/>
  <c r="G17" i="35" s="1"/>
  <c r="C18" i="35" s="1"/>
  <c r="AY30" i="35"/>
  <c r="AZ30" i="35" s="1"/>
  <c r="AV31" i="35" s="1"/>
  <c r="AT31" i="35"/>
  <c r="AU31" i="35" s="1"/>
  <c r="AQ32" i="35" s="1"/>
  <c r="AO30" i="35"/>
  <c r="AP30" i="35" s="1"/>
  <c r="AL31" i="35" s="1"/>
  <c r="AJ30" i="35"/>
  <c r="AK30" i="35" s="1"/>
  <c r="AG31" i="35" s="1"/>
  <c r="AE30" i="35"/>
  <c r="AF30" i="35" s="1"/>
  <c r="AB31" i="35" s="1"/>
  <c r="Z30" i="35"/>
  <c r="AA30" i="35" s="1"/>
  <c r="W31" i="35" s="1"/>
  <c r="U30" i="35"/>
  <c r="V30" i="35" s="1"/>
  <c r="R31" i="35" s="1"/>
  <c r="P31" i="35"/>
  <c r="Q31" i="35" s="1"/>
  <c r="M32" i="35" s="1"/>
  <c r="K31" i="35"/>
  <c r="L31" i="35" s="1"/>
  <c r="H32" i="35" s="1"/>
  <c r="Z1" i="33"/>
  <c r="J14" i="17"/>
  <c r="A17" i="19"/>
  <c r="B17" i="19"/>
  <c r="C25" i="24" s="1"/>
  <c r="B15" i="17"/>
  <c r="B16" i="52"/>
  <c r="BI52" i="37" l="1"/>
  <c r="EH28" i="37" s="1"/>
  <c r="BI55" i="37"/>
  <c r="EK28" i="37" s="1"/>
  <c r="BI34" i="37"/>
  <c r="BI36" i="37"/>
  <c r="DR28" i="37" s="1"/>
  <c r="BI56" i="37"/>
  <c r="EL28" i="37" s="1"/>
  <c r="BI46" i="37"/>
  <c r="EB28" i="37" s="1"/>
  <c r="BI50" i="37"/>
  <c r="EF28" i="37" s="1"/>
  <c r="BH58" i="37"/>
  <c r="Z68" i="33" s="1"/>
  <c r="BI41" i="37"/>
  <c r="DW28" i="37" s="1"/>
  <c r="BI40" i="37"/>
  <c r="DV28" i="37" s="1"/>
  <c r="BI35" i="37"/>
  <c r="BI58" i="37" s="1"/>
  <c r="AA68" i="33" s="1"/>
  <c r="BI53" i="37"/>
  <c r="EI28" i="37" s="1"/>
  <c r="BJ31" i="37"/>
  <c r="BJ4" i="37"/>
  <c r="BJ6" i="37"/>
  <c r="BJ8" i="37"/>
  <c r="BJ12" i="37"/>
  <c r="BJ41" i="37" s="1"/>
  <c r="DW29" i="37" s="1"/>
  <c r="BJ16" i="37"/>
  <c r="BJ45" i="37" s="1"/>
  <c r="EA29" i="37" s="1"/>
  <c r="BJ22" i="37"/>
  <c r="BJ51" i="37" s="1"/>
  <c r="EG29" i="37" s="1"/>
  <c r="BJ18" i="37"/>
  <c r="BJ9" i="37"/>
  <c r="BJ38" i="37" s="1"/>
  <c r="DT29" i="37" s="1"/>
  <c r="BJ13" i="37"/>
  <c r="BJ42" i="37" s="1"/>
  <c r="DX29" i="37" s="1"/>
  <c r="BJ10" i="37"/>
  <c r="BJ39" i="37" s="1"/>
  <c r="DU29" i="37" s="1"/>
  <c r="BJ11" i="37"/>
  <c r="BJ40" i="37" s="1"/>
  <c r="DV29" i="37" s="1"/>
  <c r="BJ28" i="37"/>
  <c r="BJ23" i="37"/>
  <c r="BJ7" i="37"/>
  <c r="BJ25" i="37"/>
  <c r="BJ27" i="37"/>
  <c r="BJ56" i="37" s="1"/>
  <c r="EL29" i="37" s="1"/>
  <c r="BJ17" i="37"/>
  <c r="BJ46" i="37" s="1"/>
  <c r="EB29" i="37" s="1"/>
  <c r="BJ20" i="37"/>
  <c r="BJ49" i="37" s="1"/>
  <c r="EE29" i="37" s="1"/>
  <c r="BJ14" i="37"/>
  <c r="BJ43" i="37" s="1"/>
  <c r="DY29" i="37" s="1"/>
  <c r="BJ15" i="37"/>
  <c r="BJ44" i="37" s="1"/>
  <c r="DZ29" i="37" s="1"/>
  <c r="BJ19" i="37"/>
  <c r="BJ48" i="37" s="1"/>
  <c r="ED29" i="37" s="1"/>
  <c r="BJ5" i="37"/>
  <c r="BJ34" i="37" s="1"/>
  <c r="BJ21" i="37"/>
  <c r="BJ50" i="37" s="1"/>
  <c r="EF29" i="37" s="1"/>
  <c r="BJ26" i="37"/>
  <c r="BJ24" i="37"/>
  <c r="BJ3" i="37"/>
  <c r="BJ32" i="37" s="1"/>
  <c r="DN29" i="37" s="1"/>
  <c r="Z50" i="33"/>
  <c r="Z65" i="33" s="1"/>
  <c r="N332" i="5"/>
  <c r="AA329" i="5"/>
  <c r="Z329" i="5" s="1"/>
  <c r="AJ329" i="5"/>
  <c r="CJ28" i="5"/>
  <c r="CI28" i="5" s="1"/>
  <c r="BW27" i="5"/>
  <c r="BV27" i="5" s="1"/>
  <c r="BX27" i="5" s="1"/>
  <c r="M42" i="5"/>
  <c r="CX95" i="5"/>
  <c r="CW96" i="5"/>
  <c r="AA40" i="5"/>
  <c r="Z40" i="5" s="1"/>
  <c r="AB40" i="5" s="1"/>
  <c r="DO28" i="37"/>
  <c r="DP28" i="37"/>
  <c r="BI29" i="37"/>
  <c r="AA53" i="33" s="1"/>
  <c r="BJ36" i="37"/>
  <c r="BJ54" i="37"/>
  <c r="EJ29" i="37" s="1"/>
  <c r="BJ35" i="37"/>
  <c r="BJ53" i="37"/>
  <c r="EI29" i="37" s="1"/>
  <c r="BJ55" i="37"/>
  <c r="EK29" i="37" s="1"/>
  <c r="BJ33" i="37"/>
  <c r="BJ57" i="37"/>
  <c r="EM29" i="37" s="1"/>
  <c r="BJ52" i="37"/>
  <c r="EH29" i="37" s="1"/>
  <c r="BJ37" i="37"/>
  <c r="DS29" i="37" s="1"/>
  <c r="BJ47" i="37"/>
  <c r="EC29" i="37" s="1"/>
  <c r="AA84" i="56"/>
  <c r="F33" i="24"/>
  <c r="AL39" i="5"/>
  <c r="AK39" i="5" s="1"/>
  <c r="Q41" i="5"/>
  <c r="N42" i="5" s="1"/>
  <c r="Q37" i="51"/>
  <c r="S37" i="51"/>
  <c r="U37" i="51"/>
  <c r="Y62" i="33"/>
  <c r="Y78" i="33" s="1"/>
  <c r="Y58" i="33"/>
  <c r="Y74" i="33" s="1"/>
  <c r="Y61" i="33"/>
  <c r="Y77" i="33" s="1"/>
  <c r="Y57" i="33"/>
  <c r="Y73" i="33" s="1"/>
  <c r="Y63" i="33"/>
  <c r="Y79" i="33" s="1"/>
  <c r="Y59" i="33"/>
  <c r="Y75" i="33" s="1"/>
  <c r="Y64" i="33"/>
  <c r="Y80" i="33" s="1"/>
  <c r="Y60" i="33"/>
  <c r="Y76" i="33" s="1"/>
  <c r="AB9" i="33"/>
  <c r="AB29" i="33" s="1"/>
  <c r="AB13" i="33"/>
  <c r="AB33" i="33" s="1"/>
  <c r="AB18" i="33"/>
  <c r="AB38" i="33" s="1"/>
  <c r="AB8" i="33"/>
  <c r="AB28" i="33" s="1"/>
  <c r="AB12" i="33"/>
  <c r="AB32" i="33" s="1"/>
  <c r="AB17" i="33"/>
  <c r="AB37" i="33" s="1"/>
  <c r="AB7" i="33"/>
  <c r="AB27" i="33" s="1"/>
  <c r="AB10" i="33"/>
  <c r="AB30" i="33" s="1"/>
  <c r="AB11" i="33"/>
  <c r="AB31" i="33" s="1"/>
  <c r="AB15" i="33"/>
  <c r="AB35" i="33" s="1"/>
  <c r="AB20" i="33"/>
  <c r="AB16" i="33"/>
  <c r="AB36" i="33" s="1"/>
  <c r="AB19" i="33"/>
  <c r="O25" i="19"/>
  <c r="X84" i="33"/>
  <c r="X85" i="33" s="1"/>
  <c r="E24" i="31" s="1"/>
  <c r="T27" i="19"/>
  <c r="EY38" i="50"/>
  <c r="ES38" i="50"/>
  <c r="EM38" i="50"/>
  <c r="DI38" i="50"/>
  <c r="A70" i="17"/>
  <c r="Z45" i="33"/>
  <c r="Z49" i="33"/>
  <c r="Z48" i="33"/>
  <c r="Z44" i="33"/>
  <c r="Z47" i="33"/>
  <c r="Z46" i="33"/>
  <c r="Z43" i="33"/>
  <c r="Z42" i="33"/>
  <c r="K17" i="50"/>
  <c r="AD16" i="51" s="1"/>
  <c r="CF16" i="50"/>
  <c r="J39" i="50"/>
  <c r="AD15" i="51"/>
  <c r="Z51" i="33"/>
  <c r="Z66" i="33" s="1"/>
  <c r="CM24" i="41"/>
  <c r="CM12" i="41"/>
  <c r="CM20" i="41"/>
  <c r="CM5" i="41"/>
  <c r="CM13" i="41"/>
  <c r="CM16" i="41"/>
  <c r="CM10" i="41"/>
  <c r="CM14" i="41"/>
  <c r="CM26" i="41"/>
  <c r="CM21" i="41"/>
  <c r="CM15" i="41"/>
  <c r="CM6" i="41"/>
  <c r="CM27" i="41"/>
  <c r="CM17" i="41"/>
  <c r="CM3" i="41"/>
  <c r="CM25" i="41"/>
  <c r="CM18" i="41"/>
  <c r="CM4" i="41"/>
  <c r="CM9" i="41"/>
  <c r="CM19" i="41"/>
  <c r="CM7" i="41"/>
  <c r="CM23" i="41"/>
  <c r="CM22" i="41"/>
  <c r="CM8" i="41"/>
  <c r="T11" i="41"/>
  <c r="S36" i="41"/>
  <c r="CN11" i="41" s="1"/>
  <c r="Q38" i="41"/>
  <c r="BH1" i="41"/>
  <c r="EB1" i="41"/>
  <c r="AN24" i="41"/>
  <c r="B47" i="24"/>
  <c r="A39" i="52" s="1"/>
  <c r="AA46" i="24"/>
  <c r="AU12" i="41"/>
  <c r="AU5" i="41"/>
  <c r="AU3" i="41"/>
  <c r="AU26" i="41"/>
  <c r="AU14" i="41"/>
  <c r="AU6" i="41"/>
  <c r="AU25" i="41"/>
  <c r="AU19" i="41"/>
  <c r="AU18" i="41"/>
  <c r="AU10" i="41"/>
  <c r="AV27" i="41"/>
  <c r="AU15" i="41"/>
  <c r="AU7" i="41"/>
  <c r="AU23" i="41"/>
  <c r="AU20" i="41"/>
  <c r="AU21" i="41"/>
  <c r="AU17" i="41"/>
  <c r="AU9" i="41"/>
  <c r="AU13" i="41"/>
  <c r="AU22" i="41"/>
  <c r="AU4" i="41"/>
  <c r="AU16" i="41"/>
  <c r="AU8" i="41"/>
  <c r="Y81" i="33"/>
  <c r="J15" i="17"/>
  <c r="AC2" i="33"/>
  <c r="BK2" i="37" s="1"/>
  <c r="F18" i="35"/>
  <c r="G18" i="35" s="1"/>
  <c r="C19" i="35" s="1"/>
  <c r="AY31" i="35"/>
  <c r="AZ31" i="35" s="1"/>
  <c r="AV32" i="35" s="1"/>
  <c r="AT32" i="35"/>
  <c r="AU32" i="35" s="1"/>
  <c r="AQ33" i="35" s="1"/>
  <c r="AO31" i="35"/>
  <c r="AP31" i="35" s="1"/>
  <c r="AL32" i="35" s="1"/>
  <c r="AJ31" i="35"/>
  <c r="AK31" i="35" s="1"/>
  <c r="AG32" i="35" s="1"/>
  <c r="AE31" i="35"/>
  <c r="AF31" i="35" s="1"/>
  <c r="AB32" i="35" s="1"/>
  <c r="Z31" i="35"/>
  <c r="AA31" i="35" s="1"/>
  <c r="W32" i="35" s="1"/>
  <c r="U31" i="35"/>
  <c r="V31" i="35" s="1"/>
  <c r="R32" i="35" s="1"/>
  <c r="P32" i="35"/>
  <c r="Q32" i="35" s="1"/>
  <c r="M33" i="35" s="1"/>
  <c r="K32" i="35"/>
  <c r="L32" i="35" s="1"/>
  <c r="H33" i="35" s="1"/>
  <c r="AA1" i="33"/>
  <c r="I15" i="17"/>
  <c r="A18" i="19"/>
  <c r="B18" i="19"/>
  <c r="C26" i="24" s="1"/>
  <c r="B17" i="52"/>
  <c r="B16" i="17"/>
  <c r="I16" i="17"/>
  <c r="DQ28" i="37" l="1"/>
  <c r="BK31" i="37"/>
  <c r="BK40" i="37" s="1"/>
  <c r="DV30" i="37" s="1"/>
  <c r="BK4" i="37"/>
  <c r="BK8" i="37"/>
  <c r="BK12" i="37"/>
  <c r="BK16" i="37"/>
  <c r="BK10" i="37"/>
  <c r="BK39" i="37" s="1"/>
  <c r="DU30" i="37" s="1"/>
  <c r="BK20" i="37"/>
  <c r="BK49" i="37" s="1"/>
  <c r="EE30" i="37" s="1"/>
  <c r="BK24" i="37"/>
  <c r="BK53" i="37" s="1"/>
  <c r="EI30" i="37" s="1"/>
  <c r="BK28" i="37"/>
  <c r="BK26" i="37"/>
  <c r="BK55" i="37" s="1"/>
  <c r="EK30" i="37" s="1"/>
  <c r="BK22" i="37"/>
  <c r="BK51" i="37" s="1"/>
  <c r="EG30" i="37" s="1"/>
  <c r="BK18" i="37"/>
  <c r="BK9" i="37"/>
  <c r="BK38" i="37" s="1"/>
  <c r="DT30" i="37" s="1"/>
  <c r="BK11" i="37"/>
  <c r="BK6" i="37"/>
  <c r="BK23" i="37"/>
  <c r="BK25" i="37"/>
  <c r="BK27" i="37"/>
  <c r="BK17" i="37"/>
  <c r="BK46" i="37" s="1"/>
  <c r="EB30" i="37" s="1"/>
  <c r="BK13" i="37"/>
  <c r="BK42" i="37" s="1"/>
  <c r="DX30" i="37" s="1"/>
  <c r="BK14" i="37"/>
  <c r="BK43" i="37" s="1"/>
  <c r="DY30" i="37" s="1"/>
  <c r="BK15" i="37"/>
  <c r="BK44" i="37" s="1"/>
  <c r="DZ30" i="37" s="1"/>
  <c r="BK19" i="37"/>
  <c r="BK48" i="37" s="1"/>
  <c r="ED30" i="37" s="1"/>
  <c r="BK5" i="37"/>
  <c r="BK21" i="37"/>
  <c r="BK50" i="37" s="1"/>
  <c r="EF30" i="37" s="1"/>
  <c r="BK7" i="37"/>
  <c r="BK3" i="37"/>
  <c r="AA50" i="33"/>
  <c r="AA65" i="33" s="1"/>
  <c r="AB329" i="5"/>
  <c r="Y330" i="5"/>
  <c r="AL329" i="5"/>
  <c r="AK329" i="5" s="1"/>
  <c r="O332" i="5"/>
  <c r="Q332" i="5" s="1"/>
  <c r="P332" i="5"/>
  <c r="CK28" i="5"/>
  <c r="CG29" i="5"/>
  <c r="BT28" i="5"/>
  <c r="BU28" i="5" s="1"/>
  <c r="X41" i="5"/>
  <c r="Y41" i="5"/>
  <c r="AA41" i="5" s="1"/>
  <c r="Z41" i="5" s="1"/>
  <c r="CW97" i="5"/>
  <c r="CX96" i="5"/>
  <c r="DQ29" i="37"/>
  <c r="DO29" i="37"/>
  <c r="DP29" i="37"/>
  <c r="DR29" i="37"/>
  <c r="BJ58" i="37"/>
  <c r="AB68" i="33" s="1"/>
  <c r="BK54" i="37"/>
  <c r="EJ30" i="37" s="1"/>
  <c r="BK57" i="37"/>
  <c r="EM30" i="37" s="1"/>
  <c r="BK32" i="37"/>
  <c r="DN30" i="37" s="1"/>
  <c r="BK35" i="37"/>
  <c r="BK45" i="37"/>
  <c r="EA30" i="37" s="1"/>
  <c r="BK52" i="37"/>
  <c r="EH30" i="37" s="1"/>
  <c r="BK41" i="37"/>
  <c r="DW30" i="37" s="1"/>
  <c r="BJ29" i="37"/>
  <c r="AB53" i="33" s="1"/>
  <c r="AA85" i="56"/>
  <c r="Y84" i="33"/>
  <c r="Y85" i="33" s="1"/>
  <c r="E25" i="31" s="1"/>
  <c r="P42" i="5"/>
  <c r="O42" i="5"/>
  <c r="AM39" i="5"/>
  <c r="AJ40" i="5" s="1"/>
  <c r="AI40" i="5"/>
  <c r="Z57" i="33"/>
  <c r="Z73" i="33" s="1"/>
  <c r="Z58" i="33"/>
  <c r="Z74" i="33" s="1"/>
  <c r="Z61" i="33"/>
  <c r="Z77" i="33" s="1"/>
  <c r="Z62" i="33"/>
  <c r="Z78" i="33" s="1"/>
  <c r="Z59" i="33"/>
  <c r="Z75" i="33" s="1"/>
  <c r="Z63" i="33"/>
  <c r="Z79" i="33" s="1"/>
  <c r="Z64" i="33"/>
  <c r="Z80" i="33" s="1"/>
  <c r="Z60" i="33"/>
  <c r="Z76" i="33" s="1"/>
  <c r="AC8" i="33"/>
  <c r="AC28" i="33" s="1"/>
  <c r="AC18" i="33"/>
  <c r="AC38" i="33" s="1"/>
  <c r="AC7" i="33"/>
  <c r="AC27" i="33" s="1"/>
  <c r="AC12" i="33"/>
  <c r="AC32" i="33" s="1"/>
  <c r="AC11" i="33"/>
  <c r="AC31" i="33" s="1"/>
  <c r="AC17" i="33"/>
  <c r="AC37" i="33" s="1"/>
  <c r="AC20" i="33"/>
  <c r="AC10" i="33"/>
  <c r="AC30" i="33" s="1"/>
  <c r="AC13" i="33"/>
  <c r="AC33" i="33" s="1"/>
  <c r="AC16" i="33"/>
  <c r="AC36" i="33" s="1"/>
  <c r="AC15" i="33"/>
  <c r="AC35" i="33" s="1"/>
  <c r="AC9" i="33"/>
  <c r="AC29" i="33" s="1"/>
  <c r="AC19" i="33"/>
  <c r="F34" i="24"/>
  <c r="O26" i="19"/>
  <c r="T28" i="19"/>
  <c r="EM39" i="50"/>
  <c r="ES39" i="50"/>
  <c r="EY39" i="50"/>
  <c r="A38" i="51"/>
  <c r="DI39" i="50"/>
  <c r="A71" i="17"/>
  <c r="AA45" i="33"/>
  <c r="AA49" i="33"/>
  <c r="AA44" i="33"/>
  <c r="AA48" i="33"/>
  <c r="AA47" i="33"/>
  <c r="AA42" i="33"/>
  <c r="AA43" i="33"/>
  <c r="AA46" i="33"/>
  <c r="J40" i="50"/>
  <c r="K18" i="50"/>
  <c r="AA51" i="33"/>
  <c r="AA66" i="33" s="1"/>
  <c r="CN24" i="41"/>
  <c r="CN8" i="41"/>
  <c r="CN17" i="41"/>
  <c r="CN13" i="41"/>
  <c r="CN9" i="41"/>
  <c r="CN25" i="41"/>
  <c r="CN15" i="41"/>
  <c r="CN12" i="41"/>
  <c r="CN10" i="41"/>
  <c r="CN14" i="41"/>
  <c r="CN18" i="41"/>
  <c r="CN19" i="41"/>
  <c r="CN21" i="41"/>
  <c r="CN5" i="41"/>
  <c r="CN6" i="41"/>
  <c r="CN27" i="41"/>
  <c r="CN4" i="41"/>
  <c r="CN23" i="41"/>
  <c r="CN26" i="41"/>
  <c r="CN7" i="41"/>
  <c r="CN20" i="41"/>
  <c r="CN22" i="41"/>
  <c r="CN16" i="41"/>
  <c r="CN3" i="41"/>
  <c r="R38" i="41"/>
  <c r="U11" i="41"/>
  <c r="T36" i="41"/>
  <c r="CO11" i="41" s="1"/>
  <c r="AA81" i="33"/>
  <c r="BI1" i="41"/>
  <c r="EC1" i="41"/>
  <c r="AO24" i="41"/>
  <c r="B48" i="24"/>
  <c r="AA47" i="24"/>
  <c r="Z81" i="33"/>
  <c r="AV8" i="41"/>
  <c r="AV16" i="41"/>
  <c r="AV4" i="41"/>
  <c r="AV22" i="41"/>
  <c r="AV13" i="41"/>
  <c r="AV9" i="41"/>
  <c r="AV17" i="41"/>
  <c r="AV21" i="41"/>
  <c r="AV20" i="41"/>
  <c r="AV23" i="41"/>
  <c r="AV7" i="41"/>
  <c r="AV15" i="41"/>
  <c r="AW27" i="41"/>
  <c r="AV10" i="41"/>
  <c r="AV18" i="41"/>
  <c r="AV19" i="41"/>
  <c r="AV25" i="41"/>
  <c r="AV6" i="41"/>
  <c r="AV14" i="41"/>
  <c r="AV26" i="41"/>
  <c r="AV3" i="41"/>
  <c r="AV5" i="41"/>
  <c r="AV12" i="41"/>
  <c r="AD2" i="33"/>
  <c r="BL2" i="37" s="1"/>
  <c r="F19" i="35"/>
  <c r="G19" i="35" s="1"/>
  <c r="C20" i="35" s="1"/>
  <c r="AY32" i="35"/>
  <c r="AZ32" i="35" s="1"/>
  <c r="AV33" i="35" s="1"/>
  <c r="AT33" i="35"/>
  <c r="AU33" i="35" s="1"/>
  <c r="AQ34" i="35" s="1"/>
  <c r="AO32" i="35"/>
  <c r="AP32" i="35" s="1"/>
  <c r="AL33" i="35" s="1"/>
  <c r="AJ32" i="35"/>
  <c r="AK32" i="35" s="1"/>
  <c r="AG33" i="35" s="1"/>
  <c r="AE32" i="35"/>
  <c r="AF32" i="35" s="1"/>
  <c r="AB33" i="35" s="1"/>
  <c r="Z32" i="35"/>
  <c r="AA32" i="35" s="1"/>
  <c r="W33" i="35" s="1"/>
  <c r="U32" i="35"/>
  <c r="V32" i="35" s="1"/>
  <c r="R33" i="35" s="1"/>
  <c r="P33" i="35"/>
  <c r="Q33" i="35" s="1"/>
  <c r="M34" i="35" s="1"/>
  <c r="K33" i="35"/>
  <c r="L33" i="35" s="1"/>
  <c r="H34" i="35" s="1"/>
  <c r="AB1" i="33"/>
  <c r="J16" i="17"/>
  <c r="A19" i="19"/>
  <c r="B19" i="19"/>
  <c r="C27" i="24" s="1"/>
  <c r="B17" i="17"/>
  <c r="B18" i="52"/>
  <c r="BK56" i="37" l="1"/>
  <c r="EL30" i="37" s="1"/>
  <c r="BK37" i="37"/>
  <c r="DS30" i="37" s="1"/>
  <c r="BK36" i="37"/>
  <c r="BK33" i="37"/>
  <c r="DO30" i="37" s="1"/>
  <c r="BK34" i="37"/>
  <c r="BK58" i="37" s="1"/>
  <c r="AC68" i="33" s="1"/>
  <c r="BK47" i="37"/>
  <c r="EC30" i="37" s="1"/>
  <c r="BL31" i="37"/>
  <c r="BL49" i="37" s="1"/>
  <c r="EE31" i="37" s="1"/>
  <c r="BL4" i="37"/>
  <c r="BL33" i="37" s="1"/>
  <c r="BL14" i="37"/>
  <c r="BL43" i="37" s="1"/>
  <c r="DY31" i="37" s="1"/>
  <c r="BL19" i="37"/>
  <c r="BL48" i="37" s="1"/>
  <c r="ED31" i="37" s="1"/>
  <c r="BL8" i="37"/>
  <c r="BL37" i="37" s="1"/>
  <c r="DS31" i="37" s="1"/>
  <c r="BL12" i="37"/>
  <c r="BL41" i="37" s="1"/>
  <c r="DW31" i="37" s="1"/>
  <c r="BL16" i="37"/>
  <c r="BL26" i="37"/>
  <c r="BL18" i="37"/>
  <c r="BL24" i="37"/>
  <c r="BL9" i="37"/>
  <c r="BL10" i="37"/>
  <c r="BL28" i="37"/>
  <c r="BL57" i="37" s="1"/>
  <c r="EM31" i="37" s="1"/>
  <c r="BL11" i="37"/>
  <c r="BL7" i="37"/>
  <c r="BL36" i="37" s="1"/>
  <c r="BL23" i="37"/>
  <c r="BL52" i="37" s="1"/>
  <c r="EH31" i="37" s="1"/>
  <c r="BL6" i="37"/>
  <c r="BL35" i="37" s="1"/>
  <c r="BL25" i="37"/>
  <c r="BL54" i="37" s="1"/>
  <c r="EJ31" i="37" s="1"/>
  <c r="BL20" i="37"/>
  <c r="BL22" i="37"/>
  <c r="BL27" i="37"/>
  <c r="BL17" i="37"/>
  <c r="BL13" i="37"/>
  <c r="BL15" i="37"/>
  <c r="BL5" i="37"/>
  <c r="BL34" i="37" s="1"/>
  <c r="BL21" i="37"/>
  <c r="BL3" i="37"/>
  <c r="AB50" i="33"/>
  <c r="AB65" i="33" s="1"/>
  <c r="AB81" i="33" s="1"/>
  <c r="AM329" i="5"/>
  <c r="AJ330" i="5"/>
  <c r="AA330" i="5"/>
  <c r="Z330" i="5"/>
  <c r="AB330" i="5" s="1"/>
  <c r="Y331" i="5"/>
  <c r="N333" i="5"/>
  <c r="CH29" i="5"/>
  <c r="CJ29" i="5" s="1"/>
  <c r="CI29" i="5" s="1"/>
  <c r="CP29" i="5"/>
  <c r="CC28" i="5"/>
  <c r="CX97" i="5"/>
  <c r="CW98" i="5"/>
  <c r="X42" i="5"/>
  <c r="AB41" i="5"/>
  <c r="Y42" i="5" s="1"/>
  <c r="AA42" i="5" s="1"/>
  <c r="Z42" i="5" s="1"/>
  <c r="AB42" i="5" s="1"/>
  <c r="Y43" i="5" s="1"/>
  <c r="DR30" i="37"/>
  <c r="DQ30" i="37"/>
  <c r="DP30" i="37"/>
  <c r="BK29" i="37"/>
  <c r="AC53" i="33" s="1"/>
  <c r="BL40" i="37"/>
  <c r="DV31" i="37" s="1"/>
  <c r="BL47" i="37"/>
  <c r="EC31" i="37" s="1"/>
  <c r="BL32" i="37"/>
  <c r="DN31" i="37" s="1"/>
  <c r="BL44" i="37"/>
  <c r="DZ31" i="37" s="1"/>
  <c r="BL50" i="37"/>
  <c r="EF31" i="37" s="1"/>
  <c r="AA87" i="56"/>
  <c r="AA86" i="56"/>
  <c r="O27" i="19"/>
  <c r="AL40" i="5"/>
  <c r="AK40" i="5" s="1"/>
  <c r="AI41" i="5" s="1"/>
  <c r="Z84" i="33"/>
  <c r="Z85" i="33" s="1"/>
  <c r="E26" i="31" s="1"/>
  <c r="Q42" i="5"/>
  <c r="N43" i="5" s="1"/>
  <c r="M43" i="5"/>
  <c r="AA60" i="33"/>
  <c r="AA76" i="33" s="1"/>
  <c r="AA61" i="33"/>
  <c r="AA77" i="33" s="1"/>
  <c r="AA58" i="33"/>
  <c r="AA74" i="33" s="1"/>
  <c r="AA57" i="33"/>
  <c r="AA73" i="33" s="1"/>
  <c r="AA62" i="33"/>
  <c r="AA78" i="33" s="1"/>
  <c r="AA63" i="33"/>
  <c r="AA79" i="33" s="1"/>
  <c r="F35" i="24"/>
  <c r="AA59" i="33"/>
  <c r="AA75" i="33" s="1"/>
  <c r="AA64" i="33"/>
  <c r="AA80" i="33" s="1"/>
  <c r="AD10" i="33"/>
  <c r="AD30" i="33" s="1"/>
  <c r="AD15" i="33"/>
  <c r="AD35" i="33" s="1"/>
  <c r="AD9" i="33"/>
  <c r="AD29" i="33" s="1"/>
  <c r="AD8" i="33"/>
  <c r="AD28" i="33" s="1"/>
  <c r="AD18" i="33"/>
  <c r="AD38" i="33" s="1"/>
  <c r="AD7" i="33"/>
  <c r="AD27" i="33" s="1"/>
  <c r="AD12" i="33"/>
  <c r="AD32" i="33" s="1"/>
  <c r="AD13" i="33"/>
  <c r="AD33" i="33" s="1"/>
  <c r="AD16" i="33"/>
  <c r="AD36" i="33" s="1"/>
  <c r="AD20" i="33"/>
  <c r="AD11" i="33"/>
  <c r="AD31" i="33" s="1"/>
  <c r="AD19" i="33"/>
  <c r="AD17" i="33"/>
  <c r="AD37" i="33" s="1"/>
  <c r="T29" i="19"/>
  <c r="EM40" i="50"/>
  <c r="ES40" i="50"/>
  <c r="EY40" i="50"/>
  <c r="A39" i="51"/>
  <c r="DI40" i="50"/>
  <c r="A72" i="17"/>
  <c r="AB42" i="33"/>
  <c r="AB46" i="33"/>
  <c r="AB45" i="33"/>
  <c r="AB49" i="33"/>
  <c r="AB43" i="33"/>
  <c r="AB47" i="33"/>
  <c r="AB48" i="33"/>
  <c r="AB44" i="33"/>
  <c r="J41" i="50"/>
  <c r="A40" i="52"/>
  <c r="CF18" i="50"/>
  <c r="AD17" i="51"/>
  <c r="K19" i="50"/>
  <c r="AD18" i="51" s="1"/>
  <c r="AB51" i="33"/>
  <c r="AB66" i="33" s="1"/>
  <c r="V11" i="41"/>
  <c r="U36" i="41"/>
  <c r="CP11" i="41" s="1"/>
  <c r="S38" i="41"/>
  <c r="CO24" i="41"/>
  <c r="CO16" i="41"/>
  <c r="CO12" i="41"/>
  <c r="CO25" i="41"/>
  <c r="CO10" i="41"/>
  <c r="CO9" i="41"/>
  <c r="CO19" i="41"/>
  <c r="CO14" i="41"/>
  <c r="CO27" i="41"/>
  <c r="CO7" i="41"/>
  <c r="CO21" i="41"/>
  <c r="CO13" i="41"/>
  <c r="CO4" i="41"/>
  <c r="CO8" i="41"/>
  <c r="CO6" i="41"/>
  <c r="CO3" i="41"/>
  <c r="CO15" i="41"/>
  <c r="CO18" i="41"/>
  <c r="CO17" i="41"/>
  <c r="CO23" i="41"/>
  <c r="CO22" i="41"/>
  <c r="CO26" i="41"/>
  <c r="CO20" i="41"/>
  <c r="CO5" i="41"/>
  <c r="BJ1" i="41"/>
  <c r="ED1" i="41"/>
  <c r="AP24" i="41"/>
  <c r="B49" i="24"/>
  <c r="A41" i="52" s="1"/>
  <c r="AA48" i="24"/>
  <c r="AW12" i="41"/>
  <c r="AW5" i="41"/>
  <c r="AW3" i="41"/>
  <c r="AW26" i="41"/>
  <c r="AW14" i="41"/>
  <c r="AW6" i="41"/>
  <c r="AW25" i="41"/>
  <c r="AW19" i="41"/>
  <c r="AW18" i="41"/>
  <c r="AW10" i="41"/>
  <c r="AX27" i="41"/>
  <c r="AW15" i="41"/>
  <c r="AW7" i="41"/>
  <c r="AW23" i="41"/>
  <c r="AW20" i="41"/>
  <c r="AW21" i="41"/>
  <c r="AW17" i="41"/>
  <c r="AW9" i="41"/>
  <c r="AW13" i="41"/>
  <c r="AW22" i="41"/>
  <c r="AW4" i="41"/>
  <c r="AW16" i="41"/>
  <c r="AW8" i="41"/>
  <c r="AE2" i="33"/>
  <c r="BM2" i="37" s="1"/>
  <c r="I17" i="17"/>
  <c r="F20" i="35"/>
  <c r="G20" i="35" s="1"/>
  <c r="C21" i="35" s="1"/>
  <c r="AY33" i="35"/>
  <c r="AZ33" i="35" s="1"/>
  <c r="AV34" i="35" s="1"/>
  <c r="AT34" i="35"/>
  <c r="AU34" i="35" s="1"/>
  <c r="AQ35" i="35" s="1"/>
  <c r="AO33" i="35"/>
  <c r="AP33" i="35" s="1"/>
  <c r="AL34" i="35" s="1"/>
  <c r="AJ33" i="35"/>
  <c r="AK33" i="35" s="1"/>
  <c r="AG34" i="35" s="1"/>
  <c r="AE33" i="35"/>
  <c r="AF33" i="35" s="1"/>
  <c r="AB34" i="35" s="1"/>
  <c r="Z33" i="35"/>
  <c r="AA33" i="35" s="1"/>
  <c r="W34" i="35" s="1"/>
  <c r="U33" i="35"/>
  <c r="V33" i="35" s="1"/>
  <c r="R34" i="35" s="1"/>
  <c r="P34" i="35"/>
  <c r="Q34" i="35" s="1"/>
  <c r="M35" i="35" s="1"/>
  <c r="K34" i="35"/>
  <c r="L34" i="35" s="1"/>
  <c r="H35" i="35" s="1"/>
  <c r="AC1" i="33"/>
  <c r="J17" i="17"/>
  <c r="A20" i="19"/>
  <c r="B20" i="19"/>
  <c r="C28" i="24" s="1"/>
  <c r="B19" i="52"/>
  <c r="B18" i="17"/>
  <c r="BL56" i="37" l="1"/>
  <c r="EL31" i="37" s="1"/>
  <c r="BL39" i="37"/>
  <c r="DU31" i="37" s="1"/>
  <c r="BL42" i="37"/>
  <c r="DX31" i="37" s="1"/>
  <c r="BL38" i="37"/>
  <c r="DT31" i="37" s="1"/>
  <c r="BL46" i="37"/>
  <c r="EB31" i="37" s="1"/>
  <c r="BL53" i="37"/>
  <c r="EI31" i="37" s="1"/>
  <c r="BL51" i="37"/>
  <c r="EG31" i="37" s="1"/>
  <c r="BL55" i="37"/>
  <c r="EK31" i="37" s="1"/>
  <c r="BL45" i="37"/>
  <c r="EA31" i="37" s="1"/>
  <c r="BM31" i="37"/>
  <c r="BM57" i="37" s="1"/>
  <c r="EM32" i="37" s="1"/>
  <c r="BM7" i="37"/>
  <c r="BM36" i="37" s="1"/>
  <c r="BM4" i="37"/>
  <c r="BM33" i="37" s="1"/>
  <c r="BM11" i="37"/>
  <c r="BM15" i="37"/>
  <c r="BM23" i="37"/>
  <c r="BM19" i="37"/>
  <c r="BM8" i="37"/>
  <c r="BM12" i="37"/>
  <c r="BM16" i="37"/>
  <c r="BM20" i="37"/>
  <c r="BM18" i="37"/>
  <c r="BM24" i="37"/>
  <c r="BM9" i="37"/>
  <c r="BM38" i="37" s="1"/>
  <c r="DT32" i="37" s="1"/>
  <c r="BM10" i="37"/>
  <c r="BM39" i="37" s="1"/>
  <c r="DU32" i="37" s="1"/>
  <c r="BM28" i="37"/>
  <c r="BM5" i="37"/>
  <c r="BM21" i="37"/>
  <c r="BM6" i="37"/>
  <c r="BM25" i="37"/>
  <c r="BM22" i="37"/>
  <c r="BM27" i="37"/>
  <c r="BM17" i="37"/>
  <c r="BM13" i="37"/>
  <c r="BM42" i="37" s="1"/>
  <c r="DX32" i="37" s="1"/>
  <c r="BM14" i="37"/>
  <c r="BM26" i="37"/>
  <c r="BM55" i="37" s="1"/>
  <c r="EK32" i="37" s="1"/>
  <c r="BM3" i="37"/>
  <c r="BM32" i="37" s="1"/>
  <c r="DN32" i="37" s="1"/>
  <c r="AC50" i="33"/>
  <c r="AC65" i="33" s="1"/>
  <c r="Z331" i="5"/>
  <c r="AB331" i="5" s="1"/>
  <c r="AA331" i="5"/>
  <c r="Y332" i="5"/>
  <c r="AL330" i="5"/>
  <c r="AK330" i="5" s="1"/>
  <c r="P333" i="5"/>
  <c r="O333" i="5"/>
  <c r="Q333" i="5" s="1"/>
  <c r="N334" i="5"/>
  <c r="CK29" i="5"/>
  <c r="CG30" i="5"/>
  <c r="BW28" i="5"/>
  <c r="BV28" i="5" s="1"/>
  <c r="BX28" i="5" s="1"/>
  <c r="X43" i="5"/>
  <c r="CW99" i="5"/>
  <c r="CX98" i="5"/>
  <c r="DQ31" i="37"/>
  <c r="DO31" i="37"/>
  <c r="DR31" i="37"/>
  <c r="DP31" i="37"/>
  <c r="BL29" i="37"/>
  <c r="AD53" i="33" s="1"/>
  <c r="BM53" i="37"/>
  <c r="EI32" i="37" s="1"/>
  <c r="BM52" i="37"/>
  <c r="EH32" i="37" s="1"/>
  <c r="BM54" i="37"/>
  <c r="EJ32" i="37" s="1"/>
  <c r="BM43" i="37"/>
  <c r="DY32" i="37" s="1"/>
  <c r="AA84" i="33"/>
  <c r="AA85" i="33" s="1"/>
  <c r="E27" i="31" s="1"/>
  <c r="P43" i="5"/>
  <c r="O43" i="5" s="1"/>
  <c r="M44" i="5" s="1"/>
  <c r="AM40" i="5"/>
  <c r="AJ41" i="5" s="1"/>
  <c r="F36" i="24"/>
  <c r="O28" i="19"/>
  <c r="AA43" i="5"/>
  <c r="Z43" i="5" s="1"/>
  <c r="S39" i="51"/>
  <c r="O39" i="51"/>
  <c r="Q39" i="51"/>
  <c r="U39" i="51"/>
  <c r="AB59" i="33"/>
  <c r="AB75" i="33" s="1"/>
  <c r="AB63" i="33"/>
  <c r="AB79" i="33" s="1"/>
  <c r="AB62" i="33"/>
  <c r="AB78" i="33" s="1"/>
  <c r="AB58" i="33"/>
  <c r="AB74" i="33" s="1"/>
  <c r="AB64" i="33"/>
  <c r="AB80" i="33" s="1"/>
  <c r="AB60" i="33"/>
  <c r="AB76" i="33" s="1"/>
  <c r="AB61" i="33"/>
  <c r="AB77" i="33" s="1"/>
  <c r="AB57" i="33"/>
  <c r="AB73" i="33" s="1"/>
  <c r="AE10" i="33"/>
  <c r="AE30" i="33" s="1"/>
  <c r="AE15" i="33"/>
  <c r="AE35" i="33" s="1"/>
  <c r="AE9" i="33"/>
  <c r="AE29" i="33" s="1"/>
  <c r="AE13" i="33"/>
  <c r="AE33" i="33" s="1"/>
  <c r="AE8" i="33"/>
  <c r="AE28" i="33" s="1"/>
  <c r="AE18" i="33"/>
  <c r="AE38" i="33" s="1"/>
  <c r="AE7" i="33"/>
  <c r="AE27" i="33" s="1"/>
  <c r="AE20" i="33"/>
  <c r="AE12" i="33"/>
  <c r="AE32" i="33" s="1"/>
  <c r="AE11" i="33"/>
  <c r="AE31" i="33" s="1"/>
  <c r="AE19" i="33"/>
  <c r="AE17" i="33"/>
  <c r="AE37" i="33" s="1"/>
  <c r="AE16" i="33"/>
  <c r="AE36" i="33" s="1"/>
  <c r="T30" i="19"/>
  <c r="ES41" i="50"/>
  <c r="EY41" i="50"/>
  <c r="EM41" i="50"/>
  <c r="A40" i="51"/>
  <c r="DI41" i="50"/>
  <c r="A73" i="17"/>
  <c r="AC42" i="33"/>
  <c r="AC46" i="33"/>
  <c r="AC45" i="33"/>
  <c r="AC49" i="33"/>
  <c r="AC48" i="33"/>
  <c r="AC47" i="33"/>
  <c r="AC43" i="33"/>
  <c r="AC44" i="33"/>
  <c r="K20" i="50"/>
  <c r="CF19" i="50"/>
  <c r="J42" i="50"/>
  <c r="AC51" i="33"/>
  <c r="AC66" i="33" s="1"/>
  <c r="W11" i="41"/>
  <c r="V36" i="41"/>
  <c r="CQ11" i="41" s="1"/>
  <c r="CP24" i="41"/>
  <c r="CP12" i="41"/>
  <c r="CP13" i="41"/>
  <c r="CP20" i="41"/>
  <c r="CP26" i="41"/>
  <c r="CP5" i="41"/>
  <c r="CP17" i="41"/>
  <c r="CP18" i="41"/>
  <c r="CP6" i="41"/>
  <c r="CP16" i="41"/>
  <c r="CP7" i="41"/>
  <c r="CP21" i="41"/>
  <c r="CP19" i="41"/>
  <c r="CP14" i="41"/>
  <c r="CP8" i="41"/>
  <c r="CP27" i="41"/>
  <c r="CP4" i="41"/>
  <c r="CP10" i="41"/>
  <c r="CP25" i="41"/>
  <c r="CP15" i="41"/>
  <c r="CP3" i="41"/>
  <c r="CP9" i="41"/>
  <c r="CP22" i="41"/>
  <c r="CP23" i="41"/>
  <c r="T38" i="41"/>
  <c r="BK1" i="41"/>
  <c r="EE1" i="41"/>
  <c r="AQ24" i="41"/>
  <c r="B50" i="24"/>
  <c r="A42" i="52" s="1"/>
  <c r="AA49" i="24"/>
  <c r="AX16" i="41"/>
  <c r="AX4" i="41"/>
  <c r="AX22" i="41"/>
  <c r="AX13" i="41"/>
  <c r="AX9" i="41"/>
  <c r="AX17" i="41"/>
  <c r="AX21" i="41"/>
  <c r="AX20" i="41"/>
  <c r="AX23" i="41"/>
  <c r="AX7" i="41"/>
  <c r="AX15" i="41"/>
  <c r="AY27" i="41"/>
  <c r="AX10" i="41"/>
  <c r="AX18" i="41"/>
  <c r="AX19" i="41"/>
  <c r="AX25" i="41"/>
  <c r="AX6" i="41"/>
  <c r="AX14" i="41"/>
  <c r="AX26" i="41"/>
  <c r="AX3" i="41"/>
  <c r="AX5" i="41"/>
  <c r="AX12" i="41"/>
  <c r="AX8" i="41"/>
  <c r="AF2" i="33"/>
  <c r="BN2" i="37" s="1"/>
  <c r="I18" i="17"/>
  <c r="F21" i="35"/>
  <c r="G21" i="35" s="1"/>
  <c r="C22" i="35" s="1"/>
  <c r="AY34" i="35"/>
  <c r="AZ34" i="35" s="1"/>
  <c r="AV35" i="35" s="1"/>
  <c r="AT35" i="35"/>
  <c r="AU35" i="35" s="1"/>
  <c r="AQ36" i="35" s="1"/>
  <c r="AO34" i="35"/>
  <c r="AP34" i="35" s="1"/>
  <c r="AL35" i="35" s="1"/>
  <c r="AJ34" i="35"/>
  <c r="AK34" i="35" s="1"/>
  <c r="AG35" i="35" s="1"/>
  <c r="AE34" i="35"/>
  <c r="AF34" i="35" s="1"/>
  <c r="AB35" i="35" s="1"/>
  <c r="Z34" i="35"/>
  <c r="AA34" i="35" s="1"/>
  <c r="W35" i="35" s="1"/>
  <c r="U34" i="35"/>
  <c r="V34" i="35" s="1"/>
  <c r="R35" i="35" s="1"/>
  <c r="P35" i="35"/>
  <c r="Q35" i="35" s="1"/>
  <c r="M36" i="35" s="1"/>
  <c r="K35" i="35"/>
  <c r="L35" i="35" s="1"/>
  <c r="H36" i="35" s="1"/>
  <c r="AD1" i="33"/>
  <c r="J18" i="17"/>
  <c r="A21" i="19"/>
  <c r="B21" i="19"/>
  <c r="C29" i="24" s="1"/>
  <c r="B19" i="17"/>
  <c r="B20" i="52"/>
  <c r="BM34" i="37" l="1"/>
  <c r="BM47" i="37"/>
  <c r="EC32" i="37" s="1"/>
  <c r="BM45" i="37"/>
  <c r="EA32" i="37" s="1"/>
  <c r="BM51" i="37"/>
  <c r="EG32" i="37" s="1"/>
  <c r="BM48" i="37"/>
  <c r="ED32" i="37" s="1"/>
  <c r="BM35" i="37"/>
  <c r="BM50" i="37"/>
  <c r="EF32" i="37" s="1"/>
  <c r="BM44" i="37"/>
  <c r="DZ32" i="37" s="1"/>
  <c r="BM46" i="37"/>
  <c r="EB32" i="37" s="1"/>
  <c r="BM49" i="37"/>
  <c r="EE32" i="37" s="1"/>
  <c r="BL58" i="37"/>
  <c r="AD68" i="33" s="1"/>
  <c r="BM56" i="37"/>
  <c r="EL32" i="37" s="1"/>
  <c r="BM41" i="37"/>
  <c r="DW32" i="37" s="1"/>
  <c r="BM37" i="37"/>
  <c r="DS32" i="37" s="1"/>
  <c r="BM40" i="37"/>
  <c r="DV32" i="37" s="1"/>
  <c r="BN31" i="37"/>
  <c r="BN7" i="37"/>
  <c r="BN36" i="37" s="1"/>
  <c r="BN11" i="37"/>
  <c r="BN40" i="37" s="1"/>
  <c r="DV33" i="37" s="1"/>
  <c r="BN15" i="37"/>
  <c r="BN44" i="37" s="1"/>
  <c r="DZ33" i="37" s="1"/>
  <c r="BN19" i="37"/>
  <c r="BN48" i="37" s="1"/>
  <c r="ED33" i="37" s="1"/>
  <c r="BN23" i="37"/>
  <c r="BN52" i="37" s="1"/>
  <c r="EH33" i="37" s="1"/>
  <c r="BN27" i="37"/>
  <c r="BN56" i="37" s="1"/>
  <c r="EL33" i="37" s="1"/>
  <c r="BN12" i="37"/>
  <c r="BN41" i="37" s="1"/>
  <c r="DW33" i="37" s="1"/>
  <c r="BN13" i="37"/>
  <c r="BN42" i="37" s="1"/>
  <c r="DX33" i="37" s="1"/>
  <c r="BN14" i="37"/>
  <c r="BN20" i="37"/>
  <c r="BN18" i="37"/>
  <c r="BN24" i="37"/>
  <c r="BN53" i="37" s="1"/>
  <c r="EI33" i="37" s="1"/>
  <c r="BN4" i="37"/>
  <c r="BN28" i="37"/>
  <c r="BN5" i="37"/>
  <c r="BN21" i="37"/>
  <c r="BN50" i="37" s="1"/>
  <c r="EF33" i="37" s="1"/>
  <c r="BN6" i="37"/>
  <c r="BN35" i="37" s="1"/>
  <c r="BN25" i="37"/>
  <c r="BN16" i="37"/>
  <c r="BN22" i="37"/>
  <c r="BN51" i="37" s="1"/>
  <c r="EG33" i="37" s="1"/>
  <c r="BN17" i="37"/>
  <c r="BN8" i="37"/>
  <c r="BN26" i="37"/>
  <c r="BN10" i="37"/>
  <c r="BN9" i="37"/>
  <c r="BN38" i="37" s="1"/>
  <c r="DT33" i="37" s="1"/>
  <c r="BN3" i="37"/>
  <c r="BN32" i="37" s="1"/>
  <c r="DN33" i="37" s="1"/>
  <c r="AD50" i="33"/>
  <c r="AD65" i="33" s="1"/>
  <c r="CH30" i="5"/>
  <c r="AM330" i="5"/>
  <c r="AJ331" i="5"/>
  <c r="P334" i="5"/>
  <c r="O334" i="5"/>
  <c r="Q334" i="5" s="1"/>
  <c r="AA332" i="5"/>
  <c r="Z332" i="5" s="1"/>
  <c r="CP30" i="5"/>
  <c r="X44" i="5"/>
  <c r="BT29" i="5"/>
  <c r="BU29" i="5" s="1"/>
  <c r="CX99" i="5"/>
  <c r="CW100" i="5"/>
  <c r="DR32" i="37"/>
  <c r="DO32" i="37"/>
  <c r="DP32" i="37"/>
  <c r="DQ32" i="37"/>
  <c r="BN45" i="37"/>
  <c r="EA33" i="37" s="1"/>
  <c r="BN39" i="37"/>
  <c r="DU33" i="37" s="1"/>
  <c r="BN57" i="37"/>
  <c r="EM33" i="37" s="1"/>
  <c r="BN54" i="37"/>
  <c r="EJ33" i="37" s="1"/>
  <c r="BN33" i="37"/>
  <c r="BN34" i="37"/>
  <c r="BM29" i="37"/>
  <c r="AE53" i="33" s="1"/>
  <c r="F37" i="24"/>
  <c r="AL41" i="5"/>
  <c r="AK41" i="5" s="1"/>
  <c r="AB84" i="33"/>
  <c r="AB85" i="33" s="1"/>
  <c r="E28" i="31" s="1"/>
  <c r="AB43" i="5"/>
  <c r="Y44" i="5" s="1"/>
  <c r="Q43" i="5"/>
  <c r="N44" i="5" s="1"/>
  <c r="O29" i="19"/>
  <c r="O40" i="51"/>
  <c r="Q40" i="51"/>
  <c r="S40" i="51"/>
  <c r="U40" i="51"/>
  <c r="AC59" i="33"/>
  <c r="AC75" i="33" s="1"/>
  <c r="AC58" i="33"/>
  <c r="AC74" i="33" s="1"/>
  <c r="AC62" i="33"/>
  <c r="AC78" i="33" s="1"/>
  <c r="AC63" i="33"/>
  <c r="AC79" i="33" s="1"/>
  <c r="AC64" i="33"/>
  <c r="AC80" i="33" s="1"/>
  <c r="AC60" i="33"/>
  <c r="AC76" i="33" s="1"/>
  <c r="AC61" i="33"/>
  <c r="AC77" i="33" s="1"/>
  <c r="AC57" i="33"/>
  <c r="AC73" i="33" s="1"/>
  <c r="AF19" i="33"/>
  <c r="AF18" i="33"/>
  <c r="AF38" i="33" s="1"/>
  <c r="AF8" i="33"/>
  <c r="AF28" i="33" s="1"/>
  <c r="AF20" i="33"/>
  <c r="AF13" i="33"/>
  <c r="AF33" i="33" s="1"/>
  <c r="AF7" i="33"/>
  <c r="AF27" i="33" s="1"/>
  <c r="AF15" i="33"/>
  <c r="AF35" i="33" s="1"/>
  <c r="AF16" i="33"/>
  <c r="AF36" i="33" s="1"/>
  <c r="AF11" i="33"/>
  <c r="AF31" i="33" s="1"/>
  <c r="AF17" i="33"/>
  <c r="AF37" i="33" s="1"/>
  <c r="AF9" i="33"/>
  <c r="AF29" i="33" s="1"/>
  <c r="AF10" i="33"/>
  <c r="AF30" i="33" s="1"/>
  <c r="AF12" i="33"/>
  <c r="AF32" i="33" s="1"/>
  <c r="T31" i="19"/>
  <c r="ES42" i="50"/>
  <c r="EY42" i="50"/>
  <c r="EM42" i="50"/>
  <c r="A41" i="51"/>
  <c r="DI42" i="50"/>
  <c r="A74" i="17"/>
  <c r="AD42" i="33"/>
  <c r="AD46" i="33"/>
  <c r="AD45" i="33"/>
  <c r="AD44" i="33"/>
  <c r="AD47" i="33"/>
  <c r="AD49" i="33"/>
  <c r="AD43" i="33"/>
  <c r="AD48" i="33"/>
  <c r="K21" i="50"/>
  <c r="J43" i="50"/>
  <c r="CF20" i="50"/>
  <c r="AD19" i="51"/>
  <c r="AD51" i="33"/>
  <c r="AD66" i="33" s="1"/>
  <c r="CQ24" i="41"/>
  <c r="CQ12" i="41"/>
  <c r="CQ22" i="41"/>
  <c r="CQ25" i="41"/>
  <c r="CQ10" i="41"/>
  <c r="CQ9" i="41"/>
  <c r="CQ20" i="41"/>
  <c r="CQ4" i="41"/>
  <c r="CQ5" i="41"/>
  <c r="CQ14" i="41"/>
  <c r="CQ23" i="41"/>
  <c r="CQ26" i="41"/>
  <c r="CQ8" i="41"/>
  <c r="CQ7" i="41"/>
  <c r="CQ13" i="41"/>
  <c r="CQ3" i="41"/>
  <c r="CQ15" i="41"/>
  <c r="CQ27" i="41"/>
  <c r="CQ19" i="41"/>
  <c r="CQ21" i="41"/>
  <c r="CQ16" i="41"/>
  <c r="CQ6" i="41"/>
  <c r="CQ18" i="41"/>
  <c r="CQ17" i="41"/>
  <c r="U38" i="41"/>
  <c r="X11" i="41"/>
  <c r="W36" i="41"/>
  <c r="CR11" i="41" s="1"/>
  <c r="BL1" i="41"/>
  <c r="EF1" i="41"/>
  <c r="AR24" i="41"/>
  <c r="B51" i="24"/>
  <c r="AA50" i="24"/>
  <c r="AC81" i="33"/>
  <c r="AY8" i="41"/>
  <c r="AY12" i="41"/>
  <c r="AY5" i="41"/>
  <c r="AY3" i="41"/>
  <c r="AY26" i="41"/>
  <c r="AY14" i="41"/>
  <c r="AY6" i="41"/>
  <c r="AY25" i="41"/>
  <c r="AY19" i="41"/>
  <c r="AY18" i="41"/>
  <c r="AY10" i="41"/>
  <c r="AZ27" i="41"/>
  <c r="AY15" i="41"/>
  <c r="AY7" i="41"/>
  <c r="AY23" i="41"/>
  <c r="AY20" i="41"/>
  <c r="AY21" i="41"/>
  <c r="AY17" i="41"/>
  <c r="AY9" i="41"/>
  <c r="AY13" i="41"/>
  <c r="AY22" i="41"/>
  <c r="AY4" i="41"/>
  <c r="AY16" i="41"/>
  <c r="J19" i="17"/>
  <c r="AG2" i="33"/>
  <c r="BO2" i="37" s="1"/>
  <c r="F22" i="35"/>
  <c r="G22" i="35" s="1"/>
  <c r="C23" i="35" s="1"/>
  <c r="AY35" i="35"/>
  <c r="AZ35" i="35" s="1"/>
  <c r="AV36" i="35" s="1"/>
  <c r="AT36" i="35"/>
  <c r="AU36" i="35" s="1"/>
  <c r="AQ37" i="35" s="1"/>
  <c r="AO35" i="35"/>
  <c r="AP35" i="35" s="1"/>
  <c r="AL36" i="35" s="1"/>
  <c r="AJ35" i="35"/>
  <c r="AK35" i="35" s="1"/>
  <c r="AG36" i="35" s="1"/>
  <c r="AE35" i="35"/>
  <c r="AF35" i="35" s="1"/>
  <c r="AB36" i="35" s="1"/>
  <c r="Z35" i="35"/>
  <c r="AA35" i="35" s="1"/>
  <c r="W36" i="35" s="1"/>
  <c r="U35" i="35"/>
  <c r="V35" i="35" s="1"/>
  <c r="R36" i="35" s="1"/>
  <c r="P36" i="35"/>
  <c r="Q36" i="35" s="1"/>
  <c r="M37" i="35" s="1"/>
  <c r="K36" i="35"/>
  <c r="L36" i="35" s="1"/>
  <c r="H37" i="35" s="1"/>
  <c r="AE1" i="33"/>
  <c r="I19" i="17"/>
  <c r="A22" i="19"/>
  <c r="B22" i="19"/>
  <c r="C30" i="24" s="1"/>
  <c r="B21" i="52"/>
  <c r="B20" i="17"/>
  <c r="J20" i="17" s="1"/>
  <c r="BN47" i="37" l="1"/>
  <c r="EC33" i="37" s="1"/>
  <c r="BN37" i="37"/>
  <c r="DS33" i="37" s="1"/>
  <c r="BN49" i="37"/>
  <c r="EE33" i="37" s="1"/>
  <c r="BM58" i="37"/>
  <c r="AE68" i="33" s="1"/>
  <c r="BN55" i="37"/>
  <c r="EK33" i="37" s="1"/>
  <c r="BN46" i="37"/>
  <c r="EB33" i="37" s="1"/>
  <c r="BN43" i="37"/>
  <c r="DY33" i="37" s="1"/>
  <c r="BO31" i="37"/>
  <c r="BO33" i="37" s="1"/>
  <c r="BO11" i="37"/>
  <c r="BO40" i="37" s="1"/>
  <c r="DV34" i="37" s="1"/>
  <c r="BO7" i="37"/>
  <c r="BO36" i="37" s="1"/>
  <c r="BO27" i="37"/>
  <c r="BO56" i="37" s="1"/>
  <c r="EL34" i="37" s="1"/>
  <c r="BO15" i="37"/>
  <c r="BO44" i="37" s="1"/>
  <c r="DZ34" i="37" s="1"/>
  <c r="BO23" i="37"/>
  <c r="BO19" i="37"/>
  <c r="BO17" i="37"/>
  <c r="BO25" i="37"/>
  <c r="BO54" i="37" s="1"/>
  <c r="EJ34" i="37" s="1"/>
  <c r="BO12" i="37"/>
  <c r="BO13" i="37"/>
  <c r="BO14" i="37"/>
  <c r="BO20" i="37"/>
  <c r="BO26" i="37"/>
  <c r="BO55" i="37" s="1"/>
  <c r="EK34" i="37" s="1"/>
  <c r="BO28" i="37"/>
  <c r="BO57" i="37" s="1"/>
  <c r="EM34" i="37" s="1"/>
  <c r="BO5" i="37"/>
  <c r="BO21" i="37"/>
  <c r="BO50" i="37" s="1"/>
  <c r="EF34" i="37" s="1"/>
  <c r="BO6" i="37"/>
  <c r="BO4" i="37"/>
  <c r="BO16" i="37"/>
  <c r="BO9" i="37"/>
  <c r="BO8" i="37"/>
  <c r="BO22" i="37"/>
  <c r="BO10" i="37"/>
  <c r="BO18" i="37"/>
  <c r="BO47" i="37" s="1"/>
  <c r="EC34" i="37" s="1"/>
  <c r="BO24" i="37"/>
  <c r="BO53" i="37" s="1"/>
  <c r="EI34" i="37" s="1"/>
  <c r="BO3" i="37"/>
  <c r="BO32" i="37" s="1"/>
  <c r="DN34" i="37" s="1"/>
  <c r="AE50" i="33"/>
  <c r="AE65" i="33" s="1"/>
  <c r="AE81" i="33" s="1"/>
  <c r="AB332" i="5"/>
  <c r="Y333" i="5"/>
  <c r="N335" i="5"/>
  <c r="AL331" i="5"/>
  <c r="AK331" i="5"/>
  <c r="AM331" i="5" s="1"/>
  <c r="CJ30" i="5"/>
  <c r="CI30" i="5" s="1"/>
  <c r="CC29" i="5"/>
  <c r="CX100" i="5"/>
  <c r="CW101" i="5"/>
  <c r="DP33" i="37"/>
  <c r="DR33" i="37"/>
  <c r="DQ33" i="37"/>
  <c r="DO33" i="37"/>
  <c r="BO52" i="37"/>
  <c r="EH34" i="37" s="1"/>
  <c r="BO49" i="37"/>
  <c r="EE34" i="37" s="1"/>
  <c r="BO34" i="37"/>
  <c r="BN29" i="37"/>
  <c r="AF53" i="33" s="1"/>
  <c r="AC84" i="33"/>
  <c r="AC85" i="33" s="1"/>
  <c r="E29" i="31" s="1"/>
  <c r="P44" i="5"/>
  <c r="O44" i="5" s="1"/>
  <c r="M45" i="5" s="1"/>
  <c r="AM41" i="5"/>
  <c r="AJ42" i="5" s="1"/>
  <c r="AI42" i="5"/>
  <c r="AA44" i="5"/>
  <c r="Z44" i="5" s="1"/>
  <c r="AD63" i="33"/>
  <c r="AD79" i="33" s="1"/>
  <c r="AD58" i="33"/>
  <c r="AD74" i="33" s="1"/>
  <c r="AD64" i="33"/>
  <c r="AD80" i="33" s="1"/>
  <c r="F38" i="24"/>
  <c r="AD62" i="33"/>
  <c r="AD78" i="33" s="1"/>
  <c r="O30" i="19"/>
  <c r="AD59" i="33"/>
  <c r="AD75" i="33" s="1"/>
  <c r="AD60" i="33"/>
  <c r="AD76" i="33" s="1"/>
  <c r="AD61" i="33"/>
  <c r="AD77" i="33" s="1"/>
  <c r="AD57" i="33"/>
  <c r="AD73" i="33" s="1"/>
  <c r="O41" i="51"/>
  <c r="Q41" i="51"/>
  <c r="S41" i="51"/>
  <c r="U41" i="51"/>
  <c r="AG7" i="33"/>
  <c r="AG27" i="33" s="1"/>
  <c r="AG11" i="33"/>
  <c r="AG31" i="33" s="1"/>
  <c r="AG16" i="33"/>
  <c r="AG36" i="33" s="1"/>
  <c r="AG19" i="33"/>
  <c r="AG8" i="33"/>
  <c r="AG28" i="33" s="1"/>
  <c r="AG18" i="33"/>
  <c r="AG38" i="33" s="1"/>
  <c r="AG13" i="33"/>
  <c r="AG33" i="33" s="1"/>
  <c r="AG15" i="33"/>
  <c r="AG35" i="33" s="1"/>
  <c r="AG17" i="33"/>
  <c r="AG37" i="33" s="1"/>
  <c r="AG9" i="33"/>
  <c r="AG29" i="33" s="1"/>
  <c r="AG20" i="33"/>
  <c r="AG12" i="33"/>
  <c r="AG32" i="33" s="1"/>
  <c r="AG10" i="33"/>
  <c r="AG30" i="33" s="1"/>
  <c r="T32" i="19"/>
  <c r="EY43" i="50"/>
  <c r="ES43" i="50"/>
  <c r="EM43" i="50"/>
  <c r="A42" i="51"/>
  <c r="DI43" i="50"/>
  <c r="A75" i="17"/>
  <c r="AE43" i="33"/>
  <c r="AE47" i="33"/>
  <c r="AE42" i="33"/>
  <c r="AE46" i="33"/>
  <c r="AE44" i="33"/>
  <c r="AE48" i="33"/>
  <c r="AE49" i="33"/>
  <c r="AE45" i="33"/>
  <c r="J44" i="50"/>
  <c r="A43" i="52"/>
  <c r="K22" i="50"/>
  <c r="CF21" i="50"/>
  <c r="AD20" i="51"/>
  <c r="AE51" i="33"/>
  <c r="AE66" i="33" s="1"/>
  <c r="CR24" i="41"/>
  <c r="CR6" i="41"/>
  <c r="CR8" i="41"/>
  <c r="CR4" i="41"/>
  <c r="CR9" i="41"/>
  <c r="CR20" i="41"/>
  <c r="CR23" i="41"/>
  <c r="CR10" i="41"/>
  <c r="CR14" i="41"/>
  <c r="CR19" i="41"/>
  <c r="CR26" i="41"/>
  <c r="CR15" i="41"/>
  <c r="CR25" i="41"/>
  <c r="CR27" i="41"/>
  <c r="CR18" i="41"/>
  <c r="CR21" i="41"/>
  <c r="CR22" i="41"/>
  <c r="CR5" i="41"/>
  <c r="CR12" i="41"/>
  <c r="CR17" i="41"/>
  <c r="CR13" i="41"/>
  <c r="CR7" i="41"/>
  <c r="CR16" i="41"/>
  <c r="CR3" i="41"/>
  <c r="Y11" i="41"/>
  <c r="X36" i="41"/>
  <c r="CS11" i="41" s="1"/>
  <c r="V38" i="41"/>
  <c r="BM1" i="41"/>
  <c r="EG1" i="41"/>
  <c r="AS24" i="41"/>
  <c r="B52" i="24"/>
  <c r="A44" i="52" s="1"/>
  <c r="AA51" i="24"/>
  <c r="AD81" i="33"/>
  <c r="AZ16" i="41"/>
  <c r="AZ4" i="41"/>
  <c r="AZ22" i="41"/>
  <c r="AZ13" i="41"/>
  <c r="AZ9" i="41"/>
  <c r="AZ17" i="41"/>
  <c r="AZ21" i="41"/>
  <c r="AZ20" i="41"/>
  <c r="AZ23" i="41"/>
  <c r="AZ7" i="41"/>
  <c r="AZ15" i="41"/>
  <c r="BA27" i="41"/>
  <c r="AZ10" i="41"/>
  <c r="AZ18" i="41"/>
  <c r="AZ19" i="41"/>
  <c r="AZ25" i="41"/>
  <c r="AZ6" i="41"/>
  <c r="AZ14" i="41"/>
  <c r="AZ26" i="41"/>
  <c r="AZ3" i="41"/>
  <c r="AZ5" i="41"/>
  <c r="AZ12" i="41"/>
  <c r="AZ8" i="41"/>
  <c r="I20" i="17"/>
  <c r="AH2" i="33"/>
  <c r="BP2" i="37" s="1"/>
  <c r="F23" i="35"/>
  <c r="G23" i="35" s="1"/>
  <c r="C24" i="35" s="1"/>
  <c r="AY36" i="35"/>
  <c r="AZ36" i="35" s="1"/>
  <c r="AV37" i="35" s="1"/>
  <c r="AT37" i="35"/>
  <c r="AU37" i="35" s="1"/>
  <c r="AQ38" i="35" s="1"/>
  <c r="AO36" i="35"/>
  <c r="AP36" i="35" s="1"/>
  <c r="AL37" i="35" s="1"/>
  <c r="AJ36" i="35"/>
  <c r="AK36" i="35" s="1"/>
  <c r="AG37" i="35" s="1"/>
  <c r="AE36" i="35"/>
  <c r="AF36" i="35" s="1"/>
  <c r="AB37" i="35" s="1"/>
  <c r="Z36" i="35"/>
  <c r="AA36" i="35" s="1"/>
  <c r="W37" i="35" s="1"/>
  <c r="U36" i="35"/>
  <c r="V36" i="35" s="1"/>
  <c r="R37" i="35" s="1"/>
  <c r="P37" i="35"/>
  <c r="Q37" i="35" s="1"/>
  <c r="M38" i="35" s="1"/>
  <c r="K37" i="35"/>
  <c r="L37" i="35" s="1"/>
  <c r="H38" i="35" s="1"/>
  <c r="AF1" i="33"/>
  <c r="A23" i="19"/>
  <c r="B23" i="19"/>
  <c r="C31" i="24" s="1"/>
  <c r="B21" i="17"/>
  <c r="B22" i="52"/>
  <c r="BO43" i="37" l="1"/>
  <c r="DY34" i="37" s="1"/>
  <c r="BO42" i="37"/>
  <c r="DX34" i="37" s="1"/>
  <c r="BO37" i="37"/>
  <c r="DS34" i="37" s="1"/>
  <c r="BO39" i="37"/>
  <c r="DU34" i="37" s="1"/>
  <c r="BO51" i="37"/>
  <c r="EG34" i="37" s="1"/>
  <c r="BO41" i="37"/>
  <c r="DW34" i="37" s="1"/>
  <c r="BO38" i="37"/>
  <c r="DT34" i="37" s="1"/>
  <c r="BO45" i="37"/>
  <c r="EA34" i="37" s="1"/>
  <c r="BO46" i="37"/>
  <c r="EB34" i="37" s="1"/>
  <c r="BO48" i="37"/>
  <c r="ED34" i="37" s="1"/>
  <c r="BN58" i="37"/>
  <c r="AF68" i="33" s="1"/>
  <c r="BO35" i="37"/>
  <c r="BO58" i="37" s="1"/>
  <c r="AG68" i="33" s="1"/>
  <c r="BP31" i="37"/>
  <c r="BP15" i="37"/>
  <c r="BP5" i="37"/>
  <c r="BP20" i="37"/>
  <c r="BP49" i="37" s="1"/>
  <c r="EE35" i="37" s="1"/>
  <c r="BP7" i="37"/>
  <c r="BP36" i="37" s="1"/>
  <c r="BP11" i="37"/>
  <c r="BP40" i="37" s="1"/>
  <c r="DV35" i="37" s="1"/>
  <c r="BP27" i="37"/>
  <c r="BP21" i="37"/>
  <c r="BP50" i="37" s="1"/>
  <c r="EF35" i="37" s="1"/>
  <c r="BP17" i="37"/>
  <c r="BP46" i="37" s="1"/>
  <c r="EB35" i="37" s="1"/>
  <c r="BP25" i="37"/>
  <c r="BP54" i="37" s="1"/>
  <c r="EJ35" i="37" s="1"/>
  <c r="BP12" i="37"/>
  <c r="BP41" i="37" s="1"/>
  <c r="DW35" i="37" s="1"/>
  <c r="BP13" i="37"/>
  <c r="BP42" i="37" s="1"/>
  <c r="DX35" i="37" s="1"/>
  <c r="BP14" i="37"/>
  <c r="BP19" i="37"/>
  <c r="BP26" i="37"/>
  <c r="BP23" i="37"/>
  <c r="BP52" i="37" s="1"/>
  <c r="EH35" i="37" s="1"/>
  <c r="BP28" i="37"/>
  <c r="BP6" i="37"/>
  <c r="BP4" i="37"/>
  <c r="BP16" i="37"/>
  <c r="BP18" i="37"/>
  <c r="BP47" i="37" s="1"/>
  <c r="EC35" i="37" s="1"/>
  <c r="BP24" i="37"/>
  <c r="BP53" i="37" s="1"/>
  <c r="EI35" i="37" s="1"/>
  <c r="BP9" i="37"/>
  <c r="BP8" i="37"/>
  <c r="BP37" i="37" s="1"/>
  <c r="DS35" i="37" s="1"/>
  <c r="BP22" i="37"/>
  <c r="BP10" i="37"/>
  <c r="BP3" i="37"/>
  <c r="AF50" i="33"/>
  <c r="AF65" i="33" s="1"/>
  <c r="AJ332" i="5"/>
  <c r="P335" i="5"/>
  <c r="O335" i="5"/>
  <c r="Q335" i="5" s="1"/>
  <c r="N336" i="5"/>
  <c r="AA333" i="5"/>
  <c r="Z333" i="5"/>
  <c r="AB333" i="5" s="1"/>
  <c r="CK30" i="5"/>
  <c r="CG31" i="5"/>
  <c r="CH31" i="5" s="1"/>
  <c r="BW29" i="5"/>
  <c r="BV29" i="5" s="1"/>
  <c r="BX29" i="5" s="1"/>
  <c r="CX101" i="5"/>
  <c r="CW102" i="5"/>
  <c r="DO34" i="37"/>
  <c r="DR34" i="37"/>
  <c r="DP34" i="37"/>
  <c r="BO29" i="37"/>
  <c r="AG53" i="33" s="1"/>
  <c r="BP45" i="37"/>
  <c r="EA35" i="37" s="1"/>
  <c r="BP33" i="37"/>
  <c r="BP38" i="37"/>
  <c r="DT35" i="37" s="1"/>
  <c r="BP44" i="37"/>
  <c r="DZ35" i="37" s="1"/>
  <c r="BP55" i="37"/>
  <c r="EK35" i="37" s="1"/>
  <c r="BP32" i="37"/>
  <c r="DN35" i="37" s="1"/>
  <c r="BP34" i="37"/>
  <c r="BP48" i="37"/>
  <c r="ED35" i="37" s="1"/>
  <c r="BP56" i="37"/>
  <c r="EL35" i="37" s="1"/>
  <c r="BP51" i="37"/>
  <c r="EG35" i="37" s="1"/>
  <c r="BP35" i="37"/>
  <c r="BP57" i="37"/>
  <c r="EM35" i="37" s="1"/>
  <c r="BP43" i="37"/>
  <c r="DY35" i="37" s="1"/>
  <c r="BP39" i="37"/>
  <c r="DU35" i="37" s="1"/>
  <c r="AD84" i="33"/>
  <c r="AD85" i="33" s="1"/>
  <c r="E30" i="31" s="1"/>
  <c r="AL42" i="5"/>
  <c r="AK42" i="5" s="1"/>
  <c r="X45" i="5"/>
  <c r="AB44" i="5"/>
  <c r="Y45" i="5" s="1"/>
  <c r="Q44" i="5"/>
  <c r="N45" i="5" s="1"/>
  <c r="U42" i="51"/>
  <c r="Q42" i="51"/>
  <c r="S42" i="51"/>
  <c r="O42" i="51"/>
  <c r="AE60" i="33"/>
  <c r="AE76" i="33" s="1"/>
  <c r="AE64" i="33"/>
  <c r="AE80" i="33" s="1"/>
  <c r="AE63" i="33"/>
  <c r="AE79" i="33" s="1"/>
  <c r="AE59" i="33"/>
  <c r="AE75" i="33" s="1"/>
  <c r="AE61" i="33"/>
  <c r="AE77" i="33" s="1"/>
  <c r="AE57" i="33"/>
  <c r="AE73" i="33" s="1"/>
  <c r="AE62" i="33"/>
  <c r="AE78" i="33" s="1"/>
  <c r="AE58" i="33"/>
  <c r="AE74" i="33" s="1"/>
  <c r="F39" i="24"/>
  <c r="O31" i="19"/>
  <c r="AH7" i="33"/>
  <c r="AH27" i="33" s="1"/>
  <c r="AH11" i="33"/>
  <c r="AH31" i="33" s="1"/>
  <c r="AH16" i="33"/>
  <c r="AH36" i="33" s="1"/>
  <c r="AH10" i="33"/>
  <c r="AH30" i="33" s="1"/>
  <c r="AH15" i="33"/>
  <c r="AH35" i="33" s="1"/>
  <c r="AH17" i="33"/>
  <c r="AH37" i="33" s="1"/>
  <c r="AH19" i="33"/>
  <c r="AH8" i="33"/>
  <c r="AH28" i="33" s="1"/>
  <c r="AH9" i="33"/>
  <c r="AH29" i="33" s="1"/>
  <c r="AH18" i="33"/>
  <c r="AH38" i="33" s="1"/>
  <c r="AH20" i="33"/>
  <c r="AH12" i="33"/>
  <c r="AH32" i="33" s="1"/>
  <c r="AH13" i="33"/>
  <c r="AH33" i="33" s="1"/>
  <c r="T33" i="19"/>
  <c r="ES44" i="50"/>
  <c r="EM44" i="50"/>
  <c r="EY44" i="50"/>
  <c r="A43" i="51"/>
  <c r="DI44" i="50"/>
  <c r="A76" i="17"/>
  <c r="AF43" i="33"/>
  <c r="AF47" i="33"/>
  <c r="AF42" i="33"/>
  <c r="AF46" i="33"/>
  <c r="AF45" i="33"/>
  <c r="AF48" i="33"/>
  <c r="AF44" i="33"/>
  <c r="AF49" i="33"/>
  <c r="CF22" i="50"/>
  <c r="AD21" i="51"/>
  <c r="K23" i="50"/>
  <c r="J45" i="50"/>
  <c r="AF51" i="33"/>
  <c r="AF66" i="33" s="1"/>
  <c r="CS24" i="41"/>
  <c r="CS16" i="41"/>
  <c r="CS7" i="41"/>
  <c r="CS15" i="41"/>
  <c r="CS17" i="41"/>
  <c r="CS22" i="41"/>
  <c r="CS19" i="41"/>
  <c r="CS4" i="41"/>
  <c r="CS8" i="41"/>
  <c r="CS3" i="41"/>
  <c r="CS18" i="41"/>
  <c r="CS25" i="41"/>
  <c r="CS13" i="41"/>
  <c r="CS26" i="41"/>
  <c r="CS10" i="41"/>
  <c r="CS5" i="41"/>
  <c r="CS14" i="41"/>
  <c r="CS20" i="41"/>
  <c r="CS9" i="41"/>
  <c r="CS27" i="41"/>
  <c r="CS6" i="41"/>
  <c r="CS21" i="41"/>
  <c r="CS12" i="41"/>
  <c r="CS23" i="41"/>
  <c r="Z11" i="41"/>
  <c r="Y36" i="41"/>
  <c r="CT11" i="41" s="1"/>
  <c r="W38" i="41"/>
  <c r="AF81" i="33"/>
  <c r="BN1" i="41"/>
  <c r="EH1" i="41"/>
  <c r="AT24" i="41"/>
  <c r="B53" i="24"/>
  <c r="A45" i="52" s="1"/>
  <c r="AA52" i="24"/>
  <c r="BA8" i="41"/>
  <c r="BA12" i="41"/>
  <c r="BA5" i="41"/>
  <c r="BA3" i="41"/>
  <c r="BA26" i="41"/>
  <c r="BA14" i="41"/>
  <c r="BA6" i="41"/>
  <c r="BA25" i="41"/>
  <c r="BA19" i="41"/>
  <c r="BA18" i="41"/>
  <c r="BA10" i="41"/>
  <c r="BB27" i="41"/>
  <c r="BA15" i="41"/>
  <c r="BA7" i="41"/>
  <c r="BA23" i="41"/>
  <c r="BA20" i="41"/>
  <c r="BA21" i="41"/>
  <c r="BA17" i="41"/>
  <c r="BA9" i="41"/>
  <c r="BA13" i="41"/>
  <c r="BA22" i="41"/>
  <c r="BA4" i="41"/>
  <c r="BA16" i="41"/>
  <c r="AI2" i="33"/>
  <c r="BQ2" i="37" s="1"/>
  <c r="I21" i="17"/>
  <c r="F24" i="35"/>
  <c r="G24" i="35" s="1"/>
  <c r="C25" i="35" s="1"/>
  <c r="F25" i="35" s="1"/>
  <c r="G25" i="35" s="1"/>
  <c r="C26" i="35" s="1"/>
  <c r="AY37" i="35"/>
  <c r="AZ37" i="35" s="1"/>
  <c r="AV38" i="35" s="1"/>
  <c r="AT38" i="35"/>
  <c r="AU38" i="35" s="1"/>
  <c r="AQ39" i="35" s="1"/>
  <c r="AO37" i="35"/>
  <c r="AP37" i="35" s="1"/>
  <c r="AL38" i="35" s="1"/>
  <c r="AJ37" i="35"/>
  <c r="AK37" i="35" s="1"/>
  <c r="AG38" i="35" s="1"/>
  <c r="AE37" i="35"/>
  <c r="AF37" i="35" s="1"/>
  <c r="AB38" i="35" s="1"/>
  <c r="Z37" i="35"/>
  <c r="AA37" i="35" s="1"/>
  <c r="W38" i="35" s="1"/>
  <c r="U37" i="35"/>
  <c r="V37" i="35" s="1"/>
  <c r="R38" i="35" s="1"/>
  <c r="P38" i="35"/>
  <c r="Q38" i="35" s="1"/>
  <c r="M39" i="35" s="1"/>
  <c r="K38" i="35"/>
  <c r="L38" i="35" s="1"/>
  <c r="H39" i="35" s="1"/>
  <c r="AG1" i="33"/>
  <c r="A24" i="19"/>
  <c r="J21" i="17"/>
  <c r="B24" i="19"/>
  <c r="C32" i="24" s="1"/>
  <c r="B23" i="52"/>
  <c r="B22" i="17"/>
  <c r="DQ34" i="37" l="1"/>
  <c r="BQ31" i="37"/>
  <c r="BQ6" i="37"/>
  <c r="BQ10" i="37"/>
  <c r="BQ39" i="37" s="1"/>
  <c r="DU36" i="37" s="1"/>
  <c r="BQ14" i="37"/>
  <c r="BQ43" i="37" s="1"/>
  <c r="DY36" i="37" s="1"/>
  <c r="BQ8" i="37"/>
  <c r="BQ18" i="37"/>
  <c r="BQ47" i="37" s="1"/>
  <c r="EC36" i="37" s="1"/>
  <c r="BQ22" i="37"/>
  <c r="BQ51" i="37" s="1"/>
  <c r="EG36" i="37" s="1"/>
  <c r="BQ26" i="37"/>
  <c r="BQ55" i="37" s="1"/>
  <c r="EK36" i="37" s="1"/>
  <c r="BQ24" i="37"/>
  <c r="BQ53" i="37" s="1"/>
  <c r="EI36" i="37" s="1"/>
  <c r="BQ5" i="37"/>
  <c r="BQ20" i="37"/>
  <c r="BQ49" i="37" s="1"/>
  <c r="EE36" i="37" s="1"/>
  <c r="BQ7" i="37"/>
  <c r="BQ36" i="37" s="1"/>
  <c r="BQ11" i="37"/>
  <c r="BQ15" i="37"/>
  <c r="BQ44" i="37" s="1"/>
  <c r="DZ36" i="37" s="1"/>
  <c r="BQ16" i="37"/>
  <c r="BQ45" i="37" s="1"/>
  <c r="EA36" i="37" s="1"/>
  <c r="BQ21" i="37"/>
  <c r="BQ50" i="37" s="1"/>
  <c r="EF36" i="37" s="1"/>
  <c r="BQ17" i="37"/>
  <c r="BQ25" i="37"/>
  <c r="BQ54" i="37" s="1"/>
  <c r="EJ36" i="37" s="1"/>
  <c r="BQ9" i="37"/>
  <c r="BQ38" i="37" s="1"/>
  <c r="DT36" i="37" s="1"/>
  <c r="BQ19" i="37"/>
  <c r="BQ48" i="37" s="1"/>
  <c r="ED36" i="37" s="1"/>
  <c r="BQ23" i="37"/>
  <c r="BQ52" i="37" s="1"/>
  <c r="EH36" i="37" s="1"/>
  <c r="BQ28" i="37"/>
  <c r="BQ57" i="37" s="1"/>
  <c r="EM36" i="37" s="1"/>
  <c r="BQ27" i="37"/>
  <c r="BQ56" i="37" s="1"/>
  <c r="EL36" i="37" s="1"/>
  <c r="BQ12" i="37"/>
  <c r="BQ4" i="37"/>
  <c r="BQ13" i="37"/>
  <c r="BQ3" i="37"/>
  <c r="BQ32" i="37" s="1"/>
  <c r="DN36" i="37" s="1"/>
  <c r="AG50" i="33"/>
  <c r="AG65" i="33" s="1"/>
  <c r="P336" i="5"/>
  <c r="O336" i="5" s="1"/>
  <c r="AL332" i="5"/>
  <c r="AK332" i="5" s="1"/>
  <c r="Y334" i="5"/>
  <c r="CP31" i="5"/>
  <c r="BT30" i="5"/>
  <c r="BU30" i="5" s="1"/>
  <c r="CX102" i="5"/>
  <c r="CW103" i="5"/>
  <c r="DO35" i="37"/>
  <c r="DR35" i="37"/>
  <c r="DQ35" i="37"/>
  <c r="DP35" i="37"/>
  <c r="BP58" i="37"/>
  <c r="AH68" i="33" s="1"/>
  <c r="BQ40" i="37"/>
  <c r="DV36" i="37" s="1"/>
  <c r="BQ46" i="37"/>
  <c r="EB36" i="37" s="1"/>
  <c r="BQ37" i="37"/>
  <c r="DS36" i="37" s="1"/>
  <c r="BQ34" i="37"/>
  <c r="BQ35" i="37"/>
  <c r="BQ33" i="37"/>
  <c r="BQ42" i="37"/>
  <c r="DX36" i="37" s="1"/>
  <c r="BQ41" i="37"/>
  <c r="DW36" i="37" s="1"/>
  <c r="BP29" i="37"/>
  <c r="AH53" i="33" s="1"/>
  <c r="O32" i="19"/>
  <c r="AE84" i="33"/>
  <c r="AE85" i="33" s="1"/>
  <c r="E31" i="31" s="1"/>
  <c r="P45" i="5"/>
  <c r="O45" i="5" s="1"/>
  <c r="Q45" i="5" s="1"/>
  <c r="AM42" i="5"/>
  <c r="AJ43" i="5" s="1"/>
  <c r="AI43" i="5"/>
  <c r="F40" i="24"/>
  <c r="AA45" i="5"/>
  <c r="Z45" i="5" s="1"/>
  <c r="AF64" i="33"/>
  <c r="AF80" i="33" s="1"/>
  <c r="AF59" i="33"/>
  <c r="AF75" i="33" s="1"/>
  <c r="AF63" i="33"/>
  <c r="AF79" i="33" s="1"/>
  <c r="AF60" i="33"/>
  <c r="AF76" i="33" s="1"/>
  <c r="AF61" i="33"/>
  <c r="AF77" i="33" s="1"/>
  <c r="AF57" i="33"/>
  <c r="AF73" i="33" s="1"/>
  <c r="AF62" i="33"/>
  <c r="AF78" i="33" s="1"/>
  <c r="AF58" i="33"/>
  <c r="AF74" i="33" s="1"/>
  <c r="O43" i="51"/>
  <c r="Q43" i="51"/>
  <c r="S43" i="51"/>
  <c r="U43" i="51"/>
  <c r="AI7" i="33"/>
  <c r="AI27" i="33" s="1"/>
  <c r="AI16" i="33"/>
  <c r="AI36" i="33" s="1"/>
  <c r="AI20" i="33"/>
  <c r="AI17" i="33"/>
  <c r="AI37" i="33" s="1"/>
  <c r="AI19" i="33"/>
  <c r="AI18" i="33"/>
  <c r="AI38" i="33" s="1"/>
  <c r="AI9" i="33"/>
  <c r="AI29" i="33" s="1"/>
  <c r="AI8" i="33"/>
  <c r="AI28" i="33" s="1"/>
  <c r="AI13" i="33"/>
  <c r="AI33" i="33" s="1"/>
  <c r="AI12" i="33"/>
  <c r="AI32" i="33" s="1"/>
  <c r="AI11" i="33"/>
  <c r="AI31" i="33" s="1"/>
  <c r="AI15" i="33"/>
  <c r="AI35" i="33" s="1"/>
  <c r="AI10" i="33"/>
  <c r="AI30" i="33" s="1"/>
  <c r="T34" i="19"/>
  <c r="EM45" i="50"/>
  <c r="ES45" i="50"/>
  <c r="EY45" i="50"/>
  <c r="A44" i="51"/>
  <c r="DI45" i="50"/>
  <c r="A77" i="17"/>
  <c r="AG42" i="33"/>
  <c r="AG43" i="33"/>
  <c r="AG47" i="33"/>
  <c r="AG46" i="33"/>
  <c r="AG45" i="33"/>
  <c r="AG49" i="33"/>
  <c r="AG48" i="33"/>
  <c r="AG44" i="33"/>
  <c r="CF23" i="50"/>
  <c r="AD22" i="51"/>
  <c r="J46" i="50"/>
  <c r="K24" i="50"/>
  <c r="AG51" i="33"/>
  <c r="AG66" i="33" s="1"/>
  <c r="CT24" i="41"/>
  <c r="CT20" i="41"/>
  <c r="CT9" i="41"/>
  <c r="CT18" i="41"/>
  <c r="CT6" i="41"/>
  <c r="CT13" i="41"/>
  <c r="CT27" i="41"/>
  <c r="CT10" i="41"/>
  <c r="CT16" i="41"/>
  <c r="CT7" i="41"/>
  <c r="CT19" i="41"/>
  <c r="CT5" i="41"/>
  <c r="CT8" i="41"/>
  <c r="CT26" i="41"/>
  <c r="CT25" i="41"/>
  <c r="CT12" i="41"/>
  <c r="CT23" i="41"/>
  <c r="CT3" i="41"/>
  <c r="CT14" i="41"/>
  <c r="CT4" i="41"/>
  <c r="CT22" i="41"/>
  <c r="CT17" i="41"/>
  <c r="CT15" i="41"/>
  <c r="CT21" i="41"/>
  <c r="AA11" i="41"/>
  <c r="Z36" i="41"/>
  <c r="CU11" i="41" s="1"/>
  <c r="X38" i="41"/>
  <c r="AG81" i="33"/>
  <c r="BO1" i="41"/>
  <c r="EI1" i="41"/>
  <c r="AU24" i="41"/>
  <c r="B54" i="24"/>
  <c r="AA53" i="24"/>
  <c r="BB16" i="41"/>
  <c r="BB4" i="41"/>
  <c r="BB22" i="41"/>
  <c r="BB13" i="41"/>
  <c r="BB9" i="41"/>
  <c r="BB17" i="41"/>
  <c r="BB21" i="41"/>
  <c r="BB20" i="41"/>
  <c r="BB23" i="41"/>
  <c r="BB7" i="41"/>
  <c r="BB15" i="41"/>
  <c r="BC27" i="41"/>
  <c r="BB10" i="41"/>
  <c r="BB18" i="41"/>
  <c r="BB19" i="41"/>
  <c r="BB25" i="41"/>
  <c r="BB6" i="41"/>
  <c r="BB14" i="41"/>
  <c r="BB26" i="41"/>
  <c r="BB3" i="41"/>
  <c r="BB5" i="41"/>
  <c r="BB12" i="41"/>
  <c r="BB8" i="41"/>
  <c r="I22" i="17"/>
  <c r="AJ2" i="33"/>
  <c r="BR2" i="37" s="1"/>
  <c r="F26" i="35"/>
  <c r="G26" i="35" s="1"/>
  <c r="C27" i="35" s="1"/>
  <c r="F27" i="35" s="1"/>
  <c r="G27" i="35" s="1"/>
  <c r="C28" i="35" s="1"/>
  <c r="AY38" i="35"/>
  <c r="AZ38" i="35" s="1"/>
  <c r="AV39" i="35" s="1"/>
  <c r="AT39" i="35"/>
  <c r="AU39" i="35" s="1"/>
  <c r="AQ40" i="35" s="1"/>
  <c r="AO38" i="35"/>
  <c r="AP38" i="35" s="1"/>
  <c r="AL39" i="35" s="1"/>
  <c r="AJ38" i="35"/>
  <c r="AK38" i="35" s="1"/>
  <c r="AG39" i="35" s="1"/>
  <c r="AE38" i="35"/>
  <c r="AF38" i="35" s="1"/>
  <c r="AB39" i="35" s="1"/>
  <c r="Z38" i="35"/>
  <c r="AA38" i="35" s="1"/>
  <c r="W39" i="35" s="1"/>
  <c r="U38" i="35"/>
  <c r="V38" i="35" s="1"/>
  <c r="R39" i="35" s="1"/>
  <c r="P39" i="35"/>
  <c r="Q39" i="35" s="1"/>
  <c r="M40" i="35" s="1"/>
  <c r="K39" i="35"/>
  <c r="L39" i="35" s="1"/>
  <c r="H40" i="35" s="1"/>
  <c r="AH1" i="33"/>
  <c r="J22" i="17"/>
  <c r="A25" i="19"/>
  <c r="B25" i="19"/>
  <c r="C33" i="24" s="1"/>
  <c r="B23" i="17"/>
  <c r="B24" i="52"/>
  <c r="I23" i="17"/>
  <c r="BR31" i="37" l="1"/>
  <c r="BR12" i="37"/>
  <c r="BR6" i="37"/>
  <c r="BR10" i="37"/>
  <c r="BR39" i="37" s="1"/>
  <c r="DU37" i="37" s="1"/>
  <c r="BR14" i="37"/>
  <c r="BR17" i="37"/>
  <c r="BR28" i="37"/>
  <c r="BR24" i="37"/>
  <c r="BR53" i="37" s="1"/>
  <c r="EI37" i="37" s="1"/>
  <c r="BR5" i="37"/>
  <c r="BR34" i="37" s="1"/>
  <c r="BR15" i="37"/>
  <c r="BR44" i="37" s="1"/>
  <c r="DZ37" i="37" s="1"/>
  <c r="BR16" i="37"/>
  <c r="BR45" i="37" s="1"/>
  <c r="EA37" i="37" s="1"/>
  <c r="BR21" i="37"/>
  <c r="BR50" i="37" s="1"/>
  <c r="EF37" i="37" s="1"/>
  <c r="BR8" i="37"/>
  <c r="BR37" i="37" s="1"/>
  <c r="DS37" i="37" s="1"/>
  <c r="BR7" i="37"/>
  <c r="BR9" i="37"/>
  <c r="BR38" i="37" s="1"/>
  <c r="DT37" i="37" s="1"/>
  <c r="BR19" i="37"/>
  <c r="BR48" i="37" s="1"/>
  <c r="ED37" i="37" s="1"/>
  <c r="BR26" i="37"/>
  <c r="BR23" i="37"/>
  <c r="BR20" i="37"/>
  <c r="BR49" i="37" s="1"/>
  <c r="EE37" i="37" s="1"/>
  <c r="BR25" i="37"/>
  <c r="BR54" i="37" s="1"/>
  <c r="EJ37" i="37" s="1"/>
  <c r="BR13" i="37"/>
  <c r="BR42" i="37" s="1"/>
  <c r="DX37" i="37" s="1"/>
  <c r="BR18" i="37"/>
  <c r="BR11" i="37"/>
  <c r="BR27" i="37"/>
  <c r="BR56" i="37" s="1"/>
  <c r="EL37" i="37" s="1"/>
  <c r="BR22" i="37"/>
  <c r="BR51" i="37" s="1"/>
  <c r="EG37" i="37" s="1"/>
  <c r="BR4" i="37"/>
  <c r="BR3" i="37"/>
  <c r="AH50" i="33"/>
  <c r="AH65" i="33" s="1"/>
  <c r="Q336" i="5"/>
  <c r="N337" i="5" s="1"/>
  <c r="AM332" i="5"/>
  <c r="AJ333" i="5" s="1"/>
  <c r="AA334" i="5"/>
  <c r="Z334" i="5" s="1"/>
  <c r="CJ31" i="5"/>
  <c r="CI31" i="5" s="1"/>
  <c r="CK31" i="5" s="1"/>
  <c r="CC30" i="5"/>
  <c r="CX103" i="5"/>
  <c r="CW104" i="5"/>
  <c r="DQ36" i="37"/>
  <c r="DP36" i="37"/>
  <c r="DO36" i="37"/>
  <c r="DR36" i="37"/>
  <c r="BQ58" i="37"/>
  <c r="AI68" i="33" s="1"/>
  <c r="BQ29" i="37"/>
  <c r="AI53" i="33" s="1"/>
  <c r="AF84" i="33"/>
  <c r="AF85" i="33" s="1"/>
  <c r="E32" i="31" s="1"/>
  <c r="AL43" i="5"/>
  <c r="AK43" i="5" s="1"/>
  <c r="AB45" i="5"/>
  <c r="Y46" i="5" s="1"/>
  <c r="X46" i="5"/>
  <c r="N46" i="5"/>
  <c r="M46" i="5"/>
  <c r="Q44" i="51"/>
  <c r="S44" i="51"/>
  <c r="U44" i="51"/>
  <c r="O44" i="51"/>
  <c r="AG59" i="33"/>
  <c r="AG75" i="33" s="1"/>
  <c r="AG63" i="33"/>
  <c r="AG79" i="33" s="1"/>
  <c r="AG64" i="33"/>
  <c r="AG80" i="33" s="1"/>
  <c r="AG60" i="33"/>
  <c r="AG76" i="33" s="1"/>
  <c r="AG61" i="33"/>
  <c r="AG77" i="33" s="1"/>
  <c r="AG62" i="33"/>
  <c r="AG78" i="33" s="1"/>
  <c r="AG58" i="33"/>
  <c r="AG74" i="33" s="1"/>
  <c r="AG57" i="33"/>
  <c r="AG73" i="33" s="1"/>
  <c r="AJ8" i="33"/>
  <c r="AJ28" i="33" s="1"/>
  <c r="AJ12" i="33"/>
  <c r="AJ32" i="33" s="1"/>
  <c r="AJ17" i="33"/>
  <c r="AJ37" i="33" s="1"/>
  <c r="AJ7" i="33"/>
  <c r="AJ27" i="33" s="1"/>
  <c r="AJ9" i="33"/>
  <c r="AJ29" i="33" s="1"/>
  <c r="AJ13" i="33"/>
  <c r="AJ33" i="33" s="1"/>
  <c r="AJ15" i="33"/>
  <c r="AJ35" i="33" s="1"/>
  <c r="AJ16" i="33"/>
  <c r="AJ36" i="33" s="1"/>
  <c r="AJ20" i="33"/>
  <c r="AJ18" i="33"/>
  <c r="AJ38" i="33" s="1"/>
  <c r="AJ11" i="33"/>
  <c r="AJ31" i="33" s="1"/>
  <c r="AJ19" i="33"/>
  <c r="AJ10" i="33"/>
  <c r="AJ30" i="33" s="1"/>
  <c r="F41" i="24"/>
  <c r="O33" i="19"/>
  <c r="T35" i="19"/>
  <c r="ES46" i="50"/>
  <c r="EM46" i="50"/>
  <c r="EY46" i="50"/>
  <c r="A45" i="51"/>
  <c r="DI46" i="50"/>
  <c r="A78" i="17"/>
  <c r="AH44" i="33"/>
  <c r="AH48" i="33"/>
  <c r="AH43" i="33"/>
  <c r="AH47" i="33"/>
  <c r="AH45" i="33"/>
  <c r="AH49" i="33"/>
  <c r="AH42" i="33"/>
  <c r="AH46" i="33"/>
  <c r="J47" i="50"/>
  <c r="A46" i="52"/>
  <c r="K25" i="50"/>
  <c r="CF24" i="50"/>
  <c r="AD23" i="51"/>
  <c r="AH51" i="33"/>
  <c r="AH66" i="33" s="1"/>
  <c r="Y38" i="41"/>
  <c r="CU24" i="41"/>
  <c r="CU14" i="41"/>
  <c r="CU19" i="41"/>
  <c r="CU25" i="41"/>
  <c r="CU27" i="41"/>
  <c r="CU21" i="41"/>
  <c r="CU7" i="41"/>
  <c r="CU20" i="41"/>
  <c r="CU4" i="41"/>
  <c r="CU16" i="41"/>
  <c r="CU13" i="41"/>
  <c r="CU17" i="41"/>
  <c r="CU6" i="41"/>
  <c r="CU3" i="41"/>
  <c r="CU23" i="41"/>
  <c r="CU22" i="41"/>
  <c r="CU26" i="41"/>
  <c r="CU10" i="41"/>
  <c r="CU8" i="41"/>
  <c r="CU15" i="41"/>
  <c r="CU18" i="41"/>
  <c r="CU12" i="41"/>
  <c r="CU9" i="41"/>
  <c r="CU5" i="41"/>
  <c r="AB11" i="41"/>
  <c r="AA36" i="41"/>
  <c r="CV11" i="41" s="1"/>
  <c r="BP1" i="41"/>
  <c r="EJ1" i="41"/>
  <c r="AV24" i="41"/>
  <c r="B55" i="24"/>
  <c r="A47" i="52" s="1"/>
  <c r="AA54" i="24"/>
  <c r="D22" i="31"/>
  <c r="D23" i="31"/>
  <c r="D24" i="31"/>
  <c r="D25" i="31"/>
  <c r="D26" i="31"/>
  <c r="D27" i="31"/>
  <c r="D28" i="31"/>
  <c r="D29" i="31"/>
  <c r="D30" i="31"/>
  <c r="D31" i="31"/>
  <c r="D32" i="31"/>
  <c r="D2" i="31"/>
  <c r="F2" i="31" s="1"/>
  <c r="D33" i="31"/>
  <c r="BC8" i="41"/>
  <c r="BC12" i="41"/>
  <c r="BC5" i="41"/>
  <c r="BC3" i="41"/>
  <c r="BC26" i="41"/>
  <c r="BC14" i="41"/>
  <c r="BC6" i="41"/>
  <c r="BC25" i="41"/>
  <c r="BC19" i="41"/>
  <c r="BC18" i="41"/>
  <c r="BC10" i="41"/>
  <c r="BD27" i="41"/>
  <c r="BC15" i="41"/>
  <c r="BC7" i="41"/>
  <c r="BC23" i="41"/>
  <c r="BC20" i="41"/>
  <c r="BC21" i="41"/>
  <c r="BC17" i="41"/>
  <c r="BC9" i="41"/>
  <c r="BC13" i="41"/>
  <c r="BC22" i="41"/>
  <c r="BC4" i="41"/>
  <c r="BC16" i="41"/>
  <c r="AK2" i="33"/>
  <c r="BS2" i="37" s="1"/>
  <c r="J23" i="17"/>
  <c r="F28" i="35"/>
  <c r="G28" i="35" s="1"/>
  <c r="C29" i="35" s="1"/>
  <c r="F29" i="35" s="1"/>
  <c r="G29" i="35" s="1"/>
  <c r="C30" i="35" s="1"/>
  <c r="F30" i="35" s="1"/>
  <c r="G30" i="35" s="1"/>
  <c r="C31" i="35" s="1"/>
  <c r="AY39" i="35"/>
  <c r="AZ39" i="35" s="1"/>
  <c r="AV40" i="35" s="1"/>
  <c r="AT40" i="35"/>
  <c r="AU40" i="35" s="1"/>
  <c r="AQ41" i="35" s="1"/>
  <c r="AO39" i="35"/>
  <c r="AP39" i="35" s="1"/>
  <c r="AL40" i="35" s="1"/>
  <c r="AJ39" i="35"/>
  <c r="AK39" i="35" s="1"/>
  <c r="AG40" i="35" s="1"/>
  <c r="AE39" i="35"/>
  <c r="AF39" i="35" s="1"/>
  <c r="AB40" i="35" s="1"/>
  <c r="Z39" i="35"/>
  <c r="AA39" i="35" s="1"/>
  <c r="W40" i="35" s="1"/>
  <c r="U39" i="35"/>
  <c r="V39" i="35" s="1"/>
  <c r="R40" i="35" s="1"/>
  <c r="P40" i="35"/>
  <c r="Q40" i="35" s="1"/>
  <c r="M41" i="35" s="1"/>
  <c r="K40" i="35"/>
  <c r="L40" i="35" s="1"/>
  <c r="H41" i="35" s="1"/>
  <c r="AI1" i="33"/>
  <c r="A26" i="19"/>
  <c r="B26" i="19"/>
  <c r="C34" i="24" s="1"/>
  <c r="B25" i="52"/>
  <c r="B24" i="17"/>
  <c r="BR32" i="37" l="1"/>
  <c r="BS31" i="37"/>
  <c r="BS5" i="37"/>
  <c r="BS16" i="37"/>
  <c r="BS45" i="37" s="1"/>
  <c r="EA38" i="37" s="1"/>
  <c r="BS21" i="37"/>
  <c r="BS6" i="37"/>
  <c r="BS35" i="37" s="1"/>
  <c r="BS10" i="37"/>
  <c r="BS39" i="37" s="1"/>
  <c r="DU38" i="37" s="1"/>
  <c r="BS14" i="37"/>
  <c r="BS43" i="37" s="1"/>
  <c r="DY38" i="37" s="1"/>
  <c r="BS17" i="37"/>
  <c r="BS46" i="37" s="1"/>
  <c r="EB38" i="37" s="1"/>
  <c r="BS28" i="37"/>
  <c r="BS57" i="37" s="1"/>
  <c r="EM38" i="37" s="1"/>
  <c r="BS26" i="37"/>
  <c r="BS55" i="37" s="1"/>
  <c r="EK38" i="37" s="1"/>
  <c r="BS15" i="37"/>
  <c r="BS44" i="37" s="1"/>
  <c r="DZ38" i="37" s="1"/>
  <c r="BS18" i="37"/>
  <c r="BS47" i="37" s="1"/>
  <c r="EC38" i="37" s="1"/>
  <c r="BS8" i="37"/>
  <c r="BS7" i="37"/>
  <c r="BS9" i="37"/>
  <c r="BS19" i="37"/>
  <c r="BS23" i="37"/>
  <c r="BS52" i="37" s="1"/>
  <c r="EH38" i="37" s="1"/>
  <c r="BS20" i="37"/>
  <c r="BS25" i="37"/>
  <c r="BS54" i="37" s="1"/>
  <c r="EJ38" i="37" s="1"/>
  <c r="BS13" i="37"/>
  <c r="BS42" i="37" s="1"/>
  <c r="DX38" i="37" s="1"/>
  <c r="BS24" i="37"/>
  <c r="BS53" i="37" s="1"/>
  <c r="EI38" i="37" s="1"/>
  <c r="BS12" i="37"/>
  <c r="BS41" i="37" s="1"/>
  <c r="DW38" i="37" s="1"/>
  <c r="BS11" i="37"/>
  <c r="BS40" i="37" s="1"/>
  <c r="DV38" i="37" s="1"/>
  <c r="BS27" i="37"/>
  <c r="BS56" i="37" s="1"/>
  <c r="EL38" i="37" s="1"/>
  <c r="BS22" i="37"/>
  <c r="BS4" i="37"/>
  <c r="BS3" i="37"/>
  <c r="BS32" i="37" s="1"/>
  <c r="DN38" i="37" s="1"/>
  <c r="BR57" i="37"/>
  <c r="EM37" i="37" s="1"/>
  <c r="BR35" i="37"/>
  <c r="DQ37" i="37" s="1"/>
  <c r="BR52" i="37"/>
  <c r="EH37" i="37" s="1"/>
  <c r="BR43" i="37"/>
  <c r="DY37" i="37" s="1"/>
  <c r="BR47" i="37"/>
  <c r="EC37" i="37" s="1"/>
  <c r="BR40" i="37"/>
  <c r="DV37" i="37" s="1"/>
  <c r="BR55" i="37"/>
  <c r="EK37" i="37" s="1"/>
  <c r="BR46" i="37"/>
  <c r="EB37" i="37" s="1"/>
  <c r="BR33" i="37"/>
  <c r="DO37" i="37" s="1"/>
  <c r="BR36" i="37"/>
  <c r="DR37" i="37" s="1"/>
  <c r="BR41" i="37"/>
  <c r="DW37" i="37" s="1"/>
  <c r="AI50" i="33"/>
  <c r="AI65" i="33" s="1"/>
  <c r="AB334" i="5"/>
  <c r="Y335" i="5" s="1"/>
  <c r="AK333" i="5"/>
  <c r="AM333" i="5" s="1"/>
  <c r="AL333" i="5"/>
  <c r="P337" i="5"/>
  <c r="O337" i="5" s="1"/>
  <c r="CG32" i="5"/>
  <c r="BW30" i="5"/>
  <c r="BV30" i="5" s="1"/>
  <c r="BX30" i="5" s="1"/>
  <c r="CW105" i="5"/>
  <c r="CX104" i="5"/>
  <c r="DN37" i="37"/>
  <c r="DP37" i="37"/>
  <c r="BS34" i="37"/>
  <c r="BS50" i="37"/>
  <c r="EF38" i="37" s="1"/>
  <c r="BS33" i="37"/>
  <c r="BS49" i="37"/>
  <c r="EE38" i="37" s="1"/>
  <c r="BS37" i="37"/>
  <c r="DS38" i="37" s="1"/>
  <c r="BS48" i="37"/>
  <c r="ED38" i="37" s="1"/>
  <c r="BS51" i="37"/>
  <c r="EG38" i="37" s="1"/>
  <c r="BS36" i="37"/>
  <c r="BS38" i="37"/>
  <c r="DT38" i="37" s="1"/>
  <c r="BR29" i="37"/>
  <c r="AJ53" i="33" s="1"/>
  <c r="F42" i="24"/>
  <c r="P46" i="5"/>
  <c r="O46" i="5"/>
  <c r="AA46" i="5"/>
  <c r="Z46" i="5" s="1"/>
  <c r="AB46" i="5" s="1"/>
  <c r="AM43" i="5"/>
  <c r="AJ44" i="5" s="1"/>
  <c r="AI44" i="5"/>
  <c r="Q46" i="5"/>
  <c r="N47" i="5" s="1"/>
  <c r="O34" i="19"/>
  <c r="AH61" i="33"/>
  <c r="AH77" i="33" s="1"/>
  <c r="AH57" i="33"/>
  <c r="AH73" i="33" s="1"/>
  <c r="AH64" i="33"/>
  <c r="AH80" i="33" s="1"/>
  <c r="AH60" i="33"/>
  <c r="AH76" i="33" s="1"/>
  <c r="AH62" i="33"/>
  <c r="AH78" i="33" s="1"/>
  <c r="AH58" i="33"/>
  <c r="AH74" i="33" s="1"/>
  <c r="AH63" i="33"/>
  <c r="AH79" i="33" s="1"/>
  <c r="AH59" i="33"/>
  <c r="AH75" i="33" s="1"/>
  <c r="F32" i="31"/>
  <c r="Q45" i="51"/>
  <c r="S45" i="51"/>
  <c r="U45" i="51"/>
  <c r="O45" i="51"/>
  <c r="AG84" i="33"/>
  <c r="AG85" i="33" s="1"/>
  <c r="E33" i="31" s="1"/>
  <c r="G33" i="31" s="1"/>
  <c r="AK8" i="33"/>
  <c r="AK28" i="33" s="1"/>
  <c r="AK12" i="33"/>
  <c r="AK32" i="33" s="1"/>
  <c r="AK17" i="33"/>
  <c r="AK37" i="33" s="1"/>
  <c r="AK7" i="33"/>
  <c r="AK27" i="33" s="1"/>
  <c r="AK11" i="33"/>
  <c r="AK31" i="33" s="1"/>
  <c r="AK16" i="33"/>
  <c r="AK36" i="33" s="1"/>
  <c r="AK9" i="33"/>
  <c r="AK29" i="33" s="1"/>
  <c r="AK13" i="33"/>
  <c r="AK33" i="33" s="1"/>
  <c r="AK15" i="33"/>
  <c r="AK35" i="33" s="1"/>
  <c r="AK20" i="33"/>
  <c r="AK19" i="33"/>
  <c r="AK10" i="33"/>
  <c r="AK30" i="33" s="1"/>
  <c r="AK18" i="33"/>
  <c r="AK38" i="33" s="1"/>
  <c r="T36" i="19"/>
  <c r="EM47" i="50"/>
  <c r="EY47" i="50"/>
  <c r="ES47" i="50"/>
  <c r="A46" i="51"/>
  <c r="DI47" i="50"/>
  <c r="AI44" i="33"/>
  <c r="AI48" i="33"/>
  <c r="AI43" i="33"/>
  <c r="AI47" i="33"/>
  <c r="AI46" i="33"/>
  <c r="AI42" i="33"/>
  <c r="AI45" i="33"/>
  <c r="AI49" i="33"/>
  <c r="J48" i="50"/>
  <c r="CF25" i="50"/>
  <c r="AD24" i="51"/>
  <c r="K26" i="50"/>
  <c r="AI51" i="33"/>
  <c r="AI66" i="33" s="1"/>
  <c r="Z38" i="41"/>
  <c r="AC11" i="41"/>
  <c r="AB36" i="41"/>
  <c r="CW11" i="41" s="1"/>
  <c r="CV24" i="41"/>
  <c r="CV10" i="41"/>
  <c r="CV12" i="41"/>
  <c r="CV27" i="41"/>
  <c r="CV13" i="41"/>
  <c r="CV4" i="41"/>
  <c r="CV8" i="41"/>
  <c r="CV26" i="41"/>
  <c r="CV25" i="41"/>
  <c r="CV22" i="41"/>
  <c r="CV23" i="41"/>
  <c r="CV17" i="41"/>
  <c r="CV18" i="41"/>
  <c r="CV15" i="41"/>
  <c r="CV3" i="41"/>
  <c r="CV6" i="41"/>
  <c r="CV16" i="41"/>
  <c r="CV7" i="41"/>
  <c r="CV21" i="41"/>
  <c r="CV19" i="41"/>
  <c r="CV14" i="41"/>
  <c r="CV5" i="41"/>
  <c r="CV20" i="41"/>
  <c r="CV9" i="41"/>
  <c r="AI81" i="33"/>
  <c r="G32" i="31"/>
  <c r="BQ1" i="41"/>
  <c r="EK1" i="41"/>
  <c r="AW24" i="41"/>
  <c r="B56" i="24"/>
  <c r="A48" i="52" s="1"/>
  <c r="AA55" i="24"/>
  <c r="AH81" i="33"/>
  <c r="G2" i="31"/>
  <c r="F31" i="31"/>
  <c r="G31" i="31"/>
  <c r="F30" i="31"/>
  <c r="G30" i="31"/>
  <c r="F29" i="31"/>
  <c r="G29" i="31"/>
  <c r="F28" i="31"/>
  <c r="G28" i="31"/>
  <c r="F27" i="31"/>
  <c r="G27" i="31"/>
  <c r="F26" i="31"/>
  <c r="G26" i="31"/>
  <c r="F25" i="31"/>
  <c r="G25" i="31"/>
  <c r="F24" i="31"/>
  <c r="G24" i="31"/>
  <c r="F23" i="31"/>
  <c r="G23" i="31"/>
  <c r="F22" i="31"/>
  <c r="G22" i="31"/>
  <c r="D34" i="31"/>
  <c r="BD16" i="41"/>
  <c r="BD4" i="41"/>
  <c r="BD22" i="41"/>
  <c r="BD13" i="41"/>
  <c r="BD9" i="41"/>
  <c r="BD17" i="41"/>
  <c r="BD21" i="41"/>
  <c r="BD20" i="41"/>
  <c r="BD23" i="41"/>
  <c r="BD7" i="41"/>
  <c r="BD15" i="41"/>
  <c r="BE27" i="41"/>
  <c r="BD10" i="41"/>
  <c r="BD18" i="41"/>
  <c r="BD19" i="41"/>
  <c r="BD25" i="41"/>
  <c r="BD6" i="41"/>
  <c r="BD14" i="41"/>
  <c r="BD26" i="41"/>
  <c r="BD3" i="41"/>
  <c r="BD5" i="41"/>
  <c r="BD12" i="41"/>
  <c r="BD8" i="41"/>
  <c r="AL2" i="33"/>
  <c r="BT2" i="37" s="1"/>
  <c r="F31" i="35"/>
  <c r="G31" i="35" s="1"/>
  <c r="C32" i="35" s="1"/>
  <c r="AY40" i="35"/>
  <c r="AZ40" i="35" s="1"/>
  <c r="AV41" i="35" s="1"/>
  <c r="AT41" i="35"/>
  <c r="AU41" i="35" s="1"/>
  <c r="AQ42" i="35" s="1"/>
  <c r="AO40" i="35"/>
  <c r="AP40" i="35" s="1"/>
  <c r="AL41" i="35" s="1"/>
  <c r="AJ40" i="35"/>
  <c r="AK40" i="35" s="1"/>
  <c r="AG41" i="35" s="1"/>
  <c r="AE40" i="35"/>
  <c r="AF40" i="35" s="1"/>
  <c r="AB41" i="35" s="1"/>
  <c r="Z40" i="35"/>
  <c r="AA40" i="35" s="1"/>
  <c r="W41" i="35" s="1"/>
  <c r="U40" i="35"/>
  <c r="V40" i="35" s="1"/>
  <c r="R41" i="35" s="1"/>
  <c r="P41" i="35"/>
  <c r="Q41" i="35" s="1"/>
  <c r="M42" i="35" s="1"/>
  <c r="K41" i="35"/>
  <c r="L41" i="35" s="1"/>
  <c r="H42" i="35" s="1"/>
  <c r="AJ1" i="33"/>
  <c r="I24" i="17"/>
  <c r="J24" i="17"/>
  <c r="A27" i="19"/>
  <c r="B27" i="19"/>
  <c r="C35" i="24" s="1"/>
  <c r="B25" i="17"/>
  <c r="B26" i="52"/>
  <c r="BR58" i="37" l="1"/>
  <c r="AJ68" i="33" s="1"/>
  <c r="BT31" i="37"/>
  <c r="BT5" i="37"/>
  <c r="BT9" i="37"/>
  <c r="BT13" i="37"/>
  <c r="BT42" i="37" s="1"/>
  <c r="DX39" i="37" s="1"/>
  <c r="BT17" i="37"/>
  <c r="BT46" i="37" s="1"/>
  <c r="EB39" i="37" s="1"/>
  <c r="BT21" i="37"/>
  <c r="BT25" i="37"/>
  <c r="BT54" i="37" s="1"/>
  <c r="EJ39" i="37" s="1"/>
  <c r="BT6" i="37"/>
  <c r="BT35" i="37" s="1"/>
  <c r="BT10" i="37"/>
  <c r="BT39" i="37" s="1"/>
  <c r="DU39" i="37" s="1"/>
  <c r="BT14" i="37"/>
  <c r="BT43" i="37" s="1"/>
  <c r="DY39" i="37" s="1"/>
  <c r="BT22" i="37"/>
  <c r="BT51" i="37" s="1"/>
  <c r="EG39" i="37" s="1"/>
  <c r="BT26" i="37"/>
  <c r="BT15" i="37"/>
  <c r="BT16" i="37"/>
  <c r="BT4" i="37"/>
  <c r="BT33" i="37" s="1"/>
  <c r="BT24" i="37"/>
  <c r="BT53" i="37" s="1"/>
  <c r="EI39" i="37" s="1"/>
  <c r="BT18" i="37"/>
  <c r="BT8" i="37"/>
  <c r="BT37" i="37" s="1"/>
  <c r="DS39" i="37" s="1"/>
  <c r="BT7" i="37"/>
  <c r="BT36" i="37" s="1"/>
  <c r="BT19" i="37"/>
  <c r="BT28" i="37"/>
  <c r="BT23" i="37"/>
  <c r="BT52" i="37" s="1"/>
  <c r="EH39" i="37" s="1"/>
  <c r="BT20" i="37"/>
  <c r="BT49" i="37" s="1"/>
  <c r="EE39" i="37" s="1"/>
  <c r="BT12" i="37"/>
  <c r="BT11" i="37"/>
  <c r="BT40" i="37" s="1"/>
  <c r="DV39" i="37" s="1"/>
  <c r="BT27" i="37"/>
  <c r="BT3" i="37"/>
  <c r="BT32" i="37" s="1"/>
  <c r="DN39" i="37" s="1"/>
  <c r="AJ50" i="33"/>
  <c r="AJ65" i="33" s="1"/>
  <c r="Q337" i="5"/>
  <c r="N338" i="5"/>
  <c r="AA335" i="5"/>
  <c r="Z335" i="5"/>
  <c r="AB335" i="5" s="1"/>
  <c r="AJ334" i="5"/>
  <c r="CP32" i="5"/>
  <c r="CH32" i="5"/>
  <c r="BT31" i="5"/>
  <c r="BU31" i="5" s="1"/>
  <c r="CX105" i="5"/>
  <c r="CW106" i="5"/>
  <c r="DO38" i="37"/>
  <c r="DQ38" i="37"/>
  <c r="DP38" i="37"/>
  <c r="DR38" i="37"/>
  <c r="BS58" i="37"/>
  <c r="AK68" i="33" s="1"/>
  <c r="BS29" i="37"/>
  <c r="AK53" i="33" s="1"/>
  <c r="BT50" i="37"/>
  <c r="EF39" i="37" s="1"/>
  <c r="BT44" i="37"/>
  <c r="DZ39" i="37" s="1"/>
  <c r="BT45" i="37"/>
  <c r="EA39" i="37" s="1"/>
  <c r="BT55" i="37"/>
  <c r="EK39" i="37" s="1"/>
  <c r="BT47" i="37"/>
  <c r="EC39" i="37" s="1"/>
  <c r="BT34" i="37"/>
  <c r="BT41" i="37"/>
  <c r="DW39" i="37" s="1"/>
  <c r="BT38" i="37"/>
  <c r="DT39" i="37" s="1"/>
  <c r="BT48" i="37"/>
  <c r="ED39" i="37" s="1"/>
  <c r="BT57" i="37"/>
  <c r="EM39" i="37" s="1"/>
  <c r="F43" i="24"/>
  <c r="P47" i="5"/>
  <c r="O47" i="5" s="1"/>
  <c r="AL44" i="5"/>
  <c r="AK44" i="5" s="1"/>
  <c r="Y47" i="5"/>
  <c r="X47" i="5"/>
  <c r="M47" i="5"/>
  <c r="F33" i="31"/>
  <c r="U46" i="51"/>
  <c r="O46" i="51"/>
  <c r="Q46" i="51"/>
  <c r="S46" i="51"/>
  <c r="AI64" i="33"/>
  <c r="AI80" i="33" s="1"/>
  <c r="AI60" i="33"/>
  <c r="AI76" i="33" s="1"/>
  <c r="AI57" i="33"/>
  <c r="AI73" i="33" s="1"/>
  <c r="AI61" i="33"/>
  <c r="AI77" i="33" s="1"/>
  <c r="AI62" i="33"/>
  <c r="AI78" i="33" s="1"/>
  <c r="AI58" i="33"/>
  <c r="AI74" i="33" s="1"/>
  <c r="AI63" i="33"/>
  <c r="AI79" i="33" s="1"/>
  <c r="AI59" i="33"/>
  <c r="AI75" i="33" s="1"/>
  <c r="AL7" i="33"/>
  <c r="AL27" i="33" s="1"/>
  <c r="AL12" i="33"/>
  <c r="AL32" i="33" s="1"/>
  <c r="AL9" i="33"/>
  <c r="AL29" i="33" s="1"/>
  <c r="AL13" i="33"/>
  <c r="AL33" i="33" s="1"/>
  <c r="AL15" i="33"/>
  <c r="AL35" i="33" s="1"/>
  <c r="AL16" i="33"/>
  <c r="AL36" i="33" s="1"/>
  <c r="AL20" i="33"/>
  <c r="AL17" i="33"/>
  <c r="AL37" i="33" s="1"/>
  <c r="AL10" i="33"/>
  <c r="AL30" i="33" s="1"/>
  <c r="AL19" i="33"/>
  <c r="AL8" i="33"/>
  <c r="AL28" i="33" s="1"/>
  <c r="AL11" i="33"/>
  <c r="AL31" i="33" s="1"/>
  <c r="AL18" i="33"/>
  <c r="AL38" i="33" s="1"/>
  <c r="O35" i="19"/>
  <c r="AH84" i="33"/>
  <c r="AH85" i="33" s="1"/>
  <c r="E34" i="31" s="1"/>
  <c r="G34" i="31" s="1"/>
  <c r="T37" i="19"/>
  <c r="ES48" i="50"/>
  <c r="EM48" i="50"/>
  <c r="EY48" i="50"/>
  <c r="A47" i="51"/>
  <c r="DI48" i="50"/>
  <c r="AJ44" i="33"/>
  <c r="AJ48" i="33"/>
  <c r="AJ43" i="33"/>
  <c r="AJ47" i="33"/>
  <c r="AJ49" i="33"/>
  <c r="AJ42" i="33"/>
  <c r="AJ45" i="33"/>
  <c r="AJ46" i="33"/>
  <c r="J49" i="50"/>
  <c r="CF26" i="50"/>
  <c r="K27" i="50"/>
  <c r="AD26" i="51" s="1"/>
  <c r="AD25" i="51"/>
  <c r="AA38" i="41"/>
  <c r="AJ51" i="33"/>
  <c r="AJ66" i="33" s="1"/>
  <c r="AD11" i="41"/>
  <c r="AC36" i="41"/>
  <c r="CX11" i="41" s="1"/>
  <c r="CW24" i="41"/>
  <c r="CW25" i="41"/>
  <c r="CW26" i="41"/>
  <c r="CW21" i="41"/>
  <c r="CW16" i="41"/>
  <c r="CW13" i="41"/>
  <c r="CW15" i="41"/>
  <c r="CW17" i="41"/>
  <c r="CW22" i="41"/>
  <c r="CW10" i="41"/>
  <c r="CW23" i="41"/>
  <c r="CW27" i="41"/>
  <c r="CW9" i="41"/>
  <c r="CW4" i="41"/>
  <c r="CW14" i="41"/>
  <c r="CW20" i="41"/>
  <c r="CW8" i="41"/>
  <c r="CW5" i="41"/>
  <c r="CW19" i="41"/>
  <c r="CW7" i="41"/>
  <c r="CW18" i="41"/>
  <c r="CW12" i="41"/>
  <c r="CW6" i="41"/>
  <c r="CW3" i="41"/>
  <c r="AJ81" i="33"/>
  <c r="BR1" i="41"/>
  <c r="EL1" i="41"/>
  <c r="AX24" i="41"/>
  <c r="B57" i="24"/>
  <c r="AA56" i="24"/>
  <c r="D35" i="31"/>
  <c r="BE8" i="41"/>
  <c r="BE12" i="41"/>
  <c r="BE5" i="41"/>
  <c r="BE3" i="41"/>
  <c r="BE26" i="41"/>
  <c r="BE14" i="41"/>
  <c r="BE6" i="41"/>
  <c r="BE25" i="41"/>
  <c r="BE19" i="41"/>
  <c r="BE18" i="41"/>
  <c r="BE10" i="41"/>
  <c r="BF27" i="41"/>
  <c r="BE15" i="41"/>
  <c r="BE7" i="41"/>
  <c r="BE23" i="41"/>
  <c r="BE20" i="41"/>
  <c r="BE21" i="41"/>
  <c r="BE17" i="41"/>
  <c r="BE9" i="41"/>
  <c r="BE13" i="41"/>
  <c r="BE22" i="41"/>
  <c r="BE4" i="41"/>
  <c r="BE16" i="41"/>
  <c r="AM2" i="33"/>
  <c r="BU2" i="37" s="1"/>
  <c r="I25" i="17"/>
  <c r="J25" i="17"/>
  <c r="F32" i="35"/>
  <c r="G32" i="35" s="1"/>
  <c r="C33" i="35" s="1"/>
  <c r="F33" i="35" s="1"/>
  <c r="G33" i="35" s="1"/>
  <c r="C34" i="35" s="1"/>
  <c r="F34" i="35" s="1"/>
  <c r="G34" i="35" s="1"/>
  <c r="C35" i="35" s="1"/>
  <c r="AY41" i="35"/>
  <c r="AZ41" i="35" s="1"/>
  <c r="AV42" i="35" s="1"/>
  <c r="AT42" i="35"/>
  <c r="AU42" i="35" s="1"/>
  <c r="AQ43" i="35" s="1"/>
  <c r="AO41" i="35"/>
  <c r="AP41" i="35" s="1"/>
  <c r="AL42" i="35" s="1"/>
  <c r="AJ41" i="35"/>
  <c r="AK41" i="35" s="1"/>
  <c r="AG42" i="35" s="1"/>
  <c r="AE41" i="35"/>
  <c r="AF41" i="35" s="1"/>
  <c r="AB42" i="35" s="1"/>
  <c r="Z41" i="35"/>
  <c r="AA41" i="35" s="1"/>
  <c r="W42" i="35" s="1"/>
  <c r="U41" i="35"/>
  <c r="V41" i="35" s="1"/>
  <c r="R42" i="35" s="1"/>
  <c r="P42" i="35"/>
  <c r="Q42" i="35" s="1"/>
  <c r="M43" i="35" s="1"/>
  <c r="K42" i="35"/>
  <c r="L42" i="35" s="1"/>
  <c r="H43" i="35" s="1"/>
  <c r="AK1" i="33"/>
  <c r="A28" i="19"/>
  <c r="B28" i="19"/>
  <c r="C36" i="24" s="1"/>
  <c r="B27" i="52"/>
  <c r="B26" i="17"/>
  <c r="BT56" i="37" l="1"/>
  <c r="EL39" i="37" s="1"/>
  <c r="BU31" i="37"/>
  <c r="BU9" i="37"/>
  <c r="BU5" i="37"/>
  <c r="BU34" i="37" s="1"/>
  <c r="BU13" i="37"/>
  <c r="BU42" i="37" s="1"/>
  <c r="DX40" i="37" s="1"/>
  <c r="BU25" i="37"/>
  <c r="BU54" i="37" s="1"/>
  <c r="EJ40" i="37" s="1"/>
  <c r="BU21" i="37"/>
  <c r="BU17" i="37"/>
  <c r="BU46" i="37" s="1"/>
  <c r="EB40" i="37" s="1"/>
  <c r="BU22" i="37"/>
  <c r="BU51" i="37" s="1"/>
  <c r="EG40" i="37" s="1"/>
  <c r="BU26" i="37"/>
  <c r="BU55" i="37" s="1"/>
  <c r="EK40" i="37" s="1"/>
  <c r="BU10" i="37"/>
  <c r="BU39" i="37" s="1"/>
  <c r="DU40" i="37" s="1"/>
  <c r="BU11" i="37"/>
  <c r="BU40" i="37" s="1"/>
  <c r="DV40" i="37" s="1"/>
  <c r="BU12" i="37"/>
  <c r="BU4" i="37"/>
  <c r="BU24" i="37"/>
  <c r="BU18" i="37"/>
  <c r="BU47" i="37" s="1"/>
  <c r="EC40" i="37" s="1"/>
  <c r="BU8" i="37"/>
  <c r="BU7" i="37"/>
  <c r="BU36" i="37" s="1"/>
  <c r="BU19" i="37"/>
  <c r="BU28" i="37"/>
  <c r="BU23" i="37"/>
  <c r="BU52" i="37" s="1"/>
  <c r="EH40" i="37" s="1"/>
  <c r="BU6" i="37"/>
  <c r="BU35" i="37" s="1"/>
  <c r="BU16" i="37"/>
  <c r="BU45" i="37" s="1"/>
  <c r="EA40" i="37" s="1"/>
  <c r="BU20" i="37"/>
  <c r="BU49" i="37" s="1"/>
  <c r="EE40" i="37" s="1"/>
  <c r="BU15" i="37"/>
  <c r="BU14" i="37"/>
  <c r="BU27" i="37"/>
  <c r="BU3" i="37"/>
  <c r="BU32" i="37" s="1"/>
  <c r="DN40" i="37" s="1"/>
  <c r="AK50" i="33"/>
  <c r="AK65" i="33" s="1"/>
  <c r="Y336" i="5"/>
  <c r="AL334" i="5"/>
  <c r="AK334" i="5"/>
  <c r="AM334" i="5" s="1"/>
  <c r="P338" i="5"/>
  <c r="O338" i="5" s="1"/>
  <c r="CJ32" i="5"/>
  <c r="CI32" i="5" s="1"/>
  <c r="CC31" i="5"/>
  <c r="CX106" i="5"/>
  <c r="CW107" i="5"/>
  <c r="DO39" i="37"/>
  <c r="DP39" i="37"/>
  <c r="DR39" i="37"/>
  <c r="DQ39" i="37"/>
  <c r="BT58" i="37"/>
  <c r="AL68" i="33" s="1"/>
  <c r="BU33" i="37"/>
  <c r="BU56" i="37"/>
  <c r="EL40" i="37" s="1"/>
  <c r="BU50" i="37"/>
  <c r="EF40" i="37" s="1"/>
  <c r="BU37" i="37"/>
  <c r="DS40" i="37" s="1"/>
  <c r="BU57" i="37"/>
  <c r="EM40" i="37" s="1"/>
  <c r="BU38" i="37"/>
  <c r="DT40" i="37" s="1"/>
  <c r="BU43" i="37"/>
  <c r="DY40" i="37" s="1"/>
  <c r="BU53" i="37"/>
  <c r="EI40" i="37" s="1"/>
  <c r="BU48" i="37"/>
  <c r="ED40" i="37" s="1"/>
  <c r="BT29" i="37"/>
  <c r="AL53" i="33" s="1"/>
  <c r="AI84" i="33"/>
  <c r="AI85" i="33" s="1"/>
  <c r="E35" i="31" s="1"/>
  <c r="F35" i="31" s="1"/>
  <c r="AA47" i="5"/>
  <c r="Z47" i="5" s="1"/>
  <c r="AM44" i="5"/>
  <c r="AJ45" i="5" s="1"/>
  <c r="AI45" i="5"/>
  <c r="Q47" i="5"/>
  <c r="M48" i="5"/>
  <c r="N48" i="5"/>
  <c r="AJ61" i="33"/>
  <c r="AJ77" i="33" s="1"/>
  <c r="AJ60" i="33"/>
  <c r="AJ76" i="33" s="1"/>
  <c r="AJ57" i="33"/>
  <c r="AJ73" i="33" s="1"/>
  <c r="AJ64" i="33"/>
  <c r="AJ80" i="33" s="1"/>
  <c r="AJ62" i="33"/>
  <c r="AJ78" i="33" s="1"/>
  <c r="AJ58" i="33"/>
  <c r="AJ74" i="33" s="1"/>
  <c r="AJ63" i="33"/>
  <c r="AJ79" i="33" s="1"/>
  <c r="AJ59" i="33"/>
  <c r="AJ75" i="33" s="1"/>
  <c r="O47" i="51"/>
  <c r="Q47" i="51"/>
  <c r="S47" i="51"/>
  <c r="U47" i="51"/>
  <c r="AM9" i="33"/>
  <c r="AM29" i="33" s="1"/>
  <c r="AM13" i="33"/>
  <c r="AM33" i="33" s="1"/>
  <c r="AM8" i="33"/>
  <c r="AM28" i="33" s="1"/>
  <c r="AM10" i="33"/>
  <c r="AM30" i="33" s="1"/>
  <c r="AM11" i="33"/>
  <c r="AM31" i="33" s="1"/>
  <c r="AM12" i="33"/>
  <c r="AM32" i="33" s="1"/>
  <c r="AM15" i="33"/>
  <c r="AM35" i="33" s="1"/>
  <c r="AM16" i="33"/>
  <c r="AM36" i="33" s="1"/>
  <c r="AM17" i="33"/>
  <c r="AM37" i="33" s="1"/>
  <c r="AM19" i="33"/>
  <c r="AM7" i="33"/>
  <c r="AM27" i="33" s="1"/>
  <c r="AM18" i="33"/>
  <c r="AM38" i="33" s="1"/>
  <c r="AM20" i="33"/>
  <c r="F44" i="24"/>
  <c r="O36" i="19"/>
  <c r="T38" i="19"/>
  <c r="EY49" i="50"/>
  <c r="EM49" i="50"/>
  <c r="ES49" i="50"/>
  <c r="A48" i="51"/>
  <c r="DI49" i="50"/>
  <c r="AK45" i="33"/>
  <c r="AK49" i="33"/>
  <c r="AK44" i="33"/>
  <c r="AK48" i="33"/>
  <c r="AK42" i="33"/>
  <c r="AK46" i="33"/>
  <c r="AK47" i="33"/>
  <c r="AK43" i="33"/>
  <c r="J50" i="50"/>
  <c r="A49" i="52"/>
  <c r="K28" i="50"/>
  <c r="CF27" i="50"/>
  <c r="F34" i="31"/>
  <c r="AK51" i="33"/>
  <c r="AK66" i="33" s="1"/>
  <c r="AB38" i="41"/>
  <c r="CX24" i="41"/>
  <c r="CX14" i="41"/>
  <c r="CX5" i="41"/>
  <c r="CX4" i="41"/>
  <c r="CX8" i="41"/>
  <c r="CX20" i="41"/>
  <c r="CX9" i="41"/>
  <c r="CX16" i="41"/>
  <c r="CX7" i="41"/>
  <c r="CX10" i="41"/>
  <c r="CX26" i="41"/>
  <c r="CX25" i="41"/>
  <c r="CX3" i="41"/>
  <c r="CX6" i="41"/>
  <c r="CX22" i="41"/>
  <c r="CX12" i="41"/>
  <c r="CX18" i="41"/>
  <c r="CX15" i="41"/>
  <c r="CX23" i="41"/>
  <c r="CX17" i="41"/>
  <c r="CX27" i="41"/>
  <c r="CX13" i="41"/>
  <c r="CX21" i="41"/>
  <c r="CX19" i="41"/>
  <c r="AE11" i="41"/>
  <c r="AD36" i="41"/>
  <c r="CY11" i="41" s="1"/>
  <c r="BS1" i="41"/>
  <c r="EM1" i="41"/>
  <c r="AY24" i="41"/>
  <c r="B58" i="24"/>
  <c r="A50" i="52" s="1"/>
  <c r="AA57" i="24"/>
  <c r="D36" i="31"/>
  <c r="BF16" i="41"/>
  <c r="BF4" i="41"/>
  <c r="BF22" i="41"/>
  <c r="BF13" i="41"/>
  <c r="BF9" i="41"/>
  <c r="BF17" i="41"/>
  <c r="BF21" i="41"/>
  <c r="BF20" i="41"/>
  <c r="BF23" i="41"/>
  <c r="BF7" i="41"/>
  <c r="BF15" i="41"/>
  <c r="BG27" i="41"/>
  <c r="BF10" i="41"/>
  <c r="BF18" i="41"/>
  <c r="BF19" i="41"/>
  <c r="BF25" i="41"/>
  <c r="BF6" i="41"/>
  <c r="BF14" i="41"/>
  <c r="BF26" i="41"/>
  <c r="BF3" i="41"/>
  <c r="BF5" i="41"/>
  <c r="BF12" i="41"/>
  <c r="BF8" i="41"/>
  <c r="AN2" i="33"/>
  <c r="BV2" i="37" s="1"/>
  <c r="F35" i="35"/>
  <c r="G35" i="35" s="1"/>
  <c r="C36" i="35" s="1"/>
  <c r="F36" i="35" s="1"/>
  <c r="G36" i="35" s="1"/>
  <c r="C37" i="35" s="1"/>
  <c r="AY42" i="35"/>
  <c r="AZ42" i="35" s="1"/>
  <c r="AV43" i="35" s="1"/>
  <c r="AT43" i="35"/>
  <c r="AU43" i="35" s="1"/>
  <c r="AQ44" i="35" s="1"/>
  <c r="AO42" i="35"/>
  <c r="AP42" i="35" s="1"/>
  <c r="AL43" i="35" s="1"/>
  <c r="AJ42" i="35"/>
  <c r="AK42" i="35" s="1"/>
  <c r="AG43" i="35" s="1"/>
  <c r="AE42" i="35"/>
  <c r="AF42" i="35" s="1"/>
  <c r="AB43" i="35" s="1"/>
  <c r="Z42" i="35"/>
  <c r="AA42" i="35" s="1"/>
  <c r="W43" i="35" s="1"/>
  <c r="U42" i="35"/>
  <c r="V42" i="35" s="1"/>
  <c r="R43" i="35" s="1"/>
  <c r="P43" i="35"/>
  <c r="Q43" i="35" s="1"/>
  <c r="M44" i="35" s="1"/>
  <c r="K43" i="35"/>
  <c r="L43" i="35" s="1"/>
  <c r="H44" i="35" s="1"/>
  <c r="AL1" i="33"/>
  <c r="I26" i="17"/>
  <c r="J26" i="17"/>
  <c r="A29" i="19"/>
  <c r="B29" i="19"/>
  <c r="C37" i="24" s="1"/>
  <c r="B27" i="17"/>
  <c r="B28" i="52"/>
  <c r="BU44" i="37" l="1"/>
  <c r="DZ40" i="37" s="1"/>
  <c r="BU41" i="37"/>
  <c r="DW40" i="37" s="1"/>
  <c r="BV31" i="37"/>
  <c r="BV13" i="37"/>
  <c r="BV9" i="37"/>
  <c r="BV18" i="37"/>
  <c r="BV47" i="37" s="1"/>
  <c r="EC41" i="37" s="1"/>
  <c r="BV25" i="37"/>
  <c r="BV54" i="37" s="1"/>
  <c r="EJ41" i="37" s="1"/>
  <c r="BV5" i="37"/>
  <c r="BV34" i="37" s="1"/>
  <c r="BV19" i="37"/>
  <c r="BV48" i="37" s="1"/>
  <c r="ED41" i="37" s="1"/>
  <c r="BV27" i="37"/>
  <c r="BV56" i="37" s="1"/>
  <c r="EL41" i="37" s="1"/>
  <c r="BV22" i="37"/>
  <c r="BV10" i="37"/>
  <c r="BV39" i="37" s="1"/>
  <c r="DU41" i="37" s="1"/>
  <c r="BV11" i="37"/>
  <c r="BV12" i="37"/>
  <c r="BV4" i="37"/>
  <c r="BV24" i="37"/>
  <c r="BV53" i="37" s="1"/>
  <c r="EI41" i="37" s="1"/>
  <c r="BV21" i="37"/>
  <c r="BV50" i="37" s="1"/>
  <c r="EF41" i="37" s="1"/>
  <c r="BV26" i="37"/>
  <c r="BV55" i="37" s="1"/>
  <c r="EK41" i="37" s="1"/>
  <c r="BV8" i="37"/>
  <c r="BV7" i="37"/>
  <c r="BV28" i="37"/>
  <c r="BV57" i="37" s="1"/>
  <c r="EM41" i="37" s="1"/>
  <c r="BV16" i="37"/>
  <c r="BV45" i="37" s="1"/>
  <c r="EA41" i="37" s="1"/>
  <c r="BV20" i="37"/>
  <c r="BV49" i="37" s="1"/>
  <c r="EE41" i="37" s="1"/>
  <c r="BV15" i="37"/>
  <c r="BV44" i="37" s="1"/>
  <c r="DZ41" i="37" s="1"/>
  <c r="BV14" i="37"/>
  <c r="BV23" i="37"/>
  <c r="BV6" i="37"/>
  <c r="BV17" i="37"/>
  <c r="BV46" i="37" s="1"/>
  <c r="EB41" i="37" s="1"/>
  <c r="BV3" i="37"/>
  <c r="BV32" i="37" s="1"/>
  <c r="DN41" i="37" s="1"/>
  <c r="AL50" i="33"/>
  <c r="AL65" i="33" s="1"/>
  <c r="Q338" i="5"/>
  <c r="N339" i="5" s="1"/>
  <c r="AJ335" i="5"/>
  <c r="AA336" i="5"/>
  <c r="Z336" i="5" s="1"/>
  <c r="CK32" i="5"/>
  <c r="CG33" i="5"/>
  <c r="CH33" i="5" s="1"/>
  <c r="BW31" i="5"/>
  <c r="BV31" i="5" s="1"/>
  <c r="BX31" i="5" s="1"/>
  <c r="AB47" i="5"/>
  <c r="X48" i="5"/>
  <c r="CX107" i="5"/>
  <c r="CW108" i="5"/>
  <c r="DO40" i="37"/>
  <c r="DR40" i="37"/>
  <c r="DP40" i="37"/>
  <c r="DQ40" i="37"/>
  <c r="BU58" i="37"/>
  <c r="AM68" i="33" s="1"/>
  <c r="BU29" i="37"/>
  <c r="AM53" i="33" s="1"/>
  <c r="BV36" i="37"/>
  <c r="BV33" i="37"/>
  <c r="BV42" i="37"/>
  <c r="DX41" i="37" s="1"/>
  <c r="BV35" i="37"/>
  <c r="BV37" i="37"/>
  <c r="DS41" i="37" s="1"/>
  <c r="BV38" i="37"/>
  <c r="DT41" i="37" s="1"/>
  <c r="BV51" i="37"/>
  <c r="EG41" i="37" s="1"/>
  <c r="F45" i="24"/>
  <c r="P48" i="5"/>
  <c r="O48" i="5"/>
  <c r="AL45" i="5"/>
  <c r="AK45" i="5" s="1"/>
  <c r="Y48" i="5"/>
  <c r="Q48" i="5"/>
  <c r="O37" i="19"/>
  <c r="AK58" i="33"/>
  <c r="AK74" i="33" s="1"/>
  <c r="AK62" i="33"/>
  <c r="AK78" i="33" s="1"/>
  <c r="AK61" i="33"/>
  <c r="AK77" i="33" s="1"/>
  <c r="AK57" i="33"/>
  <c r="AK73" i="33" s="1"/>
  <c r="AK63" i="33"/>
  <c r="AK79" i="33" s="1"/>
  <c r="AK59" i="33"/>
  <c r="AK75" i="33" s="1"/>
  <c r="G35" i="31"/>
  <c r="AK64" i="33"/>
  <c r="AK80" i="33" s="1"/>
  <c r="AK60" i="33"/>
  <c r="AK76" i="33" s="1"/>
  <c r="O48" i="51"/>
  <c r="U48" i="51"/>
  <c r="Q48" i="51"/>
  <c r="S48" i="51"/>
  <c r="AN9" i="33"/>
  <c r="AN29" i="33" s="1"/>
  <c r="AN13" i="33"/>
  <c r="AN33" i="33" s="1"/>
  <c r="AN8" i="33"/>
  <c r="AN28" i="33" s="1"/>
  <c r="AN12" i="33"/>
  <c r="AN32" i="33" s="1"/>
  <c r="AN17" i="33"/>
  <c r="AN37" i="33" s="1"/>
  <c r="AN10" i="33"/>
  <c r="AN30" i="33" s="1"/>
  <c r="AN11" i="33"/>
  <c r="AN31" i="33" s="1"/>
  <c r="AN15" i="33"/>
  <c r="AN35" i="33" s="1"/>
  <c r="AN16" i="33"/>
  <c r="AN36" i="33" s="1"/>
  <c r="AN19" i="33"/>
  <c r="AN7" i="33"/>
  <c r="AN27" i="33" s="1"/>
  <c r="AN20" i="33"/>
  <c r="AN18" i="33"/>
  <c r="AN38" i="33" s="1"/>
  <c r="AJ84" i="33"/>
  <c r="AJ85" i="33" s="1"/>
  <c r="E36" i="31" s="1"/>
  <c r="F36" i="31" s="1"/>
  <c r="T39" i="19"/>
  <c r="EM50" i="50"/>
  <c r="EY50" i="50"/>
  <c r="ES50" i="50"/>
  <c r="A49" i="51"/>
  <c r="DI50" i="50"/>
  <c r="AL45" i="33"/>
  <c r="AL49" i="33"/>
  <c r="AL44" i="33"/>
  <c r="AL48" i="33"/>
  <c r="AL43" i="33"/>
  <c r="AL46" i="33"/>
  <c r="AL47" i="33"/>
  <c r="AL42" i="33"/>
  <c r="J51" i="50"/>
  <c r="CF28" i="50"/>
  <c r="AD27" i="51"/>
  <c r="K29" i="50"/>
  <c r="AL51" i="33"/>
  <c r="AL66" i="33" s="1"/>
  <c r="AC38" i="41"/>
  <c r="CY24" i="41"/>
  <c r="CY23" i="41"/>
  <c r="CY5" i="41"/>
  <c r="CY14" i="41"/>
  <c r="CY20" i="41"/>
  <c r="CY9" i="41"/>
  <c r="CY4" i="41"/>
  <c r="CY8" i="41"/>
  <c r="CY6" i="41"/>
  <c r="CY3" i="41"/>
  <c r="CY21" i="41"/>
  <c r="CY18" i="41"/>
  <c r="CY16" i="41"/>
  <c r="CY7" i="41"/>
  <c r="CY25" i="41"/>
  <c r="CY13" i="41"/>
  <c r="CY27" i="41"/>
  <c r="CY15" i="41"/>
  <c r="CY26" i="41"/>
  <c r="CY17" i="41"/>
  <c r="CY10" i="41"/>
  <c r="CY12" i="41"/>
  <c r="CY22" i="41"/>
  <c r="CY19" i="41"/>
  <c r="AF11" i="41"/>
  <c r="AE36" i="41"/>
  <c r="CZ11" i="41" s="1"/>
  <c r="BT1" i="41"/>
  <c r="EN1" i="41"/>
  <c r="AZ24" i="41"/>
  <c r="B59" i="24"/>
  <c r="A51" i="52" s="1"/>
  <c r="AA58" i="24"/>
  <c r="AK81" i="33"/>
  <c r="D37" i="31"/>
  <c r="BG8" i="41"/>
  <c r="BG12" i="41"/>
  <c r="BG5" i="41"/>
  <c r="BG3" i="41"/>
  <c r="BG26" i="41"/>
  <c r="BG14" i="41"/>
  <c r="BG6" i="41"/>
  <c r="BG25" i="41"/>
  <c r="BG19" i="41"/>
  <c r="BG18" i="41"/>
  <c r="BG10" i="41"/>
  <c r="BH27" i="41"/>
  <c r="BG15" i="41"/>
  <c r="BG7" i="41"/>
  <c r="BG23" i="41"/>
  <c r="BG20" i="41"/>
  <c r="BG21" i="41"/>
  <c r="BG17" i="41"/>
  <c r="BG9" i="41"/>
  <c r="BG13" i="41"/>
  <c r="BG22" i="41"/>
  <c r="BG4" i="41"/>
  <c r="BG16" i="41"/>
  <c r="AO2" i="33"/>
  <c r="BW2" i="37" s="1"/>
  <c r="F37" i="35"/>
  <c r="G37" i="35" s="1"/>
  <c r="C38" i="35" s="1"/>
  <c r="AY43" i="35"/>
  <c r="AZ43" i="35" s="1"/>
  <c r="AV44" i="35" s="1"/>
  <c r="AT44" i="35"/>
  <c r="AU44" i="35" s="1"/>
  <c r="AQ45" i="35" s="1"/>
  <c r="AO43" i="35"/>
  <c r="AP43" i="35" s="1"/>
  <c r="AL44" i="35" s="1"/>
  <c r="AJ43" i="35"/>
  <c r="AK43" i="35" s="1"/>
  <c r="AG44" i="35" s="1"/>
  <c r="AE43" i="35"/>
  <c r="AF43" i="35" s="1"/>
  <c r="AB44" i="35" s="1"/>
  <c r="Z43" i="35"/>
  <c r="AA43" i="35" s="1"/>
  <c r="W44" i="35" s="1"/>
  <c r="U43" i="35"/>
  <c r="V43" i="35" s="1"/>
  <c r="R44" i="35" s="1"/>
  <c r="P44" i="35"/>
  <c r="Q44" i="35" s="1"/>
  <c r="M45" i="35" s="1"/>
  <c r="K44" i="35"/>
  <c r="L44" i="35" s="1"/>
  <c r="H45" i="35" s="1"/>
  <c r="AM1" i="33"/>
  <c r="I27" i="17"/>
  <c r="A30" i="19"/>
  <c r="J27" i="17"/>
  <c r="B30" i="19"/>
  <c r="C38" i="24" s="1"/>
  <c r="B29" i="52"/>
  <c r="B28" i="17"/>
  <c r="G31" i="14"/>
  <c r="J10" i="24" s="1"/>
  <c r="L10" i="24" s="1"/>
  <c r="BV52" i="37" l="1"/>
  <c r="EH41" i="37" s="1"/>
  <c r="BV41" i="37"/>
  <c r="DW41" i="37" s="1"/>
  <c r="BV43" i="37"/>
  <c r="DY41" i="37" s="1"/>
  <c r="BV40" i="37"/>
  <c r="DV41" i="37" s="1"/>
  <c r="BW31" i="37"/>
  <c r="BW4" i="37"/>
  <c r="BW8" i="37"/>
  <c r="BW37" i="37" s="1"/>
  <c r="DS42" i="37" s="1"/>
  <c r="BW12" i="37"/>
  <c r="BW41" i="37" s="1"/>
  <c r="DW42" i="37" s="1"/>
  <c r="BW16" i="37"/>
  <c r="BW6" i="37"/>
  <c r="BW35" i="37" s="1"/>
  <c r="BW20" i="37"/>
  <c r="BW24" i="37"/>
  <c r="BW53" i="37" s="1"/>
  <c r="EI42" i="37" s="1"/>
  <c r="BW28" i="37"/>
  <c r="BW22" i="37"/>
  <c r="BW9" i="37"/>
  <c r="BW13" i="37"/>
  <c r="BW18" i="37"/>
  <c r="BW47" i="37" s="1"/>
  <c r="EC42" i="37" s="1"/>
  <c r="BW23" i="37"/>
  <c r="BW5" i="37"/>
  <c r="BW19" i="37"/>
  <c r="BW48" i="37" s="1"/>
  <c r="ED42" i="37" s="1"/>
  <c r="BW27" i="37"/>
  <c r="BW56" i="37" s="1"/>
  <c r="EL42" i="37" s="1"/>
  <c r="BW10" i="37"/>
  <c r="BW11" i="37"/>
  <c r="BW21" i="37"/>
  <c r="BW26" i="37"/>
  <c r="BW7" i="37"/>
  <c r="BW17" i="37"/>
  <c r="BW25" i="37"/>
  <c r="BW15" i="37"/>
  <c r="BW44" i="37" s="1"/>
  <c r="DZ42" i="37" s="1"/>
  <c r="BW14" i="37"/>
  <c r="BW3" i="37"/>
  <c r="AM50" i="33"/>
  <c r="AM65" i="33" s="1"/>
  <c r="AM81" i="33" s="1"/>
  <c r="AB336" i="5"/>
  <c r="Y337" i="5" s="1"/>
  <c r="P339" i="5"/>
  <c r="O339" i="5"/>
  <c r="Q339" i="5" s="1"/>
  <c r="N340" i="5"/>
  <c r="AL335" i="5"/>
  <c r="AK335" i="5" s="1"/>
  <c r="CP33" i="5"/>
  <c r="CJ33" i="5"/>
  <c r="CI33" i="5" s="1"/>
  <c r="CK33" i="5" s="1"/>
  <c r="BT32" i="5"/>
  <c r="BU32" i="5" s="1"/>
  <c r="CW109" i="5"/>
  <c r="CX108" i="5"/>
  <c r="DO41" i="37"/>
  <c r="DP41" i="37"/>
  <c r="DR41" i="37"/>
  <c r="DQ41" i="37"/>
  <c r="BV58" i="37"/>
  <c r="AN68" i="33" s="1"/>
  <c r="BW45" i="37"/>
  <c r="EA42" i="37" s="1"/>
  <c r="BV29" i="37"/>
  <c r="AN53" i="33" s="1"/>
  <c r="F46" i="24"/>
  <c r="AA48" i="5"/>
  <c r="Z48" i="5" s="1"/>
  <c r="AB48" i="5" s="1"/>
  <c r="AM45" i="5"/>
  <c r="AJ46" i="5" s="1"/>
  <c r="AI46" i="5"/>
  <c r="O38" i="19"/>
  <c r="AK84" i="33"/>
  <c r="AK85" i="33" s="1"/>
  <c r="E37" i="31" s="1"/>
  <c r="G37" i="31" s="1"/>
  <c r="M49" i="5"/>
  <c r="N49" i="5"/>
  <c r="AL57" i="33"/>
  <c r="AL73" i="33" s="1"/>
  <c r="AL62" i="33"/>
  <c r="AL78" i="33" s="1"/>
  <c r="AL61" i="33"/>
  <c r="AL77" i="33" s="1"/>
  <c r="AL58" i="33"/>
  <c r="AL74" i="33" s="1"/>
  <c r="AL63" i="33"/>
  <c r="AL79" i="33" s="1"/>
  <c r="AL59" i="33"/>
  <c r="AL75" i="33" s="1"/>
  <c r="G36" i="31"/>
  <c r="AL64" i="33"/>
  <c r="AL80" i="33" s="1"/>
  <c r="AL60" i="33"/>
  <c r="AL76" i="33" s="1"/>
  <c r="O49" i="51"/>
  <c r="Q49" i="51"/>
  <c r="S49" i="51"/>
  <c r="U49" i="51"/>
  <c r="AO18" i="33"/>
  <c r="AO38" i="33" s="1"/>
  <c r="AO10" i="33"/>
  <c r="AO30" i="33" s="1"/>
  <c r="AO11" i="33"/>
  <c r="AO31" i="33" s="1"/>
  <c r="AO12" i="33"/>
  <c r="AO32" i="33" s="1"/>
  <c r="AO9" i="33"/>
  <c r="AO29" i="33" s="1"/>
  <c r="AO13" i="33"/>
  <c r="AO33" i="33" s="1"/>
  <c r="AO19" i="33"/>
  <c r="AO7" i="33"/>
  <c r="AO27" i="33" s="1"/>
  <c r="AO8" i="33"/>
  <c r="AO28" i="33" s="1"/>
  <c r="AO20" i="33"/>
  <c r="AO15" i="33"/>
  <c r="AO35" i="33" s="1"/>
  <c r="AO16" i="33"/>
  <c r="AO36" i="33" s="1"/>
  <c r="AO17" i="33"/>
  <c r="AO37" i="33" s="1"/>
  <c r="T40" i="19"/>
  <c r="ES51" i="50"/>
  <c r="EY51" i="50"/>
  <c r="EM51" i="50"/>
  <c r="A50" i="51"/>
  <c r="DI51" i="50"/>
  <c r="AM45" i="33"/>
  <c r="AM49" i="33"/>
  <c r="AM44" i="33"/>
  <c r="AM42" i="33"/>
  <c r="AM47" i="33"/>
  <c r="AM46" i="33"/>
  <c r="AM48" i="33"/>
  <c r="AM43" i="33"/>
  <c r="K30" i="50"/>
  <c r="AD29" i="51" s="1"/>
  <c r="J52" i="50"/>
  <c r="CF29" i="50"/>
  <c r="AD28" i="51"/>
  <c r="AM51" i="33"/>
  <c r="AM66" i="33" s="1"/>
  <c r="AG11" i="41"/>
  <c r="AF36" i="41"/>
  <c r="DA11" i="41" s="1"/>
  <c r="CZ25" i="41"/>
  <c r="CZ13" i="41"/>
  <c r="CZ8" i="41"/>
  <c r="CZ7" i="41"/>
  <c r="CZ9" i="41"/>
  <c r="CZ18" i="41"/>
  <c r="CZ3" i="41"/>
  <c r="CZ19" i="41"/>
  <c r="CZ21" i="41"/>
  <c r="CZ12" i="41"/>
  <c r="CZ17" i="41"/>
  <c r="CZ15" i="41"/>
  <c r="CZ23" i="41"/>
  <c r="CZ16" i="41"/>
  <c r="CZ27" i="41"/>
  <c r="CZ5" i="41"/>
  <c r="CZ4" i="41"/>
  <c r="CZ24" i="41"/>
  <c r="CZ20" i="41"/>
  <c r="CZ14" i="41"/>
  <c r="CZ22" i="41"/>
  <c r="CZ10" i="41"/>
  <c r="CZ6" i="41"/>
  <c r="CZ26" i="41"/>
  <c r="AD38" i="41"/>
  <c r="BU1" i="41"/>
  <c r="EO1" i="41"/>
  <c r="BA24" i="41"/>
  <c r="B60" i="24"/>
  <c r="AA59" i="24"/>
  <c r="AL81" i="33"/>
  <c r="D38" i="31"/>
  <c r="BH16" i="41"/>
  <c r="BH4" i="41"/>
  <c r="BH22" i="41"/>
  <c r="BH13" i="41"/>
  <c r="BH9" i="41"/>
  <c r="BH17" i="41"/>
  <c r="BH21" i="41"/>
  <c r="BH20" i="41"/>
  <c r="BH23" i="41"/>
  <c r="BH7" i="41"/>
  <c r="BH15" i="41"/>
  <c r="BI27" i="41"/>
  <c r="BH10" i="41"/>
  <c r="BH18" i="41"/>
  <c r="BH19" i="41"/>
  <c r="BH25" i="41"/>
  <c r="BH6" i="41"/>
  <c r="BH14" i="41"/>
  <c r="BH26" i="41"/>
  <c r="BH3" i="41"/>
  <c r="BH5" i="41"/>
  <c r="BH12" i="41"/>
  <c r="BH8" i="41"/>
  <c r="AP2" i="33"/>
  <c r="BX2" i="37" s="1"/>
  <c r="F38" i="35"/>
  <c r="G38" i="35" s="1"/>
  <c r="C39" i="35" s="1"/>
  <c r="F39" i="35" s="1"/>
  <c r="G39" i="35" s="1"/>
  <c r="C40" i="35" s="1"/>
  <c r="F40" i="35" s="1"/>
  <c r="G40" i="35" s="1"/>
  <c r="C41" i="35" s="1"/>
  <c r="AY44" i="35"/>
  <c r="AZ44" i="35" s="1"/>
  <c r="AV45" i="35" s="1"/>
  <c r="AT45" i="35"/>
  <c r="AU45" i="35" s="1"/>
  <c r="AQ46" i="35" s="1"/>
  <c r="AO44" i="35"/>
  <c r="AP44" i="35" s="1"/>
  <c r="AL45" i="35" s="1"/>
  <c r="AJ44" i="35"/>
  <c r="AK44" i="35" s="1"/>
  <c r="AG45" i="35" s="1"/>
  <c r="AE44" i="35"/>
  <c r="AF44" i="35" s="1"/>
  <c r="AB45" i="35" s="1"/>
  <c r="Z44" i="35"/>
  <c r="AA44" i="35" s="1"/>
  <c r="W45" i="35" s="1"/>
  <c r="U44" i="35"/>
  <c r="V44" i="35" s="1"/>
  <c r="R45" i="35" s="1"/>
  <c r="P45" i="35"/>
  <c r="Q45" i="35" s="1"/>
  <c r="M46" i="35" s="1"/>
  <c r="K45" i="35"/>
  <c r="L45" i="35" s="1"/>
  <c r="H46" i="35" s="1"/>
  <c r="AN1" i="33"/>
  <c r="I28" i="17"/>
  <c r="J28" i="17"/>
  <c r="A31" i="19"/>
  <c r="B31" i="19"/>
  <c r="C39" i="24" s="1"/>
  <c r="B29" i="17"/>
  <c r="B30" i="52"/>
  <c r="G33" i="14"/>
  <c r="C5" i="30" s="1"/>
  <c r="BW54" i="37" l="1"/>
  <c r="EJ42" i="37" s="1"/>
  <c r="BW46" i="37"/>
  <c r="EB42" i="37" s="1"/>
  <c r="BW38" i="37"/>
  <c r="DT42" i="37" s="1"/>
  <c r="BW36" i="37"/>
  <c r="BW51" i="37"/>
  <c r="EG42" i="37" s="1"/>
  <c r="BW43" i="37"/>
  <c r="DY42" i="37" s="1"/>
  <c r="BW42" i="37"/>
  <c r="DX42" i="37" s="1"/>
  <c r="BW55" i="37"/>
  <c r="EK42" i="37" s="1"/>
  <c r="BW40" i="37"/>
  <c r="DV42" i="37" s="1"/>
  <c r="BX31" i="37"/>
  <c r="BX55" i="37" s="1"/>
  <c r="EK43" i="37" s="1"/>
  <c r="BX4" i="37"/>
  <c r="BX33" i="37" s="1"/>
  <c r="BX10" i="37"/>
  <c r="BX39" i="37" s="1"/>
  <c r="DU43" i="37" s="1"/>
  <c r="BX26" i="37"/>
  <c r="BX22" i="37"/>
  <c r="BX9" i="37"/>
  <c r="BX13" i="37"/>
  <c r="BX18" i="37"/>
  <c r="BX7" i="37"/>
  <c r="BX36" i="37" s="1"/>
  <c r="BX23" i="37"/>
  <c r="BX5" i="37"/>
  <c r="BX19" i="37"/>
  <c r="BX27" i="37"/>
  <c r="BX14" i="37"/>
  <c r="BX43" i="37" s="1"/>
  <c r="DY43" i="37" s="1"/>
  <c r="BX15" i="37"/>
  <c r="BX44" i="37" s="1"/>
  <c r="DZ43" i="37" s="1"/>
  <c r="BX12" i="37"/>
  <c r="BX11" i="37"/>
  <c r="BX24" i="37"/>
  <c r="BX8" i="37"/>
  <c r="BX21" i="37"/>
  <c r="BX50" i="37" s="1"/>
  <c r="EF43" i="37" s="1"/>
  <c r="BX28" i="37"/>
  <c r="BX6" i="37"/>
  <c r="BX17" i="37"/>
  <c r="BX25" i="37"/>
  <c r="BX54" i="37" s="1"/>
  <c r="EJ43" i="37" s="1"/>
  <c r="BX16" i="37"/>
  <c r="BX45" i="37" s="1"/>
  <c r="EA43" i="37" s="1"/>
  <c r="BX20" i="37"/>
  <c r="BX49" i="37" s="1"/>
  <c r="EE43" i="37" s="1"/>
  <c r="BX3" i="37"/>
  <c r="BX32" i="37" s="1"/>
  <c r="DN43" i="37" s="1"/>
  <c r="BW57" i="37"/>
  <c r="EM42" i="37" s="1"/>
  <c r="BW52" i="37"/>
  <c r="EH42" i="37" s="1"/>
  <c r="BW50" i="37"/>
  <c r="EF42" i="37" s="1"/>
  <c r="BW33" i="37"/>
  <c r="BW34" i="37"/>
  <c r="BW32" i="37"/>
  <c r="DN42" i="37" s="1"/>
  <c r="BW39" i="37"/>
  <c r="DU42" i="37" s="1"/>
  <c r="BW49" i="37"/>
  <c r="EE42" i="37" s="1"/>
  <c r="AN50" i="33"/>
  <c r="AN65" i="33" s="1"/>
  <c r="AN81" i="33" s="1"/>
  <c r="AM335" i="5"/>
  <c r="AJ336" i="5" s="1"/>
  <c r="AA337" i="5"/>
  <c r="Z337" i="5" s="1"/>
  <c r="P340" i="5"/>
  <c r="O340" i="5"/>
  <c r="Q340" i="5" s="1"/>
  <c r="CG34" i="5"/>
  <c r="CH34" i="5" s="1"/>
  <c r="CC32" i="5"/>
  <c r="CX109" i="5"/>
  <c r="CW110" i="5"/>
  <c r="DQ42" i="37"/>
  <c r="DR42" i="37"/>
  <c r="DP42" i="37"/>
  <c r="DO42" i="37"/>
  <c r="BW29" i="37"/>
  <c r="AO53" i="33" s="1"/>
  <c r="BX56" i="37"/>
  <c r="EL43" i="37" s="1"/>
  <c r="BX40" i="37"/>
  <c r="DV43" i="37" s="1"/>
  <c r="BX41" i="37"/>
  <c r="DW43" i="37" s="1"/>
  <c r="BX38" i="37"/>
  <c r="DT43" i="37" s="1"/>
  <c r="AL84" i="33"/>
  <c r="AL85" i="33" s="1"/>
  <c r="E38" i="31" s="1"/>
  <c r="G38" i="31" s="1"/>
  <c r="P49" i="5"/>
  <c r="O49" i="5" s="1"/>
  <c r="AL46" i="5"/>
  <c r="AK46" i="5" s="1"/>
  <c r="Y49" i="5"/>
  <c r="X49" i="5"/>
  <c r="AM58" i="33"/>
  <c r="AM74" i="33" s="1"/>
  <c r="AM63" i="33"/>
  <c r="AM79" i="33" s="1"/>
  <c r="F47" i="24"/>
  <c r="AM61" i="33"/>
  <c r="AM77" i="33" s="1"/>
  <c r="O39" i="19"/>
  <c r="AM62" i="33"/>
  <c r="AM78" i="33" s="1"/>
  <c r="AM57" i="33"/>
  <c r="AM73" i="33" s="1"/>
  <c r="AM59" i="33"/>
  <c r="AM75" i="33" s="1"/>
  <c r="AM64" i="33"/>
  <c r="AM80" i="33" s="1"/>
  <c r="AM60" i="33"/>
  <c r="AM76" i="33" s="1"/>
  <c r="S50" i="51"/>
  <c r="U50" i="51"/>
  <c r="O50" i="51"/>
  <c r="Q50" i="51"/>
  <c r="AP10" i="33"/>
  <c r="AP30" i="33" s="1"/>
  <c r="AP15" i="33"/>
  <c r="AP35" i="33" s="1"/>
  <c r="AP9" i="33"/>
  <c r="AP29" i="33" s="1"/>
  <c r="AP18" i="33"/>
  <c r="AP38" i="33" s="1"/>
  <c r="AP11" i="33"/>
  <c r="AP31" i="33" s="1"/>
  <c r="AP12" i="33"/>
  <c r="AP32" i="33" s="1"/>
  <c r="AP13" i="33"/>
  <c r="AP33" i="33" s="1"/>
  <c r="AP19" i="33"/>
  <c r="AP7" i="33"/>
  <c r="AP27" i="33" s="1"/>
  <c r="AP8" i="33"/>
  <c r="AP28" i="33" s="1"/>
  <c r="AP16" i="33"/>
  <c r="AP36" i="33" s="1"/>
  <c r="AP20" i="33"/>
  <c r="AP17" i="33"/>
  <c r="AP37" i="33" s="1"/>
  <c r="T41" i="19"/>
  <c r="G42" i="14"/>
  <c r="D4" i="24"/>
  <c r="EM52" i="50"/>
  <c r="EY52" i="50"/>
  <c r="ES52" i="50"/>
  <c r="A51" i="51"/>
  <c r="DI52" i="50"/>
  <c r="AN42" i="33"/>
  <c r="AN46" i="33"/>
  <c r="AN45" i="33"/>
  <c r="AN49" i="33"/>
  <c r="AN43" i="33"/>
  <c r="AN47" i="33"/>
  <c r="AN44" i="33"/>
  <c r="AN48" i="33"/>
  <c r="J53" i="50"/>
  <c r="A52" i="52"/>
  <c r="K31" i="50"/>
  <c r="AD30" i="51" s="1"/>
  <c r="CF30" i="50"/>
  <c r="F37" i="31"/>
  <c r="AN51" i="33"/>
  <c r="AN66" i="33" s="1"/>
  <c r="AH11" i="41"/>
  <c r="AG36" i="41"/>
  <c r="DB11" i="41" s="1"/>
  <c r="AE38" i="41"/>
  <c r="DA24" i="41"/>
  <c r="DA6" i="41"/>
  <c r="DA3" i="41"/>
  <c r="DA16" i="41"/>
  <c r="DA7" i="41"/>
  <c r="DA15" i="41"/>
  <c r="DA26" i="41"/>
  <c r="DA17" i="41"/>
  <c r="DA10" i="41"/>
  <c r="DA22" i="41"/>
  <c r="DA4" i="41"/>
  <c r="DA8" i="41"/>
  <c r="DA21" i="41"/>
  <c r="DA18" i="41"/>
  <c r="DA25" i="41"/>
  <c r="DA13" i="41"/>
  <c r="DA27" i="41"/>
  <c r="DA12" i="41"/>
  <c r="DA23" i="41"/>
  <c r="DA5" i="41"/>
  <c r="DA19" i="41"/>
  <c r="DA14" i="41"/>
  <c r="DA20" i="41"/>
  <c r="DA9" i="41"/>
  <c r="BV1" i="41"/>
  <c r="EP1" i="41"/>
  <c r="BB24" i="41"/>
  <c r="G18" i="45"/>
  <c r="H18" i="45" s="1"/>
  <c r="H22" i="45" s="1"/>
  <c r="L6" i="45" s="1"/>
  <c r="B61" i="24"/>
  <c r="A53" i="52" s="1"/>
  <c r="AA60" i="24"/>
  <c r="D39" i="31"/>
  <c r="BI8" i="41"/>
  <c r="BI12" i="41"/>
  <c r="BI5" i="41"/>
  <c r="BI3" i="41"/>
  <c r="BI26" i="41"/>
  <c r="BI14" i="41"/>
  <c r="BI6" i="41"/>
  <c r="BI25" i="41"/>
  <c r="BI19" i="41"/>
  <c r="BI18" i="41"/>
  <c r="BI10" i="41"/>
  <c r="BJ27" i="41"/>
  <c r="BI15" i="41"/>
  <c r="BI7" i="41"/>
  <c r="BI23" i="41"/>
  <c r="BI20" i="41"/>
  <c r="BI21" i="41"/>
  <c r="BI17" i="41"/>
  <c r="BI9" i="41"/>
  <c r="BI13" i="41"/>
  <c r="BI22" i="41"/>
  <c r="BI4" i="41"/>
  <c r="BI16" i="41"/>
  <c r="AQ2" i="33"/>
  <c r="BY2" i="37" s="1"/>
  <c r="I29" i="17"/>
  <c r="F41" i="35"/>
  <c r="G41" i="35" s="1"/>
  <c r="C42" i="35" s="1"/>
  <c r="F42" i="35" s="1"/>
  <c r="G42" i="35" s="1"/>
  <c r="C43" i="35" s="1"/>
  <c r="AY45" i="35"/>
  <c r="AZ45" i="35" s="1"/>
  <c r="AV46" i="35" s="1"/>
  <c r="AT46" i="35"/>
  <c r="AU46" i="35" s="1"/>
  <c r="AQ47" i="35" s="1"/>
  <c r="AO45" i="35"/>
  <c r="AP45" i="35" s="1"/>
  <c r="AL46" i="35" s="1"/>
  <c r="AJ45" i="35"/>
  <c r="AK45" i="35" s="1"/>
  <c r="AG46" i="35" s="1"/>
  <c r="AE45" i="35"/>
  <c r="AF45" i="35" s="1"/>
  <c r="AB46" i="35" s="1"/>
  <c r="Z45" i="35"/>
  <c r="AA45" i="35" s="1"/>
  <c r="W46" i="35" s="1"/>
  <c r="U45" i="35"/>
  <c r="V45" i="35" s="1"/>
  <c r="R46" i="35" s="1"/>
  <c r="P46" i="35"/>
  <c r="Q46" i="35" s="1"/>
  <c r="M47" i="35" s="1"/>
  <c r="K46" i="35"/>
  <c r="L46" i="35" s="1"/>
  <c r="H47" i="35" s="1"/>
  <c r="AO1" i="33"/>
  <c r="A32" i="19"/>
  <c r="J29" i="17"/>
  <c r="B32" i="19"/>
  <c r="C40" i="24" s="1"/>
  <c r="B31" i="52"/>
  <c r="B30" i="17"/>
  <c r="BX37" i="37" l="1"/>
  <c r="DS43" i="37" s="1"/>
  <c r="BX46" i="37"/>
  <c r="EB43" i="37" s="1"/>
  <c r="BX52" i="37"/>
  <c r="EH43" i="37" s="1"/>
  <c r="BX42" i="37"/>
  <c r="DX43" i="37" s="1"/>
  <c r="BX53" i="37"/>
  <c r="EI43" i="37" s="1"/>
  <c r="BX48" i="37"/>
  <c r="ED43" i="37" s="1"/>
  <c r="BX34" i="37"/>
  <c r="DP43" i="37" s="1"/>
  <c r="BX51" i="37"/>
  <c r="EG43" i="37" s="1"/>
  <c r="BX35" i="37"/>
  <c r="DQ43" i="37" s="1"/>
  <c r="BX57" i="37"/>
  <c r="EM43" i="37" s="1"/>
  <c r="BX47" i="37"/>
  <c r="EC43" i="37" s="1"/>
  <c r="BY31" i="37"/>
  <c r="BY53" i="37" s="1"/>
  <c r="EI44" i="37" s="1"/>
  <c r="BY14" i="37"/>
  <c r="BY4" i="37"/>
  <c r="BY8" i="37"/>
  <c r="BY12" i="37"/>
  <c r="BY16" i="37"/>
  <c r="BY19" i="37"/>
  <c r="BY26" i="37"/>
  <c r="BY55" i="37" s="1"/>
  <c r="EK44" i="37" s="1"/>
  <c r="BY6" i="37"/>
  <c r="BY7" i="37"/>
  <c r="BY23" i="37"/>
  <c r="BY5" i="37"/>
  <c r="BY13" i="37"/>
  <c r="BY42" i="37" s="1"/>
  <c r="DX44" i="37" s="1"/>
  <c r="BY17" i="37"/>
  <c r="BY20" i="37"/>
  <c r="BY22" i="37"/>
  <c r="BY27" i="37"/>
  <c r="BY15" i="37"/>
  <c r="BY9" i="37"/>
  <c r="BY10" i="37"/>
  <c r="BY18" i="37"/>
  <c r="BY11" i="37"/>
  <c r="BY24" i="37"/>
  <c r="BY21" i="37"/>
  <c r="BY25" i="37"/>
  <c r="BY54" i="37" s="1"/>
  <c r="EJ44" i="37" s="1"/>
  <c r="BY28" i="37"/>
  <c r="BY3" i="37"/>
  <c r="BW58" i="37"/>
  <c r="AO68" i="33" s="1"/>
  <c r="AO50" i="33"/>
  <c r="AO65" i="33" s="1"/>
  <c r="AB337" i="5"/>
  <c r="Y338" i="5"/>
  <c r="AL336" i="5"/>
  <c r="AK336" i="5" s="1"/>
  <c r="N341" i="5"/>
  <c r="CP34" i="5"/>
  <c r="BW32" i="5"/>
  <c r="BV32" i="5" s="1"/>
  <c r="BX32" i="5" s="1"/>
  <c r="CW111" i="5"/>
  <c r="CX110" i="5"/>
  <c r="DR43" i="37"/>
  <c r="DO43" i="37"/>
  <c r="BX29" i="37"/>
  <c r="AP53" i="33" s="1"/>
  <c r="O40" i="19"/>
  <c r="AA49" i="5"/>
  <c r="Z49" i="5" s="1"/>
  <c r="AM46" i="5"/>
  <c r="AJ47" i="5" s="1"/>
  <c r="AI47" i="5"/>
  <c r="Q49" i="5"/>
  <c r="N50" i="5" s="1"/>
  <c r="M50" i="5"/>
  <c r="AN63" i="33"/>
  <c r="AN79" i="33" s="1"/>
  <c r="AN59" i="33"/>
  <c r="AN75" i="33" s="1"/>
  <c r="AN62" i="33"/>
  <c r="AN78" i="33" s="1"/>
  <c r="AN58" i="33"/>
  <c r="AN74" i="33" s="1"/>
  <c r="AN64" i="33"/>
  <c r="AN80" i="33" s="1"/>
  <c r="AN60" i="33"/>
  <c r="AN76" i="33" s="1"/>
  <c r="AN61" i="33"/>
  <c r="AN77" i="33" s="1"/>
  <c r="AN57" i="33"/>
  <c r="AN73" i="33" s="1"/>
  <c r="S51" i="51"/>
  <c r="O51" i="51"/>
  <c r="Q51" i="51"/>
  <c r="U51" i="51"/>
  <c r="AQ10" i="33"/>
  <c r="AQ30" i="33" s="1"/>
  <c r="AQ15" i="33"/>
  <c r="AQ35" i="33" s="1"/>
  <c r="AQ9" i="33"/>
  <c r="AQ29" i="33" s="1"/>
  <c r="AQ13" i="33"/>
  <c r="AQ33" i="33" s="1"/>
  <c r="AQ18" i="33"/>
  <c r="AQ38" i="33" s="1"/>
  <c r="AQ11" i="33"/>
  <c r="AQ31" i="33" s="1"/>
  <c r="AQ12" i="33"/>
  <c r="AQ32" i="33" s="1"/>
  <c r="AQ17" i="33"/>
  <c r="AQ37" i="33" s="1"/>
  <c r="AQ20" i="33"/>
  <c r="AQ7" i="33"/>
  <c r="AQ27" i="33" s="1"/>
  <c r="AQ19" i="33"/>
  <c r="AQ16" i="33"/>
  <c r="AQ36" i="33" s="1"/>
  <c r="AQ8" i="33"/>
  <c r="AQ28" i="33" s="1"/>
  <c r="T42" i="19"/>
  <c r="AM84" i="33"/>
  <c r="AM85" i="33" s="1"/>
  <c r="E39" i="31" s="1"/>
  <c r="F39" i="31" s="1"/>
  <c r="F48" i="24"/>
  <c r="ES53" i="50"/>
  <c r="EM53" i="50"/>
  <c r="EY53" i="50"/>
  <c r="A52" i="51"/>
  <c r="DI53" i="50"/>
  <c r="AO42" i="33"/>
  <c r="AO46" i="33"/>
  <c r="AO45" i="33"/>
  <c r="AO49" i="33"/>
  <c r="AO43" i="33"/>
  <c r="AO44" i="33"/>
  <c r="AO47" i="33"/>
  <c r="AO48" i="33"/>
  <c r="K32" i="50"/>
  <c r="CF31" i="50"/>
  <c r="J54" i="50"/>
  <c r="F38" i="31"/>
  <c r="AF38" i="41"/>
  <c r="AO51" i="33"/>
  <c r="AO66" i="33" s="1"/>
  <c r="DB24" i="41"/>
  <c r="DB9" i="41"/>
  <c r="DB20" i="41"/>
  <c r="DB19" i="41"/>
  <c r="DB22" i="41"/>
  <c r="DB5" i="41"/>
  <c r="DB23" i="41"/>
  <c r="DB26" i="41"/>
  <c r="DB15" i="41"/>
  <c r="DB13" i="41"/>
  <c r="DB25" i="41"/>
  <c r="DB4" i="41"/>
  <c r="DB14" i="41"/>
  <c r="DB27" i="41"/>
  <c r="DB12" i="41"/>
  <c r="DB10" i="41"/>
  <c r="DB17" i="41"/>
  <c r="DB7" i="41"/>
  <c r="DB16" i="41"/>
  <c r="DB18" i="41"/>
  <c r="DB21" i="41"/>
  <c r="DB3" i="41"/>
  <c r="DB6" i="41"/>
  <c r="DB8" i="41"/>
  <c r="AI11" i="41"/>
  <c r="AH36" i="41"/>
  <c r="DC11" i="41" s="1"/>
  <c r="AO81" i="33"/>
  <c r="BW1" i="41"/>
  <c r="EQ1" i="41"/>
  <c r="BC24" i="41"/>
  <c r="B62" i="24"/>
  <c r="A54" i="52" s="1"/>
  <c r="AA61" i="24"/>
  <c r="D40" i="31"/>
  <c r="BJ16" i="41"/>
  <c r="BJ4" i="41"/>
  <c r="BJ22" i="41"/>
  <c r="BJ13" i="41"/>
  <c r="BJ9" i="41"/>
  <c r="BJ17" i="41"/>
  <c r="BJ21" i="41"/>
  <c r="BJ20" i="41"/>
  <c r="BJ23" i="41"/>
  <c r="BJ7" i="41"/>
  <c r="BJ15" i="41"/>
  <c r="BK27" i="41"/>
  <c r="BJ10" i="41"/>
  <c r="BJ18" i="41"/>
  <c r="BJ19" i="41"/>
  <c r="BJ25" i="41"/>
  <c r="BJ6" i="41"/>
  <c r="BJ14" i="41"/>
  <c r="BJ26" i="41"/>
  <c r="BJ3" i="41"/>
  <c r="BJ5" i="41"/>
  <c r="BJ12" i="41"/>
  <c r="BJ8" i="41"/>
  <c r="AR2" i="33"/>
  <c r="BZ2" i="37" s="1"/>
  <c r="I30" i="17"/>
  <c r="F43" i="35"/>
  <c r="G43" i="35" s="1"/>
  <c r="C44" i="35" s="1"/>
  <c r="F44" i="35" s="1"/>
  <c r="G44" i="35" s="1"/>
  <c r="C45" i="35" s="1"/>
  <c r="AY46" i="35"/>
  <c r="AZ46" i="35" s="1"/>
  <c r="AV47" i="35" s="1"/>
  <c r="AT47" i="35"/>
  <c r="AU47" i="35" s="1"/>
  <c r="AQ48" i="35" s="1"/>
  <c r="AO46" i="35"/>
  <c r="AP46" i="35" s="1"/>
  <c r="AL47" i="35" s="1"/>
  <c r="AJ46" i="35"/>
  <c r="AK46" i="35" s="1"/>
  <c r="AG47" i="35" s="1"/>
  <c r="AE46" i="35"/>
  <c r="AF46" i="35" s="1"/>
  <c r="AB47" i="35" s="1"/>
  <c r="Z46" i="35"/>
  <c r="AA46" i="35" s="1"/>
  <c r="W47" i="35" s="1"/>
  <c r="U46" i="35"/>
  <c r="V46" i="35" s="1"/>
  <c r="R47" i="35" s="1"/>
  <c r="P47" i="35"/>
  <c r="Q47" i="35" s="1"/>
  <c r="M48" i="35" s="1"/>
  <c r="K47" i="35"/>
  <c r="L47" i="35" s="1"/>
  <c r="H48" i="35" s="1"/>
  <c r="AP1" i="33"/>
  <c r="A33" i="19"/>
  <c r="J30" i="17"/>
  <c r="B33" i="19"/>
  <c r="C41" i="24" s="1"/>
  <c r="B31" i="17"/>
  <c r="B32" i="52"/>
  <c r="BY50" i="37" l="1"/>
  <c r="EF44" i="37" s="1"/>
  <c r="BY34" i="37"/>
  <c r="BY56" i="37"/>
  <c r="EL44" i="37" s="1"/>
  <c r="BY40" i="37"/>
  <c r="DV44" i="37" s="1"/>
  <c r="BY36" i="37"/>
  <c r="DR44" i="37" s="1"/>
  <c r="BY47" i="37"/>
  <c r="EC44" i="37" s="1"/>
  <c r="BY35" i="37"/>
  <c r="DQ44" i="37" s="1"/>
  <c r="BY41" i="37"/>
  <c r="DW44" i="37" s="1"/>
  <c r="BX58" i="37"/>
  <c r="AP68" i="33" s="1"/>
  <c r="BY51" i="37"/>
  <c r="EG44" i="37" s="1"/>
  <c r="BY37" i="37"/>
  <c r="DS44" i="37" s="1"/>
  <c r="BY32" i="37"/>
  <c r="DN44" i="37" s="1"/>
  <c r="BY49" i="37"/>
  <c r="EE44" i="37" s="1"/>
  <c r="BY33" i="37"/>
  <c r="DO44" i="37" s="1"/>
  <c r="BY39" i="37"/>
  <c r="DU44" i="37" s="1"/>
  <c r="BY38" i="37"/>
  <c r="DT44" i="37" s="1"/>
  <c r="BZ31" i="37"/>
  <c r="BZ55" i="37" s="1"/>
  <c r="EK45" i="37" s="1"/>
  <c r="BZ7" i="37"/>
  <c r="BZ11" i="37"/>
  <c r="BZ40" i="37" s="1"/>
  <c r="DV45" i="37" s="1"/>
  <c r="BZ15" i="37"/>
  <c r="BZ44" i="37" s="1"/>
  <c r="DZ45" i="37" s="1"/>
  <c r="BZ4" i="37"/>
  <c r="BZ33" i="37" s="1"/>
  <c r="BZ19" i="37"/>
  <c r="BZ48" i="37" s="1"/>
  <c r="ED45" i="37" s="1"/>
  <c r="BZ23" i="37"/>
  <c r="BZ27" i="37"/>
  <c r="BZ56" i="37" s="1"/>
  <c r="EL45" i="37" s="1"/>
  <c r="BZ8" i="37"/>
  <c r="BZ12" i="37"/>
  <c r="BZ16" i="37"/>
  <c r="BZ28" i="37"/>
  <c r="BZ6" i="37"/>
  <c r="BZ35" i="37" s="1"/>
  <c r="BZ13" i="37"/>
  <c r="BZ42" i="37" s="1"/>
  <c r="DX45" i="37" s="1"/>
  <c r="BZ14" i="37"/>
  <c r="BZ43" i="37" s="1"/>
  <c r="DY45" i="37" s="1"/>
  <c r="BZ17" i="37"/>
  <c r="BZ46" i="37" s="1"/>
  <c r="EB45" i="37" s="1"/>
  <c r="BZ20" i="37"/>
  <c r="BZ22" i="37"/>
  <c r="BZ51" i="37" s="1"/>
  <c r="EG45" i="37" s="1"/>
  <c r="BZ5" i="37"/>
  <c r="BZ34" i="37" s="1"/>
  <c r="BZ9" i="37"/>
  <c r="BZ38" i="37" s="1"/>
  <c r="DT45" i="37" s="1"/>
  <c r="BZ10" i="37"/>
  <c r="BZ18" i="37"/>
  <c r="BZ24" i="37"/>
  <c r="BZ26" i="37"/>
  <c r="BZ21" i="37"/>
  <c r="BZ50" i="37" s="1"/>
  <c r="EF45" i="37" s="1"/>
  <c r="BZ25" i="37"/>
  <c r="BZ54" i="37" s="1"/>
  <c r="EJ45" i="37" s="1"/>
  <c r="BZ3" i="37"/>
  <c r="BZ32" i="37" s="1"/>
  <c r="DN45" i="37" s="1"/>
  <c r="BY46" i="37"/>
  <c r="EB44" i="37" s="1"/>
  <c r="BY44" i="37"/>
  <c r="DZ44" i="37" s="1"/>
  <c r="BY52" i="37"/>
  <c r="EH44" i="37" s="1"/>
  <c r="BY45" i="37"/>
  <c r="EA44" i="37" s="1"/>
  <c r="BY48" i="37"/>
  <c r="ED44" i="37" s="1"/>
  <c r="BY43" i="37"/>
  <c r="DY44" i="37" s="1"/>
  <c r="BY57" i="37"/>
  <c r="EM44" i="37" s="1"/>
  <c r="AP50" i="33"/>
  <c r="AP65" i="33" s="1"/>
  <c r="AM336" i="5"/>
  <c r="AJ337" i="5"/>
  <c r="P341" i="5"/>
  <c r="O341" i="5" s="1"/>
  <c r="AA338" i="5"/>
  <c r="Z338" i="5" s="1"/>
  <c r="CJ34" i="5"/>
  <c r="CI34" i="5" s="1"/>
  <c r="CK34" i="5" s="1"/>
  <c r="BT33" i="5"/>
  <c r="BU33" i="5" s="1"/>
  <c r="CW112" i="5"/>
  <c r="CX111" i="5"/>
  <c r="DP44" i="37"/>
  <c r="BZ57" i="37"/>
  <c r="EM45" i="37" s="1"/>
  <c r="BZ36" i="37"/>
  <c r="BZ49" i="37"/>
  <c r="EE45" i="37" s="1"/>
  <c r="BZ45" i="37"/>
  <c r="EA45" i="37" s="1"/>
  <c r="BZ52" i="37"/>
  <c r="EH45" i="37" s="1"/>
  <c r="BY29" i="37"/>
  <c r="AQ53" i="33" s="1"/>
  <c r="O41" i="19"/>
  <c r="P50" i="5"/>
  <c r="O50" i="5" s="1"/>
  <c r="AL47" i="5"/>
  <c r="AK47" i="5" s="1"/>
  <c r="AB49" i="5"/>
  <c r="Y50" i="5" s="1"/>
  <c r="X50" i="5"/>
  <c r="O52" i="51"/>
  <c r="Q52" i="51"/>
  <c r="S52" i="51"/>
  <c r="U52" i="51"/>
  <c r="AO63" i="33"/>
  <c r="AO79" i="33" s="1"/>
  <c r="AO62" i="33"/>
  <c r="AO78" i="33" s="1"/>
  <c r="AO59" i="33"/>
  <c r="AO75" i="33" s="1"/>
  <c r="AO58" i="33"/>
  <c r="AO74" i="33" s="1"/>
  <c r="AO64" i="33"/>
  <c r="AO80" i="33" s="1"/>
  <c r="AO60" i="33"/>
  <c r="AO76" i="33" s="1"/>
  <c r="AO61" i="33"/>
  <c r="AO77" i="33" s="1"/>
  <c r="AO57" i="33"/>
  <c r="AO73" i="33" s="1"/>
  <c r="AR7" i="33"/>
  <c r="AR27" i="33" s="1"/>
  <c r="AR19" i="33"/>
  <c r="AR10" i="33"/>
  <c r="AR30" i="33" s="1"/>
  <c r="AR9" i="33"/>
  <c r="AR29" i="33" s="1"/>
  <c r="AR18" i="33"/>
  <c r="AR38" i="33" s="1"/>
  <c r="AR11" i="33"/>
  <c r="AR31" i="33" s="1"/>
  <c r="AR20" i="33"/>
  <c r="AR17" i="33"/>
  <c r="AR37" i="33" s="1"/>
  <c r="AR16" i="33"/>
  <c r="AR36" i="33" s="1"/>
  <c r="AR15" i="33"/>
  <c r="AR35" i="33" s="1"/>
  <c r="AR12" i="33"/>
  <c r="AR32" i="33" s="1"/>
  <c r="AR13" i="33"/>
  <c r="AR33" i="33" s="1"/>
  <c r="AR8" i="33"/>
  <c r="AR28" i="33" s="1"/>
  <c r="G39" i="31"/>
  <c r="AN84" i="33"/>
  <c r="AN85" i="33" s="1"/>
  <c r="E40" i="31" s="1"/>
  <c r="G40" i="31" s="1"/>
  <c r="T43" i="19"/>
  <c r="F49" i="24"/>
  <c r="EY54" i="50"/>
  <c r="ES54" i="50"/>
  <c r="EM54" i="50"/>
  <c r="A53" i="51"/>
  <c r="DI54" i="50"/>
  <c r="AP42" i="33"/>
  <c r="AP46" i="33"/>
  <c r="AP45" i="33"/>
  <c r="AP44" i="33"/>
  <c r="AP47" i="33"/>
  <c r="AP48" i="33"/>
  <c r="AP49" i="33"/>
  <c r="AP43" i="33"/>
  <c r="CF32" i="50"/>
  <c r="K33" i="50"/>
  <c r="J55" i="50"/>
  <c r="AD31" i="51"/>
  <c r="AP51" i="33"/>
  <c r="AP66" i="33" s="1"/>
  <c r="AJ11" i="41"/>
  <c r="AI36" i="41"/>
  <c r="DD11" i="41" s="1"/>
  <c r="DC24" i="41"/>
  <c r="DC20" i="41"/>
  <c r="DC15" i="41"/>
  <c r="DC14" i="41"/>
  <c r="DC12" i="41"/>
  <c r="DC21" i="41"/>
  <c r="DC7" i="41"/>
  <c r="DC16" i="41"/>
  <c r="DC27" i="41"/>
  <c r="DC6" i="41"/>
  <c r="DC3" i="41"/>
  <c r="DC23" i="41"/>
  <c r="DC9" i="41"/>
  <c r="DC26" i="41"/>
  <c r="DC5" i="41"/>
  <c r="DC10" i="41"/>
  <c r="DC4" i="41"/>
  <c r="DC17" i="41"/>
  <c r="DC13" i="41"/>
  <c r="DC25" i="41"/>
  <c r="DC18" i="41"/>
  <c r="DC22" i="41"/>
  <c r="DC8" i="41"/>
  <c r="DC19" i="41"/>
  <c r="AG38" i="41"/>
  <c r="ER1" i="41"/>
  <c r="M27" i="49"/>
  <c r="M10" i="49"/>
  <c r="M16" i="49"/>
  <c r="M20" i="49"/>
  <c r="M8" i="49"/>
  <c r="M9" i="49"/>
  <c r="M5" i="49"/>
  <c r="M21" i="49"/>
  <c r="M19" i="49"/>
  <c r="M11" i="49"/>
  <c r="M7" i="49"/>
  <c r="M4" i="49"/>
  <c r="M12" i="49"/>
  <c r="M25" i="49"/>
  <c r="M23" i="49"/>
  <c r="M17" i="49"/>
  <c r="M3" i="49"/>
  <c r="M26" i="49"/>
  <c r="M6" i="49"/>
  <c r="M15" i="49"/>
  <c r="M18" i="49"/>
  <c r="M14" i="49"/>
  <c r="M22" i="49"/>
  <c r="M13" i="49"/>
  <c r="M24" i="49"/>
  <c r="BD24" i="41"/>
  <c r="B63" i="24"/>
  <c r="AA62" i="24"/>
  <c r="D41" i="31"/>
  <c r="BK8" i="41"/>
  <c r="BK12" i="41"/>
  <c r="BK5" i="41"/>
  <c r="BK3" i="41"/>
  <c r="BK26" i="41"/>
  <c r="BK14" i="41"/>
  <c r="BK6" i="41"/>
  <c r="BK25" i="41"/>
  <c r="BK19" i="41"/>
  <c r="BK18" i="41"/>
  <c r="BK10" i="41"/>
  <c r="BL27" i="41"/>
  <c r="BK15" i="41"/>
  <c r="BK7" i="41"/>
  <c r="BK23" i="41"/>
  <c r="BK20" i="41"/>
  <c r="BK21" i="41"/>
  <c r="BK17" i="41"/>
  <c r="BK9" i="41"/>
  <c r="BK13" i="41"/>
  <c r="BK22" i="41"/>
  <c r="BK4" i="41"/>
  <c r="BK16" i="41"/>
  <c r="I31" i="17"/>
  <c r="AS2" i="33"/>
  <c r="CA2" i="37" s="1"/>
  <c r="J31" i="17"/>
  <c r="F45" i="35"/>
  <c r="G45" i="35" s="1"/>
  <c r="C46" i="35" s="1"/>
  <c r="F46" i="35" s="1"/>
  <c r="G46" i="35" s="1"/>
  <c r="C47" i="35" s="1"/>
  <c r="AY47" i="35"/>
  <c r="AZ47" i="35" s="1"/>
  <c r="AV48" i="35" s="1"/>
  <c r="AT48" i="35"/>
  <c r="AU48" i="35" s="1"/>
  <c r="AQ49" i="35" s="1"/>
  <c r="AO47" i="35"/>
  <c r="AP47" i="35" s="1"/>
  <c r="AL48" i="35" s="1"/>
  <c r="AJ47" i="35"/>
  <c r="AK47" i="35" s="1"/>
  <c r="AG48" i="35" s="1"/>
  <c r="AE47" i="35"/>
  <c r="AF47" i="35" s="1"/>
  <c r="AB48" i="35" s="1"/>
  <c r="Z47" i="35"/>
  <c r="AA47" i="35" s="1"/>
  <c r="W48" i="35" s="1"/>
  <c r="U47" i="35"/>
  <c r="V47" i="35" s="1"/>
  <c r="R48" i="35" s="1"/>
  <c r="P48" i="35"/>
  <c r="Q48" i="35" s="1"/>
  <c r="M49" i="35" s="1"/>
  <c r="K48" i="35"/>
  <c r="L48" i="35" s="1"/>
  <c r="H49" i="35" s="1"/>
  <c r="AQ1" i="33"/>
  <c r="A34" i="19"/>
  <c r="B34" i="19"/>
  <c r="C42" i="24" s="1"/>
  <c r="B33" i="52"/>
  <c r="B32" i="17"/>
  <c r="BZ53" i="37" l="1"/>
  <c r="EI45" i="37" s="1"/>
  <c r="BZ47" i="37"/>
  <c r="EC45" i="37" s="1"/>
  <c r="BZ41" i="37"/>
  <c r="DW45" i="37" s="1"/>
  <c r="BZ39" i="37"/>
  <c r="DU45" i="37" s="1"/>
  <c r="BZ37" i="37"/>
  <c r="DS45" i="37" s="1"/>
  <c r="CA31" i="37"/>
  <c r="CA7" i="37"/>
  <c r="CA36" i="37" s="1"/>
  <c r="CA4" i="37"/>
  <c r="CA33" i="37" s="1"/>
  <c r="CA23" i="37"/>
  <c r="CA52" i="37" s="1"/>
  <c r="EH46" i="37" s="1"/>
  <c r="CA19" i="37"/>
  <c r="CA48" i="37" s="1"/>
  <c r="ED46" i="37" s="1"/>
  <c r="CA8" i="37"/>
  <c r="CA37" i="37" s="1"/>
  <c r="DS46" i="37" s="1"/>
  <c r="CA12" i="37"/>
  <c r="CA41" i="37" s="1"/>
  <c r="DW46" i="37" s="1"/>
  <c r="CA16" i="37"/>
  <c r="CA24" i="37"/>
  <c r="CA28" i="37"/>
  <c r="CA6" i="37"/>
  <c r="CA25" i="37"/>
  <c r="CA27" i="37"/>
  <c r="CA56" i="37" s="1"/>
  <c r="EL46" i="37" s="1"/>
  <c r="CA13" i="37"/>
  <c r="CA42" i="37" s="1"/>
  <c r="DX46" i="37" s="1"/>
  <c r="CA14" i="37"/>
  <c r="CA43" i="37" s="1"/>
  <c r="DY46" i="37" s="1"/>
  <c r="CA15" i="37"/>
  <c r="CA44" i="37" s="1"/>
  <c r="DZ46" i="37" s="1"/>
  <c r="CA17" i="37"/>
  <c r="CA20" i="37"/>
  <c r="CA49" i="37" s="1"/>
  <c r="EE46" i="37" s="1"/>
  <c r="CA22" i="37"/>
  <c r="CA51" i="37" s="1"/>
  <c r="EG46" i="37" s="1"/>
  <c r="CA5" i="37"/>
  <c r="CA9" i="37"/>
  <c r="CA10" i="37"/>
  <c r="CA11" i="37"/>
  <c r="CA18" i="37"/>
  <c r="CA26" i="37"/>
  <c r="CA21" i="37"/>
  <c r="CA3" i="37"/>
  <c r="CA32" i="37" s="1"/>
  <c r="DN46" i="37" s="1"/>
  <c r="BY58" i="37"/>
  <c r="AQ68" i="33" s="1"/>
  <c r="AQ50" i="33"/>
  <c r="AQ65" i="33" s="1"/>
  <c r="AQ81" i="33" s="1"/>
  <c r="AB338" i="5"/>
  <c r="Y339" i="5"/>
  <c r="Q341" i="5"/>
  <c r="N342" i="5"/>
  <c r="AL337" i="5"/>
  <c r="AK337" i="5" s="1"/>
  <c r="CG35" i="5"/>
  <c r="CH35" i="5" s="1"/>
  <c r="CC33" i="5"/>
  <c r="Q50" i="5"/>
  <c r="N51" i="5" s="1"/>
  <c r="M51" i="5"/>
  <c r="CX112" i="5"/>
  <c r="CW113" i="5"/>
  <c r="DQ45" i="37"/>
  <c r="DO45" i="37"/>
  <c r="DP45" i="37"/>
  <c r="DR45" i="37"/>
  <c r="CA50" i="37"/>
  <c r="EF46" i="37" s="1"/>
  <c r="CA53" i="37"/>
  <c r="EI46" i="37" s="1"/>
  <c r="CA38" i="37"/>
  <c r="DT46" i="37" s="1"/>
  <c r="CA55" i="37"/>
  <c r="EK46" i="37" s="1"/>
  <c r="CA46" i="37"/>
  <c r="EB46" i="37" s="1"/>
  <c r="BZ29" i="37"/>
  <c r="AR53" i="33" s="1"/>
  <c r="F50" i="24"/>
  <c r="P51" i="5"/>
  <c r="O51" i="5"/>
  <c r="AM47" i="5"/>
  <c r="AJ48" i="5" s="1"/>
  <c r="AI48" i="5"/>
  <c r="AA50" i="5"/>
  <c r="Z50" i="5" s="1"/>
  <c r="X51" i="5" s="1"/>
  <c r="F40" i="31"/>
  <c r="AP58" i="33"/>
  <c r="AP74" i="33" s="1"/>
  <c r="AP64" i="33"/>
  <c r="AP80" i="33" s="1"/>
  <c r="O42" i="19"/>
  <c r="AP63" i="33"/>
  <c r="AP79" i="33" s="1"/>
  <c r="AP62" i="33"/>
  <c r="AP78" i="33" s="1"/>
  <c r="AP59" i="33"/>
  <c r="AP75" i="33" s="1"/>
  <c r="AP60" i="33"/>
  <c r="AP76" i="33" s="1"/>
  <c r="AO84" i="33"/>
  <c r="AO85" i="33" s="1"/>
  <c r="E41" i="31" s="1"/>
  <c r="F41" i="31" s="1"/>
  <c r="AP61" i="33"/>
  <c r="AP77" i="33" s="1"/>
  <c r="AP57" i="33"/>
  <c r="AP73" i="33" s="1"/>
  <c r="O53" i="51"/>
  <c r="Q53" i="51"/>
  <c r="S53" i="51"/>
  <c r="U53" i="51"/>
  <c r="AS7" i="33"/>
  <c r="AS27" i="33" s="1"/>
  <c r="AS11" i="33"/>
  <c r="AS31" i="33" s="1"/>
  <c r="AS16" i="33"/>
  <c r="AS36" i="33" s="1"/>
  <c r="AS8" i="33"/>
  <c r="AS28" i="33" s="1"/>
  <c r="AS19" i="33"/>
  <c r="AS10" i="33"/>
  <c r="AS30" i="33" s="1"/>
  <c r="AS12" i="33"/>
  <c r="AS32" i="33" s="1"/>
  <c r="AS9" i="33"/>
  <c r="AS29" i="33" s="1"/>
  <c r="AS17" i="33"/>
  <c r="AS37" i="33" s="1"/>
  <c r="AS20" i="33"/>
  <c r="AS13" i="33"/>
  <c r="AS33" i="33" s="1"/>
  <c r="AS15" i="33"/>
  <c r="AS35" i="33" s="1"/>
  <c r="AS18" i="33"/>
  <c r="AS38" i="33" s="1"/>
  <c r="T44" i="19"/>
  <c r="EM55" i="50"/>
  <c r="ES55" i="50"/>
  <c r="EY55" i="50"/>
  <c r="A54" i="51"/>
  <c r="DI55" i="50"/>
  <c r="AQ43" i="33"/>
  <c r="AQ47" i="33"/>
  <c r="AQ42" i="33"/>
  <c r="AQ46" i="33"/>
  <c r="AQ44" i="33"/>
  <c r="AQ48" i="33"/>
  <c r="AQ49" i="33"/>
  <c r="AQ45" i="33"/>
  <c r="J56" i="50"/>
  <c r="A55" i="52"/>
  <c r="K34" i="50"/>
  <c r="CF33" i="50"/>
  <c r="AD32" i="51"/>
  <c r="AQ51" i="33"/>
  <c r="AQ66" i="33" s="1"/>
  <c r="AH38" i="41"/>
  <c r="AK11" i="41"/>
  <c r="AJ36" i="41"/>
  <c r="DE11" i="41" s="1"/>
  <c r="DD24" i="41"/>
  <c r="DD27" i="41"/>
  <c r="DD17" i="41"/>
  <c r="DD8" i="41"/>
  <c r="DD9" i="41"/>
  <c r="DD14" i="41"/>
  <c r="DD6" i="41"/>
  <c r="DD5" i="41"/>
  <c r="DD22" i="41"/>
  <c r="DD10" i="41"/>
  <c r="DD16" i="41"/>
  <c r="DD25" i="41"/>
  <c r="DD20" i="41"/>
  <c r="DD15" i="41"/>
  <c r="DD12" i="41"/>
  <c r="DD13" i="41"/>
  <c r="DD18" i="41"/>
  <c r="DD26" i="41"/>
  <c r="DD23" i="41"/>
  <c r="DD21" i="41"/>
  <c r="DD3" i="41"/>
  <c r="DD7" i="41"/>
  <c r="DD4" i="41"/>
  <c r="DD19" i="41"/>
  <c r="BE24" i="41"/>
  <c r="B64" i="24"/>
  <c r="A56" i="52" s="1"/>
  <c r="AA63" i="24"/>
  <c r="AP81" i="33"/>
  <c r="D42" i="31"/>
  <c r="BL16" i="41"/>
  <c r="BL4" i="41"/>
  <c r="BL22" i="41"/>
  <c r="BL13" i="41"/>
  <c r="BL9" i="41"/>
  <c r="BL17" i="41"/>
  <c r="BL21" i="41"/>
  <c r="BL20" i="41"/>
  <c r="BL23" i="41"/>
  <c r="BL7" i="41"/>
  <c r="BL15" i="41"/>
  <c r="BM27" i="41"/>
  <c r="BL10" i="41"/>
  <c r="BL18" i="41"/>
  <c r="BL19" i="41"/>
  <c r="BL25" i="41"/>
  <c r="BL6" i="41"/>
  <c r="BL14" i="41"/>
  <c r="BL26" i="41"/>
  <c r="BL3" i="41"/>
  <c r="BL5" i="41"/>
  <c r="BL12" i="41"/>
  <c r="BL8" i="41"/>
  <c r="AT2" i="33"/>
  <c r="CB2" i="37" s="1"/>
  <c r="I32" i="17"/>
  <c r="F47" i="35"/>
  <c r="G47" i="35" s="1"/>
  <c r="C48" i="35" s="1"/>
  <c r="F48" i="35" s="1"/>
  <c r="G48" i="35" s="1"/>
  <c r="C49" i="35" s="1"/>
  <c r="AY48" i="35"/>
  <c r="AZ48" i="35" s="1"/>
  <c r="AV49" i="35" s="1"/>
  <c r="AT49" i="35"/>
  <c r="AU49" i="35" s="1"/>
  <c r="AQ50" i="35" s="1"/>
  <c r="AO48" i="35"/>
  <c r="AP48" i="35" s="1"/>
  <c r="AL49" i="35" s="1"/>
  <c r="AJ48" i="35"/>
  <c r="AK48" i="35" s="1"/>
  <c r="AG49" i="35" s="1"/>
  <c r="AE48" i="35"/>
  <c r="AF48" i="35" s="1"/>
  <c r="AB49" i="35" s="1"/>
  <c r="Z48" i="35"/>
  <c r="AA48" i="35" s="1"/>
  <c r="W49" i="35" s="1"/>
  <c r="U48" i="35"/>
  <c r="V48" i="35" s="1"/>
  <c r="R49" i="35" s="1"/>
  <c r="P49" i="35"/>
  <c r="Q49" i="35" s="1"/>
  <c r="M50" i="35" s="1"/>
  <c r="K49" i="35"/>
  <c r="L49" i="35" s="1"/>
  <c r="H50" i="35" s="1"/>
  <c r="AR1" i="33"/>
  <c r="A35" i="19"/>
  <c r="J32" i="17"/>
  <c r="B35" i="19"/>
  <c r="C43" i="24" s="1"/>
  <c r="B33" i="17"/>
  <c r="B34" i="52"/>
  <c r="CA47" i="37" l="1"/>
  <c r="EC46" i="37" s="1"/>
  <c r="CA54" i="37"/>
  <c r="EJ46" i="37" s="1"/>
  <c r="CA40" i="37"/>
  <c r="DV46" i="37" s="1"/>
  <c r="CA35" i="37"/>
  <c r="DQ46" i="37" s="1"/>
  <c r="CA39" i="37"/>
  <c r="DU46" i="37" s="1"/>
  <c r="CA57" i="37"/>
  <c r="EM46" i="37" s="1"/>
  <c r="BZ58" i="37"/>
  <c r="AR68" i="33" s="1"/>
  <c r="CA34" i="37"/>
  <c r="DP46" i="37" s="1"/>
  <c r="CA45" i="37"/>
  <c r="EA46" i="37" s="1"/>
  <c r="CB31" i="37"/>
  <c r="CB11" i="37"/>
  <c r="CB15" i="37"/>
  <c r="CB27" i="37"/>
  <c r="CB4" i="37"/>
  <c r="CB23" i="37"/>
  <c r="CB19" i="37"/>
  <c r="CB8" i="37"/>
  <c r="CB9" i="37"/>
  <c r="CB10" i="37"/>
  <c r="CB18" i="37"/>
  <c r="CB20" i="37"/>
  <c r="CB24" i="37"/>
  <c r="CB53" i="37" s="1"/>
  <c r="EI47" i="37" s="1"/>
  <c r="CB7" i="37"/>
  <c r="CB28" i="37"/>
  <c r="CB6" i="37"/>
  <c r="CB16" i="37"/>
  <c r="CB25" i="37"/>
  <c r="CB12" i="37"/>
  <c r="CB13" i="37"/>
  <c r="CB14" i="37"/>
  <c r="CB17" i="37"/>
  <c r="CB22" i="37"/>
  <c r="CB5" i="37"/>
  <c r="CB26" i="37"/>
  <c r="CB55" i="37" s="1"/>
  <c r="EK47" i="37" s="1"/>
  <c r="CB21" i="37"/>
  <c r="CB3" i="37"/>
  <c r="AR50" i="33"/>
  <c r="AR65" i="33" s="1"/>
  <c r="AM337" i="5"/>
  <c r="AJ338" i="5"/>
  <c r="O342" i="5"/>
  <c r="Q342" i="5" s="1"/>
  <c r="P342" i="5"/>
  <c r="AA339" i="5"/>
  <c r="Z339" i="5" s="1"/>
  <c r="CP35" i="5"/>
  <c r="BW33" i="5"/>
  <c r="BV33" i="5" s="1"/>
  <c r="BX33" i="5" s="1"/>
  <c r="CW114" i="5"/>
  <c r="CX113" i="5"/>
  <c r="DO46" i="37"/>
  <c r="DR46" i="37"/>
  <c r="CA29" i="37"/>
  <c r="AS53" i="33" s="1"/>
  <c r="O43" i="19"/>
  <c r="AL48" i="5"/>
  <c r="G41" i="31"/>
  <c r="AB50" i="5"/>
  <c r="Y51" i="5" s="1"/>
  <c r="Q51" i="5"/>
  <c r="N52" i="5" s="1"/>
  <c r="M52" i="5"/>
  <c r="AP84" i="33"/>
  <c r="AP85" i="33" s="1"/>
  <c r="E42" i="31" s="1"/>
  <c r="G42" i="31" s="1"/>
  <c r="F51" i="24"/>
  <c r="U54" i="51"/>
  <c r="O54" i="51"/>
  <c r="Q54" i="51"/>
  <c r="S54" i="51"/>
  <c r="AQ60" i="33"/>
  <c r="AQ76" i="33" s="1"/>
  <c r="AQ64" i="33"/>
  <c r="AQ80" i="33" s="1"/>
  <c r="AQ63" i="33"/>
  <c r="AQ79" i="33" s="1"/>
  <c r="AQ59" i="33"/>
  <c r="AQ75" i="33" s="1"/>
  <c r="AQ61" i="33"/>
  <c r="AQ77" i="33" s="1"/>
  <c r="AQ57" i="33"/>
  <c r="AQ73" i="33" s="1"/>
  <c r="AQ62" i="33"/>
  <c r="AQ78" i="33" s="1"/>
  <c r="AQ58" i="33"/>
  <c r="AQ74" i="33" s="1"/>
  <c r="AT7" i="33"/>
  <c r="AT27" i="33" s="1"/>
  <c r="AT11" i="33"/>
  <c r="AT31" i="33" s="1"/>
  <c r="AT16" i="33"/>
  <c r="AT36" i="33" s="1"/>
  <c r="AT10" i="33"/>
  <c r="AT30" i="33" s="1"/>
  <c r="AT15" i="33"/>
  <c r="AT35" i="33" s="1"/>
  <c r="AT8" i="33"/>
  <c r="AT28" i="33" s="1"/>
  <c r="AT19" i="33"/>
  <c r="AT13" i="33"/>
  <c r="AT33" i="33" s="1"/>
  <c r="AT18" i="33"/>
  <c r="AT38" i="33" s="1"/>
  <c r="AT12" i="33"/>
  <c r="AT32" i="33" s="1"/>
  <c r="AT9" i="33"/>
  <c r="AT29" i="33" s="1"/>
  <c r="AT17" i="33"/>
  <c r="AT37" i="33" s="1"/>
  <c r="AT20" i="33"/>
  <c r="T45" i="19"/>
  <c r="ES56" i="50"/>
  <c r="EM56" i="50"/>
  <c r="EY56" i="50"/>
  <c r="A55" i="51"/>
  <c r="DI56" i="50"/>
  <c r="AR43" i="33"/>
  <c r="AR47" i="33"/>
  <c r="AR42" i="33"/>
  <c r="AR46" i="33"/>
  <c r="AR45" i="33"/>
  <c r="AR48" i="33"/>
  <c r="AR44" i="33"/>
  <c r="AR49" i="33"/>
  <c r="J57" i="50"/>
  <c r="K35" i="50"/>
  <c r="CF34" i="50"/>
  <c r="AD33" i="51"/>
  <c r="AR51" i="33"/>
  <c r="AR66" i="33" s="1"/>
  <c r="DE24" i="41"/>
  <c r="DE3" i="41"/>
  <c r="DE15" i="41"/>
  <c r="DE22" i="41"/>
  <c r="DE27" i="41"/>
  <c r="DE14" i="41"/>
  <c r="DE18" i="41"/>
  <c r="DE26" i="41"/>
  <c r="DE7" i="41"/>
  <c r="DE17" i="41"/>
  <c r="DE9" i="41"/>
  <c r="DE20" i="41"/>
  <c r="DE23" i="41"/>
  <c r="DE16" i="41"/>
  <c r="DE25" i="41"/>
  <c r="DE4" i="41"/>
  <c r="DE21" i="41"/>
  <c r="DE12" i="41"/>
  <c r="DE5" i="41"/>
  <c r="DE19" i="41"/>
  <c r="DE13" i="41"/>
  <c r="DE10" i="41"/>
  <c r="DE8" i="41"/>
  <c r="DE6" i="41"/>
  <c r="AL11" i="41"/>
  <c r="AK36" i="41"/>
  <c r="DF11" i="41" s="1"/>
  <c r="AI38" i="41"/>
  <c r="AR81" i="33"/>
  <c r="BF24" i="41"/>
  <c r="B65" i="24"/>
  <c r="A57" i="52" s="1"/>
  <c r="AA64" i="24"/>
  <c r="D43" i="31"/>
  <c r="BM8" i="41"/>
  <c r="BM12" i="41"/>
  <c r="BM5" i="41"/>
  <c r="BM3" i="41"/>
  <c r="BM26" i="41"/>
  <c r="BM14" i="41"/>
  <c r="BM6" i="41"/>
  <c r="BM25" i="41"/>
  <c r="BM19" i="41"/>
  <c r="BM18" i="41"/>
  <c r="BM10" i="41"/>
  <c r="BN27" i="41"/>
  <c r="BM15" i="41"/>
  <c r="BM7" i="41"/>
  <c r="BM23" i="41"/>
  <c r="BM20" i="41"/>
  <c r="BM21" i="41"/>
  <c r="BM17" i="41"/>
  <c r="BM9" i="41"/>
  <c r="BM13" i="41"/>
  <c r="BM22" i="41"/>
  <c r="BM4" i="41"/>
  <c r="BM16" i="41"/>
  <c r="AU2" i="33"/>
  <c r="CC2" i="37" s="1"/>
  <c r="I33" i="17"/>
  <c r="F49" i="35"/>
  <c r="G49" i="35" s="1"/>
  <c r="C50" i="35" s="1"/>
  <c r="AY49" i="35"/>
  <c r="AZ49" i="35" s="1"/>
  <c r="AV50" i="35" s="1"/>
  <c r="AT50" i="35"/>
  <c r="AU50" i="35" s="1"/>
  <c r="AQ51" i="35" s="1"/>
  <c r="AO49" i="35"/>
  <c r="AP49" i="35" s="1"/>
  <c r="AL50" i="35" s="1"/>
  <c r="AJ49" i="35"/>
  <c r="AK49" i="35" s="1"/>
  <c r="AG50" i="35" s="1"/>
  <c r="AE49" i="35"/>
  <c r="AF49" i="35" s="1"/>
  <c r="AB50" i="35" s="1"/>
  <c r="Z49" i="35"/>
  <c r="AA49" i="35" s="1"/>
  <c r="W50" i="35" s="1"/>
  <c r="U49" i="35"/>
  <c r="V49" i="35" s="1"/>
  <c r="R50" i="35" s="1"/>
  <c r="P50" i="35"/>
  <c r="Q50" i="35" s="1"/>
  <c r="M51" i="35" s="1"/>
  <c r="K50" i="35"/>
  <c r="L50" i="35" s="1"/>
  <c r="H51" i="35" s="1"/>
  <c r="AS1" i="33"/>
  <c r="J33" i="17"/>
  <c r="A36" i="19"/>
  <c r="B36" i="19"/>
  <c r="C44" i="24" s="1"/>
  <c r="B35" i="52"/>
  <c r="B34" i="17"/>
  <c r="CB32" i="37" l="1"/>
  <c r="DN47" i="37" s="1"/>
  <c r="CB49" i="37"/>
  <c r="EE47" i="37" s="1"/>
  <c r="CB51" i="37"/>
  <c r="EG47" i="37" s="1"/>
  <c r="CB46" i="37"/>
  <c r="EB47" i="37" s="1"/>
  <c r="CB39" i="37"/>
  <c r="DU47" i="37" s="1"/>
  <c r="CB43" i="37"/>
  <c r="DY47" i="37" s="1"/>
  <c r="CB37" i="37"/>
  <c r="DS47" i="37" s="1"/>
  <c r="CB48" i="37"/>
  <c r="ED47" i="37" s="1"/>
  <c r="CA58" i="37"/>
  <c r="AS68" i="33" s="1"/>
  <c r="CB56" i="37"/>
  <c r="EL47" i="37" s="1"/>
  <c r="CB40" i="37"/>
  <c r="DV47" i="37" s="1"/>
  <c r="CB57" i="37"/>
  <c r="EM47" i="37" s="1"/>
  <c r="CB36" i="37"/>
  <c r="CB47" i="37"/>
  <c r="EC47" i="37" s="1"/>
  <c r="CB52" i="37"/>
  <c r="EH47" i="37" s="1"/>
  <c r="CC31" i="37"/>
  <c r="CC40" i="37" s="1"/>
  <c r="DV48" i="37" s="1"/>
  <c r="CC6" i="37"/>
  <c r="CC10" i="37"/>
  <c r="CC14" i="37"/>
  <c r="CC43" i="37" s="1"/>
  <c r="DY48" i="37" s="1"/>
  <c r="CC15" i="37"/>
  <c r="CC44" i="37" s="1"/>
  <c r="DZ48" i="37" s="1"/>
  <c r="CC18" i="37"/>
  <c r="CC47" i="37" s="1"/>
  <c r="EC48" i="37" s="1"/>
  <c r="CC22" i="37"/>
  <c r="CC51" i="37" s="1"/>
  <c r="EG48" i="37" s="1"/>
  <c r="CC26" i="37"/>
  <c r="CC55" i="37" s="1"/>
  <c r="EK48" i="37" s="1"/>
  <c r="CC7" i="37"/>
  <c r="CC36" i="37" s="1"/>
  <c r="CC11" i="37"/>
  <c r="CC20" i="37"/>
  <c r="CC27" i="37"/>
  <c r="CC4" i="37"/>
  <c r="CC33" i="37" s="1"/>
  <c r="CC8" i="37"/>
  <c r="CC9" i="37"/>
  <c r="CC38" i="37" s="1"/>
  <c r="DT48" i="37" s="1"/>
  <c r="CC24" i="37"/>
  <c r="CC53" i="37" s="1"/>
  <c r="EI48" i="37" s="1"/>
  <c r="CC16" i="37"/>
  <c r="CC45" i="37" s="1"/>
  <c r="EA48" i="37" s="1"/>
  <c r="CC25" i="37"/>
  <c r="CC54" i="37" s="1"/>
  <c r="EJ48" i="37" s="1"/>
  <c r="CC12" i="37"/>
  <c r="CC41" i="37" s="1"/>
  <c r="DW48" i="37" s="1"/>
  <c r="CC13" i="37"/>
  <c r="CC42" i="37" s="1"/>
  <c r="DX48" i="37" s="1"/>
  <c r="CC17" i="37"/>
  <c r="CC46" i="37" s="1"/>
  <c r="EB48" i="37" s="1"/>
  <c r="CC5" i="37"/>
  <c r="CC19" i="37"/>
  <c r="CC21" i="37"/>
  <c r="CC23" i="37"/>
  <c r="CC52" i="37" s="1"/>
  <c r="EH48" i="37" s="1"/>
  <c r="CC28" i="37"/>
  <c r="CC57" i="37" s="1"/>
  <c r="EM48" i="37" s="1"/>
  <c r="CC3" i="37"/>
  <c r="CC32" i="37" s="1"/>
  <c r="DN48" i="37" s="1"/>
  <c r="CB41" i="37"/>
  <c r="DW47" i="37" s="1"/>
  <c r="CB42" i="37"/>
  <c r="DX47" i="37" s="1"/>
  <c r="CB34" i="37"/>
  <c r="CB35" i="37"/>
  <c r="DQ47" i="37" s="1"/>
  <c r="CB33" i="37"/>
  <c r="DO47" i="37" s="1"/>
  <c r="CB50" i="37"/>
  <c r="EF47" i="37" s="1"/>
  <c r="CB45" i="37"/>
  <c r="EA47" i="37" s="1"/>
  <c r="CB44" i="37"/>
  <c r="DZ47" i="37" s="1"/>
  <c r="CB38" i="37"/>
  <c r="DT47" i="37" s="1"/>
  <c r="CB54" i="37"/>
  <c r="EJ47" i="37" s="1"/>
  <c r="AS50" i="33"/>
  <c r="AS65" i="33" s="1"/>
  <c r="AB339" i="5"/>
  <c r="Y340" i="5" s="1"/>
  <c r="N343" i="5"/>
  <c r="AL338" i="5"/>
  <c r="AK338" i="5" s="1"/>
  <c r="CJ35" i="5"/>
  <c r="CI35" i="5" s="1"/>
  <c r="BT34" i="5"/>
  <c r="BU34" i="5" s="1"/>
  <c r="CX114" i="5"/>
  <c r="CW115" i="5"/>
  <c r="DR47" i="37"/>
  <c r="CC50" i="37"/>
  <c r="EF48" i="37" s="1"/>
  <c r="CC37" i="37"/>
  <c r="DS48" i="37" s="1"/>
  <c r="CC35" i="37"/>
  <c r="CC56" i="37"/>
  <c r="EL48" i="37" s="1"/>
  <c r="CC34" i="37"/>
  <c r="CC39" i="37"/>
  <c r="DU48" i="37" s="1"/>
  <c r="CB29" i="37"/>
  <c r="AT53" i="33" s="1"/>
  <c r="AQ84" i="33"/>
  <c r="AQ85" i="33" s="1"/>
  <c r="E43" i="31" s="1"/>
  <c r="F43" i="31" s="1"/>
  <c r="P52" i="5"/>
  <c r="O52" i="5" s="1"/>
  <c r="M53" i="5" s="1"/>
  <c r="AK48" i="5"/>
  <c r="AI49" i="5" s="1"/>
  <c r="F52" i="24"/>
  <c r="O44" i="19"/>
  <c r="AA51" i="5"/>
  <c r="Z51" i="5" s="1"/>
  <c r="AR64" i="33"/>
  <c r="AR80" i="33" s="1"/>
  <c r="AR59" i="33"/>
  <c r="AR75" i="33" s="1"/>
  <c r="AR63" i="33"/>
  <c r="AR79" i="33" s="1"/>
  <c r="AR60" i="33"/>
  <c r="AR76" i="33" s="1"/>
  <c r="AR61" i="33"/>
  <c r="AR77" i="33" s="1"/>
  <c r="AR57" i="33"/>
  <c r="AR73" i="33" s="1"/>
  <c r="AR62" i="33"/>
  <c r="AR78" i="33" s="1"/>
  <c r="AR58" i="33"/>
  <c r="AR74" i="33" s="1"/>
  <c r="U55" i="51"/>
  <c r="O55" i="51"/>
  <c r="Q55" i="51"/>
  <c r="S55" i="51"/>
  <c r="AU7" i="33"/>
  <c r="AU27" i="33" s="1"/>
  <c r="AU20" i="33"/>
  <c r="AU8" i="33"/>
  <c r="AU28" i="33" s="1"/>
  <c r="AU19" i="33"/>
  <c r="AU15" i="33"/>
  <c r="AU35" i="33" s="1"/>
  <c r="AU16" i="33"/>
  <c r="AU36" i="33" s="1"/>
  <c r="AU18" i="33"/>
  <c r="AU38" i="33" s="1"/>
  <c r="AU17" i="33"/>
  <c r="AU37" i="33" s="1"/>
  <c r="AU10" i="33"/>
  <c r="AU30" i="33" s="1"/>
  <c r="AU11" i="33"/>
  <c r="AU31" i="33" s="1"/>
  <c r="AU13" i="33"/>
  <c r="AU33" i="33" s="1"/>
  <c r="AU12" i="33"/>
  <c r="AU32" i="33" s="1"/>
  <c r="AU9" i="33"/>
  <c r="AU29" i="33" s="1"/>
  <c r="T46" i="19"/>
  <c r="EY57" i="50"/>
  <c r="ES57" i="50"/>
  <c r="EM57" i="50"/>
  <c r="A56" i="51"/>
  <c r="DI57" i="50"/>
  <c r="AS46" i="33"/>
  <c r="AS43" i="33"/>
  <c r="AS47" i="33"/>
  <c r="AS42" i="33"/>
  <c r="AS45" i="33"/>
  <c r="AS49" i="33"/>
  <c r="AS44" i="33"/>
  <c r="AS48" i="33"/>
  <c r="K36" i="50"/>
  <c r="AD35" i="51" s="1"/>
  <c r="CF35" i="50"/>
  <c r="J58" i="50"/>
  <c r="AD34" i="51"/>
  <c r="C4" i="5"/>
  <c r="F42" i="31"/>
  <c r="AS51" i="33"/>
  <c r="AS66" i="33" s="1"/>
  <c r="DF27" i="41"/>
  <c r="DF15" i="41"/>
  <c r="DF16" i="41"/>
  <c r="DF21" i="41"/>
  <c r="DF14" i="41"/>
  <c r="DF3" i="41"/>
  <c r="DF4" i="41"/>
  <c r="DF8" i="41"/>
  <c r="DF9" i="41"/>
  <c r="DF10" i="41"/>
  <c r="DF26" i="41"/>
  <c r="DF13" i="41"/>
  <c r="DF12" i="41"/>
  <c r="DF19" i="41"/>
  <c r="DF5" i="41"/>
  <c r="DF7" i="41"/>
  <c r="DF6" i="41"/>
  <c r="DF22" i="41"/>
  <c r="DF24" i="41"/>
  <c r="DF23" i="41"/>
  <c r="DF18" i="41"/>
  <c r="DF20" i="41"/>
  <c r="DF25" i="41"/>
  <c r="DF17" i="41"/>
  <c r="AM11" i="41"/>
  <c r="AL36" i="41"/>
  <c r="DG11" i="41" s="1"/>
  <c r="AJ38" i="41"/>
  <c r="BG24" i="41"/>
  <c r="B66" i="24"/>
  <c r="AA65" i="24"/>
  <c r="D44" i="31"/>
  <c r="BN16" i="41"/>
  <c r="BN4" i="41"/>
  <c r="BN22" i="41"/>
  <c r="BN13" i="41"/>
  <c r="BN9" i="41"/>
  <c r="BN17" i="41"/>
  <c r="BN21" i="41"/>
  <c r="BN20" i="41"/>
  <c r="BN23" i="41"/>
  <c r="BN7" i="41"/>
  <c r="BN15" i="41"/>
  <c r="BO27" i="41"/>
  <c r="BN10" i="41"/>
  <c r="BN18" i="41"/>
  <c r="BN19" i="41"/>
  <c r="BN25" i="41"/>
  <c r="BN6" i="41"/>
  <c r="BN14" i="41"/>
  <c r="BN26" i="41"/>
  <c r="BN3" i="41"/>
  <c r="BN5" i="41"/>
  <c r="BN12" i="41"/>
  <c r="BN8" i="41"/>
  <c r="AV2" i="33"/>
  <c r="CD2" i="37" s="1"/>
  <c r="F50" i="35"/>
  <c r="G50" i="35" s="1"/>
  <c r="C51" i="35" s="1"/>
  <c r="AY50" i="35"/>
  <c r="AZ50" i="35" s="1"/>
  <c r="AV51" i="35" s="1"/>
  <c r="AT51" i="35"/>
  <c r="AU51" i="35" s="1"/>
  <c r="AQ52" i="35" s="1"/>
  <c r="AO50" i="35"/>
  <c r="AP50" i="35" s="1"/>
  <c r="AL51" i="35" s="1"/>
  <c r="AJ50" i="35"/>
  <c r="AK50" i="35" s="1"/>
  <c r="AG51" i="35" s="1"/>
  <c r="AE50" i="35"/>
  <c r="AF50" i="35" s="1"/>
  <c r="AB51" i="35" s="1"/>
  <c r="Z50" i="35"/>
  <c r="AA50" i="35" s="1"/>
  <c r="W51" i="35" s="1"/>
  <c r="U50" i="35"/>
  <c r="V50" i="35" s="1"/>
  <c r="R51" i="35" s="1"/>
  <c r="P51" i="35"/>
  <c r="Q51" i="35" s="1"/>
  <c r="M52" i="35" s="1"/>
  <c r="K51" i="35"/>
  <c r="L51" i="35" s="1"/>
  <c r="H52" i="35" s="1"/>
  <c r="AT1" i="33"/>
  <c r="J34" i="17"/>
  <c r="I34" i="17"/>
  <c r="A37" i="19"/>
  <c r="B37" i="19"/>
  <c r="C45" i="24" s="1"/>
  <c r="B35" i="17"/>
  <c r="B36" i="52"/>
  <c r="CB58" i="37" l="1"/>
  <c r="AT68" i="33" s="1"/>
  <c r="DP47" i="37"/>
  <c r="CC48" i="37"/>
  <c r="ED48" i="37" s="1"/>
  <c r="CC49" i="37"/>
  <c r="EE48" i="37" s="1"/>
  <c r="CD31" i="37"/>
  <c r="CD57" i="37" s="1"/>
  <c r="EM49" i="37" s="1"/>
  <c r="CD8" i="37"/>
  <c r="CD37" i="37" s="1"/>
  <c r="DS49" i="37" s="1"/>
  <c r="CD24" i="37"/>
  <c r="CD7" i="37"/>
  <c r="CD36" i="37" s="1"/>
  <c r="CD11" i="37"/>
  <c r="CD15" i="37"/>
  <c r="CD44" i="37" s="1"/>
  <c r="DZ49" i="37" s="1"/>
  <c r="CD20" i="37"/>
  <c r="CD49" i="37" s="1"/>
  <c r="EE49" i="37" s="1"/>
  <c r="CD4" i="37"/>
  <c r="CD33" i="37" s="1"/>
  <c r="CD25" i="37"/>
  <c r="CD10" i="37"/>
  <c r="CD18" i="37"/>
  <c r="CD9" i="37"/>
  <c r="CD16" i="37"/>
  <c r="CD27" i="37"/>
  <c r="CD56" i="37" s="1"/>
  <c r="EL49" i="37" s="1"/>
  <c r="CD14" i="37"/>
  <c r="CD43" i="37" s="1"/>
  <c r="DY49" i="37" s="1"/>
  <c r="CD22" i="37"/>
  <c r="CD51" i="37" s="1"/>
  <c r="EG49" i="37" s="1"/>
  <c r="CD12" i="37"/>
  <c r="CD41" i="37" s="1"/>
  <c r="DW49" i="37" s="1"/>
  <c r="CD13" i="37"/>
  <c r="CD42" i="37" s="1"/>
  <c r="DX49" i="37" s="1"/>
  <c r="CD17" i="37"/>
  <c r="CD46" i="37" s="1"/>
  <c r="EB49" i="37" s="1"/>
  <c r="CD5" i="37"/>
  <c r="CD19" i="37"/>
  <c r="CD23" i="37"/>
  <c r="CD28" i="37"/>
  <c r="CD6" i="37"/>
  <c r="CD26" i="37"/>
  <c r="CD55" i="37" s="1"/>
  <c r="EK49" i="37" s="1"/>
  <c r="CD21" i="37"/>
  <c r="CD50" i="37" s="1"/>
  <c r="EF49" i="37" s="1"/>
  <c r="CD3" i="37"/>
  <c r="AT50" i="33"/>
  <c r="AT65" i="33" s="1"/>
  <c r="AM338" i="5"/>
  <c r="AJ339" i="5"/>
  <c r="AA340" i="5"/>
  <c r="Z340" i="5" s="1"/>
  <c r="P343" i="5"/>
  <c r="O343" i="5" s="1"/>
  <c r="CK35" i="5"/>
  <c r="CG36" i="5"/>
  <c r="CC34" i="5"/>
  <c r="AM48" i="5"/>
  <c r="AJ49" i="5" s="1"/>
  <c r="AL49" i="5" s="1"/>
  <c r="AK49" i="5" s="1"/>
  <c r="AM49" i="5" s="1"/>
  <c r="AJ50" i="5" s="1"/>
  <c r="CX115" i="5"/>
  <c r="CW116" i="5"/>
  <c r="DR48" i="37"/>
  <c r="DQ48" i="37"/>
  <c r="DP48" i="37"/>
  <c r="DO48" i="37"/>
  <c r="CC58" i="37"/>
  <c r="AU68" i="33" s="1"/>
  <c r="CD34" i="37"/>
  <c r="CD45" i="37"/>
  <c r="EA49" i="37" s="1"/>
  <c r="CD32" i="37"/>
  <c r="DN49" i="37" s="1"/>
  <c r="CD54" i="37"/>
  <c r="EJ49" i="37" s="1"/>
  <c r="CD53" i="37"/>
  <c r="EI49" i="37" s="1"/>
  <c r="CD40" i="37"/>
  <c r="DV49" i="37" s="1"/>
  <c r="CC29" i="37"/>
  <c r="AU53" i="33" s="1"/>
  <c r="AR84" i="33"/>
  <c r="AR85" i="33" s="1"/>
  <c r="E44" i="31" s="1"/>
  <c r="F44" i="31" s="1"/>
  <c r="AB51" i="5"/>
  <c r="Y52" i="5" s="1"/>
  <c r="X52" i="5"/>
  <c r="E4" i="5"/>
  <c r="D4" i="5" s="1"/>
  <c r="Q52" i="5"/>
  <c r="N53" i="5" s="1"/>
  <c r="F53" i="24"/>
  <c r="O45" i="19"/>
  <c r="AS63" i="33"/>
  <c r="AS79" i="33" s="1"/>
  <c r="AS59" i="33"/>
  <c r="AS75" i="33" s="1"/>
  <c r="AS64" i="33"/>
  <c r="AS80" i="33" s="1"/>
  <c r="AS60" i="33"/>
  <c r="AS76" i="33" s="1"/>
  <c r="AS57" i="33"/>
  <c r="AS73" i="33" s="1"/>
  <c r="AS62" i="33"/>
  <c r="AS78" i="33" s="1"/>
  <c r="G43" i="31"/>
  <c r="AS58" i="33"/>
  <c r="AS74" i="33" s="1"/>
  <c r="AS61" i="33"/>
  <c r="AS77" i="33" s="1"/>
  <c r="Q56" i="51"/>
  <c r="O56" i="51"/>
  <c r="S56" i="51"/>
  <c r="U56" i="51"/>
  <c r="AV8" i="33"/>
  <c r="AV28" i="33" s="1"/>
  <c r="AV12" i="33"/>
  <c r="AV32" i="33" s="1"/>
  <c r="AV17" i="33"/>
  <c r="AV37" i="33" s="1"/>
  <c r="AV7" i="33"/>
  <c r="AV27" i="33" s="1"/>
  <c r="AV20" i="33"/>
  <c r="AV15" i="33"/>
  <c r="AV35" i="33" s="1"/>
  <c r="AV16" i="33"/>
  <c r="AV36" i="33" s="1"/>
  <c r="AV10" i="33"/>
  <c r="AV30" i="33" s="1"/>
  <c r="AV11" i="33"/>
  <c r="AV31" i="33" s="1"/>
  <c r="AV13" i="33"/>
  <c r="AV33" i="33" s="1"/>
  <c r="AV18" i="33"/>
  <c r="AV38" i="33" s="1"/>
  <c r="AV9" i="33"/>
  <c r="AV29" i="33" s="1"/>
  <c r="AV19" i="33"/>
  <c r="T47" i="19"/>
  <c r="ES58" i="50"/>
  <c r="EM58" i="50"/>
  <c r="EY58" i="50"/>
  <c r="A57" i="51"/>
  <c r="DI58" i="50"/>
  <c r="AT44" i="33"/>
  <c r="AT48" i="33"/>
  <c r="AT43" i="33"/>
  <c r="AT47" i="33"/>
  <c r="AT45" i="33"/>
  <c r="AT49" i="33"/>
  <c r="AT46" i="33"/>
  <c r="AT42" i="33"/>
  <c r="J59" i="50"/>
  <c r="A58" i="52"/>
  <c r="CF36" i="50"/>
  <c r="K37" i="50"/>
  <c r="AT51" i="33"/>
  <c r="AT66" i="33" s="1"/>
  <c r="AN11" i="41"/>
  <c r="AM36" i="41"/>
  <c r="DH11" i="41" s="1"/>
  <c r="AK38" i="41"/>
  <c r="DG24" i="41"/>
  <c r="DG12" i="41"/>
  <c r="DG17" i="41"/>
  <c r="DG9" i="41"/>
  <c r="DG8" i="41"/>
  <c r="DG22" i="41"/>
  <c r="DG4" i="41"/>
  <c r="DG3" i="41"/>
  <c r="DG10" i="41"/>
  <c r="DG18" i="41"/>
  <c r="DG20" i="41"/>
  <c r="DG14" i="41"/>
  <c r="DG15" i="41"/>
  <c r="DG6" i="41"/>
  <c r="DG13" i="41"/>
  <c r="DG19" i="41"/>
  <c r="DG27" i="41"/>
  <c r="DG5" i="41"/>
  <c r="DG23" i="41"/>
  <c r="DG25" i="41"/>
  <c r="DG7" i="41"/>
  <c r="DG21" i="41"/>
  <c r="DG26" i="41"/>
  <c r="DG16" i="41"/>
  <c r="BH24" i="41"/>
  <c r="B67" i="24"/>
  <c r="A59" i="52" s="1"/>
  <c r="AA66" i="24"/>
  <c r="AS81" i="33"/>
  <c r="D45" i="31"/>
  <c r="BO8" i="41"/>
  <c r="BO12" i="41"/>
  <c r="BO5" i="41"/>
  <c r="BO3" i="41"/>
  <c r="BO26" i="41"/>
  <c r="BO14" i="41"/>
  <c r="BO6" i="41"/>
  <c r="BO25" i="41"/>
  <c r="BO19" i="41"/>
  <c r="BO18" i="41"/>
  <c r="BO10" i="41"/>
  <c r="BP27" i="41"/>
  <c r="BO15" i="41"/>
  <c r="BO7" i="41"/>
  <c r="BO23" i="41"/>
  <c r="BO20" i="41"/>
  <c r="BO21" i="41"/>
  <c r="BO17" i="41"/>
  <c r="BO9" i="41"/>
  <c r="BO13" i="41"/>
  <c r="BO22" i="41"/>
  <c r="BO4" i="41"/>
  <c r="BO16" i="41"/>
  <c r="J35" i="17"/>
  <c r="AW2" i="33"/>
  <c r="CE2" i="37" s="1"/>
  <c r="F51" i="35"/>
  <c r="G51" i="35" s="1"/>
  <c r="C52" i="35" s="1"/>
  <c r="F52" i="35" s="1"/>
  <c r="G52" i="35" s="1"/>
  <c r="C53" i="35" s="1"/>
  <c r="AY51" i="35"/>
  <c r="AZ51" i="35" s="1"/>
  <c r="AV52" i="35" s="1"/>
  <c r="AT52" i="35"/>
  <c r="AU52" i="35" s="1"/>
  <c r="AQ53" i="35" s="1"/>
  <c r="AO51" i="35"/>
  <c r="AP51" i="35" s="1"/>
  <c r="AL52" i="35" s="1"/>
  <c r="AJ51" i="35"/>
  <c r="AK51" i="35" s="1"/>
  <c r="AG52" i="35" s="1"/>
  <c r="AE51" i="35"/>
  <c r="AF51" i="35" s="1"/>
  <c r="AB52" i="35" s="1"/>
  <c r="Z51" i="35"/>
  <c r="AA51" i="35" s="1"/>
  <c r="W52" i="35" s="1"/>
  <c r="U51" i="35"/>
  <c r="V51" i="35" s="1"/>
  <c r="R52" i="35" s="1"/>
  <c r="P52" i="35"/>
  <c r="Q52" i="35" s="1"/>
  <c r="M53" i="35" s="1"/>
  <c r="K52" i="35"/>
  <c r="L52" i="35" s="1"/>
  <c r="H53" i="35" s="1"/>
  <c r="AU1" i="33"/>
  <c r="I35" i="17"/>
  <c r="A38" i="19"/>
  <c r="B38" i="19"/>
  <c r="C46" i="24" s="1"/>
  <c r="B37" i="52"/>
  <c r="B36" i="17"/>
  <c r="J36" i="17" s="1"/>
  <c r="CD52" i="37" l="1"/>
  <c r="EH49" i="37" s="1"/>
  <c r="CD39" i="37"/>
  <c r="DU49" i="37" s="1"/>
  <c r="CD35" i="37"/>
  <c r="CD58" i="37" s="1"/>
  <c r="AV68" i="33" s="1"/>
  <c r="CD38" i="37"/>
  <c r="DT49" i="37" s="1"/>
  <c r="CD47" i="37"/>
  <c r="EC49" i="37" s="1"/>
  <c r="CD48" i="37"/>
  <c r="ED49" i="37" s="1"/>
  <c r="CE31" i="37"/>
  <c r="CE56" i="37" s="1"/>
  <c r="EL50" i="37" s="1"/>
  <c r="CE12" i="37"/>
  <c r="CE5" i="37"/>
  <c r="CE17" i="37"/>
  <c r="CE28" i="37"/>
  <c r="CE24" i="37"/>
  <c r="CE53" i="37" s="1"/>
  <c r="EI50" i="37" s="1"/>
  <c r="CE7" i="37"/>
  <c r="CE11" i="37"/>
  <c r="CE15" i="37"/>
  <c r="CE13" i="37"/>
  <c r="CE21" i="37"/>
  <c r="CE4" i="37"/>
  <c r="CE20" i="37"/>
  <c r="CE49" i="37" s="1"/>
  <c r="EE50" i="37" s="1"/>
  <c r="CE25" i="37"/>
  <c r="CE8" i="37"/>
  <c r="CE10" i="37"/>
  <c r="CE18" i="37"/>
  <c r="CE6" i="37"/>
  <c r="CE16" i="37"/>
  <c r="CE27" i="37"/>
  <c r="CE14" i="37"/>
  <c r="CE22" i="37"/>
  <c r="CE9" i="37"/>
  <c r="CE23" i="37"/>
  <c r="CE19" i="37"/>
  <c r="CE48" i="37" s="1"/>
  <c r="ED50" i="37" s="1"/>
  <c r="CE26" i="37"/>
  <c r="CE3" i="37"/>
  <c r="CE32" i="37" s="1"/>
  <c r="DN50" i="37" s="1"/>
  <c r="AU50" i="33"/>
  <c r="AU65" i="33" s="1"/>
  <c r="AU81" i="33" s="1"/>
  <c r="Q343" i="5"/>
  <c r="N344" i="5"/>
  <c r="AB340" i="5"/>
  <c r="Y341" i="5"/>
  <c r="AL339" i="5"/>
  <c r="AK339" i="5" s="1"/>
  <c r="CH36" i="5"/>
  <c r="CP36" i="5"/>
  <c r="BW34" i="5"/>
  <c r="BV34" i="5" s="1"/>
  <c r="BX34" i="5" s="1"/>
  <c r="CX116" i="5"/>
  <c r="CW117" i="5"/>
  <c r="DR49" i="37"/>
  <c r="DQ49" i="37"/>
  <c r="DP49" i="37"/>
  <c r="DO49" i="37"/>
  <c r="CD29" i="37"/>
  <c r="AV53" i="33" s="1"/>
  <c r="O46" i="19"/>
  <c r="P53" i="5"/>
  <c r="O53" i="5" s="1"/>
  <c r="M54" i="5" s="1"/>
  <c r="AL50" i="5"/>
  <c r="AK50" i="5" s="1"/>
  <c r="AM50" i="5" s="1"/>
  <c r="AJ51" i="5" s="1"/>
  <c r="AI50" i="5"/>
  <c r="B5" i="5"/>
  <c r="AA52" i="5"/>
  <c r="Z52" i="5" s="1"/>
  <c r="X53" i="5" s="1"/>
  <c r="F4" i="5"/>
  <c r="C5" i="5" s="1"/>
  <c r="AT57" i="33"/>
  <c r="AT73" i="33" s="1"/>
  <c r="AT61" i="33"/>
  <c r="AT77" i="33" s="1"/>
  <c r="F54" i="24"/>
  <c r="AT64" i="33"/>
  <c r="AT80" i="33" s="1"/>
  <c r="AT60" i="33"/>
  <c r="AT76" i="33" s="1"/>
  <c r="AT62" i="33"/>
  <c r="AT78" i="33" s="1"/>
  <c r="AT58" i="33"/>
  <c r="AT74" i="33" s="1"/>
  <c r="G44" i="31"/>
  <c r="AT63" i="33"/>
  <c r="AT79" i="33" s="1"/>
  <c r="AT59" i="33"/>
  <c r="AT75" i="33" s="1"/>
  <c r="O57" i="51"/>
  <c r="Q57" i="51"/>
  <c r="S57" i="51"/>
  <c r="U57" i="51"/>
  <c r="AS84" i="33"/>
  <c r="AS85" i="33" s="1"/>
  <c r="E45" i="31" s="1"/>
  <c r="F45" i="31" s="1"/>
  <c r="AW8" i="33"/>
  <c r="AW28" i="33" s="1"/>
  <c r="AW12" i="33"/>
  <c r="AW32" i="33" s="1"/>
  <c r="AW17" i="33"/>
  <c r="AW37" i="33" s="1"/>
  <c r="AW7" i="33"/>
  <c r="AW27" i="33" s="1"/>
  <c r="AW11" i="33"/>
  <c r="AW31" i="33" s="1"/>
  <c r="AW16" i="33"/>
  <c r="AW36" i="33" s="1"/>
  <c r="AW20" i="33"/>
  <c r="AW9" i="33"/>
  <c r="AW29" i="33" s="1"/>
  <c r="AW15" i="33"/>
  <c r="AW35" i="33" s="1"/>
  <c r="AW10" i="33"/>
  <c r="AW30" i="33" s="1"/>
  <c r="AW13" i="33"/>
  <c r="AW33" i="33" s="1"/>
  <c r="AW18" i="33"/>
  <c r="AW38" i="33" s="1"/>
  <c r="AW19" i="33"/>
  <c r="T48" i="19"/>
  <c r="EM59" i="50"/>
  <c r="EY59" i="50"/>
  <c r="ES59" i="50"/>
  <c r="A58" i="51"/>
  <c r="DI59" i="50"/>
  <c r="AU44" i="33"/>
  <c r="AU48" i="33"/>
  <c r="AU43" i="33"/>
  <c r="AU47" i="33"/>
  <c r="AU46" i="33"/>
  <c r="AU42" i="33"/>
  <c r="AU45" i="33"/>
  <c r="AU49" i="33"/>
  <c r="J60" i="50"/>
  <c r="K38" i="50"/>
  <c r="AD37" i="51" s="1"/>
  <c r="CF37" i="50"/>
  <c r="AD36" i="51"/>
  <c r="AU51" i="33"/>
  <c r="AU66" i="33" s="1"/>
  <c r="DH24" i="41"/>
  <c r="DH23" i="41"/>
  <c r="DH16" i="41"/>
  <c r="DH13" i="41"/>
  <c r="DH27" i="41"/>
  <c r="DH4" i="41"/>
  <c r="DH19" i="41"/>
  <c r="DH9" i="41"/>
  <c r="DH26" i="41"/>
  <c r="DH3" i="41"/>
  <c r="DH25" i="41"/>
  <c r="DH5" i="41"/>
  <c r="DH12" i="41"/>
  <c r="DH15" i="41"/>
  <c r="DH22" i="41"/>
  <c r="DH6" i="41"/>
  <c r="DH18" i="41"/>
  <c r="DH21" i="41"/>
  <c r="DH14" i="41"/>
  <c r="DH7" i="41"/>
  <c r="DH20" i="41"/>
  <c r="DH8" i="41"/>
  <c r="DH10" i="41"/>
  <c r="DH17" i="41"/>
  <c r="AL38" i="41"/>
  <c r="AO11" i="41"/>
  <c r="AN36" i="41"/>
  <c r="DI11" i="41" s="1"/>
  <c r="BI24" i="41"/>
  <c r="C2" i="31"/>
  <c r="H2" i="31" s="1"/>
  <c r="I2" i="31" s="1"/>
  <c r="A60" i="52"/>
  <c r="AA67" i="24"/>
  <c r="AT81" i="33"/>
  <c r="D46" i="31"/>
  <c r="BP16" i="41"/>
  <c r="BP4" i="41"/>
  <c r="BP22" i="41"/>
  <c r="BP13" i="41"/>
  <c r="BP9" i="41"/>
  <c r="BP17" i="41"/>
  <c r="BP21" i="41"/>
  <c r="BP20" i="41"/>
  <c r="BP23" i="41"/>
  <c r="BP7" i="41"/>
  <c r="BP15" i="41"/>
  <c r="BQ27" i="41"/>
  <c r="BP10" i="41"/>
  <c r="BP18" i="41"/>
  <c r="BP19" i="41"/>
  <c r="BP25" i="41"/>
  <c r="BP6" i="41"/>
  <c r="BP14" i="41"/>
  <c r="BP26" i="41"/>
  <c r="BP3" i="41"/>
  <c r="BP5" i="41"/>
  <c r="BP12" i="41"/>
  <c r="BP8" i="41"/>
  <c r="AX2" i="33"/>
  <c r="CF2" i="37" s="1"/>
  <c r="I36" i="17"/>
  <c r="AY52" i="35"/>
  <c r="AZ52" i="35" s="1"/>
  <c r="AV53" i="35" s="1"/>
  <c r="AT53" i="35"/>
  <c r="AU53" i="35" s="1"/>
  <c r="AQ54" i="35" s="1"/>
  <c r="AO52" i="35"/>
  <c r="AP52" i="35" s="1"/>
  <c r="AL53" i="35" s="1"/>
  <c r="AJ52" i="35"/>
  <c r="AK52" i="35" s="1"/>
  <c r="AG53" i="35" s="1"/>
  <c r="AE52" i="35"/>
  <c r="AF52" i="35" s="1"/>
  <c r="AB53" i="35" s="1"/>
  <c r="Z52" i="35"/>
  <c r="AA52" i="35" s="1"/>
  <c r="W53" i="35" s="1"/>
  <c r="U52" i="35"/>
  <c r="V52" i="35" s="1"/>
  <c r="R53" i="35" s="1"/>
  <c r="P53" i="35"/>
  <c r="Q53" i="35" s="1"/>
  <c r="M54" i="35" s="1"/>
  <c r="K53" i="35"/>
  <c r="L53" i="35" s="1"/>
  <c r="H54" i="35" s="1"/>
  <c r="F53" i="35"/>
  <c r="G53" i="35" s="1"/>
  <c r="C54" i="35" s="1"/>
  <c r="AV1" i="33"/>
  <c r="A39" i="19"/>
  <c r="B39" i="19"/>
  <c r="C47" i="24" s="1"/>
  <c r="B37" i="17"/>
  <c r="B38" i="52"/>
  <c r="CE33" i="37" l="1"/>
  <c r="CE50" i="37"/>
  <c r="EF50" i="37" s="1"/>
  <c r="CE40" i="37"/>
  <c r="DV50" i="37" s="1"/>
  <c r="CE34" i="37"/>
  <c r="DP50" i="37" s="1"/>
  <c r="CE52" i="37"/>
  <c r="EH50" i="37" s="1"/>
  <c r="CE38" i="37"/>
  <c r="DT50" i="37" s="1"/>
  <c r="CE57" i="37"/>
  <c r="EM50" i="37" s="1"/>
  <c r="CE51" i="37"/>
  <c r="EG50" i="37" s="1"/>
  <c r="CE41" i="37"/>
  <c r="DW50" i="37" s="1"/>
  <c r="CE46" i="37"/>
  <c r="EB50" i="37" s="1"/>
  <c r="CE39" i="37"/>
  <c r="DU50" i="37" s="1"/>
  <c r="CE42" i="37"/>
  <c r="DX50" i="37" s="1"/>
  <c r="CE54" i="37"/>
  <c r="EJ50" i="37" s="1"/>
  <c r="CE55" i="37"/>
  <c r="EK50" i="37" s="1"/>
  <c r="CE44" i="37"/>
  <c r="DZ50" i="37" s="1"/>
  <c r="CE36" i="37"/>
  <c r="CE47" i="37"/>
  <c r="EC50" i="37" s="1"/>
  <c r="CE43" i="37"/>
  <c r="DY50" i="37" s="1"/>
  <c r="CE35" i="37"/>
  <c r="CE45" i="37"/>
  <c r="EA50" i="37" s="1"/>
  <c r="CF31" i="37"/>
  <c r="CF45" i="37" s="1"/>
  <c r="EA51" i="37" s="1"/>
  <c r="CF5" i="37"/>
  <c r="CF34" i="37" s="1"/>
  <c r="CF9" i="37"/>
  <c r="CF38" i="37" s="1"/>
  <c r="DT51" i="37" s="1"/>
  <c r="CF13" i="37"/>
  <c r="CF42" i="37" s="1"/>
  <c r="DX51" i="37" s="1"/>
  <c r="CF16" i="37"/>
  <c r="CF17" i="37"/>
  <c r="CF21" i="37"/>
  <c r="CF25" i="37"/>
  <c r="CF6" i="37"/>
  <c r="CF10" i="37"/>
  <c r="CF14" i="37"/>
  <c r="CF28" i="37"/>
  <c r="CF11" i="37"/>
  <c r="CF40" i="37" s="1"/>
  <c r="DV51" i="37" s="1"/>
  <c r="CF12" i="37"/>
  <c r="CF41" i="37" s="1"/>
  <c r="DW51" i="37" s="1"/>
  <c r="CF4" i="37"/>
  <c r="CF33" i="37" s="1"/>
  <c r="CF20" i="37"/>
  <c r="CF49" i="37" s="1"/>
  <c r="EE51" i="37" s="1"/>
  <c r="CF7" i="37"/>
  <c r="CF23" i="37"/>
  <c r="CF15" i="37"/>
  <c r="CF27" i="37"/>
  <c r="CF8" i="37"/>
  <c r="CF37" i="37" s="1"/>
  <c r="DS51" i="37" s="1"/>
  <c r="CF18" i="37"/>
  <c r="CF22" i="37"/>
  <c r="CF51" i="37" s="1"/>
  <c r="EG51" i="37" s="1"/>
  <c r="CF24" i="37"/>
  <c r="CF53" i="37" s="1"/>
  <c r="EI51" i="37" s="1"/>
  <c r="CF19" i="37"/>
  <c r="CF48" i="37" s="1"/>
  <c r="ED51" i="37" s="1"/>
  <c r="CF26" i="37"/>
  <c r="CF55" i="37" s="1"/>
  <c r="EK51" i="37" s="1"/>
  <c r="CF3" i="37"/>
  <c r="CF32" i="37" s="1"/>
  <c r="DN51" i="37" s="1"/>
  <c r="CE37" i="37"/>
  <c r="DS50" i="37" s="1"/>
  <c r="AV50" i="33"/>
  <c r="AV65" i="33" s="1"/>
  <c r="AM339" i="5"/>
  <c r="AJ340" i="5"/>
  <c r="AA341" i="5"/>
  <c r="Z341" i="5" s="1"/>
  <c r="O344" i="5"/>
  <c r="Q344" i="5" s="1"/>
  <c r="P344" i="5"/>
  <c r="CJ36" i="5"/>
  <c r="BT35" i="5"/>
  <c r="BU35" i="5" s="1"/>
  <c r="CX117" i="5"/>
  <c r="CW118" i="5"/>
  <c r="DQ50" i="37"/>
  <c r="DO50" i="37"/>
  <c r="CE29" i="37"/>
  <c r="AW53" i="33" s="1"/>
  <c r="CF35" i="37"/>
  <c r="CF43" i="37"/>
  <c r="DY51" i="37" s="1"/>
  <c r="CF57" i="37"/>
  <c r="EM51" i="37" s="1"/>
  <c r="CF36" i="37"/>
  <c r="O47" i="19"/>
  <c r="AL51" i="5"/>
  <c r="AK51" i="5" s="1"/>
  <c r="AM51" i="5" s="1"/>
  <c r="AJ52" i="5" s="1"/>
  <c r="AI51" i="5"/>
  <c r="AB52" i="5"/>
  <c r="Y53" i="5" s="1"/>
  <c r="E5" i="5"/>
  <c r="D5" i="5" s="1"/>
  <c r="Q53" i="5"/>
  <c r="N54" i="5" s="1"/>
  <c r="U58" i="51"/>
  <c r="Q58" i="51"/>
  <c r="S58" i="51"/>
  <c r="O58" i="51"/>
  <c r="AU64" i="33"/>
  <c r="AU80" i="33" s="1"/>
  <c r="AU60" i="33"/>
  <c r="AU76" i="33" s="1"/>
  <c r="AU57" i="33"/>
  <c r="AU73" i="33" s="1"/>
  <c r="AU61" i="33"/>
  <c r="AU77" i="33" s="1"/>
  <c r="AU62" i="33"/>
  <c r="AU78" i="33" s="1"/>
  <c r="AU58" i="33"/>
  <c r="AU74" i="33" s="1"/>
  <c r="AU63" i="33"/>
  <c r="AU79" i="33" s="1"/>
  <c r="AU59" i="33"/>
  <c r="AU75" i="33" s="1"/>
  <c r="F55" i="24"/>
  <c r="AT84" i="33"/>
  <c r="AT85" i="33" s="1"/>
  <c r="E46" i="31" s="1"/>
  <c r="G46" i="31" s="1"/>
  <c r="AX7" i="33"/>
  <c r="AX27" i="33" s="1"/>
  <c r="AX8" i="33"/>
  <c r="AX28" i="33" s="1"/>
  <c r="AX20" i="33"/>
  <c r="AX13" i="33"/>
  <c r="AX33" i="33" s="1"/>
  <c r="AX18" i="33"/>
  <c r="AX38" i="33" s="1"/>
  <c r="AX16" i="33"/>
  <c r="AX36" i="33" s="1"/>
  <c r="AX17" i="33"/>
  <c r="AX37" i="33" s="1"/>
  <c r="AX11" i="33"/>
  <c r="AX31" i="33" s="1"/>
  <c r="AX12" i="33"/>
  <c r="AX32" i="33" s="1"/>
  <c r="AX15" i="33"/>
  <c r="AX35" i="33" s="1"/>
  <c r="AX10" i="33"/>
  <c r="AX30" i="33" s="1"/>
  <c r="AX19" i="33"/>
  <c r="AX9" i="33"/>
  <c r="AX29" i="33" s="1"/>
  <c r="T49" i="19"/>
  <c r="ES60" i="50"/>
  <c r="EM60" i="50"/>
  <c r="EY60" i="50"/>
  <c r="A59" i="51"/>
  <c r="DI60" i="50"/>
  <c r="AV44" i="33"/>
  <c r="AV48" i="33"/>
  <c r="AV47" i="33"/>
  <c r="AV43" i="33"/>
  <c r="AV46" i="33"/>
  <c r="AV42" i="33"/>
  <c r="AV45" i="33"/>
  <c r="AV49" i="33"/>
  <c r="K39" i="50"/>
  <c r="J61" i="50"/>
  <c r="CF38" i="50"/>
  <c r="G45" i="31"/>
  <c r="AV51" i="33"/>
  <c r="AV66" i="33" s="1"/>
  <c r="DI24" i="41"/>
  <c r="DI13" i="41"/>
  <c r="DI19" i="41"/>
  <c r="DI23" i="41"/>
  <c r="DI18" i="41"/>
  <c r="DI14" i="41"/>
  <c r="DI21" i="41"/>
  <c r="DI26" i="41"/>
  <c r="DI15" i="41"/>
  <c r="DI20" i="41"/>
  <c r="DI6" i="41"/>
  <c r="DI5" i="41"/>
  <c r="DI3" i="41"/>
  <c r="DI7" i="41"/>
  <c r="DI22" i="41"/>
  <c r="DI27" i="41"/>
  <c r="DI16" i="41"/>
  <c r="DI10" i="41"/>
  <c r="DI17" i="41"/>
  <c r="DI4" i="41"/>
  <c r="DI25" i="41"/>
  <c r="DI12" i="41"/>
  <c r="DI9" i="41"/>
  <c r="DI8" i="41"/>
  <c r="AP11" i="41"/>
  <c r="AO36" i="41"/>
  <c r="DJ11" i="41" s="1"/>
  <c r="AM38" i="41"/>
  <c r="AV81" i="33"/>
  <c r="BJ24" i="41"/>
  <c r="C3" i="31"/>
  <c r="D47" i="31"/>
  <c r="BQ8" i="41"/>
  <c r="BQ12" i="41"/>
  <c r="BQ5" i="41"/>
  <c r="BQ3" i="41"/>
  <c r="BQ26" i="41"/>
  <c r="BQ14" i="41"/>
  <c r="BQ6" i="41"/>
  <c r="BQ25" i="41"/>
  <c r="BQ19" i="41"/>
  <c r="BQ18" i="41"/>
  <c r="BQ10" i="41"/>
  <c r="BR27" i="41"/>
  <c r="BQ15" i="41"/>
  <c r="BQ7" i="41"/>
  <c r="BQ23" i="41"/>
  <c r="BQ20" i="41"/>
  <c r="BQ21" i="41"/>
  <c r="BQ17" i="41"/>
  <c r="BQ9" i="41"/>
  <c r="BQ13" i="41"/>
  <c r="BQ22" i="41"/>
  <c r="BQ4" i="41"/>
  <c r="BQ16" i="41"/>
  <c r="AY2" i="33"/>
  <c r="CG2" i="37" s="1"/>
  <c r="J37" i="17"/>
  <c r="AY53" i="35"/>
  <c r="AZ53" i="35" s="1"/>
  <c r="AV54" i="35" s="1"/>
  <c r="AT54" i="35"/>
  <c r="AU54" i="35" s="1"/>
  <c r="AQ55" i="35" s="1"/>
  <c r="AO53" i="35"/>
  <c r="AP53" i="35" s="1"/>
  <c r="AL54" i="35" s="1"/>
  <c r="AJ53" i="35"/>
  <c r="AK53" i="35" s="1"/>
  <c r="AG54" i="35" s="1"/>
  <c r="AE53" i="35"/>
  <c r="AF53" i="35" s="1"/>
  <c r="AB54" i="35" s="1"/>
  <c r="Z53" i="35"/>
  <c r="AA53" i="35" s="1"/>
  <c r="W54" i="35" s="1"/>
  <c r="U53" i="35"/>
  <c r="V53" i="35" s="1"/>
  <c r="R54" i="35" s="1"/>
  <c r="P54" i="35"/>
  <c r="Q54" i="35" s="1"/>
  <c r="M55" i="35" s="1"/>
  <c r="K54" i="35"/>
  <c r="L54" i="35" s="1"/>
  <c r="H55" i="35" s="1"/>
  <c r="F54" i="35"/>
  <c r="G54" i="35" s="1"/>
  <c r="C55" i="35" s="1"/>
  <c r="AW1" i="33"/>
  <c r="I37" i="17"/>
  <c r="A40" i="19"/>
  <c r="B40" i="19"/>
  <c r="C48" i="24" s="1"/>
  <c r="B39" i="52"/>
  <c r="B38" i="17"/>
  <c r="J38" i="17" s="1"/>
  <c r="CF47" i="37" l="1"/>
  <c r="EC51" i="37" s="1"/>
  <c r="CF39" i="37"/>
  <c r="DU51" i="37" s="1"/>
  <c r="CF56" i="37"/>
  <c r="EL51" i="37" s="1"/>
  <c r="CF54" i="37"/>
  <c r="EJ51" i="37" s="1"/>
  <c r="CE58" i="37"/>
  <c r="AW68" i="33" s="1"/>
  <c r="CF44" i="37"/>
  <c r="DZ51" i="37" s="1"/>
  <c r="CF50" i="37"/>
  <c r="EF51" i="37" s="1"/>
  <c r="CF52" i="37"/>
  <c r="EH51" i="37" s="1"/>
  <c r="CF46" i="37"/>
  <c r="EB51" i="37" s="1"/>
  <c r="DR50" i="37"/>
  <c r="CG31" i="37"/>
  <c r="CG44" i="37" s="1"/>
  <c r="DZ52" i="37" s="1"/>
  <c r="CG5" i="37"/>
  <c r="CG21" i="37"/>
  <c r="CG6" i="37"/>
  <c r="CG10" i="37"/>
  <c r="CG14" i="37"/>
  <c r="CG17" i="37"/>
  <c r="CG11" i="37"/>
  <c r="CG12" i="37"/>
  <c r="CG13" i="37"/>
  <c r="CG42" i="37" s="1"/>
  <c r="DX52" i="37" s="1"/>
  <c r="CG25" i="37"/>
  <c r="CG4" i="37"/>
  <c r="CG33" i="37" s="1"/>
  <c r="CG23" i="37"/>
  <c r="CG52" i="37" s="1"/>
  <c r="EH52" i="37" s="1"/>
  <c r="CG20" i="37"/>
  <c r="CG49" i="37" s="1"/>
  <c r="EE52" i="37" s="1"/>
  <c r="CG15" i="37"/>
  <c r="CG16" i="37"/>
  <c r="CG27" i="37"/>
  <c r="CG7" i="37"/>
  <c r="CG8" i="37"/>
  <c r="CG37" i="37" s="1"/>
  <c r="DS52" i="37" s="1"/>
  <c r="CG9" i="37"/>
  <c r="CG18" i="37"/>
  <c r="CG22" i="37"/>
  <c r="CG24" i="37"/>
  <c r="CG28" i="37"/>
  <c r="CG19" i="37"/>
  <c r="CG48" i="37" s="1"/>
  <c r="ED52" i="37" s="1"/>
  <c r="CG26" i="37"/>
  <c r="CG55" i="37" s="1"/>
  <c r="EK52" i="37" s="1"/>
  <c r="CG3" i="37"/>
  <c r="AW50" i="33"/>
  <c r="AW65" i="33" s="1"/>
  <c r="AW81" i="33" s="1"/>
  <c r="AB341" i="5"/>
  <c r="Y342" i="5"/>
  <c r="AL340" i="5"/>
  <c r="AK340" i="5"/>
  <c r="AM340" i="5" s="1"/>
  <c r="N345" i="5"/>
  <c r="CI36" i="5"/>
  <c r="CG37" i="5" s="1"/>
  <c r="CC35" i="5"/>
  <c r="AI52" i="5"/>
  <c r="CX118" i="5"/>
  <c r="CW119" i="5"/>
  <c r="DQ51" i="37"/>
  <c r="DR51" i="37"/>
  <c r="DP51" i="37"/>
  <c r="DO51" i="37"/>
  <c r="CG43" i="37"/>
  <c r="DY52" i="37" s="1"/>
  <c r="CG34" i="37"/>
  <c r="CG47" i="37"/>
  <c r="EC52" i="37" s="1"/>
  <c r="CF29" i="37"/>
  <c r="AX53" i="33" s="1"/>
  <c r="O48" i="19"/>
  <c r="P54" i="5"/>
  <c r="O54" i="5"/>
  <c r="AL52" i="5"/>
  <c r="AK52" i="5" s="1"/>
  <c r="F5" i="5"/>
  <c r="C6" i="5" s="1"/>
  <c r="B6" i="5"/>
  <c r="AU84" i="33"/>
  <c r="AU85" i="33" s="1"/>
  <c r="E47" i="31" s="1"/>
  <c r="F47" i="31" s="1"/>
  <c r="AA53" i="5"/>
  <c r="Z53" i="5" s="1"/>
  <c r="O59" i="51"/>
  <c r="Q59" i="51"/>
  <c r="S59" i="51"/>
  <c r="U59" i="51"/>
  <c r="AV64" i="33"/>
  <c r="AV80" i="33" s="1"/>
  <c r="AV60" i="33"/>
  <c r="AV76" i="33" s="1"/>
  <c r="AV57" i="33"/>
  <c r="AV73" i="33" s="1"/>
  <c r="AV61" i="33"/>
  <c r="AV77" i="33" s="1"/>
  <c r="AV58" i="33"/>
  <c r="AV74" i="33" s="1"/>
  <c r="AV62" i="33"/>
  <c r="AV78" i="33" s="1"/>
  <c r="AV63" i="33"/>
  <c r="AV79" i="33" s="1"/>
  <c r="AV59" i="33"/>
  <c r="AV75" i="33" s="1"/>
  <c r="AY9" i="33"/>
  <c r="AY29" i="33" s="1"/>
  <c r="AY13" i="33"/>
  <c r="AY33" i="33" s="1"/>
  <c r="AY8" i="33"/>
  <c r="AY28" i="33" s="1"/>
  <c r="AY15" i="33"/>
  <c r="AY35" i="33" s="1"/>
  <c r="AY16" i="33"/>
  <c r="AY36" i="33" s="1"/>
  <c r="AY7" i="33"/>
  <c r="AY27" i="33" s="1"/>
  <c r="AY17" i="33"/>
  <c r="AY37" i="33" s="1"/>
  <c r="AY11" i="33"/>
  <c r="AY31" i="33" s="1"/>
  <c r="AY10" i="33"/>
  <c r="AY30" i="33" s="1"/>
  <c r="AY18" i="33"/>
  <c r="AY38" i="33" s="1"/>
  <c r="AY12" i="33"/>
  <c r="AY32" i="33" s="1"/>
  <c r="AY20" i="33"/>
  <c r="AY19" i="33"/>
  <c r="F56" i="24"/>
  <c r="T50" i="19"/>
  <c r="EY61" i="50"/>
  <c r="EM61" i="50"/>
  <c r="ES61" i="50"/>
  <c r="J62" i="50"/>
  <c r="A60" i="51"/>
  <c r="DI61" i="50"/>
  <c r="AW45" i="33"/>
  <c r="AW49" i="33"/>
  <c r="AW44" i="33"/>
  <c r="AW48" i="33"/>
  <c r="AW42" i="33"/>
  <c r="AW46" i="33"/>
  <c r="AW47" i="33"/>
  <c r="AW43" i="33"/>
  <c r="A61" i="52"/>
  <c r="CF39" i="50"/>
  <c r="AD38" i="51"/>
  <c r="K40" i="50"/>
  <c r="F46" i="31"/>
  <c r="AW51" i="33"/>
  <c r="AW66" i="33" s="1"/>
  <c r="DJ24" i="41"/>
  <c r="DJ8" i="41"/>
  <c r="DJ20" i="41"/>
  <c r="DJ26" i="41"/>
  <c r="DJ25" i="41"/>
  <c r="DJ22" i="41"/>
  <c r="DJ12" i="41"/>
  <c r="DJ17" i="41"/>
  <c r="DJ18" i="41"/>
  <c r="DJ3" i="41"/>
  <c r="DJ7" i="41"/>
  <c r="DJ19" i="41"/>
  <c r="DJ5" i="41"/>
  <c r="DJ9" i="41"/>
  <c r="DJ10" i="41"/>
  <c r="DJ27" i="41"/>
  <c r="DJ23" i="41"/>
  <c r="DJ15" i="41"/>
  <c r="DJ6" i="41"/>
  <c r="DJ13" i="41"/>
  <c r="DJ16" i="41"/>
  <c r="DJ21" i="41"/>
  <c r="DJ14" i="41"/>
  <c r="DJ4" i="41"/>
  <c r="AQ11" i="41"/>
  <c r="AP36" i="41"/>
  <c r="DK11" i="41" s="1"/>
  <c r="AN38" i="41"/>
  <c r="BK24" i="41"/>
  <c r="D48" i="31"/>
  <c r="BR16" i="41"/>
  <c r="BR4" i="41"/>
  <c r="BR22" i="41"/>
  <c r="BR13" i="41"/>
  <c r="BR9" i="41"/>
  <c r="BR17" i="41"/>
  <c r="BR21" i="41"/>
  <c r="BR20" i="41"/>
  <c r="BR23" i="41"/>
  <c r="BR7" i="41"/>
  <c r="BR15" i="41"/>
  <c r="BS27" i="41"/>
  <c r="BR10" i="41"/>
  <c r="BR18" i="41"/>
  <c r="BR19" i="41"/>
  <c r="BR25" i="41"/>
  <c r="BR6" i="41"/>
  <c r="BR14" i="41"/>
  <c r="BR26" i="41"/>
  <c r="BR3" i="41"/>
  <c r="BR5" i="41"/>
  <c r="BR12" i="41"/>
  <c r="BR8" i="41"/>
  <c r="AZ2" i="33"/>
  <c r="CH2" i="37" s="1"/>
  <c r="I38" i="17"/>
  <c r="AY54" i="35"/>
  <c r="AZ54" i="35" s="1"/>
  <c r="AV55" i="35" s="1"/>
  <c r="AT55" i="35"/>
  <c r="AU55" i="35" s="1"/>
  <c r="AO54" i="35"/>
  <c r="AP54" i="35" s="1"/>
  <c r="AL55" i="35" s="1"/>
  <c r="AJ54" i="35"/>
  <c r="AK54" i="35" s="1"/>
  <c r="AG55" i="35" s="1"/>
  <c r="AE54" i="35"/>
  <c r="AF54" i="35" s="1"/>
  <c r="AB55" i="35" s="1"/>
  <c r="Z54" i="35"/>
  <c r="AA54" i="35" s="1"/>
  <c r="W55" i="35" s="1"/>
  <c r="U54" i="35"/>
  <c r="V54" i="35" s="1"/>
  <c r="R55" i="35" s="1"/>
  <c r="P55" i="35"/>
  <c r="Q55" i="35" s="1"/>
  <c r="K55" i="35"/>
  <c r="L55" i="35" s="1"/>
  <c r="F55" i="35"/>
  <c r="G55" i="35" s="1"/>
  <c r="AX1" i="33"/>
  <c r="A41" i="19"/>
  <c r="B41" i="19"/>
  <c r="C49" i="24" s="1"/>
  <c r="B39" i="17"/>
  <c r="B40" i="52"/>
  <c r="CG40" i="37" l="1"/>
  <c r="DV52" i="37" s="1"/>
  <c r="CG41" i="37"/>
  <c r="DW52" i="37" s="1"/>
  <c r="CG56" i="37"/>
  <c r="EL52" i="37" s="1"/>
  <c r="CG57" i="37"/>
  <c r="EM52" i="37" s="1"/>
  <c r="CG46" i="37"/>
  <c r="EB52" i="37" s="1"/>
  <c r="CG32" i="37"/>
  <c r="DN52" i="37" s="1"/>
  <c r="CG53" i="37"/>
  <c r="EI52" i="37" s="1"/>
  <c r="CG54" i="37"/>
  <c r="EJ52" i="37" s="1"/>
  <c r="CG35" i="37"/>
  <c r="DQ52" i="37" s="1"/>
  <c r="CG51" i="37"/>
  <c r="EG52" i="37" s="1"/>
  <c r="CG50" i="37"/>
  <c r="EF52" i="37" s="1"/>
  <c r="CG36" i="37"/>
  <c r="DR52" i="37" s="1"/>
  <c r="CG39" i="37"/>
  <c r="DU52" i="37" s="1"/>
  <c r="CG38" i="37"/>
  <c r="DT52" i="37" s="1"/>
  <c r="CF58" i="37"/>
  <c r="AX68" i="33" s="1"/>
  <c r="CG45" i="37"/>
  <c r="EA52" i="37" s="1"/>
  <c r="CH31" i="37"/>
  <c r="CH55" i="37" s="1"/>
  <c r="EK53" i="37" s="1"/>
  <c r="CH9" i="37"/>
  <c r="CH38" i="37" s="1"/>
  <c r="DT53" i="37" s="1"/>
  <c r="CH5" i="37"/>
  <c r="CH25" i="37"/>
  <c r="CH54" i="37" s="1"/>
  <c r="EJ53" i="37" s="1"/>
  <c r="CH21" i="37"/>
  <c r="CH50" i="37" s="1"/>
  <c r="EF53" i="37" s="1"/>
  <c r="CH6" i="37"/>
  <c r="CH35" i="37" s="1"/>
  <c r="CH10" i="37"/>
  <c r="CH39" i="37" s="1"/>
  <c r="DU53" i="37" s="1"/>
  <c r="CH14" i="37"/>
  <c r="CH43" i="37" s="1"/>
  <c r="DY53" i="37" s="1"/>
  <c r="CH17" i="37"/>
  <c r="CH26" i="37"/>
  <c r="CH11" i="37"/>
  <c r="CH12" i="37"/>
  <c r="CH13" i="37"/>
  <c r="CH28" i="37"/>
  <c r="CH57" i="37" s="1"/>
  <c r="EM53" i="37" s="1"/>
  <c r="CH23" i="37"/>
  <c r="CH52" i="37" s="1"/>
  <c r="EH53" i="37" s="1"/>
  <c r="CH4" i="37"/>
  <c r="CH33" i="37" s="1"/>
  <c r="CH20" i="37"/>
  <c r="CH49" i="37" s="1"/>
  <c r="EE53" i="37" s="1"/>
  <c r="CH15" i="37"/>
  <c r="CH16" i="37"/>
  <c r="CH27" i="37"/>
  <c r="CH56" i="37" s="1"/>
  <c r="EL53" i="37" s="1"/>
  <c r="CH7" i="37"/>
  <c r="CH8" i="37"/>
  <c r="CH18" i="37"/>
  <c r="CH24" i="37"/>
  <c r="CH19" i="37"/>
  <c r="CH48" i="37" s="1"/>
  <c r="ED53" i="37" s="1"/>
  <c r="CH22" i="37"/>
  <c r="CH3" i="37"/>
  <c r="CH32" i="37" s="1"/>
  <c r="DN53" i="37" s="1"/>
  <c r="AX50" i="33"/>
  <c r="AX65" i="33" s="1"/>
  <c r="Z342" i="5"/>
  <c r="AB342" i="5" s="1"/>
  <c r="AA342" i="5"/>
  <c r="Y343" i="5"/>
  <c r="P345" i="5"/>
  <c r="O345" i="5" s="1"/>
  <c r="AJ341" i="5"/>
  <c r="CK36" i="5"/>
  <c r="CH37" i="5" s="1"/>
  <c r="CP37" i="5"/>
  <c r="BW35" i="5"/>
  <c r="BV35" i="5" s="1"/>
  <c r="BX35" i="5" s="1"/>
  <c r="CX119" i="5"/>
  <c r="CW120" i="5"/>
  <c r="DP52" i="37"/>
  <c r="DO52" i="37"/>
  <c r="CH37" i="37"/>
  <c r="DS53" i="37" s="1"/>
  <c r="CH42" i="37"/>
  <c r="DX53" i="37" s="1"/>
  <c r="CH36" i="37"/>
  <c r="CH51" i="37"/>
  <c r="EG53" i="37" s="1"/>
  <c r="CH34" i="37"/>
  <c r="CH44" i="37"/>
  <c r="DZ53" i="37" s="1"/>
  <c r="CH46" i="37"/>
  <c r="EB53" i="37" s="1"/>
  <c r="CH45" i="37"/>
  <c r="EA53" i="37" s="1"/>
  <c r="CG29" i="37"/>
  <c r="AY53" i="33" s="1"/>
  <c r="F57" i="24"/>
  <c r="AM52" i="5"/>
  <c r="AJ53" i="5" s="1"/>
  <c r="AI53" i="5"/>
  <c r="E6" i="5"/>
  <c r="D6" i="5" s="1"/>
  <c r="G47" i="31"/>
  <c r="AB53" i="5"/>
  <c r="Y54" i="5" s="1"/>
  <c r="X54" i="5"/>
  <c r="Q54" i="5"/>
  <c r="N55" i="5" s="1"/>
  <c r="M55" i="5"/>
  <c r="AW61" i="33"/>
  <c r="AW77" i="33" s="1"/>
  <c r="AW57" i="33"/>
  <c r="AW73" i="33" s="1"/>
  <c r="AW63" i="33"/>
  <c r="AW79" i="33" s="1"/>
  <c r="AW59" i="33"/>
  <c r="AW75" i="33" s="1"/>
  <c r="O49" i="19"/>
  <c r="AW64" i="33"/>
  <c r="AW80" i="33" s="1"/>
  <c r="AW60" i="33"/>
  <c r="AW76" i="33" s="1"/>
  <c r="Q60" i="51"/>
  <c r="S60" i="51"/>
  <c r="U60" i="51"/>
  <c r="O60" i="51"/>
  <c r="A61" i="51"/>
  <c r="DI62" i="50"/>
  <c r="AW58" i="33"/>
  <c r="AW74" i="33" s="1"/>
  <c r="AW62" i="33"/>
  <c r="AW78" i="33" s="1"/>
  <c r="AV84" i="33"/>
  <c r="AV85" i="33" s="1"/>
  <c r="E48" i="31" s="1"/>
  <c r="G48" i="31" s="1"/>
  <c r="AZ9" i="33"/>
  <c r="AZ29" i="33" s="1"/>
  <c r="AZ13" i="33"/>
  <c r="AZ33" i="33" s="1"/>
  <c r="AZ8" i="33"/>
  <c r="AZ28" i="33" s="1"/>
  <c r="AZ12" i="33"/>
  <c r="AZ32" i="33" s="1"/>
  <c r="AZ17" i="33"/>
  <c r="AZ37" i="33" s="1"/>
  <c r="AZ15" i="33"/>
  <c r="AZ35" i="33" s="1"/>
  <c r="AZ16" i="33"/>
  <c r="AZ36" i="33" s="1"/>
  <c r="AZ7" i="33"/>
  <c r="AZ27" i="33" s="1"/>
  <c r="AZ10" i="33"/>
  <c r="AZ30" i="33" s="1"/>
  <c r="AZ11" i="33"/>
  <c r="AZ31" i="33" s="1"/>
  <c r="AZ20" i="33"/>
  <c r="AZ18" i="33"/>
  <c r="AZ38" i="33" s="1"/>
  <c r="AZ19" i="33"/>
  <c r="T51" i="19"/>
  <c r="EY62" i="50"/>
  <c r="ES62" i="50"/>
  <c r="EM62" i="50"/>
  <c r="A62" i="52"/>
  <c r="J63" i="50"/>
  <c r="AX45" i="33"/>
  <c r="AX49" i="33"/>
  <c r="AX48" i="33"/>
  <c r="AX44" i="33"/>
  <c r="AX46" i="33"/>
  <c r="AX47" i="33"/>
  <c r="AX43" i="33"/>
  <c r="AX42" i="33"/>
  <c r="CF40" i="50"/>
  <c r="AD39" i="51"/>
  <c r="K41" i="50"/>
  <c r="AX51" i="33"/>
  <c r="AX66" i="33" s="1"/>
  <c r="AO38" i="41"/>
  <c r="DK24" i="41"/>
  <c r="DK20" i="41"/>
  <c r="DK7" i="41"/>
  <c r="DK14" i="41"/>
  <c r="DK21" i="41"/>
  <c r="DK15" i="41"/>
  <c r="DK9" i="41"/>
  <c r="DK19" i="41"/>
  <c r="DK4" i="41"/>
  <c r="DK13" i="41"/>
  <c r="DK18" i="41"/>
  <c r="DK27" i="41"/>
  <c r="DK16" i="41"/>
  <c r="DK25" i="41"/>
  <c r="DK6" i="41"/>
  <c r="DK17" i="41"/>
  <c r="DK3" i="41"/>
  <c r="DK12" i="41"/>
  <c r="DK23" i="41"/>
  <c r="DK22" i="41"/>
  <c r="DK8" i="41"/>
  <c r="DK26" i="41"/>
  <c r="DK5" i="41"/>
  <c r="DK10" i="41"/>
  <c r="AR11" i="41"/>
  <c r="AQ36" i="41"/>
  <c r="DL11" i="41" s="1"/>
  <c r="BL24" i="41"/>
  <c r="D49" i="31"/>
  <c r="BS8" i="41"/>
  <c r="BS12" i="41"/>
  <c r="BS5" i="41"/>
  <c r="BS3" i="41"/>
  <c r="BS26" i="41"/>
  <c r="BS14" i="41"/>
  <c r="BS6" i="41"/>
  <c r="BS25" i="41"/>
  <c r="BS19" i="41"/>
  <c r="BS18" i="41"/>
  <c r="BS10" i="41"/>
  <c r="BT27" i="41"/>
  <c r="BS15" i="41"/>
  <c r="BS7" i="41"/>
  <c r="BS23" i="41"/>
  <c r="BS20" i="41"/>
  <c r="BS21" i="41"/>
  <c r="BS17" i="41"/>
  <c r="BS9" i="41"/>
  <c r="BS13" i="41"/>
  <c r="BS22" i="41"/>
  <c r="BS4" i="41"/>
  <c r="BS16" i="41"/>
  <c r="BA2" i="33"/>
  <c r="CI2" i="37" s="1"/>
  <c r="I39" i="17"/>
  <c r="AY55" i="35"/>
  <c r="AZ55" i="35" s="1"/>
  <c r="AO55" i="35"/>
  <c r="AP55" i="35" s="1"/>
  <c r="AJ55" i="35"/>
  <c r="AK55" i="35" s="1"/>
  <c r="AE55" i="35"/>
  <c r="AF55" i="35" s="1"/>
  <c r="Z55" i="35"/>
  <c r="AA55" i="35" s="1"/>
  <c r="U55" i="35"/>
  <c r="V55" i="35" s="1"/>
  <c r="AY1" i="33"/>
  <c r="J39" i="17"/>
  <c r="A42" i="19"/>
  <c r="B42" i="19"/>
  <c r="C50" i="24" s="1"/>
  <c r="B41" i="52"/>
  <c r="B40" i="17"/>
  <c r="J40" i="17" s="1"/>
  <c r="CH53" i="37" l="1"/>
  <c r="EI53" i="37" s="1"/>
  <c r="CH41" i="37"/>
  <c r="DW53" i="37" s="1"/>
  <c r="CH47" i="37"/>
  <c r="EC53" i="37" s="1"/>
  <c r="CH40" i="37"/>
  <c r="DV53" i="37" s="1"/>
  <c r="CG58" i="37"/>
  <c r="AY68" i="33" s="1"/>
  <c r="CI31" i="37"/>
  <c r="CI4" i="37"/>
  <c r="CI8" i="37"/>
  <c r="CI12" i="37"/>
  <c r="CI41" i="37" s="1"/>
  <c r="DW54" i="37" s="1"/>
  <c r="CI16" i="37"/>
  <c r="CI13" i="37"/>
  <c r="CI20" i="37"/>
  <c r="CI24" i="37"/>
  <c r="CI28" i="37"/>
  <c r="CI18" i="37"/>
  <c r="CI5" i="37"/>
  <c r="CI25" i="37"/>
  <c r="CI14" i="37"/>
  <c r="CI43" i="37" s="1"/>
  <c r="DY54" i="37" s="1"/>
  <c r="CI15" i="37"/>
  <c r="CI17" i="37"/>
  <c r="CI22" i="37"/>
  <c r="CI51" i="37" s="1"/>
  <c r="EG54" i="37" s="1"/>
  <c r="CI21" i="37"/>
  <c r="CI26" i="37"/>
  <c r="CI19" i="37"/>
  <c r="CI6" i="37"/>
  <c r="CI23" i="37"/>
  <c r="CI10" i="37"/>
  <c r="CI11" i="37"/>
  <c r="CI27" i="37"/>
  <c r="CI9" i="37"/>
  <c r="CI38" i="37" s="1"/>
  <c r="DT54" i="37" s="1"/>
  <c r="CI7" i="37"/>
  <c r="CI36" i="37" s="1"/>
  <c r="CI3" i="37"/>
  <c r="CI32" i="37" s="1"/>
  <c r="DN54" i="37" s="1"/>
  <c r="DI63" i="50"/>
  <c r="AY50" i="33"/>
  <c r="AY65" i="33" s="1"/>
  <c r="Q345" i="5"/>
  <c r="N346" i="5" s="1"/>
  <c r="AA343" i="5"/>
  <c r="Z343" i="5" s="1"/>
  <c r="AL341" i="5"/>
  <c r="AK341" i="5" s="1"/>
  <c r="CJ37" i="5"/>
  <c r="CI37" i="5" s="1"/>
  <c r="CK37" i="5" s="1"/>
  <c r="BT36" i="5"/>
  <c r="BU36" i="5" s="1"/>
  <c r="CX120" i="5"/>
  <c r="CW121" i="5"/>
  <c r="DR53" i="37"/>
  <c r="DQ53" i="37"/>
  <c r="DO53" i="37"/>
  <c r="DP53" i="37"/>
  <c r="CH58" i="37"/>
  <c r="AZ68" i="33" s="1"/>
  <c r="CI44" i="37"/>
  <c r="DZ54" i="37" s="1"/>
  <c r="CH29" i="37"/>
  <c r="AZ53" i="33" s="1"/>
  <c r="O50" i="19"/>
  <c r="P55" i="5"/>
  <c r="O55" i="5" s="1"/>
  <c r="AA54" i="5"/>
  <c r="Z54" i="5" s="1"/>
  <c r="AL53" i="5"/>
  <c r="AK53" i="5" s="1"/>
  <c r="B7" i="5"/>
  <c r="F6" i="5"/>
  <c r="C7" i="5" s="1"/>
  <c r="F48" i="31"/>
  <c r="AX57" i="33"/>
  <c r="AX73" i="33" s="1"/>
  <c r="AX58" i="33"/>
  <c r="AX74" i="33" s="1"/>
  <c r="AX62" i="33"/>
  <c r="AX78" i="33" s="1"/>
  <c r="O61" i="51"/>
  <c r="Q61" i="51"/>
  <c r="S61" i="51"/>
  <c r="U61" i="51"/>
  <c r="AX61" i="33"/>
  <c r="AX77" i="33" s="1"/>
  <c r="AX59" i="33"/>
  <c r="AX75" i="33" s="1"/>
  <c r="AX63" i="33"/>
  <c r="AX79" i="33" s="1"/>
  <c r="AX64" i="33"/>
  <c r="AX80" i="33" s="1"/>
  <c r="AX60" i="33"/>
  <c r="AX76" i="33" s="1"/>
  <c r="BA13" i="33"/>
  <c r="BA33" i="33" s="1"/>
  <c r="BA18" i="33"/>
  <c r="BA38" i="33" s="1"/>
  <c r="BA15" i="33"/>
  <c r="BA35" i="33" s="1"/>
  <c r="BA16" i="33"/>
  <c r="BA36" i="33" s="1"/>
  <c r="BA17" i="33"/>
  <c r="BA37" i="33" s="1"/>
  <c r="BA7" i="33"/>
  <c r="BA27" i="33" s="1"/>
  <c r="BA8" i="33"/>
  <c r="BA28" i="33" s="1"/>
  <c r="BA19" i="33"/>
  <c r="BA11" i="33"/>
  <c r="BA31" i="33" s="1"/>
  <c r="BA12" i="33"/>
  <c r="BA32" i="33" s="1"/>
  <c r="BA9" i="33"/>
  <c r="BA29" i="33" s="1"/>
  <c r="BA10" i="33"/>
  <c r="BA30" i="33" s="1"/>
  <c r="BA20" i="33"/>
  <c r="F58" i="24"/>
  <c r="AW84" i="33"/>
  <c r="AW85" i="33" s="1"/>
  <c r="E49" i="31" s="1"/>
  <c r="G49" i="31" s="1"/>
  <c r="T52" i="19"/>
  <c r="ES63" i="50"/>
  <c r="EM63" i="50"/>
  <c r="EY63" i="50"/>
  <c r="A62" i="51"/>
  <c r="A63" i="52"/>
  <c r="J64" i="50"/>
  <c r="AY45" i="33"/>
  <c r="AY49" i="33"/>
  <c r="AY44" i="33"/>
  <c r="AY48" i="33"/>
  <c r="AY43" i="33"/>
  <c r="AY47" i="33"/>
  <c r="AY46" i="33"/>
  <c r="AY42" i="33"/>
  <c r="CF41" i="50"/>
  <c r="AD40" i="51"/>
  <c r="K42" i="50"/>
  <c r="AY51" i="33"/>
  <c r="AY66" i="33" s="1"/>
  <c r="AP38" i="41"/>
  <c r="DL24" i="41"/>
  <c r="DL13" i="41"/>
  <c r="DL14" i="41"/>
  <c r="DL19" i="41"/>
  <c r="DL27" i="41"/>
  <c r="DL20" i="41"/>
  <c r="DL25" i="41"/>
  <c r="DL10" i="41"/>
  <c r="DL12" i="41"/>
  <c r="DL17" i="41"/>
  <c r="DL22" i="41"/>
  <c r="DL6" i="41"/>
  <c r="DL18" i="41"/>
  <c r="DL16" i="41"/>
  <c r="DL3" i="41"/>
  <c r="DL21" i="41"/>
  <c r="DL7" i="41"/>
  <c r="DL8" i="41"/>
  <c r="DL5" i="41"/>
  <c r="DL4" i="41"/>
  <c r="DL9" i="41"/>
  <c r="DL26" i="41"/>
  <c r="DL15" i="41"/>
  <c r="DL23" i="41"/>
  <c r="AS11" i="41"/>
  <c r="AR36" i="41"/>
  <c r="DM11" i="41" s="1"/>
  <c r="AY81" i="33"/>
  <c r="BM24" i="41"/>
  <c r="AX81" i="33"/>
  <c r="D50" i="31"/>
  <c r="BT16" i="41"/>
  <c r="BT4" i="41"/>
  <c r="BT22" i="41"/>
  <c r="BT13" i="41"/>
  <c r="BT9" i="41"/>
  <c r="BT17" i="41"/>
  <c r="BT21" i="41"/>
  <c r="BT20" i="41"/>
  <c r="BT23" i="41"/>
  <c r="BT7" i="41"/>
  <c r="BT15" i="41"/>
  <c r="BU27" i="41"/>
  <c r="BT10" i="41"/>
  <c r="BT18" i="41"/>
  <c r="BT19" i="41"/>
  <c r="BT25" i="41"/>
  <c r="BT6" i="41"/>
  <c r="BT14" i="41"/>
  <c r="BT26" i="41"/>
  <c r="BT3" i="41"/>
  <c r="BT5" i="41"/>
  <c r="BT12" i="41"/>
  <c r="BT8" i="41"/>
  <c r="BB2" i="33"/>
  <c r="CJ2" i="37" s="1"/>
  <c r="AZ1" i="33"/>
  <c r="I40" i="17"/>
  <c r="A43" i="19"/>
  <c r="B43" i="19"/>
  <c r="C51" i="24" s="1"/>
  <c r="B41" i="17"/>
  <c r="B42" i="52"/>
  <c r="CI55" i="37" l="1"/>
  <c r="EK54" i="37" s="1"/>
  <c r="CI56" i="37"/>
  <c r="EL54" i="37" s="1"/>
  <c r="CI54" i="37"/>
  <c r="EJ54" i="37" s="1"/>
  <c r="CI40" i="37"/>
  <c r="DV54" i="37" s="1"/>
  <c r="CI34" i="37"/>
  <c r="CI39" i="37"/>
  <c r="DU54" i="37" s="1"/>
  <c r="CI52" i="37"/>
  <c r="EH54" i="37" s="1"/>
  <c r="CI57" i="37"/>
  <c r="EM54" i="37" s="1"/>
  <c r="CI53" i="37"/>
  <c r="EI54" i="37" s="1"/>
  <c r="CI37" i="37"/>
  <c r="DS54" i="37" s="1"/>
  <c r="CI47" i="37"/>
  <c r="EC54" i="37" s="1"/>
  <c r="CI49" i="37"/>
  <c r="EE54" i="37" s="1"/>
  <c r="CI46" i="37"/>
  <c r="EB54" i="37" s="1"/>
  <c r="CJ31" i="37"/>
  <c r="CJ4" i="37"/>
  <c r="CJ33" i="37" s="1"/>
  <c r="CJ6" i="37"/>
  <c r="CJ35" i="37" s="1"/>
  <c r="CJ9" i="37"/>
  <c r="CJ38" i="37" s="1"/>
  <c r="DT55" i="37" s="1"/>
  <c r="CJ13" i="37"/>
  <c r="CJ22" i="37"/>
  <c r="CJ51" i="37" s="1"/>
  <c r="EG55" i="37" s="1"/>
  <c r="CJ18" i="37"/>
  <c r="CJ47" i="37" s="1"/>
  <c r="EC55" i="37" s="1"/>
  <c r="CJ5" i="37"/>
  <c r="CJ34" i="37" s="1"/>
  <c r="CJ16" i="37"/>
  <c r="CJ45" i="37" s="1"/>
  <c r="EA55" i="37" s="1"/>
  <c r="CJ14" i="37"/>
  <c r="CJ43" i="37" s="1"/>
  <c r="DY55" i="37" s="1"/>
  <c r="CJ15" i="37"/>
  <c r="CJ44" i="37" s="1"/>
  <c r="DZ55" i="37" s="1"/>
  <c r="CJ17" i="37"/>
  <c r="CJ21" i="37"/>
  <c r="CJ26" i="37"/>
  <c r="CJ19" i="37"/>
  <c r="CJ28" i="37"/>
  <c r="CJ57" i="37" s="1"/>
  <c r="EM55" i="37" s="1"/>
  <c r="CJ25" i="37"/>
  <c r="CJ54" i="37" s="1"/>
  <c r="EJ55" i="37" s="1"/>
  <c r="CJ23" i="37"/>
  <c r="CJ52" i="37" s="1"/>
  <c r="EH55" i="37" s="1"/>
  <c r="CJ20" i="37"/>
  <c r="CJ49" i="37" s="1"/>
  <c r="EE55" i="37" s="1"/>
  <c r="CJ12" i="37"/>
  <c r="CJ41" i="37" s="1"/>
  <c r="DW55" i="37" s="1"/>
  <c r="CJ10" i="37"/>
  <c r="CJ39" i="37" s="1"/>
  <c r="DU55" i="37" s="1"/>
  <c r="CJ11" i="37"/>
  <c r="CJ40" i="37" s="1"/>
  <c r="DV55" i="37" s="1"/>
  <c r="CJ24" i="37"/>
  <c r="CJ8" i="37"/>
  <c r="CJ7" i="37"/>
  <c r="CJ27" i="37"/>
  <c r="CJ56" i="37" s="1"/>
  <c r="EL55" i="37" s="1"/>
  <c r="CJ3" i="37"/>
  <c r="CJ32" i="37" s="1"/>
  <c r="DN55" i="37" s="1"/>
  <c r="CI45" i="37"/>
  <c r="EA54" i="37" s="1"/>
  <c r="CI50" i="37"/>
  <c r="EF54" i="37" s="1"/>
  <c r="CI42" i="37"/>
  <c r="DX54" i="37" s="1"/>
  <c r="CI48" i="37"/>
  <c r="ED54" i="37" s="1"/>
  <c r="CI35" i="37"/>
  <c r="DQ54" i="37" s="1"/>
  <c r="CI33" i="37"/>
  <c r="DI64" i="50"/>
  <c r="AZ50" i="33"/>
  <c r="AZ65" i="33" s="1"/>
  <c r="AM341" i="5"/>
  <c r="AJ342" i="5"/>
  <c r="AB343" i="5"/>
  <c r="Y344" i="5" s="1"/>
  <c r="P346" i="5"/>
  <c r="O346" i="5" s="1"/>
  <c r="CG38" i="5"/>
  <c r="CC36" i="5"/>
  <c r="AB54" i="5"/>
  <c r="Y55" i="5" s="1"/>
  <c r="X55" i="5"/>
  <c r="CX121" i="5"/>
  <c r="CW122" i="5"/>
  <c r="DO54" i="37"/>
  <c r="DP54" i="37"/>
  <c r="DR54" i="37"/>
  <c r="CI29" i="37"/>
  <c r="BA53" i="33" s="1"/>
  <c r="CJ55" i="37"/>
  <c r="EK55" i="37" s="1"/>
  <c r="CJ37" i="37"/>
  <c r="DS55" i="37" s="1"/>
  <c r="CJ42" i="37"/>
  <c r="DX55" i="37" s="1"/>
  <c r="CJ48" i="37"/>
  <c r="ED55" i="37" s="1"/>
  <c r="CJ36" i="37"/>
  <c r="CJ46" i="37"/>
  <c r="EB55" i="37" s="1"/>
  <c r="CJ53" i="37"/>
  <c r="EI55" i="37" s="1"/>
  <c r="CJ50" i="37"/>
  <c r="EF55" i="37" s="1"/>
  <c r="AX84" i="33"/>
  <c r="AX85" i="33" s="1"/>
  <c r="E50" i="31" s="1"/>
  <c r="G50" i="31" s="1"/>
  <c r="AM53" i="5"/>
  <c r="AJ54" i="5" s="1"/>
  <c r="AI54" i="5"/>
  <c r="E7" i="5"/>
  <c r="D7" i="5" s="1"/>
  <c r="F49" i="31"/>
  <c r="Q55" i="5"/>
  <c r="N56" i="5" s="1"/>
  <c r="M56" i="5"/>
  <c r="AY58" i="33"/>
  <c r="AY74" i="33" s="1"/>
  <c r="AY63" i="33"/>
  <c r="AY79" i="33" s="1"/>
  <c r="AY59" i="33"/>
  <c r="AY75" i="33" s="1"/>
  <c r="AY64" i="33"/>
  <c r="AY80" i="33" s="1"/>
  <c r="F59" i="24"/>
  <c r="AY60" i="33"/>
  <c r="AY76" i="33" s="1"/>
  <c r="AY57" i="33"/>
  <c r="AY73" i="33" s="1"/>
  <c r="O62" i="51"/>
  <c r="Q62" i="51"/>
  <c r="S62" i="51"/>
  <c r="U62" i="51"/>
  <c r="AY61" i="33"/>
  <c r="AY77" i="33" s="1"/>
  <c r="AY62" i="33"/>
  <c r="AY78" i="33" s="1"/>
  <c r="O51" i="19"/>
  <c r="BB10" i="33"/>
  <c r="BB30" i="33" s="1"/>
  <c r="BB15" i="33"/>
  <c r="BB35" i="33" s="1"/>
  <c r="BB9" i="33"/>
  <c r="BB29" i="33" s="1"/>
  <c r="BB11" i="33"/>
  <c r="BB31" i="33" s="1"/>
  <c r="BB12" i="33"/>
  <c r="BB32" i="33" s="1"/>
  <c r="BB13" i="33"/>
  <c r="BB33" i="33" s="1"/>
  <c r="BB18" i="33"/>
  <c r="BB38" i="33" s="1"/>
  <c r="BB16" i="33"/>
  <c r="BB36" i="33" s="1"/>
  <c r="BB17" i="33"/>
  <c r="BB37" i="33" s="1"/>
  <c r="BB7" i="33"/>
  <c r="BB27" i="33" s="1"/>
  <c r="BB19" i="33"/>
  <c r="BB20" i="33"/>
  <c r="BB8" i="33"/>
  <c r="BB28" i="33" s="1"/>
  <c r="T53" i="19"/>
  <c r="EM64" i="50"/>
  <c r="ES64" i="50"/>
  <c r="EY64" i="50"/>
  <c r="A64" i="52"/>
  <c r="J65" i="50"/>
  <c r="A65" i="52"/>
  <c r="A63" i="51"/>
  <c r="AZ42" i="33"/>
  <c r="AZ46" i="33"/>
  <c r="AZ45" i="33"/>
  <c r="AZ49" i="33"/>
  <c r="AZ43" i="33"/>
  <c r="AZ47" i="33"/>
  <c r="AZ48" i="33"/>
  <c r="AZ44" i="33"/>
  <c r="CF42" i="50"/>
  <c r="AD41" i="51"/>
  <c r="K43" i="50"/>
  <c r="AZ51" i="33"/>
  <c r="AZ66" i="33" s="1"/>
  <c r="AQ38" i="41"/>
  <c r="DM24" i="41"/>
  <c r="DM9" i="41"/>
  <c r="DM20" i="41"/>
  <c r="DM27" i="41"/>
  <c r="DM5" i="41"/>
  <c r="DM14" i="41"/>
  <c r="DM7" i="41"/>
  <c r="DM16" i="41"/>
  <c r="DM13" i="41"/>
  <c r="DM15" i="41"/>
  <c r="DM25" i="41"/>
  <c r="DM26" i="41"/>
  <c r="DM10" i="41"/>
  <c r="DM8" i="41"/>
  <c r="DM4" i="41"/>
  <c r="DM19" i="41"/>
  <c r="DM21" i="41"/>
  <c r="DM6" i="41"/>
  <c r="DM3" i="41"/>
  <c r="DM18" i="41"/>
  <c r="DM17" i="41"/>
  <c r="DM23" i="41"/>
  <c r="DM12" i="41"/>
  <c r="DM22" i="41"/>
  <c r="AT11" i="41"/>
  <c r="AS36" i="41"/>
  <c r="DN11" i="41" s="1"/>
  <c r="BN24" i="41"/>
  <c r="D51" i="31"/>
  <c r="BU12" i="41"/>
  <c r="BU5" i="41"/>
  <c r="BU3" i="41"/>
  <c r="BU26" i="41"/>
  <c r="BU14" i="41"/>
  <c r="BU6" i="41"/>
  <c r="BU25" i="41"/>
  <c r="BU19" i="41"/>
  <c r="BU18" i="41"/>
  <c r="BU10" i="41"/>
  <c r="BV27" i="41"/>
  <c r="BU15" i="41"/>
  <c r="BU7" i="41"/>
  <c r="BU23" i="41"/>
  <c r="BU20" i="41"/>
  <c r="BU21" i="41"/>
  <c r="BU17" i="41"/>
  <c r="BU9" i="41"/>
  <c r="BU13" i="41"/>
  <c r="BU22" i="41"/>
  <c r="BU4" i="41"/>
  <c r="BU16" i="41"/>
  <c r="BU8" i="41"/>
  <c r="J41" i="17"/>
  <c r="BC2" i="33"/>
  <c r="CK2" i="37" s="1"/>
  <c r="BA1" i="33"/>
  <c r="I41" i="17"/>
  <c r="A44" i="19"/>
  <c r="B44" i="19"/>
  <c r="C52" i="24" s="1"/>
  <c r="B43" i="52"/>
  <c r="B42" i="17"/>
  <c r="CI58" i="37" l="1"/>
  <c r="BA68" i="33" s="1"/>
  <c r="CK31" i="37"/>
  <c r="CK10" i="37"/>
  <c r="CK39" i="37" s="1"/>
  <c r="DU56" i="37" s="1"/>
  <c r="CK26" i="37"/>
  <c r="CK55" i="37" s="1"/>
  <c r="EK56" i="37" s="1"/>
  <c r="CK9" i="37"/>
  <c r="CK13" i="37"/>
  <c r="CK42" i="37" s="1"/>
  <c r="DX56" i="37" s="1"/>
  <c r="CK22" i="37"/>
  <c r="CK51" i="37" s="1"/>
  <c r="EG56" i="37" s="1"/>
  <c r="CK18" i="37"/>
  <c r="CK47" i="37" s="1"/>
  <c r="EC56" i="37" s="1"/>
  <c r="CK27" i="37"/>
  <c r="CK56" i="37" s="1"/>
  <c r="EL56" i="37" s="1"/>
  <c r="CK16" i="37"/>
  <c r="CK45" i="37" s="1"/>
  <c r="EA56" i="37" s="1"/>
  <c r="CK14" i="37"/>
  <c r="CK15" i="37"/>
  <c r="CK44" i="37" s="1"/>
  <c r="DZ56" i="37" s="1"/>
  <c r="CK17" i="37"/>
  <c r="CK21" i="37"/>
  <c r="CK50" i="37" s="1"/>
  <c r="EF56" i="37" s="1"/>
  <c r="CK6" i="37"/>
  <c r="CK35" i="37" s="1"/>
  <c r="CK19" i="37"/>
  <c r="CK48" i="37" s="1"/>
  <c r="ED56" i="37" s="1"/>
  <c r="CK28" i="37"/>
  <c r="CK4" i="37"/>
  <c r="CK25" i="37"/>
  <c r="CK23" i="37"/>
  <c r="CK52" i="37" s="1"/>
  <c r="EH56" i="37" s="1"/>
  <c r="CK20" i="37"/>
  <c r="CK12" i="37"/>
  <c r="CK41" i="37" s="1"/>
  <c r="DW56" i="37" s="1"/>
  <c r="CK5" i="37"/>
  <c r="CK34" i="37" s="1"/>
  <c r="CK11" i="37"/>
  <c r="CK40" i="37" s="1"/>
  <c r="DV56" i="37" s="1"/>
  <c r="CK24" i="37"/>
  <c r="CK8" i="37"/>
  <c r="CK7" i="37"/>
  <c r="CK3" i="37"/>
  <c r="CK32" i="37" s="1"/>
  <c r="DN56" i="37" s="1"/>
  <c r="BA50" i="33"/>
  <c r="BA65" i="33" s="1"/>
  <c r="Q346" i="5"/>
  <c r="N347" i="5" s="1"/>
  <c r="AA344" i="5"/>
  <c r="Z344" i="5" s="1"/>
  <c r="AL342" i="5"/>
  <c r="AK342" i="5" s="1"/>
  <c r="CP38" i="5"/>
  <c r="CH38" i="5"/>
  <c r="CJ38" i="5" s="1"/>
  <c r="BW36" i="5"/>
  <c r="BV36" i="5" s="1"/>
  <c r="BX36" i="5" s="1"/>
  <c r="AA55" i="5"/>
  <c r="Z55" i="5" s="1"/>
  <c r="AB55" i="5" s="1"/>
  <c r="Y56" i="5" s="1"/>
  <c r="AA56" i="5" s="1"/>
  <c r="Z56" i="5" s="1"/>
  <c r="AB56" i="5" s="1"/>
  <c r="CW123" i="5"/>
  <c r="CX122" i="5"/>
  <c r="DR55" i="37"/>
  <c r="DQ55" i="37"/>
  <c r="DP55" i="37"/>
  <c r="DO55" i="37"/>
  <c r="CJ58" i="37"/>
  <c r="BB68" i="33" s="1"/>
  <c r="CK36" i="37"/>
  <c r="CK57" i="37"/>
  <c r="EM56" i="37" s="1"/>
  <c r="CK49" i="37"/>
  <c r="EE56" i="37" s="1"/>
  <c r="CK43" i="37"/>
  <c r="DY56" i="37" s="1"/>
  <c r="CK33" i="37"/>
  <c r="CK46" i="37"/>
  <c r="EB56" i="37" s="1"/>
  <c r="CK37" i="37"/>
  <c r="DS56" i="37" s="1"/>
  <c r="CK53" i="37"/>
  <c r="EI56" i="37" s="1"/>
  <c r="CK38" i="37"/>
  <c r="DT56" i="37" s="1"/>
  <c r="CK54" i="37"/>
  <c r="EJ56" i="37" s="1"/>
  <c r="CJ29" i="37"/>
  <c r="BB53" i="33" s="1"/>
  <c r="AY84" i="33"/>
  <c r="AY85" i="33" s="1"/>
  <c r="E51" i="31" s="1"/>
  <c r="F51" i="31" s="1"/>
  <c r="P56" i="5"/>
  <c r="O56" i="5" s="1"/>
  <c r="AL54" i="5"/>
  <c r="AK54" i="5" s="1"/>
  <c r="B8" i="5"/>
  <c r="F7" i="5"/>
  <c r="C8" i="5" s="1"/>
  <c r="E8" i="5" s="1"/>
  <c r="F60" i="24"/>
  <c r="O52" i="19"/>
  <c r="AZ58" i="33"/>
  <c r="AZ74" i="33" s="1"/>
  <c r="AZ64" i="33"/>
  <c r="AZ80" i="33" s="1"/>
  <c r="AZ60" i="33"/>
  <c r="AZ76" i="33" s="1"/>
  <c r="AZ61" i="33"/>
  <c r="AZ77" i="33" s="1"/>
  <c r="AZ57" i="33"/>
  <c r="AZ73" i="33" s="1"/>
  <c r="S63" i="51"/>
  <c r="U63" i="51"/>
  <c r="O63" i="51"/>
  <c r="Q63" i="51"/>
  <c r="A64" i="51"/>
  <c r="DI65" i="50"/>
  <c r="AZ59" i="33"/>
  <c r="AZ75" i="33" s="1"/>
  <c r="AZ63" i="33"/>
  <c r="AZ79" i="33" s="1"/>
  <c r="AZ62" i="33"/>
  <c r="AZ78" i="33" s="1"/>
  <c r="J66" i="50"/>
  <c r="BC10" i="33"/>
  <c r="BC30" i="33" s="1"/>
  <c r="BC15" i="33"/>
  <c r="BC35" i="33" s="1"/>
  <c r="BC9" i="33"/>
  <c r="BC29" i="33" s="1"/>
  <c r="BC13" i="33"/>
  <c r="BC33" i="33" s="1"/>
  <c r="BC11" i="33"/>
  <c r="BC31" i="33" s="1"/>
  <c r="BC12" i="33"/>
  <c r="BC32" i="33" s="1"/>
  <c r="BC7" i="33"/>
  <c r="BC27" i="33" s="1"/>
  <c r="BC18" i="33"/>
  <c r="BC38" i="33" s="1"/>
  <c r="BC16" i="33"/>
  <c r="BC36" i="33" s="1"/>
  <c r="BC17" i="33"/>
  <c r="BC37" i="33" s="1"/>
  <c r="BC19" i="33"/>
  <c r="BC20" i="33"/>
  <c r="BC8" i="33"/>
  <c r="BC28" i="33" s="1"/>
  <c r="T54" i="19"/>
  <c r="ES65" i="50"/>
  <c r="EM65" i="50"/>
  <c r="EY65" i="50"/>
  <c r="BA42" i="33"/>
  <c r="BA46" i="33"/>
  <c r="BA45" i="33"/>
  <c r="BA49" i="33"/>
  <c r="BA44" i="33"/>
  <c r="BA47" i="33"/>
  <c r="BA48" i="33"/>
  <c r="BA43" i="33"/>
  <c r="CF43" i="50"/>
  <c r="AD42" i="51"/>
  <c r="K44" i="50"/>
  <c r="AD43" i="51" s="1"/>
  <c r="F50" i="31"/>
  <c r="BA51" i="33"/>
  <c r="BA66" i="33" s="1"/>
  <c r="AR38" i="41"/>
  <c r="DN24" i="41"/>
  <c r="DN6" i="41"/>
  <c r="DN26" i="41"/>
  <c r="DN8" i="41"/>
  <c r="DN22" i="41"/>
  <c r="DN23" i="41"/>
  <c r="DN5" i="41"/>
  <c r="DN10" i="41"/>
  <c r="DN13" i="41"/>
  <c r="DN7" i="41"/>
  <c r="DN20" i="41"/>
  <c r="DN25" i="41"/>
  <c r="DN18" i="41"/>
  <c r="DN12" i="41"/>
  <c r="DN3" i="41"/>
  <c r="DN27" i="41"/>
  <c r="DN17" i="41"/>
  <c r="DN15" i="41"/>
  <c r="DN19" i="41"/>
  <c r="DN21" i="41"/>
  <c r="DN4" i="41"/>
  <c r="DN9" i="41"/>
  <c r="DN14" i="41"/>
  <c r="DN16" i="41"/>
  <c r="AU11" i="41"/>
  <c r="AT36" i="41"/>
  <c r="DO11" i="41" s="1"/>
  <c r="BO24" i="41"/>
  <c r="AZ81" i="33"/>
  <c r="BW27" i="41"/>
  <c r="D52" i="31"/>
  <c r="BV16" i="41"/>
  <c r="BV4" i="41"/>
  <c r="BV22" i="41"/>
  <c r="BV13" i="41"/>
  <c r="BV9" i="41"/>
  <c r="BV17" i="41"/>
  <c r="BV21" i="41"/>
  <c r="BV20" i="41"/>
  <c r="BV23" i="41"/>
  <c r="BV7" i="41"/>
  <c r="BV15" i="41"/>
  <c r="BV10" i="41"/>
  <c r="BV18" i="41"/>
  <c r="BV19" i="41"/>
  <c r="BV25" i="41"/>
  <c r="BV6" i="41"/>
  <c r="BV14" i="41"/>
  <c r="BV26" i="41"/>
  <c r="BV3" i="41"/>
  <c r="BV5" i="41"/>
  <c r="BV12" i="41"/>
  <c r="BV8" i="41"/>
  <c r="BD2" i="33"/>
  <c r="CL2" i="37" s="1"/>
  <c r="BB1" i="33"/>
  <c r="I42" i="17"/>
  <c r="A45" i="19"/>
  <c r="J42" i="17"/>
  <c r="B45" i="19"/>
  <c r="C53" i="24" s="1"/>
  <c r="B43" i="17"/>
  <c r="B44" i="52"/>
  <c r="CL31" i="37" l="1"/>
  <c r="CL32" i="37" s="1"/>
  <c r="DN57" i="37" s="1"/>
  <c r="CL7" i="37"/>
  <c r="CL36" i="37" s="1"/>
  <c r="CL11" i="37"/>
  <c r="CL15" i="37"/>
  <c r="CL14" i="37"/>
  <c r="CL19" i="37"/>
  <c r="CL23" i="37"/>
  <c r="CL27" i="37"/>
  <c r="CL26" i="37"/>
  <c r="CL55" i="37" s="1"/>
  <c r="EK57" i="37" s="1"/>
  <c r="CL9" i="37"/>
  <c r="CL13" i="37"/>
  <c r="CL42" i="37" s="1"/>
  <c r="DX57" i="37" s="1"/>
  <c r="CL22" i="37"/>
  <c r="CL51" i="37" s="1"/>
  <c r="EG57" i="37" s="1"/>
  <c r="CL16" i="37"/>
  <c r="CL21" i="37"/>
  <c r="CL6" i="37"/>
  <c r="CL28" i="37"/>
  <c r="CL4" i="37"/>
  <c r="CL25" i="37"/>
  <c r="CL54" i="37" s="1"/>
  <c r="EJ57" i="37" s="1"/>
  <c r="CL17" i="37"/>
  <c r="CL46" i="37" s="1"/>
  <c r="EB57" i="37" s="1"/>
  <c r="CL20" i="37"/>
  <c r="CL49" i="37" s="1"/>
  <c r="EE57" i="37" s="1"/>
  <c r="CL10" i="37"/>
  <c r="CL39" i="37" s="1"/>
  <c r="DU57" i="37" s="1"/>
  <c r="CL12" i="37"/>
  <c r="CL41" i="37" s="1"/>
  <c r="DW57" i="37" s="1"/>
  <c r="CL18" i="37"/>
  <c r="CL47" i="37" s="1"/>
  <c r="EC57" i="37" s="1"/>
  <c r="CL5" i="37"/>
  <c r="CL34" i="37" s="1"/>
  <c r="CL24" i="37"/>
  <c r="CL8" i="37"/>
  <c r="CL3" i="37"/>
  <c r="BB50" i="33"/>
  <c r="BB65" i="33" s="1"/>
  <c r="AM342" i="5"/>
  <c r="AJ343" i="5" s="1"/>
  <c r="AB344" i="5"/>
  <c r="Y345" i="5"/>
  <c r="P347" i="5"/>
  <c r="O347" i="5" s="1"/>
  <c r="CI38" i="5"/>
  <c r="CK38" i="5" s="1"/>
  <c r="BT37" i="5"/>
  <c r="BU37" i="5" s="1"/>
  <c r="X56" i="5"/>
  <c r="X57" i="5" s="1"/>
  <c r="CX123" i="5"/>
  <c r="CW124" i="5"/>
  <c r="DP56" i="37"/>
  <c r="DR56" i="37"/>
  <c r="DQ56" i="37"/>
  <c r="DO56" i="37"/>
  <c r="CK58" i="37"/>
  <c r="BC68" i="33" s="1"/>
  <c r="CL35" i="37"/>
  <c r="CL53" i="37"/>
  <c r="EI57" i="37" s="1"/>
  <c r="CL38" i="37"/>
  <c r="DT57" i="37" s="1"/>
  <c r="CL52" i="37"/>
  <c r="EH57" i="37" s="1"/>
  <c r="CL37" i="37"/>
  <c r="DS57" i="37" s="1"/>
  <c r="CL44" i="37"/>
  <c r="DZ57" i="37" s="1"/>
  <c r="CL57" i="37"/>
  <c r="EM57" i="37" s="1"/>
  <c r="CL40" i="37"/>
  <c r="DV57" i="37" s="1"/>
  <c r="CL48" i="37"/>
  <c r="ED57" i="37" s="1"/>
  <c r="CL45" i="37"/>
  <c r="EA57" i="37" s="1"/>
  <c r="CL43" i="37"/>
  <c r="DY57" i="37" s="1"/>
  <c r="CL50" i="37"/>
  <c r="EF57" i="37" s="1"/>
  <c r="CL33" i="37"/>
  <c r="CL56" i="37"/>
  <c r="EL57" i="37" s="1"/>
  <c r="CK29" i="37"/>
  <c r="BC53" i="33" s="1"/>
  <c r="AZ84" i="33"/>
  <c r="AZ85" i="33" s="1"/>
  <c r="E52" i="31" s="1"/>
  <c r="F52" i="31" s="1"/>
  <c r="AM54" i="5"/>
  <c r="AJ55" i="5" s="1"/>
  <c r="AI55" i="5"/>
  <c r="D8" i="5"/>
  <c r="F8" i="5" s="1"/>
  <c r="C9" i="5" s="1"/>
  <c r="Y57" i="5"/>
  <c r="Q56" i="5"/>
  <c r="N57" i="5" s="1"/>
  <c r="M57" i="5"/>
  <c r="BA58" i="33"/>
  <c r="BA74" i="33" s="1"/>
  <c r="BA63" i="33"/>
  <c r="BA79" i="33" s="1"/>
  <c r="BA62" i="33"/>
  <c r="BA78" i="33" s="1"/>
  <c r="BA59" i="33"/>
  <c r="BA75" i="33" s="1"/>
  <c r="BA64" i="33"/>
  <c r="BA80" i="33" s="1"/>
  <c r="BA60" i="33"/>
  <c r="BA76" i="33" s="1"/>
  <c r="BA61" i="33"/>
  <c r="BA77" i="33" s="1"/>
  <c r="S64" i="51"/>
  <c r="U64" i="51"/>
  <c r="O64" i="51"/>
  <c r="Q64" i="51"/>
  <c r="G51" i="31"/>
  <c r="BA57" i="33"/>
  <c r="BA73" i="33" s="1"/>
  <c r="A66" i="52"/>
  <c r="DI66" i="50"/>
  <c r="EM66" i="50"/>
  <c r="ES66" i="50"/>
  <c r="EY66" i="50"/>
  <c r="J67" i="50"/>
  <c r="BD9" i="33"/>
  <c r="BD29" i="33" s="1"/>
  <c r="BD10" i="33"/>
  <c r="BD30" i="33" s="1"/>
  <c r="BD19" i="33"/>
  <c r="BD11" i="33"/>
  <c r="BD31" i="33" s="1"/>
  <c r="BD12" i="33"/>
  <c r="BD32" i="33" s="1"/>
  <c r="BD13" i="33"/>
  <c r="BD33" i="33" s="1"/>
  <c r="BD15" i="33"/>
  <c r="BD35" i="33" s="1"/>
  <c r="BD18" i="33"/>
  <c r="BD38" i="33" s="1"/>
  <c r="BD16" i="33"/>
  <c r="BD36" i="33" s="1"/>
  <c r="BD7" i="33"/>
  <c r="BD27" i="33" s="1"/>
  <c r="BD20" i="33"/>
  <c r="BD17" i="33"/>
  <c r="BD37" i="33" s="1"/>
  <c r="BD8" i="33"/>
  <c r="BD28" i="33" s="1"/>
  <c r="O53" i="19"/>
  <c r="F61" i="24"/>
  <c r="T55" i="19"/>
  <c r="A65" i="51"/>
  <c r="BB42" i="33"/>
  <c r="BB46" i="33"/>
  <c r="BB45" i="33"/>
  <c r="BB49" i="33"/>
  <c r="BB44" i="33"/>
  <c r="BB47" i="33"/>
  <c r="BB48" i="33"/>
  <c r="BB43" i="33"/>
  <c r="K45" i="50"/>
  <c r="CF44" i="50"/>
  <c r="BB51" i="33"/>
  <c r="BB66" i="33" s="1"/>
  <c r="AS38" i="41"/>
  <c r="DO24" i="41"/>
  <c r="DO17" i="41"/>
  <c r="DO9" i="41"/>
  <c r="DO25" i="41"/>
  <c r="DO5" i="41"/>
  <c r="DO4" i="41"/>
  <c r="DO14" i="41"/>
  <c r="DO3" i="41"/>
  <c r="DO16" i="41"/>
  <c r="DO18" i="41"/>
  <c r="DO23" i="41"/>
  <c r="DO15" i="41"/>
  <c r="DO6" i="41"/>
  <c r="DO8" i="41"/>
  <c r="DO22" i="41"/>
  <c r="DO27" i="41"/>
  <c r="DO26" i="41"/>
  <c r="DO10" i="41"/>
  <c r="DO20" i="41"/>
  <c r="DO19" i="41"/>
  <c r="DO7" i="41"/>
  <c r="DO13" i="41"/>
  <c r="DO21" i="41"/>
  <c r="DO12" i="41"/>
  <c r="AV11" i="41"/>
  <c r="AU36" i="41"/>
  <c r="DP11" i="41" s="1"/>
  <c r="BP24" i="41"/>
  <c r="BW8" i="41"/>
  <c r="BW12" i="41"/>
  <c r="BW5" i="41"/>
  <c r="BW3" i="41"/>
  <c r="BW26" i="41"/>
  <c r="BW14" i="41"/>
  <c r="BW6" i="41"/>
  <c r="BW25" i="41"/>
  <c r="BW19" i="41"/>
  <c r="BW18" i="41"/>
  <c r="BW10" i="41"/>
  <c r="BW15" i="41"/>
  <c r="BW7" i="41"/>
  <c r="BW23" i="41"/>
  <c r="BW20" i="41"/>
  <c r="BW21" i="41"/>
  <c r="BW17" i="41"/>
  <c r="BW9" i="41"/>
  <c r="BW13" i="41"/>
  <c r="BW22" i="41"/>
  <c r="BW4" i="41"/>
  <c r="BW16" i="41"/>
  <c r="BA81" i="33"/>
  <c r="D53" i="31"/>
  <c r="I43" i="17"/>
  <c r="BE2" i="33"/>
  <c r="CM2" i="37" s="1"/>
  <c r="BC1" i="33"/>
  <c r="A46" i="19"/>
  <c r="J43" i="17"/>
  <c r="B46" i="19"/>
  <c r="C54" i="24" s="1"/>
  <c r="B45" i="52"/>
  <c r="B44" i="17"/>
  <c r="CM31" i="37" l="1"/>
  <c r="CM32" i="37" s="1"/>
  <c r="DN58" i="37" s="1"/>
  <c r="CM8" i="37"/>
  <c r="CM12" i="37"/>
  <c r="CM16" i="37"/>
  <c r="CM19" i="37"/>
  <c r="CM23" i="37"/>
  <c r="CM27" i="37"/>
  <c r="CM22" i="37"/>
  <c r="CM51" i="37" s="1"/>
  <c r="EG58" i="37" s="1"/>
  <c r="CM7" i="37"/>
  <c r="CM36" i="37" s="1"/>
  <c r="CM24" i="37"/>
  <c r="CM53" i="37" s="1"/>
  <c r="EI58" i="37" s="1"/>
  <c r="CM26" i="37"/>
  <c r="CM55" i="37" s="1"/>
  <c r="EK58" i="37" s="1"/>
  <c r="CM21" i="37"/>
  <c r="CM50" i="37" s="1"/>
  <c r="EF58" i="37" s="1"/>
  <c r="CM6" i="37"/>
  <c r="CM28" i="37"/>
  <c r="CM4" i="37"/>
  <c r="CM13" i="37"/>
  <c r="CM14" i="37"/>
  <c r="CM15" i="37"/>
  <c r="CM25" i="37"/>
  <c r="CM54" i="37" s="1"/>
  <c r="EJ58" i="37" s="1"/>
  <c r="CM17" i="37"/>
  <c r="CM46" i="37" s="1"/>
  <c r="EB58" i="37" s="1"/>
  <c r="CM9" i="37"/>
  <c r="CM38" i="37" s="1"/>
  <c r="DT58" i="37" s="1"/>
  <c r="CM18" i="37"/>
  <c r="CM47" i="37" s="1"/>
  <c r="EC58" i="37" s="1"/>
  <c r="CM5" i="37"/>
  <c r="CM34" i="37" s="1"/>
  <c r="CM20" i="37"/>
  <c r="CM49" i="37" s="1"/>
  <c r="EE58" i="37" s="1"/>
  <c r="CM11" i="37"/>
  <c r="CM10" i="37"/>
  <c r="CM3" i="37"/>
  <c r="BC50" i="33"/>
  <c r="BC65" i="33" s="1"/>
  <c r="Q347" i="5"/>
  <c r="N348" i="5" s="1"/>
  <c r="AL343" i="5"/>
  <c r="AK343" i="5"/>
  <c r="AM343" i="5" s="1"/>
  <c r="AA345" i="5"/>
  <c r="Z345" i="5"/>
  <c r="AB345" i="5" s="1"/>
  <c r="CG39" i="5"/>
  <c r="CH39" i="5" s="1"/>
  <c r="CC37" i="5"/>
  <c r="B9" i="5"/>
  <c r="CW125" i="5"/>
  <c r="CX124" i="5"/>
  <c r="DR57" i="37"/>
  <c r="DO57" i="37"/>
  <c r="DP57" i="37"/>
  <c r="DQ57" i="37"/>
  <c r="CL58" i="37"/>
  <c r="BD68" i="33" s="1"/>
  <c r="CM42" i="37"/>
  <c r="DX58" i="37" s="1"/>
  <c r="CM40" i="37"/>
  <c r="DV58" i="37" s="1"/>
  <c r="CM44" i="37"/>
  <c r="DZ58" i="37" s="1"/>
  <c r="CM33" i="37"/>
  <c r="CM48" i="37"/>
  <c r="ED58" i="37" s="1"/>
  <c r="CM52" i="37"/>
  <c r="EH58" i="37" s="1"/>
  <c r="CM43" i="37"/>
  <c r="DY58" i="37" s="1"/>
  <c r="CM35" i="37"/>
  <c r="CM56" i="37"/>
  <c r="EL58" i="37" s="1"/>
  <c r="CM41" i="37"/>
  <c r="DW58" i="37" s="1"/>
  <c r="CM57" i="37"/>
  <c r="EM58" i="37" s="1"/>
  <c r="CM39" i="37"/>
  <c r="DU58" i="37" s="1"/>
  <c r="CM37" i="37"/>
  <c r="DS58" i="37" s="1"/>
  <c r="CL29" i="37"/>
  <c r="BD53" i="33" s="1"/>
  <c r="O54" i="19"/>
  <c r="P57" i="5"/>
  <c r="O57" i="5" s="1"/>
  <c r="AL55" i="5"/>
  <c r="AK55" i="5" s="1"/>
  <c r="AA57" i="5"/>
  <c r="Z57" i="5" s="1"/>
  <c r="AB57" i="5" s="1"/>
  <c r="E9" i="5"/>
  <c r="D9" i="5" s="1"/>
  <c r="BB59" i="33"/>
  <c r="BB75" i="33" s="1"/>
  <c r="BB64" i="33"/>
  <c r="BB80" i="33" s="1"/>
  <c r="BB60" i="33"/>
  <c r="BB76" i="33" s="1"/>
  <c r="BB61" i="33"/>
  <c r="BB77" i="33" s="1"/>
  <c r="BB57" i="33"/>
  <c r="BB73" i="33" s="1"/>
  <c r="O65" i="51"/>
  <c r="Q65" i="51"/>
  <c r="S65" i="51"/>
  <c r="U65" i="51"/>
  <c r="A67" i="52"/>
  <c r="BB58" i="33"/>
  <c r="BB74" i="33" s="1"/>
  <c r="BB63" i="33"/>
  <c r="BB79" i="33" s="1"/>
  <c r="BB62" i="33"/>
  <c r="BB78" i="33" s="1"/>
  <c r="BA84" i="33"/>
  <c r="BA85" i="33" s="1"/>
  <c r="E53" i="31" s="1"/>
  <c r="G53" i="31" s="1"/>
  <c r="J68" i="50"/>
  <c r="EM67" i="50"/>
  <c r="DI67" i="50"/>
  <c r="ES67" i="50"/>
  <c r="EY67" i="50"/>
  <c r="F62" i="24"/>
  <c r="BE7" i="33"/>
  <c r="BE27" i="33" s="1"/>
  <c r="BE11" i="33"/>
  <c r="BE31" i="33" s="1"/>
  <c r="BE16" i="33"/>
  <c r="BE36" i="33" s="1"/>
  <c r="BE9" i="33"/>
  <c r="BE29" i="33" s="1"/>
  <c r="BE10" i="33"/>
  <c r="BE30" i="33" s="1"/>
  <c r="BE19" i="33"/>
  <c r="BE12" i="33"/>
  <c r="BE32" i="33" s="1"/>
  <c r="BE13" i="33"/>
  <c r="BE33" i="33" s="1"/>
  <c r="BE15" i="33"/>
  <c r="BE35" i="33" s="1"/>
  <c r="BE8" i="33"/>
  <c r="BE28" i="33" s="1"/>
  <c r="BE17" i="33"/>
  <c r="BE37" i="33" s="1"/>
  <c r="BE18" i="33"/>
  <c r="BE38" i="33" s="1"/>
  <c r="BE20" i="33"/>
  <c r="T56" i="19"/>
  <c r="A66" i="51"/>
  <c r="BC43" i="33"/>
  <c r="BC47" i="33"/>
  <c r="BC42" i="33"/>
  <c r="BC46" i="33"/>
  <c r="BC44" i="33"/>
  <c r="BC48" i="33"/>
  <c r="BC45" i="33"/>
  <c r="BC49" i="33"/>
  <c r="CF45" i="50"/>
  <c r="K46" i="50"/>
  <c r="AD44" i="51"/>
  <c r="BC51" i="33"/>
  <c r="BC66" i="33" s="1"/>
  <c r="AT38" i="41"/>
  <c r="DP24" i="41"/>
  <c r="DP5" i="41"/>
  <c r="DP10" i="41"/>
  <c r="DP25" i="41"/>
  <c r="DP27" i="41"/>
  <c r="DP15" i="41"/>
  <c r="DP18" i="41"/>
  <c r="DP6" i="41"/>
  <c r="DP3" i="41"/>
  <c r="DP14" i="41"/>
  <c r="DP9" i="41"/>
  <c r="DP26" i="41"/>
  <c r="DP16" i="41"/>
  <c r="DP20" i="41"/>
  <c r="DP8" i="41"/>
  <c r="DP22" i="41"/>
  <c r="DP17" i="41"/>
  <c r="DP23" i="41"/>
  <c r="DP12" i="41"/>
  <c r="DP13" i="41"/>
  <c r="DP21" i="41"/>
  <c r="DP7" i="41"/>
  <c r="DP19" i="41"/>
  <c r="DP4" i="41"/>
  <c r="AW11" i="41"/>
  <c r="AV36" i="41"/>
  <c r="DQ11" i="41" s="1"/>
  <c r="BC81" i="33"/>
  <c r="BQ24" i="41"/>
  <c r="G52" i="31"/>
  <c r="BB81" i="33"/>
  <c r="D54" i="31"/>
  <c r="BF2" i="33"/>
  <c r="CN2" i="37" s="1"/>
  <c r="BD1" i="33"/>
  <c r="I44" i="17"/>
  <c r="A47" i="19"/>
  <c r="J44" i="17"/>
  <c r="B47" i="19"/>
  <c r="C55" i="24" s="1"/>
  <c r="B45" i="17"/>
  <c r="B46" i="52"/>
  <c r="I45" i="17"/>
  <c r="CM45" i="37" l="1"/>
  <c r="EA58" i="37" s="1"/>
  <c r="CN31" i="37"/>
  <c r="CN4" i="37"/>
  <c r="CN7" i="37"/>
  <c r="CN36" i="37" s="1"/>
  <c r="CN23" i="37"/>
  <c r="CN8" i="37"/>
  <c r="CN12" i="37"/>
  <c r="CN41" i="37" s="1"/>
  <c r="DW59" i="37" s="1"/>
  <c r="CN16" i="37"/>
  <c r="CN45" i="37" s="1"/>
  <c r="EA59" i="37" s="1"/>
  <c r="CN19" i="37"/>
  <c r="CN48" i="37" s="1"/>
  <c r="ED59" i="37" s="1"/>
  <c r="CN5" i="37"/>
  <c r="CN34" i="37" s="1"/>
  <c r="CN27" i="37"/>
  <c r="CN56" i="37" s="1"/>
  <c r="EL59" i="37" s="1"/>
  <c r="CN24" i="37"/>
  <c r="CN53" i="37" s="1"/>
  <c r="EI59" i="37" s="1"/>
  <c r="CN26" i="37"/>
  <c r="CN21" i="37"/>
  <c r="CN6" i="37"/>
  <c r="CN28" i="37"/>
  <c r="CN57" i="37" s="1"/>
  <c r="EM59" i="37" s="1"/>
  <c r="CN13" i="37"/>
  <c r="CN42" i="37" s="1"/>
  <c r="DX59" i="37" s="1"/>
  <c r="CN14" i="37"/>
  <c r="CN43" i="37" s="1"/>
  <c r="DY59" i="37" s="1"/>
  <c r="CN15" i="37"/>
  <c r="CN25" i="37"/>
  <c r="CN54" i="37" s="1"/>
  <c r="EJ59" i="37" s="1"/>
  <c r="CN10" i="37"/>
  <c r="CN39" i="37" s="1"/>
  <c r="DU59" i="37" s="1"/>
  <c r="CN17" i="37"/>
  <c r="CN46" i="37" s="1"/>
  <c r="EB59" i="37" s="1"/>
  <c r="CN9" i="37"/>
  <c r="CN38" i="37" s="1"/>
  <c r="DT59" i="37" s="1"/>
  <c r="CN18" i="37"/>
  <c r="CN20" i="37"/>
  <c r="CN11" i="37"/>
  <c r="CN22" i="37"/>
  <c r="CN3" i="37"/>
  <c r="CN32" i="37" s="1"/>
  <c r="DN59" i="37" s="1"/>
  <c r="BD50" i="33"/>
  <c r="BD65" i="33" s="1"/>
  <c r="P348" i="5"/>
  <c r="O348" i="5"/>
  <c r="Q348" i="5" s="1"/>
  <c r="AJ344" i="5"/>
  <c r="Y346" i="5"/>
  <c r="CP39" i="5"/>
  <c r="CJ39" i="5"/>
  <c r="CI39" i="5" s="1"/>
  <c r="CK39" i="5" s="1"/>
  <c r="BW37" i="5"/>
  <c r="BV37" i="5" s="1"/>
  <c r="BX37" i="5" s="1"/>
  <c r="Q57" i="5"/>
  <c r="M58" i="5"/>
  <c r="CW126" i="5"/>
  <c r="CX125" i="5"/>
  <c r="DO58" i="37"/>
  <c r="DQ58" i="37"/>
  <c r="DP58" i="37"/>
  <c r="DR58" i="37"/>
  <c r="CM58" i="37"/>
  <c r="BE68" i="33" s="1"/>
  <c r="CN47" i="37"/>
  <c r="EC59" i="37" s="1"/>
  <c r="CN33" i="37"/>
  <c r="CN35" i="37"/>
  <c r="CN40" i="37"/>
  <c r="DV59" i="37" s="1"/>
  <c r="CN37" i="37"/>
  <c r="DS59" i="37" s="1"/>
  <c r="CN52" i="37"/>
  <c r="EH59" i="37" s="1"/>
  <c r="CN51" i="37"/>
  <c r="EG59" i="37" s="1"/>
  <c r="CN44" i="37"/>
  <c r="DZ59" i="37" s="1"/>
  <c r="CN50" i="37"/>
  <c r="EF59" i="37" s="1"/>
  <c r="CM29" i="37"/>
  <c r="BE53" i="33" s="1"/>
  <c r="F63" i="24"/>
  <c r="AM55" i="5"/>
  <c r="AJ56" i="5" s="1"/>
  <c r="AI56" i="5"/>
  <c r="B10" i="5"/>
  <c r="X58" i="5"/>
  <c r="Y58" i="5"/>
  <c r="N58" i="5"/>
  <c r="BC57" i="33"/>
  <c r="BC73" i="33" s="1"/>
  <c r="BC62" i="33"/>
  <c r="BC78" i="33" s="1"/>
  <c r="BC58" i="33"/>
  <c r="BC74" i="33" s="1"/>
  <c r="Q66" i="51"/>
  <c r="S66" i="51"/>
  <c r="O66" i="51"/>
  <c r="U66" i="51"/>
  <c r="BC64" i="33"/>
  <c r="BC80" i="33" s="1"/>
  <c r="BC60" i="33"/>
  <c r="BC76" i="33" s="1"/>
  <c r="BC63" i="33"/>
  <c r="BC79" i="33" s="1"/>
  <c r="A68" i="52"/>
  <c r="BC59" i="33"/>
  <c r="BC75" i="33" s="1"/>
  <c r="BC61" i="33"/>
  <c r="BC77" i="33" s="1"/>
  <c r="EM68" i="50"/>
  <c r="EY68" i="50"/>
  <c r="DI68" i="50"/>
  <c r="ES68" i="50"/>
  <c r="J69" i="50"/>
  <c r="BF7" i="33"/>
  <c r="BF27" i="33" s="1"/>
  <c r="BF11" i="33"/>
  <c r="BF31" i="33" s="1"/>
  <c r="BF16" i="33"/>
  <c r="BF36" i="33" s="1"/>
  <c r="BF10" i="33"/>
  <c r="BF30" i="33" s="1"/>
  <c r="BF15" i="33"/>
  <c r="BF35" i="33" s="1"/>
  <c r="BF9" i="33"/>
  <c r="BF29" i="33" s="1"/>
  <c r="BF19" i="33"/>
  <c r="BF12" i="33"/>
  <c r="BF32" i="33" s="1"/>
  <c r="BF13" i="33"/>
  <c r="BF33" i="33" s="1"/>
  <c r="BF8" i="33"/>
  <c r="BF28" i="33" s="1"/>
  <c r="BF18" i="33"/>
  <c r="BF38" i="33" s="1"/>
  <c r="BF20" i="33"/>
  <c r="BF17" i="33"/>
  <c r="BF37" i="33" s="1"/>
  <c r="BB84" i="33"/>
  <c r="BB85" i="33" s="1"/>
  <c r="E54" i="31" s="1"/>
  <c r="G54" i="31" s="1"/>
  <c r="T57" i="19"/>
  <c r="O55" i="19"/>
  <c r="F9" i="5"/>
  <c r="C10" i="5" s="1"/>
  <c r="A67" i="51"/>
  <c r="BD43" i="33"/>
  <c r="BD47" i="33"/>
  <c r="BD46" i="33"/>
  <c r="BD42" i="33"/>
  <c r="BD45" i="33"/>
  <c r="BD44" i="33"/>
  <c r="BD48" i="33"/>
  <c r="BD49" i="33"/>
  <c r="CF46" i="50"/>
  <c r="F53" i="31"/>
  <c r="AD45" i="51"/>
  <c r="K47" i="50"/>
  <c r="BD51" i="33"/>
  <c r="BD66" i="33" s="1"/>
  <c r="AU38" i="41"/>
  <c r="DQ24" i="41"/>
  <c r="DQ27" i="41"/>
  <c r="DQ12" i="41"/>
  <c r="DQ15" i="41"/>
  <c r="DQ23" i="41"/>
  <c r="DQ22" i="41"/>
  <c r="DQ10" i="41"/>
  <c r="DQ20" i="41"/>
  <c r="DQ9" i="41"/>
  <c r="DQ14" i="41"/>
  <c r="DQ3" i="41"/>
  <c r="DQ6" i="41"/>
  <c r="DQ18" i="41"/>
  <c r="DQ17" i="41"/>
  <c r="DQ8" i="41"/>
  <c r="DQ26" i="41"/>
  <c r="DQ25" i="41"/>
  <c r="DQ4" i="41"/>
  <c r="DQ5" i="41"/>
  <c r="DQ19" i="41"/>
  <c r="DQ21" i="41"/>
  <c r="DQ7" i="41"/>
  <c r="DQ16" i="41"/>
  <c r="DQ13" i="41"/>
  <c r="AX11" i="41"/>
  <c r="AW36" i="41"/>
  <c r="DR11" i="41" s="1"/>
  <c r="BD81" i="33"/>
  <c r="BR24" i="41"/>
  <c r="D55" i="31"/>
  <c r="CO2" i="37"/>
  <c r="BE1" i="33"/>
  <c r="A48" i="19"/>
  <c r="J45" i="17"/>
  <c r="B48" i="19"/>
  <c r="C56" i="24" s="1"/>
  <c r="B47" i="52"/>
  <c r="B46" i="17"/>
  <c r="CN49" i="37" l="1"/>
  <c r="EE59" i="37" s="1"/>
  <c r="CN55" i="37"/>
  <c r="EK59" i="37" s="1"/>
  <c r="CO31" i="37"/>
  <c r="CO6" i="37"/>
  <c r="CO10" i="37"/>
  <c r="CO14" i="37"/>
  <c r="CO43" i="37" s="1"/>
  <c r="DY60" i="37" s="1"/>
  <c r="CO11" i="37"/>
  <c r="CO18" i="37"/>
  <c r="CO22" i="37"/>
  <c r="CO51" i="37" s="1"/>
  <c r="EG60" i="37" s="1"/>
  <c r="CO26" i="37"/>
  <c r="CO55" i="37" s="1"/>
  <c r="EK60" i="37" s="1"/>
  <c r="CO4" i="37"/>
  <c r="CO33" i="37" s="1"/>
  <c r="CO27" i="37"/>
  <c r="CO56" i="37" s="1"/>
  <c r="EL60" i="37" s="1"/>
  <c r="CO23" i="37"/>
  <c r="CO52" i="37" s="1"/>
  <c r="EH60" i="37" s="1"/>
  <c r="CO8" i="37"/>
  <c r="CO37" i="37" s="1"/>
  <c r="DS60" i="37" s="1"/>
  <c r="CO12" i="37"/>
  <c r="CO16" i="37"/>
  <c r="CO19" i="37"/>
  <c r="CO48" i="37" s="1"/>
  <c r="ED60" i="37" s="1"/>
  <c r="CO28" i="37"/>
  <c r="CO5" i="37"/>
  <c r="CO7" i="37"/>
  <c r="CO36" i="37" s="1"/>
  <c r="CO24" i="37"/>
  <c r="CO53" i="37" s="1"/>
  <c r="EI60" i="37" s="1"/>
  <c r="CO21" i="37"/>
  <c r="CO50" i="37" s="1"/>
  <c r="EF60" i="37" s="1"/>
  <c r="CO13" i="37"/>
  <c r="CO42" i="37" s="1"/>
  <c r="DX60" i="37" s="1"/>
  <c r="CO15" i="37"/>
  <c r="CO44" i="37" s="1"/>
  <c r="DZ60" i="37" s="1"/>
  <c r="CO17" i="37"/>
  <c r="CO46" i="37" s="1"/>
  <c r="EB60" i="37" s="1"/>
  <c r="CO9" i="37"/>
  <c r="CO38" i="37" s="1"/>
  <c r="DT60" i="37" s="1"/>
  <c r="CO25" i="37"/>
  <c r="CO20" i="37"/>
  <c r="CO49" i="37" s="1"/>
  <c r="EE60" i="37" s="1"/>
  <c r="CO3" i="37"/>
  <c r="CO32" i="37" s="1"/>
  <c r="DN60" i="37" s="1"/>
  <c r="BE50" i="33"/>
  <c r="BE65" i="33" s="1"/>
  <c r="BE81" i="33" s="1"/>
  <c r="AA346" i="5"/>
  <c r="Z346" i="5" s="1"/>
  <c r="AL344" i="5"/>
  <c r="AK344" i="5"/>
  <c r="AM344" i="5" s="1"/>
  <c r="AJ345" i="5"/>
  <c r="N349" i="5"/>
  <c r="CG40" i="5"/>
  <c r="BT38" i="5"/>
  <c r="BU38" i="5" s="1"/>
  <c r="CX126" i="5"/>
  <c r="CW127" i="5"/>
  <c r="DO59" i="37"/>
  <c r="DP59" i="37"/>
  <c r="DQ59" i="37"/>
  <c r="DR59" i="37"/>
  <c r="CN58" i="37"/>
  <c r="BF68" i="33" s="1"/>
  <c r="CN29" i="37"/>
  <c r="BF53" i="33" s="1"/>
  <c r="CO40" i="37"/>
  <c r="DV60" i="37" s="1"/>
  <c r="CO41" i="37"/>
  <c r="DW60" i="37" s="1"/>
  <c r="CO45" i="37"/>
  <c r="EA60" i="37" s="1"/>
  <c r="CO54" i="37"/>
  <c r="EJ60" i="37" s="1"/>
  <c r="CO34" i="37"/>
  <c r="CO47" i="37"/>
  <c r="EC60" i="37" s="1"/>
  <c r="CO57" i="37"/>
  <c r="EM60" i="37" s="1"/>
  <c r="CO35" i="37"/>
  <c r="CO39" i="37"/>
  <c r="DU60" i="37" s="1"/>
  <c r="F64" i="24"/>
  <c r="P58" i="5"/>
  <c r="O58" i="5" s="1"/>
  <c r="Q58" i="5" s="1"/>
  <c r="AL56" i="5"/>
  <c r="AK56" i="5" s="1"/>
  <c r="E10" i="5"/>
  <c r="D10" i="5" s="1"/>
  <c r="AA58" i="5"/>
  <c r="Z58" i="5" s="1"/>
  <c r="BD58" i="33"/>
  <c r="BD74" i="33" s="1"/>
  <c r="BD64" i="33"/>
  <c r="BD80" i="33" s="1"/>
  <c r="BD63" i="33"/>
  <c r="BD79" i="33" s="1"/>
  <c r="S67" i="51"/>
  <c r="U67" i="51"/>
  <c r="O67" i="51"/>
  <c r="Q67" i="51"/>
  <c r="BD59" i="33"/>
  <c r="BD75" i="33" s="1"/>
  <c r="A69" i="52"/>
  <c r="BD60" i="33"/>
  <c r="BD76" i="33" s="1"/>
  <c r="BD57" i="33"/>
  <c r="BD73" i="33" s="1"/>
  <c r="BD61" i="33"/>
  <c r="BD77" i="33" s="1"/>
  <c r="BD62" i="33"/>
  <c r="BD78" i="33" s="1"/>
  <c r="O56" i="19"/>
  <c r="J70" i="50"/>
  <c r="EY69" i="50"/>
  <c r="DI69" i="50"/>
  <c r="EM69" i="50"/>
  <c r="ES69" i="50"/>
  <c r="BC84" i="33"/>
  <c r="BC85" i="33" s="1"/>
  <c r="E55" i="31" s="1"/>
  <c r="G55" i="31" s="1"/>
  <c r="T58" i="19"/>
  <c r="A68" i="51"/>
  <c r="BE43" i="33"/>
  <c r="BE47" i="33"/>
  <c r="BE42" i="33"/>
  <c r="BE46" i="33"/>
  <c r="BE44" i="33"/>
  <c r="BE48" i="33"/>
  <c r="BE49" i="33"/>
  <c r="BE45" i="33"/>
  <c r="K48" i="50"/>
  <c r="CF47" i="50"/>
  <c r="AD46" i="51"/>
  <c r="F54" i="31"/>
  <c r="AV38" i="41"/>
  <c r="BE51" i="33"/>
  <c r="BE66" i="33" s="1"/>
  <c r="DR24" i="41"/>
  <c r="DR12" i="41"/>
  <c r="DR3" i="41"/>
  <c r="DR15" i="41"/>
  <c r="DR14" i="41"/>
  <c r="DR19" i="41"/>
  <c r="DR7" i="41"/>
  <c r="DR10" i="41"/>
  <c r="DR26" i="41"/>
  <c r="DR9" i="41"/>
  <c r="DR17" i="41"/>
  <c r="DR22" i="41"/>
  <c r="DR23" i="41"/>
  <c r="DR27" i="41"/>
  <c r="DR8" i="41"/>
  <c r="DR5" i="41"/>
  <c r="DR16" i="41"/>
  <c r="DR13" i="41"/>
  <c r="DR21" i="41"/>
  <c r="DR25" i="41"/>
  <c r="DR4" i="41"/>
  <c r="DR20" i="41"/>
  <c r="DR6" i="41"/>
  <c r="DR18" i="41"/>
  <c r="AY11" i="41"/>
  <c r="AX36" i="41"/>
  <c r="DS11" i="41" s="1"/>
  <c r="BS24" i="41"/>
  <c r="D56" i="31"/>
  <c r="CP2" i="37"/>
  <c r="BF1" i="33"/>
  <c r="I46" i="17"/>
  <c r="A49" i="19"/>
  <c r="J46" i="17"/>
  <c r="B49" i="19"/>
  <c r="C57" i="24" s="1"/>
  <c r="B47" i="17"/>
  <c r="B48" i="52"/>
  <c r="I47" i="17"/>
  <c r="CP31" i="37" l="1"/>
  <c r="CP15" i="37"/>
  <c r="CP20" i="37"/>
  <c r="CP27" i="37"/>
  <c r="CP56" i="37" s="1"/>
  <c r="EL61" i="37" s="1"/>
  <c r="CP19" i="37"/>
  <c r="CP24" i="37"/>
  <c r="CP23" i="37"/>
  <c r="CP28" i="37"/>
  <c r="CP5" i="37"/>
  <c r="CP34" i="37" s="1"/>
  <c r="CP8" i="37"/>
  <c r="CP37" i="37" s="1"/>
  <c r="DS61" i="37" s="1"/>
  <c r="CP9" i="37"/>
  <c r="CP38" i="37" s="1"/>
  <c r="DT61" i="37" s="1"/>
  <c r="CP18" i="37"/>
  <c r="CP47" i="37" s="1"/>
  <c r="EC61" i="37" s="1"/>
  <c r="CP7" i="37"/>
  <c r="CP26" i="37"/>
  <c r="CP21" i="37"/>
  <c r="CP6" i="37"/>
  <c r="CP16" i="37"/>
  <c r="CP45" i="37" s="1"/>
  <c r="EA61" i="37" s="1"/>
  <c r="CP4" i="37"/>
  <c r="CP14" i="37"/>
  <c r="CP43" i="37" s="1"/>
  <c r="DY61" i="37" s="1"/>
  <c r="CP22" i="37"/>
  <c r="CP51" i="37" s="1"/>
  <c r="EG61" i="37" s="1"/>
  <c r="CP10" i="37"/>
  <c r="CP39" i="37" s="1"/>
  <c r="DU61" i="37" s="1"/>
  <c r="CP13" i="37"/>
  <c r="CP42" i="37" s="1"/>
  <c r="DX61" i="37" s="1"/>
  <c r="CP17" i="37"/>
  <c r="CP46" i="37" s="1"/>
  <c r="EB61" i="37" s="1"/>
  <c r="CP12" i="37"/>
  <c r="CP41" i="37" s="1"/>
  <c r="DW61" i="37" s="1"/>
  <c r="CP25" i="37"/>
  <c r="CP11" i="37"/>
  <c r="CP40" i="37" s="1"/>
  <c r="DV61" i="37" s="1"/>
  <c r="CP3" i="37"/>
  <c r="CP32" i="37" s="1"/>
  <c r="DN61" i="37" s="1"/>
  <c r="BF50" i="33"/>
  <c r="BF65" i="33" s="1"/>
  <c r="AB346" i="5"/>
  <c r="Y347" i="5"/>
  <c r="AL345" i="5"/>
  <c r="AK345" i="5" s="1"/>
  <c r="P349" i="5"/>
  <c r="O349" i="5" s="1"/>
  <c r="CP40" i="5"/>
  <c r="CH40" i="5"/>
  <c r="CC38" i="5"/>
  <c r="CX127" i="5"/>
  <c r="CW128" i="5"/>
  <c r="DO60" i="37"/>
  <c r="DQ60" i="37"/>
  <c r="DR60" i="37"/>
  <c r="DP60" i="37"/>
  <c r="CO58" i="37"/>
  <c r="CP44" i="37"/>
  <c r="DZ61" i="37" s="1"/>
  <c r="CP52" i="37"/>
  <c r="EH61" i="37" s="1"/>
  <c r="CP50" i="37"/>
  <c r="EF61" i="37" s="1"/>
  <c r="CP48" i="37"/>
  <c r="ED61" i="37" s="1"/>
  <c r="CP49" i="37"/>
  <c r="EE61" i="37" s="1"/>
  <c r="CP33" i="37"/>
  <c r="CP54" i="37"/>
  <c r="EJ61" i="37" s="1"/>
  <c r="CP35" i="37"/>
  <c r="CP53" i="37"/>
  <c r="EI61" i="37" s="1"/>
  <c r="CP36" i="37"/>
  <c r="CP55" i="37"/>
  <c r="EK61" i="37" s="1"/>
  <c r="CP57" i="37"/>
  <c r="EM61" i="37" s="1"/>
  <c r="CO29" i="37"/>
  <c r="AM56" i="5"/>
  <c r="AJ57" i="5" s="1"/>
  <c r="AI57" i="5"/>
  <c r="B11" i="5"/>
  <c r="F55" i="31"/>
  <c r="AB58" i="5"/>
  <c r="Y59" i="5" s="1"/>
  <c r="X59" i="5"/>
  <c r="M59" i="5"/>
  <c r="N59" i="5"/>
  <c r="F10" i="5"/>
  <c r="C11" i="5" s="1"/>
  <c r="BE58" i="33"/>
  <c r="BE74" i="33" s="1"/>
  <c r="Q68" i="51"/>
  <c r="O68" i="51"/>
  <c r="S68" i="51"/>
  <c r="U68" i="51"/>
  <c r="BE60" i="33"/>
  <c r="BE76" i="33" s="1"/>
  <c r="BE64" i="33"/>
  <c r="BE80" i="33" s="1"/>
  <c r="BE63" i="33"/>
  <c r="BE79" i="33" s="1"/>
  <c r="BE59" i="33"/>
  <c r="BE75" i="33" s="1"/>
  <c r="BE61" i="33"/>
  <c r="BE77" i="33" s="1"/>
  <c r="BE57" i="33"/>
  <c r="A70" i="52"/>
  <c r="BE62" i="33"/>
  <c r="BE78" i="33" s="1"/>
  <c r="EY70" i="50"/>
  <c r="DI70" i="50"/>
  <c r="ES70" i="50"/>
  <c r="EM70" i="50"/>
  <c r="J71" i="50"/>
  <c r="F65" i="24"/>
  <c r="BD84" i="33"/>
  <c r="BD85" i="33" s="1"/>
  <c r="O57" i="19"/>
  <c r="T59" i="19"/>
  <c r="A69" i="51"/>
  <c r="CQ2" i="37"/>
  <c r="BF44" i="33"/>
  <c r="BF48" i="33"/>
  <c r="BF43" i="33"/>
  <c r="BF47" i="33"/>
  <c r="BF45" i="33"/>
  <c r="BF49" i="33"/>
  <c r="BF46" i="33"/>
  <c r="BF42" i="33"/>
  <c r="K49" i="50"/>
  <c r="CF48" i="50"/>
  <c r="AD47" i="51"/>
  <c r="BF51" i="33"/>
  <c r="BF66" i="33" s="1"/>
  <c r="AW38" i="41"/>
  <c r="DS24" i="41"/>
  <c r="DS22" i="41"/>
  <c r="DS17" i="41"/>
  <c r="DS18" i="41"/>
  <c r="DS6" i="41"/>
  <c r="DS25" i="41"/>
  <c r="DS7" i="41"/>
  <c r="DS21" i="41"/>
  <c r="DS13" i="41"/>
  <c r="DS16" i="41"/>
  <c r="DS5" i="41"/>
  <c r="DS8" i="41"/>
  <c r="DS19" i="41"/>
  <c r="DS23" i="41"/>
  <c r="DS3" i="41"/>
  <c r="DS12" i="41"/>
  <c r="DS27" i="41"/>
  <c r="DS20" i="41"/>
  <c r="DS4" i="41"/>
  <c r="DS9" i="41"/>
  <c r="DS26" i="41"/>
  <c r="DS10" i="41"/>
  <c r="DS14" i="41"/>
  <c r="DS15" i="41"/>
  <c r="AZ11" i="41"/>
  <c r="AY36" i="41"/>
  <c r="DT11" i="41" s="1"/>
  <c r="BT24" i="41"/>
  <c r="D57" i="31"/>
  <c r="A50" i="19"/>
  <c r="J47" i="17"/>
  <c r="B50" i="19"/>
  <c r="C58" i="24" s="1"/>
  <c r="B49" i="52"/>
  <c r="B48" i="17"/>
  <c r="CQ31" i="37" l="1"/>
  <c r="CQ8" i="37"/>
  <c r="CQ4" i="37"/>
  <c r="CQ7" i="37"/>
  <c r="CQ11" i="37"/>
  <c r="CQ40" i="37" s="1"/>
  <c r="DV62" i="37" s="1"/>
  <c r="CQ15" i="37"/>
  <c r="CQ24" i="37"/>
  <c r="CQ53" i="37" s="1"/>
  <c r="EI62" i="37" s="1"/>
  <c r="CQ20" i="37"/>
  <c r="CQ6" i="37"/>
  <c r="CQ35" i="37" s="1"/>
  <c r="CQ19" i="37"/>
  <c r="CQ48" i="37" s="1"/>
  <c r="ED62" i="37" s="1"/>
  <c r="CQ23" i="37"/>
  <c r="CQ52" i="37" s="1"/>
  <c r="EH62" i="37" s="1"/>
  <c r="CQ28" i="37"/>
  <c r="CQ57" i="37" s="1"/>
  <c r="EM62" i="37" s="1"/>
  <c r="CQ5" i="37"/>
  <c r="CQ10" i="37"/>
  <c r="CQ39" i="37" s="1"/>
  <c r="DU62" i="37" s="1"/>
  <c r="CQ9" i="37"/>
  <c r="CQ38" i="37" s="1"/>
  <c r="DT62" i="37" s="1"/>
  <c r="CQ18" i="37"/>
  <c r="CQ26" i="37"/>
  <c r="CQ55" i="37" s="1"/>
  <c r="EK62" i="37" s="1"/>
  <c r="CQ21" i="37"/>
  <c r="CQ16" i="37"/>
  <c r="CQ45" i="37" s="1"/>
  <c r="EA62" i="37" s="1"/>
  <c r="CQ22" i="37"/>
  <c r="CQ51" i="37" s="1"/>
  <c r="EG62" i="37" s="1"/>
  <c r="CQ13" i="37"/>
  <c r="CQ42" i="37" s="1"/>
  <c r="DX62" i="37" s="1"/>
  <c r="CQ17" i="37"/>
  <c r="CQ46" i="37" s="1"/>
  <c r="EB62" i="37" s="1"/>
  <c r="CQ12" i="37"/>
  <c r="CQ41" i="37" s="1"/>
  <c r="DW62" i="37" s="1"/>
  <c r="CQ25" i="37"/>
  <c r="CQ54" i="37" s="1"/>
  <c r="EJ62" i="37" s="1"/>
  <c r="CQ14" i="37"/>
  <c r="CQ27" i="37"/>
  <c r="CQ3" i="37"/>
  <c r="AM345" i="5"/>
  <c r="AJ346" i="5"/>
  <c r="Q349" i="5"/>
  <c r="N350" i="5" s="1"/>
  <c r="AA347" i="5"/>
  <c r="Z347" i="5" s="1"/>
  <c r="CJ40" i="5"/>
  <c r="CI40" i="5" s="1"/>
  <c r="CG41" i="5" s="1"/>
  <c r="BW38" i="5"/>
  <c r="BV38" i="5" s="1"/>
  <c r="BX38" i="5" s="1"/>
  <c r="CW129" i="5"/>
  <c r="CX128" i="5"/>
  <c r="DO61" i="37"/>
  <c r="DP61" i="37"/>
  <c r="DQ61" i="37"/>
  <c r="DR61" i="37"/>
  <c r="CP58" i="37"/>
  <c r="CP29" i="37"/>
  <c r="CQ50" i="37"/>
  <c r="EF62" i="37" s="1"/>
  <c r="CQ32" i="37"/>
  <c r="DN62" i="37" s="1"/>
  <c r="CQ33" i="37"/>
  <c r="CQ43" i="37"/>
  <c r="DY62" i="37" s="1"/>
  <c r="CQ37" i="37"/>
  <c r="DS62" i="37" s="1"/>
  <c r="CQ36" i="37"/>
  <c r="CQ47" i="37"/>
  <c r="EC62" i="37" s="1"/>
  <c r="CQ44" i="37"/>
  <c r="DZ62" i="37" s="1"/>
  <c r="CQ49" i="37"/>
  <c r="EE62" i="37" s="1"/>
  <c r="CQ56" i="37"/>
  <c r="EL62" i="37" s="1"/>
  <c r="CQ34" i="37"/>
  <c r="O58" i="19"/>
  <c r="P59" i="5"/>
  <c r="O59" i="5" s="1"/>
  <c r="AL57" i="5"/>
  <c r="AK57" i="5" s="1"/>
  <c r="E11" i="5"/>
  <c r="D11" i="5" s="1"/>
  <c r="BE84" i="33"/>
  <c r="AA59" i="5"/>
  <c r="Z59" i="5" s="1"/>
  <c r="AB59" i="5" s="1"/>
  <c r="BF57" i="33"/>
  <c r="BF73" i="33" s="1"/>
  <c r="BF61" i="33"/>
  <c r="BF77" i="33" s="1"/>
  <c r="BF64" i="33"/>
  <c r="BF80" i="33" s="1"/>
  <c r="BF60" i="33"/>
  <c r="BF76" i="33" s="1"/>
  <c r="BF62" i="33"/>
  <c r="BF78" i="33" s="1"/>
  <c r="BE73" i="33"/>
  <c r="BF58" i="33"/>
  <c r="BF74" i="33" s="1"/>
  <c r="A71" i="52"/>
  <c r="BF63" i="33"/>
  <c r="BF79" i="33" s="1"/>
  <c r="BF59" i="33"/>
  <c r="BF75" i="33" s="1"/>
  <c r="O69" i="51"/>
  <c r="Q69" i="51"/>
  <c r="S69" i="51"/>
  <c r="U69" i="51"/>
  <c r="J72" i="50"/>
  <c r="EM71" i="50"/>
  <c r="EY71" i="50"/>
  <c r="DI71" i="50"/>
  <c r="ES71" i="50"/>
  <c r="F66" i="24"/>
  <c r="B14" i="33"/>
  <c r="B34" i="33" s="1"/>
  <c r="C14" i="33"/>
  <c r="C34" i="33" s="1"/>
  <c r="D14" i="33"/>
  <c r="D34" i="33" s="1"/>
  <c r="E14" i="33"/>
  <c r="E34" i="33" s="1"/>
  <c r="F14" i="33"/>
  <c r="F34" i="33" s="1"/>
  <c r="G14" i="33"/>
  <c r="G34" i="33" s="1"/>
  <c r="H14" i="33"/>
  <c r="H34" i="33" s="1"/>
  <c r="I14" i="33"/>
  <c r="I34" i="33" s="1"/>
  <c r="J14" i="33"/>
  <c r="J34" i="33" s="1"/>
  <c r="L14" i="33"/>
  <c r="L34" i="33" s="1"/>
  <c r="K14" i="33"/>
  <c r="K34" i="33" s="1"/>
  <c r="M14" i="33"/>
  <c r="M34" i="33" s="1"/>
  <c r="N14" i="33"/>
  <c r="N34" i="33" s="1"/>
  <c r="O14" i="33"/>
  <c r="O34" i="33" s="1"/>
  <c r="P14" i="33"/>
  <c r="P34" i="33" s="1"/>
  <c r="Q14" i="33"/>
  <c r="Q34" i="33" s="1"/>
  <c r="R14" i="33"/>
  <c r="R34" i="33" s="1"/>
  <c r="S14" i="33"/>
  <c r="S34" i="33" s="1"/>
  <c r="T14" i="33"/>
  <c r="T34" i="33" s="1"/>
  <c r="U14" i="33"/>
  <c r="U34" i="33" s="1"/>
  <c r="V14" i="33"/>
  <c r="V34" i="33" s="1"/>
  <c r="W14" i="33"/>
  <c r="W34" i="33" s="1"/>
  <c r="X14" i="33"/>
  <c r="X34" i="33" s="1"/>
  <c r="Y14" i="33"/>
  <c r="Y34" i="33" s="1"/>
  <c r="Z14" i="33"/>
  <c r="Z34" i="33" s="1"/>
  <c r="AA14" i="33"/>
  <c r="AA34" i="33" s="1"/>
  <c r="AB14" i="33"/>
  <c r="AB34" i="33" s="1"/>
  <c r="AC14" i="33"/>
  <c r="AC34" i="33" s="1"/>
  <c r="AD14" i="33"/>
  <c r="AD34" i="33" s="1"/>
  <c r="AE14" i="33"/>
  <c r="AE34" i="33" s="1"/>
  <c r="AF14" i="33"/>
  <c r="AF34" i="33" s="1"/>
  <c r="AG14" i="33"/>
  <c r="AG34" i="33" s="1"/>
  <c r="AH14" i="33"/>
  <c r="AH34" i="33" s="1"/>
  <c r="AI14" i="33"/>
  <c r="AI34" i="33" s="1"/>
  <c r="AJ14" i="33"/>
  <c r="AJ34" i="33" s="1"/>
  <c r="AK14" i="33"/>
  <c r="AK34" i="33" s="1"/>
  <c r="AL14" i="33"/>
  <c r="AL34" i="33" s="1"/>
  <c r="AM14" i="33"/>
  <c r="AM34" i="33" s="1"/>
  <c r="AN14" i="33"/>
  <c r="AN34" i="33" s="1"/>
  <c r="AO14" i="33"/>
  <c r="AO34" i="33" s="1"/>
  <c r="AP14" i="33"/>
  <c r="AP34" i="33" s="1"/>
  <c r="AQ14" i="33"/>
  <c r="AQ34" i="33" s="1"/>
  <c r="AR14" i="33"/>
  <c r="AR34" i="33" s="1"/>
  <c r="AS14" i="33"/>
  <c r="AS34" i="33" s="1"/>
  <c r="AT14" i="33"/>
  <c r="AT34" i="33" s="1"/>
  <c r="AU14" i="33"/>
  <c r="AU34" i="33" s="1"/>
  <c r="AV14" i="33"/>
  <c r="AV34" i="33" s="1"/>
  <c r="AW14" i="33"/>
  <c r="AW34" i="33" s="1"/>
  <c r="AX14" i="33"/>
  <c r="AX34" i="33" s="1"/>
  <c r="AY14" i="33"/>
  <c r="AY34" i="33" s="1"/>
  <c r="AZ14" i="33"/>
  <c r="AZ34" i="33" s="1"/>
  <c r="BA14" i="33"/>
  <c r="BA34" i="33" s="1"/>
  <c r="BB14" i="33"/>
  <c r="BB34" i="33" s="1"/>
  <c r="BC14" i="33"/>
  <c r="BC34" i="33" s="1"/>
  <c r="BD14" i="33"/>
  <c r="BD34" i="33" s="1"/>
  <c r="BE14" i="33"/>
  <c r="BE34" i="33" s="1"/>
  <c r="BF14" i="33"/>
  <c r="BF34" i="33" s="1"/>
  <c r="E56" i="31"/>
  <c r="F56" i="31" s="1"/>
  <c r="A70" i="51"/>
  <c r="CR2" i="37"/>
  <c r="K50" i="50"/>
  <c r="CF49" i="50"/>
  <c r="AD48" i="51"/>
  <c r="AX38" i="41"/>
  <c r="DT24" i="41"/>
  <c r="DT6" i="41"/>
  <c r="DT23" i="41"/>
  <c r="DT27" i="41"/>
  <c r="DT17" i="41"/>
  <c r="DT13" i="41"/>
  <c r="DT16" i="41"/>
  <c r="DT14" i="41"/>
  <c r="DT21" i="41"/>
  <c r="DT8" i="41"/>
  <c r="DT10" i="41"/>
  <c r="DT3" i="41"/>
  <c r="DT26" i="41"/>
  <c r="DT9" i="41"/>
  <c r="DT18" i="41"/>
  <c r="DT22" i="41"/>
  <c r="DT12" i="41"/>
  <c r="DT19" i="41"/>
  <c r="DT15" i="41"/>
  <c r="DT7" i="41"/>
  <c r="DT5" i="41"/>
  <c r="DT4" i="41"/>
  <c r="DT25" i="41"/>
  <c r="DT20" i="41"/>
  <c r="BA11" i="41"/>
  <c r="AZ36" i="41"/>
  <c r="DU11" i="41" s="1"/>
  <c r="BU24" i="41"/>
  <c r="BF81" i="33"/>
  <c r="D58" i="31"/>
  <c r="I48" i="17"/>
  <c r="A51" i="19"/>
  <c r="J48" i="17"/>
  <c r="B51" i="19"/>
  <c r="C59" i="24" s="1"/>
  <c r="B49" i="17"/>
  <c r="B50" i="52"/>
  <c r="CR31" i="37" l="1"/>
  <c r="CR5" i="37"/>
  <c r="CR9" i="37"/>
  <c r="CR13" i="37"/>
  <c r="CR12" i="37"/>
  <c r="CR41" i="37" s="1"/>
  <c r="DW63" i="37" s="1"/>
  <c r="CR17" i="37"/>
  <c r="CR21" i="37"/>
  <c r="CR25" i="37"/>
  <c r="CR28" i="37"/>
  <c r="CR57" i="37" s="1"/>
  <c r="EM63" i="37" s="1"/>
  <c r="CR4" i="37"/>
  <c r="CR33" i="37" s="1"/>
  <c r="CR7" i="37"/>
  <c r="CR36" i="37" s="1"/>
  <c r="CR11" i="37"/>
  <c r="CR40" i="37" s="1"/>
  <c r="DV63" i="37" s="1"/>
  <c r="CR15" i="37"/>
  <c r="CR24" i="37"/>
  <c r="CR6" i="37"/>
  <c r="CR19" i="37"/>
  <c r="CR48" i="37" s="1"/>
  <c r="ED63" i="37" s="1"/>
  <c r="CR22" i="37"/>
  <c r="CR51" i="37" s="1"/>
  <c r="EG63" i="37" s="1"/>
  <c r="CR8" i="37"/>
  <c r="CR37" i="37" s="1"/>
  <c r="DS63" i="37" s="1"/>
  <c r="CR10" i="37"/>
  <c r="CR39" i="37" s="1"/>
  <c r="DU63" i="37" s="1"/>
  <c r="CR18" i="37"/>
  <c r="CR47" i="37" s="1"/>
  <c r="EC63" i="37" s="1"/>
  <c r="CR26" i="37"/>
  <c r="CR23" i="37"/>
  <c r="CR16" i="37"/>
  <c r="CR45" i="37" s="1"/>
  <c r="EA63" i="37" s="1"/>
  <c r="CR14" i="37"/>
  <c r="CR43" i="37" s="1"/>
  <c r="DY63" i="37" s="1"/>
  <c r="CR27" i="37"/>
  <c r="CR56" i="37" s="1"/>
  <c r="EL63" i="37" s="1"/>
  <c r="CR20" i="37"/>
  <c r="CR3" i="37"/>
  <c r="AB347" i="5"/>
  <c r="Y348" i="5" s="1"/>
  <c r="P350" i="5"/>
  <c r="O350" i="5" s="1"/>
  <c r="AL346" i="5"/>
  <c r="AK346" i="5" s="1"/>
  <c r="CK40" i="5"/>
  <c r="CH41" i="5" s="1"/>
  <c r="CP41" i="5"/>
  <c r="BT39" i="5"/>
  <c r="BU39" i="5" s="1"/>
  <c r="CX129" i="5"/>
  <c r="CW130" i="5"/>
  <c r="DP62" i="37"/>
  <c r="DO62" i="37"/>
  <c r="DQ62" i="37"/>
  <c r="DR62" i="37"/>
  <c r="CQ58" i="37"/>
  <c r="CR55" i="37"/>
  <c r="EK63" i="37" s="1"/>
  <c r="CR52" i="37"/>
  <c r="EH63" i="37" s="1"/>
  <c r="CR54" i="37"/>
  <c r="EJ63" i="37" s="1"/>
  <c r="CR34" i="37"/>
  <c r="CR44" i="37"/>
  <c r="DZ63" i="37" s="1"/>
  <c r="CR42" i="37"/>
  <c r="DX63" i="37" s="1"/>
  <c r="CR38" i="37"/>
  <c r="DT63" i="37" s="1"/>
  <c r="CR50" i="37"/>
  <c r="EF63" i="37" s="1"/>
  <c r="CQ29" i="37"/>
  <c r="F67" i="24"/>
  <c r="AM57" i="5"/>
  <c r="AJ58" i="5" s="1"/>
  <c r="AI58" i="5"/>
  <c r="BE85" i="33"/>
  <c r="X60" i="5"/>
  <c r="Y60" i="5"/>
  <c r="Q59" i="5"/>
  <c r="N60" i="5" s="1"/>
  <c r="M60" i="5"/>
  <c r="F11" i="5"/>
  <c r="C12" i="5" s="1"/>
  <c r="B12" i="5"/>
  <c r="G56" i="31"/>
  <c r="U70" i="51"/>
  <c r="S70" i="51"/>
  <c r="O70" i="51"/>
  <c r="Q70" i="51"/>
  <c r="A72" i="52"/>
  <c r="EY72" i="50"/>
  <c r="EM72" i="50"/>
  <c r="DI72" i="50"/>
  <c r="ES72" i="50"/>
  <c r="J73" i="50"/>
  <c r="BF84" i="33"/>
  <c r="BF85" i="33" s="1"/>
  <c r="O59" i="19"/>
  <c r="A71" i="51"/>
  <c r="CS2" i="37"/>
  <c r="K51" i="50"/>
  <c r="CF50" i="50"/>
  <c r="AD49" i="51"/>
  <c r="DU24" i="41"/>
  <c r="DU15" i="41"/>
  <c r="DU14" i="41"/>
  <c r="DU12" i="41"/>
  <c r="DU25" i="41"/>
  <c r="DU6" i="41"/>
  <c r="DU27" i="41"/>
  <c r="DU16" i="41"/>
  <c r="DU20" i="41"/>
  <c r="DU17" i="41"/>
  <c r="DU13" i="41"/>
  <c r="DU9" i="41"/>
  <c r="DU5" i="41"/>
  <c r="DU7" i="41"/>
  <c r="DU19" i="41"/>
  <c r="DU23" i="41"/>
  <c r="DU4" i="41"/>
  <c r="DU22" i="41"/>
  <c r="DU26" i="41"/>
  <c r="DU3" i="41"/>
  <c r="DU10" i="41"/>
  <c r="DU18" i="41"/>
  <c r="DU8" i="41"/>
  <c r="DU21" i="41"/>
  <c r="BB11" i="41"/>
  <c r="BA36" i="41"/>
  <c r="DV11" i="41" s="1"/>
  <c r="AY38" i="41"/>
  <c r="BV24" i="41"/>
  <c r="I49" i="17"/>
  <c r="A52" i="19"/>
  <c r="J49" i="17"/>
  <c r="B52" i="19"/>
  <c r="C60" i="24" s="1"/>
  <c r="B51" i="52"/>
  <c r="B50" i="17"/>
  <c r="CR49" i="37" l="1"/>
  <c r="EE63" i="37" s="1"/>
  <c r="CR46" i="37"/>
  <c r="EB63" i="37" s="1"/>
  <c r="CS31" i="37"/>
  <c r="CS16" i="37"/>
  <c r="CS45" i="37" s="1"/>
  <c r="EA64" i="37" s="1"/>
  <c r="CS17" i="37"/>
  <c r="CS28" i="37"/>
  <c r="CS4" i="37"/>
  <c r="CS33" i="37" s="1"/>
  <c r="CS7" i="37"/>
  <c r="CS36" i="37" s="1"/>
  <c r="CS11" i="37"/>
  <c r="CS40" i="37" s="1"/>
  <c r="DV64" i="37" s="1"/>
  <c r="CS15" i="37"/>
  <c r="CS44" i="37" s="1"/>
  <c r="DZ64" i="37" s="1"/>
  <c r="CS18" i="37"/>
  <c r="CS47" i="37" s="1"/>
  <c r="EC64" i="37" s="1"/>
  <c r="CS20" i="37"/>
  <c r="CS49" i="37" s="1"/>
  <c r="EE64" i="37" s="1"/>
  <c r="CS24" i="37"/>
  <c r="CS53" i="37" s="1"/>
  <c r="EI64" i="37" s="1"/>
  <c r="CS6" i="37"/>
  <c r="CS22" i="37"/>
  <c r="CS8" i="37"/>
  <c r="CS37" i="37" s="1"/>
  <c r="DS64" i="37" s="1"/>
  <c r="CS9" i="37"/>
  <c r="CS10" i="37"/>
  <c r="CS19" i="37"/>
  <c r="CS48" i="37" s="1"/>
  <c r="ED64" i="37" s="1"/>
  <c r="CS26" i="37"/>
  <c r="CS21" i="37"/>
  <c r="CS50" i="37" s="1"/>
  <c r="EF64" i="37" s="1"/>
  <c r="CS23" i="37"/>
  <c r="CS52" i="37" s="1"/>
  <c r="EH64" i="37" s="1"/>
  <c r="CS14" i="37"/>
  <c r="CS43" i="37" s="1"/>
  <c r="DY64" i="37" s="1"/>
  <c r="CS27" i="37"/>
  <c r="CS56" i="37" s="1"/>
  <c r="EL64" i="37" s="1"/>
  <c r="CS13" i="37"/>
  <c r="CS42" i="37" s="1"/>
  <c r="DX64" i="37" s="1"/>
  <c r="CS5" i="37"/>
  <c r="CS12" i="37"/>
  <c r="CS25" i="37"/>
  <c r="CS3" i="37"/>
  <c r="CS32" i="37" s="1"/>
  <c r="DN64" i="37" s="1"/>
  <c r="CR53" i="37"/>
  <c r="EI63" i="37" s="1"/>
  <c r="CR35" i="37"/>
  <c r="DQ63" i="37" s="1"/>
  <c r="CR32" i="37"/>
  <c r="DN63" i="37" s="1"/>
  <c r="AM346" i="5"/>
  <c r="AJ347" i="5" s="1"/>
  <c r="Q350" i="5"/>
  <c r="N351" i="5" s="1"/>
  <c r="AA348" i="5"/>
  <c r="Z348" i="5"/>
  <c r="AB348" i="5" s="1"/>
  <c r="CJ41" i="5"/>
  <c r="CI41" i="5" s="1"/>
  <c r="CC39" i="5"/>
  <c r="CX130" i="5"/>
  <c r="CW131" i="5"/>
  <c r="DR63" i="37"/>
  <c r="DO63" i="37"/>
  <c r="DP63" i="37"/>
  <c r="CS41" i="37"/>
  <c r="DW64" i="37" s="1"/>
  <c r="CS34" i="37"/>
  <c r="CS35" i="37"/>
  <c r="CS46" i="37"/>
  <c r="EB64" i="37" s="1"/>
  <c r="CS51" i="37"/>
  <c r="EG64" i="37" s="1"/>
  <c r="CS38" i="37"/>
  <c r="DT64" i="37" s="1"/>
  <c r="CS57" i="37"/>
  <c r="EM64" i="37" s="1"/>
  <c r="CS39" i="37"/>
  <c r="DU64" i="37" s="1"/>
  <c r="CS54" i="37"/>
  <c r="EJ64" i="37" s="1"/>
  <c r="CS55" i="37"/>
  <c r="EK64" i="37" s="1"/>
  <c r="CR29" i="37"/>
  <c r="P60" i="5"/>
  <c r="O60" i="5" s="1"/>
  <c r="AL58" i="5"/>
  <c r="AK58" i="5" s="1"/>
  <c r="E12" i="5"/>
  <c r="D12" i="5" s="1"/>
  <c r="E57" i="31"/>
  <c r="G57" i="31" s="1"/>
  <c r="AA60" i="5"/>
  <c r="Z60" i="5" s="1"/>
  <c r="AB60" i="5" s="1"/>
  <c r="S71" i="51"/>
  <c r="U71" i="51"/>
  <c r="O71" i="51"/>
  <c r="Q71" i="51"/>
  <c r="A73" i="52"/>
  <c r="EM73" i="50"/>
  <c r="ES73" i="50"/>
  <c r="DI73" i="50"/>
  <c r="EY73" i="50"/>
  <c r="J74" i="50"/>
  <c r="A73" i="51" s="1"/>
  <c r="A72" i="51"/>
  <c r="E58" i="31"/>
  <c r="F58" i="31" s="1"/>
  <c r="K52" i="50"/>
  <c r="CF51" i="50"/>
  <c r="AD50" i="51"/>
  <c r="AZ38" i="41"/>
  <c r="DV24" i="41"/>
  <c r="DV10" i="41"/>
  <c r="DV3" i="41"/>
  <c r="DV7" i="41"/>
  <c r="DV25" i="41"/>
  <c r="DV9" i="41"/>
  <c r="DV5" i="41"/>
  <c r="DV14" i="41"/>
  <c r="DV26" i="41"/>
  <c r="DV8" i="41"/>
  <c r="DV27" i="41"/>
  <c r="DV18" i="41"/>
  <c r="DV13" i="41"/>
  <c r="DV22" i="41"/>
  <c r="DV23" i="41"/>
  <c r="DV19" i="41"/>
  <c r="DV12" i="41"/>
  <c r="DV6" i="41"/>
  <c r="DV15" i="41"/>
  <c r="DV17" i="41"/>
  <c r="DV16" i="41"/>
  <c r="DV4" i="41"/>
  <c r="DV21" i="41"/>
  <c r="DV20" i="41"/>
  <c r="BC11" i="41"/>
  <c r="BB36" i="41"/>
  <c r="DW11" i="41" s="1"/>
  <c r="BW24" i="41"/>
  <c r="I50" i="17"/>
  <c r="A53" i="19"/>
  <c r="J50" i="17"/>
  <c r="B53" i="19"/>
  <c r="C61" i="24" s="1"/>
  <c r="B51" i="17"/>
  <c r="B52" i="52"/>
  <c r="CR58" i="37" l="1"/>
  <c r="P351" i="5"/>
  <c r="O351" i="5" s="1"/>
  <c r="AL347" i="5"/>
  <c r="AK347" i="5"/>
  <c r="AM347" i="5" s="1"/>
  <c r="AJ348" i="5"/>
  <c r="Y349" i="5"/>
  <c r="CK41" i="5"/>
  <c r="CG42" i="5"/>
  <c r="BW39" i="5"/>
  <c r="BV39" i="5" s="1"/>
  <c r="BX39" i="5" s="1"/>
  <c r="Q60" i="5"/>
  <c r="N61" i="5" s="1"/>
  <c r="P61" i="5" s="1"/>
  <c r="O61" i="5" s="1"/>
  <c r="Q61" i="5" s="1"/>
  <c r="CX131" i="5"/>
  <c r="CW132" i="5"/>
  <c r="DQ64" i="37"/>
  <c r="DP64" i="37"/>
  <c r="DO64" i="37"/>
  <c r="DR64" i="37"/>
  <c r="CS58" i="37"/>
  <c r="CU2" i="37"/>
  <c r="CT2" i="37"/>
  <c r="CS29" i="37"/>
  <c r="AM58" i="5"/>
  <c r="AJ59" i="5" s="1"/>
  <c r="AI59" i="5"/>
  <c r="F57" i="31"/>
  <c r="Y61" i="5"/>
  <c r="X61" i="5"/>
  <c r="M61" i="5"/>
  <c r="F12" i="5"/>
  <c r="C13" i="5" s="1"/>
  <c r="B13" i="5"/>
  <c r="O73" i="51"/>
  <c r="U73" i="51"/>
  <c r="Q73" i="51"/>
  <c r="S73" i="51"/>
  <c r="A74" i="52"/>
  <c r="O72" i="51"/>
  <c r="Q72" i="51"/>
  <c r="S72" i="51"/>
  <c r="U72" i="51"/>
  <c r="EM74" i="50"/>
  <c r="ES74" i="50"/>
  <c r="EY74" i="50"/>
  <c r="DI74" i="50"/>
  <c r="J75" i="50"/>
  <c r="G58" i="31"/>
  <c r="K53" i="50"/>
  <c r="CF52" i="50"/>
  <c r="AD51" i="51"/>
  <c r="BA38" i="41"/>
  <c r="DW24" i="41"/>
  <c r="DW20" i="41"/>
  <c r="DW16" i="41"/>
  <c r="DW14" i="41"/>
  <c r="DW5" i="41"/>
  <c r="DW17" i="41"/>
  <c r="DW12" i="41"/>
  <c r="DW23" i="41"/>
  <c r="DW6" i="41"/>
  <c r="DW3" i="41"/>
  <c r="DW18" i="41"/>
  <c r="DW25" i="41"/>
  <c r="DW4" i="41"/>
  <c r="DW26" i="41"/>
  <c r="DW8" i="41"/>
  <c r="DW13" i="41"/>
  <c r="DW27" i="41"/>
  <c r="DW19" i="41"/>
  <c r="DW9" i="41"/>
  <c r="DW7" i="41"/>
  <c r="DW22" i="41"/>
  <c r="DW21" i="41"/>
  <c r="DW10" i="41"/>
  <c r="DW15" i="41"/>
  <c r="BD11" i="41"/>
  <c r="BC36" i="41"/>
  <c r="DX11" i="41" s="1"/>
  <c r="I51" i="17"/>
  <c r="A54" i="19"/>
  <c r="J51" i="17"/>
  <c r="B54" i="19"/>
  <c r="C62" i="24" s="1"/>
  <c r="B53" i="52"/>
  <c r="B52" i="17"/>
  <c r="I52" i="17"/>
  <c r="EM75" i="50" l="1"/>
  <c r="CT31" i="37"/>
  <c r="CT5" i="37"/>
  <c r="CT6" i="37"/>
  <c r="CT10" i="37"/>
  <c r="CT39" i="37" s="1"/>
  <c r="DU65" i="37" s="1"/>
  <c r="CT14" i="37"/>
  <c r="CT43" i="37" s="1"/>
  <c r="DY65" i="37" s="1"/>
  <c r="CT21" i="37"/>
  <c r="CT17" i="37"/>
  <c r="CT46" i="37" s="1"/>
  <c r="EB65" i="37" s="1"/>
  <c r="CT7" i="37"/>
  <c r="CT36" i="37" s="1"/>
  <c r="CT8" i="37"/>
  <c r="CT37" i="37" s="1"/>
  <c r="DS65" i="37" s="1"/>
  <c r="CT9" i="37"/>
  <c r="CT38" i="37" s="1"/>
  <c r="DT65" i="37" s="1"/>
  <c r="CT25" i="37"/>
  <c r="CT54" i="37" s="1"/>
  <c r="EJ65" i="37" s="1"/>
  <c r="CT18" i="37"/>
  <c r="CT47" i="37" s="1"/>
  <c r="EC65" i="37" s="1"/>
  <c r="CT20" i="37"/>
  <c r="CT24" i="37"/>
  <c r="CT11" i="37"/>
  <c r="CT12" i="37"/>
  <c r="CT13" i="37"/>
  <c r="CT27" i="37"/>
  <c r="CT56" i="37" s="1"/>
  <c r="EL65" i="37" s="1"/>
  <c r="CT22" i="37"/>
  <c r="CT51" i="37" s="1"/>
  <c r="EG65" i="37" s="1"/>
  <c r="CT19" i="37"/>
  <c r="CT48" i="37" s="1"/>
  <c r="ED65" i="37" s="1"/>
  <c r="CT26" i="37"/>
  <c r="CT55" i="37" s="1"/>
  <c r="EK65" i="37" s="1"/>
  <c r="CT28" i="37"/>
  <c r="CT57" i="37" s="1"/>
  <c r="EM65" i="37" s="1"/>
  <c r="CT4" i="37"/>
  <c r="CT33" i="37" s="1"/>
  <c r="CT23" i="37"/>
  <c r="CT52" i="37" s="1"/>
  <c r="EH65" i="37" s="1"/>
  <c r="CT16" i="37"/>
  <c r="CT15" i="37"/>
  <c r="CT3" i="37"/>
  <c r="CU31" i="37"/>
  <c r="CU54" i="37" s="1"/>
  <c r="EJ66" i="37" s="1"/>
  <c r="CU4" i="37"/>
  <c r="CU33" i="37" s="1"/>
  <c r="CU8" i="37"/>
  <c r="CU12" i="37"/>
  <c r="CU41" i="37" s="1"/>
  <c r="DW66" i="37" s="1"/>
  <c r="CU16" i="37"/>
  <c r="CU45" i="37" s="1"/>
  <c r="EA66" i="37" s="1"/>
  <c r="CU9" i="37"/>
  <c r="CU38" i="37" s="1"/>
  <c r="DT66" i="37" s="1"/>
  <c r="CU20" i="37"/>
  <c r="CU49" i="37" s="1"/>
  <c r="EE66" i="37" s="1"/>
  <c r="CU24" i="37"/>
  <c r="CU53" i="37" s="1"/>
  <c r="EI66" i="37" s="1"/>
  <c r="CU28" i="37"/>
  <c r="CU57" i="37" s="1"/>
  <c r="EM66" i="37" s="1"/>
  <c r="CU5" i="37"/>
  <c r="CU25" i="37"/>
  <c r="CU6" i="37"/>
  <c r="CU10" i="37"/>
  <c r="CU14" i="37"/>
  <c r="CU43" i="37" s="1"/>
  <c r="DY66" i="37" s="1"/>
  <c r="CU21" i="37"/>
  <c r="CU50" i="37" s="1"/>
  <c r="EF66" i="37" s="1"/>
  <c r="CU17" i="37"/>
  <c r="CU7" i="37"/>
  <c r="CU36" i="37" s="1"/>
  <c r="CU18" i="37"/>
  <c r="CU47" i="37" s="1"/>
  <c r="EC66" i="37" s="1"/>
  <c r="CU11" i="37"/>
  <c r="CU40" i="37" s="1"/>
  <c r="DV66" i="37" s="1"/>
  <c r="CU13" i="37"/>
  <c r="CU42" i="37" s="1"/>
  <c r="DX66" i="37" s="1"/>
  <c r="CU27" i="37"/>
  <c r="CU56" i="37" s="1"/>
  <c r="EL66" i="37" s="1"/>
  <c r="CU22" i="37"/>
  <c r="CU19" i="37"/>
  <c r="CU26" i="37"/>
  <c r="CU23" i="37"/>
  <c r="CU15" i="37"/>
  <c r="CU3" i="37"/>
  <c r="Q351" i="5"/>
  <c r="N352" i="5"/>
  <c r="AA349" i="5"/>
  <c r="Z349" i="5" s="1"/>
  <c r="AL348" i="5"/>
  <c r="AK348" i="5"/>
  <c r="AM348" i="5" s="1"/>
  <c r="CH42" i="5"/>
  <c r="CP42" i="5"/>
  <c r="BT40" i="5"/>
  <c r="BU40" i="5" s="1"/>
  <c r="CX132" i="5"/>
  <c r="CW133" i="5"/>
  <c r="CV2" i="37"/>
  <c r="CT49" i="37"/>
  <c r="EE65" i="37" s="1"/>
  <c r="CT32" i="37"/>
  <c r="DN65" i="37" s="1"/>
  <c r="CT35" i="37"/>
  <c r="CT44" i="37"/>
  <c r="DZ65" i="37" s="1"/>
  <c r="CT34" i="37"/>
  <c r="CT42" i="37"/>
  <c r="DX65" i="37" s="1"/>
  <c r="CT53" i="37"/>
  <c r="EI65" i="37" s="1"/>
  <c r="CT40" i="37"/>
  <c r="DV65" i="37" s="1"/>
  <c r="CT50" i="37"/>
  <c r="EF65" i="37" s="1"/>
  <c r="CT41" i="37"/>
  <c r="DW65" i="37" s="1"/>
  <c r="CT45" i="37"/>
  <c r="EA65" i="37" s="1"/>
  <c r="CU35" i="37"/>
  <c r="CU51" i="37"/>
  <c r="EG66" i="37" s="1"/>
  <c r="CU37" i="37"/>
  <c r="DS66" i="37" s="1"/>
  <c r="CU55" i="37"/>
  <c r="EK66" i="37" s="1"/>
  <c r="CU52" i="37"/>
  <c r="EH66" i="37" s="1"/>
  <c r="CU46" i="37"/>
  <c r="EB66" i="37" s="1"/>
  <c r="CU48" i="37"/>
  <c r="ED66" i="37" s="1"/>
  <c r="CU39" i="37"/>
  <c r="DU66" i="37" s="1"/>
  <c r="AA61" i="5"/>
  <c r="Z61" i="5"/>
  <c r="AL59" i="5"/>
  <c r="AK59" i="5" s="1"/>
  <c r="AI60" i="5" s="1"/>
  <c r="E13" i="5"/>
  <c r="D13" i="5" s="1"/>
  <c r="AB61" i="5"/>
  <c r="M62" i="5"/>
  <c r="N62" i="5"/>
  <c r="CW2" i="37"/>
  <c r="A75" i="52"/>
  <c r="DI75" i="50"/>
  <c r="EY75" i="50"/>
  <c r="ES75" i="50"/>
  <c r="J76" i="50"/>
  <c r="K54" i="50"/>
  <c r="CF53" i="50"/>
  <c r="AD52" i="51"/>
  <c r="A74" i="51"/>
  <c r="BB38" i="41"/>
  <c r="DX24" i="41"/>
  <c r="DX23" i="41"/>
  <c r="DX3" i="41"/>
  <c r="DX7" i="41"/>
  <c r="DX5" i="41"/>
  <c r="DX6" i="41"/>
  <c r="DX12" i="41"/>
  <c r="DX17" i="41"/>
  <c r="DX16" i="41"/>
  <c r="DX15" i="41"/>
  <c r="DX26" i="41"/>
  <c r="DX14" i="41"/>
  <c r="DX20" i="41"/>
  <c r="DX21" i="41"/>
  <c r="DX22" i="41"/>
  <c r="DX4" i="41"/>
  <c r="DX27" i="41"/>
  <c r="DX13" i="41"/>
  <c r="DX19" i="41"/>
  <c r="DX25" i="41"/>
  <c r="DX9" i="41"/>
  <c r="DX8" i="41"/>
  <c r="DX18" i="41"/>
  <c r="DX10" i="41"/>
  <c r="BE11" i="41"/>
  <c r="BD36" i="41"/>
  <c r="DY11" i="41" s="1"/>
  <c r="A55" i="19"/>
  <c r="J52" i="17"/>
  <c r="B55" i="19"/>
  <c r="C63" i="24" s="1"/>
  <c r="B53" i="17"/>
  <c r="B54" i="52"/>
  <c r="CU32" i="37" l="1"/>
  <c r="DN66" i="37" s="1"/>
  <c r="CU34" i="37"/>
  <c r="CW31" i="37"/>
  <c r="CW57" i="37" s="1"/>
  <c r="EM68" i="37" s="1"/>
  <c r="CW6" i="37"/>
  <c r="CW35" i="37" s="1"/>
  <c r="CW5" i="37"/>
  <c r="CW22" i="37"/>
  <c r="CW18" i="37"/>
  <c r="CW47" i="37" s="1"/>
  <c r="EC68" i="37" s="1"/>
  <c r="CW10" i="37"/>
  <c r="CW39" i="37" s="1"/>
  <c r="DU68" i="37" s="1"/>
  <c r="CW11" i="37"/>
  <c r="CW21" i="37"/>
  <c r="CW50" i="37" s="1"/>
  <c r="EF68" i="37" s="1"/>
  <c r="CW26" i="37"/>
  <c r="CW55" i="37" s="1"/>
  <c r="EK68" i="37" s="1"/>
  <c r="CW25" i="37"/>
  <c r="CW54" i="37" s="1"/>
  <c r="EJ68" i="37" s="1"/>
  <c r="CW8" i="37"/>
  <c r="CW9" i="37"/>
  <c r="CW14" i="37"/>
  <c r="CW43" i="37" s="1"/>
  <c r="DY68" i="37" s="1"/>
  <c r="CW15" i="37"/>
  <c r="CW44" i="37" s="1"/>
  <c r="DZ68" i="37" s="1"/>
  <c r="CW20" i="37"/>
  <c r="CW17" i="37"/>
  <c r="CW12" i="37"/>
  <c r="CW13" i="37"/>
  <c r="CW42" i="37" s="1"/>
  <c r="DX68" i="37" s="1"/>
  <c r="CW7" i="37"/>
  <c r="CW27" i="37"/>
  <c r="CW56" i="37" s="1"/>
  <c r="EL68" i="37" s="1"/>
  <c r="CW24" i="37"/>
  <c r="CW53" i="37" s="1"/>
  <c r="EI68" i="37" s="1"/>
  <c r="CW19" i="37"/>
  <c r="CW48" i="37" s="1"/>
  <c r="ED68" i="37" s="1"/>
  <c r="CW28" i="37"/>
  <c r="CW23" i="37"/>
  <c r="CW16" i="37"/>
  <c r="CW4" i="37"/>
  <c r="CW33" i="37" s="1"/>
  <c r="CW3" i="37"/>
  <c r="CW32" i="37" s="1"/>
  <c r="DN68" i="37" s="1"/>
  <c r="CU44" i="37"/>
  <c r="DZ66" i="37" s="1"/>
  <c r="CV4" i="37"/>
  <c r="CV13" i="37"/>
  <c r="CV18" i="37"/>
  <c r="CV25" i="37"/>
  <c r="CV6" i="37"/>
  <c r="CV35" i="37" s="1"/>
  <c r="CV10" i="37"/>
  <c r="CV14" i="37"/>
  <c r="CV8" i="37"/>
  <c r="CV9" i="37"/>
  <c r="CV7" i="37"/>
  <c r="CV20" i="37"/>
  <c r="CV5" i="37"/>
  <c r="CV17" i="37"/>
  <c r="CV46" i="37" s="1"/>
  <c r="EB67" i="37" s="1"/>
  <c r="CV12" i="37"/>
  <c r="CV11" i="37"/>
  <c r="CV27" i="37"/>
  <c r="CV24" i="37"/>
  <c r="CV22" i="37"/>
  <c r="CV19" i="37"/>
  <c r="CV28" i="37"/>
  <c r="CV23" i="37"/>
  <c r="CV16" i="37"/>
  <c r="CV15" i="37"/>
  <c r="CV21" i="37"/>
  <c r="CV26" i="37"/>
  <c r="CV3" i="37"/>
  <c r="AB349" i="5"/>
  <c r="Y350" i="5" s="1"/>
  <c r="AJ349" i="5"/>
  <c r="P352" i="5"/>
  <c r="O352" i="5" s="1"/>
  <c r="CJ42" i="5"/>
  <c r="CI42" i="5" s="1"/>
  <c r="CK42" i="5" s="1"/>
  <c r="CC40" i="5"/>
  <c r="CX133" i="5"/>
  <c r="CW134" i="5"/>
  <c r="DQ66" i="37"/>
  <c r="DP66" i="37"/>
  <c r="DO65" i="37"/>
  <c r="DP65" i="37"/>
  <c r="DO66" i="37"/>
  <c r="DR65" i="37"/>
  <c r="DR66" i="37"/>
  <c r="DQ65" i="37"/>
  <c r="CV31" i="37"/>
  <c r="CT58" i="37"/>
  <c r="CU58" i="37"/>
  <c r="CT29" i="37"/>
  <c r="CU29" i="37"/>
  <c r="CW37" i="37"/>
  <c r="DS68" i="37" s="1"/>
  <c r="CW45" i="37"/>
  <c r="EA68" i="37" s="1"/>
  <c r="CW52" i="37"/>
  <c r="EH68" i="37" s="1"/>
  <c r="CW46" i="37"/>
  <c r="EB68" i="37" s="1"/>
  <c r="CW51" i="37"/>
  <c r="EG68" i="37" s="1"/>
  <c r="CW40" i="37"/>
  <c r="DV68" i="37" s="1"/>
  <c r="CW34" i="37"/>
  <c r="CW36" i="37"/>
  <c r="CW41" i="37"/>
  <c r="DW68" i="37" s="1"/>
  <c r="P62" i="5"/>
  <c r="O62" i="5" s="1"/>
  <c r="Q62" i="5" s="1"/>
  <c r="AM59" i="5"/>
  <c r="AJ60" i="5" s="1"/>
  <c r="B14" i="5"/>
  <c r="Y62" i="5"/>
  <c r="X62" i="5"/>
  <c r="F13" i="5"/>
  <c r="C14" i="5" s="1"/>
  <c r="CX2" i="37"/>
  <c r="A76" i="52"/>
  <c r="O74" i="51"/>
  <c r="Q74" i="51"/>
  <c r="S74" i="51"/>
  <c r="U74" i="51"/>
  <c r="EM76" i="50"/>
  <c r="DI76" i="50"/>
  <c r="ES76" i="50"/>
  <c r="EY76" i="50"/>
  <c r="J77" i="50"/>
  <c r="A75" i="51"/>
  <c r="K55" i="50"/>
  <c r="CF54" i="50"/>
  <c r="AD53" i="51"/>
  <c r="BC38" i="41"/>
  <c r="DY24" i="41"/>
  <c r="DY26" i="41"/>
  <c r="DY15" i="41"/>
  <c r="DY21" i="41"/>
  <c r="DY6" i="41"/>
  <c r="DY14" i="41"/>
  <c r="DY7" i="41"/>
  <c r="DY17" i="41"/>
  <c r="DY5" i="41"/>
  <c r="DY9" i="41"/>
  <c r="DY3" i="41"/>
  <c r="DY22" i="41"/>
  <c r="DY20" i="41"/>
  <c r="DY27" i="41"/>
  <c r="DY10" i="41"/>
  <c r="DY12" i="41"/>
  <c r="DY16" i="41"/>
  <c r="DY25" i="41"/>
  <c r="DY19" i="41"/>
  <c r="DY23" i="41"/>
  <c r="DY13" i="41"/>
  <c r="DY18" i="41"/>
  <c r="DY4" i="41"/>
  <c r="DY8" i="41"/>
  <c r="BF11" i="41"/>
  <c r="BE36" i="41"/>
  <c r="DZ11" i="41" s="1"/>
  <c r="B54" i="17"/>
  <c r="A56" i="19"/>
  <c r="I54" i="17"/>
  <c r="B56" i="19"/>
  <c r="C64" i="24" s="1"/>
  <c r="I53" i="17"/>
  <c r="J53" i="17"/>
  <c r="B55" i="52"/>
  <c r="CW38" i="37" l="1"/>
  <c r="DT68" i="37" s="1"/>
  <c r="CW49" i="37"/>
  <c r="EE68" i="37" s="1"/>
  <c r="CX31" i="37"/>
  <c r="CX7" i="37"/>
  <c r="CX36" i="37" s="1"/>
  <c r="CX11" i="37"/>
  <c r="CX40" i="37" s="1"/>
  <c r="DV69" i="37" s="1"/>
  <c r="CX15" i="37"/>
  <c r="CX10" i="37"/>
  <c r="CX39" i="37" s="1"/>
  <c r="DU69" i="37" s="1"/>
  <c r="CX19" i="37"/>
  <c r="CX23" i="37"/>
  <c r="CX52" i="37" s="1"/>
  <c r="EH69" i="37" s="1"/>
  <c r="CX27" i="37"/>
  <c r="CX56" i="37" s="1"/>
  <c r="EL69" i="37" s="1"/>
  <c r="CX9" i="37"/>
  <c r="CX38" i="37" s="1"/>
  <c r="DT69" i="37" s="1"/>
  <c r="CX13" i="37"/>
  <c r="CX42" i="37" s="1"/>
  <c r="DX69" i="37" s="1"/>
  <c r="CX26" i="37"/>
  <c r="CX5" i="37"/>
  <c r="CX22" i="37"/>
  <c r="CX18" i="37"/>
  <c r="CX47" i="37" s="1"/>
  <c r="EC69" i="37" s="1"/>
  <c r="CX12" i="37"/>
  <c r="CX41" i="37" s="1"/>
  <c r="DW69" i="37" s="1"/>
  <c r="CX21" i="37"/>
  <c r="CX50" i="37" s="1"/>
  <c r="EF69" i="37" s="1"/>
  <c r="CX25" i="37"/>
  <c r="CX54" i="37" s="1"/>
  <c r="EJ69" i="37" s="1"/>
  <c r="CX6" i="37"/>
  <c r="CX35" i="37" s="1"/>
  <c r="CX16" i="37"/>
  <c r="CX45" i="37" s="1"/>
  <c r="EA69" i="37" s="1"/>
  <c r="CX14" i="37"/>
  <c r="CX43" i="37" s="1"/>
  <c r="DY69" i="37" s="1"/>
  <c r="CX20" i="37"/>
  <c r="CX49" i="37" s="1"/>
  <c r="EE69" i="37" s="1"/>
  <c r="CX17" i="37"/>
  <c r="CX46" i="37" s="1"/>
  <c r="EB69" i="37" s="1"/>
  <c r="CX8" i="37"/>
  <c r="CX24" i="37"/>
  <c r="CX4" i="37"/>
  <c r="CX33" i="37" s="1"/>
  <c r="CX28" i="37"/>
  <c r="CX3" i="37"/>
  <c r="CX32" i="37" s="1"/>
  <c r="DN69" i="37" s="1"/>
  <c r="CV49" i="37"/>
  <c r="EE67" i="37" s="1"/>
  <c r="Q352" i="5"/>
  <c r="N353" i="5"/>
  <c r="AA350" i="5"/>
  <c r="Z350" i="5"/>
  <c r="AB350" i="5" s="1"/>
  <c r="AL349" i="5"/>
  <c r="AK349" i="5"/>
  <c r="AM349" i="5" s="1"/>
  <c r="CG43" i="5"/>
  <c r="CH43" i="5" s="1"/>
  <c r="BW40" i="5"/>
  <c r="BV40" i="5" s="1"/>
  <c r="BX40" i="5" s="1"/>
  <c r="CW135" i="5"/>
  <c r="CX134" i="5"/>
  <c r="CV48" i="37"/>
  <c r="ED67" i="37" s="1"/>
  <c r="CV41" i="37"/>
  <c r="DW67" i="37" s="1"/>
  <c r="CV52" i="37"/>
  <c r="EH67" i="37" s="1"/>
  <c r="CV33" i="37"/>
  <c r="DO67" i="37" s="1"/>
  <c r="CV47" i="37"/>
  <c r="EC67" i="37" s="1"/>
  <c r="CV40" i="37"/>
  <c r="DV67" i="37" s="1"/>
  <c r="CV38" i="37"/>
  <c r="DT67" i="37" s="1"/>
  <c r="CV50" i="37"/>
  <c r="EF67" i="37" s="1"/>
  <c r="CV32" i="37"/>
  <c r="DN67" i="37" s="1"/>
  <c r="CV57" i="37"/>
  <c r="EM67" i="37" s="1"/>
  <c r="CV44" i="37"/>
  <c r="DZ67" i="37" s="1"/>
  <c r="CV53" i="37"/>
  <c r="EI67" i="37" s="1"/>
  <c r="CV42" i="37"/>
  <c r="DX67" i="37" s="1"/>
  <c r="CV55" i="37"/>
  <c r="EK67" i="37" s="1"/>
  <c r="CV51" i="37"/>
  <c r="EG67" i="37" s="1"/>
  <c r="CV43" i="37"/>
  <c r="DY67" i="37" s="1"/>
  <c r="CV54" i="37"/>
  <c r="EJ67" i="37" s="1"/>
  <c r="CV39" i="37"/>
  <c r="DU67" i="37" s="1"/>
  <c r="DQ68" i="37"/>
  <c r="DO68" i="37"/>
  <c r="DQ67" i="37"/>
  <c r="DR68" i="37"/>
  <c r="DP68" i="37"/>
  <c r="CW58" i="37"/>
  <c r="CV45" i="37"/>
  <c r="EA67" i="37" s="1"/>
  <c r="CV37" i="37"/>
  <c r="DS67" i="37" s="1"/>
  <c r="CV29" i="37"/>
  <c r="CV34" i="37"/>
  <c r="CV36" i="37"/>
  <c r="CV56" i="37"/>
  <c r="EL67" i="37" s="1"/>
  <c r="CX37" i="37"/>
  <c r="DS69" i="37" s="1"/>
  <c r="CX53" i="37"/>
  <c r="EI69" i="37" s="1"/>
  <c r="CX34" i="37"/>
  <c r="CX57" i="37"/>
  <c r="EM69" i="37" s="1"/>
  <c r="CX51" i="37"/>
  <c r="EG69" i="37" s="1"/>
  <c r="CX44" i="37"/>
  <c r="DZ69" i="37" s="1"/>
  <c r="CX55" i="37"/>
  <c r="EK69" i="37" s="1"/>
  <c r="CX48" i="37"/>
  <c r="ED69" i="37" s="1"/>
  <c r="CW29" i="37"/>
  <c r="AA62" i="5"/>
  <c r="Z62" i="5" s="1"/>
  <c r="AL60" i="5"/>
  <c r="AK60" i="5" s="1"/>
  <c r="E14" i="5"/>
  <c r="D14" i="5" s="1"/>
  <c r="N63" i="5"/>
  <c r="M63" i="5"/>
  <c r="CY2" i="37"/>
  <c r="A77" i="52"/>
  <c r="S75" i="51"/>
  <c r="O75" i="51"/>
  <c r="Q75" i="51"/>
  <c r="U75" i="51"/>
  <c r="EM77" i="50"/>
  <c r="EY77" i="50"/>
  <c r="DI77" i="50"/>
  <c r="ES77" i="50"/>
  <c r="J78" i="50"/>
  <c r="A76" i="51"/>
  <c r="CF55" i="50"/>
  <c r="K56" i="50"/>
  <c r="AD55" i="51" s="1"/>
  <c r="AD54" i="51"/>
  <c r="BD38" i="41"/>
  <c r="DZ24" i="41"/>
  <c r="DZ23" i="41"/>
  <c r="DZ6" i="41"/>
  <c r="DZ16" i="41"/>
  <c r="DZ21" i="41"/>
  <c r="DZ14" i="41"/>
  <c r="DZ19" i="41"/>
  <c r="DZ8" i="41"/>
  <c r="DZ10" i="41"/>
  <c r="DZ25" i="41"/>
  <c r="DZ27" i="41"/>
  <c r="DZ17" i="41"/>
  <c r="DZ15" i="41"/>
  <c r="DZ18" i="41"/>
  <c r="DZ12" i="41"/>
  <c r="DZ3" i="41"/>
  <c r="DZ13" i="41"/>
  <c r="DZ7" i="41"/>
  <c r="DZ5" i="41"/>
  <c r="DZ4" i="41"/>
  <c r="DZ9" i="41"/>
  <c r="DZ20" i="41"/>
  <c r="DZ26" i="41"/>
  <c r="DZ22" i="41"/>
  <c r="BG11" i="41"/>
  <c r="BF36" i="41"/>
  <c r="EA11" i="41" s="1"/>
  <c r="B56" i="52"/>
  <c r="B55" i="17"/>
  <c r="A57" i="19"/>
  <c r="J54" i="17"/>
  <c r="B57" i="19"/>
  <c r="C65" i="24" s="1"/>
  <c r="CY31" i="37" l="1"/>
  <c r="CY14" i="37"/>
  <c r="CY9" i="37"/>
  <c r="CY38" i="37" s="1"/>
  <c r="DT70" i="37" s="1"/>
  <c r="CY13" i="37"/>
  <c r="CY42" i="37" s="1"/>
  <c r="DX70" i="37" s="1"/>
  <c r="CY26" i="37"/>
  <c r="CY5" i="37"/>
  <c r="CY4" i="37"/>
  <c r="CY33" i="37" s="1"/>
  <c r="CY17" i="37"/>
  <c r="CY46" i="37" s="1"/>
  <c r="EB70" i="37" s="1"/>
  <c r="CY10" i="37"/>
  <c r="CY39" i="37" s="1"/>
  <c r="DU70" i="37" s="1"/>
  <c r="CY11" i="37"/>
  <c r="CY40" i="37" s="1"/>
  <c r="DV70" i="37" s="1"/>
  <c r="CY12" i="37"/>
  <c r="CY41" i="37" s="1"/>
  <c r="DW70" i="37" s="1"/>
  <c r="CY21" i="37"/>
  <c r="CY50" i="37" s="1"/>
  <c r="EF70" i="37" s="1"/>
  <c r="CY23" i="37"/>
  <c r="CY25" i="37"/>
  <c r="CY15" i="37"/>
  <c r="CY44" i="37" s="1"/>
  <c r="DZ70" i="37" s="1"/>
  <c r="CY16" i="37"/>
  <c r="CY45" i="37" s="1"/>
  <c r="EA70" i="37" s="1"/>
  <c r="CY20" i="37"/>
  <c r="CY49" i="37" s="1"/>
  <c r="EE70" i="37" s="1"/>
  <c r="CY18" i="37"/>
  <c r="CY47" i="37" s="1"/>
  <c r="EC70" i="37" s="1"/>
  <c r="CY7" i="37"/>
  <c r="CY36" i="37" s="1"/>
  <c r="CY8" i="37"/>
  <c r="CY27" i="37"/>
  <c r="CY56" i="37" s="1"/>
  <c r="EL70" i="37" s="1"/>
  <c r="CY22" i="37"/>
  <c r="CY51" i="37" s="1"/>
  <c r="EG70" i="37" s="1"/>
  <c r="CY24" i="37"/>
  <c r="CY53" i="37" s="1"/>
  <c r="EI70" i="37" s="1"/>
  <c r="CY6" i="37"/>
  <c r="CY35" i="37" s="1"/>
  <c r="CY28" i="37"/>
  <c r="CY19" i="37"/>
  <c r="CY3" i="37"/>
  <c r="P353" i="5"/>
  <c r="O353" i="5" s="1"/>
  <c r="Y351" i="5"/>
  <c r="AJ350" i="5"/>
  <c r="CP43" i="5"/>
  <c r="BT41" i="5"/>
  <c r="BU41" i="5" s="1"/>
  <c r="X63" i="5"/>
  <c r="AB62" i="5"/>
  <c r="Y63" i="5" s="1"/>
  <c r="AA63" i="5" s="1"/>
  <c r="Z63" i="5" s="1"/>
  <c r="CW136" i="5"/>
  <c r="CX135" i="5"/>
  <c r="DR67" i="37"/>
  <c r="DQ69" i="37"/>
  <c r="DP67" i="37"/>
  <c r="DP69" i="37"/>
  <c r="DO69" i="37"/>
  <c r="DR69" i="37"/>
  <c r="CV58" i="37"/>
  <c r="CX58" i="37"/>
  <c r="CY55" i="37"/>
  <c r="EK70" i="37" s="1"/>
  <c r="CY34" i="37"/>
  <c r="CY32" i="37"/>
  <c r="DN70" i="37" s="1"/>
  <c r="CY37" i="37"/>
  <c r="DS70" i="37" s="1"/>
  <c r="CY43" i="37"/>
  <c r="DY70" i="37" s="1"/>
  <c r="CY48" i="37"/>
  <c r="ED70" i="37" s="1"/>
  <c r="CY54" i="37"/>
  <c r="EJ70" i="37" s="1"/>
  <c r="CY57" i="37"/>
  <c r="EM70" i="37" s="1"/>
  <c r="CY52" i="37"/>
  <c r="EH70" i="37" s="1"/>
  <c r="CX29" i="37"/>
  <c r="AM60" i="5"/>
  <c r="AJ61" i="5" s="1"/>
  <c r="AI61" i="5"/>
  <c r="F14" i="5"/>
  <c r="C15" i="5" s="1"/>
  <c r="P63" i="5"/>
  <c r="O63" i="5" s="1"/>
  <c r="M64" i="5" s="1"/>
  <c r="B15" i="5"/>
  <c r="CZ2" i="37"/>
  <c r="U76" i="51"/>
  <c r="Q76" i="51"/>
  <c r="S76" i="51"/>
  <c r="O76" i="51"/>
  <c r="A78" i="52"/>
  <c r="EM78" i="50"/>
  <c r="EY78" i="50"/>
  <c r="ES78" i="50"/>
  <c r="DI78" i="50"/>
  <c r="J79" i="50"/>
  <c r="A77" i="51"/>
  <c r="CF56" i="50"/>
  <c r="K57" i="50"/>
  <c r="EA24" i="41"/>
  <c r="EA22" i="41"/>
  <c r="EA16" i="41"/>
  <c r="EA18" i="41"/>
  <c r="EA27" i="41"/>
  <c r="EA20" i="41"/>
  <c r="EA4" i="41"/>
  <c r="EA26" i="41"/>
  <c r="EA21" i="41"/>
  <c r="EA7" i="41"/>
  <c r="EA5" i="41"/>
  <c r="EA15" i="41"/>
  <c r="EA19" i="41"/>
  <c r="EA3" i="41"/>
  <c r="EA17" i="41"/>
  <c r="EA6" i="41"/>
  <c r="EA9" i="41"/>
  <c r="EA25" i="41"/>
  <c r="EA8" i="41"/>
  <c r="EA13" i="41"/>
  <c r="EA14" i="41"/>
  <c r="EA12" i="41"/>
  <c r="EA23" i="41"/>
  <c r="EA10" i="41"/>
  <c r="BE38" i="41"/>
  <c r="BH11" i="41"/>
  <c r="BG36" i="41"/>
  <c r="EB11" i="41" s="1"/>
  <c r="I55" i="17"/>
  <c r="J55" i="17"/>
  <c r="B56" i="17"/>
  <c r="B57" i="52"/>
  <c r="A58" i="19"/>
  <c r="B58" i="19"/>
  <c r="C66" i="24" s="1"/>
  <c r="CZ31" i="37" l="1"/>
  <c r="CZ19" i="37"/>
  <c r="CZ9" i="37"/>
  <c r="CZ13" i="37"/>
  <c r="CZ42" i="37" s="1"/>
  <c r="DX71" i="37" s="1"/>
  <c r="CZ22" i="37"/>
  <c r="CZ51" i="37" s="1"/>
  <c r="EG71" i="37" s="1"/>
  <c r="CZ4" i="37"/>
  <c r="CZ17" i="37"/>
  <c r="CZ46" i="37" s="1"/>
  <c r="EB71" i="37" s="1"/>
  <c r="CZ26" i="37"/>
  <c r="CZ55" i="37" s="1"/>
  <c r="EK71" i="37" s="1"/>
  <c r="CZ10" i="37"/>
  <c r="CZ39" i="37" s="1"/>
  <c r="DU71" i="37" s="1"/>
  <c r="CZ11" i="37"/>
  <c r="CZ40" i="37" s="1"/>
  <c r="DV71" i="37" s="1"/>
  <c r="CZ12" i="37"/>
  <c r="CZ41" i="37" s="1"/>
  <c r="DW71" i="37" s="1"/>
  <c r="CZ5" i="37"/>
  <c r="CZ34" i="37" s="1"/>
  <c r="CZ23" i="37"/>
  <c r="CZ52" i="37" s="1"/>
  <c r="EH71" i="37" s="1"/>
  <c r="CZ25" i="37"/>
  <c r="CZ14" i="37"/>
  <c r="CZ43" i="37" s="1"/>
  <c r="DY71" i="37" s="1"/>
  <c r="CZ15" i="37"/>
  <c r="CZ44" i="37" s="1"/>
  <c r="DZ71" i="37" s="1"/>
  <c r="CZ16" i="37"/>
  <c r="CZ20" i="37"/>
  <c r="CZ18" i="37"/>
  <c r="CZ47" i="37" s="1"/>
  <c r="EC71" i="37" s="1"/>
  <c r="CZ7" i="37"/>
  <c r="CZ36" i="37" s="1"/>
  <c r="CZ8" i="37"/>
  <c r="CZ37" i="37" s="1"/>
  <c r="DS71" i="37" s="1"/>
  <c r="CZ27" i="37"/>
  <c r="CZ56" i="37" s="1"/>
  <c r="EL71" i="37" s="1"/>
  <c r="CZ24" i="37"/>
  <c r="CZ53" i="37" s="1"/>
  <c r="EI71" i="37" s="1"/>
  <c r="CZ6" i="37"/>
  <c r="CZ35" i="37" s="1"/>
  <c r="CZ28" i="37"/>
  <c r="CZ21" i="37"/>
  <c r="CZ3" i="37"/>
  <c r="CZ32" i="37" s="1"/>
  <c r="DN71" i="37" s="1"/>
  <c r="Q353" i="5"/>
  <c r="N354" i="5" s="1"/>
  <c r="AA351" i="5"/>
  <c r="Z351" i="5" s="1"/>
  <c r="AK350" i="5"/>
  <c r="AM350" i="5" s="1"/>
  <c r="AL350" i="5"/>
  <c r="CJ43" i="5"/>
  <c r="CI43" i="5" s="1"/>
  <c r="CK43" i="5" s="1"/>
  <c r="CC41" i="5"/>
  <c r="X64" i="5"/>
  <c r="AB63" i="5"/>
  <c r="Y64" i="5" s="1"/>
  <c r="AA64" i="5" s="1"/>
  <c r="Z64" i="5" s="1"/>
  <c r="CX136" i="5"/>
  <c r="CW137" i="5"/>
  <c r="DR70" i="37"/>
  <c r="DP70" i="37"/>
  <c r="DO70" i="37"/>
  <c r="DQ70" i="37"/>
  <c r="CY58" i="37"/>
  <c r="CY29" i="37"/>
  <c r="CZ54" i="37"/>
  <c r="EJ71" i="37" s="1"/>
  <c r="CZ45" i="37"/>
  <c r="EA71" i="37" s="1"/>
  <c r="CZ48" i="37"/>
  <c r="ED71" i="37" s="1"/>
  <c r="CZ38" i="37"/>
  <c r="DT71" i="37" s="1"/>
  <c r="CZ33" i="37"/>
  <c r="CZ57" i="37"/>
  <c r="EM71" i="37" s="1"/>
  <c r="CZ50" i="37"/>
  <c r="EF71" i="37" s="1"/>
  <c r="CZ49" i="37"/>
  <c r="EE71" i="37" s="1"/>
  <c r="AL61" i="5"/>
  <c r="AK61" i="5" s="1"/>
  <c r="AM61" i="5" s="1"/>
  <c r="AJ62" i="5" s="1"/>
  <c r="E15" i="5"/>
  <c r="D15" i="5" s="1"/>
  <c r="Q63" i="5"/>
  <c r="N64" i="5" s="1"/>
  <c r="DA2" i="37"/>
  <c r="O77" i="51"/>
  <c r="Q77" i="51"/>
  <c r="S77" i="51"/>
  <c r="U77" i="51"/>
  <c r="J80" i="50"/>
  <c r="A79" i="52"/>
  <c r="EM79" i="50"/>
  <c r="S115" i="51"/>
  <c r="U121" i="51"/>
  <c r="U111" i="51"/>
  <c r="Q92" i="51"/>
  <c r="Q85" i="51"/>
  <c r="S109" i="51"/>
  <c r="O107" i="51"/>
  <c r="Q86" i="51"/>
  <c r="O112" i="51"/>
  <c r="S110" i="51"/>
  <c r="U103" i="51"/>
  <c r="U99" i="51"/>
  <c r="S118" i="51"/>
  <c r="O115" i="51"/>
  <c r="U102" i="51"/>
  <c r="O87" i="51"/>
  <c r="Q103" i="51"/>
  <c r="Q88" i="51"/>
  <c r="O84" i="51"/>
  <c r="O116" i="51"/>
  <c r="U95" i="51"/>
  <c r="Q111" i="51"/>
  <c r="Q90" i="51"/>
  <c r="Q109" i="51"/>
  <c r="U87" i="51"/>
  <c r="Q106" i="51"/>
  <c r="U92" i="51"/>
  <c r="O119" i="51"/>
  <c r="S119" i="51"/>
  <c r="S107" i="51"/>
  <c r="U115" i="51"/>
  <c r="U104" i="51"/>
  <c r="U116" i="51"/>
  <c r="S95" i="51"/>
  <c r="Q93" i="51"/>
  <c r="O99" i="51"/>
  <c r="S117" i="51"/>
  <c r="S99" i="51"/>
  <c r="U118" i="51"/>
  <c r="U107" i="51"/>
  <c r="U89" i="51"/>
  <c r="U85" i="51"/>
  <c r="U84" i="51"/>
  <c r="S89" i="51"/>
  <c r="Q94" i="51"/>
  <c r="Q96" i="51"/>
  <c r="S84" i="51"/>
  <c r="S90" i="51"/>
  <c r="O101" i="51"/>
  <c r="S91" i="51"/>
  <c r="S102" i="51"/>
  <c r="O104" i="51"/>
  <c r="S106" i="51"/>
  <c r="O108" i="51"/>
  <c r="O105" i="51"/>
  <c r="S98" i="51"/>
  <c r="Q84" i="51"/>
  <c r="U100" i="51"/>
  <c r="Q121" i="51"/>
  <c r="U98" i="51"/>
  <c r="S96" i="51"/>
  <c r="O96" i="51"/>
  <c r="S103" i="51"/>
  <c r="S104" i="51"/>
  <c r="Q113" i="51"/>
  <c r="U112" i="51"/>
  <c r="U90" i="51"/>
  <c r="Q117" i="51"/>
  <c r="S121" i="51"/>
  <c r="S111" i="51"/>
  <c r="U109" i="51"/>
  <c r="Q105" i="51"/>
  <c r="Q95" i="51"/>
  <c r="O111" i="51"/>
  <c r="O100" i="51"/>
  <c r="Q98" i="51"/>
  <c r="Q119" i="51"/>
  <c r="O91" i="51"/>
  <c r="O88" i="51"/>
  <c r="O102" i="51"/>
  <c r="Q89" i="51"/>
  <c r="O97" i="51"/>
  <c r="S86" i="51"/>
  <c r="U114" i="51"/>
  <c r="Q110" i="51"/>
  <c r="U117" i="51"/>
  <c r="Q104" i="51"/>
  <c r="O89" i="51"/>
  <c r="O114" i="51"/>
  <c r="O95" i="51"/>
  <c r="Q87" i="51"/>
  <c r="S94" i="51"/>
  <c r="O121" i="51"/>
  <c r="O117" i="51"/>
  <c r="Q120" i="51"/>
  <c r="U96" i="51"/>
  <c r="Q118" i="51"/>
  <c r="Q115" i="51"/>
  <c r="U88" i="51"/>
  <c r="Q91" i="51"/>
  <c r="O113" i="51"/>
  <c r="U93" i="51"/>
  <c r="S85" i="51"/>
  <c r="O85" i="51"/>
  <c r="Q101" i="51"/>
  <c r="S114" i="51"/>
  <c r="O109" i="51"/>
  <c r="O86" i="51"/>
  <c r="Q97" i="51"/>
  <c r="U97" i="51"/>
  <c r="S100" i="51"/>
  <c r="O110" i="51"/>
  <c r="U119" i="51"/>
  <c r="O94" i="51"/>
  <c r="O118" i="51"/>
  <c r="O98" i="51"/>
  <c r="Q99" i="51"/>
  <c r="Q107" i="51"/>
  <c r="Q108" i="51"/>
  <c r="Q112" i="51"/>
  <c r="S87" i="51"/>
  <c r="Q100" i="51"/>
  <c r="S108" i="51"/>
  <c r="O90" i="51"/>
  <c r="U110" i="51"/>
  <c r="S97" i="51"/>
  <c r="S120" i="51"/>
  <c r="Q102" i="51"/>
  <c r="U108" i="51"/>
  <c r="U86" i="51"/>
  <c r="O92" i="51"/>
  <c r="S113" i="51"/>
  <c r="S105" i="51"/>
  <c r="U105" i="51"/>
  <c r="O120" i="51"/>
  <c r="Q114" i="51"/>
  <c r="U94" i="51"/>
  <c r="U101" i="51"/>
  <c r="O93" i="51"/>
  <c r="Q116" i="51"/>
  <c r="S88" i="51"/>
  <c r="U106" i="51"/>
  <c r="S93" i="51"/>
  <c r="S101" i="51"/>
  <c r="S116" i="51"/>
  <c r="U120" i="51"/>
  <c r="S112" i="51"/>
  <c r="O103" i="51"/>
  <c r="U113" i="51"/>
  <c r="S92" i="51"/>
  <c r="U91" i="51"/>
  <c r="O106" i="51"/>
  <c r="ES79" i="50"/>
  <c r="EY79" i="50"/>
  <c r="DI79" i="50"/>
  <c r="A78" i="51"/>
  <c r="CF57" i="50"/>
  <c r="AD56" i="51"/>
  <c r="K58" i="50"/>
  <c r="AD57" i="51" s="1"/>
  <c r="EB24" i="41"/>
  <c r="EB27" i="41"/>
  <c r="EB17" i="41"/>
  <c r="EB23" i="41"/>
  <c r="EB6" i="41"/>
  <c r="EB18" i="41"/>
  <c r="EB12" i="41"/>
  <c r="EB3" i="41"/>
  <c r="EB16" i="41"/>
  <c r="EB7" i="41"/>
  <c r="EB19" i="41"/>
  <c r="EB5" i="41"/>
  <c r="EB10" i="41"/>
  <c r="EB26" i="41"/>
  <c r="EB22" i="41"/>
  <c r="EB15" i="41"/>
  <c r="EB13" i="41"/>
  <c r="EB21" i="41"/>
  <c r="EB14" i="41"/>
  <c r="EB8" i="41"/>
  <c r="EB4" i="41"/>
  <c r="EB9" i="41"/>
  <c r="EB20" i="41"/>
  <c r="EB25" i="41"/>
  <c r="BI11" i="41"/>
  <c r="BH36" i="41"/>
  <c r="EC11" i="41" s="1"/>
  <c r="BF38" i="41"/>
  <c r="I56" i="17"/>
  <c r="B58" i="52"/>
  <c r="B57" i="17"/>
  <c r="J56" i="17"/>
  <c r="A59" i="19"/>
  <c r="B59" i="19"/>
  <c r="C67" i="24" s="1"/>
  <c r="DA31" i="37" l="1"/>
  <c r="DA6" i="37"/>
  <c r="DA10" i="37"/>
  <c r="DA14" i="37"/>
  <c r="DA43" i="37" s="1"/>
  <c r="DY72" i="37" s="1"/>
  <c r="DA7" i="37"/>
  <c r="DA36" i="37" s="1"/>
  <c r="DA18" i="37"/>
  <c r="DA22" i="37"/>
  <c r="DA51" i="37" s="1"/>
  <c r="EG72" i="37" s="1"/>
  <c r="DA26" i="37"/>
  <c r="DA55" i="37" s="1"/>
  <c r="EK72" i="37" s="1"/>
  <c r="DA8" i="37"/>
  <c r="DA37" i="37" s="1"/>
  <c r="DS72" i="37" s="1"/>
  <c r="DA12" i="37"/>
  <c r="DA41" i="37" s="1"/>
  <c r="DW72" i="37" s="1"/>
  <c r="DA16" i="37"/>
  <c r="DA45" i="37" s="1"/>
  <c r="EA72" i="37" s="1"/>
  <c r="DA23" i="37"/>
  <c r="DA52" i="37" s="1"/>
  <c r="EH72" i="37" s="1"/>
  <c r="DA19" i="37"/>
  <c r="DA13" i="37"/>
  <c r="DA42" i="37" s="1"/>
  <c r="DX72" i="37" s="1"/>
  <c r="DA15" i="37"/>
  <c r="DA27" i="37"/>
  <c r="DA4" i="37"/>
  <c r="DA17" i="37"/>
  <c r="DA28" i="37"/>
  <c r="DA57" i="37" s="1"/>
  <c r="EM72" i="37" s="1"/>
  <c r="DA5" i="37"/>
  <c r="DA34" i="37" s="1"/>
  <c r="DA25" i="37"/>
  <c r="DA54" i="37" s="1"/>
  <c r="EJ72" i="37" s="1"/>
  <c r="DA9" i="37"/>
  <c r="DA38" i="37" s="1"/>
  <c r="DT72" i="37" s="1"/>
  <c r="DA11" i="37"/>
  <c r="DA40" i="37" s="1"/>
  <c r="DV72" i="37" s="1"/>
  <c r="DA20" i="37"/>
  <c r="DA49" i="37" s="1"/>
  <c r="EE72" i="37" s="1"/>
  <c r="DA21" i="37"/>
  <c r="DA24" i="37"/>
  <c r="DA3" i="37"/>
  <c r="EM80" i="50"/>
  <c r="AB351" i="5"/>
  <c r="Y352" i="5"/>
  <c r="P354" i="5"/>
  <c r="O354" i="5"/>
  <c r="Q354" i="5" s="1"/>
  <c r="AJ351" i="5"/>
  <c r="CG44" i="5"/>
  <c r="CH44" i="5" s="1"/>
  <c r="BW41" i="5"/>
  <c r="BV41" i="5" s="1"/>
  <c r="BX41" i="5" s="1"/>
  <c r="CW138" i="5"/>
  <c r="CX137" i="5"/>
  <c r="DO71" i="37"/>
  <c r="DQ71" i="37"/>
  <c r="DR71" i="37"/>
  <c r="DP71" i="37"/>
  <c r="CZ58" i="37"/>
  <c r="CZ29" i="37"/>
  <c r="DA39" i="37"/>
  <c r="DU72" i="37" s="1"/>
  <c r="DA53" i="37"/>
  <c r="EI72" i="37" s="1"/>
  <c r="DA56" i="37"/>
  <c r="EL72" i="37" s="1"/>
  <c r="DA48" i="37"/>
  <c r="ED72" i="37" s="1"/>
  <c r="DA46" i="37"/>
  <c r="EB72" i="37" s="1"/>
  <c r="DA44" i="37"/>
  <c r="DZ72" i="37" s="1"/>
  <c r="DA50" i="37"/>
  <c r="EF72" i="37" s="1"/>
  <c r="DA35" i="37"/>
  <c r="DA32" i="37"/>
  <c r="DN72" i="37" s="1"/>
  <c r="DA47" i="37"/>
  <c r="EC72" i="37" s="1"/>
  <c r="DA33" i="37"/>
  <c r="P64" i="5"/>
  <c r="O64" i="5" s="1"/>
  <c r="Q64" i="5" s="1"/>
  <c r="AI62" i="5"/>
  <c r="AL62" i="5"/>
  <c r="AK62" i="5" s="1"/>
  <c r="F15" i="5"/>
  <c r="C16" i="5" s="1"/>
  <c r="B16" i="5"/>
  <c r="E16" i="5"/>
  <c r="AB64" i="5"/>
  <c r="Y65" i="5" s="1"/>
  <c r="X65" i="5"/>
  <c r="DB2" i="37"/>
  <c r="O78" i="51"/>
  <c r="Q78" i="51"/>
  <c r="S78" i="51"/>
  <c r="U78" i="51"/>
  <c r="EY80" i="50"/>
  <c r="ES80" i="50"/>
  <c r="DI80" i="50"/>
  <c r="A79" i="51"/>
  <c r="K59" i="50"/>
  <c r="CF58" i="50"/>
  <c r="BG38" i="41"/>
  <c r="EC24" i="41"/>
  <c r="EC7" i="41"/>
  <c r="EC3" i="41"/>
  <c r="EC5" i="41"/>
  <c r="EC21" i="41"/>
  <c r="EC23" i="41"/>
  <c r="EC12" i="41"/>
  <c r="EC19" i="41"/>
  <c r="EC18" i="41"/>
  <c r="EC6" i="41"/>
  <c r="EC20" i="41"/>
  <c r="EC4" i="41"/>
  <c r="EC25" i="41"/>
  <c r="EC26" i="41"/>
  <c r="EC16" i="41"/>
  <c r="EC14" i="41"/>
  <c r="EC27" i="41"/>
  <c r="EC10" i="41"/>
  <c r="EC13" i="41"/>
  <c r="EC9" i="41"/>
  <c r="EC8" i="41"/>
  <c r="EC17" i="41"/>
  <c r="EC15" i="41"/>
  <c r="EC22" i="41"/>
  <c r="BJ11" i="41"/>
  <c r="BI36" i="41"/>
  <c r="ED11" i="41" s="1"/>
  <c r="B58" i="17"/>
  <c r="B59" i="52"/>
  <c r="J57" i="17"/>
  <c r="I57" i="17"/>
  <c r="DB31" i="37" l="1"/>
  <c r="DB4" i="37"/>
  <c r="DB11" i="37"/>
  <c r="DB27" i="37"/>
  <c r="DB8" i="37"/>
  <c r="DB37" i="37" s="1"/>
  <c r="DS73" i="37" s="1"/>
  <c r="DB12" i="37"/>
  <c r="DB16" i="37"/>
  <c r="DB45" i="37" s="1"/>
  <c r="EA73" i="37" s="1"/>
  <c r="DB23" i="37"/>
  <c r="DB52" i="37" s="1"/>
  <c r="EH73" i="37" s="1"/>
  <c r="DB14" i="37"/>
  <c r="DB13" i="37"/>
  <c r="DB42" i="37" s="1"/>
  <c r="DX73" i="37" s="1"/>
  <c r="DB15" i="37"/>
  <c r="DB44" i="37" s="1"/>
  <c r="DZ73" i="37" s="1"/>
  <c r="DB22" i="37"/>
  <c r="DB51" i="37" s="1"/>
  <c r="EG73" i="37" s="1"/>
  <c r="DB26" i="37"/>
  <c r="DB28" i="37"/>
  <c r="DB5" i="37"/>
  <c r="DB10" i="37"/>
  <c r="DB17" i="37"/>
  <c r="DB25" i="37"/>
  <c r="DB9" i="37"/>
  <c r="DB38" i="37" s="1"/>
  <c r="DT73" i="37" s="1"/>
  <c r="DB18" i="37"/>
  <c r="DB47" i="37" s="1"/>
  <c r="EC73" i="37" s="1"/>
  <c r="DB20" i="37"/>
  <c r="DB49" i="37" s="1"/>
  <c r="EE73" i="37" s="1"/>
  <c r="DB7" i="37"/>
  <c r="DB36" i="37" s="1"/>
  <c r="DB21" i="37"/>
  <c r="DB50" i="37" s="1"/>
  <c r="EF73" i="37" s="1"/>
  <c r="DB6" i="37"/>
  <c r="DB35" i="37" s="1"/>
  <c r="DB19" i="37"/>
  <c r="DB24" i="37"/>
  <c r="DB3" i="37"/>
  <c r="AL351" i="5"/>
  <c r="AK351" i="5" s="1"/>
  <c r="AA352" i="5"/>
  <c r="Z352" i="5"/>
  <c r="AB352" i="5" s="1"/>
  <c r="N355" i="5"/>
  <c r="CP44" i="5"/>
  <c r="BT42" i="5"/>
  <c r="BU42" i="5" s="1"/>
  <c r="N65" i="5"/>
  <c r="M65" i="5"/>
  <c r="CX138" i="5"/>
  <c r="CW139" i="5"/>
  <c r="DQ72" i="37"/>
  <c r="DR72" i="37"/>
  <c r="DO72" i="37"/>
  <c r="DP72" i="37"/>
  <c r="DA58" i="37"/>
  <c r="DA29" i="37"/>
  <c r="DB55" i="37"/>
  <c r="EK73" i="37" s="1"/>
  <c r="DB56" i="37"/>
  <c r="EL73" i="37" s="1"/>
  <c r="DB32" i="37"/>
  <c r="DN73" i="37" s="1"/>
  <c r="DB43" i="37"/>
  <c r="DY73" i="37" s="1"/>
  <c r="DB41" i="37"/>
  <c r="DW73" i="37" s="1"/>
  <c r="DB53" i="37"/>
  <c r="EI73" i="37" s="1"/>
  <c r="DB40" i="37"/>
  <c r="DV73" i="37" s="1"/>
  <c r="DB48" i="37"/>
  <c r="ED73" i="37" s="1"/>
  <c r="DB34" i="37"/>
  <c r="DB39" i="37"/>
  <c r="DU73" i="37" s="1"/>
  <c r="DB46" i="37"/>
  <c r="EB73" i="37" s="1"/>
  <c r="P65" i="5"/>
  <c r="O65" i="5"/>
  <c r="AM62" i="5"/>
  <c r="AJ63" i="5" s="1"/>
  <c r="AI63" i="5"/>
  <c r="D16" i="5"/>
  <c r="AA65" i="5"/>
  <c r="Z65" i="5" s="1"/>
  <c r="X66" i="5" s="1"/>
  <c r="F16" i="5"/>
  <c r="C17" i="5" s="1"/>
  <c r="DC2" i="37"/>
  <c r="S79" i="51"/>
  <c r="Q79" i="51"/>
  <c r="U79" i="51"/>
  <c r="O79" i="51"/>
  <c r="A80" i="51"/>
  <c r="K60" i="50"/>
  <c r="CF59" i="50"/>
  <c r="AD58" i="51"/>
  <c r="BH38" i="41"/>
  <c r="ED24" i="41"/>
  <c r="ED10" i="41"/>
  <c r="ED7" i="41"/>
  <c r="ED26" i="41"/>
  <c r="ED19" i="41"/>
  <c r="ED5" i="41"/>
  <c r="ED15" i="41"/>
  <c r="ED9" i="41"/>
  <c r="ED6" i="41"/>
  <c r="ED17" i="41"/>
  <c r="ED25" i="41"/>
  <c r="ED18" i="41"/>
  <c r="ED4" i="41"/>
  <c r="ED12" i="41"/>
  <c r="ED16" i="41"/>
  <c r="ED23" i="41"/>
  <c r="ED8" i="41"/>
  <c r="ED14" i="41"/>
  <c r="ED27" i="41"/>
  <c r="ED3" i="41"/>
  <c r="ED20" i="41"/>
  <c r="ED22" i="41"/>
  <c r="ED21" i="41"/>
  <c r="ED13" i="41"/>
  <c r="BK11" i="41"/>
  <c r="BJ36" i="41"/>
  <c r="EE11" i="41" s="1"/>
  <c r="B59" i="17"/>
  <c r="J58" i="17"/>
  <c r="I58" i="17"/>
  <c r="DB54" i="37" l="1"/>
  <c r="EJ73" i="37" s="1"/>
  <c r="DB57" i="37"/>
  <c r="EM73" i="37" s="1"/>
  <c r="DC31" i="37"/>
  <c r="DC15" i="37"/>
  <c r="DC4" i="37"/>
  <c r="DC20" i="37"/>
  <c r="DC49" i="37" s="1"/>
  <c r="EE74" i="37" s="1"/>
  <c r="DC27" i="37"/>
  <c r="DC56" i="37" s="1"/>
  <c r="EL74" i="37" s="1"/>
  <c r="DC8" i="37"/>
  <c r="DC37" i="37" s="1"/>
  <c r="DS74" i="37" s="1"/>
  <c r="DC12" i="37"/>
  <c r="DC16" i="37"/>
  <c r="DC45" i="37" s="1"/>
  <c r="EA74" i="37" s="1"/>
  <c r="DC14" i="37"/>
  <c r="DC43" i="37" s="1"/>
  <c r="DY74" i="37" s="1"/>
  <c r="DC13" i="37"/>
  <c r="DC42" i="37" s="1"/>
  <c r="DX74" i="37" s="1"/>
  <c r="DC22" i="37"/>
  <c r="DC21" i="37"/>
  <c r="DC23" i="37"/>
  <c r="DC28" i="37"/>
  <c r="DC5" i="37"/>
  <c r="DC34" i="37" s="1"/>
  <c r="DC10" i="37"/>
  <c r="DC11" i="37"/>
  <c r="DC17" i="37"/>
  <c r="DC25" i="37"/>
  <c r="DC54" i="37" s="1"/>
  <c r="EJ74" i="37" s="1"/>
  <c r="DC9" i="37"/>
  <c r="DC38" i="37" s="1"/>
  <c r="DT74" i="37" s="1"/>
  <c r="DC18" i="37"/>
  <c r="DC47" i="37" s="1"/>
  <c r="EC74" i="37" s="1"/>
  <c r="DC7" i="37"/>
  <c r="DC36" i="37" s="1"/>
  <c r="DC6" i="37"/>
  <c r="DC19" i="37"/>
  <c r="DC24" i="37"/>
  <c r="DC26" i="37"/>
  <c r="DC3" i="37"/>
  <c r="DC32" i="37" s="1"/>
  <c r="DN74" i="37" s="1"/>
  <c r="DB33" i="37"/>
  <c r="O80" i="51"/>
  <c r="U80" i="51"/>
  <c r="Q80" i="51"/>
  <c r="S80" i="51"/>
  <c r="AM351" i="5"/>
  <c r="AJ352" i="5"/>
  <c r="P355" i="5"/>
  <c r="O355" i="5"/>
  <c r="Q355" i="5" s="1"/>
  <c r="N356" i="5"/>
  <c r="Y353" i="5"/>
  <c r="CJ44" i="5"/>
  <c r="CI44" i="5" s="1"/>
  <c r="CC42" i="5"/>
  <c r="M66" i="5"/>
  <c r="CX139" i="5"/>
  <c r="CW140" i="5"/>
  <c r="DP73" i="37"/>
  <c r="DO73" i="37"/>
  <c r="DR73" i="37"/>
  <c r="DQ73" i="37"/>
  <c r="DB58" i="37"/>
  <c r="DB29" i="37"/>
  <c r="DC44" i="37"/>
  <c r="DZ74" i="37" s="1"/>
  <c r="DC57" i="37"/>
  <c r="EM74" i="37" s="1"/>
  <c r="DC53" i="37"/>
  <c r="EI74" i="37" s="1"/>
  <c r="DC40" i="37"/>
  <c r="DV74" i="37" s="1"/>
  <c r="DC41" i="37"/>
  <c r="DW74" i="37" s="1"/>
  <c r="DC55" i="37"/>
  <c r="EK74" i="37" s="1"/>
  <c r="DC33" i="37"/>
  <c r="DC39" i="37"/>
  <c r="DU74" i="37" s="1"/>
  <c r="DC52" i="37"/>
  <c r="EH74" i="37" s="1"/>
  <c r="DC50" i="37"/>
  <c r="EF74" i="37" s="1"/>
  <c r="DC48" i="37"/>
  <c r="ED74" i="37" s="1"/>
  <c r="DC46" i="37"/>
  <c r="EB74" i="37" s="1"/>
  <c r="K62" i="50"/>
  <c r="AL63" i="5"/>
  <c r="AK63" i="5" s="1"/>
  <c r="B17" i="5"/>
  <c r="E17" i="5"/>
  <c r="D17" i="5" s="1"/>
  <c r="AB65" i="5"/>
  <c r="Y66" i="5" s="1"/>
  <c r="Q65" i="5"/>
  <c r="N66" i="5" s="1"/>
  <c r="DD2" i="37"/>
  <c r="B60" i="52"/>
  <c r="K61" i="50"/>
  <c r="A81" i="51"/>
  <c r="CF60" i="50"/>
  <c r="AD59" i="51"/>
  <c r="BI38" i="41"/>
  <c r="EE24" i="41"/>
  <c r="EE21" i="41"/>
  <c r="EE23" i="41"/>
  <c r="EE25" i="41"/>
  <c r="EE22" i="41"/>
  <c r="EE4" i="41"/>
  <c r="EE3" i="41"/>
  <c r="EE10" i="41"/>
  <c r="EE18" i="41"/>
  <c r="EE16" i="41"/>
  <c r="EE20" i="41"/>
  <c r="EE14" i="41"/>
  <c r="EE26" i="41"/>
  <c r="EE17" i="41"/>
  <c r="EE15" i="41"/>
  <c r="EE7" i="41"/>
  <c r="EE9" i="41"/>
  <c r="EE6" i="41"/>
  <c r="EE13" i="41"/>
  <c r="EE5" i="41"/>
  <c r="EE19" i="41"/>
  <c r="EE8" i="41"/>
  <c r="EE12" i="41"/>
  <c r="EE27" i="41"/>
  <c r="BL11" i="41"/>
  <c r="BK36" i="41"/>
  <c r="EF11" i="41" s="1"/>
  <c r="I59" i="17"/>
  <c r="J59" i="17"/>
  <c r="B60" i="17"/>
  <c r="DC35" i="37" l="1"/>
  <c r="DC51" i="37"/>
  <c r="EG74" i="37" s="1"/>
  <c r="DD31" i="37"/>
  <c r="DD5" i="37"/>
  <c r="DD9" i="37"/>
  <c r="DD13" i="37"/>
  <c r="DD8" i="37"/>
  <c r="DD17" i="37"/>
  <c r="DD21" i="37"/>
  <c r="DD50" i="37" s="1"/>
  <c r="EF75" i="37" s="1"/>
  <c r="DD25" i="37"/>
  <c r="DD24" i="37"/>
  <c r="DD53" i="37" s="1"/>
  <c r="EI75" i="37" s="1"/>
  <c r="DD20" i="37"/>
  <c r="DD49" i="37" s="1"/>
  <c r="EE75" i="37" s="1"/>
  <c r="DD16" i="37"/>
  <c r="DD23" i="37"/>
  <c r="DD52" i="37" s="1"/>
  <c r="EH75" i="37" s="1"/>
  <c r="DD28" i="37"/>
  <c r="DD57" i="37" s="1"/>
  <c r="EM75" i="37" s="1"/>
  <c r="DD27" i="37"/>
  <c r="DD14" i="37"/>
  <c r="DD43" i="37" s="1"/>
  <c r="DY75" i="37" s="1"/>
  <c r="DD15" i="37"/>
  <c r="DD44" i="37" s="1"/>
  <c r="DZ75" i="37" s="1"/>
  <c r="DD4" i="37"/>
  <c r="DD33" i="37" s="1"/>
  <c r="DD12" i="37"/>
  <c r="DD10" i="37"/>
  <c r="DD39" i="37" s="1"/>
  <c r="DU75" i="37" s="1"/>
  <c r="DD11" i="37"/>
  <c r="DD40" i="37" s="1"/>
  <c r="DV75" i="37" s="1"/>
  <c r="DD22" i="37"/>
  <c r="DD51" i="37" s="1"/>
  <c r="EG75" i="37" s="1"/>
  <c r="DD18" i="37"/>
  <c r="DD47" i="37" s="1"/>
  <c r="EC75" i="37" s="1"/>
  <c r="DD7" i="37"/>
  <c r="DD26" i="37"/>
  <c r="DD55" i="37" s="1"/>
  <c r="EK75" i="37" s="1"/>
  <c r="DD6" i="37"/>
  <c r="DD19" i="37"/>
  <c r="DD48" i="37" s="1"/>
  <c r="ED75" i="37" s="1"/>
  <c r="DD3" i="37"/>
  <c r="DD32" i="37" s="1"/>
  <c r="DN75" i="37" s="1"/>
  <c r="S81" i="51"/>
  <c r="O81" i="51"/>
  <c r="Q81" i="51"/>
  <c r="U81" i="51"/>
  <c r="P356" i="5"/>
  <c r="O356" i="5" s="1"/>
  <c r="AL352" i="5"/>
  <c r="AK352" i="5" s="1"/>
  <c r="AA353" i="5"/>
  <c r="Z353" i="5" s="1"/>
  <c r="CK44" i="5"/>
  <c r="CG45" i="5"/>
  <c r="CH45" i="5" s="1"/>
  <c r="BW42" i="5"/>
  <c r="BV42" i="5" s="1"/>
  <c r="BX42" i="5" s="1"/>
  <c r="CW141" i="5"/>
  <c r="CX140" i="5"/>
  <c r="DO74" i="37"/>
  <c r="DQ74" i="37"/>
  <c r="DP74" i="37"/>
  <c r="DR74" i="37"/>
  <c r="DC58" i="37"/>
  <c r="DC29" i="37"/>
  <c r="DD34" i="37"/>
  <c r="DD56" i="37"/>
  <c r="EL75" i="37" s="1"/>
  <c r="DD38" i="37"/>
  <c r="DT75" i="37" s="1"/>
  <c r="DD42" i="37"/>
  <c r="DX75" i="37" s="1"/>
  <c r="DD41" i="37"/>
  <c r="DW75" i="37" s="1"/>
  <c r="DD37" i="37"/>
  <c r="DS75" i="37" s="1"/>
  <c r="DD46" i="37"/>
  <c r="EB75" i="37" s="1"/>
  <c r="DD54" i="37"/>
  <c r="EJ75" i="37" s="1"/>
  <c r="DD35" i="37"/>
  <c r="B61" i="17"/>
  <c r="P66" i="5"/>
  <c r="O66" i="5" s="1"/>
  <c r="Q66" i="5" s="1"/>
  <c r="AM63" i="5"/>
  <c r="AJ64" i="5" s="1"/>
  <c r="AI64" i="5"/>
  <c r="B18" i="5"/>
  <c r="AA66" i="5"/>
  <c r="Z66" i="5" s="1"/>
  <c r="AB66" i="5" s="1"/>
  <c r="F17" i="5"/>
  <c r="C18" i="5" s="1"/>
  <c r="DE2" i="37"/>
  <c r="B62" i="17"/>
  <c r="B62" i="52"/>
  <c r="K63" i="50"/>
  <c r="A82" i="51"/>
  <c r="B61" i="52"/>
  <c r="H17" i="50"/>
  <c r="H19" i="50"/>
  <c r="H15" i="50"/>
  <c r="H14" i="50"/>
  <c r="H6" i="50"/>
  <c r="H13" i="50"/>
  <c r="H25" i="50"/>
  <c r="H24" i="50"/>
  <c r="H5" i="50"/>
  <c r="H12" i="50"/>
  <c r="H20" i="50"/>
  <c r="H21" i="50"/>
  <c r="H22" i="50"/>
  <c r="H26" i="50"/>
  <c r="H10" i="50"/>
  <c r="H27" i="50"/>
  <c r="H23" i="50"/>
  <c r="H4" i="50"/>
  <c r="AD60" i="51"/>
  <c r="K4" i="13"/>
  <c r="BJ38" i="41"/>
  <c r="EF24" i="41"/>
  <c r="EF13" i="41"/>
  <c r="EF15" i="41"/>
  <c r="EF5" i="41"/>
  <c r="EF16" i="41"/>
  <c r="EF9" i="41"/>
  <c r="EF8" i="41"/>
  <c r="EF25" i="41"/>
  <c r="EF4" i="41"/>
  <c r="EF17" i="41"/>
  <c r="EF20" i="41"/>
  <c r="EF12" i="41"/>
  <c r="EF21" i="41"/>
  <c r="EF3" i="41"/>
  <c r="EF6" i="41"/>
  <c r="EF22" i="41"/>
  <c r="EF27" i="41"/>
  <c r="EF14" i="41"/>
  <c r="EF26" i="41"/>
  <c r="EF7" i="41"/>
  <c r="EF23" i="41"/>
  <c r="EF18" i="41"/>
  <c r="EF19" i="41"/>
  <c r="EF10" i="41"/>
  <c r="BM11" i="41"/>
  <c r="BL36" i="41"/>
  <c r="EG11" i="41" s="1"/>
  <c r="I60" i="17"/>
  <c r="J60" i="17"/>
  <c r="DD36" i="37" l="1"/>
  <c r="DD45" i="37"/>
  <c r="EA75" i="37" s="1"/>
  <c r="DE31" i="37"/>
  <c r="DE12" i="37"/>
  <c r="DE41" i="37" s="1"/>
  <c r="DW76" i="37" s="1"/>
  <c r="DE7" i="37"/>
  <c r="DE36" i="37" s="1"/>
  <c r="DE11" i="37"/>
  <c r="DE40" i="37" s="1"/>
  <c r="DV76" i="37" s="1"/>
  <c r="DE15" i="37"/>
  <c r="DE44" i="37" s="1"/>
  <c r="DZ76" i="37" s="1"/>
  <c r="DE28" i="37"/>
  <c r="DE24" i="37"/>
  <c r="DE53" i="37" s="1"/>
  <c r="EI76" i="37" s="1"/>
  <c r="DE19" i="37"/>
  <c r="DE48" i="37" s="1"/>
  <c r="ED76" i="37" s="1"/>
  <c r="DE16" i="37"/>
  <c r="DE45" i="37" s="1"/>
  <c r="EA76" i="37" s="1"/>
  <c r="DE23" i="37"/>
  <c r="DE52" i="37" s="1"/>
  <c r="EH76" i="37" s="1"/>
  <c r="DE27" i="37"/>
  <c r="DE6" i="37"/>
  <c r="DE35" i="37" s="1"/>
  <c r="DE21" i="37"/>
  <c r="DE13" i="37"/>
  <c r="DE42" i="37" s="1"/>
  <c r="DX76" i="37" s="1"/>
  <c r="DE14" i="37"/>
  <c r="DE43" i="37" s="1"/>
  <c r="DY76" i="37" s="1"/>
  <c r="DE5" i="37"/>
  <c r="DE34" i="37" s="1"/>
  <c r="DE17" i="37"/>
  <c r="DE25" i="37"/>
  <c r="DE8" i="37"/>
  <c r="DE9" i="37"/>
  <c r="DE38" i="37" s="1"/>
  <c r="DT76" i="37" s="1"/>
  <c r="DE10" i="37"/>
  <c r="DE39" i="37" s="1"/>
  <c r="DU76" i="37" s="1"/>
  <c r="DE20" i="37"/>
  <c r="DE49" i="37" s="1"/>
  <c r="EE76" i="37" s="1"/>
  <c r="DE22" i="37"/>
  <c r="DE4" i="37"/>
  <c r="DE33" i="37" s="1"/>
  <c r="DE26" i="37"/>
  <c r="DE18" i="37"/>
  <c r="DE3" i="37"/>
  <c r="DE32" i="37" s="1"/>
  <c r="DN76" i="37" s="1"/>
  <c r="O82" i="51"/>
  <c r="S82" i="51"/>
  <c r="U82" i="51"/>
  <c r="Q82" i="51"/>
  <c r="AM352" i="5"/>
  <c r="AJ353" i="5"/>
  <c r="AB353" i="5"/>
  <c r="Y354" i="5" s="1"/>
  <c r="Q356" i="5"/>
  <c r="N357" i="5"/>
  <c r="CP45" i="5"/>
  <c r="BT43" i="5"/>
  <c r="BU43" i="5" s="1"/>
  <c r="CX141" i="5"/>
  <c r="CW142" i="5"/>
  <c r="DP75" i="37"/>
  <c r="DR75" i="37"/>
  <c r="DO75" i="37"/>
  <c r="DQ75" i="37"/>
  <c r="DD58" i="37"/>
  <c r="DD29" i="37"/>
  <c r="B63" i="17"/>
  <c r="DE46" i="37"/>
  <c r="EB76" i="37" s="1"/>
  <c r="DE37" i="37"/>
  <c r="DS76" i="37" s="1"/>
  <c r="DE55" i="37"/>
  <c r="EK76" i="37" s="1"/>
  <c r="DE57" i="37"/>
  <c r="EM76" i="37" s="1"/>
  <c r="DE54" i="37"/>
  <c r="EJ76" i="37" s="1"/>
  <c r="DE50" i="37"/>
  <c r="EF76" i="37" s="1"/>
  <c r="DE47" i="37"/>
  <c r="EC76" i="37" s="1"/>
  <c r="AL64" i="5"/>
  <c r="AK64" i="5" s="1"/>
  <c r="E18" i="5"/>
  <c r="D18" i="5" s="1"/>
  <c r="X67" i="5"/>
  <c r="Y67" i="5"/>
  <c r="M67" i="5"/>
  <c r="N67" i="5"/>
  <c r="DF2" i="37"/>
  <c r="AD62" i="51"/>
  <c r="B63" i="52"/>
  <c r="K64" i="50"/>
  <c r="A83" i="51"/>
  <c r="R40" i="50"/>
  <c r="C39" i="51" s="1"/>
  <c r="R41" i="50"/>
  <c r="C40" i="51" s="1"/>
  <c r="R42" i="50"/>
  <c r="C41" i="51" s="1"/>
  <c r="R43" i="50"/>
  <c r="C42" i="51" s="1"/>
  <c r="R44" i="50"/>
  <c r="C43" i="51" s="1"/>
  <c r="R45" i="50"/>
  <c r="C44" i="51" s="1"/>
  <c r="R46" i="50"/>
  <c r="C45" i="51" s="1"/>
  <c r="R47" i="50"/>
  <c r="C46" i="51" s="1"/>
  <c r="R48" i="50"/>
  <c r="C47" i="51" s="1"/>
  <c r="R49" i="50"/>
  <c r="C48" i="51" s="1"/>
  <c r="R50" i="50"/>
  <c r="C49" i="51" s="1"/>
  <c r="R51" i="50"/>
  <c r="C50" i="51" s="1"/>
  <c r="R52" i="50"/>
  <c r="C51" i="51" s="1"/>
  <c r="R53" i="50"/>
  <c r="C52" i="51" s="1"/>
  <c r="R54" i="50"/>
  <c r="C53" i="51" s="1"/>
  <c r="R55" i="50"/>
  <c r="C54" i="51" s="1"/>
  <c r="R56" i="50"/>
  <c r="C55" i="51" s="1"/>
  <c r="R57" i="50"/>
  <c r="C56" i="51" s="1"/>
  <c r="R58" i="50"/>
  <c r="C57" i="51" s="1"/>
  <c r="R59" i="50"/>
  <c r="C58" i="51" s="1"/>
  <c r="R60" i="50"/>
  <c r="C59" i="51" s="1"/>
  <c r="EN40" i="50"/>
  <c r="EN41" i="50"/>
  <c r="EN42" i="50"/>
  <c r="EN43" i="50"/>
  <c r="EN44" i="50"/>
  <c r="EN45" i="50"/>
  <c r="EN46" i="50"/>
  <c r="EN47" i="50"/>
  <c r="EN48" i="50"/>
  <c r="EN49" i="50"/>
  <c r="EN50" i="50"/>
  <c r="EN51" i="50"/>
  <c r="EN52" i="50"/>
  <c r="EN53" i="50"/>
  <c r="EN54" i="50"/>
  <c r="EN55" i="50"/>
  <c r="EN56" i="50"/>
  <c r="EN57" i="50"/>
  <c r="EN58" i="50"/>
  <c r="EN59" i="50"/>
  <c r="EN60" i="50"/>
  <c r="ET40" i="50"/>
  <c r="ET41" i="50"/>
  <c r="ET42" i="50"/>
  <c r="ET43" i="50"/>
  <c r="ET44" i="50"/>
  <c r="ET45" i="50"/>
  <c r="ET46" i="50"/>
  <c r="ET47" i="50"/>
  <c r="ET48" i="50"/>
  <c r="ET49" i="50"/>
  <c r="ET50" i="50"/>
  <c r="ET51" i="50"/>
  <c r="ET52" i="50"/>
  <c r="ET53" i="50"/>
  <c r="ET54" i="50"/>
  <c r="ET55" i="50"/>
  <c r="ET56" i="50"/>
  <c r="ET57" i="50"/>
  <c r="ET58" i="50"/>
  <c r="ET59" i="50"/>
  <c r="ET60" i="50"/>
  <c r="DP40" i="50"/>
  <c r="DP41" i="50"/>
  <c r="DP42" i="50"/>
  <c r="DP43" i="50"/>
  <c r="DP44" i="50"/>
  <c r="DP45" i="50"/>
  <c r="DP46" i="50"/>
  <c r="DP47" i="50"/>
  <c r="DP48" i="50"/>
  <c r="DP49" i="50"/>
  <c r="DP50" i="50"/>
  <c r="DP51" i="50"/>
  <c r="DP52" i="50"/>
  <c r="DP53" i="50"/>
  <c r="DP54" i="50"/>
  <c r="DP55" i="50"/>
  <c r="DP56" i="50"/>
  <c r="DP57" i="50"/>
  <c r="DP58" i="50"/>
  <c r="DP59" i="50"/>
  <c r="DP60" i="50"/>
  <c r="BT40" i="50"/>
  <c r="BT41" i="50"/>
  <c r="BT42" i="50"/>
  <c r="BT43" i="50"/>
  <c r="BT44" i="50"/>
  <c r="BT45" i="50"/>
  <c r="BT46" i="50"/>
  <c r="BT47" i="50"/>
  <c r="BT48" i="50"/>
  <c r="BT49" i="50"/>
  <c r="BT50" i="50"/>
  <c r="BT51" i="50"/>
  <c r="BT52" i="50"/>
  <c r="BT53" i="50"/>
  <c r="BT54" i="50"/>
  <c r="BT55" i="50"/>
  <c r="BT56" i="50"/>
  <c r="BT57" i="50"/>
  <c r="BT58" i="50"/>
  <c r="BT59" i="50"/>
  <c r="BT60" i="50"/>
  <c r="EB40" i="50"/>
  <c r="EB41" i="50"/>
  <c r="EB42" i="50"/>
  <c r="EB43" i="50"/>
  <c r="EB44" i="50"/>
  <c r="EB45" i="50"/>
  <c r="EB46" i="50"/>
  <c r="EB47" i="50"/>
  <c r="EB48" i="50"/>
  <c r="EB49" i="50"/>
  <c r="EB50" i="50"/>
  <c r="EB51" i="50"/>
  <c r="EB52" i="50"/>
  <c r="EB53" i="50"/>
  <c r="EB54" i="50"/>
  <c r="EB55" i="50"/>
  <c r="EB56" i="50"/>
  <c r="EB57" i="50"/>
  <c r="EB58" i="50"/>
  <c r="EB59" i="50"/>
  <c r="EB60" i="50"/>
  <c r="AV40" i="50"/>
  <c r="AV41" i="50"/>
  <c r="AV42" i="50"/>
  <c r="AV43" i="50"/>
  <c r="AV44" i="50"/>
  <c r="AV45" i="50"/>
  <c r="AV46" i="50"/>
  <c r="AV47" i="50"/>
  <c r="AV48" i="50"/>
  <c r="AV49" i="50"/>
  <c r="AV50" i="50"/>
  <c r="AV51" i="50"/>
  <c r="AV52" i="50"/>
  <c r="AV53" i="50"/>
  <c r="AV54" i="50"/>
  <c r="AV55" i="50"/>
  <c r="AV56" i="50"/>
  <c r="AV57" i="50"/>
  <c r="AV58" i="50"/>
  <c r="AV59" i="50"/>
  <c r="AV60" i="50"/>
  <c r="CR40" i="50"/>
  <c r="CR41" i="50"/>
  <c r="CR42" i="50"/>
  <c r="CR43" i="50"/>
  <c r="CR44" i="50"/>
  <c r="CR45" i="50"/>
  <c r="CR46" i="50"/>
  <c r="CR47" i="50"/>
  <c r="CR48" i="50"/>
  <c r="CR49" i="50"/>
  <c r="CR50" i="50"/>
  <c r="CR51" i="50"/>
  <c r="CR52" i="50"/>
  <c r="CR53" i="50"/>
  <c r="CR54" i="50"/>
  <c r="CR55" i="50"/>
  <c r="CR56" i="50"/>
  <c r="CR57" i="50"/>
  <c r="CR58" i="50"/>
  <c r="CR59" i="50"/>
  <c r="CR60" i="50"/>
  <c r="BZ40" i="50"/>
  <c r="BZ41" i="50"/>
  <c r="BZ42" i="50"/>
  <c r="BZ43" i="50"/>
  <c r="BZ44" i="50"/>
  <c r="BZ45" i="50"/>
  <c r="BZ46" i="50"/>
  <c r="BZ47" i="50"/>
  <c r="BZ48" i="50"/>
  <c r="BZ49" i="50"/>
  <c r="BZ50" i="50"/>
  <c r="BZ51" i="50"/>
  <c r="BZ52" i="50"/>
  <c r="BZ53" i="50"/>
  <c r="BZ54" i="50"/>
  <c r="BZ55" i="50"/>
  <c r="BZ56" i="50"/>
  <c r="BZ57" i="50"/>
  <c r="BZ58" i="50"/>
  <c r="BZ59" i="50"/>
  <c r="BZ60" i="50"/>
  <c r="X40" i="50"/>
  <c r="E39" i="51" s="1"/>
  <c r="X41" i="50"/>
  <c r="E40" i="51" s="1"/>
  <c r="X42" i="50"/>
  <c r="E41" i="51" s="1"/>
  <c r="X43" i="50"/>
  <c r="E42" i="51" s="1"/>
  <c r="X44" i="50"/>
  <c r="E43" i="51" s="1"/>
  <c r="X45" i="50"/>
  <c r="E44" i="51" s="1"/>
  <c r="X46" i="50"/>
  <c r="E45" i="51" s="1"/>
  <c r="X47" i="50"/>
  <c r="E46" i="51" s="1"/>
  <c r="X48" i="50"/>
  <c r="E47" i="51" s="1"/>
  <c r="X49" i="50"/>
  <c r="E48" i="51" s="1"/>
  <c r="X50" i="50"/>
  <c r="E49" i="51" s="1"/>
  <c r="X51" i="50"/>
  <c r="E50" i="51" s="1"/>
  <c r="X52" i="50"/>
  <c r="E51" i="51" s="1"/>
  <c r="X53" i="50"/>
  <c r="E52" i="51" s="1"/>
  <c r="X54" i="50"/>
  <c r="E53" i="51" s="1"/>
  <c r="X55" i="50"/>
  <c r="E54" i="51" s="1"/>
  <c r="X56" i="50"/>
  <c r="E55" i="51" s="1"/>
  <c r="X57" i="50"/>
  <c r="E56" i="51" s="1"/>
  <c r="X58" i="50"/>
  <c r="E57" i="51" s="1"/>
  <c r="X59" i="50"/>
  <c r="E58" i="51" s="1"/>
  <c r="X60" i="50"/>
  <c r="E59" i="51" s="1"/>
  <c r="BB40" i="50"/>
  <c r="BB41" i="50"/>
  <c r="BB42" i="50"/>
  <c r="BB43" i="50"/>
  <c r="BB44" i="50"/>
  <c r="BB45" i="50"/>
  <c r="BB46" i="50"/>
  <c r="BB47" i="50"/>
  <c r="BB48" i="50"/>
  <c r="BB49" i="50"/>
  <c r="BB50" i="50"/>
  <c r="BB51" i="50"/>
  <c r="BB52" i="50"/>
  <c r="BB53" i="50"/>
  <c r="BB54" i="50"/>
  <c r="BB55" i="50"/>
  <c r="BB56" i="50"/>
  <c r="BB57" i="50"/>
  <c r="BB58" i="50"/>
  <c r="BB59" i="50"/>
  <c r="BB60" i="50"/>
  <c r="DJ40" i="50"/>
  <c r="DJ41" i="50"/>
  <c r="DJ42" i="50"/>
  <c r="DJ43" i="50"/>
  <c r="DJ44" i="50"/>
  <c r="DJ45" i="50"/>
  <c r="DJ46" i="50"/>
  <c r="DJ47" i="50"/>
  <c r="DJ48" i="50"/>
  <c r="DJ49" i="50"/>
  <c r="DJ50" i="50"/>
  <c r="DJ51" i="50"/>
  <c r="DJ52" i="50"/>
  <c r="DJ53" i="50"/>
  <c r="DJ54" i="50"/>
  <c r="DJ55" i="50"/>
  <c r="DJ56" i="50"/>
  <c r="DJ57" i="50"/>
  <c r="DJ58" i="50"/>
  <c r="DJ59" i="50"/>
  <c r="DJ60" i="50"/>
  <c r="CX40" i="50"/>
  <c r="CX41" i="50"/>
  <c r="CX42" i="50"/>
  <c r="CX43" i="50"/>
  <c r="CX44" i="50"/>
  <c r="CX45" i="50"/>
  <c r="CX46" i="50"/>
  <c r="CX47" i="50"/>
  <c r="CX48" i="50"/>
  <c r="CX49" i="50"/>
  <c r="CX50" i="50"/>
  <c r="CX51" i="50"/>
  <c r="CX52" i="50"/>
  <c r="CX53" i="50"/>
  <c r="CX54" i="50"/>
  <c r="CX55" i="50"/>
  <c r="CX56" i="50"/>
  <c r="CX57" i="50"/>
  <c r="CX58" i="50"/>
  <c r="CX59" i="50"/>
  <c r="CX60" i="50"/>
  <c r="BH40" i="50"/>
  <c r="G39" i="51" s="1"/>
  <c r="BH41" i="50"/>
  <c r="G40" i="51" s="1"/>
  <c r="BH42" i="50"/>
  <c r="G41" i="51" s="1"/>
  <c r="BH43" i="50"/>
  <c r="G42" i="51" s="1"/>
  <c r="BH44" i="50"/>
  <c r="G43" i="51" s="1"/>
  <c r="BH45" i="50"/>
  <c r="G44" i="51" s="1"/>
  <c r="BH46" i="50"/>
  <c r="G45" i="51" s="1"/>
  <c r="BH47" i="50"/>
  <c r="G46" i="51" s="1"/>
  <c r="BH48" i="50"/>
  <c r="G47" i="51" s="1"/>
  <c r="BH49" i="50"/>
  <c r="G48" i="51" s="1"/>
  <c r="BH50" i="50"/>
  <c r="G49" i="51" s="1"/>
  <c r="BH51" i="50"/>
  <c r="G50" i="51" s="1"/>
  <c r="BH52" i="50"/>
  <c r="G51" i="51" s="1"/>
  <c r="BH53" i="50"/>
  <c r="G52" i="51" s="1"/>
  <c r="BH54" i="50"/>
  <c r="G53" i="51" s="1"/>
  <c r="BH55" i="50"/>
  <c r="G54" i="51" s="1"/>
  <c r="BH56" i="50"/>
  <c r="G55" i="51" s="1"/>
  <c r="BH57" i="50"/>
  <c r="G56" i="51" s="1"/>
  <c r="BH58" i="50"/>
  <c r="G57" i="51" s="1"/>
  <c r="BH59" i="50"/>
  <c r="G58" i="51" s="1"/>
  <c r="BH60" i="50"/>
  <c r="G59" i="51" s="1"/>
  <c r="DV40" i="50"/>
  <c r="DV41" i="50"/>
  <c r="DV42" i="50"/>
  <c r="DV43" i="50"/>
  <c r="DV44" i="50"/>
  <c r="DV45" i="50"/>
  <c r="DV46" i="50"/>
  <c r="DV47" i="50"/>
  <c r="DV48" i="50"/>
  <c r="DV49" i="50"/>
  <c r="DV50" i="50"/>
  <c r="DV51" i="50"/>
  <c r="DV52" i="50"/>
  <c r="DV53" i="50"/>
  <c r="DV54" i="50"/>
  <c r="DV55" i="50"/>
  <c r="DV56" i="50"/>
  <c r="DV57" i="50"/>
  <c r="DV58" i="50"/>
  <c r="DV59" i="50"/>
  <c r="DV60" i="50"/>
  <c r="EZ40" i="50"/>
  <c r="EZ41" i="50"/>
  <c r="EZ42" i="50"/>
  <c r="EZ43" i="50"/>
  <c r="EZ44" i="50"/>
  <c r="EZ45" i="50"/>
  <c r="EZ46" i="50"/>
  <c r="EZ47" i="50"/>
  <c r="EZ48" i="50"/>
  <c r="EZ49" i="50"/>
  <c r="EZ50" i="50"/>
  <c r="EZ51" i="50"/>
  <c r="EZ52" i="50"/>
  <c r="EZ53" i="50"/>
  <c r="EZ54" i="50"/>
  <c r="EZ55" i="50"/>
  <c r="EZ56" i="50"/>
  <c r="EZ57" i="50"/>
  <c r="EZ58" i="50"/>
  <c r="EZ59" i="50"/>
  <c r="EZ60" i="50"/>
  <c r="BN40" i="50"/>
  <c r="BN41" i="50"/>
  <c r="BN42" i="50"/>
  <c r="BN43" i="50"/>
  <c r="BN44" i="50"/>
  <c r="BN45" i="50"/>
  <c r="BN46" i="50"/>
  <c r="BN47" i="50"/>
  <c r="BN48" i="50"/>
  <c r="BN49" i="50"/>
  <c r="BN50" i="50"/>
  <c r="BN51" i="50"/>
  <c r="BN52" i="50"/>
  <c r="BN53" i="50"/>
  <c r="BN54" i="50"/>
  <c r="BN55" i="50"/>
  <c r="BN56" i="50"/>
  <c r="BN57" i="50"/>
  <c r="BN58" i="50"/>
  <c r="BN59" i="50"/>
  <c r="BN60" i="50"/>
  <c r="DD40" i="50"/>
  <c r="DD41" i="50"/>
  <c r="DD42" i="50"/>
  <c r="DD43" i="50"/>
  <c r="DD44" i="50"/>
  <c r="DD45" i="50"/>
  <c r="DD46" i="50"/>
  <c r="DD47" i="50"/>
  <c r="DD48" i="50"/>
  <c r="DD49" i="50"/>
  <c r="DD50" i="50"/>
  <c r="DD51" i="50"/>
  <c r="DD52" i="50"/>
  <c r="DD53" i="50"/>
  <c r="DD54" i="50"/>
  <c r="DD55" i="50"/>
  <c r="DD56" i="50"/>
  <c r="DD57" i="50"/>
  <c r="DD58" i="50"/>
  <c r="DD59" i="50"/>
  <c r="DD60" i="50"/>
  <c r="EH40" i="50"/>
  <c r="EH41" i="50"/>
  <c r="EH42" i="50"/>
  <c r="EH43" i="50"/>
  <c r="EH44" i="50"/>
  <c r="EH45" i="50"/>
  <c r="EH46" i="50"/>
  <c r="EH47" i="50"/>
  <c r="EH48" i="50"/>
  <c r="EH49" i="50"/>
  <c r="EH50" i="50"/>
  <c r="EH51" i="50"/>
  <c r="EH52" i="50"/>
  <c r="EH53" i="50"/>
  <c r="EH54" i="50"/>
  <c r="EH55" i="50"/>
  <c r="EH56" i="50"/>
  <c r="EH57" i="50"/>
  <c r="EH58" i="50"/>
  <c r="EH59" i="50"/>
  <c r="EH60" i="50"/>
  <c r="AD61" i="51"/>
  <c r="I5" i="33"/>
  <c r="I25" i="33" s="1"/>
  <c r="U5" i="33"/>
  <c r="U25" i="33" s="1"/>
  <c r="AG5" i="33"/>
  <c r="AG25" i="33" s="1"/>
  <c r="J5" i="33"/>
  <c r="J25" i="33" s="1"/>
  <c r="AH5" i="33"/>
  <c r="AH25" i="33" s="1"/>
  <c r="W5" i="33"/>
  <c r="W25" i="33" s="1"/>
  <c r="AJ5" i="33"/>
  <c r="AJ25" i="33" s="1"/>
  <c r="O5" i="33"/>
  <c r="O25" i="33" s="1"/>
  <c r="R5" i="33"/>
  <c r="R25" i="33" s="1"/>
  <c r="V5" i="33"/>
  <c r="V25" i="33" s="1"/>
  <c r="AI5" i="33"/>
  <c r="AI25" i="33" s="1"/>
  <c r="F5" i="33"/>
  <c r="F25" i="33" s="1"/>
  <c r="S5" i="33"/>
  <c r="S25" i="33" s="1"/>
  <c r="K5" i="33"/>
  <c r="K25" i="33" s="1"/>
  <c r="X5" i="33"/>
  <c r="X25" i="33" s="1"/>
  <c r="P5" i="33"/>
  <c r="P25" i="33" s="1"/>
  <c r="Q5" i="33"/>
  <c r="Q25" i="33" s="1"/>
  <c r="G5" i="33"/>
  <c r="G25" i="33" s="1"/>
  <c r="H5" i="33"/>
  <c r="H25" i="33" s="1"/>
  <c r="L5" i="33"/>
  <c r="L25" i="33" s="1"/>
  <c r="T5" i="33"/>
  <c r="T25" i="33" s="1"/>
  <c r="M5" i="33"/>
  <c r="M25" i="33" s="1"/>
  <c r="Y5" i="33"/>
  <c r="Y25" i="33" s="1"/>
  <c r="C5" i="33"/>
  <c r="C25" i="33" s="1"/>
  <c r="D5" i="33"/>
  <c r="D25" i="33" s="1"/>
  <c r="AB5" i="33"/>
  <c r="AB25" i="33" s="1"/>
  <c r="AD5" i="33"/>
  <c r="AD25" i="33" s="1"/>
  <c r="B5" i="33"/>
  <c r="B25" i="33" s="1"/>
  <c r="N5" i="33"/>
  <c r="N25" i="33" s="1"/>
  <c r="Z5" i="33"/>
  <c r="Z25" i="33" s="1"/>
  <c r="AA5" i="33"/>
  <c r="AA25" i="33" s="1"/>
  <c r="AC5" i="33"/>
  <c r="AC25" i="33" s="1"/>
  <c r="E5" i="33"/>
  <c r="E25" i="33" s="1"/>
  <c r="AE5" i="33"/>
  <c r="AE25" i="33" s="1"/>
  <c r="AF5" i="33"/>
  <c r="AF25" i="33" s="1"/>
  <c r="AK5" i="33"/>
  <c r="AK25" i="33" s="1"/>
  <c r="AL5" i="33"/>
  <c r="AL25" i="33" s="1"/>
  <c r="AM5" i="33"/>
  <c r="AM25" i="33" s="1"/>
  <c r="AN5" i="33"/>
  <c r="AN25" i="33" s="1"/>
  <c r="AO5" i="33"/>
  <c r="AO25" i="33" s="1"/>
  <c r="AP5" i="33"/>
  <c r="AP25" i="33" s="1"/>
  <c r="AQ5" i="33"/>
  <c r="AQ25" i="33" s="1"/>
  <c r="AR5" i="33"/>
  <c r="AR25" i="33" s="1"/>
  <c r="AS5" i="33"/>
  <c r="AS25" i="33" s="1"/>
  <c r="AT5" i="33"/>
  <c r="AT25" i="33" s="1"/>
  <c r="AU5" i="33"/>
  <c r="AU25" i="33" s="1"/>
  <c r="AV5" i="33"/>
  <c r="AV25" i="33" s="1"/>
  <c r="AW5" i="33"/>
  <c r="AW25" i="33" s="1"/>
  <c r="AX5" i="33"/>
  <c r="AX25" i="33" s="1"/>
  <c r="AY5" i="33"/>
  <c r="AY25" i="33" s="1"/>
  <c r="AZ5" i="33"/>
  <c r="AZ25" i="33" s="1"/>
  <c r="BA5" i="33"/>
  <c r="BA25" i="33" s="1"/>
  <c r="BB5" i="33"/>
  <c r="BB25" i="33" s="1"/>
  <c r="BC5" i="33"/>
  <c r="BC25" i="33" s="1"/>
  <c r="BD5" i="33"/>
  <c r="BD25" i="33" s="1"/>
  <c r="BE5" i="33"/>
  <c r="BE25" i="33" s="1"/>
  <c r="BF5" i="33"/>
  <c r="BF25" i="33" s="1"/>
  <c r="L4" i="33"/>
  <c r="L24" i="33" s="1"/>
  <c r="X4" i="33"/>
  <c r="X24" i="33" s="1"/>
  <c r="AJ4" i="33"/>
  <c r="AJ24" i="33" s="1"/>
  <c r="AV4" i="33"/>
  <c r="AV24" i="33" s="1"/>
  <c r="F4" i="33"/>
  <c r="F24" i="33" s="1"/>
  <c r="AO4" i="33"/>
  <c r="AO24" i="33" s="1"/>
  <c r="R4" i="33"/>
  <c r="R24" i="33" s="1"/>
  <c r="AR4" i="33"/>
  <c r="AR24" i="33" s="1"/>
  <c r="BD4" i="33"/>
  <c r="BD24" i="33" s="1"/>
  <c r="I4" i="33"/>
  <c r="I24" i="33" s="1"/>
  <c r="AS4" i="33"/>
  <c r="AS24" i="33" s="1"/>
  <c r="AT4" i="33"/>
  <c r="AT24" i="33" s="1"/>
  <c r="BF4" i="33"/>
  <c r="BF24" i="33" s="1"/>
  <c r="K4" i="33"/>
  <c r="K24" i="33" s="1"/>
  <c r="M4" i="33"/>
  <c r="M24" i="33" s="1"/>
  <c r="Y4" i="33"/>
  <c r="Y24" i="33" s="1"/>
  <c r="AK4" i="33"/>
  <c r="AK24" i="33" s="1"/>
  <c r="AW4" i="33"/>
  <c r="AW24" i="33" s="1"/>
  <c r="AN4" i="33"/>
  <c r="AN24" i="33" s="1"/>
  <c r="AD4" i="33"/>
  <c r="AD24" i="33" s="1"/>
  <c r="G4" i="33"/>
  <c r="G24" i="33" s="1"/>
  <c r="T4" i="33"/>
  <c r="T24" i="33" s="1"/>
  <c r="U4" i="33"/>
  <c r="U24" i="33" s="1"/>
  <c r="V4" i="33"/>
  <c r="V24" i="33" s="1"/>
  <c r="W4" i="33"/>
  <c r="W24" i="33" s="1"/>
  <c r="AI4" i="33"/>
  <c r="AI24" i="33" s="1"/>
  <c r="AU4" i="33"/>
  <c r="AU24" i="33" s="1"/>
  <c r="B4" i="33"/>
  <c r="N4" i="33"/>
  <c r="N24" i="33" s="1"/>
  <c r="Z4" i="33"/>
  <c r="Z24" i="33" s="1"/>
  <c r="AL4" i="33"/>
  <c r="AL24" i="33" s="1"/>
  <c r="AX4" i="33"/>
  <c r="AX24" i="33" s="1"/>
  <c r="C4" i="33"/>
  <c r="C24" i="33" s="1"/>
  <c r="O4" i="33"/>
  <c r="O24" i="33" s="1"/>
  <c r="AM4" i="33"/>
  <c r="AM24" i="33" s="1"/>
  <c r="AY4" i="33"/>
  <c r="AY24" i="33" s="1"/>
  <c r="D4" i="33"/>
  <c r="D24" i="33" s="1"/>
  <c r="P4" i="33"/>
  <c r="P24" i="33" s="1"/>
  <c r="AZ4" i="33"/>
  <c r="AZ24" i="33" s="1"/>
  <c r="BA4" i="33"/>
  <c r="BA24" i="33" s="1"/>
  <c r="AP4" i="33"/>
  <c r="AP24" i="33" s="1"/>
  <c r="AE4" i="33"/>
  <c r="AE24" i="33" s="1"/>
  <c r="BC4" i="33"/>
  <c r="BC24" i="33" s="1"/>
  <c r="AF4" i="33"/>
  <c r="AF24" i="33" s="1"/>
  <c r="BE4" i="33"/>
  <c r="BE24" i="33" s="1"/>
  <c r="AA4" i="33"/>
  <c r="AA24" i="33" s="1"/>
  <c r="AB4" i="33"/>
  <c r="AB24" i="33" s="1"/>
  <c r="AC4" i="33"/>
  <c r="AC24" i="33" s="1"/>
  <c r="BB4" i="33"/>
  <c r="BB24" i="33" s="1"/>
  <c r="AQ4" i="33"/>
  <c r="AQ24" i="33" s="1"/>
  <c r="AG4" i="33"/>
  <c r="AG24" i="33" s="1"/>
  <c r="AH4" i="33"/>
  <c r="AH24" i="33" s="1"/>
  <c r="Q4" i="33"/>
  <c r="Q24" i="33" s="1"/>
  <c r="E4" i="33"/>
  <c r="E24" i="33" s="1"/>
  <c r="S4" i="33"/>
  <c r="S24" i="33" s="1"/>
  <c r="H4" i="33"/>
  <c r="H24" i="33" s="1"/>
  <c r="J4" i="33"/>
  <c r="J24" i="33" s="1"/>
  <c r="B6" i="33"/>
  <c r="B26" i="33" s="1"/>
  <c r="C6" i="33"/>
  <c r="C26" i="33" s="1"/>
  <c r="D6" i="33"/>
  <c r="D26" i="33" s="1"/>
  <c r="F6" i="33"/>
  <c r="F26" i="33" s="1"/>
  <c r="E6" i="33"/>
  <c r="E26" i="33" s="1"/>
  <c r="G6" i="33"/>
  <c r="G26" i="33" s="1"/>
  <c r="H6" i="33"/>
  <c r="H26" i="33" s="1"/>
  <c r="I6" i="33"/>
  <c r="I26" i="33" s="1"/>
  <c r="J6" i="33"/>
  <c r="J26" i="33" s="1"/>
  <c r="K6" i="33"/>
  <c r="K26" i="33" s="1"/>
  <c r="L6" i="33"/>
  <c r="L26" i="33" s="1"/>
  <c r="M6" i="33"/>
  <c r="M26" i="33" s="1"/>
  <c r="N6" i="33"/>
  <c r="N26" i="33" s="1"/>
  <c r="O6" i="33"/>
  <c r="O26" i="33" s="1"/>
  <c r="P6" i="33"/>
  <c r="P26" i="33" s="1"/>
  <c r="Q6" i="33"/>
  <c r="Q26" i="33" s="1"/>
  <c r="R6" i="33"/>
  <c r="R26" i="33" s="1"/>
  <c r="S6" i="33"/>
  <c r="S26" i="33" s="1"/>
  <c r="T6" i="33"/>
  <c r="T26" i="33" s="1"/>
  <c r="U6" i="33"/>
  <c r="U26" i="33" s="1"/>
  <c r="V6" i="33"/>
  <c r="V26" i="33" s="1"/>
  <c r="W6" i="33"/>
  <c r="W26" i="33" s="1"/>
  <c r="X6" i="33"/>
  <c r="X26" i="33" s="1"/>
  <c r="Y6" i="33"/>
  <c r="Y26" i="33" s="1"/>
  <c r="Z6" i="33"/>
  <c r="Z26" i="33" s="1"/>
  <c r="AA6" i="33"/>
  <c r="AA26" i="33" s="1"/>
  <c r="AB6" i="33"/>
  <c r="AB26" i="33" s="1"/>
  <c r="AC6" i="33"/>
  <c r="AC26" i="33" s="1"/>
  <c r="AD6" i="33"/>
  <c r="AD26" i="33" s="1"/>
  <c r="AE6" i="33"/>
  <c r="AE26" i="33" s="1"/>
  <c r="AF6" i="33"/>
  <c r="AF26" i="33" s="1"/>
  <c r="AG6" i="33"/>
  <c r="AG26" i="33" s="1"/>
  <c r="AH6" i="33"/>
  <c r="AH26" i="33" s="1"/>
  <c r="AI6" i="33"/>
  <c r="AI26" i="33" s="1"/>
  <c r="AJ6" i="33"/>
  <c r="AJ26" i="33" s="1"/>
  <c r="AK6" i="33"/>
  <c r="AK26" i="33" s="1"/>
  <c r="AL6" i="33"/>
  <c r="AL26" i="33" s="1"/>
  <c r="AM6" i="33"/>
  <c r="AM26" i="33" s="1"/>
  <c r="AN6" i="33"/>
  <c r="AN26" i="33" s="1"/>
  <c r="AO6" i="33"/>
  <c r="AO26" i="33" s="1"/>
  <c r="AP6" i="33"/>
  <c r="AP26" i="33" s="1"/>
  <c r="AQ6" i="33"/>
  <c r="AQ26" i="33" s="1"/>
  <c r="AR6" i="33"/>
  <c r="AR26" i="33" s="1"/>
  <c r="AS6" i="33"/>
  <c r="AS26" i="33" s="1"/>
  <c r="AT6" i="33"/>
  <c r="AT26" i="33" s="1"/>
  <c r="AU6" i="33"/>
  <c r="AU26" i="33" s="1"/>
  <c r="AV6" i="33"/>
  <c r="AV26" i="33" s="1"/>
  <c r="AW6" i="33"/>
  <c r="AW26" i="33" s="1"/>
  <c r="AX6" i="33"/>
  <c r="AX26" i="33" s="1"/>
  <c r="AY6" i="33"/>
  <c r="AY26" i="33" s="1"/>
  <c r="AZ6" i="33"/>
  <c r="AZ26" i="33" s="1"/>
  <c r="BA6" i="33"/>
  <c r="BA26" i="33" s="1"/>
  <c r="BB6" i="33"/>
  <c r="BB26" i="33" s="1"/>
  <c r="BC6" i="33"/>
  <c r="BC26" i="33" s="1"/>
  <c r="BD6" i="33"/>
  <c r="BD26" i="33" s="1"/>
  <c r="BE6" i="33"/>
  <c r="BE26" i="33" s="1"/>
  <c r="BF6" i="33"/>
  <c r="BF26" i="33" s="1"/>
  <c r="EG24" i="41"/>
  <c r="EG14" i="41"/>
  <c r="EG9" i="41"/>
  <c r="EG15" i="41"/>
  <c r="EG25" i="41"/>
  <c r="EG19" i="41"/>
  <c r="EG7" i="41"/>
  <c r="EG16" i="41"/>
  <c r="EG13" i="41"/>
  <c r="EG17" i="41"/>
  <c r="EG5" i="41"/>
  <c r="EG23" i="41"/>
  <c r="EG18" i="41"/>
  <c r="EG20" i="41"/>
  <c r="EG4" i="41"/>
  <c r="EG10" i="41"/>
  <c r="EG6" i="41"/>
  <c r="EG22" i="41"/>
  <c r="EG12" i="41"/>
  <c r="EG3" i="41"/>
  <c r="EG26" i="41"/>
  <c r="EG27" i="41"/>
  <c r="EG21" i="41"/>
  <c r="EG8" i="41"/>
  <c r="BK38" i="41"/>
  <c r="BN11" i="41"/>
  <c r="BM36" i="41"/>
  <c r="EH11" i="41" s="1"/>
  <c r="DE51" i="37" l="1"/>
  <c r="EG76" i="37" s="1"/>
  <c r="DE56" i="37"/>
  <c r="EL76" i="37" s="1"/>
  <c r="DF31" i="37"/>
  <c r="DF16" i="37"/>
  <c r="DF45" i="37" s="1"/>
  <c r="EA77" i="37" s="1"/>
  <c r="DF17" i="37"/>
  <c r="DF46" i="37" s="1"/>
  <c r="EB77" i="37" s="1"/>
  <c r="DF7" i="37"/>
  <c r="DF36" i="37" s="1"/>
  <c r="DF11" i="37"/>
  <c r="DF15" i="37"/>
  <c r="DF28" i="37"/>
  <c r="DF57" i="37" s="1"/>
  <c r="EM77" i="37" s="1"/>
  <c r="DF19" i="37"/>
  <c r="DF48" i="37" s="1"/>
  <c r="ED77" i="37" s="1"/>
  <c r="DF23" i="37"/>
  <c r="DF52" i="37" s="1"/>
  <c r="EH77" i="37" s="1"/>
  <c r="DF4" i="37"/>
  <c r="DF33" i="37" s="1"/>
  <c r="DF26" i="37"/>
  <c r="DF6" i="37"/>
  <c r="DF21" i="37"/>
  <c r="DF12" i="37"/>
  <c r="DF13" i="37"/>
  <c r="DF42" i="37" s="1"/>
  <c r="DX77" i="37" s="1"/>
  <c r="DF14" i="37"/>
  <c r="DF43" i="37" s="1"/>
  <c r="DY77" i="37" s="1"/>
  <c r="DF5" i="37"/>
  <c r="DF25" i="37"/>
  <c r="DF54" i="37" s="1"/>
  <c r="EJ77" i="37" s="1"/>
  <c r="DF27" i="37"/>
  <c r="DF56" i="37" s="1"/>
  <c r="EL77" i="37" s="1"/>
  <c r="DF8" i="37"/>
  <c r="DF37" i="37" s="1"/>
  <c r="DS77" i="37" s="1"/>
  <c r="DF9" i="37"/>
  <c r="DF38" i="37" s="1"/>
  <c r="DT77" i="37" s="1"/>
  <c r="DF10" i="37"/>
  <c r="DF39" i="37" s="1"/>
  <c r="DU77" i="37" s="1"/>
  <c r="DF20" i="37"/>
  <c r="DF22" i="37"/>
  <c r="DF18" i="37"/>
  <c r="DF24" i="37"/>
  <c r="DF53" i="37" s="1"/>
  <c r="EI77" i="37" s="1"/>
  <c r="DF3" i="37"/>
  <c r="DF32" i="37" s="1"/>
  <c r="DN77" i="37" s="1"/>
  <c r="O83" i="51"/>
  <c r="Q83" i="51"/>
  <c r="S83" i="51"/>
  <c r="U83" i="51"/>
  <c r="AA354" i="5"/>
  <c r="Z354" i="5"/>
  <c r="AB354" i="5" s="1"/>
  <c r="P357" i="5"/>
  <c r="O357" i="5"/>
  <c r="Q357" i="5" s="1"/>
  <c r="AL353" i="5"/>
  <c r="AK353" i="5" s="1"/>
  <c r="CJ45" i="5"/>
  <c r="CI45" i="5" s="1"/>
  <c r="CC43" i="5"/>
  <c r="CX142" i="5"/>
  <c r="CW143" i="5"/>
  <c r="DR76" i="37"/>
  <c r="DO76" i="37"/>
  <c r="DP76" i="37"/>
  <c r="DQ76" i="37"/>
  <c r="DE58" i="37"/>
  <c r="DF50" i="37"/>
  <c r="EF77" i="37" s="1"/>
  <c r="DF47" i="37"/>
  <c r="EC77" i="37" s="1"/>
  <c r="DF34" i="37"/>
  <c r="DF40" i="37"/>
  <c r="DV77" i="37" s="1"/>
  <c r="DF41" i="37"/>
  <c r="DW77" i="37" s="1"/>
  <c r="DF44" i="37"/>
  <c r="DZ77" i="37" s="1"/>
  <c r="DE29" i="37"/>
  <c r="P67" i="5"/>
  <c r="O67" i="5" s="1"/>
  <c r="Q67" i="5" s="1"/>
  <c r="AM64" i="5"/>
  <c r="AJ65" i="5" s="1"/>
  <c r="AI65" i="5"/>
  <c r="B19" i="5"/>
  <c r="AA67" i="5"/>
  <c r="Z67" i="5" s="1"/>
  <c r="F18" i="5"/>
  <c r="C19" i="5" s="1"/>
  <c r="DG2" i="37"/>
  <c r="B64" i="17"/>
  <c r="AD63" i="51"/>
  <c r="B64" i="52"/>
  <c r="K65" i="50"/>
  <c r="AP21" i="33"/>
  <c r="G43" i="19" s="1"/>
  <c r="AP39" i="33"/>
  <c r="L43" i="19" s="1"/>
  <c r="BA39" i="33"/>
  <c r="L54" i="19" s="1"/>
  <c r="BA21" i="33"/>
  <c r="G54" i="19" s="1"/>
  <c r="AL39" i="33"/>
  <c r="L39" i="19" s="1"/>
  <c r="AL21" i="33"/>
  <c r="G39" i="19" s="1"/>
  <c r="BD21" i="33"/>
  <c r="G57" i="19" s="1"/>
  <c r="BD39" i="33"/>
  <c r="L57" i="19" s="1"/>
  <c r="Z39" i="33"/>
  <c r="L27" i="19" s="1"/>
  <c r="Z21" i="33"/>
  <c r="G27" i="19" s="1"/>
  <c r="AW39" i="33"/>
  <c r="L50" i="19" s="1"/>
  <c r="AW21" i="33"/>
  <c r="G50" i="19" s="1"/>
  <c r="AC39" i="33"/>
  <c r="L30" i="19" s="1"/>
  <c r="AC21" i="33"/>
  <c r="G30" i="19" s="1"/>
  <c r="B21" i="33"/>
  <c r="B24" i="33"/>
  <c r="B39" i="33" s="1"/>
  <c r="L3" i="19" s="1"/>
  <c r="AK21" i="33"/>
  <c r="G38" i="19" s="1"/>
  <c r="AK39" i="33"/>
  <c r="L38" i="19" s="1"/>
  <c r="AO39" i="33"/>
  <c r="L42" i="19" s="1"/>
  <c r="AO21" i="33"/>
  <c r="G42" i="19" s="1"/>
  <c r="AB21" i="33"/>
  <c r="G29" i="19" s="1"/>
  <c r="AB39" i="33"/>
  <c r="L29" i="19" s="1"/>
  <c r="AU39" i="33"/>
  <c r="L48" i="19" s="1"/>
  <c r="AU21" i="33"/>
  <c r="G48" i="19" s="1"/>
  <c r="Y21" i="33"/>
  <c r="G26" i="19" s="1"/>
  <c r="Y39" i="33"/>
  <c r="L26" i="19" s="1"/>
  <c r="AS39" i="33"/>
  <c r="L46" i="19" s="1"/>
  <c r="AS21" i="33"/>
  <c r="G46" i="19" s="1"/>
  <c r="AZ21" i="33"/>
  <c r="G53" i="19" s="1"/>
  <c r="AZ39" i="33"/>
  <c r="L53" i="19" s="1"/>
  <c r="AA39" i="33"/>
  <c r="L28" i="19" s="1"/>
  <c r="AA21" i="33"/>
  <c r="G28" i="19" s="1"/>
  <c r="AI21" i="33"/>
  <c r="G36" i="19" s="1"/>
  <c r="AI39" i="33"/>
  <c r="L36" i="19" s="1"/>
  <c r="BE21" i="33"/>
  <c r="G58" i="19" s="1"/>
  <c r="BE39" i="33"/>
  <c r="L58" i="19" s="1"/>
  <c r="AY21" i="33"/>
  <c r="G52" i="19" s="1"/>
  <c r="AY39" i="33"/>
  <c r="L52" i="19" s="1"/>
  <c r="W39" i="33"/>
  <c r="L24" i="19" s="1"/>
  <c r="W21" i="33"/>
  <c r="G24" i="19" s="1"/>
  <c r="AV21" i="33"/>
  <c r="G49" i="19" s="1"/>
  <c r="AV39" i="33"/>
  <c r="L49" i="19" s="1"/>
  <c r="BB39" i="33"/>
  <c r="L55" i="19" s="1"/>
  <c r="BB21" i="33"/>
  <c r="G55" i="19" s="1"/>
  <c r="AF21" i="33"/>
  <c r="G33" i="19" s="1"/>
  <c r="AF39" i="33"/>
  <c r="L33" i="19" s="1"/>
  <c r="AM39" i="33"/>
  <c r="L40" i="19" s="1"/>
  <c r="AM21" i="33"/>
  <c r="G40" i="19" s="1"/>
  <c r="V21" i="33"/>
  <c r="G23" i="19" s="1"/>
  <c r="V39" i="33"/>
  <c r="L23" i="19" s="1"/>
  <c r="AJ39" i="33"/>
  <c r="L37" i="19" s="1"/>
  <c r="AJ21" i="33"/>
  <c r="G37" i="19" s="1"/>
  <c r="AR21" i="33"/>
  <c r="G45" i="19" s="1"/>
  <c r="AR39" i="33"/>
  <c r="L45" i="19" s="1"/>
  <c r="BC39" i="33"/>
  <c r="L56" i="19" s="1"/>
  <c r="BC21" i="33"/>
  <c r="G56" i="19" s="1"/>
  <c r="BF39" i="33"/>
  <c r="L59" i="19" s="1"/>
  <c r="BF21" i="33"/>
  <c r="G59" i="19" s="1"/>
  <c r="X39" i="33"/>
  <c r="L25" i="19" s="1"/>
  <c r="X21" i="33"/>
  <c r="G25" i="19" s="1"/>
  <c r="AH39" i="33"/>
  <c r="L35" i="19" s="1"/>
  <c r="AH21" i="33"/>
  <c r="G35" i="19" s="1"/>
  <c r="AX39" i="33"/>
  <c r="L51" i="19" s="1"/>
  <c r="AX21" i="33"/>
  <c r="G51" i="19" s="1"/>
  <c r="AD21" i="33"/>
  <c r="G31" i="19" s="1"/>
  <c r="AD39" i="33"/>
  <c r="L31" i="19" s="1"/>
  <c r="AG39" i="33"/>
  <c r="L34" i="19" s="1"/>
  <c r="AG21" i="33"/>
  <c r="G34" i="19" s="1"/>
  <c r="AN21" i="33"/>
  <c r="G41" i="19" s="1"/>
  <c r="AN39" i="33"/>
  <c r="L41" i="19" s="1"/>
  <c r="AQ21" i="33"/>
  <c r="G44" i="19" s="1"/>
  <c r="AQ39" i="33"/>
  <c r="L44" i="19" s="1"/>
  <c r="AE39" i="33"/>
  <c r="L32" i="19" s="1"/>
  <c r="AE21" i="33"/>
  <c r="G32" i="19" s="1"/>
  <c r="AT39" i="33"/>
  <c r="L47" i="19" s="1"/>
  <c r="AT21" i="33"/>
  <c r="G47" i="19" s="1"/>
  <c r="BL38" i="41"/>
  <c r="EH24" i="41"/>
  <c r="EH9" i="41"/>
  <c r="EH5" i="41"/>
  <c r="EH25" i="41"/>
  <c r="EH17" i="41"/>
  <c r="EH6" i="41"/>
  <c r="EH15" i="41"/>
  <c r="EH21" i="41"/>
  <c r="EH12" i="41"/>
  <c r="EH8" i="41"/>
  <c r="EH16" i="41"/>
  <c r="EH4" i="41"/>
  <c r="EH20" i="41"/>
  <c r="EH10" i="41"/>
  <c r="EH27" i="41"/>
  <c r="EH26" i="41"/>
  <c r="EH22" i="41"/>
  <c r="EH14" i="41"/>
  <c r="EH13" i="41"/>
  <c r="EH23" i="41"/>
  <c r="EH18" i="41"/>
  <c r="EH3" i="41"/>
  <c r="EH7" i="41"/>
  <c r="EH19" i="41"/>
  <c r="BO11" i="41"/>
  <c r="BN36" i="41"/>
  <c r="EI11" i="41" s="1"/>
  <c r="DF51" i="37" l="1"/>
  <c r="EG77" i="37" s="1"/>
  <c r="DF35" i="37"/>
  <c r="DF49" i="37"/>
  <c r="EE77" i="37" s="1"/>
  <c r="DF55" i="37"/>
  <c r="EK77" i="37" s="1"/>
  <c r="DG31" i="37"/>
  <c r="DG54" i="37" s="1"/>
  <c r="EJ78" i="37" s="1"/>
  <c r="DG4" i="37"/>
  <c r="DG33" i="37" s="1"/>
  <c r="DG8" i="37"/>
  <c r="DG37" i="37" s="1"/>
  <c r="DS78" i="37" s="1"/>
  <c r="DG12" i="37"/>
  <c r="DG16" i="37"/>
  <c r="DG45" i="37" s="1"/>
  <c r="EA78" i="37" s="1"/>
  <c r="DG5" i="37"/>
  <c r="DG34" i="37" s="1"/>
  <c r="DG20" i="37"/>
  <c r="DG49" i="37" s="1"/>
  <c r="EE78" i="37" s="1"/>
  <c r="DG24" i="37"/>
  <c r="DG53" i="37" s="1"/>
  <c r="EI78" i="37" s="1"/>
  <c r="DG28" i="37"/>
  <c r="DG21" i="37"/>
  <c r="DG17" i="37"/>
  <c r="DG7" i="37"/>
  <c r="DG11" i="37"/>
  <c r="DG15" i="37"/>
  <c r="DG44" i="37" s="1"/>
  <c r="DZ78" i="37" s="1"/>
  <c r="DG19" i="37"/>
  <c r="DG26" i="37"/>
  <c r="DG6" i="37"/>
  <c r="DG35" i="37" s="1"/>
  <c r="DG23" i="37"/>
  <c r="DG52" i="37" s="1"/>
  <c r="EH78" i="37" s="1"/>
  <c r="DG13" i="37"/>
  <c r="DG42" i="37" s="1"/>
  <c r="DX78" i="37" s="1"/>
  <c r="DG14" i="37"/>
  <c r="DG43" i="37" s="1"/>
  <c r="DY78" i="37" s="1"/>
  <c r="DG25" i="37"/>
  <c r="DG27" i="37"/>
  <c r="DG9" i="37"/>
  <c r="DG10" i="37"/>
  <c r="DG22" i="37"/>
  <c r="DG18" i="37"/>
  <c r="DG47" i="37" s="1"/>
  <c r="EC78" i="37" s="1"/>
  <c r="DG3" i="37"/>
  <c r="DG32" i="37" s="1"/>
  <c r="DN78" i="37" s="1"/>
  <c r="AM353" i="5"/>
  <c r="AJ354" i="5"/>
  <c r="Y355" i="5"/>
  <c r="N358" i="5"/>
  <c r="CK45" i="5"/>
  <c r="CG46" i="5"/>
  <c r="CH46" i="5" s="1"/>
  <c r="BW43" i="5"/>
  <c r="BV43" i="5" s="1"/>
  <c r="BX43" i="5" s="1"/>
  <c r="CX143" i="5"/>
  <c r="CW144" i="5"/>
  <c r="DO77" i="37"/>
  <c r="DR77" i="37"/>
  <c r="DQ77" i="37"/>
  <c r="DP77" i="37"/>
  <c r="DF58" i="37"/>
  <c r="DG41" i="37"/>
  <c r="DW78" i="37" s="1"/>
  <c r="DG48" i="37"/>
  <c r="ED78" i="37" s="1"/>
  <c r="DG51" i="37"/>
  <c r="EG78" i="37" s="1"/>
  <c r="DG55" i="37"/>
  <c r="EK78" i="37" s="1"/>
  <c r="DG40" i="37"/>
  <c r="DV78" i="37" s="1"/>
  <c r="DF29" i="37"/>
  <c r="G3" i="19"/>
  <c r="AL65" i="5"/>
  <c r="AK65" i="5" s="1"/>
  <c r="E19" i="5"/>
  <c r="D19" i="5" s="1"/>
  <c r="F19" i="5" s="1"/>
  <c r="C20" i="5" s="1"/>
  <c r="AB67" i="5"/>
  <c r="Y68" i="5" s="1"/>
  <c r="X68" i="5"/>
  <c r="M68" i="5"/>
  <c r="N68" i="5"/>
  <c r="B65" i="17"/>
  <c r="K66" i="50"/>
  <c r="B65" i="52"/>
  <c r="AD64" i="51"/>
  <c r="D41" i="24"/>
  <c r="Q30" i="19"/>
  <c r="D51" i="24"/>
  <c r="Q58" i="19"/>
  <c r="Q55" i="19"/>
  <c r="D56" i="24"/>
  <c r="D57" i="24"/>
  <c r="D37" i="24"/>
  <c r="Q27" i="19"/>
  <c r="Q47" i="19"/>
  <c r="Q45" i="19"/>
  <c r="Q36" i="19"/>
  <c r="D35" i="24"/>
  <c r="D59" i="24"/>
  <c r="Q28" i="19"/>
  <c r="Q32" i="19"/>
  <c r="Q35" i="19"/>
  <c r="D45" i="24"/>
  <c r="D36" i="24"/>
  <c r="D50" i="24"/>
  <c r="Q57" i="19"/>
  <c r="Q41" i="19"/>
  <c r="D66" i="24"/>
  <c r="D38" i="24"/>
  <c r="Q43" i="19"/>
  <c r="D42" i="24"/>
  <c r="Q51" i="19"/>
  <c r="Q29" i="19"/>
  <c r="D55" i="24"/>
  <c r="Q37" i="19"/>
  <c r="Q42" i="19"/>
  <c r="D43" i="24"/>
  <c r="Q24" i="19"/>
  <c r="Q25" i="19"/>
  <c r="Q23" i="19"/>
  <c r="Q38" i="19"/>
  <c r="D33" i="24"/>
  <c r="D34" i="24"/>
  <c r="Q34" i="19"/>
  <c r="Q56" i="19"/>
  <c r="Q33" i="19"/>
  <c r="Q26" i="19"/>
  <c r="D64" i="24"/>
  <c r="Q48" i="19"/>
  <c r="Q50" i="19"/>
  <c r="D39" i="24"/>
  <c r="D63" i="24"/>
  <c r="D58" i="24"/>
  <c r="Q31" i="19"/>
  <c r="D53" i="24"/>
  <c r="D44" i="24"/>
  <c r="Q49" i="19"/>
  <c r="D65" i="24"/>
  <c r="D40" i="24"/>
  <c r="D31" i="24"/>
  <c r="D61" i="24"/>
  <c r="D46" i="24"/>
  <c r="Q39" i="19"/>
  <c r="D52" i="24"/>
  <c r="D32" i="24"/>
  <c r="Q53" i="19"/>
  <c r="D47" i="24"/>
  <c r="Q44" i="19"/>
  <c r="Q40" i="19"/>
  <c r="D60" i="24"/>
  <c r="Q46" i="19"/>
  <c r="Q54" i="19"/>
  <c r="D49" i="24"/>
  <c r="D48" i="24"/>
  <c r="Q52" i="19"/>
  <c r="D54" i="24"/>
  <c r="D5" i="24"/>
  <c r="D62" i="24"/>
  <c r="Q59" i="19"/>
  <c r="D67" i="24"/>
  <c r="BM38" i="41"/>
  <c r="EI24" i="41"/>
  <c r="EI13" i="41"/>
  <c r="EI7" i="41"/>
  <c r="EI19" i="41"/>
  <c r="EI5" i="41"/>
  <c r="EI18" i="41"/>
  <c r="EI23" i="41"/>
  <c r="EI20" i="41"/>
  <c r="EI3" i="41"/>
  <c r="EI26" i="41"/>
  <c r="EI4" i="41"/>
  <c r="EI8" i="41"/>
  <c r="EI14" i="41"/>
  <c r="EI21" i="41"/>
  <c r="EI6" i="41"/>
  <c r="EI10" i="41"/>
  <c r="EI9" i="41"/>
  <c r="EI15" i="41"/>
  <c r="EI17" i="41"/>
  <c r="EI22" i="41"/>
  <c r="EI12" i="41"/>
  <c r="EI16" i="41"/>
  <c r="EI25" i="41"/>
  <c r="EI27" i="41"/>
  <c r="BP11" i="41"/>
  <c r="BO36" i="41"/>
  <c r="EJ11" i="41" s="1"/>
  <c r="DG36" i="37" l="1"/>
  <c r="DG57" i="37"/>
  <c r="EM78" i="37" s="1"/>
  <c r="DG38" i="37"/>
  <c r="DT78" i="37" s="1"/>
  <c r="DG46" i="37"/>
  <c r="EB78" i="37" s="1"/>
  <c r="DG56" i="37"/>
  <c r="EL78" i="37" s="1"/>
  <c r="DG50" i="37"/>
  <c r="EF78" i="37" s="1"/>
  <c r="DG39" i="37"/>
  <c r="DU78" i="37" s="1"/>
  <c r="AL354" i="5"/>
  <c r="AK354" i="5" s="1"/>
  <c r="P358" i="5"/>
  <c r="O358" i="5" s="1"/>
  <c r="AA355" i="5"/>
  <c r="Z355" i="5" s="1"/>
  <c r="CP46" i="5"/>
  <c r="BT44" i="5"/>
  <c r="BU44" i="5" s="1"/>
  <c r="CW145" i="5"/>
  <c r="CX144" i="5"/>
  <c r="DR78" i="37"/>
  <c r="DQ78" i="37"/>
  <c r="DP78" i="37"/>
  <c r="DO78" i="37"/>
  <c r="DG58" i="37"/>
  <c r="DG29" i="37"/>
  <c r="P68" i="5"/>
  <c r="O68" i="5" s="1"/>
  <c r="Q68" i="5" s="1"/>
  <c r="AM65" i="5"/>
  <c r="AJ66" i="5" s="1"/>
  <c r="AI66" i="5"/>
  <c r="E20" i="5"/>
  <c r="D20" i="5" s="1"/>
  <c r="B20" i="5"/>
  <c r="AA68" i="5"/>
  <c r="Z68" i="5" s="1"/>
  <c r="S2" i="29"/>
  <c r="B66" i="17"/>
  <c r="B66" i="52"/>
  <c r="K67" i="50"/>
  <c r="AD65" i="51"/>
  <c r="BN38" i="41"/>
  <c r="EJ24" i="41"/>
  <c r="EJ20" i="41"/>
  <c r="EJ16" i="41"/>
  <c r="EJ10" i="41"/>
  <c r="EJ8" i="41"/>
  <c r="EJ26" i="41"/>
  <c r="EJ3" i="41"/>
  <c r="EJ22" i="41"/>
  <c r="EJ13" i="41"/>
  <c r="EJ23" i="41"/>
  <c r="EJ7" i="41"/>
  <c r="EJ18" i="41"/>
  <c r="EJ15" i="41"/>
  <c r="EJ14" i="41"/>
  <c r="EJ6" i="41"/>
  <c r="EJ19" i="41"/>
  <c r="EJ9" i="41"/>
  <c r="EJ12" i="41"/>
  <c r="EJ25" i="41"/>
  <c r="EJ21" i="41"/>
  <c r="EJ5" i="41"/>
  <c r="EJ17" i="41"/>
  <c r="EJ27" i="41"/>
  <c r="EJ4" i="41"/>
  <c r="BQ11" i="41"/>
  <c r="BP36" i="41"/>
  <c r="EK11" i="41" s="1"/>
  <c r="AB355" i="5" l="1"/>
  <c r="Y356" i="5"/>
  <c r="Q358" i="5"/>
  <c r="N359" i="5"/>
  <c r="AM354" i="5"/>
  <c r="AJ355" i="5"/>
  <c r="CJ46" i="5"/>
  <c r="CI46" i="5" s="1"/>
  <c r="CK46" i="5" s="1"/>
  <c r="CC44" i="5"/>
  <c r="CX145" i="5"/>
  <c r="CW146" i="5"/>
  <c r="AL66" i="5"/>
  <c r="AK66" i="5" s="1"/>
  <c r="AM66" i="5" s="1"/>
  <c r="AJ67" i="5" s="1"/>
  <c r="B21" i="5"/>
  <c r="AB68" i="5"/>
  <c r="Y69" i="5" s="1"/>
  <c r="X69" i="5"/>
  <c r="M69" i="5"/>
  <c r="N69" i="5"/>
  <c r="F20" i="5"/>
  <c r="C21" i="5" s="1"/>
  <c r="B67" i="17"/>
  <c r="K68" i="50"/>
  <c r="B67" i="52"/>
  <c r="AD66" i="51"/>
  <c r="BO38" i="41"/>
  <c r="EK24" i="41"/>
  <c r="EK6" i="41"/>
  <c r="EK20" i="41"/>
  <c r="EK15" i="41"/>
  <c r="EK4" i="41"/>
  <c r="EK17" i="41"/>
  <c r="EK8" i="41"/>
  <c r="EK25" i="41"/>
  <c r="EK16" i="41"/>
  <c r="EK5" i="41"/>
  <c r="EK3" i="41"/>
  <c r="EK19" i="41"/>
  <c r="EK13" i="41"/>
  <c r="EK7" i="41"/>
  <c r="EK23" i="41"/>
  <c r="EK9" i="41"/>
  <c r="EK18" i="41"/>
  <c r="EK22" i="41"/>
  <c r="EK21" i="41"/>
  <c r="EK26" i="41"/>
  <c r="EK10" i="41"/>
  <c r="EK12" i="41"/>
  <c r="EK14" i="41"/>
  <c r="EK27" i="41"/>
  <c r="BR11" i="41"/>
  <c r="BQ36" i="41"/>
  <c r="EL11" i="41" s="1"/>
  <c r="AK355" i="5" l="1"/>
  <c r="AM355" i="5" s="1"/>
  <c r="AL355" i="5"/>
  <c r="P359" i="5"/>
  <c r="O359" i="5" s="1"/>
  <c r="AA356" i="5"/>
  <c r="Z356" i="5" s="1"/>
  <c r="CG47" i="5"/>
  <c r="CH47" i="5" s="1"/>
  <c r="BW44" i="5"/>
  <c r="BV44" i="5" s="1"/>
  <c r="BX44" i="5" s="1"/>
  <c r="CW147" i="5"/>
  <c r="CX146" i="5"/>
  <c r="P69" i="5"/>
  <c r="O69" i="5" s="1"/>
  <c r="Q69" i="5" s="1"/>
  <c r="AL67" i="5"/>
  <c r="AK67" i="5" s="1"/>
  <c r="AI67" i="5"/>
  <c r="E21" i="5"/>
  <c r="D21" i="5" s="1"/>
  <c r="AA69" i="5"/>
  <c r="Z69" i="5" s="1"/>
  <c r="K69" i="50"/>
  <c r="B68" i="52"/>
  <c r="B68" i="17"/>
  <c r="AD67" i="51"/>
  <c r="BP38" i="41"/>
  <c r="EL24" i="41"/>
  <c r="EL18" i="41"/>
  <c r="EL8" i="41"/>
  <c r="EL15" i="41"/>
  <c r="EL6" i="41"/>
  <c r="EL10" i="41"/>
  <c r="EL3" i="41"/>
  <c r="EL26" i="41"/>
  <c r="EL13" i="41"/>
  <c r="EL19" i="41"/>
  <c r="EL9" i="41"/>
  <c r="EL5" i="41"/>
  <c r="EL12" i="41"/>
  <c r="EL14" i="41"/>
  <c r="EL27" i="41"/>
  <c r="EL25" i="41"/>
  <c r="EL23" i="41"/>
  <c r="EL16" i="41"/>
  <c r="EL20" i="41"/>
  <c r="EL7" i="41"/>
  <c r="EL17" i="41"/>
  <c r="EL4" i="41"/>
  <c r="EL22" i="41"/>
  <c r="EL21" i="41"/>
  <c r="BS11" i="41"/>
  <c r="BR36" i="41"/>
  <c r="EM11" i="41" s="1"/>
  <c r="AA4" i="34" l="1"/>
  <c r="P8" i="34" s="1"/>
  <c r="AA5" i="34"/>
  <c r="P9" i="34" s="1"/>
  <c r="AA9" i="34"/>
  <c r="P13" i="34" s="1"/>
  <c r="AA3" i="34"/>
  <c r="P7" i="34" s="1"/>
  <c r="AA8" i="34"/>
  <c r="P12" i="34" s="1"/>
  <c r="AA7" i="34"/>
  <c r="P11" i="34" s="1"/>
  <c r="AA10" i="34"/>
  <c r="P14" i="34" s="1"/>
  <c r="AA6" i="34"/>
  <c r="P10" i="34" s="1"/>
  <c r="AA2" i="34"/>
  <c r="P6" i="34" s="1"/>
  <c r="AA12" i="34"/>
  <c r="P16" i="34" s="1"/>
  <c r="O16" i="34" s="1"/>
  <c r="AB356" i="5"/>
  <c r="Y357" i="5"/>
  <c r="Q359" i="5"/>
  <c r="N360" i="5"/>
  <c r="AJ356" i="5"/>
  <c r="CP47" i="5"/>
  <c r="BT45" i="5"/>
  <c r="BU45" i="5" s="1"/>
  <c r="CX147" i="5"/>
  <c r="CW148" i="5"/>
  <c r="AM67" i="5"/>
  <c r="AJ68" i="5" s="1"/>
  <c r="AI68" i="5"/>
  <c r="B22" i="5"/>
  <c r="AB69" i="5"/>
  <c r="Y70" i="5" s="1"/>
  <c r="X70" i="5"/>
  <c r="M70" i="5"/>
  <c r="N70" i="5"/>
  <c r="F21" i="5"/>
  <c r="C22" i="5" s="1"/>
  <c r="B69" i="17"/>
  <c r="B69" i="52"/>
  <c r="K70" i="50"/>
  <c r="AD69" i="51" s="1"/>
  <c r="AD68" i="51"/>
  <c r="BQ38" i="41"/>
  <c r="EM24" i="41"/>
  <c r="EM7" i="41"/>
  <c r="EM4" i="41"/>
  <c r="EM3" i="41"/>
  <c r="EM6" i="41"/>
  <c r="EM9" i="41"/>
  <c r="EM18" i="41"/>
  <c r="EM10" i="41"/>
  <c r="EM12" i="41"/>
  <c r="EM27" i="41"/>
  <c r="EM20" i="41"/>
  <c r="EM5" i="41"/>
  <c r="EM23" i="41"/>
  <c r="EM13" i="41"/>
  <c r="EM22" i="41"/>
  <c r="EM25" i="41"/>
  <c r="EM19" i="41"/>
  <c r="EM26" i="41"/>
  <c r="EM8" i="41"/>
  <c r="EM14" i="41"/>
  <c r="EM16" i="41"/>
  <c r="EM21" i="41"/>
  <c r="EM15" i="41"/>
  <c r="EM17" i="41"/>
  <c r="BT11" i="41"/>
  <c r="BS36" i="41"/>
  <c r="EN11" i="41" s="1"/>
  <c r="AA357" i="5" l="1"/>
  <c r="Z357" i="5" s="1"/>
  <c r="AL356" i="5"/>
  <c r="AK356" i="5" s="1"/>
  <c r="P360" i="5"/>
  <c r="O360" i="5"/>
  <c r="Q360" i="5" s="1"/>
  <c r="N361" i="5"/>
  <c r="CJ47" i="5"/>
  <c r="CI47" i="5" s="1"/>
  <c r="CC45" i="5"/>
  <c r="CX148" i="5"/>
  <c r="CW149" i="5"/>
  <c r="P70" i="5"/>
  <c r="O70" i="5" s="1"/>
  <c r="Q70" i="5" s="1"/>
  <c r="AL68" i="5"/>
  <c r="AK68" i="5" s="1"/>
  <c r="E22" i="5"/>
  <c r="D22" i="5" s="1"/>
  <c r="AA70" i="5"/>
  <c r="Z70" i="5" s="1"/>
  <c r="AB70" i="5" s="1"/>
  <c r="B70" i="17"/>
  <c r="K71" i="50"/>
  <c r="AD70" i="51" s="1"/>
  <c r="B70" i="52"/>
  <c r="BR38" i="41"/>
  <c r="EN24" i="41"/>
  <c r="EN3" i="41"/>
  <c r="EN26" i="41"/>
  <c r="EN13" i="41"/>
  <c r="EN25" i="41"/>
  <c r="EN7" i="41"/>
  <c r="EN9" i="41"/>
  <c r="EN21" i="41"/>
  <c r="EN27" i="41"/>
  <c r="EN19" i="41"/>
  <c r="EN6" i="41"/>
  <c r="EN5" i="41"/>
  <c r="EN12" i="41"/>
  <c r="EN14" i="41"/>
  <c r="EN22" i="41"/>
  <c r="EN20" i="41"/>
  <c r="EN15" i="41"/>
  <c r="EN17" i="41"/>
  <c r="EN16" i="41"/>
  <c r="EN8" i="41"/>
  <c r="EN23" i="41"/>
  <c r="EN10" i="41"/>
  <c r="EN4" i="41"/>
  <c r="EN18" i="41"/>
  <c r="BU11" i="41"/>
  <c r="BT36" i="41"/>
  <c r="EO11" i="41" s="1"/>
  <c r="AM356" i="5" l="1"/>
  <c r="AJ357" i="5"/>
  <c r="AB357" i="5"/>
  <c r="Y358" i="5"/>
  <c r="O361" i="5"/>
  <c r="Q361" i="5" s="1"/>
  <c r="N362" i="5"/>
  <c r="P361" i="5"/>
  <c r="CK47" i="5"/>
  <c r="CG48" i="5"/>
  <c r="BW45" i="5"/>
  <c r="BV45" i="5" s="1"/>
  <c r="BX45" i="5" s="1"/>
  <c r="CX149" i="5"/>
  <c r="CW150" i="5"/>
  <c r="AM68" i="5"/>
  <c r="AJ69" i="5" s="1"/>
  <c r="AI69" i="5"/>
  <c r="B23" i="5"/>
  <c r="X71" i="5"/>
  <c r="Y71" i="5"/>
  <c r="AA71" i="5"/>
  <c r="M71" i="5"/>
  <c r="N71" i="5"/>
  <c r="F22" i="5"/>
  <c r="C23" i="5" s="1"/>
  <c r="B71" i="52"/>
  <c r="K72" i="50"/>
  <c r="AD71" i="51" s="1"/>
  <c r="B71" i="17"/>
  <c r="EO24" i="41"/>
  <c r="EO18" i="41"/>
  <c r="EO26" i="41"/>
  <c r="EO7" i="41"/>
  <c r="EO22" i="41"/>
  <c r="EO20" i="41"/>
  <c r="EO4" i="41"/>
  <c r="EO6" i="41"/>
  <c r="EO12" i="41"/>
  <c r="EO9" i="41"/>
  <c r="EO10" i="41"/>
  <c r="EO14" i="41"/>
  <c r="EO21" i="41"/>
  <c r="EO16" i="41"/>
  <c r="EO15" i="41"/>
  <c r="EO5" i="41"/>
  <c r="EO3" i="41"/>
  <c r="EO23" i="41"/>
  <c r="EO17" i="41"/>
  <c r="EO25" i="41"/>
  <c r="EO8" i="41"/>
  <c r="EO27" i="41"/>
  <c r="EO19" i="41"/>
  <c r="EO13" i="41"/>
  <c r="BS38" i="41"/>
  <c r="BV11" i="41"/>
  <c r="BU36" i="41"/>
  <c r="EP11" i="41" s="1"/>
  <c r="AA358" i="5" l="1"/>
  <c r="Z358" i="5" s="1"/>
  <c r="P362" i="5"/>
  <c r="O362" i="5" s="1"/>
  <c r="AL357" i="5"/>
  <c r="AK357" i="5"/>
  <c r="AM357" i="5" s="1"/>
  <c r="AJ358" i="5"/>
  <c r="CH48" i="5"/>
  <c r="CP48" i="5"/>
  <c r="BT46" i="5"/>
  <c r="BU46" i="5" s="1"/>
  <c r="CX150" i="5"/>
  <c r="CW151" i="5"/>
  <c r="Z71" i="5"/>
  <c r="AL69" i="5"/>
  <c r="AK69" i="5" s="1"/>
  <c r="E23" i="5"/>
  <c r="D23" i="5" s="1"/>
  <c r="X72" i="5"/>
  <c r="AB71" i="5"/>
  <c r="Y72" i="5" s="1"/>
  <c r="P71" i="5"/>
  <c r="O71" i="5" s="1"/>
  <c r="B72" i="17"/>
  <c r="K73" i="50"/>
  <c r="AD72" i="51" s="1"/>
  <c r="B72" i="52"/>
  <c r="BT38" i="41"/>
  <c r="EP24" i="41"/>
  <c r="EP17" i="41"/>
  <c r="EP3" i="41"/>
  <c r="EP8" i="41"/>
  <c r="EP5" i="41"/>
  <c r="EP9" i="41"/>
  <c r="EP15" i="41"/>
  <c r="EP6" i="41"/>
  <c r="EP25" i="41"/>
  <c r="EP21" i="41"/>
  <c r="EP18" i="41"/>
  <c r="EP14" i="41"/>
  <c r="EP22" i="41"/>
  <c r="EP23" i="41"/>
  <c r="EP19" i="41"/>
  <c r="EP27" i="41"/>
  <c r="EP16" i="41"/>
  <c r="EP10" i="41"/>
  <c r="EP4" i="41"/>
  <c r="EP13" i="41"/>
  <c r="EP12" i="41"/>
  <c r="EP7" i="41"/>
  <c r="EP26" i="41"/>
  <c r="EP20" i="41"/>
  <c r="BW11" i="41"/>
  <c r="BV36" i="41"/>
  <c r="EQ11" i="41" s="1"/>
  <c r="Q362" i="5" l="1"/>
  <c r="N363" i="5" s="1"/>
  <c r="AB358" i="5"/>
  <c r="Y359" i="5" s="1"/>
  <c r="AL358" i="5"/>
  <c r="AK358" i="5" s="1"/>
  <c r="CJ48" i="5"/>
  <c r="CI48" i="5" s="1"/>
  <c r="CK48" i="5" s="1"/>
  <c r="CC46" i="5"/>
  <c r="CX151" i="5"/>
  <c r="CW152" i="5"/>
  <c r="M72" i="5"/>
  <c r="Q71" i="5"/>
  <c r="N72" i="5" s="1"/>
  <c r="AM69" i="5"/>
  <c r="AJ70" i="5" s="1"/>
  <c r="AI70" i="5"/>
  <c r="B24" i="5"/>
  <c r="AA72" i="5"/>
  <c r="Z72" i="5" s="1"/>
  <c r="F23" i="5"/>
  <c r="C24" i="5" s="1"/>
  <c r="K74" i="50"/>
  <c r="AD73" i="51" s="1"/>
  <c r="B73" i="52"/>
  <c r="B73" i="17"/>
  <c r="BU38" i="41"/>
  <c r="EQ24" i="41"/>
  <c r="EQ22" i="41"/>
  <c r="EQ12" i="41"/>
  <c r="EQ21" i="41"/>
  <c r="EQ25" i="41"/>
  <c r="EQ18" i="41"/>
  <c r="EQ3" i="41"/>
  <c r="EQ4" i="41"/>
  <c r="EQ17" i="41"/>
  <c r="EQ15" i="41"/>
  <c r="EQ27" i="41"/>
  <c r="EQ5" i="41"/>
  <c r="EQ19" i="41"/>
  <c r="EQ20" i="41"/>
  <c r="EQ6" i="41"/>
  <c r="EQ14" i="41"/>
  <c r="EQ13" i="41"/>
  <c r="EQ9" i="41"/>
  <c r="EQ23" i="41"/>
  <c r="EQ26" i="41"/>
  <c r="EQ10" i="41"/>
  <c r="EQ16" i="41"/>
  <c r="EQ8" i="41"/>
  <c r="EQ7" i="41"/>
  <c r="BW36" i="41"/>
  <c r="ER11" i="41" s="1"/>
  <c r="AM358" i="5" l="1"/>
  <c r="AJ359" i="5" s="1"/>
  <c r="AA359" i="5"/>
  <c r="Z359" i="5" s="1"/>
  <c r="P363" i="5"/>
  <c r="O363" i="5" s="1"/>
  <c r="CG49" i="5"/>
  <c r="CH49" i="5" s="1"/>
  <c r="BW46" i="5"/>
  <c r="BV46" i="5" s="1"/>
  <c r="BX46" i="5" s="1"/>
  <c r="CX152" i="5"/>
  <c r="CW153" i="5"/>
  <c r="P72" i="5"/>
  <c r="O72" i="5" s="1"/>
  <c r="M73" i="5" s="1"/>
  <c r="AL70" i="5"/>
  <c r="AK70" i="5" s="1"/>
  <c r="E24" i="5"/>
  <c r="AB72" i="5"/>
  <c r="X73" i="5"/>
  <c r="Y73" i="5"/>
  <c r="B74" i="17"/>
  <c r="K75" i="50"/>
  <c r="AD74" i="51" s="1"/>
  <c r="B74" i="52"/>
  <c r="BV38" i="41"/>
  <c r="ER4" i="41"/>
  <c r="ER23" i="41"/>
  <c r="ER9" i="41"/>
  <c r="ER26" i="41"/>
  <c r="ER27" i="41"/>
  <c r="ER20" i="41"/>
  <c r="ER21" i="41"/>
  <c r="ER18" i="41"/>
  <c r="ER13" i="41"/>
  <c r="ER3" i="41"/>
  <c r="ER24" i="41"/>
  <c r="ER10" i="41"/>
  <c r="ER14" i="41"/>
  <c r="ER19" i="41"/>
  <c r="ER25" i="41"/>
  <c r="ER12" i="41"/>
  <c r="ER8" i="41"/>
  <c r="ER17" i="41"/>
  <c r="ER15" i="41"/>
  <c r="ER22" i="41"/>
  <c r="ER7" i="41"/>
  <c r="ER5" i="41"/>
  <c r="ER6" i="41"/>
  <c r="ER16" i="41"/>
  <c r="AL359" i="5" l="1"/>
  <c r="AK359" i="5" s="1"/>
  <c r="Q363" i="5"/>
  <c r="N364" i="5"/>
  <c r="AB359" i="5"/>
  <c r="Y360" i="5"/>
  <c r="CP49" i="5"/>
  <c r="BT47" i="5"/>
  <c r="BU47" i="5" s="1"/>
  <c r="CX153" i="5"/>
  <c r="CW154" i="5"/>
  <c r="Q72" i="5"/>
  <c r="N73" i="5" s="1"/>
  <c r="P73" i="5" s="1"/>
  <c r="O73" i="5" s="1"/>
  <c r="M74" i="5" s="1"/>
  <c r="AM70" i="5"/>
  <c r="AJ71" i="5" s="1"/>
  <c r="AI71" i="5"/>
  <c r="D24" i="5"/>
  <c r="AA73" i="5"/>
  <c r="Z73" i="5" s="1"/>
  <c r="X74" i="5" s="1"/>
  <c r="K76" i="50"/>
  <c r="AD75" i="51" s="1"/>
  <c r="B75" i="52"/>
  <c r="B75" i="17"/>
  <c r="AH80" i="51"/>
  <c r="BW38" i="41"/>
  <c r="AM359" i="5" l="1"/>
  <c r="AJ360" i="5"/>
  <c r="P364" i="5"/>
  <c r="O364" i="5" s="1"/>
  <c r="AA360" i="5"/>
  <c r="Z360" i="5" s="1"/>
  <c r="CJ49" i="5"/>
  <c r="CI49" i="5" s="1"/>
  <c r="CK49" i="5" s="1"/>
  <c r="CC47" i="5"/>
  <c r="CX154" i="5"/>
  <c r="CW155" i="5"/>
  <c r="AL71" i="5"/>
  <c r="AK71" i="5" s="1"/>
  <c r="B25" i="5"/>
  <c r="F24" i="5"/>
  <c r="C25" i="5" s="1"/>
  <c r="AB73" i="5"/>
  <c r="Y74" i="5" s="1"/>
  <c r="Q73" i="5"/>
  <c r="N74" i="5" s="1"/>
  <c r="B76" i="17"/>
  <c r="K77" i="50"/>
  <c r="AD76" i="51" s="1"/>
  <c r="B76" i="52"/>
  <c r="AH81" i="51"/>
  <c r="Q364" i="5" l="1"/>
  <c r="N365" i="5"/>
  <c r="AB360" i="5"/>
  <c r="Y361" i="5"/>
  <c r="AL360" i="5"/>
  <c r="AK360" i="5"/>
  <c r="AM360" i="5" s="1"/>
  <c r="CG50" i="5"/>
  <c r="CH50" i="5" s="1"/>
  <c r="BW47" i="5"/>
  <c r="BV47" i="5" s="1"/>
  <c r="BX47" i="5" s="1"/>
  <c r="CX155" i="5"/>
  <c r="CW156" i="5"/>
  <c r="P74" i="5"/>
  <c r="O74" i="5" s="1"/>
  <c r="Q74" i="5" s="1"/>
  <c r="AM71" i="5"/>
  <c r="AJ72" i="5" s="1"/>
  <c r="AI72" i="5"/>
  <c r="E25" i="5"/>
  <c r="D25" i="5" s="1"/>
  <c r="AA74" i="5"/>
  <c r="Z74" i="5" s="1"/>
  <c r="K78" i="50"/>
  <c r="AD77" i="51" s="1"/>
  <c r="B77" i="52"/>
  <c r="B77" i="17"/>
  <c r="AJ361" i="5" l="1"/>
  <c r="AA361" i="5"/>
  <c r="Z361" i="5"/>
  <c r="AB361" i="5" s="1"/>
  <c r="P365" i="5"/>
  <c r="O365" i="5" s="1"/>
  <c r="CP50" i="5"/>
  <c r="BT48" i="5"/>
  <c r="BU48" i="5" s="1"/>
  <c r="CX156" i="5"/>
  <c r="CW157" i="5"/>
  <c r="AB74" i="5"/>
  <c r="Y75" i="5" s="1"/>
  <c r="AL72" i="5"/>
  <c r="AK72" i="5" s="1"/>
  <c r="AM72" i="5" s="1"/>
  <c r="AJ73" i="5" s="1"/>
  <c r="F25" i="5"/>
  <c r="C26" i="5" s="1"/>
  <c r="B26" i="5"/>
  <c r="X75" i="5"/>
  <c r="N75" i="5"/>
  <c r="M75" i="5"/>
  <c r="B78" i="52"/>
  <c r="K79" i="50"/>
  <c r="AD78" i="51" s="1"/>
  <c r="B78" i="17"/>
  <c r="AH83" i="51"/>
  <c r="AH82" i="51"/>
  <c r="Q365" i="5" l="1"/>
  <c r="N366" i="5"/>
  <c r="Y362" i="5"/>
  <c r="AL361" i="5"/>
  <c r="AK361" i="5" s="1"/>
  <c r="CJ50" i="5"/>
  <c r="CI50" i="5" s="1"/>
  <c r="CK50" i="5" s="1"/>
  <c r="CC48" i="5"/>
  <c r="AI73" i="5"/>
  <c r="CW158" i="5"/>
  <c r="CX157" i="5"/>
  <c r="P75" i="5"/>
  <c r="O75" i="5" s="1"/>
  <c r="Q75" i="5" s="1"/>
  <c r="AA75" i="5"/>
  <c r="Z75" i="5" s="1"/>
  <c r="AL73" i="5"/>
  <c r="AK73" i="5" s="1"/>
  <c r="E26" i="5"/>
  <c r="D26" i="5" s="1"/>
  <c r="K80" i="50"/>
  <c r="B79" i="52"/>
  <c r="AM361" i="5" l="1"/>
  <c r="AJ362" i="5" s="1"/>
  <c r="AA362" i="5"/>
  <c r="Z362" i="5"/>
  <c r="AB362" i="5" s="1"/>
  <c r="Y363" i="5"/>
  <c r="P366" i="5"/>
  <c r="O366" i="5" s="1"/>
  <c r="CG51" i="5"/>
  <c r="CH51" i="5" s="1"/>
  <c r="BW48" i="5"/>
  <c r="BV48" i="5" s="1"/>
  <c r="BX48" i="5" s="1"/>
  <c r="CX158" i="5"/>
  <c r="CW159" i="5"/>
  <c r="AB75" i="5"/>
  <c r="Y76" i="5" s="1"/>
  <c r="AA76" i="5" s="1"/>
  <c r="X76" i="5"/>
  <c r="AM73" i="5"/>
  <c r="AJ74" i="5" s="1"/>
  <c r="AI74" i="5"/>
  <c r="F26" i="5"/>
  <c r="C27" i="5" s="1"/>
  <c r="B27" i="5"/>
  <c r="M76" i="5"/>
  <c r="N76" i="5"/>
  <c r="AD79" i="51"/>
  <c r="AL362" i="5" l="1"/>
  <c r="AK362" i="5" s="1"/>
  <c r="Q366" i="5"/>
  <c r="N367" i="5"/>
  <c r="AA363" i="5"/>
  <c r="Z363" i="5" s="1"/>
  <c r="CP51" i="5"/>
  <c r="BT49" i="5"/>
  <c r="BU49" i="5" s="1"/>
  <c r="CW160" i="5"/>
  <c r="CX159" i="5"/>
  <c r="P76" i="5"/>
  <c r="O76" i="5" s="1"/>
  <c r="Q76" i="5" s="1"/>
  <c r="Z76" i="5"/>
  <c r="X77" i="5" s="1"/>
  <c r="AL74" i="5"/>
  <c r="AK74" i="5" s="1"/>
  <c r="E27" i="5"/>
  <c r="D27" i="5" s="1"/>
  <c r="AD80" i="51"/>
  <c r="AB363" i="5" l="1"/>
  <c r="Y364" i="5" s="1"/>
  <c r="AM362" i="5"/>
  <c r="AJ363" i="5" s="1"/>
  <c r="P367" i="5"/>
  <c r="O367" i="5" s="1"/>
  <c r="CJ51" i="5"/>
  <c r="CC49" i="5"/>
  <c r="AM74" i="5"/>
  <c r="AJ75" i="5" s="1"/>
  <c r="AL75" i="5" s="1"/>
  <c r="AK75" i="5" s="1"/>
  <c r="AI75" i="5"/>
  <c r="N77" i="5"/>
  <c r="P77" i="5" s="1"/>
  <c r="O77" i="5" s="1"/>
  <c r="AB76" i="5"/>
  <c r="CX160" i="5"/>
  <c r="CW161" i="5"/>
  <c r="M77" i="5"/>
  <c r="Y77" i="5"/>
  <c r="AA77" i="5" s="1"/>
  <c r="F27" i="5"/>
  <c r="C28" i="5" s="1"/>
  <c r="B28" i="5"/>
  <c r="AD81" i="51"/>
  <c r="AA364" i="5" l="1"/>
  <c r="Z364" i="5" s="1"/>
  <c r="Q367" i="5"/>
  <c r="N368" i="5"/>
  <c r="AL363" i="5"/>
  <c r="AK363" i="5" s="1"/>
  <c r="CI51" i="5"/>
  <c r="CK51" i="5" s="1"/>
  <c r="BW49" i="5"/>
  <c r="BV49" i="5" s="1"/>
  <c r="BX49" i="5" s="1"/>
  <c r="M78" i="5"/>
  <c r="CX161" i="5"/>
  <c r="CW162" i="5"/>
  <c r="Z77" i="5"/>
  <c r="X78" i="5" s="1"/>
  <c r="AM75" i="5"/>
  <c r="AJ76" i="5" s="1"/>
  <c r="AI76" i="5"/>
  <c r="E28" i="5"/>
  <c r="D28" i="5" s="1"/>
  <c r="AB77" i="5"/>
  <c r="Y78" i="5" s="1"/>
  <c r="Q77" i="5"/>
  <c r="N78" i="5" s="1"/>
  <c r="AD82" i="51"/>
  <c r="AB364" i="5" l="1"/>
  <c r="Y365" i="5" s="1"/>
  <c r="AM363" i="5"/>
  <c r="AJ364" i="5"/>
  <c r="P368" i="5"/>
  <c r="O368" i="5" s="1"/>
  <c r="CG52" i="5"/>
  <c r="CH52" i="5" s="1"/>
  <c r="BT50" i="5"/>
  <c r="BU50" i="5" s="1"/>
  <c r="CX162" i="5"/>
  <c r="CW163" i="5"/>
  <c r="P78" i="5"/>
  <c r="O78" i="5" s="1"/>
  <c r="Q78" i="5" s="1"/>
  <c r="AL76" i="5"/>
  <c r="AK76" i="5" s="1"/>
  <c r="AM76" i="5" s="1"/>
  <c r="AJ77" i="5" s="1"/>
  <c r="F28" i="5"/>
  <c r="C29" i="5" s="1"/>
  <c r="B29" i="5"/>
  <c r="AA78" i="5"/>
  <c r="Z78" i="5" s="1"/>
  <c r="AD83" i="51"/>
  <c r="Z365" i="5" l="1"/>
  <c r="AB365" i="5" s="1"/>
  <c r="AA365" i="5"/>
  <c r="Q368" i="5"/>
  <c r="N369" i="5"/>
  <c r="AK364" i="5"/>
  <c r="AM364" i="5" s="1"/>
  <c r="AL364" i="5"/>
  <c r="CP52" i="5"/>
  <c r="CJ52" i="5"/>
  <c r="CI52" i="5" s="1"/>
  <c r="CK52" i="5" s="1"/>
  <c r="CC50" i="5"/>
  <c r="AI77" i="5"/>
  <c r="CX163" i="5"/>
  <c r="CW164" i="5"/>
  <c r="AB78" i="5"/>
  <c r="Y79" i="5" s="1"/>
  <c r="X79" i="5"/>
  <c r="AL77" i="5"/>
  <c r="AK77" i="5" s="1"/>
  <c r="AM77" i="5" s="1"/>
  <c r="AJ78" i="5" s="1"/>
  <c r="M79" i="5"/>
  <c r="N79" i="5"/>
  <c r="E29" i="5"/>
  <c r="D29" i="5" s="1"/>
  <c r="P369" i="5" l="1"/>
  <c r="O369" i="5"/>
  <c r="Q369" i="5" s="1"/>
  <c r="Y366" i="5"/>
  <c r="AJ365" i="5"/>
  <c r="CG53" i="5"/>
  <c r="CH53" i="5" s="1"/>
  <c r="BW50" i="5"/>
  <c r="BV50" i="5" s="1"/>
  <c r="BX50" i="5" s="1"/>
  <c r="AI78" i="5"/>
  <c r="CW165" i="5"/>
  <c r="CX164" i="5"/>
  <c r="P79" i="5"/>
  <c r="O79" i="5" s="1"/>
  <c r="AA79" i="5"/>
  <c r="Z79" i="5" s="1"/>
  <c r="AL78" i="5"/>
  <c r="AK78" i="5" s="1"/>
  <c r="F29" i="5"/>
  <c r="C30" i="5" s="1"/>
  <c r="B30" i="5"/>
  <c r="AL365" i="5" l="1"/>
  <c r="AK365" i="5" s="1"/>
  <c r="AA366" i="5"/>
  <c r="Z366" i="5" s="1"/>
  <c r="N370" i="5"/>
  <c r="CP53" i="5"/>
  <c r="BT51" i="5"/>
  <c r="BU51" i="5" s="1"/>
  <c r="CW166" i="5"/>
  <c r="CX165" i="5"/>
  <c r="Q79" i="5"/>
  <c r="M80" i="5"/>
  <c r="N80" i="5"/>
  <c r="AB79" i="5"/>
  <c r="Y80" i="5" s="1"/>
  <c r="AA80" i="5" s="1"/>
  <c r="X80" i="5"/>
  <c r="AM78" i="5"/>
  <c r="AJ79" i="5" s="1"/>
  <c r="AI79" i="5"/>
  <c r="E30" i="5"/>
  <c r="D30" i="5" s="1"/>
  <c r="AB366" i="5" l="1"/>
  <c r="Y367" i="5"/>
  <c r="AM365" i="5"/>
  <c r="AJ366" i="5"/>
  <c r="P370" i="5"/>
  <c r="O370" i="5"/>
  <c r="Q370" i="5" s="1"/>
  <c r="CJ53" i="5"/>
  <c r="CI53" i="5" s="1"/>
  <c r="CC51" i="5"/>
  <c r="CX166" i="5"/>
  <c r="CW167" i="5"/>
  <c r="P80" i="5"/>
  <c r="O80" i="5" s="1"/>
  <c r="Q80" i="5" s="1"/>
  <c r="N81" i="5" s="1"/>
  <c r="Z80" i="5"/>
  <c r="AB80" i="5" s="1"/>
  <c r="AL79" i="5"/>
  <c r="AK79" i="5" s="1"/>
  <c r="F30" i="5"/>
  <c r="C31" i="5" s="1"/>
  <c r="B31" i="5"/>
  <c r="AA367" i="5" l="1"/>
  <c r="Z367" i="5"/>
  <c r="AB367" i="5" s="1"/>
  <c r="AL366" i="5"/>
  <c r="AK366" i="5" s="1"/>
  <c r="N371" i="5"/>
  <c r="CK53" i="5"/>
  <c r="CG54" i="5"/>
  <c r="CH54" i="5" s="1"/>
  <c r="BW51" i="5"/>
  <c r="BV51" i="5" s="1"/>
  <c r="BX51" i="5" s="1"/>
  <c r="AM79" i="5"/>
  <c r="AJ80" i="5" s="1"/>
  <c r="AL80" i="5" s="1"/>
  <c r="AK80" i="5" s="1"/>
  <c r="AI80" i="5"/>
  <c r="X81" i="5"/>
  <c r="CX167" i="5"/>
  <c r="CW168" i="5"/>
  <c r="P81" i="5"/>
  <c r="O81" i="5" s="1"/>
  <c r="M81" i="5"/>
  <c r="Y81" i="5"/>
  <c r="AA81" i="5" s="1"/>
  <c r="E31" i="5"/>
  <c r="D31" i="5" s="1"/>
  <c r="AM366" i="5" l="1"/>
  <c r="AJ367" i="5"/>
  <c r="Y368" i="5"/>
  <c r="P371" i="5"/>
  <c r="O371" i="5" s="1"/>
  <c r="CP54" i="5"/>
  <c r="BT52" i="5"/>
  <c r="BU52" i="5" s="1"/>
  <c r="M82" i="5"/>
  <c r="CW169" i="5"/>
  <c r="CX168" i="5"/>
  <c r="Z81" i="5"/>
  <c r="AM80" i="5"/>
  <c r="AJ81" i="5" s="1"/>
  <c r="AI81" i="5"/>
  <c r="F31" i="5"/>
  <c r="C32" i="5" s="1"/>
  <c r="B32" i="5"/>
  <c r="Q81" i="5"/>
  <c r="N82" i="5" s="1"/>
  <c r="Q371" i="5" l="1"/>
  <c r="N372" i="5"/>
  <c r="AA368" i="5"/>
  <c r="Z368" i="5" s="1"/>
  <c r="AL367" i="5"/>
  <c r="AK367" i="5"/>
  <c r="AM367" i="5" s="1"/>
  <c r="CJ54" i="5"/>
  <c r="CC52" i="5"/>
  <c r="CX169" i="5"/>
  <c r="CW170" i="5"/>
  <c r="P82" i="5"/>
  <c r="O82" i="5" s="1"/>
  <c r="Q82" i="5" s="1"/>
  <c r="AB81" i="5"/>
  <c r="Y82" i="5" s="1"/>
  <c r="AA82" i="5" s="1"/>
  <c r="X82" i="5"/>
  <c r="AL81" i="5"/>
  <c r="AK81" i="5" s="1"/>
  <c r="S3" i="29"/>
  <c r="E32" i="5"/>
  <c r="D32" i="5" s="1"/>
  <c r="AB368" i="5" l="1"/>
  <c r="Y369" i="5" s="1"/>
  <c r="P372" i="5"/>
  <c r="O372" i="5"/>
  <c r="Q372" i="5" s="1"/>
  <c r="AJ368" i="5"/>
  <c r="CI54" i="5"/>
  <c r="CK54" i="5" s="1"/>
  <c r="BW52" i="5"/>
  <c r="BV52" i="5" s="1"/>
  <c r="BX52" i="5" s="1"/>
  <c r="CW171" i="5"/>
  <c r="CX170" i="5"/>
  <c r="Z82" i="5"/>
  <c r="AB82" i="5" s="1"/>
  <c r="AM81" i="5"/>
  <c r="AJ82" i="5" s="1"/>
  <c r="AI82" i="5"/>
  <c r="F32" i="5"/>
  <c r="C33" i="5" s="1"/>
  <c r="B33" i="5"/>
  <c r="Y83" i="5"/>
  <c r="M83" i="5"/>
  <c r="N83" i="5"/>
  <c r="AA369" i="5" l="1"/>
  <c r="Z369" i="5" s="1"/>
  <c r="AL368" i="5"/>
  <c r="AK368" i="5" s="1"/>
  <c r="N373" i="5"/>
  <c r="CG55" i="5"/>
  <c r="CH55" i="5" s="1"/>
  <c r="BT53" i="5"/>
  <c r="BU53" i="5" s="1"/>
  <c r="X83" i="5"/>
  <c r="CW172" i="5"/>
  <c r="CX171" i="5"/>
  <c r="P83" i="5"/>
  <c r="O83" i="5" s="1"/>
  <c r="Q83" i="5" s="1"/>
  <c r="AL82" i="5"/>
  <c r="AK82" i="5" s="1"/>
  <c r="E33" i="5"/>
  <c r="D33" i="5" s="1"/>
  <c r="B34" i="5" s="1"/>
  <c r="AA83" i="5"/>
  <c r="Z83" i="5" s="1"/>
  <c r="AB369" i="5" l="1"/>
  <c r="Y370" i="5" s="1"/>
  <c r="AM368" i="5"/>
  <c r="AJ369" i="5" s="1"/>
  <c r="P373" i="5"/>
  <c r="O373" i="5"/>
  <c r="Q373" i="5" s="1"/>
  <c r="N374" i="5"/>
  <c r="CP55" i="5"/>
  <c r="CJ55" i="5"/>
  <c r="CI55" i="5" s="1"/>
  <c r="CK55" i="5" s="1"/>
  <c r="CC53" i="5"/>
  <c r="CX172" i="5"/>
  <c r="CW173" i="5"/>
  <c r="AB83" i="5"/>
  <c r="Y84" i="5" s="1"/>
  <c r="AM82" i="5"/>
  <c r="AJ83" i="5" s="1"/>
  <c r="AI83" i="5"/>
  <c r="X84" i="5"/>
  <c r="M84" i="5"/>
  <c r="N84" i="5"/>
  <c r="F33" i="5"/>
  <c r="C34" i="5" s="1"/>
  <c r="AL369" i="5" l="1"/>
  <c r="AK369" i="5"/>
  <c r="AM369" i="5" s="1"/>
  <c r="AA370" i="5"/>
  <c r="Z370" i="5" s="1"/>
  <c r="P374" i="5"/>
  <c r="O374" i="5" s="1"/>
  <c r="CG56" i="5"/>
  <c r="CH56" i="5" s="1"/>
  <c r="BW53" i="5"/>
  <c r="BV53" i="5" s="1"/>
  <c r="BX53" i="5" s="1"/>
  <c r="CW174" i="5"/>
  <c r="CX173" i="5"/>
  <c r="P84" i="5"/>
  <c r="O84" i="5" s="1"/>
  <c r="Q84" i="5" s="1"/>
  <c r="AA84" i="5"/>
  <c r="Z84" i="5" s="1"/>
  <c r="AL83" i="5"/>
  <c r="AK83" i="5" s="1"/>
  <c r="AM83" i="5" s="1"/>
  <c r="AJ84" i="5" s="1"/>
  <c r="E34" i="5"/>
  <c r="D34" i="5" s="1"/>
  <c r="Q374" i="5" l="1"/>
  <c r="N375" i="5"/>
  <c r="AB370" i="5"/>
  <c r="Y371" i="5" s="1"/>
  <c r="AJ370" i="5"/>
  <c r="CP56" i="5"/>
  <c r="BT54" i="5"/>
  <c r="BU54" i="5" s="1"/>
  <c r="AI84" i="5"/>
  <c r="N85" i="5"/>
  <c r="M85" i="5"/>
  <c r="CX174" i="5"/>
  <c r="CW175" i="5"/>
  <c r="P85" i="5"/>
  <c r="O85" i="5"/>
  <c r="X85" i="5"/>
  <c r="AB84" i="5"/>
  <c r="Y85" i="5" s="1"/>
  <c r="AL84" i="5"/>
  <c r="AK84" i="5" s="1"/>
  <c r="F34" i="5"/>
  <c r="C35" i="5" s="1"/>
  <c r="B35" i="5"/>
  <c r="AA371" i="5" l="1"/>
  <c r="Z371" i="5" s="1"/>
  <c r="AL370" i="5"/>
  <c r="AK370" i="5"/>
  <c r="AM370" i="5" s="1"/>
  <c r="AJ371" i="5"/>
  <c r="O375" i="5"/>
  <c r="Q375" i="5" s="1"/>
  <c r="P375" i="5"/>
  <c r="N376" i="5"/>
  <c r="CJ56" i="5"/>
  <c r="CC54" i="5"/>
  <c r="CX175" i="5"/>
  <c r="CW176" i="5"/>
  <c r="AA85" i="5"/>
  <c r="Z85" i="5" s="1"/>
  <c r="AM84" i="5"/>
  <c r="AJ85" i="5" s="1"/>
  <c r="AI85" i="5"/>
  <c r="E35" i="5"/>
  <c r="D35" i="5" s="1"/>
  <c r="Q85" i="5"/>
  <c r="M86" i="5"/>
  <c r="N86" i="5"/>
  <c r="AB371" i="5" l="1"/>
  <c r="Y372" i="5" s="1"/>
  <c r="AL371" i="5"/>
  <c r="AK371" i="5" s="1"/>
  <c r="P376" i="5"/>
  <c r="O376" i="5" s="1"/>
  <c r="CI56" i="5"/>
  <c r="CK56" i="5" s="1"/>
  <c r="BW54" i="5"/>
  <c r="BV54" i="5" s="1"/>
  <c r="BX54" i="5" s="1"/>
  <c r="CW177" i="5"/>
  <c r="CX176" i="5"/>
  <c r="P86" i="5"/>
  <c r="O86" i="5" s="1"/>
  <c r="AB85" i="5"/>
  <c r="X86" i="5"/>
  <c r="Y86" i="5"/>
  <c r="AA86" i="5" s="1"/>
  <c r="AL85" i="5"/>
  <c r="AK85" i="5" s="1"/>
  <c r="F35" i="5"/>
  <c r="C36" i="5" s="1"/>
  <c r="B36" i="5"/>
  <c r="Q376" i="5" l="1"/>
  <c r="N377" i="5"/>
  <c r="AM371" i="5"/>
  <c r="AJ372" i="5"/>
  <c r="AA372" i="5"/>
  <c r="Z372" i="5"/>
  <c r="AB372" i="5" s="1"/>
  <c r="CG57" i="5"/>
  <c r="CH57" i="5" s="1"/>
  <c r="BT55" i="5"/>
  <c r="BU55" i="5" s="1"/>
  <c r="CX177" i="5"/>
  <c r="CW178" i="5"/>
  <c r="Z86" i="5"/>
  <c r="AM85" i="5"/>
  <c r="AJ86" i="5" s="1"/>
  <c r="AI86" i="5"/>
  <c r="E36" i="5"/>
  <c r="D36" i="5" s="1"/>
  <c r="AB86" i="5"/>
  <c r="X87" i="5"/>
  <c r="Y87" i="5"/>
  <c r="Q86" i="5"/>
  <c r="N87" i="5" s="1"/>
  <c r="M87" i="5"/>
  <c r="Y373" i="5" l="1"/>
  <c r="AL372" i="5"/>
  <c r="AK372" i="5"/>
  <c r="AM372" i="5" s="1"/>
  <c r="AJ373" i="5"/>
  <c r="P377" i="5"/>
  <c r="O377" i="5"/>
  <c r="Q377" i="5" s="1"/>
  <c r="CP57" i="5"/>
  <c r="CJ57" i="5"/>
  <c r="CC55" i="5"/>
  <c r="CX178" i="5"/>
  <c r="CW179" i="5"/>
  <c r="P87" i="5"/>
  <c r="O87" i="5" s="1"/>
  <c r="Q87" i="5" s="1"/>
  <c r="AL86" i="5"/>
  <c r="AK86" i="5" s="1"/>
  <c r="F36" i="5"/>
  <c r="C37" i="5" s="1"/>
  <c r="B37" i="5"/>
  <c r="AA87" i="5"/>
  <c r="Z87" i="5" s="1"/>
  <c r="AB87" i="5" s="1"/>
  <c r="N378" i="5" l="1"/>
  <c r="AL373" i="5"/>
  <c r="AK373" i="5" s="1"/>
  <c r="AA373" i="5"/>
  <c r="Z373" i="5"/>
  <c r="AB373" i="5" s="1"/>
  <c r="CI57" i="5"/>
  <c r="CK57" i="5" s="1"/>
  <c r="BW55" i="5"/>
  <c r="BV55" i="5" s="1"/>
  <c r="BX55" i="5" s="1"/>
  <c r="CX179" i="5"/>
  <c r="CW180" i="5"/>
  <c r="AM86" i="5"/>
  <c r="AJ87" i="5" s="1"/>
  <c r="AI87" i="5"/>
  <c r="E37" i="5"/>
  <c r="D37" i="5" s="1"/>
  <c r="X88" i="5"/>
  <c r="Y88" i="5"/>
  <c r="M88" i="5"/>
  <c r="N88" i="5"/>
  <c r="AM373" i="5" l="1"/>
  <c r="AJ374" i="5"/>
  <c r="P378" i="5"/>
  <c r="O378" i="5"/>
  <c r="Q378" i="5" s="1"/>
  <c r="N379" i="5"/>
  <c r="Y374" i="5"/>
  <c r="CG58" i="5"/>
  <c r="CH58" i="5" s="1"/>
  <c r="BT56" i="5"/>
  <c r="BU56" i="5" s="1"/>
  <c r="CX180" i="5"/>
  <c r="CW181" i="5"/>
  <c r="P88" i="5"/>
  <c r="O88" i="5" s="1"/>
  <c r="AL87" i="5"/>
  <c r="AK87" i="5" s="1"/>
  <c r="F37" i="5"/>
  <c r="C38" i="5" s="1"/>
  <c r="B38" i="5"/>
  <c r="AA88" i="5"/>
  <c r="Z88" i="5" s="1"/>
  <c r="AB88" i="5" s="1"/>
  <c r="AL374" i="5" l="1"/>
  <c r="AK374" i="5" s="1"/>
  <c r="AA374" i="5"/>
  <c r="Z374" i="5" s="1"/>
  <c r="P379" i="5"/>
  <c r="O379" i="5" s="1"/>
  <c r="CP58" i="5"/>
  <c r="CJ58" i="5"/>
  <c r="CI58" i="5" s="1"/>
  <c r="CC56" i="5"/>
  <c r="CX181" i="5"/>
  <c r="CW182" i="5"/>
  <c r="AM87" i="5"/>
  <c r="AJ88" i="5" s="1"/>
  <c r="AI88" i="5"/>
  <c r="E38" i="5"/>
  <c r="D38" i="5" s="1"/>
  <c r="X89" i="5"/>
  <c r="Y89" i="5"/>
  <c r="Q88" i="5"/>
  <c r="M89" i="5"/>
  <c r="N89" i="5"/>
  <c r="Q379" i="5" l="1"/>
  <c r="N380" i="5"/>
  <c r="AB374" i="5"/>
  <c r="Y375" i="5"/>
  <c r="AM374" i="5"/>
  <c r="AJ375" i="5"/>
  <c r="CK58" i="5"/>
  <c r="CG59" i="5"/>
  <c r="BW56" i="5"/>
  <c r="BV56" i="5" s="1"/>
  <c r="BX56" i="5" s="1"/>
  <c r="CW183" i="5"/>
  <c r="CX182" i="5"/>
  <c r="P89" i="5"/>
  <c r="O89" i="5" s="1"/>
  <c r="Q89" i="5" s="1"/>
  <c r="AL88" i="5"/>
  <c r="AK88" i="5" s="1"/>
  <c r="AM88" i="5" s="1"/>
  <c r="AJ89" i="5" s="1"/>
  <c r="AL89" i="5" s="1"/>
  <c r="F38" i="5"/>
  <c r="C39" i="5" s="1"/>
  <c r="B39" i="5"/>
  <c r="AA89" i="5"/>
  <c r="Z89" i="5" s="1"/>
  <c r="AB89" i="5" s="1"/>
  <c r="AL375" i="5" l="1"/>
  <c r="AK375" i="5"/>
  <c r="AM375" i="5" s="1"/>
  <c r="AA375" i="5"/>
  <c r="Z375" i="5" s="1"/>
  <c r="P380" i="5"/>
  <c r="O380" i="5" s="1"/>
  <c r="CH59" i="5"/>
  <c r="CP59" i="5"/>
  <c r="BT57" i="5"/>
  <c r="BU57" i="5" s="1"/>
  <c r="CX183" i="5"/>
  <c r="CW184" i="5"/>
  <c r="AI89" i="5"/>
  <c r="AK89" i="5"/>
  <c r="E39" i="5"/>
  <c r="D39" i="5" s="1"/>
  <c r="AM89" i="5"/>
  <c r="AJ90" i="5" s="1"/>
  <c r="X90" i="5"/>
  <c r="Y90" i="5"/>
  <c r="M90" i="5"/>
  <c r="N90" i="5"/>
  <c r="Q380" i="5" l="1"/>
  <c r="N381" i="5"/>
  <c r="AB375" i="5"/>
  <c r="Y376" i="5"/>
  <c r="AJ376" i="5"/>
  <c r="CJ59" i="5"/>
  <c r="CC57" i="5"/>
  <c r="CX184" i="5"/>
  <c r="CW185" i="5"/>
  <c r="P90" i="5"/>
  <c r="O90" i="5" s="1"/>
  <c r="Q90" i="5" s="1"/>
  <c r="AI90" i="5"/>
  <c r="F39" i="5"/>
  <c r="C40" i="5" s="1"/>
  <c r="B40" i="5"/>
  <c r="AL90" i="5"/>
  <c r="AK90" i="5" s="1"/>
  <c r="AA90" i="5"/>
  <c r="Z90" i="5" s="1"/>
  <c r="AB90" i="5" s="1"/>
  <c r="Z376" i="5" l="1"/>
  <c r="AB376" i="5" s="1"/>
  <c r="AA376" i="5"/>
  <c r="P381" i="5"/>
  <c r="O381" i="5"/>
  <c r="Q381" i="5" s="1"/>
  <c r="AL376" i="5"/>
  <c r="AK376" i="5"/>
  <c r="AM376" i="5" s="1"/>
  <c r="CI59" i="5"/>
  <c r="CK59" i="5" s="1"/>
  <c r="BW57" i="5"/>
  <c r="BV57" i="5" s="1"/>
  <c r="BX57" i="5" s="1"/>
  <c r="CX185" i="5"/>
  <c r="CW186" i="5"/>
  <c r="E40" i="5"/>
  <c r="D40" i="5" s="1"/>
  <c r="AM90" i="5"/>
  <c r="AJ91" i="5" s="1"/>
  <c r="AI91" i="5"/>
  <c r="X91" i="5"/>
  <c r="Y91" i="5"/>
  <c r="M91" i="5"/>
  <c r="N91" i="5"/>
  <c r="AJ377" i="5" l="1"/>
  <c r="N382" i="5"/>
  <c r="Y377" i="5"/>
  <c r="CG60" i="5"/>
  <c r="CH60" i="5" s="1"/>
  <c r="BT58" i="5"/>
  <c r="BU58" i="5" s="1"/>
  <c r="CW187" i="5"/>
  <c r="CX186" i="5"/>
  <c r="P91" i="5"/>
  <c r="O91" i="5" s="1"/>
  <c r="Q91" i="5" s="1"/>
  <c r="F40" i="5"/>
  <c r="C41" i="5" s="1"/>
  <c r="B41" i="5"/>
  <c r="AL91" i="5"/>
  <c r="AK91" i="5" s="1"/>
  <c r="AA91" i="5"/>
  <c r="Z91" i="5" s="1"/>
  <c r="AB91" i="5" s="1"/>
  <c r="AA377" i="5" l="1"/>
  <c r="Z377" i="5" s="1"/>
  <c r="P382" i="5"/>
  <c r="O382" i="5"/>
  <c r="Q382" i="5" s="1"/>
  <c r="N383" i="5"/>
  <c r="AL377" i="5"/>
  <c r="AK377" i="5" s="1"/>
  <c r="CP60" i="5"/>
  <c r="CJ60" i="5"/>
  <c r="CC58" i="5"/>
  <c r="CX187" i="5"/>
  <c r="CW188" i="5"/>
  <c r="AI92" i="5"/>
  <c r="AM91" i="5"/>
  <c r="AJ92" i="5" s="1"/>
  <c r="AL92" i="5" s="1"/>
  <c r="E41" i="5"/>
  <c r="D41" i="5" s="1"/>
  <c r="Y92" i="5"/>
  <c r="X92" i="5"/>
  <c r="N92" i="5"/>
  <c r="M92" i="5"/>
  <c r="AM377" i="5" l="1"/>
  <c r="AJ378" i="5"/>
  <c r="AB377" i="5"/>
  <c r="Y378" i="5"/>
  <c r="O383" i="5"/>
  <c r="Q383" i="5" s="1"/>
  <c r="P383" i="5"/>
  <c r="CI60" i="5"/>
  <c r="CK60" i="5" s="1"/>
  <c r="BW58" i="5"/>
  <c r="BV58" i="5" s="1"/>
  <c r="BX58" i="5" s="1"/>
  <c r="CW189" i="5"/>
  <c r="CX188" i="5"/>
  <c r="P92" i="5"/>
  <c r="O92" i="5" s="1"/>
  <c r="M93" i="5" s="1"/>
  <c r="AK92" i="5"/>
  <c r="AI93" i="5" s="1"/>
  <c r="F41" i="5"/>
  <c r="C42" i="5" s="1"/>
  <c r="B42" i="5"/>
  <c r="AA92" i="5"/>
  <c r="Z92" i="5" s="1"/>
  <c r="X93" i="5" s="1"/>
  <c r="Z378" i="5" l="1"/>
  <c r="AB378" i="5" s="1"/>
  <c r="AA378" i="5"/>
  <c r="AL378" i="5"/>
  <c r="AK378" i="5"/>
  <c r="AM378" i="5" s="1"/>
  <c r="N384" i="5"/>
  <c r="CG61" i="5"/>
  <c r="CH61" i="5" s="1"/>
  <c r="BT59" i="5"/>
  <c r="BU59" i="5" s="1"/>
  <c r="CX189" i="5"/>
  <c r="CW190" i="5"/>
  <c r="AM92" i="5"/>
  <c r="AJ93" i="5" s="1"/>
  <c r="E42" i="5"/>
  <c r="D42" i="5" s="1"/>
  <c r="AB92" i="5"/>
  <c r="Y93" i="5" s="1"/>
  <c r="Q92" i="5"/>
  <c r="N93" i="5" s="1"/>
  <c r="P384" i="5" l="1"/>
  <c r="O384" i="5" s="1"/>
  <c r="AJ379" i="5"/>
  <c r="Y379" i="5"/>
  <c r="CP61" i="5"/>
  <c r="CJ61" i="5"/>
  <c r="CI61" i="5" s="1"/>
  <c r="CK61" i="5" s="1"/>
  <c r="CC59" i="5"/>
  <c r="CW191" i="5"/>
  <c r="CX190" i="5"/>
  <c r="P93" i="5"/>
  <c r="O93" i="5" s="1"/>
  <c r="Q93" i="5" s="1"/>
  <c r="AL93" i="5"/>
  <c r="AK93" i="5" s="1"/>
  <c r="F42" i="5"/>
  <c r="C43" i="5" s="1"/>
  <c r="B43" i="5"/>
  <c r="AA93" i="5"/>
  <c r="Z93" i="5" s="1"/>
  <c r="AB93" i="5" s="1"/>
  <c r="Q384" i="5" l="1"/>
  <c r="N385" i="5"/>
  <c r="AA379" i="5"/>
  <c r="Z379" i="5" s="1"/>
  <c r="AL379" i="5"/>
  <c r="AK379" i="5" s="1"/>
  <c r="CG62" i="5"/>
  <c r="CH62" i="5" s="1"/>
  <c r="BW59" i="5"/>
  <c r="BV59" i="5" s="1"/>
  <c r="BX59" i="5" s="1"/>
  <c r="CX191" i="5"/>
  <c r="CW192" i="5"/>
  <c r="AM93" i="5"/>
  <c r="AJ94" i="5" s="1"/>
  <c r="AI94" i="5"/>
  <c r="E43" i="5"/>
  <c r="D43" i="5" s="1"/>
  <c r="B44" i="5" s="1"/>
  <c r="X94" i="5"/>
  <c r="Y94" i="5"/>
  <c r="M94" i="5"/>
  <c r="N94" i="5"/>
  <c r="AM379" i="5" l="1"/>
  <c r="AJ380" i="5"/>
  <c r="AB379" i="5"/>
  <c r="Y380" i="5"/>
  <c r="P385" i="5"/>
  <c r="O385" i="5" s="1"/>
  <c r="CP62" i="5"/>
  <c r="BT60" i="5"/>
  <c r="BU60" i="5" s="1"/>
  <c r="CX192" i="5"/>
  <c r="CW193" i="5"/>
  <c r="P94" i="5"/>
  <c r="O94" i="5" s="1"/>
  <c r="M95" i="5" s="1"/>
  <c r="AL94" i="5"/>
  <c r="AK94" i="5" s="1"/>
  <c r="F43" i="5"/>
  <c r="C44" i="5" s="1"/>
  <c r="AA94" i="5"/>
  <c r="Z94" i="5" s="1"/>
  <c r="X95" i="5" s="1"/>
  <c r="Q385" i="5" l="1"/>
  <c r="N386" i="5"/>
  <c r="AL380" i="5"/>
  <c r="AK380" i="5"/>
  <c r="AM380" i="5" s="1"/>
  <c r="AA380" i="5"/>
  <c r="Z380" i="5" s="1"/>
  <c r="CJ62" i="5"/>
  <c r="CI62" i="5" s="1"/>
  <c r="CC60" i="5"/>
  <c r="CW194" i="5"/>
  <c r="CX193" i="5"/>
  <c r="AM94" i="5"/>
  <c r="AJ95" i="5" s="1"/>
  <c r="AI95" i="5"/>
  <c r="S4" i="29"/>
  <c r="E44" i="5"/>
  <c r="D44" i="5" s="1"/>
  <c r="AB94" i="5"/>
  <c r="Y95" i="5" s="1"/>
  <c r="Q94" i="5"/>
  <c r="N95" i="5" s="1"/>
  <c r="AB380" i="5" l="1"/>
  <c r="Y381" i="5"/>
  <c r="AJ381" i="5"/>
  <c r="P386" i="5"/>
  <c r="O386" i="5"/>
  <c r="Q386" i="5" s="1"/>
  <c r="CK62" i="5"/>
  <c r="CG63" i="5"/>
  <c r="BW60" i="5"/>
  <c r="BV60" i="5" s="1"/>
  <c r="BX60" i="5" s="1"/>
  <c r="CW195" i="5"/>
  <c r="CX194" i="5"/>
  <c r="P95" i="5"/>
  <c r="O95" i="5" s="1"/>
  <c r="Q95" i="5" s="1"/>
  <c r="AL95" i="5"/>
  <c r="AK95" i="5" s="1"/>
  <c r="AM95" i="5" s="1"/>
  <c r="F44" i="5"/>
  <c r="C45" i="5" s="1"/>
  <c r="B45" i="5"/>
  <c r="AA95" i="5"/>
  <c r="Z95" i="5" s="1"/>
  <c r="AB95" i="5" s="1"/>
  <c r="N387" i="5" l="1"/>
  <c r="AL381" i="5"/>
  <c r="AK381" i="5" s="1"/>
  <c r="AA381" i="5"/>
  <c r="Z381" i="5" s="1"/>
  <c r="CH63" i="5"/>
  <c r="CP63" i="5"/>
  <c r="BT61" i="5"/>
  <c r="BU61" i="5" s="1"/>
  <c r="CX195" i="5"/>
  <c r="CW196" i="5"/>
  <c r="AI96" i="5"/>
  <c r="AJ96" i="5"/>
  <c r="E45" i="5"/>
  <c r="D45" i="5" s="1"/>
  <c r="X96" i="5"/>
  <c r="Y96" i="5"/>
  <c r="M96" i="5"/>
  <c r="N96" i="5"/>
  <c r="AB381" i="5" l="1"/>
  <c r="Y382" i="5"/>
  <c r="AM381" i="5"/>
  <c r="AJ382" i="5"/>
  <c r="P387" i="5"/>
  <c r="O387" i="5"/>
  <c r="Q387" i="5" s="1"/>
  <c r="CJ63" i="5"/>
  <c r="CI63" i="5" s="1"/>
  <c r="CK63" i="5" s="1"/>
  <c r="CC61" i="5"/>
  <c r="CW197" i="5"/>
  <c r="CX196" i="5"/>
  <c r="P96" i="5"/>
  <c r="O96" i="5" s="1"/>
  <c r="M97" i="5" s="1"/>
  <c r="AL96" i="5"/>
  <c r="AK96" i="5" s="1"/>
  <c r="F45" i="5"/>
  <c r="C46" i="5" s="1"/>
  <c r="B46" i="5"/>
  <c r="AA96" i="5"/>
  <c r="Z96" i="5" s="1"/>
  <c r="X97" i="5" s="1"/>
  <c r="AA382" i="5" l="1"/>
  <c r="Z382" i="5"/>
  <c r="AB382" i="5" s="1"/>
  <c r="Y383" i="5"/>
  <c r="AL382" i="5"/>
  <c r="AK382" i="5" s="1"/>
  <c r="N388" i="5"/>
  <c r="CG64" i="5"/>
  <c r="CH64" i="5" s="1"/>
  <c r="BW61" i="5"/>
  <c r="BV61" i="5" s="1"/>
  <c r="BX61" i="5" s="1"/>
  <c r="CX197" i="5"/>
  <c r="CW198" i="5"/>
  <c r="AM96" i="5"/>
  <c r="AI97" i="5"/>
  <c r="AJ97" i="5"/>
  <c r="E46" i="5"/>
  <c r="D46" i="5" s="1"/>
  <c r="AB96" i="5"/>
  <c r="Y97" i="5" s="1"/>
  <c r="Q96" i="5"/>
  <c r="N97" i="5" s="1"/>
  <c r="AM382" i="5" l="1"/>
  <c r="AJ383" i="5"/>
  <c r="P388" i="5"/>
  <c r="O388" i="5"/>
  <c r="Q388" i="5" s="1"/>
  <c r="N389" i="5"/>
  <c r="Z383" i="5"/>
  <c r="AB383" i="5" s="1"/>
  <c r="AA383" i="5"/>
  <c r="CP64" i="5"/>
  <c r="BT62" i="5"/>
  <c r="BU62" i="5" s="1"/>
  <c r="CW199" i="5"/>
  <c r="CX198" i="5"/>
  <c r="P97" i="5"/>
  <c r="O97" i="5" s="1"/>
  <c r="Q97" i="5" s="1"/>
  <c r="N98" i="5" s="1"/>
  <c r="AL97" i="5"/>
  <c r="AK97" i="5" s="1"/>
  <c r="F46" i="5"/>
  <c r="C47" i="5" s="1"/>
  <c r="B47" i="5"/>
  <c r="AA97" i="5"/>
  <c r="Z97" i="5" s="1"/>
  <c r="O389" i="5" l="1"/>
  <c r="Q389" i="5" s="1"/>
  <c r="P389" i="5"/>
  <c r="AL383" i="5"/>
  <c r="AK383" i="5" s="1"/>
  <c r="Y384" i="5"/>
  <c r="CJ64" i="5"/>
  <c r="CI64" i="5" s="1"/>
  <c r="CK64" i="5" s="1"/>
  <c r="CC62" i="5"/>
  <c r="CX199" i="5"/>
  <c r="CW200" i="5"/>
  <c r="P98" i="5"/>
  <c r="O98" i="5" s="1"/>
  <c r="Q98" i="5" s="1"/>
  <c r="AB97" i="5"/>
  <c r="Y98" i="5" s="1"/>
  <c r="AA98" i="5" s="1"/>
  <c r="AM97" i="5"/>
  <c r="AJ98" i="5" s="1"/>
  <c r="AI98" i="5"/>
  <c r="E47" i="5"/>
  <c r="X98" i="5"/>
  <c r="M98" i="5"/>
  <c r="AM383" i="5" l="1"/>
  <c r="AJ384" i="5" s="1"/>
  <c r="AA384" i="5"/>
  <c r="Z384" i="5"/>
  <c r="AB384" i="5" s="1"/>
  <c r="N390" i="5"/>
  <c r="CG65" i="5"/>
  <c r="CH65" i="5" s="1"/>
  <c r="BW62" i="5"/>
  <c r="BV62" i="5" s="1"/>
  <c r="BX62" i="5" s="1"/>
  <c r="CW201" i="5"/>
  <c r="CX200" i="5"/>
  <c r="Z98" i="5"/>
  <c r="AB98" i="5" s="1"/>
  <c r="AL98" i="5"/>
  <c r="AK98" i="5" s="1"/>
  <c r="D47" i="5"/>
  <c r="X99" i="5"/>
  <c r="Y99" i="5"/>
  <c r="M99" i="5"/>
  <c r="N99" i="5"/>
  <c r="AL384" i="5" l="1"/>
  <c r="AK384" i="5" s="1"/>
  <c r="P390" i="5"/>
  <c r="O390" i="5" s="1"/>
  <c r="Y385" i="5"/>
  <c r="CP65" i="5"/>
  <c r="BT63" i="5"/>
  <c r="BU63" i="5" s="1"/>
  <c r="CX201" i="5"/>
  <c r="CW202" i="5"/>
  <c r="P99" i="5"/>
  <c r="O99" i="5" s="1"/>
  <c r="Q99" i="5" s="1"/>
  <c r="AM98" i="5"/>
  <c r="AJ99" i="5" s="1"/>
  <c r="AI99" i="5"/>
  <c r="B48" i="5"/>
  <c r="F47" i="5"/>
  <c r="C48" i="5" s="1"/>
  <c r="AA99" i="5"/>
  <c r="Z99" i="5" s="1"/>
  <c r="AB99" i="5" s="1"/>
  <c r="AM384" i="5" l="1"/>
  <c r="AJ385" i="5" s="1"/>
  <c r="Q390" i="5"/>
  <c r="N391" i="5" s="1"/>
  <c r="Z385" i="5"/>
  <c r="AB385" i="5" s="1"/>
  <c r="AA385" i="5"/>
  <c r="CJ65" i="5"/>
  <c r="CI65" i="5" s="1"/>
  <c r="CK65" i="5" s="1"/>
  <c r="CC63" i="5"/>
  <c r="CW203" i="5"/>
  <c r="CX202" i="5"/>
  <c r="AL99" i="5"/>
  <c r="AK99" i="5" s="1"/>
  <c r="E48" i="5"/>
  <c r="X100" i="5"/>
  <c r="Y100" i="5"/>
  <c r="M100" i="5"/>
  <c r="N100" i="5"/>
  <c r="P391" i="5" l="1"/>
  <c r="O391" i="5" s="1"/>
  <c r="AL385" i="5"/>
  <c r="AK385" i="5" s="1"/>
  <c r="Y386" i="5"/>
  <c r="CG66" i="5"/>
  <c r="CH66" i="5" s="1"/>
  <c r="BW63" i="5"/>
  <c r="BV63" i="5" s="1"/>
  <c r="BX63" i="5" s="1"/>
  <c r="CW204" i="5"/>
  <c r="CX203" i="5"/>
  <c r="P100" i="5"/>
  <c r="O100" i="5" s="1"/>
  <c r="AM99" i="5"/>
  <c r="AJ100" i="5" s="1"/>
  <c r="AI100" i="5"/>
  <c r="D48" i="5"/>
  <c r="AA100" i="5"/>
  <c r="Z100" i="5" s="1"/>
  <c r="X101" i="5" s="1"/>
  <c r="AM385" i="5" l="1"/>
  <c r="AJ386" i="5"/>
  <c r="Q391" i="5"/>
  <c r="N392" i="5"/>
  <c r="AA386" i="5"/>
  <c r="Z386" i="5" s="1"/>
  <c r="CP66" i="5"/>
  <c r="BT64" i="5"/>
  <c r="BU64" i="5" s="1"/>
  <c r="Q100" i="5"/>
  <c r="N101" i="5" s="1"/>
  <c r="P101" i="5" s="1"/>
  <c r="O101" i="5" s="1"/>
  <c r="Q101" i="5" s="1"/>
  <c r="M101" i="5"/>
  <c r="CX204" i="5"/>
  <c r="CW205" i="5"/>
  <c r="AL100" i="5"/>
  <c r="AK100" i="5" s="1"/>
  <c r="B49" i="5"/>
  <c r="F48" i="5"/>
  <c r="C49" i="5" s="1"/>
  <c r="AB100" i="5"/>
  <c r="Y101" i="5" s="1"/>
  <c r="AB386" i="5" l="1"/>
  <c r="Y387" i="5"/>
  <c r="O392" i="5"/>
  <c r="Q392" i="5" s="1"/>
  <c r="P392" i="5"/>
  <c r="N393" i="5"/>
  <c r="AL386" i="5"/>
  <c r="AK386" i="5" s="1"/>
  <c r="CJ66" i="5"/>
  <c r="CI66" i="5" s="1"/>
  <c r="CK66" i="5" s="1"/>
  <c r="CC64" i="5"/>
  <c r="CX205" i="5"/>
  <c r="CW206" i="5"/>
  <c r="AA101" i="5"/>
  <c r="Z101" i="5" s="1"/>
  <c r="AM100" i="5"/>
  <c r="AJ101" i="5" s="1"/>
  <c r="AI101" i="5"/>
  <c r="E49" i="5"/>
  <c r="D49" i="5" s="1"/>
  <c r="M102" i="5"/>
  <c r="N102" i="5"/>
  <c r="AM386" i="5" l="1"/>
  <c r="AJ387" i="5"/>
  <c r="P393" i="5"/>
  <c r="O393" i="5" s="1"/>
  <c r="AA387" i="5"/>
  <c r="Z387" i="5" s="1"/>
  <c r="CG67" i="5"/>
  <c r="CH67" i="5" s="1"/>
  <c r="BW64" i="5"/>
  <c r="BV64" i="5" s="1"/>
  <c r="BX64" i="5" s="1"/>
  <c r="AB101" i="5"/>
  <c r="Y102" i="5" s="1"/>
  <c r="X102" i="5"/>
  <c r="CW207" i="5"/>
  <c r="CX206" i="5"/>
  <c r="P102" i="5"/>
  <c r="O102" i="5" s="1"/>
  <c r="Q102" i="5" s="1"/>
  <c r="AL101" i="5"/>
  <c r="AK101" i="5" s="1"/>
  <c r="F49" i="5"/>
  <c r="C50" i="5" s="1"/>
  <c r="B50" i="5"/>
  <c r="AA102" i="5"/>
  <c r="Z102" i="5" s="1"/>
  <c r="AB102" i="5" s="1"/>
  <c r="AB387" i="5" l="1"/>
  <c r="Y388" i="5" s="1"/>
  <c r="Q393" i="5"/>
  <c r="N394" i="5"/>
  <c r="AL387" i="5"/>
  <c r="AK387" i="5"/>
  <c r="AM387" i="5" s="1"/>
  <c r="CP67" i="5"/>
  <c r="BT65" i="5"/>
  <c r="BU65" i="5" s="1"/>
  <c r="CW208" i="5"/>
  <c r="CX207" i="5"/>
  <c r="AM101" i="5"/>
  <c r="AJ102" i="5" s="1"/>
  <c r="AI102" i="5"/>
  <c r="E50" i="5"/>
  <c r="D50" i="5" s="1"/>
  <c r="X103" i="5"/>
  <c r="Y103" i="5"/>
  <c r="M103" i="5"/>
  <c r="N103" i="5"/>
  <c r="Z388" i="5" l="1"/>
  <c r="AB388" i="5" s="1"/>
  <c r="AA388" i="5"/>
  <c r="P394" i="5"/>
  <c r="O394" i="5"/>
  <c r="Q394" i="5" s="1"/>
  <c r="AJ388" i="5"/>
  <c r="CJ67" i="5"/>
  <c r="CC65" i="5"/>
  <c r="CX208" i="5"/>
  <c r="CW209" i="5"/>
  <c r="CX209" i="5" s="1"/>
  <c r="P103" i="5"/>
  <c r="O103" i="5" s="1"/>
  <c r="Q103" i="5" s="1"/>
  <c r="N104" i="5" s="1"/>
  <c r="AL102" i="5"/>
  <c r="AK102" i="5" s="1"/>
  <c r="AM102" i="5" s="1"/>
  <c r="F50" i="5"/>
  <c r="C51" i="5" s="1"/>
  <c r="B51" i="5"/>
  <c r="AA103" i="5"/>
  <c r="Z103" i="5" s="1"/>
  <c r="N395" i="5" l="1"/>
  <c r="Y389" i="5"/>
  <c r="AL388" i="5"/>
  <c r="AK388" i="5" s="1"/>
  <c r="CI67" i="5"/>
  <c r="CK67" i="5" s="1"/>
  <c r="BW65" i="5"/>
  <c r="BV65" i="5" s="1"/>
  <c r="BX65" i="5" s="1"/>
  <c r="P104" i="5"/>
  <c r="O104" i="5" s="1"/>
  <c r="AB103" i="5"/>
  <c r="Y104" i="5" s="1"/>
  <c r="AA104" i="5" s="1"/>
  <c r="AJ103" i="5"/>
  <c r="AI103" i="5"/>
  <c r="E51" i="5"/>
  <c r="D51" i="5" s="1"/>
  <c r="X104" i="5"/>
  <c r="M104" i="5"/>
  <c r="AM388" i="5" l="1"/>
  <c r="AJ389" i="5"/>
  <c r="AA389" i="5"/>
  <c r="Z389" i="5" s="1"/>
  <c r="P395" i="5"/>
  <c r="O395" i="5" s="1"/>
  <c r="CG68" i="5"/>
  <c r="CH68" i="5" s="1"/>
  <c r="BT66" i="5"/>
  <c r="BU66" i="5" s="1"/>
  <c r="M105" i="5"/>
  <c r="Z104" i="5"/>
  <c r="X105" i="5" s="1"/>
  <c r="AL103" i="5"/>
  <c r="AK103" i="5" s="1"/>
  <c r="F51" i="5"/>
  <c r="C52" i="5" s="1"/>
  <c r="B52" i="5"/>
  <c r="AB104" i="5"/>
  <c r="Y105" i="5" s="1"/>
  <c r="Q104" i="5"/>
  <c r="N105" i="5" s="1"/>
  <c r="Q395" i="5" l="1"/>
  <c r="N396" i="5" s="1"/>
  <c r="AB389" i="5"/>
  <c r="Y390" i="5"/>
  <c r="AL389" i="5"/>
  <c r="AK389" i="5" s="1"/>
  <c r="CP68" i="5"/>
  <c r="CJ68" i="5"/>
  <c r="CC66" i="5"/>
  <c r="AM103" i="5"/>
  <c r="AJ104" i="5" s="1"/>
  <c r="AI104" i="5"/>
  <c r="P105" i="5"/>
  <c r="O105" i="5" s="1"/>
  <c r="M106" i="5" s="1"/>
  <c r="E52" i="5"/>
  <c r="D52" i="5" s="1"/>
  <c r="AA105" i="5"/>
  <c r="Z105" i="5" s="1"/>
  <c r="X106" i="5" s="1"/>
  <c r="AM389" i="5" l="1"/>
  <c r="AJ390" i="5" s="1"/>
  <c r="P396" i="5"/>
  <c r="O396" i="5" s="1"/>
  <c r="AA390" i="5"/>
  <c r="Z390" i="5"/>
  <c r="AB390" i="5" s="1"/>
  <c r="CI68" i="5"/>
  <c r="CK68" i="5" s="1"/>
  <c r="BW66" i="5"/>
  <c r="BV66" i="5" s="1"/>
  <c r="BX66" i="5" s="1"/>
  <c r="AL104" i="5"/>
  <c r="AK104" i="5" s="1"/>
  <c r="F52" i="5"/>
  <c r="C53" i="5" s="1"/>
  <c r="B53" i="5"/>
  <c r="AB105" i="5"/>
  <c r="Y106" i="5" s="1"/>
  <c r="Q105" i="5"/>
  <c r="N106" i="5" s="1"/>
  <c r="AL390" i="5" l="1"/>
  <c r="AK390" i="5" s="1"/>
  <c r="Q396" i="5"/>
  <c r="N397" i="5"/>
  <c r="Y391" i="5"/>
  <c r="CG69" i="5"/>
  <c r="CH69" i="5" s="1"/>
  <c r="BT67" i="5"/>
  <c r="BU67" i="5" s="1"/>
  <c r="P106" i="5"/>
  <c r="O106" i="5" s="1"/>
  <c r="M107" i="5" s="1"/>
  <c r="AM104" i="5"/>
  <c r="AJ105" i="5" s="1"/>
  <c r="AI105" i="5"/>
  <c r="E53" i="5"/>
  <c r="D53" i="5" s="1"/>
  <c r="AA106" i="5"/>
  <c r="Z106" i="5" s="1"/>
  <c r="X107" i="5" s="1"/>
  <c r="AM390" i="5" l="1"/>
  <c r="AJ391" i="5"/>
  <c r="AA391" i="5"/>
  <c r="Z391" i="5"/>
  <c r="AB391" i="5" s="1"/>
  <c r="P397" i="5"/>
  <c r="O397" i="5" s="1"/>
  <c r="CP69" i="5"/>
  <c r="CJ69" i="5"/>
  <c r="CC67" i="5"/>
  <c r="AL105" i="5"/>
  <c r="AK105" i="5" s="1"/>
  <c r="F53" i="5"/>
  <c r="C54" i="5" s="1"/>
  <c r="B54" i="5"/>
  <c r="AB106" i="5"/>
  <c r="Y107" i="5" s="1"/>
  <c r="Q106" i="5"/>
  <c r="N107" i="5" s="1"/>
  <c r="Q397" i="5" l="1"/>
  <c r="N398" i="5"/>
  <c r="Y392" i="5"/>
  <c r="AL391" i="5"/>
  <c r="AK391" i="5" s="1"/>
  <c r="CI69" i="5"/>
  <c r="CK69" i="5" s="1"/>
  <c r="BW67" i="5"/>
  <c r="BV67" i="5" s="1"/>
  <c r="BX67" i="5" s="1"/>
  <c r="P107" i="5"/>
  <c r="O107" i="5" s="1"/>
  <c r="AM105" i="5"/>
  <c r="AI106" i="5"/>
  <c r="AJ106" i="5"/>
  <c r="E54" i="5"/>
  <c r="D54" i="5" s="1"/>
  <c r="AA107" i="5"/>
  <c r="Z107" i="5" s="1"/>
  <c r="AM391" i="5" l="1"/>
  <c r="AJ392" i="5"/>
  <c r="P398" i="5"/>
  <c r="O398" i="5"/>
  <c r="Q398" i="5" s="1"/>
  <c r="Z392" i="5"/>
  <c r="AB392" i="5" s="1"/>
  <c r="Y393" i="5"/>
  <c r="AA392" i="5"/>
  <c r="CG70" i="5"/>
  <c r="CH70" i="5" s="1"/>
  <c r="BT68" i="5"/>
  <c r="BU68" i="5" s="1"/>
  <c r="Q107" i="5"/>
  <c r="N108" i="5" s="1"/>
  <c r="AB107" i="5"/>
  <c r="Y108" i="5" s="1"/>
  <c r="AA108" i="5" s="1"/>
  <c r="AL106" i="5"/>
  <c r="AK106" i="5" s="1"/>
  <c r="F54" i="5"/>
  <c r="C55" i="5" s="1"/>
  <c r="B55" i="5"/>
  <c r="X108" i="5"/>
  <c r="M108" i="5"/>
  <c r="N399" i="5" l="1"/>
  <c r="AL392" i="5"/>
  <c r="AK392" i="5" s="1"/>
  <c r="AA393" i="5"/>
  <c r="Z393" i="5" s="1"/>
  <c r="CP70" i="5"/>
  <c r="CJ70" i="5"/>
  <c r="CC68" i="5"/>
  <c r="P108" i="5"/>
  <c r="O108" i="5" s="1"/>
  <c r="Z108" i="5"/>
  <c r="AB108" i="5" s="1"/>
  <c r="AM106" i="5"/>
  <c r="AJ107" i="5" s="1"/>
  <c r="AI107" i="5"/>
  <c r="E55" i="5"/>
  <c r="D55" i="5" s="1"/>
  <c r="X109" i="5"/>
  <c r="Y109" i="5"/>
  <c r="AB393" i="5" l="1"/>
  <c r="Y394" i="5" s="1"/>
  <c r="AM392" i="5"/>
  <c r="AJ393" i="5" s="1"/>
  <c r="P399" i="5"/>
  <c r="O399" i="5" s="1"/>
  <c r="CI70" i="5"/>
  <c r="CK70" i="5" s="1"/>
  <c r="BW68" i="5"/>
  <c r="BV68" i="5" s="1"/>
  <c r="BX68" i="5" s="1"/>
  <c r="Q108" i="5"/>
  <c r="N109" i="5" s="1"/>
  <c r="P109" i="5" s="1"/>
  <c r="O109" i="5" s="1"/>
  <c r="M109" i="5"/>
  <c r="AL107" i="5"/>
  <c r="AK107" i="5" s="1"/>
  <c r="F55" i="5"/>
  <c r="C56" i="5" s="1"/>
  <c r="B56" i="5"/>
  <c r="AA109" i="5"/>
  <c r="Z109" i="5" s="1"/>
  <c r="X110" i="5" s="1"/>
  <c r="Q399" i="5" l="1"/>
  <c r="N400" i="5"/>
  <c r="AL393" i="5"/>
  <c r="AK393" i="5" s="1"/>
  <c r="AA394" i="5"/>
  <c r="Z394" i="5" s="1"/>
  <c r="CG71" i="5"/>
  <c r="CH71" i="5" s="1"/>
  <c r="BT69" i="5"/>
  <c r="BU69" i="5" s="1"/>
  <c r="M110" i="5"/>
  <c r="AM107" i="5"/>
  <c r="AJ108" i="5" s="1"/>
  <c r="AI108" i="5"/>
  <c r="E56" i="5"/>
  <c r="D56" i="5" s="1"/>
  <c r="S5" i="29"/>
  <c r="AB109" i="5"/>
  <c r="Y110" i="5" s="1"/>
  <c r="Q109" i="5"/>
  <c r="N110" i="5" s="1"/>
  <c r="AB394" i="5" l="1"/>
  <c r="Y395" i="5" s="1"/>
  <c r="AM393" i="5"/>
  <c r="AJ394" i="5" s="1"/>
  <c r="P400" i="5"/>
  <c r="O400" i="5"/>
  <c r="Q400" i="5" s="1"/>
  <c r="N401" i="5"/>
  <c r="CP71" i="5"/>
  <c r="CJ71" i="5"/>
  <c r="CI71" i="5" s="1"/>
  <c r="CK71" i="5" s="1"/>
  <c r="CC69" i="5"/>
  <c r="P110" i="5"/>
  <c r="O110" i="5" s="1"/>
  <c r="Q110" i="5" s="1"/>
  <c r="AL108" i="5"/>
  <c r="AK108" i="5" s="1"/>
  <c r="F56" i="5"/>
  <c r="C57" i="5" s="1"/>
  <c r="B57" i="5"/>
  <c r="AA110" i="5"/>
  <c r="Z110" i="5" s="1"/>
  <c r="AB110" i="5" s="1"/>
  <c r="AL394" i="5" l="1"/>
  <c r="AK394" i="5"/>
  <c r="AM394" i="5" s="1"/>
  <c r="AA395" i="5"/>
  <c r="Z395" i="5" s="1"/>
  <c r="P401" i="5"/>
  <c r="O401" i="5" s="1"/>
  <c r="CG72" i="5"/>
  <c r="BW69" i="5"/>
  <c r="BV69" i="5" s="1"/>
  <c r="BX69" i="5" s="1"/>
  <c r="AM108" i="5"/>
  <c r="AI109" i="5"/>
  <c r="AJ109" i="5"/>
  <c r="E57" i="5"/>
  <c r="D57" i="5" s="1"/>
  <c r="X111" i="5"/>
  <c r="Y111" i="5"/>
  <c r="M111" i="5"/>
  <c r="N111" i="5"/>
  <c r="Q401" i="5" l="1"/>
  <c r="N402" i="5" s="1"/>
  <c r="AB395" i="5"/>
  <c r="Y396" i="5" s="1"/>
  <c r="AJ395" i="5"/>
  <c r="CP72" i="5"/>
  <c r="CH72" i="5"/>
  <c r="BT70" i="5"/>
  <c r="BU70" i="5" s="1"/>
  <c r="P111" i="5"/>
  <c r="O111" i="5" s="1"/>
  <c r="Q111" i="5" s="1"/>
  <c r="AL109" i="5"/>
  <c r="AK109" i="5" s="1"/>
  <c r="F57" i="5"/>
  <c r="C58" i="5" s="1"/>
  <c r="B58" i="5"/>
  <c r="AA111" i="5"/>
  <c r="Z111" i="5" s="1"/>
  <c r="AB111" i="5" s="1"/>
  <c r="AA396" i="5" l="1"/>
  <c r="Z396" i="5" s="1"/>
  <c r="P402" i="5"/>
  <c r="O402" i="5" s="1"/>
  <c r="AJ396" i="5"/>
  <c r="AL395" i="5"/>
  <c r="AK395" i="5"/>
  <c r="AM395" i="5" s="1"/>
  <c r="CJ72" i="5"/>
  <c r="CI72" i="5" s="1"/>
  <c r="CG73" i="5" s="1"/>
  <c r="CH73" i="5" s="1"/>
  <c r="CC70" i="5"/>
  <c r="AM109" i="5"/>
  <c r="AI110" i="5"/>
  <c r="AJ110" i="5"/>
  <c r="E58" i="5"/>
  <c r="D58" i="5" s="1"/>
  <c r="X112" i="5"/>
  <c r="Y112" i="5"/>
  <c r="M112" i="5"/>
  <c r="N112" i="5"/>
  <c r="Q402" i="5" l="1"/>
  <c r="N403" i="5"/>
  <c r="AB396" i="5"/>
  <c r="Y397" i="5"/>
  <c r="AL396" i="5"/>
  <c r="AK396" i="5"/>
  <c r="AM396" i="5" s="1"/>
  <c r="AJ397" i="5"/>
  <c r="CK72" i="5"/>
  <c r="CP73" i="5"/>
  <c r="BW70" i="5"/>
  <c r="BV70" i="5" s="1"/>
  <c r="BX70" i="5" s="1"/>
  <c r="P112" i="5"/>
  <c r="O112" i="5" s="1"/>
  <c r="Q112" i="5" s="1"/>
  <c r="AL110" i="5"/>
  <c r="AK110" i="5" s="1"/>
  <c r="F58" i="5"/>
  <c r="C59" i="5" s="1"/>
  <c r="B59" i="5"/>
  <c r="AA112" i="5"/>
  <c r="Z112" i="5" s="1"/>
  <c r="P403" i="5" l="1"/>
  <c r="O403" i="5"/>
  <c r="Q403" i="5" s="1"/>
  <c r="AL397" i="5"/>
  <c r="AK397" i="5" s="1"/>
  <c r="Z397" i="5"/>
  <c r="AB397" i="5" s="1"/>
  <c r="AA397" i="5"/>
  <c r="CJ73" i="5"/>
  <c r="CI73" i="5" s="1"/>
  <c r="CK73" i="5" s="1"/>
  <c r="BT71" i="5"/>
  <c r="BU71" i="5" s="1"/>
  <c r="AM110" i="5"/>
  <c r="AJ111" i="5" s="1"/>
  <c r="AI111" i="5"/>
  <c r="E59" i="5"/>
  <c r="D59" i="5" s="1"/>
  <c r="AB112" i="5"/>
  <c r="Y113" i="5" s="1"/>
  <c r="X113" i="5"/>
  <c r="M113" i="5"/>
  <c r="N113" i="5"/>
  <c r="AM397" i="5" l="1"/>
  <c r="AJ398" i="5" s="1"/>
  <c r="N404" i="5"/>
  <c r="Y398" i="5"/>
  <c r="CG74" i="5"/>
  <c r="CH74" i="5" s="1"/>
  <c r="CC71" i="5"/>
  <c r="P113" i="5"/>
  <c r="O113" i="5" s="1"/>
  <c r="Q113" i="5" s="1"/>
  <c r="AL111" i="5"/>
  <c r="AK111" i="5" s="1"/>
  <c r="F59" i="5"/>
  <c r="C60" i="5" s="1"/>
  <c r="B60" i="5"/>
  <c r="AA113" i="5"/>
  <c r="Z113" i="5" s="1"/>
  <c r="AB113" i="5" s="1"/>
  <c r="AL398" i="5" l="1"/>
  <c r="AK398" i="5" s="1"/>
  <c r="AA398" i="5"/>
  <c r="Z398" i="5" s="1"/>
  <c r="P404" i="5"/>
  <c r="O404" i="5" s="1"/>
  <c r="CP74" i="5"/>
  <c r="BW71" i="5"/>
  <c r="BV71" i="5" s="1"/>
  <c r="BX71" i="5" s="1"/>
  <c r="AM111" i="5"/>
  <c r="AJ112" i="5" s="1"/>
  <c r="AI112" i="5"/>
  <c r="E60" i="5"/>
  <c r="D60" i="5" s="1"/>
  <c r="X114" i="5"/>
  <c r="Y114" i="5"/>
  <c r="M114" i="5"/>
  <c r="N114" i="5"/>
  <c r="Q404" i="5" l="1"/>
  <c r="N405" i="5" s="1"/>
  <c r="AB398" i="5"/>
  <c r="Y399" i="5" s="1"/>
  <c r="AM398" i="5"/>
  <c r="AJ399" i="5"/>
  <c r="CJ74" i="5"/>
  <c r="CI74" i="5" s="1"/>
  <c r="CK74" i="5" s="1"/>
  <c r="BT72" i="5"/>
  <c r="BU72" i="5" s="1"/>
  <c r="P114" i="5"/>
  <c r="O114" i="5" s="1"/>
  <c r="Q114" i="5" s="1"/>
  <c r="AL112" i="5"/>
  <c r="AK112" i="5" s="1"/>
  <c r="F60" i="5"/>
  <c r="C61" i="5" s="1"/>
  <c r="B61" i="5"/>
  <c r="AA114" i="5"/>
  <c r="Z114" i="5" s="1"/>
  <c r="AA399" i="5" l="1"/>
  <c r="Z399" i="5"/>
  <c r="AB399" i="5" s="1"/>
  <c r="P405" i="5"/>
  <c r="O405" i="5"/>
  <c r="Q405" i="5" s="1"/>
  <c r="N406" i="5"/>
  <c r="AK399" i="5"/>
  <c r="AM399" i="5" s="1"/>
  <c r="AL399" i="5"/>
  <c r="CG75" i="5"/>
  <c r="CH75" i="5" s="1"/>
  <c r="CC72" i="5"/>
  <c r="AM112" i="5"/>
  <c r="AJ113" i="5" s="1"/>
  <c r="AI113" i="5"/>
  <c r="E61" i="5"/>
  <c r="D61" i="5" s="1"/>
  <c r="AB114" i="5"/>
  <c r="Y115" i="5" s="1"/>
  <c r="X115" i="5"/>
  <c r="N115" i="5"/>
  <c r="M115" i="5"/>
  <c r="Y400" i="5" l="1"/>
  <c r="AJ400" i="5"/>
  <c r="P406" i="5"/>
  <c r="O406" i="5"/>
  <c r="Q406" i="5" s="1"/>
  <c r="N407" i="5"/>
  <c r="CP75" i="5"/>
  <c r="BW72" i="5"/>
  <c r="BV72" i="5" s="1"/>
  <c r="BX72" i="5" s="1"/>
  <c r="P115" i="5"/>
  <c r="O115" i="5" s="1"/>
  <c r="AL113" i="5"/>
  <c r="AK113" i="5" s="1"/>
  <c r="F61" i="5"/>
  <c r="C62" i="5" s="1"/>
  <c r="B62" i="5"/>
  <c r="AA115" i="5"/>
  <c r="Z115" i="5" s="1"/>
  <c r="P407" i="5" l="1"/>
  <c r="O407" i="5" s="1"/>
  <c r="AL400" i="5"/>
  <c r="AK400" i="5" s="1"/>
  <c r="AA400" i="5"/>
  <c r="Z400" i="5"/>
  <c r="AB400" i="5" s="1"/>
  <c r="CJ75" i="5"/>
  <c r="CI75" i="5" s="1"/>
  <c r="CK75" i="5" s="1"/>
  <c r="BT73" i="5"/>
  <c r="BU73" i="5" s="1"/>
  <c r="Q115" i="5"/>
  <c r="N116" i="5" s="1"/>
  <c r="P116" i="5" s="1"/>
  <c r="O116" i="5" s="1"/>
  <c r="Q116" i="5" s="1"/>
  <c r="AB115" i="5"/>
  <c r="Y116" i="5" s="1"/>
  <c r="AM113" i="5"/>
  <c r="AJ114" i="5" s="1"/>
  <c r="AI114" i="5"/>
  <c r="E62" i="5"/>
  <c r="D62" i="5" s="1"/>
  <c r="X116" i="5"/>
  <c r="M116" i="5"/>
  <c r="Q407" i="5" l="1"/>
  <c r="N408" i="5" s="1"/>
  <c r="AM400" i="5"/>
  <c r="AJ401" i="5" s="1"/>
  <c r="Y401" i="5"/>
  <c r="CG76" i="5"/>
  <c r="CH76" i="5" s="1"/>
  <c r="CC73" i="5"/>
  <c r="AA116" i="5"/>
  <c r="Z116" i="5" s="1"/>
  <c r="AL114" i="5"/>
  <c r="AK114" i="5" s="1"/>
  <c r="F62" i="5"/>
  <c r="C63" i="5" s="1"/>
  <c r="B63" i="5"/>
  <c r="M117" i="5"/>
  <c r="N117" i="5"/>
  <c r="AL401" i="5" l="1"/>
  <c r="AK401" i="5" s="1"/>
  <c r="P408" i="5"/>
  <c r="O408" i="5" s="1"/>
  <c r="AA401" i="5"/>
  <c r="Z401" i="5" s="1"/>
  <c r="CP76" i="5"/>
  <c r="BW73" i="5"/>
  <c r="BV73" i="5" s="1"/>
  <c r="BX73" i="5" s="1"/>
  <c r="P117" i="5"/>
  <c r="O117" i="5" s="1"/>
  <c r="Q117" i="5" s="1"/>
  <c r="AB116" i="5"/>
  <c r="Y117" i="5" s="1"/>
  <c r="AA117" i="5" s="1"/>
  <c r="X117" i="5"/>
  <c r="AM114" i="5"/>
  <c r="AJ115" i="5" s="1"/>
  <c r="AI115" i="5"/>
  <c r="E63" i="5"/>
  <c r="D63" i="5" s="1"/>
  <c r="AM401" i="5" l="1"/>
  <c r="AJ402" i="5" s="1"/>
  <c r="AB401" i="5"/>
  <c r="Y402" i="5" s="1"/>
  <c r="Q408" i="5"/>
  <c r="N409" i="5"/>
  <c r="CJ76" i="5"/>
  <c r="CI76" i="5" s="1"/>
  <c r="BT74" i="5"/>
  <c r="BU74" i="5" s="1"/>
  <c r="N118" i="5"/>
  <c r="P118" i="5" s="1"/>
  <c r="O118" i="5" s="1"/>
  <c r="M118" i="5"/>
  <c r="Z117" i="5"/>
  <c r="X118" i="5" s="1"/>
  <c r="AL115" i="5"/>
  <c r="AK115" i="5" s="1"/>
  <c r="F63" i="5"/>
  <c r="C64" i="5" s="1"/>
  <c r="B64" i="5"/>
  <c r="AB117" i="5"/>
  <c r="Y118" i="5" s="1"/>
  <c r="AK402" i="5" l="1"/>
  <c r="AM402" i="5" s="1"/>
  <c r="AL402" i="5"/>
  <c r="AA402" i="5"/>
  <c r="Z402" i="5"/>
  <c r="AB402" i="5" s="1"/>
  <c r="P409" i="5"/>
  <c r="O409" i="5"/>
  <c r="Q409" i="5" s="1"/>
  <c r="CK76" i="5"/>
  <c r="CG77" i="5"/>
  <c r="CC74" i="5"/>
  <c r="M119" i="5"/>
  <c r="AM115" i="5"/>
  <c r="AJ116" i="5" s="1"/>
  <c r="AI116" i="5"/>
  <c r="E64" i="5"/>
  <c r="D64" i="5" s="1"/>
  <c r="AA118" i="5"/>
  <c r="Z118" i="5" s="1"/>
  <c r="Q118" i="5"/>
  <c r="N119" i="5" s="1"/>
  <c r="Y403" i="5" l="1"/>
  <c r="AJ403" i="5"/>
  <c r="N410" i="5"/>
  <c r="CP77" i="5"/>
  <c r="CH77" i="5"/>
  <c r="BW74" i="5"/>
  <c r="BV74" i="5" s="1"/>
  <c r="BX74" i="5" s="1"/>
  <c r="P119" i="5"/>
  <c r="O119" i="5" s="1"/>
  <c r="M120" i="5" s="1"/>
  <c r="X119" i="5"/>
  <c r="AB118" i="5"/>
  <c r="Y119" i="5" s="1"/>
  <c r="AL116" i="5"/>
  <c r="AK116" i="5" s="1"/>
  <c r="F64" i="5"/>
  <c r="C65" i="5" s="1"/>
  <c r="B65" i="5"/>
  <c r="AA119" i="5"/>
  <c r="AA403" i="5" l="1"/>
  <c r="Z403" i="5"/>
  <c r="AB403" i="5" s="1"/>
  <c r="Y404" i="5"/>
  <c r="P410" i="5"/>
  <c r="O410" i="5" s="1"/>
  <c r="AL403" i="5"/>
  <c r="AK403" i="5"/>
  <c r="AM403" i="5" s="1"/>
  <c r="CJ77" i="5"/>
  <c r="CI77" i="5" s="1"/>
  <c r="CG78" i="5" s="1"/>
  <c r="CH78" i="5" s="1"/>
  <c r="BT75" i="5"/>
  <c r="BU75" i="5" s="1"/>
  <c r="Z119" i="5"/>
  <c r="X120" i="5" s="1"/>
  <c r="AM116" i="5"/>
  <c r="AI117" i="5"/>
  <c r="AJ117" i="5"/>
  <c r="E65" i="5"/>
  <c r="D65" i="5" s="1"/>
  <c r="B66" i="5" s="1"/>
  <c r="AB119" i="5"/>
  <c r="Y120" i="5" s="1"/>
  <c r="Q119" i="5"/>
  <c r="N120" i="5" s="1"/>
  <c r="Q410" i="5" l="1"/>
  <c r="N411" i="5"/>
  <c r="Z404" i="5"/>
  <c r="AB404" i="5" s="1"/>
  <c r="AA404" i="5"/>
  <c r="AJ404" i="5"/>
  <c r="CK77" i="5"/>
  <c r="CP78" i="5"/>
  <c r="CC75" i="5"/>
  <c r="P120" i="5"/>
  <c r="O120" i="5" s="1"/>
  <c r="AL117" i="5"/>
  <c r="AK117" i="5" s="1"/>
  <c r="F65" i="5"/>
  <c r="C66" i="5" s="1"/>
  <c r="AA120" i="5"/>
  <c r="Z120" i="5" s="1"/>
  <c r="X121" i="5" s="1"/>
  <c r="Y405" i="5" l="1"/>
  <c r="AL404" i="5"/>
  <c r="AK404" i="5"/>
  <c r="AM404" i="5" s="1"/>
  <c r="P411" i="5"/>
  <c r="O411" i="5" s="1"/>
  <c r="CJ78" i="5"/>
  <c r="BW75" i="5"/>
  <c r="BV75" i="5" s="1"/>
  <c r="BX75" i="5" s="1"/>
  <c r="Q120" i="5"/>
  <c r="N121" i="5" s="1"/>
  <c r="M121" i="5"/>
  <c r="AM117" i="5"/>
  <c r="AJ118" i="5" s="1"/>
  <c r="AI118" i="5"/>
  <c r="E66" i="5"/>
  <c r="D66" i="5" s="1"/>
  <c r="AB120" i="5"/>
  <c r="Y121" i="5" s="1"/>
  <c r="Q411" i="5" l="1"/>
  <c r="N412" i="5" s="1"/>
  <c r="AJ405" i="5"/>
  <c r="AA405" i="5"/>
  <c r="Z405" i="5" s="1"/>
  <c r="CI78" i="5"/>
  <c r="CK78" i="5" s="1"/>
  <c r="BT76" i="5"/>
  <c r="BU76" i="5" s="1"/>
  <c r="P121" i="5"/>
  <c r="O121" i="5" s="1"/>
  <c r="Q121" i="5" s="1"/>
  <c r="AL118" i="5"/>
  <c r="AK118" i="5" s="1"/>
  <c r="F66" i="5"/>
  <c r="C67" i="5" s="1"/>
  <c r="B67" i="5"/>
  <c r="AA121" i="5"/>
  <c r="Z121" i="5" s="1"/>
  <c r="AB121" i="5" s="1"/>
  <c r="AB405" i="5" l="1"/>
  <c r="Y406" i="5" s="1"/>
  <c r="P412" i="5"/>
  <c r="O412" i="5"/>
  <c r="Q412" i="5" s="1"/>
  <c r="AL405" i="5"/>
  <c r="AK405" i="5" s="1"/>
  <c r="CG79" i="5"/>
  <c r="CH79" i="5" s="1"/>
  <c r="CC76" i="5"/>
  <c r="AM118" i="5"/>
  <c r="AJ119" i="5" s="1"/>
  <c r="AI119" i="5"/>
  <c r="E67" i="5"/>
  <c r="D67" i="5" s="1"/>
  <c r="X122" i="5"/>
  <c r="Y122" i="5"/>
  <c r="M122" i="5"/>
  <c r="N122" i="5"/>
  <c r="AM405" i="5" l="1"/>
  <c r="AJ406" i="5" s="1"/>
  <c r="AA406" i="5"/>
  <c r="Z406" i="5" s="1"/>
  <c r="N413" i="5"/>
  <c r="CP79" i="5"/>
  <c r="CJ79" i="5"/>
  <c r="BW76" i="5"/>
  <c r="BV76" i="5" s="1"/>
  <c r="BX76" i="5" s="1"/>
  <c r="P122" i="5"/>
  <c r="O122" i="5" s="1"/>
  <c r="Q122" i="5" s="1"/>
  <c r="AL119" i="5"/>
  <c r="AK119" i="5" s="1"/>
  <c r="F67" i="5"/>
  <c r="C68" i="5" s="1"/>
  <c r="B68" i="5"/>
  <c r="AA122" i="5"/>
  <c r="Z122" i="5" s="1"/>
  <c r="AB122" i="5" s="1"/>
  <c r="AL406" i="5" l="1"/>
  <c r="AK406" i="5" s="1"/>
  <c r="AB406" i="5"/>
  <c r="Y407" i="5"/>
  <c r="P413" i="5"/>
  <c r="O413" i="5" s="1"/>
  <c r="CI79" i="5"/>
  <c r="CK79" i="5" s="1"/>
  <c r="BT77" i="5"/>
  <c r="BU77" i="5" s="1"/>
  <c r="AM119" i="5"/>
  <c r="AJ120" i="5" s="1"/>
  <c r="AI120" i="5"/>
  <c r="E68" i="5"/>
  <c r="D68" i="5" s="1"/>
  <c r="S6" i="29"/>
  <c r="X123" i="5"/>
  <c r="Y123" i="5"/>
  <c r="M123" i="5"/>
  <c r="N123" i="5"/>
  <c r="Q413" i="5" l="1"/>
  <c r="N414" i="5"/>
  <c r="AM406" i="5"/>
  <c r="AJ407" i="5" s="1"/>
  <c r="Z407" i="5"/>
  <c r="AB407" i="5" s="1"/>
  <c r="AA407" i="5"/>
  <c r="CG80" i="5"/>
  <c r="CH80" i="5" s="1"/>
  <c r="CC77" i="5"/>
  <c r="P123" i="5"/>
  <c r="O123" i="5" s="1"/>
  <c r="AL120" i="5"/>
  <c r="AK120" i="5" s="1"/>
  <c r="F68" i="5"/>
  <c r="C69" i="5" s="1"/>
  <c r="B69" i="5"/>
  <c r="AA123" i="5"/>
  <c r="Z123" i="5" s="1"/>
  <c r="AL407" i="5" l="1"/>
  <c r="AK407" i="5"/>
  <c r="AM407" i="5" s="1"/>
  <c r="P414" i="5"/>
  <c r="O414" i="5"/>
  <c r="Q414" i="5" s="1"/>
  <c r="Y408" i="5"/>
  <c r="CP80" i="5"/>
  <c r="CJ80" i="5"/>
  <c r="BW77" i="5"/>
  <c r="BV77" i="5" s="1"/>
  <c r="BX77" i="5" s="1"/>
  <c r="Q123" i="5"/>
  <c r="N124" i="5" s="1"/>
  <c r="P124" i="5" s="1"/>
  <c r="O124" i="5" s="1"/>
  <c r="Q124" i="5" s="1"/>
  <c r="M124" i="5"/>
  <c r="AB123" i="5"/>
  <c r="Y124" i="5" s="1"/>
  <c r="AA124" i="5" s="1"/>
  <c r="X124" i="5"/>
  <c r="AM120" i="5"/>
  <c r="AJ121" i="5" s="1"/>
  <c r="AI121" i="5"/>
  <c r="E69" i="5"/>
  <c r="D69" i="5" s="1"/>
  <c r="N415" i="5" l="1"/>
  <c r="AJ408" i="5"/>
  <c r="AA408" i="5"/>
  <c r="Z408" i="5"/>
  <c r="AB408" i="5" s="1"/>
  <c r="CI80" i="5"/>
  <c r="CK80" i="5" s="1"/>
  <c r="BT78" i="5"/>
  <c r="BU78" i="5" s="1"/>
  <c r="Z124" i="5"/>
  <c r="AB124" i="5" s="1"/>
  <c r="AL121" i="5"/>
  <c r="AK121" i="5" s="1"/>
  <c r="B70" i="5"/>
  <c r="F69" i="5"/>
  <c r="C70" i="5" s="1"/>
  <c r="X125" i="5"/>
  <c r="Y125" i="5"/>
  <c r="M125" i="5"/>
  <c r="N125" i="5"/>
  <c r="Y409" i="5" l="1"/>
  <c r="AL408" i="5"/>
  <c r="AK408" i="5"/>
  <c r="AM408" i="5" s="1"/>
  <c r="P415" i="5"/>
  <c r="O415" i="5"/>
  <c r="Q415" i="5" s="1"/>
  <c r="CG81" i="5"/>
  <c r="CH81" i="5" s="1"/>
  <c r="CC78" i="5"/>
  <c r="P125" i="5"/>
  <c r="O125" i="5" s="1"/>
  <c r="Q125" i="5" s="1"/>
  <c r="AM121" i="5"/>
  <c r="AJ122" i="5" s="1"/>
  <c r="AI122" i="5"/>
  <c r="E70" i="5"/>
  <c r="D70" i="5" s="1"/>
  <c r="B71" i="5" s="1"/>
  <c r="AA125" i="5"/>
  <c r="Z125" i="5" s="1"/>
  <c r="AB125" i="5" s="1"/>
  <c r="AJ409" i="5" l="1"/>
  <c r="N416" i="5"/>
  <c r="AA409" i="5"/>
  <c r="Z409" i="5"/>
  <c r="AB409" i="5" s="1"/>
  <c r="Y410" i="5"/>
  <c r="CP81" i="5"/>
  <c r="CJ81" i="5"/>
  <c r="CI81" i="5" s="1"/>
  <c r="BW78" i="5"/>
  <c r="BV78" i="5" s="1"/>
  <c r="BX78" i="5" s="1"/>
  <c r="AL122" i="5"/>
  <c r="AK122" i="5" s="1"/>
  <c r="F70" i="5"/>
  <c r="C71" i="5" s="1"/>
  <c r="X126" i="5"/>
  <c r="Y126" i="5"/>
  <c r="M126" i="5"/>
  <c r="N126" i="5"/>
  <c r="AA410" i="5" l="1"/>
  <c r="Z410" i="5" s="1"/>
  <c r="P416" i="5"/>
  <c r="O416" i="5" s="1"/>
  <c r="AL409" i="5"/>
  <c r="AK409" i="5" s="1"/>
  <c r="CK81" i="5"/>
  <c r="CG82" i="5"/>
  <c r="CH82" i="5" s="1"/>
  <c r="BT79" i="5"/>
  <c r="BU79" i="5" s="1"/>
  <c r="P126" i="5"/>
  <c r="O126" i="5" s="1"/>
  <c r="M127" i="5" s="1"/>
  <c r="AM122" i="5"/>
  <c r="AI123" i="5"/>
  <c r="AJ123" i="5"/>
  <c r="E71" i="5"/>
  <c r="AA126" i="5"/>
  <c r="Z126" i="5" s="1"/>
  <c r="X127" i="5" s="1"/>
  <c r="AM409" i="5" l="1"/>
  <c r="AJ410" i="5"/>
  <c r="Q416" i="5"/>
  <c r="N417" i="5"/>
  <c r="AB410" i="5"/>
  <c r="Y411" i="5"/>
  <c r="CP82" i="5"/>
  <c r="CC79" i="5"/>
  <c r="AL123" i="5"/>
  <c r="AK123" i="5" s="1"/>
  <c r="D71" i="5"/>
  <c r="AB126" i="5"/>
  <c r="Y127" i="5" s="1"/>
  <c r="Q126" i="5"/>
  <c r="N127" i="5" s="1"/>
  <c r="AA411" i="5" l="1"/>
  <c r="Z411" i="5" s="1"/>
  <c r="P417" i="5"/>
  <c r="O417" i="5"/>
  <c r="Q417" i="5" s="1"/>
  <c r="N418" i="5"/>
  <c r="AL410" i="5"/>
  <c r="AK410" i="5" s="1"/>
  <c r="CJ82" i="5"/>
  <c r="CI82" i="5" s="1"/>
  <c r="CK82" i="5" s="1"/>
  <c r="BW79" i="5"/>
  <c r="BV79" i="5" s="1"/>
  <c r="BX79" i="5" s="1"/>
  <c r="P127" i="5"/>
  <c r="O127" i="5" s="1"/>
  <c r="Q127" i="5" s="1"/>
  <c r="AM123" i="5"/>
  <c r="AJ124" i="5" s="1"/>
  <c r="AI124" i="5"/>
  <c r="B72" i="5"/>
  <c r="F71" i="5"/>
  <c r="C72" i="5" s="1"/>
  <c r="AA127" i="5"/>
  <c r="Z127" i="5" s="1"/>
  <c r="AB127" i="5" s="1"/>
  <c r="AM410" i="5" l="1"/>
  <c r="AJ411" i="5"/>
  <c r="AB411" i="5"/>
  <c r="Y412" i="5"/>
  <c r="P418" i="5"/>
  <c r="O418" i="5"/>
  <c r="Q418" i="5" s="1"/>
  <c r="N419" i="5"/>
  <c r="CG83" i="5"/>
  <c r="BT80" i="5"/>
  <c r="BU80" i="5" s="1"/>
  <c r="AL124" i="5"/>
  <c r="AK124" i="5" s="1"/>
  <c r="E72" i="5"/>
  <c r="Y128" i="5"/>
  <c r="X128" i="5"/>
  <c r="N128" i="5"/>
  <c r="M128" i="5"/>
  <c r="AA412" i="5" l="1"/>
  <c r="Z412" i="5" s="1"/>
  <c r="P419" i="5"/>
  <c r="O419" i="5" s="1"/>
  <c r="AL411" i="5"/>
  <c r="AK411" i="5" s="1"/>
  <c r="CP83" i="5"/>
  <c r="CH83" i="5"/>
  <c r="CC80" i="5"/>
  <c r="P128" i="5"/>
  <c r="O128" i="5" s="1"/>
  <c r="Q128" i="5" s="1"/>
  <c r="AM124" i="5"/>
  <c r="AJ125" i="5" s="1"/>
  <c r="AI125" i="5"/>
  <c r="D72" i="5"/>
  <c r="AA128" i="5"/>
  <c r="Z128" i="5" s="1"/>
  <c r="AB128" i="5" s="1"/>
  <c r="AM411" i="5" l="1"/>
  <c r="AJ412" i="5"/>
  <c r="Q419" i="5"/>
  <c r="N420" i="5"/>
  <c r="AB412" i="5"/>
  <c r="Y413" i="5"/>
  <c r="CJ83" i="5"/>
  <c r="CI83" i="5" s="1"/>
  <c r="BW80" i="5"/>
  <c r="BV80" i="5" s="1"/>
  <c r="BX80" i="5" s="1"/>
  <c r="AL125" i="5"/>
  <c r="AK125" i="5" s="1"/>
  <c r="B73" i="5"/>
  <c r="F72" i="5"/>
  <c r="C73" i="5" s="1"/>
  <c r="Y129" i="5"/>
  <c r="X129" i="5"/>
  <c r="N129" i="5"/>
  <c r="M129" i="5"/>
  <c r="AA413" i="5" l="1"/>
  <c r="Z413" i="5" s="1"/>
  <c r="P420" i="5"/>
  <c r="O420" i="5" s="1"/>
  <c r="AL412" i="5"/>
  <c r="AK412" i="5"/>
  <c r="AM412" i="5" s="1"/>
  <c r="CK83" i="5"/>
  <c r="CG84" i="5"/>
  <c r="CH84" i="5" s="1"/>
  <c r="BT81" i="5"/>
  <c r="BU81" i="5" s="1"/>
  <c r="P129" i="5"/>
  <c r="O129" i="5" s="1"/>
  <c r="M130" i="5" s="1"/>
  <c r="AM125" i="5"/>
  <c r="AJ126" i="5" s="1"/>
  <c r="AI126" i="5"/>
  <c r="E73" i="5"/>
  <c r="D73" i="5" s="1"/>
  <c r="AA129" i="5"/>
  <c r="Z129" i="5" s="1"/>
  <c r="X130" i="5" s="1"/>
  <c r="Q420" i="5" l="1"/>
  <c r="N421" i="5"/>
  <c r="AB413" i="5"/>
  <c r="Y414" i="5"/>
  <c r="AJ413" i="5"/>
  <c r="CP84" i="5"/>
  <c r="CJ84" i="5"/>
  <c r="CC81" i="5"/>
  <c r="AL126" i="5"/>
  <c r="AK126" i="5" s="1"/>
  <c r="F73" i="5"/>
  <c r="C74" i="5" s="1"/>
  <c r="B74" i="5"/>
  <c r="AB129" i="5"/>
  <c r="Y130" i="5" s="1"/>
  <c r="Q129" i="5"/>
  <c r="N130" i="5" s="1"/>
  <c r="AL413" i="5" l="1"/>
  <c r="AK413" i="5"/>
  <c r="AM413" i="5" s="1"/>
  <c r="AA414" i="5"/>
  <c r="Z414" i="5" s="1"/>
  <c r="P421" i="5"/>
  <c r="O421" i="5"/>
  <c r="Q421" i="5" s="1"/>
  <c r="CI84" i="5"/>
  <c r="CK84" i="5" s="1"/>
  <c r="BW81" i="5"/>
  <c r="BV81" i="5" s="1"/>
  <c r="BX81" i="5" s="1"/>
  <c r="P130" i="5"/>
  <c r="O130" i="5" s="1"/>
  <c r="M131" i="5" s="1"/>
  <c r="AM126" i="5"/>
  <c r="AJ127" i="5" s="1"/>
  <c r="AI127" i="5"/>
  <c r="E74" i="5"/>
  <c r="D74" i="5" s="1"/>
  <c r="AA130" i="5"/>
  <c r="Z130" i="5" s="1"/>
  <c r="X131" i="5" s="1"/>
  <c r="AB414" i="5" l="1"/>
  <c r="Y415" i="5"/>
  <c r="N422" i="5"/>
  <c r="AJ414" i="5"/>
  <c r="CG85" i="5"/>
  <c r="CH85" i="5" s="1"/>
  <c r="BT82" i="5"/>
  <c r="BU82" i="5" s="1"/>
  <c r="AL127" i="5"/>
  <c r="AK127" i="5" s="1"/>
  <c r="F74" i="5"/>
  <c r="C75" i="5" s="1"/>
  <c r="B75" i="5"/>
  <c r="AB130" i="5"/>
  <c r="Y131" i="5" s="1"/>
  <c r="Q130" i="5"/>
  <c r="N131" i="5" s="1"/>
  <c r="P422" i="5" l="1"/>
  <c r="O422" i="5"/>
  <c r="Q422" i="5" s="1"/>
  <c r="N423" i="5"/>
  <c r="AK414" i="5"/>
  <c r="AM414" i="5" s="1"/>
  <c r="AL414" i="5"/>
  <c r="AA415" i="5"/>
  <c r="Z415" i="5" s="1"/>
  <c r="CP85" i="5"/>
  <c r="CJ85" i="5"/>
  <c r="CI85" i="5" s="1"/>
  <c r="CK85" i="5" s="1"/>
  <c r="CC82" i="5"/>
  <c r="P131" i="5"/>
  <c r="O131" i="5" s="1"/>
  <c r="Q131" i="5" s="1"/>
  <c r="AM127" i="5"/>
  <c r="AJ128" i="5" s="1"/>
  <c r="AI128" i="5"/>
  <c r="E75" i="5"/>
  <c r="D75" i="5" s="1"/>
  <c r="AA131" i="5"/>
  <c r="Z131" i="5" s="1"/>
  <c r="AB131" i="5" s="1"/>
  <c r="AB415" i="5" l="1"/>
  <c r="Y416" i="5"/>
  <c r="AJ415" i="5"/>
  <c r="P423" i="5"/>
  <c r="N424" i="5"/>
  <c r="O423" i="5"/>
  <c r="Q423" i="5" s="1"/>
  <c r="CG86" i="5"/>
  <c r="CH86" i="5" s="1"/>
  <c r="BW82" i="5"/>
  <c r="BV82" i="5" s="1"/>
  <c r="BX82" i="5" s="1"/>
  <c r="AL128" i="5"/>
  <c r="AK128" i="5" s="1"/>
  <c r="F75" i="5"/>
  <c r="C76" i="5" s="1"/>
  <c r="B76" i="5"/>
  <c r="X132" i="5"/>
  <c r="Y132" i="5"/>
  <c r="M132" i="5"/>
  <c r="N132" i="5"/>
  <c r="P424" i="5" l="1"/>
  <c r="O424" i="5" s="1"/>
  <c r="AL415" i="5"/>
  <c r="AK415" i="5" s="1"/>
  <c r="AA416" i="5"/>
  <c r="Z416" i="5" s="1"/>
  <c r="CP86" i="5"/>
  <c r="BT83" i="5"/>
  <c r="BU83" i="5" s="1"/>
  <c r="P132" i="5"/>
  <c r="O132" i="5" s="1"/>
  <c r="Q132" i="5" s="1"/>
  <c r="AM128" i="5"/>
  <c r="AJ129" i="5" s="1"/>
  <c r="AI129" i="5"/>
  <c r="E76" i="5"/>
  <c r="D76" i="5" s="1"/>
  <c r="AA132" i="5"/>
  <c r="Z132" i="5" s="1"/>
  <c r="AB132" i="5" s="1"/>
  <c r="AB416" i="5" l="1"/>
  <c r="Y417" i="5"/>
  <c r="AM415" i="5"/>
  <c r="AJ416" i="5"/>
  <c r="Q424" i="5"/>
  <c r="N425" i="5"/>
  <c r="CJ86" i="5"/>
  <c r="CC83" i="5"/>
  <c r="AL129" i="5"/>
  <c r="AK129" i="5" s="1"/>
  <c r="F76" i="5"/>
  <c r="C77" i="5" s="1"/>
  <c r="B77" i="5"/>
  <c r="X133" i="5"/>
  <c r="Y133" i="5"/>
  <c r="M133" i="5"/>
  <c r="N133" i="5"/>
  <c r="P425" i="5" l="1"/>
  <c r="O425" i="5" s="1"/>
  <c r="AK416" i="5"/>
  <c r="AM416" i="5" s="1"/>
  <c r="AL416" i="5"/>
  <c r="AA417" i="5"/>
  <c r="Z417" i="5"/>
  <c r="AB417" i="5" s="1"/>
  <c r="CI86" i="5"/>
  <c r="CK86" i="5" s="1"/>
  <c r="BW83" i="5"/>
  <c r="BV83" i="5" s="1"/>
  <c r="BX83" i="5" s="1"/>
  <c r="P133" i="5"/>
  <c r="O133" i="5" s="1"/>
  <c r="Q133" i="5" s="1"/>
  <c r="AM129" i="5"/>
  <c r="AI130" i="5"/>
  <c r="AJ130" i="5"/>
  <c r="E77" i="5"/>
  <c r="D77" i="5" s="1"/>
  <c r="AA133" i="5"/>
  <c r="Z133" i="5" s="1"/>
  <c r="AB133" i="5" s="1"/>
  <c r="Q425" i="5" l="1"/>
  <c r="N426" i="5"/>
  <c r="AJ417" i="5"/>
  <c r="Y418" i="5"/>
  <c r="CG87" i="5"/>
  <c r="CH87" i="5" s="1"/>
  <c r="BT84" i="5"/>
  <c r="BU84" i="5" s="1"/>
  <c r="AL130" i="5"/>
  <c r="AK130" i="5" s="1"/>
  <c r="F77" i="5"/>
  <c r="C78" i="5" s="1"/>
  <c r="B78" i="5"/>
  <c r="X134" i="5"/>
  <c r="Y134" i="5"/>
  <c r="M134" i="5"/>
  <c r="N134" i="5"/>
  <c r="AL417" i="5" l="1"/>
  <c r="AK417" i="5" s="1"/>
  <c r="O426" i="5"/>
  <c r="Q426" i="5" s="1"/>
  <c r="N427" i="5"/>
  <c r="P426" i="5"/>
  <c r="AA418" i="5"/>
  <c r="Z418" i="5" s="1"/>
  <c r="CP87" i="5"/>
  <c r="CJ87" i="5"/>
  <c r="CI87" i="5" s="1"/>
  <c r="CK87" i="5" s="1"/>
  <c r="CC84" i="5"/>
  <c r="P134" i="5"/>
  <c r="O134" i="5" s="1"/>
  <c r="Q134" i="5" s="1"/>
  <c r="AM130" i="5"/>
  <c r="AJ131" i="5" s="1"/>
  <c r="AI131" i="5"/>
  <c r="E78" i="5"/>
  <c r="D78" i="5" s="1"/>
  <c r="AA134" i="5"/>
  <c r="Z134" i="5" s="1"/>
  <c r="AB134" i="5" s="1"/>
  <c r="AB418" i="5" l="1"/>
  <c r="Y419" i="5"/>
  <c r="AM417" i="5"/>
  <c r="AJ418" i="5"/>
  <c r="P427" i="5"/>
  <c r="O427" i="5" s="1"/>
  <c r="CG88" i="5"/>
  <c r="CH88" i="5" s="1"/>
  <c r="BW84" i="5"/>
  <c r="BV84" i="5" s="1"/>
  <c r="BX84" i="5" s="1"/>
  <c r="AL131" i="5"/>
  <c r="AK131" i="5" s="1"/>
  <c r="F78" i="5"/>
  <c r="C79" i="5" s="1"/>
  <c r="B79" i="5"/>
  <c r="X135" i="5"/>
  <c r="Y135" i="5"/>
  <c r="M135" i="5"/>
  <c r="N135" i="5"/>
  <c r="Q427" i="5" l="1"/>
  <c r="N428" i="5"/>
  <c r="AL418" i="5"/>
  <c r="AK418" i="5" s="1"/>
  <c r="AA419" i="5"/>
  <c r="Z419" i="5" s="1"/>
  <c r="CP88" i="5"/>
  <c r="BT85" i="5"/>
  <c r="BU85" i="5" s="1"/>
  <c r="P135" i="5"/>
  <c r="O135" i="5" s="1"/>
  <c r="Q135" i="5" s="1"/>
  <c r="AM131" i="5"/>
  <c r="AJ132" i="5"/>
  <c r="AI132" i="5"/>
  <c r="E79" i="5"/>
  <c r="D79" i="5" s="1"/>
  <c r="AA135" i="5"/>
  <c r="Z135" i="5" s="1"/>
  <c r="AB135" i="5" s="1"/>
  <c r="AB419" i="5" l="1"/>
  <c r="Y420" i="5"/>
  <c r="AM418" i="5"/>
  <c r="AJ419" i="5"/>
  <c r="P428" i="5"/>
  <c r="O428" i="5" s="1"/>
  <c r="CJ88" i="5"/>
  <c r="CI88" i="5" s="1"/>
  <c r="CK88" i="5" s="1"/>
  <c r="CC85" i="5"/>
  <c r="AL132" i="5"/>
  <c r="AK132" i="5" s="1"/>
  <c r="F79" i="5"/>
  <c r="C80" i="5" s="1"/>
  <c r="B80" i="5"/>
  <c r="X136" i="5"/>
  <c r="Y136" i="5"/>
  <c r="M136" i="5"/>
  <c r="N136" i="5"/>
  <c r="Q428" i="5" l="1"/>
  <c r="N429" i="5"/>
  <c r="AL419" i="5"/>
  <c r="AK419" i="5" s="1"/>
  <c r="AA420" i="5"/>
  <c r="Z420" i="5"/>
  <c r="AB420" i="5" s="1"/>
  <c r="CG89" i="5"/>
  <c r="CH89" i="5" s="1"/>
  <c r="BW85" i="5"/>
  <c r="BV85" i="5" s="1"/>
  <c r="BX85" i="5" s="1"/>
  <c r="P136" i="5"/>
  <c r="O136" i="5" s="1"/>
  <c r="Q136" i="5" s="1"/>
  <c r="AM132" i="5"/>
  <c r="AJ133" i="5" s="1"/>
  <c r="AI133" i="5"/>
  <c r="E80" i="5"/>
  <c r="D80" i="5" s="1"/>
  <c r="S7" i="29"/>
  <c r="AA136" i="5"/>
  <c r="Z136" i="5" s="1"/>
  <c r="AB136" i="5" s="1"/>
  <c r="AM419" i="5" l="1"/>
  <c r="AJ420" i="5"/>
  <c r="Y421" i="5"/>
  <c r="P429" i="5"/>
  <c r="O429" i="5" s="1"/>
  <c r="CP89" i="5"/>
  <c r="BT86" i="5"/>
  <c r="BU86" i="5" s="1"/>
  <c r="AL133" i="5"/>
  <c r="AK133" i="5" s="1"/>
  <c r="F80" i="5"/>
  <c r="C81" i="5" s="1"/>
  <c r="B81" i="5"/>
  <c r="X137" i="5"/>
  <c r="Y137" i="5"/>
  <c r="M137" i="5"/>
  <c r="N137" i="5"/>
  <c r="Q429" i="5" l="1"/>
  <c r="N430" i="5"/>
  <c r="AA421" i="5"/>
  <c r="Z421" i="5" s="1"/>
  <c r="AL420" i="5"/>
  <c r="AK420" i="5" s="1"/>
  <c r="CJ89" i="5"/>
  <c r="CI89" i="5" s="1"/>
  <c r="CK89" i="5" s="1"/>
  <c r="CC86" i="5"/>
  <c r="P137" i="5"/>
  <c r="O137" i="5" s="1"/>
  <c r="AM133" i="5"/>
  <c r="AJ134" i="5" s="1"/>
  <c r="AI134" i="5"/>
  <c r="E81" i="5"/>
  <c r="D81" i="5" s="1"/>
  <c r="AA137" i="5"/>
  <c r="Z137" i="5" s="1"/>
  <c r="AM420" i="5" l="1"/>
  <c r="AJ421" i="5"/>
  <c r="AB421" i="5"/>
  <c r="Y422" i="5"/>
  <c r="O430" i="5"/>
  <c r="Q430" i="5" s="1"/>
  <c r="P430" i="5"/>
  <c r="CG90" i="5"/>
  <c r="CH90" i="5" s="1"/>
  <c r="BW86" i="5"/>
  <c r="BV86" i="5" s="1"/>
  <c r="BX86" i="5" s="1"/>
  <c r="Q137" i="5"/>
  <c r="N138" i="5" s="1"/>
  <c r="AB137" i="5"/>
  <c r="Y138" i="5" s="1"/>
  <c r="AA138" i="5" s="1"/>
  <c r="AL134" i="5"/>
  <c r="AK134" i="5" s="1"/>
  <c r="F81" i="5"/>
  <c r="C82" i="5" s="1"/>
  <c r="B82" i="5"/>
  <c r="X138" i="5"/>
  <c r="M138" i="5"/>
  <c r="AA422" i="5" l="1"/>
  <c r="Z422" i="5" s="1"/>
  <c r="N431" i="5"/>
  <c r="AL421" i="5"/>
  <c r="AK421" i="5" s="1"/>
  <c r="CP90" i="5"/>
  <c r="BT87" i="5"/>
  <c r="BU87" i="5" s="1"/>
  <c r="P138" i="5"/>
  <c r="O138" i="5" s="1"/>
  <c r="Z138" i="5"/>
  <c r="AM134" i="5"/>
  <c r="AI135" i="5"/>
  <c r="AJ135" i="5"/>
  <c r="E82" i="5"/>
  <c r="D82" i="5" s="1"/>
  <c r="AM421" i="5" l="1"/>
  <c r="AJ422" i="5"/>
  <c r="AB422" i="5"/>
  <c r="Y423" i="5"/>
  <c r="P431" i="5"/>
  <c r="O431" i="5" s="1"/>
  <c r="CJ90" i="5"/>
  <c r="CC87" i="5"/>
  <c r="Q138" i="5"/>
  <c r="N139" i="5" s="1"/>
  <c r="P139" i="5" s="1"/>
  <c r="O139" i="5" s="1"/>
  <c r="M139" i="5"/>
  <c r="M140" i="5" s="1"/>
  <c r="AB138" i="5"/>
  <c r="Y139" i="5" s="1"/>
  <c r="X139" i="5"/>
  <c r="AL135" i="5"/>
  <c r="AK135" i="5" s="1"/>
  <c r="F82" i="5"/>
  <c r="C83" i="5" s="1"/>
  <c r="B83" i="5"/>
  <c r="Q139" i="5"/>
  <c r="N140" i="5" s="1"/>
  <c r="Q431" i="5" l="1"/>
  <c r="N432" i="5"/>
  <c r="AA423" i="5"/>
  <c r="Z423" i="5" s="1"/>
  <c r="AL422" i="5"/>
  <c r="AK422" i="5" s="1"/>
  <c r="CI90" i="5"/>
  <c r="CK90" i="5" s="1"/>
  <c r="BW87" i="5"/>
  <c r="BV87" i="5" s="1"/>
  <c r="BX87" i="5" s="1"/>
  <c r="P140" i="5"/>
  <c r="O140" i="5" s="1"/>
  <c r="AA139" i="5"/>
  <c r="Z139" i="5" s="1"/>
  <c r="AM135" i="5"/>
  <c r="AJ136" i="5" s="1"/>
  <c r="AI136" i="5"/>
  <c r="E83" i="5"/>
  <c r="D83" i="5" s="1"/>
  <c r="AM422" i="5" l="1"/>
  <c r="AJ423" i="5"/>
  <c r="AB423" i="5"/>
  <c r="Y424" i="5"/>
  <c r="P432" i="5"/>
  <c r="O432" i="5" s="1"/>
  <c r="CG91" i="5"/>
  <c r="CH91" i="5" s="1"/>
  <c r="BT88" i="5"/>
  <c r="BU88" i="5" s="1"/>
  <c r="Q140" i="5"/>
  <c r="N141" i="5" s="1"/>
  <c r="P141" i="5" s="1"/>
  <c r="O141" i="5" s="1"/>
  <c r="Q141" i="5" s="1"/>
  <c r="M141" i="5"/>
  <c r="AB139" i="5"/>
  <c r="Y140" i="5" s="1"/>
  <c r="X140" i="5"/>
  <c r="AL136" i="5"/>
  <c r="AK136" i="5" s="1"/>
  <c r="F83" i="5"/>
  <c r="C84" i="5" s="1"/>
  <c r="B84" i="5"/>
  <c r="Q432" i="5" l="1"/>
  <c r="N433" i="5"/>
  <c r="AA424" i="5"/>
  <c r="Z424" i="5"/>
  <c r="AB424" i="5" s="1"/>
  <c r="AK423" i="5"/>
  <c r="AM423" i="5" s="1"/>
  <c r="AL423" i="5"/>
  <c r="CP91" i="5"/>
  <c r="CJ91" i="5"/>
  <c r="CC88" i="5"/>
  <c r="AA140" i="5"/>
  <c r="Z140" i="5" s="1"/>
  <c r="AM136" i="5"/>
  <c r="AJ137" i="5" s="1"/>
  <c r="AI137" i="5"/>
  <c r="E84" i="5"/>
  <c r="D84" i="5" s="1"/>
  <c r="N142" i="5"/>
  <c r="M142" i="5"/>
  <c r="AJ424" i="5" l="1"/>
  <c r="Y425" i="5"/>
  <c r="P433" i="5"/>
  <c r="O433" i="5" s="1"/>
  <c r="CI91" i="5"/>
  <c r="CK91" i="5" s="1"/>
  <c r="BW88" i="5"/>
  <c r="BV88" i="5" s="1"/>
  <c r="BX88" i="5" s="1"/>
  <c r="P142" i="5"/>
  <c r="O142" i="5" s="1"/>
  <c r="M143" i="5" s="1"/>
  <c r="AB140" i="5"/>
  <c r="Y141" i="5" s="1"/>
  <c r="X141" i="5"/>
  <c r="AL137" i="5"/>
  <c r="AK137" i="5" s="1"/>
  <c r="F84" i="5"/>
  <c r="C85" i="5" s="1"/>
  <c r="B85" i="5"/>
  <c r="Q433" i="5" l="1"/>
  <c r="N434" i="5"/>
  <c r="AA425" i="5"/>
  <c r="Z425" i="5" s="1"/>
  <c r="AK424" i="5"/>
  <c r="AM424" i="5" s="1"/>
  <c r="AL424" i="5"/>
  <c r="CG92" i="5"/>
  <c r="CH92" i="5" s="1"/>
  <c r="BT89" i="5"/>
  <c r="BU89" i="5" s="1"/>
  <c r="AA141" i="5"/>
  <c r="Z141" i="5" s="1"/>
  <c r="AM137" i="5"/>
  <c r="AJ138" i="5" s="1"/>
  <c r="AI138" i="5"/>
  <c r="E85" i="5"/>
  <c r="D85" i="5" s="1"/>
  <c r="Q142" i="5"/>
  <c r="N143" i="5" s="1"/>
  <c r="AB425" i="5" l="1"/>
  <c r="Y426" i="5"/>
  <c r="P434" i="5"/>
  <c r="O434" i="5"/>
  <c r="Q434" i="5" s="1"/>
  <c r="AJ425" i="5"/>
  <c r="CP92" i="5"/>
  <c r="CJ92" i="5"/>
  <c r="CC89" i="5"/>
  <c r="P143" i="5"/>
  <c r="O143" i="5" s="1"/>
  <c r="AB141" i="5"/>
  <c r="Y142" i="5" s="1"/>
  <c r="X142" i="5"/>
  <c r="AL138" i="5"/>
  <c r="AK138" i="5" s="1"/>
  <c r="F85" i="5"/>
  <c r="C86" i="5" s="1"/>
  <c r="B86" i="5"/>
  <c r="AL425" i="5" l="1"/>
  <c r="AK425" i="5"/>
  <c r="AM425" i="5" s="1"/>
  <c r="N435" i="5"/>
  <c r="AA426" i="5"/>
  <c r="Z426" i="5" s="1"/>
  <c r="CI92" i="5"/>
  <c r="CK92" i="5" s="1"/>
  <c r="BW89" i="5"/>
  <c r="BV89" i="5" s="1"/>
  <c r="BX89" i="5" s="1"/>
  <c r="M144" i="5"/>
  <c r="Q143" i="5"/>
  <c r="N144" i="5" s="1"/>
  <c r="P144" i="5" s="1"/>
  <c r="O144" i="5" s="1"/>
  <c r="AA142" i="5"/>
  <c r="Z142" i="5" s="1"/>
  <c r="AM138" i="5"/>
  <c r="AI139" i="5"/>
  <c r="AJ139" i="5"/>
  <c r="E86" i="5"/>
  <c r="D86" i="5" s="1"/>
  <c r="AB426" i="5" l="1"/>
  <c r="Y427" i="5"/>
  <c r="P435" i="5"/>
  <c r="O435" i="5" s="1"/>
  <c r="AJ426" i="5"/>
  <c r="CG93" i="5"/>
  <c r="CH93" i="5" s="1"/>
  <c r="BT90" i="5"/>
  <c r="BU90" i="5" s="1"/>
  <c r="M145" i="5"/>
  <c r="Q144" i="5"/>
  <c r="N145" i="5" s="1"/>
  <c r="P145" i="5" s="1"/>
  <c r="O145" i="5" s="1"/>
  <c r="Q145" i="5" s="1"/>
  <c r="AB142" i="5"/>
  <c r="Y143" i="5" s="1"/>
  <c r="X143" i="5"/>
  <c r="AL139" i="5"/>
  <c r="AK139" i="5" s="1"/>
  <c r="F86" i="5"/>
  <c r="C87" i="5" s="1"/>
  <c r="B87" i="5"/>
  <c r="Q435" i="5" l="1"/>
  <c r="N436" i="5"/>
  <c r="AL426" i="5"/>
  <c r="AK426" i="5" s="1"/>
  <c r="AA427" i="5"/>
  <c r="Z427" i="5" s="1"/>
  <c r="CP93" i="5"/>
  <c r="CJ93" i="5"/>
  <c r="CI93" i="5" s="1"/>
  <c r="CK93" i="5" s="1"/>
  <c r="CC90" i="5"/>
  <c r="AA143" i="5"/>
  <c r="Z143" i="5" s="1"/>
  <c r="AM139" i="5"/>
  <c r="AJ140" i="5" s="1"/>
  <c r="AI140" i="5"/>
  <c r="E87" i="5"/>
  <c r="D87" i="5" s="1"/>
  <c r="M146" i="5"/>
  <c r="N146" i="5"/>
  <c r="AB427" i="5" l="1"/>
  <c r="Y428" i="5"/>
  <c r="AM426" i="5"/>
  <c r="AJ427" i="5"/>
  <c r="P436" i="5"/>
  <c r="O436" i="5" s="1"/>
  <c r="CG94" i="5"/>
  <c r="CH94" i="5" s="1"/>
  <c r="BW90" i="5"/>
  <c r="BV90" i="5" s="1"/>
  <c r="BX90" i="5" s="1"/>
  <c r="P146" i="5"/>
  <c r="O146" i="5" s="1"/>
  <c r="Q146" i="5" s="1"/>
  <c r="AB143" i="5"/>
  <c r="Y144" i="5" s="1"/>
  <c r="X144" i="5"/>
  <c r="AL140" i="5"/>
  <c r="AK140" i="5" s="1"/>
  <c r="F87" i="5"/>
  <c r="C88" i="5" s="1"/>
  <c r="B88" i="5"/>
  <c r="Q436" i="5" l="1"/>
  <c r="N437" i="5"/>
  <c r="AL427" i="5"/>
  <c r="AK427" i="5" s="1"/>
  <c r="Z428" i="5"/>
  <c r="AB428" i="5" s="1"/>
  <c r="AA428" i="5"/>
  <c r="CP94" i="5"/>
  <c r="BT91" i="5"/>
  <c r="BU91" i="5" s="1"/>
  <c r="AA144" i="5"/>
  <c r="Z144" i="5" s="1"/>
  <c r="AM140" i="5"/>
  <c r="AI141" i="5"/>
  <c r="AJ141" i="5"/>
  <c r="E88" i="5"/>
  <c r="D88" i="5" s="1"/>
  <c r="M147" i="5"/>
  <c r="N147" i="5"/>
  <c r="AM427" i="5" l="1"/>
  <c r="AJ428" i="5"/>
  <c r="P437" i="5"/>
  <c r="O437" i="5" s="1"/>
  <c r="Y429" i="5"/>
  <c r="CJ94" i="5"/>
  <c r="CC91" i="5"/>
  <c r="P147" i="5"/>
  <c r="O147" i="5" s="1"/>
  <c r="M148" i="5" s="1"/>
  <c r="AB144" i="5"/>
  <c r="Y145" i="5" s="1"/>
  <c r="X145" i="5"/>
  <c r="AL141" i="5"/>
  <c r="AK141" i="5" s="1"/>
  <c r="F88" i="5"/>
  <c r="C89" i="5" s="1"/>
  <c r="B89" i="5"/>
  <c r="Q437" i="5" l="1"/>
  <c r="N438" i="5"/>
  <c r="AA429" i="5"/>
  <c r="Z429" i="5"/>
  <c r="AB429" i="5" s="1"/>
  <c r="AL428" i="5"/>
  <c r="AK428" i="5" s="1"/>
  <c r="CI94" i="5"/>
  <c r="CK94" i="5" s="1"/>
  <c r="BW91" i="5"/>
  <c r="BV91" i="5" s="1"/>
  <c r="BX91" i="5" s="1"/>
  <c r="AA145" i="5"/>
  <c r="Z145" i="5" s="1"/>
  <c r="AM141" i="5"/>
  <c r="AJ142" i="5" s="1"/>
  <c r="AI142" i="5"/>
  <c r="E89" i="5"/>
  <c r="Q147" i="5"/>
  <c r="N148" i="5" s="1"/>
  <c r="AM428" i="5" l="1"/>
  <c r="AJ429" i="5"/>
  <c r="Y430" i="5"/>
  <c r="O438" i="5"/>
  <c r="Q438" i="5" s="1"/>
  <c r="P438" i="5"/>
  <c r="CG95" i="5"/>
  <c r="CH95" i="5" s="1"/>
  <c r="BT92" i="5"/>
  <c r="BU92" i="5" s="1"/>
  <c r="P148" i="5"/>
  <c r="O148" i="5" s="1"/>
  <c r="Q148" i="5" s="1"/>
  <c r="AB145" i="5"/>
  <c r="X146" i="5"/>
  <c r="Y146" i="5"/>
  <c r="AL142" i="5"/>
  <c r="AK142" i="5" s="1"/>
  <c r="D89" i="5"/>
  <c r="AA430" i="5" l="1"/>
  <c r="Z430" i="5"/>
  <c r="AB430" i="5" s="1"/>
  <c r="AL429" i="5"/>
  <c r="AK429" i="5"/>
  <c r="AM429" i="5" s="1"/>
  <c r="N439" i="5"/>
  <c r="CP95" i="5"/>
  <c r="CJ95" i="5"/>
  <c r="CI95" i="5" s="1"/>
  <c r="CC92" i="5"/>
  <c r="AA146" i="5"/>
  <c r="Z146" i="5" s="1"/>
  <c r="AM142" i="5"/>
  <c r="AJ143" i="5" s="1"/>
  <c r="AI143" i="5"/>
  <c r="B90" i="5"/>
  <c r="F89" i="5"/>
  <c r="C90" i="5" s="1"/>
  <c r="M149" i="5"/>
  <c r="N149" i="5"/>
  <c r="P439" i="5" l="1"/>
  <c r="O439" i="5"/>
  <c r="Q439" i="5" s="1"/>
  <c r="AJ430" i="5"/>
  <c r="Y431" i="5"/>
  <c r="CK95" i="5"/>
  <c r="CG96" i="5"/>
  <c r="CH96" i="5" s="1"/>
  <c r="BW92" i="5"/>
  <c r="BV92" i="5" s="1"/>
  <c r="BX92" i="5" s="1"/>
  <c r="P149" i="5"/>
  <c r="O149" i="5" s="1"/>
  <c r="Q149" i="5" s="1"/>
  <c r="AB146" i="5"/>
  <c r="Y147" i="5" s="1"/>
  <c r="X147" i="5"/>
  <c r="AL143" i="5"/>
  <c r="AK143" i="5" s="1"/>
  <c r="E90" i="5"/>
  <c r="D90" i="5" s="1"/>
  <c r="AA431" i="5" l="1"/>
  <c r="Z431" i="5" s="1"/>
  <c r="AL430" i="5"/>
  <c r="AK430" i="5" s="1"/>
  <c r="N440" i="5"/>
  <c r="CP96" i="5"/>
  <c r="BT93" i="5"/>
  <c r="BU93" i="5" s="1"/>
  <c r="AA147" i="5"/>
  <c r="Z147" i="5" s="1"/>
  <c r="AM143" i="5"/>
  <c r="AJ144" i="5" s="1"/>
  <c r="AI144" i="5"/>
  <c r="F90" i="5"/>
  <c r="C91" i="5" s="1"/>
  <c r="B91" i="5"/>
  <c r="N150" i="5"/>
  <c r="M150" i="5"/>
  <c r="AM430" i="5" l="1"/>
  <c r="AJ431" i="5"/>
  <c r="AB431" i="5"/>
  <c r="Y432" i="5"/>
  <c r="P440" i="5"/>
  <c r="O440" i="5" s="1"/>
  <c r="CJ96" i="5"/>
  <c r="CI96" i="5" s="1"/>
  <c r="CC93" i="5"/>
  <c r="P150" i="5"/>
  <c r="O150" i="5" s="1"/>
  <c r="M151" i="5" s="1"/>
  <c r="AB147" i="5"/>
  <c r="Y148" i="5" s="1"/>
  <c r="X148" i="5"/>
  <c r="AL144" i="5"/>
  <c r="AK144" i="5" s="1"/>
  <c r="E91" i="5"/>
  <c r="D91" i="5" s="1"/>
  <c r="Q440" i="5" l="1"/>
  <c r="N441" i="5"/>
  <c r="AA432" i="5"/>
  <c r="Z432" i="5" s="1"/>
  <c r="AL431" i="5"/>
  <c r="AK431" i="5" s="1"/>
  <c r="CK96" i="5"/>
  <c r="CG97" i="5"/>
  <c r="CH97" i="5" s="1"/>
  <c r="BW93" i="5"/>
  <c r="BV93" i="5" s="1"/>
  <c r="BX93" i="5" s="1"/>
  <c r="AA148" i="5"/>
  <c r="Z148" i="5" s="1"/>
  <c r="AM144" i="5"/>
  <c r="AI145" i="5"/>
  <c r="AJ145" i="5"/>
  <c r="F91" i="5"/>
  <c r="C92" i="5" s="1"/>
  <c r="B92" i="5"/>
  <c r="Q150" i="5"/>
  <c r="N151" i="5" s="1"/>
  <c r="AM431" i="5" l="1"/>
  <c r="AJ432" i="5"/>
  <c r="AB432" i="5"/>
  <c r="Y433" i="5"/>
  <c r="P441" i="5"/>
  <c r="O441" i="5" s="1"/>
  <c r="CP97" i="5"/>
  <c r="CJ97" i="5"/>
  <c r="BT94" i="5"/>
  <c r="BU94" i="5" s="1"/>
  <c r="P151" i="5"/>
  <c r="O151" i="5" s="1"/>
  <c r="Q151" i="5" s="1"/>
  <c r="AB148" i="5"/>
  <c r="Y149" i="5" s="1"/>
  <c r="X149" i="5"/>
  <c r="AL145" i="5"/>
  <c r="AK145" i="5" s="1"/>
  <c r="S8" i="29"/>
  <c r="E92" i="5"/>
  <c r="D92" i="5" s="1"/>
  <c r="Q441" i="5" l="1"/>
  <c r="N442" i="5"/>
  <c r="AA433" i="5"/>
  <c r="Z433" i="5" s="1"/>
  <c r="AK432" i="5"/>
  <c r="AM432" i="5" s="1"/>
  <c r="AL432" i="5"/>
  <c r="CI97" i="5"/>
  <c r="CK97" i="5" s="1"/>
  <c r="CC94" i="5"/>
  <c r="AM145" i="5"/>
  <c r="AJ146" i="5" s="1"/>
  <c r="AL146" i="5" s="1"/>
  <c r="AK146" i="5" s="1"/>
  <c r="AI146" i="5"/>
  <c r="AA149" i="5"/>
  <c r="Z149" i="5" s="1"/>
  <c r="F92" i="5"/>
  <c r="C93" i="5" s="1"/>
  <c r="B93" i="5"/>
  <c r="N152" i="5"/>
  <c r="M152" i="5"/>
  <c r="AB433" i="5" l="1"/>
  <c r="Y434" i="5"/>
  <c r="P442" i="5"/>
  <c r="O442" i="5"/>
  <c r="Q442" i="5" s="1"/>
  <c r="AJ433" i="5"/>
  <c r="CG98" i="5"/>
  <c r="CH98" i="5" s="1"/>
  <c r="CJ98" i="5" s="1"/>
  <c r="CI98" i="5" s="1"/>
  <c r="CK98" i="5" s="1"/>
  <c r="BW94" i="5"/>
  <c r="BV94" i="5" s="1"/>
  <c r="BX94" i="5" s="1"/>
  <c r="P152" i="5"/>
  <c r="O152" i="5" s="1"/>
  <c r="AB149" i="5"/>
  <c r="Y150" i="5" s="1"/>
  <c r="X150" i="5"/>
  <c r="AM146" i="5"/>
  <c r="AJ147" i="5" s="1"/>
  <c r="AI147" i="5"/>
  <c r="E93" i="5"/>
  <c r="D93" i="5" s="1"/>
  <c r="AL433" i="5" l="1"/>
  <c r="AK433" i="5" s="1"/>
  <c r="N443" i="5"/>
  <c r="Z434" i="5"/>
  <c r="AB434" i="5" s="1"/>
  <c r="AA434" i="5"/>
  <c r="CP98" i="5"/>
  <c r="CG99" i="5"/>
  <c r="CH99" i="5" s="1"/>
  <c r="BT95" i="5"/>
  <c r="BU95" i="5" s="1"/>
  <c r="M153" i="5"/>
  <c r="Q152" i="5"/>
  <c r="N153" i="5" s="1"/>
  <c r="AA150" i="5"/>
  <c r="Z150" i="5" s="1"/>
  <c r="AL147" i="5"/>
  <c r="AK147" i="5" s="1"/>
  <c r="F93" i="5"/>
  <c r="C94" i="5" s="1"/>
  <c r="B94" i="5"/>
  <c r="AM433" i="5" l="1"/>
  <c r="AJ434" i="5"/>
  <c r="P443" i="5"/>
  <c r="O443" i="5" s="1"/>
  <c r="Y435" i="5"/>
  <c r="CP99" i="5"/>
  <c r="CC95" i="5"/>
  <c r="P153" i="5"/>
  <c r="O153" i="5" s="1"/>
  <c r="AB150" i="5"/>
  <c r="Y151" i="5" s="1"/>
  <c r="X151" i="5"/>
  <c r="AM147" i="5"/>
  <c r="AJ148" i="5" s="1"/>
  <c r="AI148" i="5"/>
  <c r="E94" i="5"/>
  <c r="D94" i="5" s="1"/>
  <c r="Q443" i="5" l="1"/>
  <c r="N444" i="5"/>
  <c r="AA435" i="5"/>
  <c r="Z435" i="5"/>
  <c r="AB435" i="5" s="1"/>
  <c r="Y436" i="5"/>
  <c r="AL434" i="5"/>
  <c r="AK434" i="5"/>
  <c r="AM434" i="5" s="1"/>
  <c r="CJ99" i="5"/>
  <c r="CI99" i="5" s="1"/>
  <c r="CK99" i="5" s="1"/>
  <c r="BW95" i="5"/>
  <c r="BV95" i="5" s="1"/>
  <c r="BX95" i="5" s="1"/>
  <c r="M154" i="5"/>
  <c r="Q153" i="5"/>
  <c r="N154" i="5" s="1"/>
  <c r="P154" i="5" s="1"/>
  <c r="O154" i="5" s="1"/>
  <c r="AA151" i="5"/>
  <c r="Z151" i="5" s="1"/>
  <c r="AL148" i="5"/>
  <c r="AK148" i="5" s="1"/>
  <c r="F94" i="5"/>
  <c r="C95" i="5" s="1"/>
  <c r="B95" i="5"/>
  <c r="AJ435" i="5" l="1"/>
  <c r="AA436" i="5"/>
  <c r="Z436" i="5"/>
  <c r="AB436" i="5" s="1"/>
  <c r="P444" i="5"/>
  <c r="O444" i="5" s="1"/>
  <c r="CG100" i="5"/>
  <c r="CH100" i="5" s="1"/>
  <c r="BT96" i="5"/>
  <c r="BU96" i="5" s="1"/>
  <c r="M155" i="5"/>
  <c r="AB151" i="5"/>
  <c r="Y152" i="5" s="1"/>
  <c r="X152" i="5"/>
  <c r="AM148" i="5"/>
  <c r="AJ149" i="5" s="1"/>
  <c r="AI149" i="5"/>
  <c r="E95" i="5"/>
  <c r="D95" i="5" s="1"/>
  <c r="Q154" i="5"/>
  <c r="N155" i="5" s="1"/>
  <c r="Q444" i="5" l="1"/>
  <c r="N445" i="5"/>
  <c r="Y437" i="5"/>
  <c r="AL435" i="5"/>
  <c r="AK435" i="5" s="1"/>
  <c r="CP100" i="5"/>
  <c r="CC96" i="5"/>
  <c r="P155" i="5"/>
  <c r="O155" i="5" s="1"/>
  <c r="Q155" i="5" s="1"/>
  <c r="AA152" i="5"/>
  <c r="Z152" i="5" s="1"/>
  <c r="AL149" i="5"/>
  <c r="AK149" i="5" s="1"/>
  <c r="F95" i="5"/>
  <c r="C96" i="5" s="1"/>
  <c r="B96" i="5"/>
  <c r="AM435" i="5" l="1"/>
  <c r="AJ436" i="5"/>
  <c r="Z437" i="5"/>
  <c r="AB437" i="5" s="1"/>
  <c r="AA437" i="5"/>
  <c r="Y438" i="5"/>
  <c r="O445" i="5"/>
  <c r="Q445" i="5" s="1"/>
  <c r="N446" i="5"/>
  <c r="P445" i="5"/>
  <c r="CJ100" i="5"/>
  <c r="BW96" i="5"/>
  <c r="BV96" i="5" s="1"/>
  <c r="BX96" i="5" s="1"/>
  <c r="AB152" i="5"/>
  <c r="Y153" i="5" s="1"/>
  <c r="X153" i="5"/>
  <c r="AM149" i="5"/>
  <c r="AI150" i="5"/>
  <c r="AJ150" i="5"/>
  <c r="E96" i="5"/>
  <c r="D96" i="5" s="1"/>
  <c r="M156" i="5"/>
  <c r="N156" i="5"/>
  <c r="P446" i="5" l="1"/>
  <c r="O446" i="5" s="1"/>
  <c r="AA438" i="5"/>
  <c r="Z438" i="5" s="1"/>
  <c r="AL436" i="5"/>
  <c r="AK436" i="5" s="1"/>
  <c r="CI100" i="5"/>
  <c r="CK100" i="5" s="1"/>
  <c r="BT97" i="5"/>
  <c r="BU97" i="5" s="1"/>
  <c r="P156" i="5"/>
  <c r="O156" i="5" s="1"/>
  <c r="M157" i="5" s="1"/>
  <c r="AA153" i="5"/>
  <c r="Z153" i="5" s="1"/>
  <c r="AL150" i="5"/>
  <c r="AK150" i="5" s="1"/>
  <c r="F96" i="5"/>
  <c r="C97" i="5" s="1"/>
  <c r="B97" i="5"/>
  <c r="AM436" i="5" l="1"/>
  <c r="AJ437" i="5"/>
  <c r="AB438" i="5"/>
  <c r="Y439" i="5"/>
  <c r="Q446" i="5"/>
  <c r="N447" i="5"/>
  <c r="CG101" i="5"/>
  <c r="CH101" i="5" s="1"/>
  <c r="CC97" i="5"/>
  <c r="AB153" i="5"/>
  <c r="Y154" i="5" s="1"/>
  <c r="X154" i="5"/>
  <c r="AM150" i="5"/>
  <c r="AI151" i="5"/>
  <c r="AJ151" i="5"/>
  <c r="E97" i="5"/>
  <c r="D97" i="5" s="1"/>
  <c r="Q156" i="5"/>
  <c r="N157" i="5" s="1"/>
  <c r="P447" i="5" l="1"/>
  <c r="O447" i="5" s="1"/>
  <c r="AL437" i="5"/>
  <c r="AK437" i="5" s="1"/>
  <c r="AA439" i="5"/>
  <c r="Z439" i="5" s="1"/>
  <c r="CP101" i="5"/>
  <c r="CJ101" i="5"/>
  <c r="CI101" i="5" s="1"/>
  <c r="CK101" i="5" s="1"/>
  <c r="BW97" i="5"/>
  <c r="BV97" i="5" s="1"/>
  <c r="BX97" i="5" s="1"/>
  <c r="P157" i="5"/>
  <c r="O157" i="5" s="1"/>
  <c r="AA154" i="5"/>
  <c r="Z154" i="5" s="1"/>
  <c r="AL151" i="5"/>
  <c r="AK151" i="5" s="1"/>
  <c r="F97" i="5"/>
  <c r="C98" i="5" s="1"/>
  <c r="B98" i="5"/>
  <c r="AB439" i="5" l="1"/>
  <c r="Y440" i="5"/>
  <c r="AM437" i="5"/>
  <c r="AJ438" i="5"/>
  <c r="Q447" i="5"/>
  <c r="N448" i="5"/>
  <c r="CG102" i="5"/>
  <c r="CH102" i="5" s="1"/>
  <c r="BT98" i="5"/>
  <c r="BU98" i="5" s="1"/>
  <c r="AB154" i="5"/>
  <c r="Y155" i="5" s="1"/>
  <c r="X155" i="5"/>
  <c r="AM151" i="5"/>
  <c r="AJ152" i="5" s="1"/>
  <c r="AI152" i="5"/>
  <c r="E98" i="5"/>
  <c r="D98" i="5" s="1"/>
  <c r="Q157" i="5"/>
  <c r="N158" i="5" s="1"/>
  <c r="M158" i="5"/>
  <c r="AL438" i="5" l="1"/>
  <c r="AK438" i="5" s="1"/>
  <c r="P448" i="5"/>
  <c r="O448" i="5"/>
  <c r="Q448" i="5" s="1"/>
  <c r="AA440" i="5"/>
  <c r="Z440" i="5" s="1"/>
  <c r="CP102" i="5"/>
  <c r="CC98" i="5"/>
  <c r="P158" i="5"/>
  <c r="O158" i="5" s="1"/>
  <c r="Q158" i="5" s="1"/>
  <c r="AA155" i="5"/>
  <c r="Z155" i="5" s="1"/>
  <c r="AL152" i="5"/>
  <c r="AK152" i="5" s="1"/>
  <c r="F98" i="5"/>
  <c r="C99" i="5" s="1"/>
  <c r="B99" i="5"/>
  <c r="AB440" i="5" l="1"/>
  <c r="Y441" i="5"/>
  <c r="AM438" i="5"/>
  <c r="AJ439" i="5"/>
  <c r="N449" i="5"/>
  <c r="CJ102" i="5"/>
  <c r="CI102" i="5" s="1"/>
  <c r="CK102" i="5" s="1"/>
  <c r="BW98" i="5"/>
  <c r="BV98" i="5" s="1"/>
  <c r="BX98" i="5" s="1"/>
  <c r="AB155" i="5"/>
  <c r="Y156" i="5" s="1"/>
  <c r="X156" i="5"/>
  <c r="AM152" i="5"/>
  <c r="AJ153" i="5" s="1"/>
  <c r="AI153" i="5"/>
  <c r="E99" i="5"/>
  <c r="D99" i="5" s="1"/>
  <c r="M159" i="5"/>
  <c r="N159" i="5"/>
  <c r="P449" i="5" l="1"/>
  <c r="O449" i="5" s="1"/>
  <c r="AL439" i="5"/>
  <c r="AK439" i="5"/>
  <c r="AM439" i="5" s="1"/>
  <c r="AA441" i="5"/>
  <c r="Z441" i="5"/>
  <c r="AB441" i="5" s="1"/>
  <c r="CG103" i="5"/>
  <c r="CH103" i="5" s="1"/>
  <c r="BT99" i="5"/>
  <c r="BU99" i="5" s="1"/>
  <c r="P159" i="5"/>
  <c r="O159" i="5" s="1"/>
  <c r="AA156" i="5"/>
  <c r="Z156" i="5" s="1"/>
  <c r="AL153" i="5"/>
  <c r="AK153" i="5" s="1"/>
  <c r="F99" i="5"/>
  <c r="C100" i="5" s="1"/>
  <c r="B100" i="5"/>
  <c r="Q449" i="5" l="1"/>
  <c r="N450" i="5"/>
  <c r="AJ440" i="5"/>
  <c r="Y442" i="5"/>
  <c r="CP103" i="5"/>
  <c r="CC99" i="5"/>
  <c r="Q159" i="5"/>
  <c r="M160" i="5"/>
  <c r="AB156" i="5"/>
  <c r="Y157" i="5" s="1"/>
  <c r="X157" i="5"/>
  <c r="AM153" i="5"/>
  <c r="AI154" i="5"/>
  <c r="AJ154" i="5"/>
  <c r="E100" i="5"/>
  <c r="D100" i="5" s="1"/>
  <c r="N160" i="5"/>
  <c r="AA442" i="5" l="1"/>
  <c r="Z442" i="5" s="1"/>
  <c r="AL440" i="5"/>
  <c r="AK440" i="5"/>
  <c r="AM440" i="5" s="1"/>
  <c r="O450" i="5"/>
  <c r="Q450" i="5" s="1"/>
  <c r="P450" i="5"/>
  <c r="CJ103" i="5"/>
  <c r="CI103" i="5" s="1"/>
  <c r="CK103" i="5" s="1"/>
  <c r="BW99" i="5"/>
  <c r="BV99" i="5" s="1"/>
  <c r="BX99" i="5" s="1"/>
  <c r="P160" i="5"/>
  <c r="O160" i="5" s="1"/>
  <c r="M161" i="5" s="1"/>
  <c r="AA157" i="5"/>
  <c r="Z157" i="5" s="1"/>
  <c r="AL154" i="5"/>
  <c r="AK154" i="5" s="1"/>
  <c r="F100" i="5"/>
  <c r="C101" i="5" s="1"/>
  <c r="B101" i="5"/>
  <c r="AB442" i="5" l="1"/>
  <c r="Y443" i="5"/>
  <c r="AJ441" i="5"/>
  <c r="N451" i="5"/>
  <c r="CG104" i="5"/>
  <c r="CH104" i="5" s="1"/>
  <c r="BT100" i="5"/>
  <c r="BU100" i="5" s="1"/>
  <c r="AM154" i="5"/>
  <c r="AJ155" i="5" s="1"/>
  <c r="AL155" i="5" s="1"/>
  <c r="AK155" i="5" s="1"/>
  <c r="AI155" i="5"/>
  <c r="AB157" i="5"/>
  <c r="Y158" i="5" s="1"/>
  <c r="X158" i="5"/>
  <c r="E101" i="5"/>
  <c r="D101" i="5" s="1"/>
  <c r="Q160" i="5"/>
  <c r="N161" i="5" s="1"/>
  <c r="AL441" i="5" l="1"/>
  <c r="AK441" i="5" s="1"/>
  <c r="AA443" i="5"/>
  <c r="Z443" i="5" s="1"/>
  <c r="N452" i="5"/>
  <c r="P451" i="5"/>
  <c r="O451" i="5"/>
  <c r="Q451" i="5" s="1"/>
  <c r="CP104" i="5"/>
  <c r="CC100" i="5"/>
  <c r="P161" i="5"/>
  <c r="O161" i="5" s="1"/>
  <c r="Q161" i="5" s="1"/>
  <c r="AA158" i="5"/>
  <c r="Z158" i="5" s="1"/>
  <c r="AM155" i="5"/>
  <c r="AJ156" i="5" s="1"/>
  <c r="AI156" i="5"/>
  <c r="F101" i="5"/>
  <c r="C102" i="5" s="1"/>
  <c r="B102" i="5"/>
  <c r="AB443" i="5" l="1"/>
  <c r="Y444" i="5"/>
  <c r="AM441" i="5"/>
  <c r="AJ442" i="5"/>
  <c r="P452" i="5"/>
  <c r="O452" i="5" s="1"/>
  <c r="CJ104" i="5"/>
  <c r="CI104" i="5" s="1"/>
  <c r="CK104" i="5" s="1"/>
  <c r="BW100" i="5"/>
  <c r="BV100" i="5" s="1"/>
  <c r="BX100" i="5" s="1"/>
  <c r="AB158" i="5"/>
  <c r="Y159" i="5" s="1"/>
  <c r="X159" i="5"/>
  <c r="AL156" i="5"/>
  <c r="AK156" i="5" s="1"/>
  <c r="E102" i="5"/>
  <c r="D102" i="5" s="1"/>
  <c r="M162" i="5"/>
  <c r="N162" i="5"/>
  <c r="Q452" i="5" l="1"/>
  <c r="N453" i="5" s="1"/>
  <c r="AL442" i="5"/>
  <c r="AK442" i="5" s="1"/>
  <c r="AA444" i="5"/>
  <c r="Z444" i="5" s="1"/>
  <c r="CG105" i="5"/>
  <c r="CH105" i="5" s="1"/>
  <c r="BT101" i="5"/>
  <c r="BU101" i="5" s="1"/>
  <c r="P162" i="5"/>
  <c r="O162" i="5" s="1"/>
  <c r="AA159" i="5"/>
  <c r="Z159" i="5" s="1"/>
  <c r="AM156" i="5"/>
  <c r="AI157" i="5"/>
  <c r="AJ157" i="5"/>
  <c r="F102" i="5"/>
  <c r="C103" i="5" s="1"/>
  <c r="B103" i="5"/>
  <c r="AM442" i="5" l="1"/>
  <c r="AJ443" i="5"/>
  <c r="O453" i="5"/>
  <c r="Q453" i="5" s="1"/>
  <c r="P453" i="5"/>
  <c r="AB444" i="5"/>
  <c r="Y445" i="5"/>
  <c r="CP105" i="5"/>
  <c r="CC101" i="5"/>
  <c r="Q162" i="5"/>
  <c r="N163" i="5" s="1"/>
  <c r="P163" i="5" s="1"/>
  <c r="O163" i="5" s="1"/>
  <c r="Q163" i="5" s="1"/>
  <c r="AB159" i="5"/>
  <c r="X160" i="5"/>
  <c r="Y160" i="5"/>
  <c r="AL157" i="5"/>
  <c r="AK157" i="5" s="1"/>
  <c r="E103" i="5"/>
  <c r="D103" i="5" s="1"/>
  <c r="M163" i="5"/>
  <c r="Z445" i="5" l="1"/>
  <c r="AB445" i="5" s="1"/>
  <c r="AA445" i="5"/>
  <c r="N454" i="5"/>
  <c r="AL443" i="5"/>
  <c r="AK443" i="5" s="1"/>
  <c r="CJ105" i="5"/>
  <c r="CI105" i="5" s="1"/>
  <c r="BW101" i="5"/>
  <c r="BV101" i="5" s="1"/>
  <c r="BX101" i="5" s="1"/>
  <c r="AA160" i="5"/>
  <c r="Z160" i="5" s="1"/>
  <c r="AM157" i="5"/>
  <c r="AJ158" i="5" s="1"/>
  <c r="AI158" i="5"/>
  <c r="F103" i="5"/>
  <c r="C104" i="5" s="1"/>
  <c r="B104" i="5"/>
  <c r="N164" i="5"/>
  <c r="M164" i="5"/>
  <c r="AM443" i="5" l="1"/>
  <c r="AJ444" i="5"/>
  <c r="P454" i="5"/>
  <c r="O454" i="5"/>
  <c r="Q454" i="5" s="1"/>
  <c r="Y446" i="5"/>
  <c r="CK105" i="5"/>
  <c r="CG106" i="5"/>
  <c r="CH106" i="5" s="1"/>
  <c r="BT102" i="5"/>
  <c r="BU102" i="5" s="1"/>
  <c r="P164" i="5"/>
  <c r="O164" i="5" s="1"/>
  <c r="Q164" i="5" s="1"/>
  <c r="AB160" i="5"/>
  <c r="Y161" i="5" s="1"/>
  <c r="X161" i="5"/>
  <c r="AL158" i="5"/>
  <c r="AK158" i="5" s="1"/>
  <c r="E104" i="5"/>
  <c r="D104" i="5" s="1"/>
  <c r="S9" i="29"/>
  <c r="AA446" i="5" l="1"/>
  <c r="Z446" i="5" s="1"/>
  <c r="N455" i="5"/>
  <c r="AL444" i="5"/>
  <c r="AK444" i="5" s="1"/>
  <c r="CP106" i="5"/>
  <c r="CC102" i="5"/>
  <c r="AA161" i="5"/>
  <c r="Z161" i="5" s="1"/>
  <c r="AM158" i="5"/>
  <c r="AJ159" i="5" s="1"/>
  <c r="AI159" i="5"/>
  <c r="F104" i="5"/>
  <c r="C105" i="5" s="1"/>
  <c r="B105" i="5"/>
  <c r="M165" i="5"/>
  <c r="N165" i="5"/>
  <c r="AM444" i="5" l="1"/>
  <c r="AJ445" i="5"/>
  <c r="AB446" i="5"/>
  <c r="Y447" i="5"/>
  <c r="O455" i="5"/>
  <c r="Q455" i="5" s="1"/>
  <c r="P455" i="5"/>
  <c r="CJ106" i="5"/>
  <c r="BW102" i="5"/>
  <c r="BV102" i="5" s="1"/>
  <c r="BX102" i="5" s="1"/>
  <c r="P165" i="5"/>
  <c r="O165" i="5" s="1"/>
  <c r="AB161" i="5"/>
  <c r="X162" i="5"/>
  <c r="Y162" i="5"/>
  <c r="AL159" i="5"/>
  <c r="AK159" i="5" s="1"/>
  <c r="E105" i="5"/>
  <c r="D105" i="5" s="1"/>
  <c r="AA447" i="5" l="1"/>
  <c r="Z447" i="5"/>
  <c r="AB447" i="5" s="1"/>
  <c r="AL445" i="5"/>
  <c r="AK445" i="5" s="1"/>
  <c r="N456" i="5"/>
  <c r="CI106" i="5"/>
  <c r="CK106" i="5" s="1"/>
  <c r="BT103" i="5"/>
  <c r="BU103" i="5" s="1"/>
  <c r="Q165" i="5"/>
  <c r="N166" i="5" s="1"/>
  <c r="P166" i="5" s="1"/>
  <c r="O166" i="5" s="1"/>
  <c r="M166" i="5"/>
  <c r="AA162" i="5"/>
  <c r="Z162" i="5" s="1"/>
  <c r="AM159" i="5"/>
  <c r="AJ160" i="5" s="1"/>
  <c r="AI160" i="5"/>
  <c r="F105" i="5"/>
  <c r="C106" i="5" s="1"/>
  <c r="B106" i="5"/>
  <c r="AM445" i="5" l="1"/>
  <c r="AJ446" i="5"/>
  <c r="O456" i="5"/>
  <c r="Q456" i="5" s="1"/>
  <c r="P456" i="5"/>
  <c r="Y448" i="5"/>
  <c r="CG107" i="5"/>
  <c r="CH107" i="5" s="1"/>
  <c r="CC103" i="5"/>
  <c r="M167" i="5"/>
  <c r="AB162" i="5"/>
  <c r="Y163" i="5" s="1"/>
  <c r="X163" i="5"/>
  <c r="AL160" i="5"/>
  <c r="AK160" i="5" s="1"/>
  <c r="E106" i="5"/>
  <c r="D106" i="5" s="1"/>
  <c r="Q166" i="5"/>
  <c r="N167" i="5" s="1"/>
  <c r="AA448" i="5" l="1"/>
  <c r="Z448" i="5" s="1"/>
  <c r="N457" i="5"/>
  <c r="AL446" i="5"/>
  <c r="AK446" i="5" s="1"/>
  <c r="CP107" i="5"/>
  <c r="CJ107" i="5"/>
  <c r="CI107" i="5" s="1"/>
  <c r="BW103" i="5"/>
  <c r="BV103" i="5" s="1"/>
  <c r="BX103" i="5" s="1"/>
  <c r="P167" i="5"/>
  <c r="O167" i="5" s="1"/>
  <c r="Q167" i="5" s="1"/>
  <c r="AA163" i="5"/>
  <c r="Z163" i="5" s="1"/>
  <c r="AM160" i="5"/>
  <c r="AJ161" i="5" s="1"/>
  <c r="AI161" i="5"/>
  <c r="F106" i="5"/>
  <c r="C107" i="5" s="1"/>
  <c r="B107" i="5"/>
  <c r="AM446" i="5" l="1"/>
  <c r="AJ447" i="5"/>
  <c r="AB448" i="5"/>
  <c r="Y449" i="5"/>
  <c r="P457" i="5"/>
  <c r="O457" i="5" s="1"/>
  <c r="CK107" i="5"/>
  <c r="CG108" i="5"/>
  <c r="CH108" i="5" s="1"/>
  <c r="BT104" i="5"/>
  <c r="BU104" i="5" s="1"/>
  <c r="AB163" i="5"/>
  <c r="Y164" i="5" s="1"/>
  <c r="X164" i="5"/>
  <c r="AL161" i="5"/>
  <c r="AK161" i="5" s="1"/>
  <c r="E107" i="5"/>
  <c r="M168" i="5"/>
  <c r="N168" i="5"/>
  <c r="Q457" i="5" l="1"/>
  <c r="N458" i="5"/>
  <c r="AA449" i="5"/>
  <c r="Z449" i="5" s="1"/>
  <c r="AL447" i="5"/>
  <c r="AK447" i="5" s="1"/>
  <c r="CP108" i="5"/>
  <c r="CC104" i="5"/>
  <c r="P168" i="5"/>
  <c r="O168" i="5" s="1"/>
  <c r="Q168" i="5" s="1"/>
  <c r="AA164" i="5"/>
  <c r="Z164" i="5" s="1"/>
  <c r="AM161" i="5"/>
  <c r="AJ162" i="5" s="1"/>
  <c r="AI162" i="5"/>
  <c r="D107" i="5"/>
  <c r="AM447" i="5" l="1"/>
  <c r="AJ448" i="5"/>
  <c r="AB449" i="5"/>
  <c r="Y450" i="5"/>
  <c r="P458" i="5"/>
  <c r="O458" i="5" s="1"/>
  <c r="CJ108" i="5"/>
  <c r="BW104" i="5"/>
  <c r="BV104" i="5" s="1"/>
  <c r="BX104" i="5" s="1"/>
  <c r="AB164" i="5"/>
  <c r="X165" i="5"/>
  <c r="Y165" i="5"/>
  <c r="AL162" i="5"/>
  <c r="AK162" i="5" s="1"/>
  <c r="B108" i="5"/>
  <c r="F107" i="5"/>
  <c r="C108" i="5" s="1"/>
  <c r="M169" i="5"/>
  <c r="N169" i="5"/>
  <c r="Q458" i="5" l="1"/>
  <c r="N459" i="5"/>
  <c r="AA450" i="5"/>
  <c r="Z450" i="5" s="1"/>
  <c r="AL448" i="5"/>
  <c r="AK448" i="5" s="1"/>
  <c r="CI108" i="5"/>
  <c r="CG109" i="5" s="1"/>
  <c r="CH109" i="5" s="1"/>
  <c r="BT105" i="5"/>
  <c r="BU105" i="5" s="1"/>
  <c r="P169" i="5"/>
  <c r="O169" i="5" s="1"/>
  <c r="Q169" i="5" s="1"/>
  <c r="N170" i="5" s="1"/>
  <c r="AA165" i="5"/>
  <c r="Z165" i="5" s="1"/>
  <c r="AM162" i="5"/>
  <c r="AJ163" i="5" s="1"/>
  <c r="AI163" i="5"/>
  <c r="E108" i="5"/>
  <c r="D108" i="5" s="1"/>
  <c r="AM448" i="5" l="1"/>
  <c r="AJ449" i="5"/>
  <c r="AB450" i="5"/>
  <c r="Y451" i="5"/>
  <c r="O459" i="5"/>
  <c r="Q459" i="5" s="1"/>
  <c r="P459" i="5"/>
  <c r="N460" i="5"/>
  <c r="CK108" i="5"/>
  <c r="CP109" i="5"/>
  <c r="CC105" i="5"/>
  <c r="P170" i="5"/>
  <c r="O170" i="5" s="1"/>
  <c r="Q170" i="5" s="1"/>
  <c r="AB165" i="5"/>
  <c r="X166" i="5"/>
  <c r="Y166" i="5"/>
  <c r="AL163" i="5"/>
  <c r="AK163" i="5" s="1"/>
  <c r="F108" i="5"/>
  <c r="C109" i="5" s="1"/>
  <c r="B109" i="5"/>
  <c r="M170" i="5"/>
  <c r="AA451" i="5" l="1"/>
  <c r="Z451" i="5" s="1"/>
  <c r="AL449" i="5"/>
  <c r="AK449" i="5" s="1"/>
  <c r="P460" i="5"/>
  <c r="O460" i="5" s="1"/>
  <c r="CJ109" i="5"/>
  <c r="CI109" i="5" s="1"/>
  <c r="CK109" i="5" s="1"/>
  <c r="BW105" i="5"/>
  <c r="BV105" i="5" s="1"/>
  <c r="BX105" i="5" s="1"/>
  <c r="AA166" i="5"/>
  <c r="Z166" i="5" s="1"/>
  <c r="AM163" i="5"/>
  <c r="AJ164" i="5" s="1"/>
  <c r="AI164" i="5"/>
  <c r="E109" i="5"/>
  <c r="D109" i="5" s="1"/>
  <c r="M171" i="5"/>
  <c r="N171" i="5"/>
  <c r="Q460" i="5" l="1"/>
  <c r="N461" i="5"/>
  <c r="AM449" i="5"/>
  <c r="AJ450" i="5"/>
  <c r="AB451" i="5"/>
  <c r="Y452" i="5"/>
  <c r="CG110" i="5"/>
  <c r="CH110" i="5" s="1"/>
  <c r="BT106" i="5"/>
  <c r="BU106" i="5" s="1"/>
  <c r="P171" i="5"/>
  <c r="O171" i="5" s="1"/>
  <c r="Q171" i="5" s="1"/>
  <c r="AB166" i="5"/>
  <c r="Y167" i="5" s="1"/>
  <c r="X167" i="5"/>
  <c r="AL164" i="5"/>
  <c r="AK164" i="5" s="1"/>
  <c r="F109" i="5"/>
  <c r="C110" i="5" s="1"/>
  <c r="B110" i="5"/>
  <c r="AL450" i="5" l="1"/>
  <c r="AK450" i="5" s="1"/>
  <c r="P461" i="5"/>
  <c r="O461" i="5" s="1"/>
  <c r="Y453" i="5"/>
  <c r="AA452" i="5"/>
  <c r="Z452" i="5"/>
  <c r="AB452" i="5" s="1"/>
  <c r="CP110" i="5"/>
  <c r="CC106" i="5"/>
  <c r="AA167" i="5"/>
  <c r="Z167" i="5" s="1"/>
  <c r="AM164" i="5"/>
  <c r="AJ165" i="5" s="1"/>
  <c r="AI165" i="5"/>
  <c r="E110" i="5"/>
  <c r="D110" i="5" s="1"/>
  <c r="M172" i="5"/>
  <c r="N172" i="5"/>
  <c r="Q461" i="5" l="1"/>
  <c r="N462" i="5"/>
  <c r="AM450" i="5"/>
  <c r="AJ451" i="5"/>
  <c r="AA453" i="5"/>
  <c r="Z453" i="5" s="1"/>
  <c r="CJ110" i="5"/>
  <c r="CI110" i="5" s="1"/>
  <c r="CK110" i="5" s="1"/>
  <c r="BW106" i="5"/>
  <c r="BV106" i="5" s="1"/>
  <c r="BX106" i="5" s="1"/>
  <c r="P172" i="5"/>
  <c r="O172" i="5" s="1"/>
  <c r="Q172" i="5" s="1"/>
  <c r="AB167" i="5"/>
  <c r="Y168" i="5" s="1"/>
  <c r="X168" i="5"/>
  <c r="AL165" i="5"/>
  <c r="AK165" i="5" s="1"/>
  <c r="F110" i="5"/>
  <c r="C111" i="5" s="1"/>
  <c r="B111" i="5"/>
  <c r="AB453" i="5" l="1"/>
  <c r="Y454" i="5"/>
  <c r="AL451" i="5"/>
  <c r="AK451" i="5" s="1"/>
  <c r="P462" i="5"/>
  <c r="O462" i="5" s="1"/>
  <c r="CG111" i="5"/>
  <c r="CH111" i="5" s="1"/>
  <c r="BT107" i="5"/>
  <c r="BU107" i="5" s="1"/>
  <c r="AA168" i="5"/>
  <c r="Z168" i="5" s="1"/>
  <c r="AM165" i="5"/>
  <c r="AJ166" i="5" s="1"/>
  <c r="AI166" i="5"/>
  <c r="E111" i="5"/>
  <c r="D111" i="5" s="1"/>
  <c r="M173" i="5"/>
  <c r="N173" i="5"/>
  <c r="Q462" i="5" l="1"/>
  <c r="N463" i="5"/>
  <c r="AM451" i="5"/>
  <c r="AJ452" i="5"/>
  <c r="Z454" i="5"/>
  <c r="AB454" i="5" s="1"/>
  <c r="AA454" i="5"/>
  <c r="CP111" i="5"/>
  <c r="CC107" i="5"/>
  <c r="P173" i="5"/>
  <c r="O173" i="5" s="1"/>
  <c r="AB168" i="5"/>
  <c r="X169" i="5"/>
  <c r="Y169" i="5"/>
  <c r="AL166" i="5"/>
  <c r="AK166" i="5" s="1"/>
  <c r="F111" i="5"/>
  <c r="C112" i="5" s="1"/>
  <c r="B112" i="5"/>
  <c r="AL452" i="5" l="1"/>
  <c r="AK452" i="5" s="1"/>
  <c r="O463" i="5"/>
  <c r="Q463" i="5" s="1"/>
  <c r="P463" i="5"/>
  <c r="Y455" i="5"/>
  <c r="CJ111" i="5"/>
  <c r="BW107" i="5"/>
  <c r="BV107" i="5" s="1"/>
  <c r="BX107" i="5" s="1"/>
  <c r="Q173" i="5"/>
  <c r="N174" i="5" s="1"/>
  <c r="P174" i="5" s="1"/>
  <c r="O174" i="5" s="1"/>
  <c r="Q174" i="5" s="1"/>
  <c r="M174" i="5"/>
  <c r="AA169" i="5"/>
  <c r="Z169" i="5" s="1"/>
  <c r="AM166" i="5"/>
  <c r="AJ167" i="5" s="1"/>
  <c r="AI167" i="5"/>
  <c r="E112" i="5"/>
  <c r="D112" i="5" s="1"/>
  <c r="AM452" i="5" l="1"/>
  <c r="AJ453" i="5"/>
  <c r="AA455" i="5"/>
  <c r="Z455" i="5" s="1"/>
  <c r="N464" i="5"/>
  <c r="CI111" i="5"/>
  <c r="CK111" i="5" s="1"/>
  <c r="BT108" i="5"/>
  <c r="BU108" i="5" s="1"/>
  <c r="AB169" i="5"/>
  <c r="Y170" i="5" s="1"/>
  <c r="X170" i="5"/>
  <c r="AL167" i="5"/>
  <c r="AK167" i="5" s="1"/>
  <c r="F112" i="5"/>
  <c r="C113" i="5" s="1"/>
  <c r="B113" i="5"/>
  <c r="M175" i="5"/>
  <c r="N175" i="5"/>
  <c r="AB455" i="5" l="1"/>
  <c r="Y456" i="5" s="1"/>
  <c r="P464" i="5"/>
  <c r="O464" i="5" s="1"/>
  <c r="AL453" i="5"/>
  <c r="AK453" i="5" s="1"/>
  <c r="CG112" i="5"/>
  <c r="CH112" i="5" s="1"/>
  <c r="CC108" i="5"/>
  <c r="P175" i="5"/>
  <c r="O175" i="5" s="1"/>
  <c r="Q175" i="5" s="1"/>
  <c r="AA170" i="5"/>
  <c r="Z170" i="5" s="1"/>
  <c r="AM167" i="5"/>
  <c r="AJ168" i="5" s="1"/>
  <c r="AI168" i="5"/>
  <c r="E113" i="5"/>
  <c r="D113" i="5" s="1"/>
  <c r="AM453" i="5" l="1"/>
  <c r="AJ454" i="5"/>
  <c r="Q464" i="5"/>
  <c r="N465" i="5"/>
  <c r="AA456" i="5"/>
  <c r="Z456" i="5" s="1"/>
  <c r="CP112" i="5"/>
  <c r="CJ112" i="5"/>
  <c r="CI112" i="5" s="1"/>
  <c r="CK112" i="5" s="1"/>
  <c r="BW108" i="5"/>
  <c r="BV108" i="5" s="1"/>
  <c r="BX108" i="5" s="1"/>
  <c r="AB170" i="5"/>
  <c r="X171" i="5"/>
  <c r="Y171" i="5"/>
  <c r="AL168" i="5"/>
  <c r="AK168" i="5" s="1"/>
  <c r="F113" i="5"/>
  <c r="C114" i="5" s="1"/>
  <c r="B114" i="5"/>
  <c r="N176" i="5"/>
  <c r="M176" i="5"/>
  <c r="AB456" i="5" l="1"/>
  <c r="Y457" i="5"/>
  <c r="AL454" i="5"/>
  <c r="AK454" i="5" s="1"/>
  <c r="P465" i="5"/>
  <c r="O465" i="5" s="1"/>
  <c r="CG113" i="5"/>
  <c r="BT109" i="5"/>
  <c r="BU109" i="5" s="1"/>
  <c r="P176" i="5"/>
  <c r="O176" i="5" s="1"/>
  <c r="Q176" i="5" s="1"/>
  <c r="AA171" i="5"/>
  <c r="Z171" i="5" s="1"/>
  <c r="AM168" i="5"/>
  <c r="AJ169" i="5" s="1"/>
  <c r="AI169" i="5"/>
  <c r="E114" i="5"/>
  <c r="D114" i="5" s="1"/>
  <c r="Q465" i="5" l="1"/>
  <c r="N466" i="5"/>
  <c r="AM454" i="5"/>
  <c r="AJ455" i="5"/>
  <c r="AA457" i="5"/>
  <c r="Z457" i="5" s="1"/>
  <c r="CP113" i="5"/>
  <c r="CH113" i="5"/>
  <c r="CC109" i="5"/>
  <c r="AB171" i="5"/>
  <c r="Y172" i="5" s="1"/>
  <c r="X172" i="5"/>
  <c r="AL169" i="5"/>
  <c r="AK169" i="5" s="1"/>
  <c r="F114" i="5"/>
  <c r="C115" i="5" s="1"/>
  <c r="B115" i="5"/>
  <c r="M177" i="5"/>
  <c r="N177" i="5"/>
  <c r="AB457" i="5" l="1"/>
  <c r="Y458" i="5"/>
  <c r="AL455" i="5"/>
  <c r="AK455" i="5"/>
  <c r="AM455" i="5" s="1"/>
  <c r="AJ456" i="5"/>
  <c r="P466" i="5"/>
  <c r="O466" i="5" s="1"/>
  <c r="CJ113" i="5"/>
  <c r="CI113" i="5" s="1"/>
  <c r="BW109" i="5"/>
  <c r="BV109" i="5" s="1"/>
  <c r="BX109" i="5" s="1"/>
  <c r="P177" i="5"/>
  <c r="O177" i="5" s="1"/>
  <c r="Q177" i="5" s="1"/>
  <c r="AA172" i="5"/>
  <c r="Z172" i="5" s="1"/>
  <c r="AM169" i="5"/>
  <c r="AI170" i="5"/>
  <c r="AJ170" i="5"/>
  <c r="E115" i="5"/>
  <c r="D115" i="5" s="1"/>
  <c r="Q466" i="5" l="1"/>
  <c r="N467" i="5"/>
  <c r="AL456" i="5"/>
  <c r="AK456" i="5" s="1"/>
  <c r="AA458" i="5"/>
  <c r="Z458" i="5" s="1"/>
  <c r="CK113" i="5"/>
  <c r="CG114" i="5"/>
  <c r="CH114" i="5" s="1"/>
  <c r="BT110" i="5"/>
  <c r="BU110" i="5" s="1"/>
  <c r="AB172" i="5"/>
  <c r="Y173" i="5" s="1"/>
  <c r="X173" i="5"/>
  <c r="AL170" i="5"/>
  <c r="AK170" i="5" s="1"/>
  <c r="F115" i="5"/>
  <c r="C116" i="5" s="1"/>
  <c r="B116" i="5"/>
  <c r="M178" i="5"/>
  <c r="N178" i="5"/>
  <c r="AB458" i="5" l="1"/>
  <c r="Y459" i="5"/>
  <c r="AM456" i="5"/>
  <c r="AJ457" i="5"/>
  <c r="O467" i="5"/>
  <c r="Q467" i="5" s="1"/>
  <c r="N468" i="5"/>
  <c r="P467" i="5"/>
  <c r="CP114" i="5"/>
  <c r="CJ114" i="5"/>
  <c r="CI114" i="5" s="1"/>
  <c r="CK114" i="5" s="1"/>
  <c r="CC110" i="5"/>
  <c r="P178" i="5"/>
  <c r="O178" i="5" s="1"/>
  <c r="M179" i="5" s="1"/>
  <c r="AA173" i="5"/>
  <c r="Z173" i="5" s="1"/>
  <c r="AM170" i="5"/>
  <c r="AJ171" i="5" s="1"/>
  <c r="AI171" i="5"/>
  <c r="S10" i="29"/>
  <c r="E116" i="5"/>
  <c r="D116" i="5" s="1"/>
  <c r="P468" i="5" l="1"/>
  <c r="O468" i="5" s="1"/>
  <c r="AA459" i="5"/>
  <c r="Z459" i="5"/>
  <c r="AB459" i="5" s="1"/>
  <c r="AL457" i="5"/>
  <c r="AK457" i="5"/>
  <c r="AM457" i="5" s="1"/>
  <c r="CG115" i="5"/>
  <c r="CH115" i="5" s="1"/>
  <c r="BW110" i="5"/>
  <c r="BV110" i="5" s="1"/>
  <c r="BX110" i="5" s="1"/>
  <c r="AB173" i="5"/>
  <c r="Y174" i="5" s="1"/>
  <c r="X174" i="5"/>
  <c r="AL171" i="5"/>
  <c r="AK171" i="5" s="1"/>
  <c r="F116" i="5"/>
  <c r="C117" i="5" s="1"/>
  <c r="B117" i="5"/>
  <c r="Q178" i="5"/>
  <c r="N179" i="5" s="1"/>
  <c r="Q468" i="5" l="1"/>
  <c r="N469" i="5"/>
  <c r="AJ458" i="5"/>
  <c r="Y460" i="5"/>
  <c r="CP115" i="5"/>
  <c r="BT111" i="5"/>
  <c r="BU111" i="5" s="1"/>
  <c r="P179" i="5"/>
  <c r="O179" i="5" s="1"/>
  <c r="AA174" i="5"/>
  <c r="Z174" i="5" s="1"/>
  <c r="AM171" i="5"/>
  <c r="AI172" i="5"/>
  <c r="AJ172" i="5"/>
  <c r="E117" i="5"/>
  <c r="D117" i="5" s="1"/>
  <c r="AA460" i="5" l="1"/>
  <c r="Z460" i="5" s="1"/>
  <c r="AL458" i="5"/>
  <c r="AK458" i="5" s="1"/>
  <c r="P469" i="5"/>
  <c r="O469" i="5" s="1"/>
  <c r="CJ115" i="5"/>
  <c r="CI115" i="5" s="1"/>
  <c r="CK115" i="5" s="1"/>
  <c r="CC111" i="5"/>
  <c r="Q179" i="5"/>
  <c r="N180" i="5" s="1"/>
  <c r="P180" i="5" s="1"/>
  <c r="O180" i="5" s="1"/>
  <c r="Q180" i="5" s="1"/>
  <c r="M180" i="5"/>
  <c r="AB174" i="5"/>
  <c r="Y175" i="5" s="1"/>
  <c r="X175" i="5"/>
  <c r="AL172" i="5"/>
  <c r="AK172" i="5" s="1"/>
  <c r="F117" i="5"/>
  <c r="C118" i="5" s="1"/>
  <c r="B118" i="5"/>
  <c r="Q469" i="5" l="1"/>
  <c r="N470" i="5"/>
  <c r="AM458" i="5"/>
  <c r="AJ459" i="5"/>
  <c r="AB460" i="5"/>
  <c r="Y461" i="5"/>
  <c r="CG116" i="5"/>
  <c r="CH116" i="5" s="1"/>
  <c r="BW111" i="5"/>
  <c r="BV111" i="5" s="1"/>
  <c r="BX111" i="5" s="1"/>
  <c r="AA175" i="5"/>
  <c r="Z175" i="5" s="1"/>
  <c r="AM172" i="5"/>
  <c r="AJ173" i="5" s="1"/>
  <c r="AI173" i="5"/>
  <c r="E118" i="5"/>
  <c r="D118" i="5" s="1"/>
  <c r="M181" i="5"/>
  <c r="N181" i="5"/>
  <c r="P470" i="5" l="1"/>
  <c r="O470" i="5" s="1"/>
  <c r="AA461" i="5"/>
  <c r="Z461" i="5" s="1"/>
  <c r="AL459" i="5"/>
  <c r="AK459" i="5" s="1"/>
  <c r="CP116" i="5"/>
  <c r="BT112" i="5"/>
  <c r="BU112" i="5" s="1"/>
  <c r="P181" i="5"/>
  <c r="O181" i="5" s="1"/>
  <c r="M182" i="5" s="1"/>
  <c r="AB175" i="5"/>
  <c r="Y176" i="5" s="1"/>
  <c r="X176" i="5"/>
  <c r="AL173" i="5"/>
  <c r="AK173" i="5" s="1"/>
  <c r="F118" i="5"/>
  <c r="C119" i="5" s="1"/>
  <c r="B119" i="5"/>
  <c r="AM459" i="5" l="1"/>
  <c r="AJ460" i="5"/>
  <c r="AB461" i="5"/>
  <c r="Y462" i="5"/>
  <c r="Q470" i="5"/>
  <c r="N471" i="5"/>
  <c r="CJ116" i="5"/>
  <c r="CC112" i="5"/>
  <c r="AA176" i="5"/>
  <c r="Z176" i="5" s="1"/>
  <c r="AM173" i="5"/>
  <c r="AJ174" i="5"/>
  <c r="AI174" i="5"/>
  <c r="E119" i="5"/>
  <c r="D119" i="5" s="1"/>
  <c r="Q181" i="5"/>
  <c r="N182" i="5" s="1"/>
  <c r="P471" i="5" l="1"/>
  <c r="O471" i="5" s="1"/>
  <c r="AA462" i="5"/>
  <c r="Z462" i="5" s="1"/>
  <c r="AL460" i="5"/>
  <c r="AK460" i="5" s="1"/>
  <c r="CI116" i="5"/>
  <c r="CK116" i="5" s="1"/>
  <c r="BW112" i="5"/>
  <c r="BV112" i="5" s="1"/>
  <c r="BX112" i="5" s="1"/>
  <c r="P182" i="5"/>
  <c r="O182" i="5" s="1"/>
  <c r="Q182" i="5" s="1"/>
  <c r="AB176" i="5"/>
  <c r="Y177" i="5" s="1"/>
  <c r="X177" i="5"/>
  <c r="AL174" i="5"/>
  <c r="AK174" i="5" s="1"/>
  <c r="F119" i="5"/>
  <c r="C120" i="5" s="1"/>
  <c r="B120" i="5"/>
  <c r="AM460" i="5" l="1"/>
  <c r="AJ461" i="5"/>
  <c r="AB462" i="5"/>
  <c r="Y463" i="5"/>
  <c r="Q471" i="5"/>
  <c r="N472" i="5"/>
  <c r="CG117" i="5"/>
  <c r="CH117" i="5" s="1"/>
  <c r="BT113" i="5"/>
  <c r="BU113" i="5" s="1"/>
  <c r="AA177" i="5"/>
  <c r="Z177" i="5" s="1"/>
  <c r="AM174" i="5"/>
  <c r="AI175" i="5"/>
  <c r="AJ175" i="5"/>
  <c r="E120" i="5"/>
  <c r="D120" i="5" s="1"/>
  <c r="M183" i="5"/>
  <c r="N183" i="5"/>
  <c r="P472" i="5" l="1"/>
  <c r="O472" i="5" s="1"/>
  <c r="AA463" i="5"/>
  <c r="Z463" i="5" s="1"/>
  <c r="AL461" i="5"/>
  <c r="AK461" i="5" s="1"/>
  <c r="CP117" i="5"/>
  <c r="CJ117" i="5"/>
  <c r="CI117" i="5" s="1"/>
  <c r="CK117" i="5" s="1"/>
  <c r="CC113" i="5"/>
  <c r="P183" i="5"/>
  <c r="O183" i="5" s="1"/>
  <c r="Q183" i="5" s="1"/>
  <c r="AB177" i="5"/>
  <c r="X178" i="5"/>
  <c r="Y178" i="5"/>
  <c r="AL175" i="5"/>
  <c r="AK175" i="5" s="1"/>
  <c r="F120" i="5"/>
  <c r="C121" i="5" s="1"/>
  <c r="B121" i="5"/>
  <c r="AM461" i="5" l="1"/>
  <c r="AJ462" i="5"/>
  <c r="AB463" i="5"/>
  <c r="Y464" i="5"/>
  <c r="Q472" i="5"/>
  <c r="N473" i="5"/>
  <c r="CG118" i="5"/>
  <c r="CH118" i="5" s="1"/>
  <c r="BW113" i="5"/>
  <c r="BV113" i="5" s="1"/>
  <c r="BX113" i="5" s="1"/>
  <c r="AA178" i="5"/>
  <c r="Z178" i="5" s="1"/>
  <c r="AM175" i="5"/>
  <c r="AJ176" i="5" s="1"/>
  <c r="AI176" i="5"/>
  <c r="E121" i="5"/>
  <c r="D121" i="5" s="1"/>
  <c r="N184" i="5"/>
  <c r="M184" i="5"/>
  <c r="U21" i="33"/>
  <c r="G22" i="19" s="1"/>
  <c r="T21" i="33"/>
  <c r="G21" i="19" s="1"/>
  <c r="S21" i="33"/>
  <c r="G20" i="19" s="1"/>
  <c r="R21" i="33"/>
  <c r="G19" i="19" s="1"/>
  <c r="Q21" i="33"/>
  <c r="G18" i="19" s="1"/>
  <c r="P21" i="33"/>
  <c r="G17" i="19" s="1"/>
  <c r="O21" i="33"/>
  <c r="G16" i="19" s="1"/>
  <c r="N21" i="33"/>
  <c r="G15" i="19" s="1"/>
  <c r="M21" i="33"/>
  <c r="G14" i="19" s="1"/>
  <c r="L21" i="33"/>
  <c r="G13" i="19" s="1"/>
  <c r="K21" i="33"/>
  <c r="G12" i="19" s="1"/>
  <c r="J21" i="33"/>
  <c r="G11" i="19" s="1"/>
  <c r="I21" i="33"/>
  <c r="G10" i="19" s="1"/>
  <c r="H21" i="33"/>
  <c r="G9" i="19" s="1"/>
  <c r="G21" i="33"/>
  <c r="G8" i="19" s="1"/>
  <c r="F21" i="33"/>
  <c r="G7" i="19" s="1"/>
  <c r="E21" i="33"/>
  <c r="G6" i="19" s="1"/>
  <c r="D21" i="33"/>
  <c r="G5" i="19" s="1"/>
  <c r="C21" i="33"/>
  <c r="G4" i="19" s="1"/>
  <c r="Q3" i="19"/>
  <c r="P473" i="5" l="1"/>
  <c r="O473" i="5" s="1"/>
  <c r="AL462" i="5"/>
  <c r="AK462" i="5" s="1"/>
  <c r="AA464" i="5"/>
  <c r="Z464" i="5" s="1"/>
  <c r="CP118" i="5"/>
  <c r="BT114" i="5"/>
  <c r="BU114" i="5" s="1"/>
  <c r="P184" i="5"/>
  <c r="O184" i="5" s="1"/>
  <c r="AB178" i="5"/>
  <c r="Y179" i="5" s="1"/>
  <c r="X179" i="5"/>
  <c r="AL176" i="5"/>
  <c r="AK176" i="5" s="1"/>
  <c r="F121" i="5"/>
  <c r="C122" i="5" s="1"/>
  <c r="B122" i="5"/>
  <c r="Q4" i="19"/>
  <c r="Q20" i="19"/>
  <c r="Q22" i="19"/>
  <c r="Q13" i="19"/>
  <c r="AB464" i="5" l="1"/>
  <c r="Y465" i="5"/>
  <c r="AM462" i="5"/>
  <c r="AJ463" i="5" s="1"/>
  <c r="Q473" i="5"/>
  <c r="N474" i="5"/>
  <c r="CJ118" i="5"/>
  <c r="CI118" i="5" s="1"/>
  <c r="CK118" i="5" s="1"/>
  <c r="CC114" i="5"/>
  <c r="M185" i="5"/>
  <c r="Q184" i="5"/>
  <c r="N185" i="5" s="1"/>
  <c r="AA179" i="5"/>
  <c r="Z179" i="5" s="1"/>
  <c r="AM176" i="5"/>
  <c r="AJ177" i="5" s="1"/>
  <c r="AI177" i="5"/>
  <c r="E122" i="5"/>
  <c r="D122" i="5" s="1"/>
  <c r="T39" i="33"/>
  <c r="L21" i="19" s="1"/>
  <c r="D20" i="31"/>
  <c r="F20" i="31" s="1"/>
  <c r="R39" i="33"/>
  <c r="L19" i="19" s="1"/>
  <c r="D18" i="31"/>
  <c r="F18" i="31" s="1"/>
  <c r="P39" i="33"/>
  <c r="L17" i="19" s="1"/>
  <c r="D16" i="31"/>
  <c r="F16" i="31" s="1"/>
  <c r="N39" i="33"/>
  <c r="L15" i="19" s="1"/>
  <c r="D14" i="31"/>
  <c r="F14" i="31" s="1"/>
  <c r="L39" i="33"/>
  <c r="L13" i="19" s="1"/>
  <c r="D12" i="31"/>
  <c r="F12" i="31" s="1"/>
  <c r="J39" i="33"/>
  <c r="L11" i="19" s="1"/>
  <c r="D10" i="31"/>
  <c r="F10" i="31" s="1"/>
  <c r="H39" i="33"/>
  <c r="L9" i="19" s="1"/>
  <c r="D8" i="31"/>
  <c r="F8" i="31" s="1"/>
  <c r="F39" i="33"/>
  <c r="L7" i="19" s="1"/>
  <c r="D6" i="31"/>
  <c r="F6" i="31" s="1"/>
  <c r="D39" i="33"/>
  <c r="L5" i="19" s="1"/>
  <c r="D4" i="31"/>
  <c r="F4" i="31" s="1"/>
  <c r="U39" i="33"/>
  <c r="L22" i="19" s="1"/>
  <c r="D21" i="31"/>
  <c r="F21" i="31" s="1"/>
  <c r="S39" i="33"/>
  <c r="L20" i="19" s="1"/>
  <c r="D19" i="31"/>
  <c r="F19" i="31" s="1"/>
  <c r="Q39" i="33"/>
  <c r="L18" i="19" s="1"/>
  <c r="D17" i="31"/>
  <c r="F17" i="31" s="1"/>
  <c r="O39" i="33"/>
  <c r="L16" i="19" s="1"/>
  <c r="D15" i="31"/>
  <c r="F15" i="31" s="1"/>
  <c r="M39" i="33"/>
  <c r="L14" i="19" s="1"/>
  <c r="D13" i="31"/>
  <c r="F13" i="31" s="1"/>
  <c r="K39" i="33"/>
  <c r="L12" i="19" s="1"/>
  <c r="D11" i="31"/>
  <c r="F11" i="31" s="1"/>
  <c r="I39" i="33"/>
  <c r="L10" i="19" s="1"/>
  <c r="D9" i="31"/>
  <c r="F9" i="31" s="1"/>
  <c r="G39" i="33"/>
  <c r="L8" i="19" s="1"/>
  <c r="D7" i="31"/>
  <c r="F7" i="31" s="1"/>
  <c r="E39" i="33"/>
  <c r="L6" i="19" s="1"/>
  <c r="D5" i="31"/>
  <c r="F5" i="31" s="1"/>
  <c r="C39" i="33"/>
  <c r="L4" i="19" s="1"/>
  <c r="D3" i="31"/>
  <c r="Q17" i="19"/>
  <c r="Q21" i="19"/>
  <c r="Q9" i="19"/>
  <c r="D11" i="24"/>
  <c r="Q12" i="19"/>
  <c r="Q16" i="19"/>
  <c r="Q19" i="19"/>
  <c r="Q14" i="19"/>
  <c r="Q10" i="19"/>
  <c r="Q11" i="19"/>
  <c r="Q15" i="19"/>
  <c r="Q18" i="19"/>
  <c r="AL463" i="5" l="1"/>
  <c r="AK463" i="5" s="1"/>
  <c r="P474" i="5"/>
  <c r="O474" i="5"/>
  <c r="Q474" i="5" s="1"/>
  <c r="N475" i="5"/>
  <c r="Y466" i="5"/>
  <c r="AA465" i="5"/>
  <c r="Z465" i="5"/>
  <c r="AB465" i="5" s="1"/>
  <c r="CG119" i="5"/>
  <c r="CH119" i="5" s="1"/>
  <c r="BW114" i="5"/>
  <c r="BV114" i="5" s="1"/>
  <c r="BX114" i="5" s="1"/>
  <c r="P185" i="5"/>
  <c r="O185" i="5" s="1"/>
  <c r="AB179" i="5"/>
  <c r="Y180" i="5" s="1"/>
  <c r="X180" i="5"/>
  <c r="AL177" i="5"/>
  <c r="AK177" i="5" s="1"/>
  <c r="F122" i="5"/>
  <c r="C123" i="5" s="1"/>
  <c r="B123" i="5"/>
  <c r="D23" i="24"/>
  <c r="D22" i="24"/>
  <c r="D29" i="24"/>
  <c r="D21" i="24"/>
  <c r="D18" i="24"/>
  <c r="D30" i="24"/>
  <c r="D20" i="24"/>
  <c r="D25" i="24"/>
  <c r="D27" i="24"/>
  <c r="D24" i="24"/>
  <c r="D17" i="24"/>
  <c r="D26" i="24"/>
  <c r="D19" i="24"/>
  <c r="M4" i="30"/>
  <c r="G2" i="45" s="1"/>
  <c r="H2" i="45" s="1"/>
  <c r="H6" i="45" s="1"/>
  <c r="L7" i="45" s="1"/>
  <c r="F3" i="31"/>
  <c r="G3" i="31"/>
  <c r="G5" i="31"/>
  <c r="G7" i="31"/>
  <c r="G9" i="31"/>
  <c r="G11" i="31"/>
  <c r="G13" i="31"/>
  <c r="G15" i="31"/>
  <c r="G17" i="31"/>
  <c r="G19" i="31"/>
  <c r="G21" i="31"/>
  <c r="G4" i="31"/>
  <c r="G6" i="31"/>
  <c r="G8" i="31"/>
  <c r="G10" i="31"/>
  <c r="G12" i="31"/>
  <c r="G14" i="31"/>
  <c r="G16" i="31"/>
  <c r="G18" i="31"/>
  <c r="G20" i="31"/>
  <c r="D28" i="24"/>
  <c r="D12" i="24"/>
  <c r="AM463" i="5" l="1"/>
  <c r="AJ464" i="5"/>
  <c r="Z466" i="5"/>
  <c r="AB466" i="5" s="1"/>
  <c r="AA466" i="5"/>
  <c r="P475" i="5"/>
  <c r="O475" i="5" s="1"/>
  <c r="CP119" i="5"/>
  <c r="BT115" i="5"/>
  <c r="BU115" i="5" s="1"/>
  <c r="Q185" i="5"/>
  <c r="N186" i="5" s="1"/>
  <c r="P186" i="5" s="1"/>
  <c r="O186" i="5" s="1"/>
  <c r="M186" i="5"/>
  <c r="L4" i="30"/>
  <c r="H3" i="31"/>
  <c r="I3" i="31" s="1"/>
  <c r="C4" i="31" s="1"/>
  <c r="H4" i="31" s="1"/>
  <c r="I4" i="31" s="1"/>
  <c r="C5" i="31" s="1"/>
  <c r="H5" i="31" s="1"/>
  <c r="I5" i="31" s="1"/>
  <c r="C6" i="31" s="1"/>
  <c r="H6" i="31" s="1"/>
  <c r="I6" i="31" s="1"/>
  <c r="C7" i="31" s="1"/>
  <c r="H7" i="31" s="1"/>
  <c r="I7" i="31" s="1"/>
  <c r="C8" i="31" s="1"/>
  <c r="H8" i="31" s="1"/>
  <c r="I8" i="31" s="1"/>
  <c r="C9" i="31" s="1"/>
  <c r="H9" i="31" s="1"/>
  <c r="I9" i="31" s="1"/>
  <c r="C10" i="31" s="1"/>
  <c r="H10" i="31" s="1"/>
  <c r="I10" i="31" s="1"/>
  <c r="C11" i="31" s="1"/>
  <c r="H11" i="31" s="1"/>
  <c r="I11" i="31" s="1"/>
  <c r="C12" i="31" s="1"/>
  <c r="H12" i="31" s="1"/>
  <c r="I12" i="31" s="1"/>
  <c r="C13" i="31" s="1"/>
  <c r="H13" i="31" s="1"/>
  <c r="I13" i="31" s="1"/>
  <c r="C14" i="31" s="1"/>
  <c r="AA180" i="5"/>
  <c r="Z180" i="5" s="1"/>
  <c r="AM177" i="5"/>
  <c r="AJ178" i="5" s="1"/>
  <c r="AI178" i="5"/>
  <c r="E123" i="5"/>
  <c r="D123" i="5" s="1"/>
  <c r="D13" i="24"/>
  <c r="Q5" i="19"/>
  <c r="Q475" i="5" l="1"/>
  <c r="N476" i="5"/>
  <c r="Y467" i="5"/>
  <c r="AL464" i="5"/>
  <c r="AK464" i="5" s="1"/>
  <c r="CJ119" i="5"/>
  <c r="CI119" i="5" s="1"/>
  <c r="CC115" i="5"/>
  <c r="M187" i="5"/>
  <c r="Q186" i="5"/>
  <c r="N187" i="5" s="1"/>
  <c r="AB180" i="5"/>
  <c r="Y181" i="5" s="1"/>
  <c r="X181" i="5"/>
  <c r="AL178" i="5"/>
  <c r="AK178" i="5" s="1"/>
  <c r="F123" i="5"/>
  <c r="C124" i="5" s="1"/>
  <c r="B124" i="5"/>
  <c r="AV37" i="50"/>
  <c r="CR36" i="50"/>
  <c r="DV36" i="50"/>
  <c r="BN38" i="50"/>
  <c r="EH38" i="50"/>
  <c r="EB37" i="50"/>
  <c r="BZ38" i="50"/>
  <c r="AV36" i="50"/>
  <c r="BT36" i="50"/>
  <c r="AV38" i="50"/>
  <c r="CR37" i="50"/>
  <c r="DV37" i="50"/>
  <c r="DP36" i="50"/>
  <c r="EN36" i="50"/>
  <c r="EN37" i="50"/>
  <c r="DJ37" i="50"/>
  <c r="BT37" i="50"/>
  <c r="CR38" i="50"/>
  <c r="CX36" i="50"/>
  <c r="DV38" i="50"/>
  <c r="DP37" i="50"/>
  <c r="EH36" i="50"/>
  <c r="ET36" i="50"/>
  <c r="BT38" i="50"/>
  <c r="BB36" i="50"/>
  <c r="CX37" i="50"/>
  <c r="DD36" i="50"/>
  <c r="R38" i="50"/>
  <c r="C37" i="51" s="1"/>
  <c r="EB36" i="50"/>
  <c r="EZ38" i="50"/>
  <c r="BH37" i="50"/>
  <c r="G36" i="51" s="1"/>
  <c r="DP38" i="50"/>
  <c r="BN37" i="50"/>
  <c r="EH37" i="50"/>
  <c r="R36" i="50"/>
  <c r="C35" i="51" s="1"/>
  <c r="ET37" i="50"/>
  <c r="BB37" i="50"/>
  <c r="CX38" i="50"/>
  <c r="DD37" i="50"/>
  <c r="EB38" i="50"/>
  <c r="DJ36" i="50"/>
  <c r="BH38" i="50"/>
  <c r="G37" i="51" s="1"/>
  <c r="R37" i="50"/>
  <c r="C36" i="51" s="1"/>
  <c r="ET38" i="50"/>
  <c r="BZ36" i="50"/>
  <c r="BB38" i="50"/>
  <c r="EZ36" i="50"/>
  <c r="DD38" i="50"/>
  <c r="BZ37" i="50"/>
  <c r="EZ37" i="50"/>
  <c r="BH36" i="50"/>
  <c r="G35" i="51" s="1"/>
  <c r="BN36" i="50"/>
  <c r="EN38" i="50"/>
  <c r="DJ38" i="50"/>
  <c r="H14" i="31"/>
  <c r="I14" i="31" s="1"/>
  <c r="C15" i="31" s="1"/>
  <c r="D14" i="24"/>
  <c r="Q6" i="19"/>
  <c r="AM464" i="5" l="1"/>
  <c r="AJ465" i="5"/>
  <c r="AA467" i="5"/>
  <c r="Z467" i="5" s="1"/>
  <c r="O476" i="5"/>
  <c r="Q476" i="5" s="1"/>
  <c r="P476" i="5"/>
  <c r="CK119" i="5"/>
  <c r="CG120" i="5"/>
  <c r="CH120" i="5" s="1"/>
  <c r="BW115" i="5"/>
  <c r="BV115" i="5" s="1"/>
  <c r="BX115" i="5" s="1"/>
  <c r="P187" i="5"/>
  <c r="O187" i="5" s="1"/>
  <c r="AA181" i="5"/>
  <c r="Z181" i="5" s="1"/>
  <c r="AM178" i="5"/>
  <c r="AJ179" i="5" s="1"/>
  <c r="AI179" i="5"/>
  <c r="E124" i="5"/>
  <c r="D124" i="5" s="1"/>
  <c r="H15" i="31"/>
  <c r="I15" i="31" s="1"/>
  <c r="C16" i="31" s="1"/>
  <c r="D15" i="24"/>
  <c r="Q7" i="19"/>
  <c r="AB467" i="5" l="1"/>
  <c r="Y468" i="5"/>
  <c r="N477" i="5"/>
  <c r="AL465" i="5"/>
  <c r="AK465" i="5" s="1"/>
  <c r="CP120" i="5"/>
  <c r="BT116" i="5"/>
  <c r="BU116" i="5" s="1"/>
  <c r="Q187" i="5"/>
  <c r="N188" i="5" s="1"/>
  <c r="P188" i="5" s="1"/>
  <c r="O188" i="5" s="1"/>
  <c r="M188" i="5"/>
  <c r="AB181" i="5"/>
  <c r="Y182" i="5" s="1"/>
  <c r="X182" i="5"/>
  <c r="AL179" i="5"/>
  <c r="AK179" i="5" s="1"/>
  <c r="F124" i="5"/>
  <c r="C125" i="5" s="1"/>
  <c r="B125" i="5"/>
  <c r="H16" i="31"/>
  <c r="I16" i="31" s="1"/>
  <c r="C17" i="31" s="1"/>
  <c r="H17" i="31" s="1"/>
  <c r="I17" i="31" s="1"/>
  <c r="C18" i="31" s="1"/>
  <c r="D16" i="24"/>
  <c r="Q8" i="19"/>
  <c r="AM465" i="5" l="1"/>
  <c r="AJ466" i="5"/>
  <c r="P477" i="5"/>
  <c r="O477" i="5"/>
  <c r="Q477" i="5" s="1"/>
  <c r="Z468" i="5"/>
  <c r="AB468" i="5" s="1"/>
  <c r="AA468" i="5"/>
  <c r="CJ120" i="5"/>
  <c r="CI120" i="5" s="1"/>
  <c r="CK120" i="5" s="1"/>
  <c r="CC116" i="5"/>
  <c r="Q188" i="5"/>
  <c r="N189" i="5" s="1"/>
  <c r="P189" i="5" s="1"/>
  <c r="O189" i="5" s="1"/>
  <c r="Q189" i="5" s="1"/>
  <c r="M189" i="5"/>
  <c r="AA182" i="5"/>
  <c r="Z182" i="5" s="1"/>
  <c r="AM179" i="5"/>
  <c r="AJ180" i="5" s="1"/>
  <c r="AI180" i="5"/>
  <c r="E125" i="5"/>
  <c r="D125" i="5" s="1"/>
  <c r="H18" i="31"/>
  <c r="I18" i="31" s="1"/>
  <c r="C19" i="31" s="1"/>
  <c r="N478" i="5" l="1"/>
  <c r="AL466" i="5"/>
  <c r="AK466" i="5" s="1"/>
  <c r="Y469" i="5"/>
  <c r="CG121" i="5"/>
  <c r="CH121" i="5" s="1"/>
  <c r="BW116" i="5"/>
  <c r="BV116" i="5" s="1"/>
  <c r="BX116" i="5" s="1"/>
  <c r="AB182" i="5"/>
  <c r="Y183" i="5" s="1"/>
  <c r="X183" i="5"/>
  <c r="AL180" i="5"/>
  <c r="AK180" i="5" s="1"/>
  <c r="F125" i="5"/>
  <c r="C126" i="5" s="1"/>
  <c r="B126" i="5"/>
  <c r="M190" i="5"/>
  <c r="N190" i="5"/>
  <c r="H19" i="31"/>
  <c r="I19" i="31" s="1"/>
  <c r="C20" i="31" s="1"/>
  <c r="H20" i="31" s="1"/>
  <c r="I20" i="31" s="1"/>
  <c r="C21" i="31" s="1"/>
  <c r="H21" i="31" s="1"/>
  <c r="I21" i="31" s="1"/>
  <c r="C22" i="31" s="1"/>
  <c r="H22" i="31" s="1"/>
  <c r="I22" i="31" s="1"/>
  <c r="C23" i="31" s="1"/>
  <c r="AM466" i="5" l="1"/>
  <c r="AJ467" i="5"/>
  <c r="AA469" i="5"/>
  <c r="Z469" i="5" s="1"/>
  <c r="P478" i="5"/>
  <c r="O478" i="5" s="1"/>
  <c r="CP121" i="5"/>
  <c r="BT117" i="5"/>
  <c r="BU117" i="5" s="1"/>
  <c r="P190" i="5"/>
  <c r="O190" i="5" s="1"/>
  <c r="M191" i="5" s="1"/>
  <c r="AA183" i="5"/>
  <c r="Z183" i="5" s="1"/>
  <c r="AM180" i="5"/>
  <c r="AI181" i="5"/>
  <c r="AJ181" i="5"/>
  <c r="E126" i="5"/>
  <c r="D126" i="5" s="1"/>
  <c r="H23" i="31"/>
  <c r="I23" i="31" s="1"/>
  <c r="C24" i="31" s="1"/>
  <c r="Q478" i="5" l="1"/>
  <c r="N479" i="5"/>
  <c r="AB469" i="5"/>
  <c r="Y470" i="5"/>
  <c r="AK467" i="5"/>
  <c r="AM467" i="5" s="1"/>
  <c r="AL467" i="5"/>
  <c r="CJ121" i="5"/>
  <c r="CC117" i="5"/>
  <c r="AB183" i="5"/>
  <c r="Y184" i="5" s="1"/>
  <c r="X184" i="5"/>
  <c r="AL181" i="5"/>
  <c r="AK181" i="5" s="1"/>
  <c r="F126" i="5"/>
  <c r="C127" i="5" s="1"/>
  <c r="B127" i="5"/>
  <c r="Q190" i="5"/>
  <c r="N191" i="5" s="1"/>
  <c r="H24" i="31"/>
  <c r="I24" i="31" s="1"/>
  <c r="C25" i="31" s="1"/>
  <c r="H25" i="31" s="1"/>
  <c r="I25" i="31" s="1"/>
  <c r="C26" i="31" s="1"/>
  <c r="AA470" i="5" l="1"/>
  <c r="Z470" i="5"/>
  <c r="AB470" i="5" s="1"/>
  <c r="AJ468" i="5"/>
  <c r="P479" i="5"/>
  <c r="O479" i="5" s="1"/>
  <c r="CI121" i="5"/>
  <c r="CK121" i="5" s="1"/>
  <c r="BW117" i="5"/>
  <c r="BV117" i="5" s="1"/>
  <c r="BX117" i="5" s="1"/>
  <c r="P191" i="5"/>
  <c r="O191" i="5" s="1"/>
  <c r="Q191" i="5" s="1"/>
  <c r="AA184" i="5"/>
  <c r="Z184" i="5" s="1"/>
  <c r="AM181" i="5"/>
  <c r="AJ182" i="5" s="1"/>
  <c r="AI182" i="5"/>
  <c r="E127" i="5"/>
  <c r="D127" i="5" s="1"/>
  <c r="H26" i="31"/>
  <c r="I26" i="31" s="1"/>
  <c r="C27" i="31" s="1"/>
  <c r="Q479" i="5" l="1"/>
  <c r="N480" i="5"/>
  <c r="AL468" i="5"/>
  <c r="AK468" i="5"/>
  <c r="AM468" i="5" s="1"/>
  <c r="Y471" i="5"/>
  <c r="CG122" i="5"/>
  <c r="CH122" i="5" s="1"/>
  <c r="BT118" i="5"/>
  <c r="BU118" i="5" s="1"/>
  <c r="AB184" i="5"/>
  <c r="Y185" i="5" s="1"/>
  <c r="X185" i="5"/>
  <c r="AL182" i="5"/>
  <c r="AK182" i="5" s="1"/>
  <c r="F127" i="5"/>
  <c r="C128" i="5" s="1"/>
  <c r="B128" i="5"/>
  <c r="M192" i="5"/>
  <c r="N192" i="5"/>
  <c r="H27" i="31"/>
  <c r="I27" i="31" s="1"/>
  <c r="C28" i="31" s="1"/>
  <c r="H28" i="31" s="1"/>
  <c r="I28" i="31" s="1"/>
  <c r="C29" i="31" s="1"/>
  <c r="H29" i="31" s="1"/>
  <c r="I29" i="31" s="1"/>
  <c r="C30" i="31" s="1"/>
  <c r="AJ469" i="5" l="1"/>
  <c r="AA471" i="5"/>
  <c r="Z471" i="5" s="1"/>
  <c r="P480" i="5"/>
  <c r="O480" i="5"/>
  <c r="Q480" i="5" s="1"/>
  <c r="N481" i="5"/>
  <c r="CP122" i="5"/>
  <c r="CJ122" i="5"/>
  <c r="CI122" i="5" s="1"/>
  <c r="CK122" i="5" s="1"/>
  <c r="CC118" i="5"/>
  <c r="P192" i="5"/>
  <c r="O192" i="5" s="1"/>
  <c r="Q192" i="5" s="1"/>
  <c r="AA185" i="5"/>
  <c r="Z185" i="5" s="1"/>
  <c r="AM182" i="5"/>
  <c r="AI183" i="5"/>
  <c r="AJ183" i="5"/>
  <c r="E128" i="5"/>
  <c r="D128" i="5" s="1"/>
  <c r="S11" i="29"/>
  <c r="H30" i="31"/>
  <c r="I30" i="31" s="1"/>
  <c r="C31" i="31" s="1"/>
  <c r="H31" i="31" s="1"/>
  <c r="I31" i="31" s="1"/>
  <c r="C32" i="31" s="1"/>
  <c r="AB471" i="5" l="1"/>
  <c r="Y472" i="5"/>
  <c r="P481" i="5"/>
  <c r="O481" i="5" s="1"/>
  <c r="AL469" i="5"/>
  <c r="AK469" i="5" s="1"/>
  <c r="CG123" i="5"/>
  <c r="CH123" i="5" s="1"/>
  <c r="BW118" i="5"/>
  <c r="BV118" i="5" s="1"/>
  <c r="BX118" i="5" s="1"/>
  <c r="AB185" i="5"/>
  <c r="Y186" i="5" s="1"/>
  <c r="X186" i="5"/>
  <c r="AL183" i="5"/>
  <c r="AK183" i="5" s="1"/>
  <c r="F128" i="5"/>
  <c r="C129" i="5" s="1"/>
  <c r="B129" i="5"/>
  <c r="M193" i="5"/>
  <c r="N193" i="5"/>
  <c r="H32" i="31"/>
  <c r="I32" i="31" s="1"/>
  <c r="C33" i="31" s="1"/>
  <c r="AM469" i="5" l="1"/>
  <c r="AJ470" i="5"/>
  <c r="Q481" i="5"/>
  <c r="N482" i="5"/>
  <c r="Z472" i="5"/>
  <c r="AB472" i="5" s="1"/>
  <c r="Y473" i="5"/>
  <c r="AA472" i="5"/>
  <c r="CP123" i="5"/>
  <c r="BT119" i="5"/>
  <c r="BU119" i="5" s="1"/>
  <c r="P193" i="5"/>
  <c r="O193" i="5" s="1"/>
  <c r="Q193" i="5" s="1"/>
  <c r="AA186" i="5"/>
  <c r="Z186" i="5" s="1"/>
  <c r="AM183" i="5"/>
  <c r="AI184" i="5"/>
  <c r="AJ184" i="5"/>
  <c r="E129" i="5"/>
  <c r="D129" i="5" s="1"/>
  <c r="H33" i="31"/>
  <c r="I33" i="31" s="1"/>
  <c r="C34" i="31" s="1"/>
  <c r="AA473" i="5" l="1"/>
  <c r="Z473" i="5" s="1"/>
  <c r="P482" i="5"/>
  <c r="O482" i="5" s="1"/>
  <c r="AL470" i="5"/>
  <c r="AK470" i="5" s="1"/>
  <c r="CJ123" i="5"/>
  <c r="CI123" i="5" s="1"/>
  <c r="CK123" i="5" s="1"/>
  <c r="CC119" i="5"/>
  <c r="AB186" i="5"/>
  <c r="Y187" i="5" s="1"/>
  <c r="X187" i="5"/>
  <c r="AL184" i="5"/>
  <c r="AK184" i="5" s="1"/>
  <c r="F129" i="5"/>
  <c r="C130" i="5" s="1"/>
  <c r="B130" i="5"/>
  <c r="M194" i="5"/>
  <c r="N194" i="5"/>
  <c r="H34" i="31"/>
  <c r="I34" i="31" s="1"/>
  <c r="C35" i="31" s="1"/>
  <c r="H35" i="31" s="1"/>
  <c r="I35" i="31" s="1"/>
  <c r="C36" i="31" s="1"/>
  <c r="AM470" i="5" l="1"/>
  <c r="AJ471" i="5"/>
  <c r="Q482" i="5"/>
  <c r="N483" i="5"/>
  <c r="AB473" i="5"/>
  <c r="Y474" i="5"/>
  <c r="CG124" i="5"/>
  <c r="CH124" i="5" s="1"/>
  <c r="BW119" i="5"/>
  <c r="BV119" i="5" s="1"/>
  <c r="BX119" i="5" s="1"/>
  <c r="P194" i="5"/>
  <c r="O194" i="5" s="1"/>
  <c r="M195" i="5" s="1"/>
  <c r="AA187" i="5"/>
  <c r="Z187" i="5" s="1"/>
  <c r="AM184" i="5"/>
  <c r="AJ185" i="5" s="1"/>
  <c r="AI185" i="5"/>
  <c r="E130" i="5"/>
  <c r="D130" i="5" s="1"/>
  <c r="H36" i="31"/>
  <c r="I36" i="31" s="1"/>
  <c r="C37" i="31" s="1"/>
  <c r="AL471" i="5" l="1"/>
  <c r="AK471" i="5"/>
  <c r="AM471" i="5" s="1"/>
  <c r="AJ472" i="5"/>
  <c r="AA474" i="5"/>
  <c r="Z474" i="5" s="1"/>
  <c r="P483" i="5"/>
  <c r="O483" i="5"/>
  <c r="Q483" i="5" s="1"/>
  <c r="CP124" i="5"/>
  <c r="BT120" i="5"/>
  <c r="BU120" i="5" s="1"/>
  <c r="AB187" i="5"/>
  <c r="Y188" i="5" s="1"/>
  <c r="X188" i="5"/>
  <c r="AL185" i="5"/>
  <c r="AK185" i="5" s="1"/>
  <c r="F130" i="5"/>
  <c r="C131" i="5" s="1"/>
  <c r="B131" i="5"/>
  <c r="Q194" i="5"/>
  <c r="N195" i="5" s="1"/>
  <c r="H37" i="31"/>
  <c r="I37" i="31" s="1"/>
  <c r="C38" i="31" s="1"/>
  <c r="AB474" i="5" l="1"/>
  <c r="Y475" i="5"/>
  <c r="AK472" i="5"/>
  <c r="AM472" i="5" s="1"/>
  <c r="AL472" i="5"/>
  <c r="N484" i="5"/>
  <c r="CJ124" i="5"/>
  <c r="CI124" i="5" s="1"/>
  <c r="CK124" i="5" s="1"/>
  <c r="CC120" i="5"/>
  <c r="P195" i="5"/>
  <c r="O195" i="5" s="1"/>
  <c r="Q195" i="5" s="1"/>
  <c r="AA188" i="5"/>
  <c r="Z188" i="5" s="1"/>
  <c r="AM185" i="5"/>
  <c r="AJ186" i="5" s="1"/>
  <c r="AI186" i="5"/>
  <c r="E131" i="5"/>
  <c r="D131" i="5" s="1"/>
  <c r="H38" i="31"/>
  <c r="I38" i="31" s="1"/>
  <c r="C39" i="31" s="1"/>
  <c r="AJ473" i="5" l="1"/>
  <c r="P484" i="5"/>
  <c r="O484" i="5" s="1"/>
  <c r="AA475" i="5"/>
  <c r="Z475" i="5" s="1"/>
  <c r="CG125" i="5"/>
  <c r="CH125" i="5" s="1"/>
  <c r="BW120" i="5"/>
  <c r="BV120" i="5" s="1"/>
  <c r="BX120" i="5" s="1"/>
  <c r="AB188" i="5"/>
  <c r="X189" i="5"/>
  <c r="Y189" i="5"/>
  <c r="AL186" i="5"/>
  <c r="AK186" i="5" s="1"/>
  <c r="F131" i="5"/>
  <c r="C132" i="5" s="1"/>
  <c r="B132" i="5"/>
  <c r="M196" i="5"/>
  <c r="N196" i="5"/>
  <c r="H39" i="31"/>
  <c r="I39" i="31" s="1"/>
  <c r="C40" i="31" s="1"/>
  <c r="AB475" i="5" l="1"/>
  <c r="Y476" i="5"/>
  <c r="Q484" i="5"/>
  <c r="N485" i="5"/>
  <c r="AK473" i="5"/>
  <c r="AM473" i="5" s="1"/>
  <c r="AL473" i="5"/>
  <c r="CP125" i="5"/>
  <c r="BT121" i="5"/>
  <c r="BU121" i="5" s="1"/>
  <c r="P196" i="5"/>
  <c r="O196" i="5" s="1"/>
  <c r="Q196" i="5" s="1"/>
  <c r="AA189" i="5"/>
  <c r="Z189" i="5" s="1"/>
  <c r="AM186" i="5"/>
  <c r="AI187" i="5"/>
  <c r="AJ187" i="5"/>
  <c r="E132" i="5"/>
  <c r="D132" i="5" s="1"/>
  <c r="H40" i="31"/>
  <c r="I40" i="31" s="1"/>
  <c r="C41" i="31" s="1"/>
  <c r="H41" i="31" s="1"/>
  <c r="I41" i="31" s="1"/>
  <c r="C42" i="31" s="1"/>
  <c r="H42" i="31" s="1"/>
  <c r="I42" i="31" s="1"/>
  <c r="C43" i="31" s="1"/>
  <c r="H43" i="31" s="1"/>
  <c r="I43" i="31" s="1"/>
  <c r="C44" i="31" s="1"/>
  <c r="H44" i="31" s="1"/>
  <c r="I44" i="31" s="1"/>
  <c r="C45" i="31" s="1"/>
  <c r="H45" i="31" s="1"/>
  <c r="I45" i="31" s="1"/>
  <c r="C46" i="31" s="1"/>
  <c r="H46" i="31" s="1"/>
  <c r="I46" i="31" s="1"/>
  <c r="C47" i="31" s="1"/>
  <c r="H47" i="31" s="1"/>
  <c r="I47" i="31" s="1"/>
  <c r="C48" i="31" s="1"/>
  <c r="H48" i="31" s="1"/>
  <c r="I48" i="31" s="1"/>
  <c r="C49" i="31" s="1"/>
  <c r="H49" i="31" s="1"/>
  <c r="I49" i="31" s="1"/>
  <c r="C50" i="31" s="1"/>
  <c r="H50" i="31" s="1"/>
  <c r="I50" i="31" s="1"/>
  <c r="C51" i="31" s="1"/>
  <c r="H51" i="31" s="1"/>
  <c r="I51" i="31" s="1"/>
  <c r="C52" i="31" s="1"/>
  <c r="H52" i="31" s="1"/>
  <c r="I52" i="31" s="1"/>
  <c r="C53" i="31" s="1"/>
  <c r="H53" i="31" s="1"/>
  <c r="I53" i="31" s="1"/>
  <c r="C54" i="31" s="1"/>
  <c r="H54" i="31" s="1"/>
  <c r="I54" i="31" s="1"/>
  <c r="C55" i="31" s="1"/>
  <c r="H55" i="31" s="1"/>
  <c r="I55" i="31" s="1"/>
  <c r="C56" i="31" s="1"/>
  <c r="H56" i="31" s="1"/>
  <c r="I56" i="31" s="1"/>
  <c r="C57" i="31" s="1"/>
  <c r="H57" i="31" s="1"/>
  <c r="I57" i="31" s="1"/>
  <c r="C58" i="31" s="1"/>
  <c r="P485" i="5" l="1"/>
  <c r="O485" i="5"/>
  <c r="Q485" i="5" s="1"/>
  <c r="AJ474" i="5"/>
  <c r="AA476" i="5"/>
  <c r="Z476" i="5" s="1"/>
  <c r="CJ125" i="5"/>
  <c r="CI125" i="5" s="1"/>
  <c r="CK125" i="5" s="1"/>
  <c r="CC121" i="5"/>
  <c r="AB189" i="5"/>
  <c r="X190" i="5"/>
  <c r="Y190" i="5"/>
  <c r="AL187" i="5"/>
  <c r="AK187" i="5" s="1"/>
  <c r="F132" i="5"/>
  <c r="C133" i="5" s="1"/>
  <c r="B133" i="5"/>
  <c r="N197" i="5"/>
  <c r="M197" i="5"/>
  <c r="H58" i="31"/>
  <c r="I58" i="31" s="1"/>
  <c r="AB476" i="5" l="1"/>
  <c r="Y477" i="5"/>
  <c r="AL474" i="5"/>
  <c r="AK474" i="5" s="1"/>
  <c r="N486" i="5"/>
  <c r="CG126" i="5"/>
  <c r="CH126" i="5" s="1"/>
  <c r="BW121" i="5"/>
  <c r="BV121" i="5" s="1"/>
  <c r="BX121" i="5" s="1"/>
  <c r="P197" i="5"/>
  <c r="O197" i="5" s="1"/>
  <c r="AA190" i="5"/>
  <c r="Z190" i="5" s="1"/>
  <c r="AM187" i="5"/>
  <c r="AI188" i="5"/>
  <c r="AJ188" i="5"/>
  <c r="E133" i="5"/>
  <c r="D133" i="5" s="1"/>
  <c r="AM474" i="5" l="1"/>
  <c r="AJ475" i="5"/>
  <c r="P486" i="5"/>
  <c r="O486" i="5"/>
  <c r="Q486" i="5" s="1"/>
  <c r="N487" i="5"/>
  <c r="AA477" i="5"/>
  <c r="Z477" i="5" s="1"/>
  <c r="CP126" i="5"/>
  <c r="BT122" i="5"/>
  <c r="BU122" i="5" s="1"/>
  <c r="M198" i="5"/>
  <c r="Q197" i="5"/>
  <c r="N198" i="5" s="1"/>
  <c r="P198" i="5" s="1"/>
  <c r="O198" i="5" s="1"/>
  <c r="AB190" i="5"/>
  <c r="Y191" i="5" s="1"/>
  <c r="X191" i="5"/>
  <c r="AL188" i="5"/>
  <c r="AK188" i="5" s="1"/>
  <c r="F133" i="5"/>
  <c r="C134" i="5" s="1"/>
  <c r="B134" i="5"/>
  <c r="AB477" i="5" l="1"/>
  <c r="Y478" i="5"/>
  <c r="P487" i="5"/>
  <c r="O487" i="5" s="1"/>
  <c r="AK475" i="5"/>
  <c r="AM475" i="5" s="1"/>
  <c r="AL475" i="5"/>
  <c r="CJ126" i="5"/>
  <c r="CC122" i="5"/>
  <c r="M199" i="5"/>
  <c r="AA191" i="5"/>
  <c r="Z191" i="5" s="1"/>
  <c r="AM188" i="5"/>
  <c r="AJ189" i="5" s="1"/>
  <c r="AI189" i="5"/>
  <c r="E134" i="5"/>
  <c r="D134" i="5" s="1"/>
  <c r="Q198" i="5"/>
  <c r="N199" i="5" s="1"/>
  <c r="Q487" i="5" l="1"/>
  <c r="N488" i="5"/>
  <c r="AJ476" i="5"/>
  <c r="AA478" i="5"/>
  <c r="Z478" i="5" s="1"/>
  <c r="CI126" i="5"/>
  <c r="CG127" i="5" s="1"/>
  <c r="CH127" i="5" s="1"/>
  <c r="BW122" i="5"/>
  <c r="BV122" i="5" s="1"/>
  <c r="BX122" i="5" s="1"/>
  <c r="P199" i="5"/>
  <c r="O199" i="5" s="1"/>
  <c r="AB191" i="5"/>
  <c r="Y192" i="5" s="1"/>
  <c r="X192" i="5"/>
  <c r="AL189" i="5"/>
  <c r="AK189" i="5" s="1"/>
  <c r="F134" i="5"/>
  <c r="C135" i="5" s="1"/>
  <c r="B135" i="5"/>
  <c r="AB478" i="5" l="1"/>
  <c r="Y479" i="5"/>
  <c r="AL476" i="5"/>
  <c r="AK476" i="5" s="1"/>
  <c r="P488" i="5"/>
  <c r="O488" i="5" s="1"/>
  <c r="CK126" i="5"/>
  <c r="CP127" i="5"/>
  <c r="BT123" i="5"/>
  <c r="BU123" i="5" s="1"/>
  <c r="Q199" i="5"/>
  <c r="N200" i="5" s="1"/>
  <c r="P200" i="5" s="1"/>
  <c r="O200" i="5" s="1"/>
  <c r="AA192" i="5"/>
  <c r="Z192" i="5" s="1"/>
  <c r="AM189" i="5"/>
  <c r="AJ190" i="5" s="1"/>
  <c r="AI190" i="5"/>
  <c r="E135" i="5"/>
  <c r="D135" i="5" s="1"/>
  <c r="M200" i="5"/>
  <c r="Q488" i="5" l="1"/>
  <c r="N489" i="5"/>
  <c r="AM476" i="5"/>
  <c r="AJ477" i="5"/>
  <c r="AA479" i="5"/>
  <c r="Z479" i="5" s="1"/>
  <c r="CJ127" i="5"/>
  <c r="CI127" i="5" s="1"/>
  <c r="CK127" i="5" s="1"/>
  <c r="CC123" i="5"/>
  <c r="Q200" i="5"/>
  <c r="N201" i="5" s="1"/>
  <c r="M201" i="5"/>
  <c r="AB192" i="5"/>
  <c r="Y193" i="5" s="1"/>
  <c r="X193" i="5"/>
  <c r="AL190" i="5"/>
  <c r="AK190" i="5" s="1"/>
  <c r="F135" i="5"/>
  <c r="C136" i="5" s="1"/>
  <c r="B136" i="5"/>
  <c r="AB479" i="5" l="1"/>
  <c r="Y480" i="5"/>
  <c r="AL477" i="5"/>
  <c r="AK477" i="5" s="1"/>
  <c r="P489" i="5"/>
  <c r="O489" i="5" s="1"/>
  <c r="CG128" i="5"/>
  <c r="CH128" i="5" s="1"/>
  <c r="BW123" i="5"/>
  <c r="BV123" i="5" s="1"/>
  <c r="BX123" i="5" s="1"/>
  <c r="P201" i="5"/>
  <c r="O201" i="5" s="1"/>
  <c r="AA193" i="5"/>
  <c r="Z193" i="5" s="1"/>
  <c r="AM190" i="5"/>
  <c r="AJ191" i="5" s="1"/>
  <c r="AI191" i="5"/>
  <c r="E136" i="5"/>
  <c r="D136" i="5" s="1"/>
  <c r="Q489" i="5" l="1"/>
  <c r="N490" i="5"/>
  <c r="AM477" i="5"/>
  <c r="AJ478" i="5"/>
  <c r="AA480" i="5"/>
  <c r="Z480" i="5" s="1"/>
  <c r="CP128" i="5"/>
  <c r="BT124" i="5"/>
  <c r="BU124" i="5" s="1"/>
  <c r="Q201" i="5"/>
  <c r="N202" i="5" s="1"/>
  <c r="P202" i="5" s="1"/>
  <c r="O202" i="5" s="1"/>
  <c r="M202" i="5"/>
  <c r="AB193" i="5"/>
  <c r="X194" i="5"/>
  <c r="Y194" i="5"/>
  <c r="AL191" i="5"/>
  <c r="AK191" i="5" s="1"/>
  <c r="F136" i="5"/>
  <c r="C137" i="5" s="1"/>
  <c r="B137" i="5"/>
  <c r="AB480" i="5" l="1"/>
  <c r="Y481" i="5"/>
  <c r="AL478" i="5"/>
  <c r="AK478" i="5" s="1"/>
  <c r="P490" i="5"/>
  <c r="O490" i="5" s="1"/>
  <c r="CJ128" i="5"/>
  <c r="CI128" i="5" s="1"/>
  <c r="CK128" i="5" s="1"/>
  <c r="CC124" i="5"/>
  <c r="M203" i="5"/>
  <c r="AA194" i="5"/>
  <c r="Z194" i="5" s="1"/>
  <c r="AM191" i="5"/>
  <c r="AJ192" i="5" s="1"/>
  <c r="AI192" i="5"/>
  <c r="E137" i="5"/>
  <c r="D137" i="5" s="1"/>
  <c r="Q202" i="5"/>
  <c r="N203" i="5" s="1"/>
  <c r="Q490" i="5" l="1"/>
  <c r="N491" i="5"/>
  <c r="AM478" i="5"/>
  <c r="AJ479" i="5"/>
  <c r="Z481" i="5"/>
  <c r="AB481" i="5" s="1"/>
  <c r="AA481" i="5"/>
  <c r="CG129" i="5"/>
  <c r="CH129" i="5" s="1"/>
  <c r="BW124" i="5"/>
  <c r="BV124" i="5" s="1"/>
  <c r="BX124" i="5" s="1"/>
  <c r="P203" i="5"/>
  <c r="O203" i="5" s="1"/>
  <c r="AB194" i="5"/>
  <c r="Y195" i="5" s="1"/>
  <c r="X195" i="5"/>
  <c r="AL192" i="5"/>
  <c r="AK192" i="5" s="1"/>
  <c r="F137" i="5"/>
  <c r="C138" i="5" s="1"/>
  <c r="B138" i="5"/>
  <c r="AL479" i="5" l="1"/>
  <c r="AK479" i="5"/>
  <c r="AM479" i="5" s="1"/>
  <c r="P491" i="5"/>
  <c r="O491" i="5"/>
  <c r="Q491" i="5" s="1"/>
  <c r="Y482" i="5"/>
  <c r="CP129" i="5"/>
  <c r="BT125" i="5"/>
  <c r="BU125" i="5" s="1"/>
  <c r="M204" i="5"/>
  <c r="Q203" i="5"/>
  <c r="N204" i="5" s="1"/>
  <c r="P204" i="5" s="1"/>
  <c r="O204" i="5" s="1"/>
  <c r="Q204" i="5" s="1"/>
  <c r="AA195" i="5"/>
  <c r="Z195" i="5" s="1"/>
  <c r="AM192" i="5"/>
  <c r="AI193" i="5"/>
  <c r="AJ193" i="5"/>
  <c r="E138" i="5"/>
  <c r="D138" i="5" s="1"/>
  <c r="AA482" i="5" l="1"/>
  <c r="Z482" i="5"/>
  <c r="AB482" i="5" s="1"/>
  <c r="N492" i="5"/>
  <c r="AJ480" i="5"/>
  <c r="CJ129" i="5"/>
  <c r="CI129" i="5" s="1"/>
  <c r="CK129" i="5" s="1"/>
  <c r="CC125" i="5"/>
  <c r="AB195" i="5"/>
  <c r="Y196" i="5" s="1"/>
  <c r="X196" i="5"/>
  <c r="AL193" i="5"/>
  <c r="AK193" i="5" s="1"/>
  <c r="F138" i="5"/>
  <c r="C139" i="5" s="1"/>
  <c r="B139" i="5"/>
  <c r="N205" i="5"/>
  <c r="M205" i="5"/>
  <c r="P492" i="5" l="1"/>
  <c r="O492" i="5"/>
  <c r="Q492" i="5" s="1"/>
  <c r="N493" i="5"/>
  <c r="AL480" i="5"/>
  <c r="AK480" i="5"/>
  <c r="AM480" i="5" s="1"/>
  <c r="Y483" i="5"/>
  <c r="CG130" i="5"/>
  <c r="CH130" i="5" s="1"/>
  <c r="BW125" i="5"/>
  <c r="BV125" i="5" s="1"/>
  <c r="BX125" i="5" s="1"/>
  <c r="P205" i="5"/>
  <c r="O205" i="5" s="1"/>
  <c r="Q205" i="5" s="1"/>
  <c r="AA196" i="5"/>
  <c r="Z196" i="5" s="1"/>
  <c r="AM193" i="5"/>
  <c r="AJ194" i="5" s="1"/>
  <c r="AI194" i="5"/>
  <c r="E139" i="5"/>
  <c r="D139" i="5" s="1"/>
  <c r="P493" i="5" l="1"/>
  <c r="O493" i="5" s="1"/>
  <c r="AJ481" i="5"/>
  <c r="AA483" i="5"/>
  <c r="Z483" i="5" s="1"/>
  <c r="CP130" i="5"/>
  <c r="BT126" i="5"/>
  <c r="BU126" i="5" s="1"/>
  <c r="AB196" i="5"/>
  <c r="Y197" i="5" s="1"/>
  <c r="X197" i="5"/>
  <c r="AL194" i="5"/>
  <c r="AK194" i="5" s="1"/>
  <c r="F139" i="5"/>
  <c r="C140" i="5" s="1"/>
  <c r="B140" i="5"/>
  <c r="M206" i="5"/>
  <c r="N206" i="5"/>
  <c r="AB483" i="5" l="1"/>
  <c r="Y484" i="5"/>
  <c r="Q493" i="5"/>
  <c r="N494" i="5"/>
  <c r="AL481" i="5"/>
  <c r="AK481" i="5"/>
  <c r="AM481" i="5" s="1"/>
  <c r="CJ130" i="5"/>
  <c r="CI130" i="5" s="1"/>
  <c r="CC126" i="5"/>
  <c r="P206" i="5"/>
  <c r="O206" i="5" s="1"/>
  <c r="AA197" i="5"/>
  <c r="Z197" i="5" s="1"/>
  <c r="AM194" i="5"/>
  <c r="AJ195" i="5" s="1"/>
  <c r="AI195" i="5"/>
  <c r="S12" i="29"/>
  <c r="E140" i="5"/>
  <c r="D140" i="5" s="1"/>
  <c r="AJ482" i="5" l="1"/>
  <c r="P494" i="5"/>
  <c r="O494" i="5" s="1"/>
  <c r="AA484" i="5"/>
  <c r="Z484" i="5" s="1"/>
  <c r="CK130" i="5"/>
  <c r="CG131" i="5"/>
  <c r="CH131" i="5" s="1"/>
  <c r="BW126" i="5"/>
  <c r="BV126" i="5" s="1"/>
  <c r="BX126" i="5" s="1"/>
  <c r="Q206" i="5"/>
  <c r="M207" i="5"/>
  <c r="AB197" i="5"/>
  <c r="Y198" i="5" s="1"/>
  <c r="X198" i="5"/>
  <c r="AL195" i="5"/>
  <c r="AK195" i="5" s="1"/>
  <c r="F140" i="5"/>
  <c r="C141" i="5" s="1"/>
  <c r="B141" i="5"/>
  <c r="N207" i="5"/>
  <c r="AB484" i="5" l="1"/>
  <c r="Y485" i="5"/>
  <c r="Q494" i="5"/>
  <c r="N495" i="5"/>
  <c r="AL482" i="5"/>
  <c r="AK482" i="5" s="1"/>
  <c r="CP131" i="5"/>
  <c r="BT127" i="5"/>
  <c r="BU127" i="5" s="1"/>
  <c r="P207" i="5"/>
  <c r="O207" i="5" s="1"/>
  <c r="AA198" i="5"/>
  <c r="Z198" i="5" s="1"/>
  <c r="AM195" i="5"/>
  <c r="AJ196" i="5" s="1"/>
  <c r="AI196" i="5"/>
  <c r="E141" i="5"/>
  <c r="D141" i="5" s="1"/>
  <c r="AM482" i="5" l="1"/>
  <c r="AJ483" i="5"/>
  <c r="P495" i="5"/>
  <c r="O495" i="5"/>
  <c r="Q495" i="5" s="1"/>
  <c r="AA485" i="5"/>
  <c r="Z485" i="5" s="1"/>
  <c r="CJ131" i="5"/>
  <c r="CC127" i="5"/>
  <c r="Q207" i="5"/>
  <c r="N208" i="5" s="1"/>
  <c r="P208" i="5" s="1"/>
  <c r="O208" i="5" s="1"/>
  <c r="Q208" i="5" s="1"/>
  <c r="M208" i="5"/>
  <c r="AB198" i="5"/>
  <c r="Y199" i="5" s="1"/>
  <c r="X199" i="5"/>
  <c r="AL196" i="5"/>
  <c r="AK196" i="5" s="1"/>
  <c r="F141" i="5"/>
  <c r="C142" i="5" s="1"/>
  <c r="B142" i="5"/>
  <c r="AB485" i="5" l="1"/>
  <c r="Y486" i="5"/>
  <c r="N496" i="5"/>
  <c r="AK483" i="5"/>
  <c r="AM483" i="5" s="1"/>
  <c r="AL483" i="5"/>
  <c r="CI131" i="5"/>
  <c r="CK131" i="5" s="1"/>
  <c r="BW127" i="5"/>
  <c r="BV127" i="5" s="1"/>
  <c r="BX127" i="5" s="1"/>
  <c r="AA199" i="5"/>
  <c r="Z199" i="5" s="1"/>
  <c r="AM196" i="5"/>
  <c r="AJ197" i="5" s="1"/>
  <c r="AI197" i="5"/>
  <c r="E142" i="5"/>
  <c r="D142" i="5" s="1"/>
  <c r="M209" i="5"/>
  <c r="N209" i="5"/>
  <c r="P496" i="5" l="1"/>
  <c r="O496" i="5"/>
  <c r="Q496" i="5" s="1"/>
  <c r="AA486" i="5"/>
  <c r="Z486" i="5" s="1"/>
  <c r="AJ484" i="5"/>
  <c r="CG132" i="5"/>
  <c r="CH132" i="5" s="1"/>
  <c r="BT128" i="5"/>
  <c r="BU128" i="5" s="1"/>
  <c r="P209" i="5"/>
  <c r="O209" i="5" s="1"/>
  <c r="Q209" i="5" s="1"/>
  <c r="AB199" i="5"/>
  <c r="Y200" i="5" s="1"/>
  <c r="X200" i="5"/>
  <c r="AL197" i="5"/>
  <c r="AK197" i="5" s="1"/>
  <c r="F142" i="5"/>
  <c r="C143" i="5" s="1"/>
  <c r="B143" i="5"/>
  <c r="AB486" i="5" l="1"/>
  <c r="Y487" i="5"/>
  <c r="N497" i="5"/>
  <c r="AK484" i="5"/>
  <c r="AM484" i="5" s="1"/>
  <c r="AL484" i="5"/>
  <c r="CP132" i="5"/>
  <c r="CJ132" i="5"/>
  <c r="CC128" i="5"/>
  <c r="AA200" i="5"/>
  <c r="Z200" i="5" s="1"/>
  <c r="AM197" i="5"/>
  <c r="AI198" i="5"/>
  <c r="AJ198" i="5"/>
  <c r="E143" i="5"/>
  <c r="D143" i="5" s="1"/>
  <c r="M210" i="5"/>
  <c r="N210" i="5"/>
  <c r="AJ485" i="5" l="1"/>
  <c r="P497" i="5"/>
  <c r="O497" i="5"/>
  <c r="Q497" i="5" s="1"/>
  <c r="N498" i="5"/>
  <c r="AA487" i="5"/>
  <c r="Z487" i="5" s="1"/>
  <c r="CI132" i="5"/>
  <c r="CK132" i="5" s="1"/>
  <c r="BW128" i="5"/>
  <c r="BV128" i="5" s="1"/>
  <c r="BX128" i="5" s="1"/>
  <c r="P210" i="5"/>
  <c r="O210" i="5" s="1"/>
  <c r="Q210" i="5" s="1"/>
  <c r="AB200" i="5"/>
  <c r="Y201" i="5" s="1"/>
  <c r="X201" i="5"/>
  <c r="AL198" i="5"/>
  <c r="AK198" i="5" s="1"/>
  <c r="F143" i="5"/>
  <c r="C144" i="5" s="1"/>
  <c r="B144" i="5"/>
  <c r="AB487" i="5" l="1"/>
  <c r="Y488" i="5"/>
  <c r="P498" i="5"/>
  <c r="O498" i="5"/>
  <c r="Q498" i="5" s="1"/>
  <c r="AL485" i="5"/>
  <c r="AK485" i="5" s="1"/>
  <c r="CG133" i="5"/>
  <c r="CH133" i="5" s="1"/>
  <c r="BT129" i="5"/>
  <c r="BU129" i="5" s="1"/>
  <c r="AA201" i="5"/>
  <c r="Z201" i="5" s="1"/>
  <c r="AM198" i="5"/>
  <c r="AJ199" i="5" s="1"/>
  <c r="AI199" i="5"/>
  <c r="E144" i="5"/>
  <c r="D144" i="5" s="1"/>
  <c r="M211" i="5"/>
  <c r="N211" i="5"/>
  <c r="AM485" i="5" l="1"/>
  <c r="AJ486" i="5"/>
  <c r="N499" i="5"/>
  <c r="AA488" i="5"/>
  <c r="Z488" i="5"/>
  <c r="AB488" i="5" s="1"/>
  <c r="CP133" i="5"/>
  <c r="CJ133" i="5"/>
  <c r="CI133" i="5" s="1"/>
  <c r="CC129" i="5"/>
  <c r="P211" i="5"/>
  <c r="O211" i="5" s="1"/>
  <c r="Q211" i="5" s="1"/>
  <c r="AB201" i="5"/>
  <c r="Y202" i="5" s="1"/>
  <c r="X202" i="5"/>
  <c r="AL199" i="5"/>
  <c r="AK199" i="5" s="1"/>
  <c r="F144" i="5"/>
  <c r="C145" i="5" s="1"/>
  <c r="B145" i="5"/>
  <c r="Y489" i="5" l="1"/>
  <c r="P499" i="5"/>
  <c r="O499" i="5" s="1"/>
  <c r="AL486" i="5"/>
  <c r="AK486" i="5" s="1"/>
  <c r="CK133" i="5"/>
  <c r="CG134" i="5"/>
  <c r="CH134" i="5" s="1"/>
  <c r="BW129" i="5"/>
  <c r="BV129" i="5" s="1"/>
  <c r="BX129" i="5" s="1"/>
  <c r="AA202" i="5"/>
  <c r="Z202" i="5" s="1"/>
  <c r="AM199" i="5"/>
  <c r="AJ200" i="5" s="1"/>
  <c r="AI200" i="5"/>
  <c r="E145" i="5"/>
  <c r="D145" i="5" s="1"/>
  <c r="N212" i="5"/>
  <c r="M212" i="5"/>
  <c r="AM486" i="5" l="1"/>
  <c r="AJ487" i="5"/>
  <c r="Q499" i="5"/>
  <c r="N500" i="5"/>
  <c r="AA489" i="5"/>
  <c r="Z489" i="5" s="1"/>
  <c r="CP134" i="5"/>
  <c r="BT130" i="5"/>
  <c r="BU130" i="5" s="1"/>
  <c r="P212" i="5"/>
  <c r="O212" i="5" s="1"/>
  <c r="Q212" i="5" s="1"/>
  <c r="AB202" i="5"/>
  <c r="Y203" i="5" s="1"/>
  <c r="X203" i="5"/>
  <c r="AL200" i="5"/>
  <c r="AK200" i="5" s="1"/>
  <c r="F145" i="5"/>
  <c r="C146" i="5" s="1"/>
  <c r="B146" i="5"/>
  <c r="AB489" i="5" l="1"/>
  <c r="Y490" i="5"/>
  <c r="P500" i="5"/>
  <c r="O500" i="5" s="1"/>
  <c r="AL487" i="5"/>
  <c r="AK487" i="5" s="1"/>
  <c r="CJ134" i="5"/>
  <c r="CI134" i="5" s="1"/>
  <c r="CK134" i="5" s="1"/>
  <c r="CC130" i="5"/>
  <c r="AA203" i="5"/>
  <c r="Z203" i="5" s="1"/>
  <c r="AB203" i="5" s="1"/>
  <c r="Y204" i="5" s="1"/>
  <c r="AM200" i="5"/>
  <c r="AJ201" i="5" s="1"/>
  <c r="AI201" i="5"/>
  <c r="E146" i="5"/>
  <c r="D146" i="5" s="1"/>
  <c r="M213" i="5"/>
  <c r="N213" i="5"/>
  <c r="AM487" i="5" l="1"/>
  <c r="AJ488" i="5"/>
  <c r="Q500" i="5"/>
  <c r="N501" i="5" s="1"/>
  <c r="Z490" i="5"/>
  <c r="AB490" i="5" s="1"/>
  <c r="AA490" i="5"/>
  <c r="CG135" i="5"/>
  <c r="CH135" i="5" s="1"/>
  <c r="BW130" i="5"/>
  <c r="BV130" i="5" s="1"/>
  <c r="BX130" i="5" s="1"/>
  <c r="P213" i="5"/>
  <c r="O213" i="5" s="1"/>
  <c r="Q213" i="5" s="1"/>
  <c r="X204" i="5"/>
  <c r="AA204" i="5"/>
  <c r="Z204" i="5" s="1"/>
  <c r="AL201" i="5"/>
  <c r="AK201" i="5" s="1"/>
  <c r="F146" i="5"/>
  <c r="C147" i="5" s="1"/>
  <c r="B147" i="5"/>
  <c r="P501" i="5" l="1"/>
  <c r="O501" i="5" s="1"/>
  <c r="AL488" i="5"/>
  <c r="AK488" i="5" s="1"/>
  <c r="Y491" i="5"/>
  <c r="CP135" i="5"/>
  <c r="BT131" i="5"/>
  <c r="BU131" i="5" s="1"/>
  <c r="AB204" i="5"/>
  <c r="Y205" i="5" s="1"/>
  <c r="X205" i="5"/>
  <c r="AM201" i="5"/>
  <c r="AJ202" i="5" s="1"/>
  <c r="AI202" i="5"/>
  <c r="E147" i="5"/>
  <c r="D147" i="5" s="1"/>
  <c r="M214" i="5"/>
  <c r="N214" i="5"/>
  <c r="AM488" i="5" l="1"/>
  <c r="AJ489" i="5"/>
  <c r="Q501" i="5"/>
  <c r="N502" i="5"/>
  <c r="AA491" i="5"/>
  <c r="Z491" i="5" s="1"/>
  <c r="CJ135" i="5"/>
  <c r="CI135" i="5" s="1"/>
  <c r="CK135" i="5" s="1"/>
  <c r="CC131" i="5"/>
  <c r="P214" i="5"/>
  <c r="O214" i="5" s="1"/>
  <c r="M215" i="5" s="1"/>
  <c r="AA205" i="5"/>
  <c r="Z205" i="5" s="1"/>
  <c r="AL202" i="5"/>
  <c r="AK202" i="5" s="1"/>
  <c r="F147" i="5"/>
  <c r="C148" i="5" s="1"/>
  <c r="B148" i="5"/>
  <c r="AB491" i="5" l="1"/>
  <c r="Y492" i="5" s="1"/>
  <c r="P502" i="5"/>
  <c r="O502" i="5" s="1"/>
  <c r="AL489" i="5"/>
  <c r="AK489" i="5" s="1"/>
  <c r="CG136" i="5"/>
  <c r="CH136" i="5" s="1"/>
  <c r="BW131" i="5"/>
  <c r="BV131" i="5" s="1"/>
  <c r="BX131" i="5" s="1"/>
  <c r="AB205" i="5"/>
  <c r="X206" i="5"/>
  <c r="Y206" i="5"/>
  <c r="AM202" i="5"/>
  <c r="AJ203" i="5" s="1"/>
  <c r="AI203" i="5"/>
  <c r="E148" i="5"/>
  <c r="D148" i="5" s="1"/>
  <c r="Q214" i="5"/>
  <c r="N215" i="5" s="1"/>
  <c r="AM489" i="5" l="1"/>
  <c r="AJ490" i="5" s="1"/>
  <c r="Q502" i="5"/>
  <c r="N503" i="5"/>
  <c r="AA492" i="5"/>
  <c r="Z492" i="5"/>
  <c r="AB492" i="5" s="1"/>
  <c r="CP136" i="5"/>
  <c r="BT132" i="5"/>
  <c r="BU132" i="5" s="1"/>
  <c r="P215" i="5"/>
  <c r="O215" i="5" s="1"/>
  <c r="M216" i="5" s="1"/>
  <c r="AA206" i="5"/>
  <c r="Z206" i="5" s="1"/>
  <c r="AL203" i="5"/>
  <c r="AK203" i="5" s="1"/>
  <c r="F148" i="5"/>
  <c r="C149" i="5" s="1"/>
  <c r="B149" i="5"/>
  <c r="AL490" i="5" l="1"/>
  <c r="AK490" i="5" s="1"/>
  <c r="Y493" i="5"/>
  <c r="P503" i="5"/>
  <c r="O503" i="5" s="1"/>
  <c r="CJ136" i="5"/>
  <c r="CC132" i="5"/>
  <c r="AB206" i="5"/>
  <c r="Y207" i="5" s="1"/>
  <c r="X207" i="5"/>
  <c r="AM203" i="5"/>
  <c r="AJ204" i="5" s="1"/>
  <c r="AI204" i="5"/>
  <c r="E149" i="5"/>
  <c r="D149" i="5" s="1"/>
  <c r="Q215" i="5"/>
  <c r="N216" i="5" s="1"/>
  <c r="Q503" i="5" l="1"/>
  <c r="N504" i="5" s="1"/>
  <c r="AM490" i="5"/>
  <c r="AJ491" i="5" s="1"/>
  <c r="AA493" i="5"/>
  <c r="Z493" i="5" s="1"/>
  <c r="CI136" i="5"/>
  <c r="CK136" i="5" s="1"/>
  <c r="BW132" i="5"/>
  <c r="BV132" i="5" s="1"/>
  <c r="BX132" i="5" s="1"/>
  <c r="P216" i="5"/>
  <c r="O216" i="5" s="1"/>
  <c r="Q216" i="5" s="1"/>
  <c r="AA207" i="5"/>
  <c r="Z207" i="5" s="1"/>
  <c r="AL204" i="5"/>
  <c r="AK204" i="5" s="1"/>
  <c r="F149" i="5"/>
  <c r="C150" i="5" s="1"/>
  <c r="B150" i="5"/>
  <c r="P504" i="5" l="1"/>
  <c r="O504" i="5"/>
  <c r="Q504" i="5" s="1"/>
  <c r="AB493" i="5"/>
  <c r="Y494" i="5"/>
  <c r="AJ492" i="5"/>
  <c r="AK491" i="5"/>
  <c r="AM491" i="5" s="1"/>
  <c r="AL491" i="5"/>
  <c r="CG137" i="5"/>
  <c r="CH137" i="5" s="1"/>
  <c r="BT133" i="5"/>
  <c r="BU133" i="5" s="1"/>
  <c r="AB207" i="5"/>
  <c r="X208" i="5"/>
  <c r="Y208" i="5"/>
  <c r="AM204" i="5"/>
  <c r="AJ205" i="5" s="1"/>
  <c r="AI205" i="5"/>
  <c r="E150" i="5"/>
  <c r="D150" i="5" s="1"/>
  <c r="M217" i="5"/>
  <c r="N217" i="5"/>
  <c r="AK492" i="5" l="1"/>
  <c r="AM492" i="5" s="1"/>
  <c r="AL492" i="5"/>
  <c r="AJ493" i="5"/>
  <c r="AA494" i="5"/>
  <c r="Z494" i="5" s="1"/>
  <c r="N505" i="5"/>
  <c r="CP137" i="5"/>
  <c r="CJ137" i="5"/>
  <c r="CI137" i="5" s="1"/>
  <c r="CC133" i="5"/>
  <c r="P217" i="5"/>
  <c r="O217" i="5" s="1"/>
  <c r="Q217" i="5" s="1"/>
  <c r="AA208" i="5"/>
  <c r="Z208" i="5" s="1"/>
  <c r="AL205" i="5"/>
  <c r="AK205" i="5" s="1"/>
  <c r="F150" i="5"/>
  <c r="C151" i="5" s="1"/>
  <c r="B151" i="5"/>
  <c r="AB494" i="5" l="1"/>
  <c r="Y495" i="5" s="1"/>
  <c r="AL493" i="5"/>
  <c r="AK493" i="5" s="1"/>
  <c r="P505" i="5"/>
  <c r="O505" i="5" s="1"/>
  <c r="CK137" i="5"/>
  <c r="CG138" i="5"/>
  <c r="CH138" i="5" s="1"/>
  <c r="BW133" i="5"/>
  <c r="BV133" i="5" s="1"/>
  <c r="BX133" i="5" s="1"/>
  <c r="AB208" i="5"/>
  <c r="Y209" i="5" s="1"/>
  <c r="X209" i="5"/>
  <c r="AM205" i="5"/>
  <c r="AI206" i="5"/>
  <c r="AJ206" i="5"/>
  <c r="E151" i="5"/>
  <c r="D151" i="5" s="1"/>
  <c r="N218" i="5"/>
  <c r="M218" i="5"/>
  <c r="AA495" i="5" l="1"/>
  <c r="Z495" i="5" s="1"/>
  <c r="Q505" i="5"/>
  <c r="N506" i="5"/>
  <c r="AM493" i="5"/>
  <c r="AJ494" i="5"/>
  <c r="CP138" i="5"/>
  <c r="BT134" i="5"/>
  <c r="BU134" i="5" s="1"/>
  <c r="P218" i="5"/>
  <c r="O218" i="5" s="1"/>
  <c r="Q218" i="5" s="1"/>
  <c r="AA209" i="5"/>
  <c r="Z209" i="5" s="1"/>
  <c r="AL206" i="5"/>
  <c r="AK206" i="5" s="1"/>
  <c r="F151" i="5"/>
  <c r="C152" i="5" s="1"/>
  <c r="B152" i="5"/>
  <c r="AB495" i="5" l="1"/>
  <c r="Y496" i="5" s="1"/>
  <c r="AL494" i="5"/>
  <c r="AK494" i="5" s="1"/>
  <c r="P506" i="5"/>
  <c r="O506" i="5" s="1"/>
  <c r="CJ138" i="5"/>
  <c r="CI138" i="5" s="1"/>
  <c r="CK138" i="5" s="1"/>
  <c r="CC134" i="5"/>
  <c r="AB209" i="5"/>
  <c r="Y210" i="5" s="1"/>
  <c r="X210" i="5"/>
  <c r="AM206" i="5"/>
  <c r="AJ207" i="5" s="1"/>
  <c r="AI207" i="5"/>
  <c r="S13" i="29"/>
  <c r="E152" i="5"/>
  <c r="D152" i="5" s="1"/>
  <c r="M219" i="5"/>
  <c r="N219" i="5"/>
  <c r="Q506" i="5" l="1"/>
  <c r="N507" i="5" s="1"/>
  <c r="AM494" i="5"/>
  <c r="AJ495" i="5"/>
  <c r="AA496" i="5"/>
  <c r="Z496" i="5" s="1"/>
  <c r="CG139" i="5"/>
  <c r="CH139" i="5" s="1"/>
  <c r="BW134" i="5"/>
  <c r="BV134" i="5" s="1"/>
  <c r="BX134" i="5" s="1"/>
  <c r="P219" i="5"/>
  <c r="O219" i="5" s="1"/>
  <c r="M220" i="5" s="1"/>
  <c r="AA210" i="5"/>
  <c r="Z210" i="5" s="1"/>
  <c r="AL207" i="5"/>
  <c r="AK207" i="5" s="1"/>
  <c r="F152" i="5"/>
  <c r="C153" i="5" s="1"/>
  <c r="B153" i="5"/>
  <c r="AB496" i="5" l="1"/>
  <c r="Y497" i="5"/>
  <c r="P507" i="5"/>
  <c r="O507" i="5"/>
  <c r="Q507" i="5" s="1"/>
  <c r="AL495" i="5"/>
  <c r="AK495" i="5" s="1"/>
  <c r="CP139" i="5"/>
  <c r="BT135" i="5"/>
  <c r="BU135" i="5" s="1"/>
  <c r="AB210" i="5"/>
  <c r="X211" i="5"/>
  <c r="Y211" i="5"/>
  <c r="AM207" i="5"/>
  <c r="AJ208" i="5" s="1"/>
  <c r="AI208" i="5"/>
  <c r="E153" i="5"/>
  <c r="D153" i="5" s="1"/>
  <c r="Q219" i="5"/>
  <c r="N220" i="5" s="1"/>
  <c r="AM495" i="5" l="1"/>
  <c r="AJ496" i="5"/>
  <c r="AA497" i="5"/>
  <c r="Z497" i="5" s="1"/>
  <c r="N508" i="5"/>
  <c r="CJ139" i="5"/>
  <c r="CI139" i="5" s="1"/>
  <c r="CC135" i="5"/>
  <c r="P220" i="5"/>
  <c r="O220" i="5" s="1"/>
  <c r="AA211" i="5"/>
  <c r="Z211" i="5" s="1"/>
  <c r="AL208" i="5"/>
  <c r="AK208" i="5" s="1"/>
  <c r="F153" i="5"/>
  <c r="C154" i="5" s="1"/>
  <c r="B154" i="5"/>
  <c r="AB497" i="5" l="1"/>
  <c r="Y498" i="5"/>
  <c r="P508" i="5"/>
  <c r="O508" i="5" s="1"/>
  <c r="AJ497" i="5"/>
  <c r="AK496" i="5"/>
  <c r="AM496" i="5" s="1"/>
  <c r="AL496" i="5"/>
  <c r="CK139" i="5"/>
  <c r="CG140" i="5"/>
  <c r="CH140" i="5" s="1"/>
  <c r="BW135" i="5"/>
  <c r="BV135" i="5" s="1"/>
  <c r="BX135" i="5" s="1"/>
  <c r="Q220" i="5"/>
  <c r="N221" i="5" s="1"/>
  <c r="P221" i="5" s="1"/>
  <c r="O221" i="5" s="1"/>
  <c r="Q221" i="5" s="1"/>
  <c r="M221" i="5"/>
  <c r="AB211" i="5"/>
  <c r="Y212" i="5" s="1"/>
  <c r="X212" i="5"/>
  <c r="AM208" i="5"/>
  <c r="AJ209" i="5" s="1"/>
  <c r="AI209" i="5"/>
  <c r="E154" i="5"/>
  <c r="D154" i="5" s="1"/>
  <c r="Q508" i="5" l="1"/>
  <c r="N509" i="5"/>
  <c r="AL497" i="5"/>
  <c r="AK497" i="5" s="1"/>
  <c r="Y499" i="5"/>
  <c r="AA498" i="5"/>
  <c r="Z498" i="5"/>
  <c r="AB498" i="5" s="1"/>
  <c r="CP140" i="5"/>
  <c r="BT136" i="5"/>
  <c r="BU136" i="5" s="1"/>
  <c r="AA212" i="5"/>
  <c r="Z212" i="5" s="1"/>
  <c r="AL209" i="5"/>
  <c r="AK209" i="5" s="1"/>
  <c r="F154" i="5"/>
  <c r="C155" i="5" s="1"/>
  <c r="B155" i="5"/>
  <c r="M222" i="5"/>
  <c r="N222" i="5"/>
  <c r="AM497" i="5" l="1"/>
  <c r="AJ498" i="5"/>
  <c r="AA499" i="5"/>
  <c r="Z499" i="5" s="1"/>
  <c r="P509" i="5"/>
  <c r="O509" i="5" s="1"/>
  <c r="CJ140" i="5"/>
  <c r="CI140" i="5" s="1"/>
  <c r="CK140" i="5" s="1"/>
  <c r="CC136" i="5"/>
  <c r="P222" i="5"/>
  <c r="O222" i="5" s="1"/>
  <c r="AB212" i="5"/>
  <c r="Y213" i="5" s="1"/>
  <c r="X213" i="5"/>
  <c r="AM209" i="5"/>
  <c r="AJ210" i="5" s="1"/>
  <c r="AI210" i="5"/>
  <c r="E155" i="5"/>
  <c r="D155" i="5" s="1"/>
  <c r="Q509" i="5" l="1"/>
  <c r="N510" i="5" s="1"/>
  <c r="AB499" i="5"/>
  <c r="Y500" i="5" s="1"/>
  <c r="AL498" i="5"/>
  <c r="AK498" i="5" s="1"/>
  <c r="CG141" i="5"/>
  <c r="CH141" i="5" s="1"/>
  <c r="BW136" i="5"/>
  <c r="BV136" i="5" s="1"/>
  <c r="BX136" i="5" s="1"/>
  <c r="AA213" i="5"/>
  <c r="Z213" i="5" s="1"/>
  <c r="AB213" i="5" s="1"/>
  <c r="AL210" i="5"/>
  <c r="AK210" i="5" s="1"/>
  <c r="F155" i="5"/>
  <c r="C156" i="5" s="1"/>
  <c r="B156" i="5"/>
  <c r="Q222" i="5"/>
  <c r="M223" i="5"/>
  <c r="N223" i="5"/>
  <c r="AM498" i="5" l="1"/>
  <c r="AJ499" i="5"/>
  <c r="AA500" i="5"/>
  <c r="Z500" i="5"/>
  <c r="AB500" i="5" s="1"/>
  <c r="P510" i="5"/>
  <c r="O510" i="5" s="1"/>
  <c r="CP141" i="5"/>
  <c r="BT137" i="5"/>
  <c r="BU137" i="5" s="1"/>
  <c r="P223" i="5"/>
  <c r="O223" i="5" s="1"/>
  <c r="Q223" i="5" s="1"/>
  <c r="Y214" i="5"/>
  <c r="X214" i="5"/>
  <c r="AM210" i="5"/>
  <c r="AJ211" i="5" s="1"/>
  <c r="AI211" i="5"/>
  <c r="E156" i="5"/>
  <c r="D156" i="5" s="1"/>
  <c r="Q510" i="5" l="1"/>
  <c r="N511" i="5"/>
  <c r="Y501" i="5"/>
  <c r="AL499" i="5"/>
  <c r="AK499" i="5" s="1"/>
  <c r="CJ141" i="5"/>
  <c r="CI141" i="5" s="1"/>
  <c r="CC137" i="5"/>
  <c r="AA214" i="5"/>
  <c r="Z214" i="5" s="1"/>
  <c r="AL211" i="5"/>
  <c r="AK211" i="5" s="1"/>
  <c r="F156" i="5"/>
  <c r="C157" i="5" s="1"/>
  <c r="B157" i="5"/>
  <c r="N224" i="5"/>
  <c r="M224" i="5"/>
  <c r="AM499" i="5" l="1"/>
  <c r="AJ500" i="5" s="1"/>
  <c r="AA501" i="5"/>
  <c r="Z501" i="5"/>
  <c r="AB501" i="5" s="1"/>
  <c r="P511" i="5"/>
  <c r="O511" i="5" s="1"/>
  <c r="CK141" i="5"/>
  <c r="CG142" i="5"/>
  <c r="CH142" i="5" s="1"/>
  <c r="BW137" i="5"/>
  <c r="BV137" i="5" s="1"/>
  <c r="BX137" i="5" s="1"/>
  <c r="P224" i="5"/>
  <c r="O224" i="5" s="1"/>
  <c r="Q224" i="5" s="1"/>
  <c r="AB214" i="5"/>
  <c r="Y215" i="5" s="1"/>
  <c r="X215" i="5"/>
  <c r="AM211" i="5"/>
  <c r="AJ212" i="5" s="1"/>
  <c r="AI212" i="5"/>
  <c r="E157" i="5"/>
  <c r="D157" i="5" s="1"/>
  <c r="AL500" i="5" l="1"/>
  <c r="AK500" i="5" s="1"/>
  <c r="Q511" i="5"/>
  <c r="N512" i="5"/>
  <c r="Y502" i="5"/>
  <c r="CP142" i="5"/>
  <c r="BT138" i="5"/>
  <c r="BU138" i="5" s="1"/>
  <c r="AA215" i="5"/>
  <c r="Z215" i="5" s="1"/>
  <c r="AB215" i="5" s="1"/>
  <c r="Y216" i="5" s="1"/>
  <c r="AL212" i="5"/>
  <c r="AK212" i="5" s="1"/>
  <c r="F157" i="5"/>
  <c r="C158" i="5" s="1"/>
  <c r="B158" i="5"/>
  <c r="M225" i="5"/>
  <c r="N225" i="5"/>
  <c r="AM500" i="5" l="1"/>
  <c r="AJ501" i="5" s="1"/>
  <c r="AA502" i="5"/>
  <c r="Z502" i="5" s="1"/>
  <c r="P512" i="5"/>
  <c r="O512" i="5" s="1"/>
  <c r="CJ142" i="5"/>
  <c r="CI142" i="5" s="1"/>
  <c r="CK142" i="5" s="1"/>
  <c r="CC138" i="5"/>
  <c r="P225" i="5"/>
  <c r="O225" i="5" s="1"/>
  <c r="X216" i="5"/>
  <c r="AA216" i="5"/>
  <c r="Z216" i="5" s="1"/>
  <c r="AM212" i="5"/>
  <c r="AJ213" i="5" s="1"/>
  <c r="AI213" i="5"/>
  <c r="E158" i="5"/>
  <c r="AB502" i="5" l="1"/>
  <c r="Y503" i="5"/>
  <c r="Q512" i="5"/>
  <c r="N513" i="5"/>
  <c r="AL501" i="5"/>
  <c r="AK501" i="5" s="1"/>
  <c r="CG143" i="5"/>
  <c r="CH143" i="5" s="1"/>
  <c r="BW138" i="5"/>
  <c r="BV138" i="5" s="1"/>
  <c r="BX138" i="5" s="1"/>
  <c r="Q225" i="5"/>
  <c r="N226" i="5" s="1"/>
  <c r="P226" i="5" s="1"/>
  <c r="O226" i="5" s="1"/>
  <c r="M226" i="5"/>
  <c r="AB216" i="5"/>
  <c r="Y217" i="5" s="1"/>
  <c r="X217" i="5"/>
  <c r="AL213" i="5"/>
  <c r="AK213" i="5" s="1"/>
  <c r="D158" i="5"/>
  <c r="AM501" i="5" l="1"/>
  <c r="AJ502" i="5"/>
  <c r="P513" i="5"/>
  <c r="O513" i="5"/>
  <c r="Q513" i="5" s="1"/>
  <c r="N514" i="5"/>
  <c r="AA503" i="5"/>
  <c r="Z503" i="5" s="1"/>
  <c r="CP143" i="5"/>
  <c r="BT139" i="5"/>
  <c r="BU139" i="5" s="1"/>
  <c r="M227" i="5"/>
  <c r="AA217" i="5"/>
  <c r="Z217" i="5" s="1"/>
  <c r="AM213" i="5"/>
  <c r="AJ214" i="5" s="1"/>
  <c r="AI214" i="5"/>
  <c r="B159" i="5"/>
  <c r="F158" i="5"/>
  <c r="C159" i="5" s="1"/>
  <c r="Q226" i="5"/>
  <c r="N227" i="5" s="1"/>
  <c r="AB503" i="5" l="1"/>
  <c r="Y504" i="5"/>
  <c r="AL502" i="5"/>
  <c r="AK502" i="5" s="1"/>
  <c r="P514" i="5"/>
  <c r="O514" i="5"/>
  <c r="Q514" i="5" s="1"/>
  <c r="CJ143" i="5"/>
  <c r="CI143" i="5" s="1"/>
  <c r="CC139" i="5"/>
  <c r="P227" i="5"/>
  <c r="O227" i="5" s="1"/>
  <c r="Q227" i="5" s="1"/>
  <c r="AB217" i="5"/>
  <c r="Y218" i="5" s="1"/>
  <c r="X218" i="5"/>
  <c r="AL214" i="5"/>
  <c r="AK214" i="5" s="1"/>
  <c r="E159" i="5"/>
  <c r="AM502" i="5" l="1"/>
  <c r="AJ503" i="5" s="1"/>
  <c r="N515" i="5"/>
  <c r="Z504" i="5"/>
  <c r="AB504" i="5" s="1"/>
  <c r="AA504" i="5"/>
  <c r="CK143" i="5"/>
  <c r="CG144" i="5"/>
  <c r="CH144" i="5" s="1"/>
  <c r="BW139" i="5"/>
  <c r="BV139" i="5" s="1"/>
  <c r="BX139" i="5" s="1"/>
  <c r="AA218" i="5"/>
  <c r="Z218" i="5" s="1"/>
  <c r="AB218" i="5" s="1"/>
  <c r="AM214" i="5"/>
  <c r="AJ215" i="5" s="1"/>
  <c r="AI215" i="5"/>
  <c r="D159" i="5"/>
  <c r="M228" i="5"/>
  <c r="N228" i="5"/>
  <c r="AL503" i="5" l="1"/>
  <c r="AK503" i="5" s="1"/>
  <c r="P515" i="5"/>
  <c r="O515" i="5" s="1"/>
  <c r="Y505" i="5"/>
  <c r="CP144" i="5"/>
  <c r="BT140" i="5"/>
  <c r="BU140" i="5" s="1"/>
  <c r="P228" i="5"/>
  <c r="O228" i="5" s="1"/>
  <c r="M229" i="5" s="1"/>
  <c r="Y219" i="5"/>
  <c r="X219" i="5"/>
  <c r="AL215" i="5"/>
  <c r="AK215" i="5" s="1"/>
  <c r="B160" i="5"/>
  <c r="F159" i="5"/>
  <c r="C160" i="5" s="1"/>
  <c r="AM503" i="5" l="1"/>
  <c r="AJ504" i="5" s="1"/>
  <c r="Q515" i="5"/>
  <c r="N516" i="5" s="1"/>
  <c r="AA505" i="5"/>
  <c r="Z505" i="5" s="1"/>
  <c r="CJ144" i="5"/>
  <c r="CI144" i="5" s="1"/>
  <c r="CK144" i="5" s="1"/>
  <c r="CC140" i="5"/>
  <c r="AA219" i="5"/>
  <c r="Z219" i="5" s="1"/>
  <c r="AM215" i="5"/>
  <c r="AJ216" i="5" s="1"/>
  <c r="AI216" i="5"/>
  <c r="E160" i="5"/>
  <c r="D160" i="5" s="1"/>
  <c r="Q228" i="5"/>
  <c r="N229" i="5" s="1"/>
  <c r="AL504" i="5" l="1"/>
  <c r="AK504" i="5" s="1"/>
  <c r="AB505" i="5"/>
  <c r="Y506" i="5"/>
  <c r="P516" i="5"/>
  <c r="O516" i="5" s="1"/>
  <c r="CG145" i="5"/>
  <c r="CH145" i="5" s="1"/>
  <c r="BW140" i="5"/>
  <c r="BV140" i="5" s="1"/>
  <c r="BX140" i="5" s="1"/>
  <c r="P229" i="5"/>
  <c r="O229" i="5" s="1"/>
  <c r="Q229" i="5" s="1"/>
  <c r="AB219" i="5"/>
  <c r="Y220" i="5" s="1"/>
  <c r="X220" i="5"/>
  <c r="AL216" i="5"/>
  <c r="AK216" i="5" s="1"/>
  <c r="F160" i="5"/>
  <c r="C161" i="5" s="1"/>
  <c r="B161" i="5"/>
  <c r="Q516" i="5" l="1"/>
  <c r="N517" i="5"/>
  <c r="AM504" i="5"/>
  <c r="AJ505" i="5"/>
  <c r="AA506" i="5"/>
  <c r="Z506" i="5" s="1"/>
  <c r="CP145" i="5"/>
  <c r="BT141" i="5"/>
  <c r="BU141" i="5" s="1"/>
  <c r="AA220" i="5"/>
  <c r="Z220" i="5" s="1"/>
  <c r="AM216" i="5"/>
  <c r="AI217" i="5"/>
  <c r="AJ217" i="5"/>
  <c r="E161" i="5"/>
  <c r="D161" i="5" s="1"/>
  <c r="M230" i="5"/>
  <c r="N230" i="5"/>
  <c r="AB506" i="5" l="1"/>
  <c r="Y507" i="5"/>
  <c r="AL505" i="5"/>
  <c r="AK505" i="5"/>
  <c r="AM505" i="5" s="1"/>
  <c r="P517" i="5"/>
  <c r="O517" i="5" s="1"/>
  <c r="CJ145" i="5"/>
  <c r="CI145" i="5" s="1"/>
  <c r="CC141" i="5"/>
  <c r="P230" i="5"/>
  <c r="O230" i="5" s="1"/>
  <c r="Q230" i="5" s="1"/>
  <c r="AB220" i="5"/>
  <c r="Y221" i="5" s="1"/>
  <c r="X221" i="5"/>
  <c r="AL217" i="5"/>
  <c r="AK217" i="5" s="1"/>
  <c r="F161" i="5"/>
  <c r="C162" i="5" s="1"/>
  <c r="B162" i="5"/>
  <c r="Q517" i="5" l="1"/>
  <c r="N518" i="5"/>
  <c r="AJ506" i="5"/>
  <c r="AA507" i="5"/>
  <c r="Z507" i="5"/>
  <c r="AB507" i="5" s="1"/>
  <c r="CK145" i="5"/>
  <c r="CG146" i="5"/>
  <c r="CH146" i="5" s="1"/>
  <c r="BW141" i="5"/>
  <c r="BV141" i="5" s="1"/>
  <c r="BX141" i="5" s="1"/>
  <c r="AA221" i="5"/>
  <c r="Z221" i="5" s="1"/>
  <c r="AB221" i="5" s="1"/>
  <c r="AM217" i="5"/>
  <c r="AJ218" i="5" s="1"/>
  <c r="AI218" i="5"/>
  <c r="E162" i="5"/>
  <c r="D162" i="5" s="1"/>
  <c r="M231" i="5"/>
  <c r="N231" i="5"/>
  <c r="Y508" i="5" l="1"/>
  <c r="AL506" i="5"/>
  <c r="AK506" i="5"/>
  <c r="AM506" i="5" s="1"/>
  <c r="P518" i="5"/>
  <c r="O518" i="5" s="1"/>
  <c r="CP146" i="5"/>
  <c r="BT142" i="5"/>
  <c r="BU142" i="5" s="1"/>
  <c r="P231" i="5"/>
  <c r="O231" i="5" s="1"/>
  <c r="X222" i="5"/>
  <c r="Y222" i="5"/>
  <c r="AL218" i="5"/>
  <c r="AK218" i="5" s="1"/>
  <c r="F162" i="5"/>
  <c r="C163" i="5" s="1"/>
  <c r="B163" i="5"/>
  <c r="Q518" i="5" l="1"/>
  <c r="N519" i="5"/>
  <c r="AJ507" i="5"/>
  <c r="AA508" i="5"/>
  <c r="Z508" i="5" s="1"/>
  <c r="CJ146" i="5"/>
  <c r="CC142" i="5"/>
  <c r="Q231" i="5"/>
  <c r="N232" i="5" s="1"/>
  <c r="P232" i="5" s="1"/>
  <c r="O232" i="5" s="1"/>
  <c r="Q232" i="5" s="1"/>
  <c r="AA222" i="5"/>
  <c r="Z222" i="5" s="1"/>
  <c r="AM218" i="5"/>
  <c r="AI219" i="5"/>
  <c r="AJ219" i="5"/>
  <c r="E163" i="5"/>
  <c r="M232" i="5"/>
  <c r="AB508" i="5" l="1"/>
  <c r="Y509" i="5" s="1"/>
  <c r="AL507" i="5"/>
  <c r="AK507" i="5" s="1"/>
  <c r="O519" i="5"/>
  <c r="Q519" i="5" s="1"/>
  <c r="P519" i="5"/>
  <c r="CI146" i="5"/>
  <c r="CK146" i="5" s="1"/>
  <c r="BW142" i="5"/>
  <c r="BV142" i="5" s="1"/>
  <c r="BX142" i="5" s="1"/>
  <c r="AB222" i="5"/>
  <c r="Y223" i="5" s="1"/>
  <c r="X223" i="5"/>
  <c r="AL219" i="5"/>
  <c r="AK219" i="5" s="1"/>
  <c r="D163" i="5"/>
  <c r="M233" i="5"/>
  <c r="N233" i="5"/>
  <c r="AM507" i="5" l="1"/>
  <c r="AJ508" i="5"/>
  <c r="AA509" i="5"/>
  <c r="Z509" i="5" s="1"/>
  <c r="N520" i="5"/>
  <c r="CG147" i="5"/>
  <c r="CP147" i="5" s="1"/>
  <c r="BT143" i="5"/>
  <c r="BU143" i="5" s="1"/>
  <c r="P233" i="5"/>
  <c r="O233" i="5" s="1"/>
  <c r="AA223" i="5"/>
  <c r="Z223" i="5" s="1"/>
  <c r="AM219" i="5"/>
  <c r="AJ220" i="5" s="1"/>
  <c r="AI220" i="5"/>
  <c r="B164" i="5"/>
  <c r="F163" i="5"/>
  <c r="C164" i="5" s="1"/>
  <c r="AB509" i="5" l="1"/>
  <c r="Y510" i="5"/>
  <c r="AL508" i="5"/>
  <c r="AK508" i="5"/>
  <c r="AM508" i="5" s="1"/>
  <c r="P520" i="5"/>
  <c r="O520" i="5" s="1"/>
  <c r="CH147" i="5"/>
  <c r="CC143" i="5"/>
  <c r="Q233" i="5"/>
  <c r="N234" i="5" s="1"/>
  <c r="P234" i="5" s="1"/>
  <c r="O234" i="5" s="1"/>
  <c r="Q234" i="5" s="1"/>
  <c r="M234" i="5"/>
  <c r="AB223" i="5"/>
  <c r="Y224" i="5" s="1"/>
  <c r="X224" i="5"/>
  <c r="AL220" i="5"/>
  <c r="AK220" i="5" s="1"/>
  <c r="S14" i="29"/>
  <c r="E164" i="5"/>
  <c r="D164" i="5" s="1"/>
  <c r="Q520" i="5" l="1"/>
  <c r="N521" i="5"/>
  <c r="AJ509" i="5"/>
  <c r="AA510" i="5"/>
  <c r="Z510" i="5"/>
  <c r="AB510" i="5" s="1"/>
  <c r="CJ147" i="5"/>
  <c r="CI147" i="5" s="1"/>
  <c r="BW143" i="5"/>
  <c r="BV143" i="5" s="1"/>
  <c r="BX143" i="5" s="1"/>
  <c r="N235" i="5"/>
  <c r="P235" i="5" s="1"/>
  <c r="O235" i="5" s="1"/>
  <c r="Q235" i="5" s="1"/>
  <c r="AA224" i="5"/>
  <c r="Z224" i="5" s="1"/>
  <c r="AM220" i="5"/>
  <c r="AJ221" i="5" s="1"/>
  <c r="AI221" i="5"/>
  <c r="F164" i="5"/>
  <c r="C165" i="5" s="1"/>
  <c r="B165" i="5"/>
  <c r="M235" i="5"/>
  <c r="Y511" i="5" l="1"/>
  <c r="P521" i="5"/>
  <c r="O521" i="5" s="1"/>
  <c r="AL509" i="5"/>
  <c r="AK509" i="5" s="1"/>
  <c r="CK147" i="5"/>
  <c r="CG148" i="5"/>
  <c r="CH148" i="5" s="1"/>
  <c r="CJ148" i="5" s="1"/>
  <c r="CI148" i="5" s="1"/>
  <c r="CK148" i="5" s="1"/>
  <c r="BT144" i="5"/>
  <c r="BU144" i="5" s="1"/>
  <c r="AB224" i="5"/>
  <c r="X225" i="5"/>
  <c r="Y225" i="5"/>
  <c r="AL221" i="5"/>
  <c r="AK221" i="5" s="1"/>
  <c r="E165" i="5"/>
  <c r="D165" i="5" s="1"/>
  <c r="N236" i="5"/>
  <c r="M236" i="5"/>
  <c r="AM509" i="5" l="1"/>
  <c r="AJ510" i="5"/>
  <c r="Q521" i="5"/>
  <c r="N522" i="5" s="1"/>
  <c r="Z511" i="5"/>
  <c r="AB511" i="5" s="1"/>
  <c r="AA511" i="5"/>
  <c r="CP148" i="5"/>
  <c r="CG149" i="5"/>
  <c r="CH149" i="5" s="1"/>
  <c r="CC144" i="5"/>
  <c r="P236" i="5"/>
  <c r="O236" i="5" s="1"/>
  <c r="M237" i="5" s="1"/>
  <c r="AA225" i="5"/>
  <c r="Z225" i="5" s="1"/>
  <c r="AM221" i="5"/>
  <c r="AJ222" i="5" s="1"/>
  <c r="AI222" i="5"/>
  <c r="F165" i="5"/>
  <c r="C166" i="5" s="1"/>
  <c r="B166" i="5"/>
  <c r="O522" i="5" l="1"/>
  <c r="Q522" i="5" s="1"/>
  <c r="P522" i="5"/>
  <c r="AL510" i="5"/>
  <c r="AK510" i="5" s="1"/>
  <c r="Y512" i="5"/>
  <c r="CP149" i="5"/>
  <c r="BW144" i="5"/>
  <c r="BV144" i="5" s="1"/>
  <c r="BX144" i="5" s="1"/>
  <c r="AB225" i="5"/>
  <c r="Y226" i="5" s="1"/>
  <c r="X226" i="5"/>
  <c r="AL222" i="5"/>
  <c r="AK222" i="5" s="1"/>
  <c r="E166" i="5"/>
  <c r="D166" i="5" s="1"/>
  <c r="Q236" i="5"/>
  <c r="N237" i="5" s="1"/>
  <c r="AM510" i="5" l="1"/>
  <c r="AJ511" i="5" s="1"/>
  <c r="N523" i="5"/>
  <c r="AA512" i="5"/>
  <c r="Z512" i="5"/>
  <c r="AB512" i="5" s="1"/>
  <c r="CJ149" i="5"/>
  <c r="CI149" i="5" s="1"/>
  <c r="CK149" i="5" s="1"/>
  <c r="BT145" i="5"/>
  <c r="BU145" i="5" s="1"/>
  <c r="P237" i="5"/>
  <c r="O237" i="5" s="1"/>
  <c r="AA226" i="5"/>
  <c r="Z226" i="5" s="1"/>
  <c r="AM222" i="5"/>
  <c r="AI223" i="5"/>
  <c r="AJ223" i="5"/>
  <c r="F166" i="5"/>
  <c r="C167" i="5" s="1"/>
  <c r="B167" i="5"/>
  <c r="AL511" i="5" l="1"/>
  <c r="AK511" i="5" s="1"/>
  <c r="Y513" i="5"/>
  <c r="O523" i="5"/>
  <c r="Q523" i="5" s="1"/>
  <c r="P523" i="5"/>
  <c r="CG150" i="5"/>
  <c r="CH150" i="5" s="1"/>
  <c r="CC145" i="5"/>
  <c r="Q237" i="5"/>
  <c r="N238" i="5" s="1"/>
  <c r="P238" i="5" s="1"/>
  <c r="O238" i="5" s="1"/>
  <c r="AB226" i="5"/>
  <c r="Y227" i="5" s="1"/>
  <c r="X227" i="5"/>
  <c r="AL223" i="5"/>
  <c r="AK223" i="5" s="1"/>
  <c r="E167" i="5"/>
  <c r="M238" i="5"/>
  <c r="AM511" i="5" l="1"/>
  <c r="AJ512" i="5" s="1"/>
  <c r="N524" i="5"/>
  <c r="AA513" i="5"/>
  <c r="Z513" i="5" s="1"/>
  <c r="CP150" i="5"/>
  <c r="BW145" i="5"/>
  <c r="BV145" i="5" s="1"/>
  <c r="BX145" i="5" s="1"/>
  <c r="M239" i="5"/>
  <c r="AA227" i="5"/>
  <c r="Z227" i="5" s="1"/>
  <c r="AM223" i="5"/>
  <c r="AJ224" i="5" s="1"/>
  <c r="AI224" i="5"/>
  <c r="D167" i="5"/>
  <c r="Q238" i="5"/>
  <c r="N239" i="5" s="1"/>
  <c r="AB513" i="5" l="1"/>
  <c r="Y514" i="5"/>
  <c r="AL512" i="5"/>
  <c r="AK512" i="5" s="1"/>
  <c r="N525" i="5"/>
  <c r="P524" i="5"/>
  <c r="O524" i="5"/>
  <c r="Q524" i="5" s="1"/>
  <c r="CJ150" i="5"/>
  <c r="CI150" i="5" s="1"/>
  <c r="BT146" i="5"/>
  <c r="BU146" i="5" s="1"/>
  <c r="P239" i="5"/>
  <c r="O239" i="5" s="1"/>
  <c r="Q239" i="5" s="1"/>
  <c r="AB227" i="5"/>
  <c r="X228" i="5"/>
  <c r="Y228" i="5"/>
  <c r="AL224" i="5"/>
  <c r="AK224" i="5" s="1"/>
  <c r="B168" i="5"/>
  <c r="F167" i="5"/>
  <c r="C168" i="5" s="1"/>
  <c r="AM512" i="5" l="1"/>
  <c r="AJ513" i="5"/>
  <c r="P525" i="5"/>
  <c r="O525" i="5" s="1"/>
  <c r="AA514" i="5"/>
  <c r="Z514" i="5" s="1"/>
  <c r="CK150" i="5"/>
  <c r="CG151" i="5"/>
  <c r="CH151" i="5" s="1"/>
  <c r="CC146" i="5"/>
  <c r="AA228" i="5"/>
  <c r="Z228" i="5" s="1"/>
  <c r="AM224" i="5"/>
  <c r="AI225" i="5"/>
  <c r="AJ225" i="5"/>
  <c r="E168" i="5"/>
  <c r="D168" i="5" s="1"/>
  <c r="M240" i="5"/>
  <c r="N240" i="5"/>
  <c r="AB514" i="5" l="1"/>
  <c r="Y515" i="5"/>
  <c r="Q525" i="5"/>
  <c r="N526" i="5"/>
  <c r="AK513" i="5"/>
  <c r="AM513" i="5" s="1"/>
  <c r="AL513" i="5"/>
  <c r="CP151" i="5"/>
  <c r="BW146" i="5"/>
  <c r="BV146" i="5" s="1"/>
  <c r="BX146" i="5" s="1"/>
  <c r="P240" i="5"/>
  <c r="O240" i="5" s="1"/>
  <c r="Q240" i="5" s="1"/>
  <c r="AB228" i="5"/>
  <c r="Y229" i="5" s="1"/>
  <c r="X229" i="5"/>
  <c r="AL225" i="5"/>
  <c r="AK225" i="5" s="1"/>
  <c r="F168" i="5"/>
  <c r="C169" i="5" s="1"/>
  <c r="B169" i="5"/>
  <c r="P526" i="5" l="1"/>
  <c r="O526" i="5" s="1"/>
  <c r="AJ514" i="5"/>
  <c r="AA515" i="5"/>
  <c r="Z515" i="5" s="1"/>
  <c r="CJ151" i="5"/>
  <c r="CI151" i="5" s="1"/>
  <c r="CK151" i="5" s="1"/>
  <c r="BT147" i="5"/>
  <c r="BU147" i="5" s="1"/>
  <c r="AA229" i="5"/>
  <c r="Z229" i="5" s="1"/>
  <c r="AM225" i="5"/>
  <c r="AJ226" i="5" s="1"/>
  <c r="AI226" i="5"/>
  <c r="E169" i="5"/>
  <c r="D169" i="5" s="1"/>
  <c r="M241" i="5"/>
  <c r="N241" i="5"/>
  <c r="AB515" i="5" l="1"/>
  <c r="Y516" i="5"/>
  <c r="Q526" i="5"/>
  <c r="N527" i="5" s="1"/>
  <c r="AK514" i="5"/>
  <c r="AM514" i="5" s="1"/>
  <c r="AL514" i="5"/>
  <c r="CG152" i="5"/>
  <c r="CH152" i="5" s="1"/>
  <c r="CC147" i="5"/>
  <c r="P241" i="5"/>
  <c r="O241" i="5" s="1"/>
  <c r="AB229" i="5"/>
  <c r="Y230" i="5" s="1"/>
  <c r="X230" i="5"/>
  <c r="AL226" i="5"/>
  <c r="AK226" i="5" s="1"/>
  <c r="F169" i="5"/>
  <c r="C170" i="5" s="1"/>
  <c r="B170" i="5"/>
  <c r="P527" i="5" l="1"/>
  <c r="O527" i="5" s="1"/>
  <c r="AJ515" i="5"/>
  <c r="AA516" i="5"/>
  <c r="Z516" i="5" s="1"/>
  <c r="CP152" i="5"/>
  <c r="BW147" i="5"/>
  <c r="BV147" i="5" s="1"/>
  <c r="BX147" i="5" s="1"/>
  <c r="Q241" i="5"/>
  <c r="N242" i="5" s="1"/>
  <c r="P242" i="5" s="1"/>
  <c r="O242" i="5" s="1"/>
  <c r="Q242" i="5" s="1"/>
  <c r="M242" i="5"/>
  <c r="AA230" i="5"/>
  <c r="Z230" i="5" s="1"/>
  <c r="AM226" i="5"/>
  <c r="AJ227" i="5" s="1"/>
  <c r="AI227" i="5"/>
  <c r="E170" i="5"/>
  <c r="D170" i="5" s="1"/>
  <c r="AB516" i="5" l="1"/>
  <c r="Y517" i="5"/>
  <c r="Q527" i="5"/>
  <c r="N528" i="5"/>
  <c r="AL515" i="5"/>
  <c r="AK515" i="5"/>
  <c r="AM515" i="5" s="1"/>
  <c r="AJ516" i="5"/>
  <c r="CJ152" i="5"/>
  <c r="CI152" i="5" s="1"/>
  <c r="BT148" i="5"/>
  <c r="BU148" i="5" s="1"/>
  <c r="AB230" i="5"/>
  <c r="Y231" i="5" s="1"/>
  <c r="X231" i="5"/>
  <c r="AL227" i="5"/>
  <c r="AK227" i="5" s="1"/>
  <c r="F170" i="5"/>
  <c r="C171" i="5" s="1"/>
  <c r="B171" i="5"/>
  <c r="M243" i="5"/>
  <c r="N243" i="5"/>
  <c r="P528" i="5" l="1"/>
  <c r="O528" i="5" s="1"/>
  <c r="AL516" i="5"/>
  <c r="AK516" i="5"/>
  <c r="AM516" i="5" s="1"/>
  <c r="AA517" i="5"/>
  <c r="Z517" i="5" s="1"/>
  <c r="CK152" i="5"/>
  <c r="CG153" i="5"/>
  <c r="CH153" i="5" s="1"/>
  <c r="CC148" i="5"/>
  <c r="P243" i="5"/>
  <c r="O243" i="5" s="1"/>
  <c r="Q243" i="5" s="1"/>
  <c r="AA231" i="5"/>
  <c r="Z231" i="5" s="1"/>
  <c r="AM227" i="5"/>
  <c r="AJ228" i="5" s="1"/>
  <c r="AI228" i="5"/>
  <c r="E171" i="5"/>
  <c r="AB517" i="5" l="1"/>
  <c r="Y518" i="5"/>
  <c r="Q528" i="5"/>
  <c r="N529" i="5" s="1"/>
  <c r="AJ517" i="5"/>
  <c r="CP153" i="5"/>
  <c r="BW148" i="5"/>
  <c r="BV148" i="5" s="1"/>
  <c r="BX148" i="5" s="1"/>
  <c r="AB231" i="5"/>
  <c r="Y232" i="5" s="1"/>
  <c r="X232" i="5"/>
  <c r="AL228" i="5"/>
  <c r="AK228" i="5" s="1"/>
  <c r="D171" i="5"/>
  <c r="M244" i="5"/>
  <c r="N244" i="5"/>
  <c r="P529" i="5" l="1"/>
  <c r="O529" i="5"/>
  <c r="Q529" i="5" s="1"/>
  <c r="AL517" i="5"/>
  <c r="AK517" i="5" s="1"/>
  <c r="AA518" i="5"/>
  <c r="Z518" i="5" s="1"/>
  <c r="CJ153" i="5"/>
  <c r="CI153" i="5" s="1"/>
  <c r="CK153" i="5" s="1"/>
  <c r="BT149" i="5"/>
  <c r="BU149" i="5" s="1"/>
  <c r="P244" i="5"/>
  <c r="O244" i="5" s="1"/>
  <c r="AA232" i="5"/>
  <c r="Z232" i="5" s="1"/>
  <c r="AM228" i="5"/>
  <c r="AI229" i="5"/>
  <c r="AJ229" i="5"/>
  <c r="B172" i="5"/>
  <c r="F171" i="5"/>
  <c r="C172" i="5" s="1"/>
  <c r="AB518" i="5" l="1"/>
  <c r="Y519" i="5"/>
  <c r="AM517" i="5"/>
  <c r="AJ518" i="5"/>
  <c r="N530" i="5"/>
  <c r="CG154" i="5"/>
  <c r="CH154" i="5" s="1"/>
  <c r="CC149" i="5"/>
  <c r="Q244" i="5"/>
  <c r="N245" i="5" s="1"/>
  <c r="P245" i="5" s="1"/>
  <c r="O245" i="5" s="1"/>
  <c r="M245" i="5"/>
  <c r="AB232" i="5"/>
  <c r="X233" i="5"/>
  <c r="Y233" i="5"/>
  <c r="AL229" i="5"/>
  <c r="AK229" i="5" s="1"/>
  <c r="E172" i="5"/>
  <c r="AL518" i="5" l="1"/>
  <c r="AK518" i="5"/>
  <c r="AM518" i="5" s="1"/>
  <c r="AJ519" i="5"/>
  <c r="P530" i="5"/>
  <c r="O530" i="5" s="1"/>
  <c r="AA519" i="5"/>
  <c r="Z519" i="5" s="1"/>
  <c r="CP154" i="5"/>
  <c r="BW149" i="5"/>
  <c r="BV149" i="5" s="1"/>
  <c r="BX149" i="5" s="1"/>
  <c r="Q245" i="5"/>
  <c r="N246" i="5" s="1"/>
  <c r="M246" i="5"/>
  <c r="AA233" i="5"/>
  <c r="Z233" i="5" s="1"/>
  <c r="AM229" i="5"/>
  <c r="AJ230" i="5" s="1"/>
  <c r="AI230" i="5"/>
  <c r="D172" i="5"/>
  <c r="AB519" i="5" l="1"/>
  <c r="Y520" i="5"/>
  <c r="Q530" i="5"/>
  <c r="N531" i="5" s="1"/>
  <c r="AL519" i="5"/>
  <c r="AK519" i="5"/>
  <c r="AM519" i="5" s="1"/>
  <c r="CJ154" i="5"/>
  <c r="CI154" i="5" s="1"/>
  <c r="BT150" i="5"/>
  <c r="BU150" i="5" s="1"/>
  <c r="P246" i="5"/>
  <c r="O246" i="5" s="1"/>
  <c r="AB233" i="5"/>
  <c r="Y234" i="5" s="1"/>
  <c r="X234" i="5"/>
  <c r="AL230" i="5"/>
  <c r="AK230" i="5" s="1"/>
  <c r="B173" i="5"/>
  <c r="F172" i="5"/>
  <c r="C173" i="5" s="1"/>
  <c r="P531" i="5" l="1"/>
  <c r="O531" i="5" s="1"/>
  <c r="AJ520" i="5"/>
  <c r="AA520" i="5"/>
  <c r="Z520" i="5" s="1"/>
  <c r="CK154" i="5"/>
  <c r="CG155" i="5"/>
  <c r="CH155" i="5" s="1"/>
  <c r="CC150" i="5"/>
  <c r="Q246" i="5"/>
  <c r="N247" i="5" s="1"/>
  <c r="P247" i="5" s="1"/>
  <c r="O247" i="5" s="1"/>
  <c r="Q247" i="5" s="1"/>
  <c r="N248" i="5" s="1"/>
  <c r="M247" i="5"/>
  <c r="AA234" i="5"/>
  <c r="Z234" i="5" s="1"/>
  <c r="AM230" i="5"/>
  <c r="AI231" i="5"/>
  <c r="AJ231" i="5"/>
  <c r="E173" i="5"/>
  <c r="Q531" i="5" l="1"/>
  <c r="N532" i="5" s="1"/>
  <c r="AB520" i="5"/>
  <c r="Y521" i="5" s="1"/>
  <c r="AL520" i="5"/>
  <c r="AK520" i="5" s="1"/>
  <c r="CP155" i="5"/>
  <c r="BW150" i="5"/>
  <c r="BV150" i="5" s="1"/>
  <c r="BX150" i="5" s="1"/>
  <c r="P248" i="5"/>
  <c r="O248" i="5" s="1"/>
  <c r="Q248" i="5" s="1"/>
  <c r="AB234" i="5"/>
  <c r="Y235" i="5" s="1"/>
  <c r="X235" i="5"/>
  <c r="AL231" i="5"/>
  <c r="AK231" i="5" s="1"/>
  <c r="D173" i="5"/>
  <c r="M248" i="5"/>
  <c r="AM520" i="5" l="1"/>
  <c r="AJ521" i="5"/>
  <c r="AA521" i="5"/>
  <c r="Z521" i="5" s="1"/>
  <c r="P532" i="5"/>
  <c r="O532" i="5" s="1"/>
  <c r="CJ155" i="5"/>
  <c r="CI155" i="5" s="1"/>
  <c r="CK155" i="5" s="1"/>
  <c r="BT151" i="5"/>
  <c r="BU151" i="5" s="1"/>
  <c r="AA235" i="5"/>
  <c r="Z235" i="5" s="1"/>
  <c r="AM231" i="5"/>
  <c r="AJ232" i="5" s="1"/>
  <c r="AI232" i="5"/>
  <c r="B174" i="5"/>
  <c r="F173" i="5"/>
  <c r="C174" i="5" s="1"/>
  <c r="M249" i="5"/>
  <c r="N249" i="5"/>
  <c r="Q532" i="5" l="1"/>
  <c r="N533" i="5" s="1"/>
  <c r="AB521" i="5"/>
  <c r="Y522" i="5" s="1"/>
  <c r="AL521" i="5"/>
  <c r="AK521" i="5"/>
  <c r="AM521" i="5" s="1"/>
  <c r="CG156" i="5"/>
  <c r="CH156" i="5" s="1"/>
  <c r="CC151" i="5"/>
  <c r="P249" i="5"/>
  <c r="O249" i="5" s="1"/>
  <c r="M250" i="5" s="1"/>
  <c r="AB235" i="5"/>
  <c r="Y236" i="5" s="1"/>
  <c r="X236" i="5"/>
  <c r="AL232" i="5"/>
  <c r="AK232" i="5" s="1"/>
  <c r="E174" i="5"/>
  <c r="D174" i="5" s="1"/>
  <c r="AA522" i="5" l="1"/>
  <c r="Z522" i="5" s="1"/>
  <c r="P533" i="5"/>
  <c r="O533" i="5" s="1"/>
  <c r="AJ522" i="5"/>
  <c r="CP156" i="5"/>
  <c r="BW151" i="5"/>
  <c r="BV151" i="5" s="1"/>
  <c r="BX151" i="5" s="1"/>
  <c r="AA236" i="5"/>
  <c r="Z236" i="5" s="1"/>
  <c r="AM232" i="5"/>
  <c r="AJ233" i="5" s="1"/>
  <c r="AI233" i="5"/>
  <c r="F174" i="5"/>
  <c r="C175" i="5" s="1"/>
  <c r="B175" i="5"/>
  <c r="Q249" i="5"/>
  <c r="N250" i="5" s="1"/>
  <c r="AB522" i="5" l="1"/>
  <c r="Y523" i="5"/>
  <c r="Q533" i="5"/>
  <c r="N534" i="5" s="1"/>
  <c r="AL522" i="5"/>
  <c r="AK522" i="5" s="1"/>
  <c r="CJ156" i="5"/>
  <c r="CI156" i="5" s="1"/>
  <c r="CK156" i="5" s="1"/>
  <c r="BT152" i="5"/>
  <c r="BU152" i="5" s="1"/>
  <c r="P250" i="5"/>
  <c r="O250" i="5" s="1"/>
  <c r="M251" i="5" s="1"/>
  <c r="AB236" i="5"/>
  <c r="Y237" i="5" s="1"/>
  <c r="X237" i="5"/>
  <c r="AL233" i="5"/>
  <c r="AK233" i="5" s="1"/>
  <c r="E175" i="5"/>
  <c r="D175" i="5" s="1"/>
  <c r="AM522" i="5" l="1"/>
  <c r="AJ523" i="5"/>
  <c r="P534" i="5"/>
  <c r="O534" i="5" s="1"/>
  <c r="AA523" i="5"/>
  <c r="Z523" i="5" s="1"/>
  <c r="CG157" i="5"/>
  <c r="CH157" i="5" s="1"/>
  <c r="CC152" i="5"/>
  <c r="AA237" i="5"/>
  <c r="Z237" i="5" s="1"/>
  <c r="AM233" i="5"/>
  <c r="AJ234" i="5" s="1"/>
  <c r="AI234" i="5"/>
  <c r="F175" i="5"/>
  <c r="C176" i="5" s="1"/>
  <c r="B176" i="5"/>
  <c r="Q250" i="5"/>
  <c r="N251" i="5" s="1"/>
  <c r="AB523" i="5" l="1"/>
  <c r="Y524" i="5" s="1"/>
  <c r="Q534" i="5"/>
  <c r="N535" i="5"/>
  <c r="AK523" i="5"/>
  <c r="AM523" i="5" s="1"/>
  <c r="AJ524" i="5"/>
  <c r="AL523" i="5"/>
  <c r="CP157" i="5"/>
  <c r="BW152" i="5"/>
  <c r="BV152" i="5" s="1"/>
  <c r="BX152" i="5" s="1"/>
  <c r="P251" i="5"/>
  <c r="O251" i="5" s="1"/>
  <c r="Q251" i="5" s="1"/>
  <c r="AB237" i="5"/>
  <c r="Y238" i="5" s="1"/>
  <c r="X238" i="5"/>
  <c r="AL234" i="5"/>
  <c r="AK234" i="5" s="1"/>
  <c r="S15" i="29"/>
  <c r="E176" i="5"/>
  <c r="D176" i="5" s="1"/>
  <c r="AA524" i="5" l="1"/>
  <c r="Z524" i="5" s="1"/>
  <c r="AL524" i="5"/>
  <c r="AK524" i="5"/>
  <c r="AM524" i="5" s="1"/>
  <c r="AJ525" i="5"/>
  <c r="P535" i="5"/>
  <c r="O535" i="5" s="1"/>
  <c r="CJ157" i="5"/>
  <c r="BT153" i="5"/>
  <c r="BU153" i="5" s="1"/>
  <c r="AA238" i="5"/>
  <c r="Z238" i="5" s="1"/>
  <c r="AM234" i="5"/>
  <c r="AJ235" i="5" s="1"/>
  <c r="AI235" i="5"/>
  <c r="F176" i="5"/>
  <c r="C177" i="5" s="1"/>
  <c r="B177" i="5"/>
  <c r="N252" i="5"/>
  <c r="M252" i="5"/>
  <c r="AB524" i="5" l="1"/>
  <c r="Y525" i="5"/>
  <c r="Q535" i="5"/>
  <c r="N536" i="5" s="1"/>
  <c r="AL525" i="5"/>
  <c r="AK525" i="5" s="1"/>
  <c r="CI157" i="5"/>
  <c r="CK157" i="5" s="1"/>
  <c r="CC153" i="5"/>
  <c r="P252" i="5"/>
  <c r="O252" i="5" s="1"/>
  <c r="Q252" i="5" s="1"/>
  <c r="AB238" i="5"/>
  <c r="Y239" i="5" s="1"/>
  <c r="X239" i="5"/>
  <c r="AL235" i="5"/>
  <c r="AK235" i="5" s="1"/>
  <c r="E177" i="5"/>
  <c r="D177" i="5" s="1"/>
  <c r="AM525" i="5" l="1"/>
  <c r="AJ526" i="5"/>
  <c r="P536" i="5"/>
  <c r="O536" i="5"/>
  <c r="Q536" i="5" s="1"/>
  <c r="AA525" i="5"/>
  <c r="Z525" i="5" s="1"/>
  <c r="CG158" i="5"/>
  <c r="CH158" i="5" s="1"/>
  <c r="BW153" i="5"/>
  <c r="BV153" i="5" s="1"/>
  <c r="BX153" i="5" s="1"/>
  <c r="AA239" i="5"/>
  <c r="Z239" i="5" s="1"/>
  <c r="AM235" i="5"/>
  <c r="AJ236" i="5" s="1"/>
  <c r="AI236" i="5"/>
  <c r="F177" i="5"/>
  <c r="C178" i="5" s="1"/>
  <c r="B178" i="5"/>
  <c r="M253" i="5"/>
  <c r="N253" i="5"/>
  <c r="AB525" i="5" l="1"/>
  <c r="Y526" i="5"/>
  <c r="N537" i="5"/>
  <c r="AL526" i="5"/>
  <c r="AK526" i="5" s="1"/>
  <c r="CP158" i="5"/>
  <c r="CJ158" i="5"/>
  <c r="BT154" i="5"/>
  <c r="BU154" i="5" s="1"/>
  <c r="P253" i="5"/>
  <c r="O253" i="5" s="1"/>
  <c r="AB239" i="5"/>
  <c r="Y240" i="5" s="1"/>
  <c r="X240" i="5"/>
  <c r="AL236" i="5"/>
  <c r="AK236" i="5" s="1"/>
  <c r="E178" i="5"/>
  <c r="D178" i="5" s="1"/>
  <c r="AM526" i="5" l="1"/>
  <c r="AJ527" i="5"/>
  <c r="P537" i="5"/>
  <c r="O537" i="5" s="1"/>
  <c r="Z526" i="5"/>
  <c r="AB526" i="5" s="1"/>
  <c r="AA526" i="5"/>
  <c r="CI158" i="5"/>
  <c r="CK158" i="5" s="1"/>
  <c r="CC154" i="5"/>
  <c r="Q253" i="5"/>
  <c r="N254" i="5" s="1"/>
  <c r="P254" i="5" s="1"/>
  <c r="O254" i="5" s="1"/>
  <c r="M254" i="5"/>
  <c r="AA240" i="5"/>
  <c r="Z240" i="5" s="1"/>
  <c r="AM236" i="5"/>
  <c r="AI237" i="5"/>
  <c r="AJ237" i="5"/>
  <c r="F178" i="5"/>
  <c r="C179" i="5" s="1"/>
  <c r="B179" i="5"/>
  <c r="Q537" i="5" l="1"/>
  <c r="N538" i="5"/>
  <c r="Y527" i="5"/>
  <c r="AL527" i="5"/>
  <c r="AK527" i="5"/>
  <c r="AM527" i="5" s="1"/>
  <c r="CG159" i="5"/>
  <c r="CH159" i="5" s="1"/>
  <c r="BW154" i="5"/>
  <c r="BV154" i="5" s="1"/>
  <c r="BX154" i="5" s="1"/>
  <c r="Q254" i="5"/>
  <c r="M255" i="5"/>
  <c r="AB240" i="5"/>
  <c r="Y241" i="5" s="1"/>
  <c r="X241" i="5"/>
  <c r="AL237" i="5"/>
  <c r="AK237" i="5" s="1"/>
  <c r="E179" i="5"/>
  <c r="D179" i="5" s="1"/>
  <c r="N255" i="5"/>
  <c r="AA527" i="5" l="1"/>
  <c r="Z527" i="5" s="1"/>
  <c r="P538" i="5"/>
  <c r="O538" i="5" s="1"/>
  <c r="AJ528" i="5"/>
  <c r="CP159" i="5"/>
  <c r="CJ159" i="5"/>
  <c r="CI159" i="5" s="1"/>
  <c r="CK159" i="5" s="1"/>
  <c r="BT155" i="5"/>
  <c r="BU155" i="5" s="1"/>
  <c r="P255" i="5"/>
  <c r="O255" i="5" s="1"/>
  <c r="Q255" i="5" s="1"/>
  <c r="AA241" i="5"/>
  <c r="Z241" i="5" s="1"/>
  <c r="AM237" i="5"/>
  <c r="AJ238" i="5" s="1"/>
  <c r="AI238" i="5"/>
  <c r="F179" i="5"/>
  <c r="C180" i="5" s="1"/>
  <c r="B180" i="5"/>
  <c r="Q538" i="5" l="1"/>
  <c r="N539" i="5"/>
  <c r="AB527" i="5"/>
  <c r="Y528" i="5"/>
  <c r="AL528" i="5"/>
  <c r="AK528" i="5" s="1"/>
  <c r="CG160" i="5"/>
  <c r="CH160" i="5" s="1"/>
  <c r="CC155" i="5"/>
  <c r="AB241" i="5"/>
  <c r="Y242" i="5" s="1"/>
  <c r="X242" i="5"/>
  <c r="AL238" i="5"/>
  <c r="AK238" i="5" s="1"/>
  <c r="E180" i="5"/>
  <c r="D180" i="5" s="1"/>
  <c r="M256" i="5"/>
  <c r="N256" i="5"/>
  <c r="AM528" i="5" l="1"/>
  <c r="AJ529" i="5"/>
  <c r="AA528" i="5"/>
  <c r="Z528" i="5" s="1"/>
  <c r="P539" i="5"/>
  <c r="O539" i="5" s="1"/>
  <c r="CP160" i="5"/>
  <c r="BW155" i="5"/>
  <c r="BV155" i="5" s="1"/>
  <c r="BX155" i="5" s="1"/>
  <c r="P256" i="5"/>
  <c r="O256" i="5" s="1"/>
  <c r="Q256" i="5" s="1"/>
  <c r="AA242" i="5"/>
  <c r="Z242" i="5" s="1"/>
  <c r="AM238" i="5"/>
  <c r="AJ239" i="5" s="1"/>
  <c r="AI239" i="5"/>
  <c r="F180" i="5"/>
  <c r="C181" i="5" s="1"/>
  <c r="B181" i="5"/>
  <c r="Q539" i="5" l="1"/>
  <c r="N540" i="5"/>
  <c r="AB528" i="5"/>
  <c r="Y529" i="5"/>
  <c r="AL529" i="5"/>
  <c r="AK529" i="5"/>
  <c r="AM529" i="5" s="1"/>
  <c r="CJ160" i="5"/>
  <c r="BT156" i="5"/>
  <c r="BU156" i="5" s="1"/>
  <c r="AB242" i="5"/>
  <c r="Y243" i="5" s="1"/>
  <c r="X243" i="5"/>
  <c r="AL239" i="5"/>
  <c r="AK239" i="5" s="1"/>
  <c r="E181" i="5"/>
  <c r="D181" i="5" s="1"/>
  <c r="M257" i="5"/>
  <c r="N257" i="5"/>
  <c r="AJ530" i="5" l="1"/>
  <c r="AA529" i="5"/>
  <c r="Z529" i="5"/>
  <c r="AB529" i="5" s="1"/>
  <c r="P540" i="5"/>
  <c r="O540" i="5" s="1"/>
  <c r="CI160" i="5"/>
  <c r="CK160" i="5" s="1"/>
  <c r="CC156" i="5"/>
  <c r="P257" i="5"/>
  <c r="O257" i="5" s="1"/>
  <c r="Q257" i="5" s="1"/>
  <c r="AA243" i="5"/>
  <c r="Z243" i="5" s="1"/>
  <c r="AM239" i="5"/>
  <c r="AJ240" i="5" s="1"/>
  <c r="AI240" i="5"/>
  <c r="F181" i="5"/>
  <c r="C182" i="5" s="1"/>
  <c r="B182" i="5"/>
  <c r="Q540" i="5" l="1"/>
  <c r="N541" i="5"/>
  <c r="AL530" i="5"/>
  <c r="AK530" i="5" s="1"/>
  <c r="Y530" i="5"/>
  <c r="CG161" i="5"/>
  <c r="CH161" i="5" s="1"/>
  <c r="BW156" i="5"/>
  <c r="BV156" i="5" s="1"/>
  <c r="BX156" i="5" s="1"/>
  <c r="AB243" i="5"/>
  <c r="X244" i="5"/>
  <c r="Y244" i="5"/>
  <c r="AL240" i="5"/>
  <c r="AK240" i="5" s="1"/>
  <c r="E182" i="5"/>
  <c r="D182" i="5" s="1"/>
  <c r="M258" i="5"/>
  <c r="N258" i="5"/>
  <c r="AM530" i="5" l="1"/>
  <c r="AJ531" i="5"/>
  <c r="P541" i="5"/>
  <c r="O541" i="5"/>
  <c r="Q541" i="5" s="1"/>
  <c r="AA530" i="5"/>
  <c r="Z530" i="5"/>
  <c r="AB530" i="5" s="1"/>
  <c r="CP161" i="5"/>
  <c r="CJ161" i="5"/>
  <c r="CI161" i="5" s="1"/>
  <c r="CK161" i="5" s="1"/>
  <c r="BT157" i="5"/>
  <c r="BU157" i="5" s="1"/>
  <c r="P258" i="5"/>
  <c r="O258" i="5" s="1"/>
  <c r="Q258" i="5" s="1"/>
  <c r="AA244" i="5"/>
  <c r="Z244" i="5" s="1"/>
  <c r="AM240" i="5"/>
  <c r="AJ241" i="5" s="1"/>
  <c r="AI241" i="5"/>
  <c r="F182" i="5"/>
  <c r="C183" i="5" s="1"/>
  <c r="B183" i="5"/>
  <c r="N542" i="5" l="1"/>
  <c r="Y531" i="5"/>
  <c r="AL531" i="5"/>
  <c r="AK531" i="5"/>
  <c r="AM531" i="5" s="1"/>
  <c r="CG162" i="5"/>
  <c r="CH162" i="5" s="1"/>
  <c r="CC157" i="5"/>
  <c r="AB244" i="5"/>
  <c r="X245" i="5"/>
  <c r="Y245" i="5"/>
  <c r="AL241" i="5"/>
  <c r="AK241" i="5" s="1"/>
  <c r="E183" i="5"/>
  <c r="D183" i="5" s="1"/>
  <c r="M259" i="5"/>
  <c r="N259" i="5"/>
  <c r="AA531" i="5" l="1"/>
  <c r="Z531" i="5" s="1"/>
  <c r="P542" i="5"/>
  <c r="O542" i="5" s="1"/>
  <c r="AJ532" i="5"/>
  <c r="CP162" i="5"/>
  <c r="BW157" i="5"/>
  <c r="BV157" i="5" s="1"/>
  <c r="BX157" i="5" s="1"/>
  <c r="P259" i="5"/>
  <c r="O259" i="5" s="1"/>
  <c r="Q259" i="5" s="1"/>
  <c r="AA245" i="5"/>
  <c r="Z245" i="5" s="1"/>
  <c r="AM241" i="5"/>
  <c r="AI242" i="5"/>
  <c r="AJ242" i="5"/>
  <c r="F183" i="5"/>
  <c r="C184" i="5" s="1"/>
  <c r="B184" i="5"/>
  <c r="CF17" i="50"/>
  <c r="Q542" i="5" l="1"/>
  <c r="N543" i="5"/>
  <c r="AB531" i="5"/>
  <c r="Y532" i="5"/>
  <c r="AL532" i="5"/>
  <c r="AK532" i="5"/>
  <c r="AM532" i="5" s="1"/>
  <c r="CJ162" i="5"/>
  <c r="BT158" i="5"/>
  <c r="BU158" i="5" s="1"/>
  <c r="AB245" i="5"/>
  <c r="Y246" i="5" s="1"/>
  <c r="X246" i="5"/>
  <c r="AL242" i="5"/>
  <c r="AK242" i="5" s="1"/>
  <c r="E184" i="5"/>
  <c r="D184" i="5" s="1"/>
  <c r="N260" i="5"/>
  <c r="M260" i="5"/>
  <c r="P543" i="5" l="1"/>
  <c r="O543" i="5" s="1"/>
  <c r="AA532" i="5"/>
  <c r="Z532" i="5" s="1"/>
  <c r="AJ533" i="5"/>
  <c r="CI162" i="5"/>
  <c r="CG163" i="5" s="1"/>
  <c r="CH163" i="5" s="1"/>
  <c r="CC158" i="5"/>
  <c r="P260" i="5"/>
  <c r="O260" i="5" s="1"/>
  <c r="M261" i="5" s="1"/>
  <c r="AA246" i="5"/>
  <c r="Z246" i="5" s="1"/>
  <c r="AM242" i="5"/>
  <c r="AJ243" i="5" s="1"/>
  <c r="AI243" i="5"/>
  <c r="F184" i="5"/>
  <c r="C185" i="5" s="1"/>
  <c r="B185" i="5"/>
  <c r="AB532" i="5" l="1"/>
  <c r="Y533" i="5"/>
  <c r="Q543" i="5"/>
  <c r="N544" i="5" s="1"/>
  <c r="AL533" i="5"/>
  <c r="AK533" i="5" s="1"/>
  <c r="CK162" i="5"/>
  <c r="CP163" i="5"/>
  <c r="BW158" i="5"/>
  <c r="BV158" i="5" s="1"/>
  <c r="BX158" i="5" s="1"/>
  <c r="AB246" i="5"/>
  <c r="Y247" i="5" s="1"/>
  <c r="X247" i="5"/>
  <c r="AL243" i="5"/>
  <c r="AK243" i="5" s="1"/>
  <c r="E185" i="5"/>
  <c r="D185" i="5" s="1"/>
  <c r="Q260" i="5"/>
  <c r="N261" i="5" s="1"/>
  <c r="Q3" i="51"/>
  <c r="AM533" i="5" l="1"/>
  <c r="AJ534" i="5"/>
  <c r="P544" i="5"/>
  <c r="O544" i="5" s="1"/>
  <c r="AA533" i="5"/>
  <c r="Z533" i="5" s="1"/>
  <c r="CJ163" i="5"/>
  <c r="CI163" i="5" s="1"/>
  <c r="CK163" i="5" s="1"/>
  <c r="BT159" i="5"/>
  <c r="BU159" i="5" s="1"/>
  <c r="P261" i="5"/>
  <c r="O261" i="5" s="1"/>
  <c r="Q261" i="5" s="1"/>
  <c r="AA247" i="5"/>
  <c r="Z247" i="5" s="1"/>
  <c r="AM243" i="5"/>
  <c r="AJ244" i="5" s="1"/>
  <c r="AI244" i="5"/>
  <c r="F185" i="5"/>
  <c r="C186" i="5" s="1"/>
  <c r="B186" i="5"/>
  <c r="AB533" i="5" l="1"/>
  <c r="Y534" i="5"/>
  <c r="Q544" i="5"/>
  <c r="N545" i="5"/>
  <c r="AL534" i="5"/>
  <c r="AK534" i="5" s="1"/>
  <c r="CG164" i="5"/>
  <c r="CH164" i="5" s="1"/>
  <c r="CC159" i="5"/>
  <c r="AB247" i="5"/>
  <c r="Y248" i="5" s="1"/>
  <c r="X248" i="5"/>
  <c r="AL244" i="5"/>
  <c r="AK244" i="5" s="1"/>
  <c r="E186" i="5"/>
  <c r="D186" i="5" s="1"/>
  <c r="M262" i="5"/>
  <c r="N262" i="5"/>
  <c r="AM534" i="5" l="1"/>
  <c r="AJ535" i="5"/>
  <c r="O545" i="5"/>
  <c r="Q545" i="5" s="1"/>
  <c r="P545" i="5"/>
  <c r="AA534" i="5"/>
  <c r="Z534" i="5" s="1"/>
  <c r="CP164" i="5"/>
  <c r="BW159" i="5"/>
  <c r="BV159" i="5" s="1"/>
  <c r="BX159" i="5" s="1"/>
  <c r="P262" i="5"/>
  <c r="O262" i="5" s="1"/>
  <c r="M263" i="5" s="1"/>
  <c r="AA248" i="5"/>
  <c r="Z248" i="5" s="1"/>
  <c r="AM244" i="5"/>
  <c r="AI245" i="5"/>
  <c r="AJ245" i="5"/>
  <c r="F186" i="5"/>
  <c r="C187" i="5" s="1"/>
  <c r="B187" i="5"/>
  <c r="AB534" i="5" l="1"/>
  <c r="Y535" i="5"/>
  <c r="N546" i="5"/>
  <c r="AL535" i="5"/>
  <c r="AK535" i="5" s="1"/>
  <c r="CJ164" i="5"/>
  <c r="CI164" i="5" s="1"/>
  <c r="CK164" i="5" s="1"/>
  <c r="BT160" i="5"/>
  <c r="BU160" i="5" s="1"/>
  <c r="AB248" i="5"/>
  <c r="Y249" i="5" s="1"/>
  <c r="X249" i="5"/>
  <c r="AL245" i="5"/>
  <c r="AK245" i="5" s="1"/>
  <c r="E187" i="5"/>
  <c r="D187" i="5" s="1"/>
  <c r="Q262" i="5"/>
  <c r="N263" i="5" s="1"/>
  <c r="Q4" i="51"/>
  <c r="AM535" i="5" l="1"/>
  <c r="AJ536" i="5"/>
  <c r="P546" i="5"/>
  <c r="O546" i="5" s="1"/>
  <c r="Z535" i="5"/>
  <c r="AB535" i="5" s="1"/>
  <c r="AA535" i="5"/>
  <c r="CG165" i="5"/>
  <c r="CH165" i="5" s="1"/>
  <c r="CC160" i="5"/>
  <c r="P263" i="5"/>
  <c r="O263" i="5" s="1"/>
  <c r="M264" i="5" s="1"/>
  <c r="AA249" i="5"/>
  <c r="Z249" i="5" s="1"/>
  <c r="AM245" i="5"/>
  <c r="AJ246" i="5" s="1"/>
  <c r="AI246" i="5"/>
  <c r="F187" i="5"/>
  <c r="C188" i="5" s="1"/>
  <c r="B188" i="5"/>
  <c r="Q546" i="5" l="1"/>
  <c r="N547" i="5"/>
  <c r="AL536" i="5"/>
  <c r="AK536" i="5" s="1"/>
  <c r="Y536" i="5"/>
  <c r="CP165" i="5"/>
  <c r="BW160" i="5"/>
  <c r="BV160" i="5" s="1"/>
  <c r="BX160" i="5" s="1"/>
  <c r="AB249" i="5"/>
  <c r="Y250" i="5" s="1"/>
  <c r="X250" i="5"/>
  <c r="AL246" i="5"/>
  <c r="AK246" i="5" s="1"/>
  <c r="E188" i="5"/>
  <c r="D188" i="5" s="1"/>
  <c r="Q263" i="5"/>
  <c r="N264" i="5" s="1"/>
  <c r="AM536" i="5" l="1"/>
  <c r="AJ537" i="5"/>
  <c r="AA536" i="5"/>
  <c r="Z536" i="5" s="1"/>
  <c r="P547" i="5"/>
  <c r="O547" i="5" s="1"/>
  <c r="CJ165" i="5"/>
  <c r="CI165" i="5" s="1"/>
  <c r="CK165" i="5" s="1"/>
  <c r="BT161" i="5"/>
  <c r="BU161" i="5" s="1"/>
  <c r="P264" i="5"/>
  <c r="O264" i="5" s="1"/>
  <c r="Q264" i="5" s="1"/>
  <c r="AA250" i="5"/>
  <c r="Z250" i="5" s="1"/>
  <c r="AM246" i="5"/>
  <c r="AJ247" i="5" s="1"/>
  <c r="AI247" i="5"/>
  <c r="F188" i="5"/>
  <c r="C189" i="5" s="1"/>
  <c r="B189" i="5"/>
  <c r="Q547" i="5" l="1"/>
  <c r="N548" i="5"/>
  <c r="AB536" i="5"/>
  <c r="Y537" i="5"/>
  <c r="AL537" i="5"/>
  <c r="AK537" i="5" s="1"/>
  <c r="CG166" i="5"/>
  <c r="CH166" i="5" s="1"/>
  <c r="CC161" i="5"/>
  <c r="AB250" i="5"/>
  <c r="Y251" i="5" s="1"/>
  <c r="X251" i="5"/>
  <c r="AL247" i="5"/>
  <c r="AK247" i="5" s="1"/>
  <c r="E189" i="5"/>
  <c r="D189" i="5" s="1"/>
  <c r="M265" i="5"/>
  <c r="N265" i="5"/>
  <c r="Q5" i="51"/>
  <c r="AM537" i="5" l="1"/>
  <c r="AJ538" i="5"/>
  <c r="AA537" i="5"/>
  <c r="Z537" i="5" s="1"/>
  <c r="N549" i="5"/>
  <c r="P548" i="5"/>
  <c r="O548" i="5"/>
  <c r="Q548" i="5" s="1"/>
  <c r="CP166" i="5"/>
  <c r="BW161" i="5"/>
  <c r="BV161" i="5" s="1"/>
  <c r="BX161" i="5" s="1"/>
  <c r="P265" i="5"/>
  <c r="O265" i="5" s="1"/>
  <c r="Q265" i="5" s="1"/>
  <c r="AA251" i="5"/>
  <c r="Z251" i="5" s="1"/>
  <c r="AM247" i="5"/>
  <c r="AJ248" i="5" s="1"/>
  <c r="AI248" i="5"/>
  <c r="F189" i="5"/>
  <c r="C190" i="5" s="1"/>
  <c r="B190" i="5"/>
  <c r="AB537" i="5" l="1"/>
  <c r="Y538" i="5"/>
  <c r="P549" i="5"/>
  <c r="O549" i="5" s="1"/>
  <c r="AK538" i="5"/>
  <c r="AM538" i="5" s="1"/>
  <c r="AL538" i="5"/>
  <c r="CJ166" i="5"/>
  <c r="CI166" i="5" s="1"/>
  <c r="CK166" i="5" s="1"/>
  <c r="BT162" i="5"/>
  <c r="BU162" i="5" s="1"/>
  <c r="AB251" i="5"/>
  <c r="Y252" i="5" s="1"/>
  <c r="X252" i="5"/>
  <c r="AL248" i="5"/>
  <c r="AK248" i="5" s="1"/>
  <c r="E190" i="5"/>
  <c r="D190" i="5" s="1"/>
  <c r="M266" i="5"/>
  <c r="N266" i="5"/>
  <c r="Q549" i="5" l="1"/>
  <c r="N550" i="5"/>
  <c r="AA538" i="5"/>
  <c r="Z538" i="5" s="1"/>
  <c r="AJ539" i="5"/>
  <c r="CG167" i="5"/>
  <c r="CH167" i="5" s="1"/>
  <c r="CC162" i="5"/>
  <c r="P266" i="5"/>
  <c r="O266" i="5" s="1"/>
  <c r="M267" i="5" s="1"/>
  <c r="AA252" i="5"/>
  <c r="Z252" i="5" s="1"/>
  <c r="AM248" i="5"/>
  <c r="AJ249" i="5" s="1"/>
  <c r="AI249" i="5"/>
  <c r="F190" i="5"/>
  <c r="C191" i="5" s="1"/>
  <c r="B191" i="5"/>
  <c r="AB538" i="5" l="1"/>
  <c r="Y539" i="5"/>
  <c r="P550" i="5"/>
  <c r="O550" i="5" s="1"/>
  <c r="AL539" i="5"/>
  <c r="AK539" i="5" s="1"/>
  <c r="CP167" i="5"/>
  <c r="BW162" i="5"/>
  <c r="BV162" i="5" s="1"/>
  <c r="BX162" i="5" s="1"/>
  <c r="AB252" i="5"/>
  <c r="Y253" i="5" s="1"/>
  <c r="X253" i="5"/>
  <c r="AL249" i="5"/>
  <c r="AK249" i="5" s="1"/>
  <c r="E191" i="5"/>
  <c r="D191" i="5" s="1"/>
  <c r="Q266" i="5"/>
  <c r="N267" i="5" s="1"/>
  <c r="Q6" i="51"/>
  <c r="AM539" i="5" l="1"/>
  <c r="AJ540" i="5"/>
  <c r="Q550" i="5"/>
  <c r="N551" i="5"/>
  <c r="Z539" i="5"/>
  <c r="AB539" i="5" s="1"/>
  <c r="AA539" i="5"/>
  <c r="CJ167" i="5"/>
  <c r="CI167" i="5" s="1"/>
  <c r="CK167" i="5" s="1"/>
  <c r="BT163" i="5"/>
  <c r="BU163" i="5" s="1"/>
  <c r="P267" i="5"/>
  <c r="O267" i="5" s="1"/>
  <c r="Q267" i="5" s="1"/>
  <c r="AA253" i="5"/>
  <c r="Z253" i="5" s="1"/>
  <c r="AM249" i="5"/>
  <c r="AJ250" i="5" s="1"/>
  <c r="AI250" i="5"/>
  <c r="F191" i="5"/>
  <c r="C192" i="5" s="1"/>
  <c r="B192" i="5"/>
  <c r="P551" i="5" l="1"/>
  <c r="O551" i="5"/>
  <c r="Q551" i="5" s="1"/>
  <c r="AL540" i="5"/>
  <c r="AK540" i="5" s="1"/>
  <c r="Y540" i="5"/>
  <c r="CG168" i="5"/>
  <c r="CH168" i="5" s="1"/>
  <c r="CC163" i="5"/>
  <c r="AB253" i="5"/>
  <c r="Y254" i="5" s="1"/>
  <c r="X254" i="5"/>
  <c r="AL250" i="5"/>
  <c r="AK250" i="5" s="1"/>
  <c r="E192" i="5"/>
  <c r="D192" i="5" s="1"/>
  <c r="M268" i="5"/>
  <c r="N268" i="5"/>
  <c r="AM540" i="5" l="1"/>
  <c r="AJ541" i="5"/>
  <c r="N552" i="5"/>
  <c r="AA540" i="5"/>
  <c r="Z540" i="5"/>
  <c r="AB540" i="5" s="1"/>
  <c r="CP168" i="5"/>
  <c r="BW163" i="5"/>
  <c r="BV163" i="5" s="1"/>
  <c r="BX163" i="5" s="1"/>
  <c r="P268" i="5"/>
  <c r="O268" i="5" s="1"/>
  <c r="Q268" i="5" s="1"/>
  <c r="AA254" i="5"/>
  <c r="Z254" i="5" s="1"/>
  <c r="AB254" i="5" s="1"/>
  <c r="AM250" i="5"/>
  <c r="AJ251" i="5" s="1"/>
  <c r="AI251" i="5"/>
  <c r="F192" i="5"/>
  <c r="C193" i="5" s="1"/>
  <c r="B193" i="5"/>
  <c r="Y541" i="5" l="1"/>
  <c r="P552" i="5"/>
  <c r="O552" i="5" s="1"/>
  <c r="AL541" i="5"/>
  <c r="AK541" i="5" s="1"/>
  <c r="CJ168" i="5"/>
  <c r="CI168" i="5" s="1"/>
  <c r="CK168" i="5" s="1"/>
  <c r="BT164" i="5"/>
  <c r="BU164" i="5" s="1"/>
  <c r="Y255" i="5"/>
  <c r="X255" i="5"/>
  <c r="AL251" i="5"/>
  <c r="AK251" i="5" s="1"/>
  <c r="E193" i="5"/>
  <c r="D193" i="5" s="1"/>
  <c r="M269" i="5"/>
  <c r="N269" i="5"/>
  <c r="Q7" i="51"/>
  <c r="AM541" i="5" l="1"/>
  <c r="AJ542" i="5"/>
  <c r="Q552" i="5"/>
  <c r="N553" i="5" s="1"/>
  <c r="AA541" i="5"/>
  <c r="Z541" i="5" s="1"/>
  <c r="CG169" i="5"/>
  <c r="CH169" i="5" s="1"/>
  <c r="CC164" i="5"/>
  <c r="P269" i="5"/>
  <c r="O269" i="5" s="1"/>
  <c r="AA255" i="5"/>
  <c r="Z255" i="5" s="1"/>
  <c r="AB255" i="5" s="1"/>
  <c r="AM251" i="5"/>
  <c r="AJ252" i="5" s="1"/>
  <c r="AI252" i="5"/>
  <c r="F193" i="5"/>
  <c r="C194" i="5" s="1"/>
  <c r="B194" i="5"/>
  <c r="AB541" i="5" l="1"/>
  <c r="Y542" i="5"/>
  <c r="P553" i="5"/>
  <c r="O553" i="5"/>
  <c r="Q553" i="5" s="1"/>
  <c r="AL542" i="5"/>
  <c r="AK542" i="5" s="1"/>
  <c r="CP169" i="5"/>
  <c r="BW164" i="5"/>
  <c r="BV164" i="5" s="1"/>
  <c r="BX164" i="5" s="1"/>
  <c r="Q269" i="5"/>
  <c r="N270" i="5" s="1"/>
  <c r="M270" i="5"/>
  <c r="Y256" i="5"/>
  <c r="X256" i="5"/>
  <c r="AL252" i="5"/>
  <c r="AK252" i="5" s="1"/>
  <c r="E194" i="5"/>
  <c r="D194" i="5" s="1"/>
  <c r="AM542" i="5" l="1"/>
  <c r="AJ543" i="5"/>
  <c r="N554" i="5"/>
  <c r="AA542" i="5"/>
  <c r="Z542" i="5"/>
  <c r="AB542" i="5" s="1"/>
  <c r="Y543" i="5"/>
  <c r="CJ169" i="5"/>
  <c r="BT165" i="5"/>
  <c r="BU165" i="5" s="1"/>
  <c r="P270" i="5"/>
  <c r="O270" i="5" s="1"/>
  <c r="M271" i="5" s="1"/>
  <c r="AA256" i="5"/>
  <c r="Z256" i="5" s="1"/>
  <c r="AM252" i="5"/>
  <c r="AJ253" i="5" s="1"/>
  <c r="AI253" i="5"/>
  <c r="F194" i="5"/>
  <c r="C195" i="5" s="1"/>
  <c r="B195" i="5"/>
  <c r="AA543" i="5" l="1"/>
  <c r="Z543" i="5" s="1"/>
  <c r="P554" i="5"/>
  <c r="O554" i="5" s="1"/>
  <c r="AL543" i="5"/>
  <c r="AK543" i="5"/>
  <c r="AM543" i="5" s="1"/>
  <c r="CI169" i="5"/>
  <c r="CK169" i="5" s="1"/>
  <c r="CC165" i="5"/>
  <c r="AB256" i="5"/>
  <c r="Y257" i="5" s="1"/>
  <c r="X257" i="5"/>
  <c r="AL253" i="5"/>
  <c r="AK253" i="5" s="1"/>
  <c r="E195" i="5"/>
  <c r="D195" i="5" s="1"/>
  <c r="Q270" i="5"/>
  <c r="N271" i="5" s="1"/>
  <c r="Q8" i="51"/>
  <c r="Q554" i="5" l="1"/>
  <c r="N555" i="5"/>
  <c r="AB543" i="5"/>
  <c r="Y544" i="5"/>
  <c r="AJ544" i="5"/>
  <c r="CG170" i="5"/>
  <c r="CH170" i="5" s="1"/>
  <c r="BW165" i="5"/>
  <c r="BV165" i="5" s="1"/>
  <c r="BX165" i="5" s="1"/>
  <c r="P271" i="5"/>
  <c r="O271" i="5" s="1"/>
  <c r="Q271" i="5" s="1"/>
  <c r="AA257" i="5"/>
  <c r="Z257" i="5" s="1"/>
  <c r="AM253" i="5"/>
  <c r="AJ254" i="5"/>
  <c r="AI254" i="5"/>
  <c r="F195" i="5"/>
  <c r="C196" i="5" s="1"/>
  <c r="B196" i="5"/>
  <c r="AL544" i="5" l="1"/>
  <c r="AK544" i="5" s="1"/>
  <c r="AA544" i="5"/>
  <c r="Z544" i="5"/>
  <c r="AB544" i="5" s="1"/>
  <c r="O555" i="5"/>
  <c r="Q555" i="5" s="1"/>
  <c r="P555" i="5"/>
  <c r="CP170" i="5"/>
  <c r="CJ170" i="5"/>
  <c r="CI170" i="5" s="1"/>
  <c r="CK170" i="5" s="1"/>
  <c r="BT166" i="5"/>
  <c r="BU166" i="5" s="1"/>
  <c r="AB257" i="5"/>
  <c r="Y258" i="5" s="1"/>
  <c r="X258" i="5"/>
  <c r="AL254" i="5"/>
  <c r="AK254" i="5" s="1"/>
  <c r="E196" i="5"/>
  <c r="D196" i="5" s="1"/>
  <c r="N272" i="5"/>
  <c r="M272" i="5"/>
  <c r="AM544" i="5" l="1"/>
  <c r="AJ545" i="5"/>
  <c r="Y545" i="5"/>
  <c r="N556" i="5"/>
  <c r="CG171" i="5"/>
  <c r="CH171" i="5" s="1"/>
  <c r="CC166" i="5"/>
  <c r="P272" i="5"/>
  <c r="O272" i="5" s="1"/>
  <c r="AA258" i="5"/>
  <c r="Z258" i="5" s="1"/>
  <c r="AM254" i="5"/>
  <c r="AI255" i="5"/>
  <c r="AJ255" i="5"/>
  <c r="F196" i="5"/>
  <c r="C197" i="5" s="1"/>
  <c r="B197" i="5"/>
  <c r="P556" i="5" l="1"/>
  <c r="O556" i="5"/>
  <c r="Q556" i="5" s="1"/>
  <c r="AA545" i="5"/>
  <c r="Z545" i="5"/>
  <c r="AB545" i="5" s="1"/>
  <c r="AL545" i="5"/>
  <c r="AK545" i="5" s="1"/>
  <c r="CP171" i="5"/>
  <c r="BW166" i="5"/>
  <c r="BV166" i="5" s="1"/>
  <c r="BX166" i="5" s="1"/>
  <c r="Q272" i="5"/>
  <c r="N273" i="5" s="1"/>
  <c r="P273" i="5" s="1"/>
  <c r="O273" i="5" s="1"/>
  <c r="AB258" i="5"/>
  <c r="Y259" i="5" s="1"/>
  <c r="X259" i="5"/>
  <c r="AL255" i="5"/>
  <c r="AK255" i="5" s="1"/>
  <c r="E197" i="5"/>
  <c r="D197" i="5" s="1"/>
  <c r="M273" i="5"/>
  <c r="AM545" i="5" l="1"/>
  <c r="AJ546" i="5"/>
  <c r="Y546" i="5"/>
  <c r="N557" i="5"/>
  <c r="CJ171" i="5"/>
  <c r="BT167" i="5"/>
  <c r="BU167" i="5" s="1"/>
  <c r="Q273" i="5"/>
  <c r="N274" i="5" s="1"/>
  <c r="P274" i="5" s="1"/>
  <c r="O274" i="5" s="1"/>
  <c r="M274" i="5"/>
  <c r="AA259" i="5"/>
  <c r="Z259" i="5" s="1"/>
  <c r="AM255" i="5"/>
  <c r="AJ256" i="5" s="1"/>
  <c r="AI256" i="5"/>
  <c r="F197" i="5"/>
  <c r="C198" i="5" s="1"/>
  <c r="B198" i="5"/>
  <c r="Q9" i="51"/>
  <c r="P557" i="5" l="1"/>
  <c r="O557" i="5"/>
  <c r="Q557" i="5" s="1"/>
  <c r="AA546" i="5"/>
  <c r="Z546" i="5"/>
  <c r="AB546" i="5" s="1"/>
  <c r="AL546" i="5"/>
  <c r="AK546" i="5"/>
  <c r="AM546" i="5" s="1"/>
  <c r="CI171" i="5"/>
  <c r="CK171" i="5" s="1"/>
  <c r="CC167" i="5"/>
  <c r="M275" i="5"/>
  <c r="AB259" i="5"/>
  <c r="Y260" i="5" s="1"/>
  <c r="X260" i="5"/>
  <c r="AL256" i="5"/>
  <c r="AK256" i="5" s="1"/>
  <c r="E198" i="5"/>
  <c r="D198" i="5" s="1"/>
  <c r="Q274" i="5"/>
  <c r="N275" i="5" s="1"/>
  <c r="Y547" i="5" l="1"/>
  <c r="N558" i="5"/>
  <c r="AJ547" i="5"/>
  <c r="CG172" i="5"/>
  <c r="CH172" i="5" s="1"/>
  <c r="BW167" i="5"/>
  <c r="BV167" i="5" s="1"/>
  <c r="BX167" i="5" s="1"/>
  <c r="P275" i="5"/>
  <c r="O275" i="5" s="1"/>
  <c r="AA260" i="5"/>
  <c r="Z260" i="5" s="1"/>
  <c r="AM256" i="5"/>
  <c r="AI257" i="5"/>
  <c r="AJ257" i="5"/>
  <c r="F198" i="5"/>
  <c r="C199" i="5" s="1"/>
  <c r="B199" i="5"/>
  <c r="AL547" i="5" l="1"/>
  <c r="AK547" i="5" s="1"/>
  <c r="P558" i="5"/>
  <c r="O558" i="5" s="1"/>
  <c r="AA547" i="5"/>
  <c r="Z547" i="5" s="1"/>
  <c r="CP172" i="5"/>
  <c r="CJ172" i="5"/>
  <c r="CI172" i="5" s="1"/>
  <c r="CK172" i="5" s="1"/>
  <c r="BT168" i="5"/>
  <c r="BU168" i="5" s="1"/>
  <c r="Q275" i="5"/>
  <c r="N276" i="5" s="1"/>
  <c r="M276" i="5"/>
  <c r="AB260" i="5"/>
  <c r="Y261" i="5" s="1"/>
  <c r="X261" i="5"/>
  <c r="AL257" i="5"/>
  <c r="AK257" i="5" s="1"/>
  <c r="E199" i="5"/>
  <c r="D199" i="5" s="1"/>
  <c r="AB547" i="5" l="1"/>
  <c r="Y548" i="5"/>
  <c r="Q558" i="5"/>
  <c r="N559" i="5"/>
  <c r="AM547" i="5"/>
  <c r="AJ548" i="5"/>
  <c r="CG173" i="5"/>
  <c r="CH173" i="5" s="1"/>
  <c r="CC168" i="5"/>
  <c r="P276" i="5"/>
  <c r="O276" i="5" s="1"/>
  <c r="AA261" i="5"/>
  <c r="Z261" i="5" s="1"/>
  <c r="AM257" i="5"/>
  <c r="AI258" i="5"/>
  <c r="AJ258" i="5"/>
  <c r="F199" i="5"/>
  <c r="C200" i="5" s="1"/>
  <c r="B200" i="5"/>
  <c r="AL548" i="5" l="1"/>
  <c r="AK548" i="5"/>
  <c r="AM548" i="5" s="1"/>
  <c r="AJ549" i="5"/>
  <c r="P559" i="5"/>
  <c r="O559" i="5" s="1"/>
  <c r="AA548" i="5"/>
  <c r="Z548" i="5" s="1"/>
  <c r="CP173" i="5"/>
  <c r="BW168" i="5"/>
  <c r="BV168" i="5" s="1"/>
  <c r="BX168" i="5" s="1"/>
  <c r="Q276" i="5"/>
  <c r="N277" i="5" s="1"/>
  <c r="P277" i="5" s="1"/>
  <c r="O277" i="5" s="1"/>
  <c r="Q277" i="5" s="1"/>
  <c r="M277" i="5"/>
  <c r="AB261" i="5"/>
  <c r="Y262" i="5" s="1"/>
  <c r="X262" i="5"/>
  <c r="AL258" i="5"/>
  <c r="AK258" i="5" s="1"/>
  <c r="E200" i="5"/>
  <c r="D200" i="5" s="1"/>
  <c r="AB548" i="5" l="1"/>
  <c r="Y549" i="5"/>
  <c r="Q559" i="5"/>
  <c r="N560" i="5"/>
  <c r="AL549" i="5"/>
  <c r="AJ550" i="5"/>
  <c r="AK549" i="5"/>
  <c r="AM549" i="5" s="1"/>
  <c r="CJ173" i="5"/>
  <c r="CI173" i="5" s="1"/>
  <c r="CK173" i="5" s="1"/>
  <c r="BT169" i="5"/>
  <c r="BU169" i="5" s="1"/>
  <c r="AM258" i="5"/>
  <c r="AJ259" i="5" s="1"/>
  <c r="AL259" i="5" s="1"/>
  <c r="AK259" i="5" s="1"/>
  <c r="AI259" i="5"/>
  <c r="AA262" i="5"/>
  <c r="Z262" i="5" s="1"/>
  <c r="F200" i="5"/>
  <c r="C201" i="5" s="1"/>
  <c r="B201" i="5"/>
  <c r="M278" i="5"/>
  <c r="N278" i="5"/>
  <c r="AL550" i="5" l="1"/>
  <c r="AK550" i="5" s="1"/>
  <c r="P560" i="5"/>
  <c r="O560" i="5"/>
  <c r="Q560" i="5" s="1"/>
  <c r="Z549" i="5"/>
  <c r="AB549" i="5" s="1"/>
  <c r="AA549" i="5"/>
  <c r="CG174" i="5"/>
  <c r="CH174" i="5" s="1"/>
  <c r="CC169" i="5"/>
  <c r="P278" i="5"/>
  <c r="O278" i="5" s="1"/>
  <c r="Q278" i="5" s="1"/>
  <c r="AB262" i="5"/>
  <c r="Y263" i="5" s="1"/>
  <c r="X263" i="5"/>
  <c r="AM259" i="5"/>
  <c r="AJ260" i="5" s="1"/>
  <c r="AI260" i="5"/>
  <c r="E201" i="5"/>
  <c r="D201" i="5" s="1"/>
  <c r="AM550" i="5" l="1"/>
  <c r="AJ551" i="5"/>
  <c r="N561" i="5"/>
  <c r="Y550" i="5"/>
  <c r="CP174" i="5"/>
  <c r="BW169" i="5"/>
  <c r="BV169" i="5" s="1"/>
  <c r="BX169" i="5" s="1"/>
  <c r="AA263" i="5"/>
  <c r="Z263" i="5" s="1"/>
  <c r="AL260" i="5"/>
  <c r="AK260" i="5" s="1"/>
  <c r="F201" i="5"/>
  <c r="C202" i="5" s="1"/>
  <c r="B202" i="5"/>
  <c r="M279" i="5"/>
  <c r="N279" i="5"/>
  <c r="AA550" i="5" l="1"/>
  <c r="Z550" i="5" s="1"/>
  <c r="O561" i="5"/>
  <c r="Q561" i="5" s="1"/>
  <c r="P561" i="5"/>
  <c r="AL551" i="5"/>
  <c r="AK551" i="5" s="1"/>
  <c r="CJ174" i="5"/>
  <c r="CI174" i="5" s="1"/>
  <c r="CK174" i="5" s="1"/>
  <c r="BT170" i="5"/>
  <c r="BU170" i="5" s="1"/>
  <c r="P279" i="5"/>
  <c r="O279" i="5" s="1"/>
  <c r="Q279" i="5" s="1"/>
  <c r="AB263" i="5"/>
  <c r="Y264" i="5" s="1"/>
  <c r="X264" i="5"/>
  <c r="AM260" i="5"/>
  <c r="AJ261" i="5" s="1"/>
  <c r="AI261" i="5"/>
  <c r="E202" i="5"/>
  <c r="D202" i="5" s="1"/>
  <c r="AM551" i="5" l="1"/>
  <c r="AJ552" i="5"/>
  <c r="AB550" i="5"/>
  <c r="Y551" i="5"/>
  <c r="N562" i="5"/>
  <c r="CG175" i="5"/>
  <c r="CH175" i="5" s="1"/>
  <c r="CC170" i="5"/>
  <c r="AA264" i="5"/>
  <c r="Z264" i="5" s="1"/>
  <c r="AL261" i="5"/>
  <c r="AK261" i="5" s="1"/>
  <c r="F202" i="5"/>
  <c r="C203" i="5" s="1"/>
  <c r="B203" i="5"/>
  <c r="M280" i="5"/>
  <c r="N280" i="5"/>
  <c r="P562" i="5" l="1"/>
  <c r="O562" i="5" s="1"/>
  <c r="AA551" i="5"/>
  <c r="Z551" i="5" s="1"/>
  <c r="AL552" i="5"/>
  <c r="AK552" i="5" s="1"/>
  <c r="CP175" i="5"/>
  <c r="BW170" i="5"/>
  <c r="BV170" i="5" s="1"/>
  <c r="BX170" i="5" s="1"/>
  <c r="P280" i="5"/>
  <c r="O280" i="5" s="1"/>
  <c r="Q280" i="5" s="1"/>
  <c r="AB264" i="5"/>
  <c r="Y265" i="5" s="1"/>
  <c r="X265" i="5"/>
  <c r="AM261" i="5"/>
  <c r="AJ262" i="5" s="1"/>
  <c r="AI262" i="5"/>
  <c r="E203" i="5"/>
  <c r="AM552" i="5" l="1"/>
  <c r="AJ553" i="5"/>
  <c r="AB551" i="5"/>
  <c r="Y552" i="5"/>
  <c r="Q562" i="5"/>
  <c r="N563" i="5"/>
  <c r="CJ175" i="5"/>
  <c r="BT171" i="5"/>
  <c r="BU171" i="5" s="1"/>
  <c r="AA265" i="5"/>
  <c r="Z265" i="5" s="1"/>
  <c r="AL262" i="5"/>
  <c r="AK262" i="5" s="1"/>
  <c r="D203" i="5"/>
  <c r="M281" i="5"/>
  <c r="N281" i="5"/>
  <c r="P563" i="5" l="1"/>
  <c r="O563" i="5"/>
  <c r="Q563" i="5" s="1"/>
  <c r="AA552" i="5"/>
  <c r="Z552" i="5"/>
  <c r="AB552" i="5" s="1"/>
  <c r="AL553" i="5"/>
  <c r="AK553" i="5" s="1"/>
  <c r="CI175" i="5"/>
  <c r="CK175" i="5" s="1"/>
  <c r="CC171" i="5"/>
  <c r="P281" i="5"/>
  <c r="O281" i="5" s="1"/>
  <c r="Q281" i="5" s="1"/>
  <c r="AB265" i="5"/>
  <c r="X266" i="5"/>
  <c r="Y266" i="5"/>
  <c r="AM262" i="5"/>
  <c r="AJ263" i="5" s="1"/>
  <c r="AI263" i="5"/>
  <c r="B204" i="5"/>
  <c r="F203" i="5"/>
  <c r="C204" i="5" s="1"/>
  <c r="AM553" i="5" l="1"/>
  <c r="AJ554" i="5"/>
  <c r="Y553" i="5"/>
  <c r="N564" i="5"/>
  <c r="CG176" i="5"/>
  <c r="CH176" i="5" s="1"/>
  <c r="BW171" i="5"/>
  <c r="BV171" i="5" s="1"/>
  <c r="BX171" i="5" s="1"/>
  <c r="AA266" i="5"/>
  <c r="Z266" i="5" s="1"/>
  <c r="AL263" i="5"/>
  <c r="AK263" i="5" s="1"/>
  <c r="E204" i="5"/>
  <c r="M282" i="5"/>
  <c r="N282" i="5"/>
  <c r="P564" i="5" l="1"/>
  <c r="O564" i="5" s="1"/>
  <c r="AA553" i="5"/>
  <c r="Z553" i="5" s="1"/>
  <c r="AK554" i="5"/>
  <c r="AM554" i="5" s="1"/>
  <c r="AL554" i="5"/>
  <c r="CP176" i="5"/>
  <c r="CJ176" i="5"/>
  <c r="CI176" i="5" s="1"/>
  <c r="CK176" i="5" s="1"/>
  <c r="BT172" i="5"/>
  <c r="BU172" i="5" s="1"/>
  <c r="P282" i="5"/>
  <c r="O282" i="5" s="1"/>
  <c r="Q282" i="5" s="1"/>
  <c r="AB266" i="5"/>
  <c r="X267" i="5"/>
  <c r="Y267" i="5"/>
  <c r="AM263" i="5"/>
  <c r="AJ264" i="5" s="1"/>
  <c r="AI264" i="5"/>
  <c r="D204" i="5"/>
  <c r="AB553" i="5" l="1"/>
  <c r="Y554" i="5"/>
  <c r="Q564" i="5"/>
  <c r="N565" i="5"/>
  <c r="AJ555" i="5"/>
  <c r="CG177" i="5"/>
  <c r="CH177" i="5" s="1"/>
  <c r="CC172" i="5"/>
  <c r="AA267" i="5"/>
  <c r="Z267" i="5" s="1"/>
  <c r="AL264" i="5"/>
  <c r="AK264" i="5" s="1"/>
  <c r="B205" i="5"/>
  <c r="F204" i="5"/>
  <c r="C205" i="5" s="1"/>
  <c r="M283" i="5"/>
  <c r="N283" i="5"/>
  <c r="P565" i="5" l="1"/>
  <c r="O565" i="5" s="1"/>
  <c r="AL555" i="5"/>
  <c r="AK555" i="5"/>
  <c r="AM555" i="5" s="1"/>
  <c r="AJ556" i="5"/>
  <c r="AA554" i="5"/>
  <c r="Z554" i="5" s="1"/>
  <c r="CP177" i="5"/>
  <c r="BW172" i="5"/>
  <c r="BV172" i="5" s="1"/>
  <c r="BX172" i="5" s="1"/>
  <c r="P283" i="5"/>
  <c r="O283" i="5" s="1"/>
  <c r="AB267" i="5"/>
  <c r="Y268" i="5" s="1"/>
  <c r="X268" i="5"/>
  <c r="AM264" i="5"/>
  <c r="AJ265" i="5" s="1"/>
  <c r="AI265" i="5"/>
  <c r="E205" i="5"/>
  <c r="AB554" i="5" l="1"/>
  <c r="Y555" i="5"/>
  <c r="Q565" i="5"/>
  <c r="N566" i="5"/>
  <c r="AL556" i="5"/>
  <c r="AK556" i="5" s="1"/>
  <c r="CJ177" i="5"/>
  <c r="CI177" i="5" s="1"/>
  <c r="CK177" i="5" s="1"/>
  <c r="BT173" i="5"/>
  <c r="BU173" i="5" s="1"/>
  <c r="AA268" i="5"/>
  <c r="Z268" i="5" s="1"/>
  <c r="AL265" i="5"/>
  <c r="AK265" i="5" s="1"/>
  <c r="D205" i="5"/>
  <c r="Q283" i="5"/>
  <c r="N284" i="5" s="1"/>
  <c r="M284" i="5"/>
  <c r="AM556" i="5" l="1"/>
  <c r="AJ557" i="5"/>
  <c r="P566" i="5"/>
  <c r="O566" i="5" s="1"/>
  <c r="Z555" i="5"/>
  <c r="AB555" i="5" s="1"/>
  <c r="AA555" i="5"/>
  <c r="CG178" i="5"/>
  <c r="CH178" i="5" s="1"/>
  <c r="CC173" i="5"/>
  <c r="P284" i="5"/>
  <c r="O284" i="5" s="1"/>
  <c r="Q284" i="5" s="1"/>
  <c r="AB268" i="5"/>
  <c r="Y269" i="5" s="1"/>
  <c r="X269" i="5"/>
  <c r="AM265" i="5"/>
  <c r="AJ266" i="5" s="1"/>
  <c r="AI266" i="5"/>
  <c r="B206" i="5"/>
  <c r="F205" i="5"/>
  <c r="C206" i="5" s="1"/>
  <c r="Q566" i="5" l="1"/>
  <c r="N567" i="5"/>
  <c r="Y556" i="5"/>
  <c r="AL557" i="5"/>
  <c r="AK557" i="5"/>
  <c r="AM557" i="5" s="1"/>
  <c r="CP178" i="5"/>
  <c r="BW173" i="5"/>
  <c r="BV173" i="5" s="1"/>
  <c r="BX173" i="5" s="1"/>
  <c r="AA269" i="5"/>
  <c r="Z269" i="5" s="1"/>
  <c r="AL266" i="5"/>
  <c r="AK266" i="5" s="1"/>
  <c r="E206" i="5"/>
  <c r="M285" i="5"/>
  <c r="N285" i="5"/>
  <c r="Z556" i="5" l="1"/>
  <c r="AB556" i="5" s="1"/>
  <c r="AA556" i="5"/>
  <c r="Y557" i="5"/>
  <c r="P567" i="5"/>
  <c r="O567" i="5" s="1"/>
  <c r="AJ558" i="5"/>
  <c r="CJ178" i="5"/>
  <c r="CI178" i="5" s="1"/>
  <c r="CK178" i="5" s="1"/>
  <c r="BT174" i="5"/>
  <c r="BU174" i="5" s="1"/>
  <c r="P285" i="5"/>
  <c r="O285" i="5" s="1"/>
  <c r="Q285" i="5" s="1"/>
  <c r="AB269" i="5"/>
  <c r="Y270" i="5" s="1"/>
  <c r="X270" i="5"/>
  <c r="AM266" i="5"/>
  <c r="AJ267" i="5" s="1"/>
  <c r="AI267" i="5"/>
  <c r="D206" i="5"/>
  <c r="Q567" i="5" l="1"/>
  <c r="N568" i="5"/>
  <c r="Z557" i="5"/>
  <c r="AB557" i="5" s="1"/>
  <c r="AA557" i="5"/>
  <c r="AL558" i="5"/>
  <c r="AK558" i="5" s="1"/>
  <c r="CG179" i="5"/>
  <c r="CH179" i="5" s="1"/>
  <c r="CC174" i="5"/>
  <c r="AA270" i="5"/>
  <c r="Z270" i="5" s="1"/>
  <c r="AL267" i="5"/>
  <c r="AK267" i="5" s="1"/>
  <c r="B207" i="5"/>
  <c r="F206" i="5"/>
  <c r="C207" i="5" s="1"/>
  <c r="N286" i="5"/>
  <c r="M286" i="5"/>
  <c r="AM558" i="5" l="1"/>
  <c r="AJ559" i="5"/>
  <c r="Y558" i="5"/>
  <c r="P568" i="5"/>
  <c r="O568" i="5" s="1"/>
  <c r="CP179" i="5"/>
  <c r="BW174" i="5"/>
  <c r="BV174" i="5" s="1"/>
  <c r="BX174" i="5" s="1"/>
  <c r="P286" i="5"/>
  <c r="O286" i="5" s="1"/>
  <c r="M287" i="5" s="1"/>
  <c r="AB270" i="5"/>
  <c r="Y271" i="5" s="1"/>
  <c r="X271" i="5"/>
  <c r="AM267" i="5"/>
  <c r="AJ268" i="5" s="1"/>
  <c r="AI268" i="5"/>
  <c r="E207" i="5"/>
  <c r="Q568" i="5" l="1"/>
  <c r="N569" i="5"/>
  <c r="AA558" i="5"/>
  <c r="Z558" i="5" s="1"/>
  <c r="AK559" i="5"/>
  <c r="AM559" i="5" s="1"/>
  <c r="AL559" i="5"/>
  <c r="CJ179" i="5"/>
  <c r="CI179" i="5" s="1"/>
  <c r="CK179" i="5" s="1"/>
  <c r="BT175" i="5"/>
  <c r="BU175" i="5" s="1"/>
  <c r="AA271" i="5"/>
  <c r="Z271" i="5" s="1"/>
  <c r="AL268" i="5"/>
  <c r="AK268" i="5" s="1"/>
  <c r="D207" i="5"/>
  <c r="Q286" i="5"/>
  <c r="N287" i="5" s="1"/>
  <c r="AB558" i="5" l="1"/>
  <c r="Y559" i="5"/>
  <c r="P569" i="5"/>
  <c r="O569" i="5"/>
  <c r="Q569" i="5" s="1"/>
  <c r="AJ560" i="5"/>
  <c r="CG180" i="5"/>
  <c r="CH180" i="5" s="1"/>
  <c r="CC175" i="5"/>
  <c r="P287" i="5"/>
  <c r="O287" i="5" s="1"/>
  <c r="Q287" i="5" s="1"/>
  <c r="AB271" i="5"/>
  <c r="Y272" i="5" s="1"/>
  <c r="X272" i="5"/>
  <c r="AM268" i="5"/>
  <c r="AJ269" i="5" s="1"/>
  <c r="AI269" i="5"/>
  <c r="B208" i="5"/>
  <c r="F207" i="5"/>
  <c r="C208" i="5" s="1"/>
  <c r="N570" i="5" l="1"/>
  <c r="AA559" i="5"/>
  <c r="Z559" i="5" s="1"/>
  <c r="AL560" i="5"/>
  <c r="AK560" i="5" s="1"/>
  <c r="CP180" i="5"/>
  <c r="BW175" i="5"/>
  <c r="BV175" i="5" s="1"/>
  <c r="BX175" i="5" s="1"/>
  <c r="AA272" i="5"/>
  <c r="Z272" i="5" s="1"/>
  <c r="AL269" i="5"/>
  <c r="AK269" i="5" s="1"/>
  <c r="E208" i="5"/>
  <c r="M288" i="5"/>
  <c r="M289" i="5" s="1"/>
  <c r="M290" i="5" s="1"/>
  <c r="M291" i="5" s="1"/>
  <c r="M292" i="5" s="1"/>
  <c r="M293" i="5" s="1"/>
  <c r="M294" i="5" s="1"/>
  <c r="M295" i="5" s="1"/>
  <c r="M296" i="5" s="1"/>
  <c r="M297" i="5" s="1"/>
  <c r="M298" i="5" s="1"/>
  <c r="M299" i="5" s="1"/>
  <c r="M300" i="5" s="1"/>
  <c r="M301" i="5" s="1"/>
  <c r="M302" i="5" s="1"/>
  <c r="M303" i="5" s="1"/>
  <c r="M304" i="5" s="1"/>
  <c r="M305" i="5" s="1"/>
  <c r="M306" i="5" s="1"/>
  <c r="M307" i="5" s="1"/>
  <c r="M308" i="5" s="1"/>
  <c r="M309" i="5" s="1"/>
  <c r="M310" i="5" s="1"/>
  <c r="M311" i="5" s="1"/>
  <c r="M312" i="5" s="1"/>
  <c r="M313" i="5" s="1"/>
  <c r="M314" i="5" s="1"/>
  <c r="M315" i="5" s="1"/>
  <c r="M316" i="5" s="1"/>
  <c r="M317" i="5" s="1"/>
  <c r="M318" i="5" s="1"/>
  <c r="M319" i="5" s="1"/>
  <c r="M320" i="5" s="1"/>
  <c r="M321" i="5" s="1"/>
  <c r="M322" i="5" s="1"/>
  <c r="M323" i="5" s="1"/>
  <c r="M324" i="5" s="1"/>
  <c r="M325" i="5" s="1"/>
  <c r="M326" i="5" s="1"/>
  <c r="M327" i="5" s="1"/>
  <c r="M328" i="5" s="1"/>
  <c r="M329" i="5" s="1"/>
  <c r="M330" i="5" s="1"/>
  <c r="M331" i="5" s="1"/>
  <c r="M332" i="5" s="1"/>
  <c r="M333" i="5" s="1"/>
  <c r="M334" i="5" s="1"/>
  <c r="M335" i="5" s="1"/>
  <c r="M336" i="5" s="1"/>
  <c r="M337" i="5" s="1"/>
  <c r="M338" i="5" s="1"/>
  <c r="M339" i="5" s="1"/>
  <c r="M340" i="5" s="1"/>
  <c r="M341" i="5" s="1"/>
  <c r="M342" i="5" s="1"/>
  <c r="M343" i="5" s="1"/>
  <c r="M344" i="5" s="1"/>
  <c r="M345" i="5" s="1"/>
  <c r="M346" i="5" s="1"/>
  <c r="M347" i="5" s="1"/>
  <c r="M348" i="5" s="1"/>
  <c r="M349" i="5" s="1"/>
  <c r="M350" i="5" s="1"/>
  <c r="M351" i="5" s="1"/>
  <c r="M352" i="5" s="1"/>
  <c r="M353" i="5" s="1"/>
  <c r="M354" i="5" s="1"/>
  <c r="M355" i="5" s="1"/>
  <c r="M356" i="5" s="1"/>
  <c r="M357" i="5" s="1"/>
  <c r="M358" i="5" s="1"/>
  <c r="M359" i="5" s="1"/>
  <c r="M360" i="5" s="1"/>
  <c r="M361" i="5" s="1"/>
  <c r="M362" i="5" s="1"/>
  <c r="M363" i="5" s="1"/>
  <c r="M364" i="5" s="1"/>
  <c r="M365" i="5" s="1"/>
  <c r="M366" i="5" s="1"/>
  <c r="M367" i="5" s="1"/>
  <c r="M368" i="5" s="1"/>
  <c r="M369" i="5" s="1"/>
  <c r="M370" i="5" s="1"/>
  <c r="M371" i="5" s="1"/>
  <c r="M372" i="5" s="1"/>
  <c r="M373" i="5" s="1"/>
  <c r="M374" i="5" s="1"/>
  <c r="M375" i="5" s="1"/>
  <c r="M376" i="5" s="1"/>
  <c r="M377" i="5" s="1"/>
  <c r="M378" i="5" s="1"/>
  <c r="M379" i="5" s="1"/>
  <c r="M380" i="5" s="1"/>
  <c r="M381" i="5" s="1"/>
  <c r="M382" i="5" s="1"/>
  <c r="M383" i="5" s="1"/>
  <c r="M384" i="5" s="1"/>
  <c r="M385" i="5" s="1"/>
  <c r="M386" i="5" s="1"/>
  <c r="M387" i="5" s="1"/>
  <c r="M388" i="5" s="1"/>
  <c r="M389" i="5" s="1"/>
  <c r="M390" i="5" s="1"/>
  <c r="M391" i="5" s="1"/>
  <c r="M392" i="5" s="1"/>
  <c r="M393" i="5" s="1"/>
  <c r="M394" i="5" s="1"/>
  <c r="M395" i="5" s="1"/>
  <c r="M396" i="5" s="1"/>
  <c r="M397" i="5" s="1"/>
  <c r="M398" i="5" s="1"/>
  <c r="M399" i="5" s="1"/>
  <c r="M400" i="5" s="1"/>
  <c r="M401" i="5" s="1"/>
  <c r="M402" i="5" s="1"/>
  <c r="M403" i="5" s="1"/>
  <c r="M404" i="5" s="1"/>
  <c r="M405" i="5" s="1"/>
  <c r="M406" i="5" s="1"/>
  <c r="M407" i="5" s="1"/>
  <c r="M408" i="5" s="1"/>
  <c r="M409" i="5" s="1"/>
  <c r="M410" i="5" s="1"/>
  <c r="M411" i="5" s="1"/>
  <c r="M412" i="5" s="1"/>
  <c r="M413" i="5" s="1"/>
  <c r="M414" i="5" s="1"/>
  <c r="M415" i="5" s="1"/>
  <c r="M416" i="5" s="1"/>
  <c r="M417" i="5" s="1"/>
  <c r="M418" i="5" s="1"/>
  <c r="M419" i="5" s="1"/>
  <c r="M420" i="5" s="1"/>
  <c r="M421" i="5" s="1"/>
  <c r="M422" i="5" s="1"/>
  <c r="M423" i="5" s="1"/>
  <c r="M424" i="5" s="1"/>
  <c r="M425" i="5" s="1"/>
  <c r="M426" i="5" s="1"/>
  <c r="M427" i="5" s="1"/>
  <c r="M428" i="5" s="1"/>
  <c r="M429" i="5" s="1"/>
  <c r="M430" i="5" s="1"/>
  <c r="M431" i="5" s="1"/>
  <c r="M432" i="5" s="1"/>
  <c r="M433" i="5" s="1"/>
  <c r="M434" i="5" s="1"/>
  <c r="M435" i="5" s="1"/>
  <c r="M436" i="5" s="1"/>
  <c r="M437" i="5" s="1"/>
  <c r="M438" i="5" s="1"/>
  <c r="M439" i="5" s="1"/>
  <c r="M440" i="5" s="1"/>
  <c r="M441" i="5" s="1"/>
  <c r="M442" i="5" s="1"/>
  <c r="M443" i="5" s="1"/>
  <c r="M444" i="5" s="1"/>
  <c r="M445" i="5" s="1"/>
  <c r="M446" i="5" s="1"/>
  <c r="M447" i="5" s="1"/>
  <c r="M448" i="5" s="1"/>
  <c r="M449" i="5" s="1"/>
  <c r="M450" i="5" s="1"/>
  <c r="M451" i="5" s="1"/>
  <c r="M452" i="5" s="1"/>
  <c r="M453" i="5" s="1"/>
  <c r="M454" i="5" s="1"/>
  <c r="M455" i="5" s="1"/>
  <c r="M456" i="5" s="1"/>
  <c r="M457" i="5" s="1"/>
  <c r="M458" i="5" s="1"/>
  <c r="M459" i="5" s="1"/>
  <c r="M460" i="5" s="1"/>
  <c r="M461" i="5" s="1"/>
  <c r="M462" i="5" s="1"/>
  <c r="M463" i="5" s="1"/>
  <c r="M464" i="5" s="1"/>
  <c r="M465" i="5" s="1"/>
  <c r="M466" i="5" s="1"/>
  <c r="M467" i="5" s="1"/>
  <c r="M468" i="5" s="1"/>
  <c r="M469" i="5" s="1"/>
  <c r="M470" i="5" s="1"/>
  <c r="M471" i="5" s="1"/>
  <c r="M472" i="5" s="1"/>
  <c r="M473" i="5" s="1"/>
  <c r="M474" i="5" s="1"/>
  <c r="M475" i="5" s="1"/>
  <c r="M476" i="5" s="1"/>
  <c r="M477" i="5" s="1"/>
  <c r="M478" i="5" s="1"/>
  <c r="M479" i="5" s="1"/>
  <c r="M480" i="5" s="1"/>
  <c r="M481" i="5" s="1"/>
  <c r="M482" i="5" s="1"/>
  <c r="M483" i="5" s="1"/>
  <c r="M484" i="5" s="1"/>
  <c r="M485" i="5" s="1"/>
  <c r="M486" i="5" s="1"/>
  <c r="M487" i="5" s="1"/>
  <c r="M488" i="5" s="1"/>
  <c r="M489" i="5" s="1"/>
  <c r="M490" i="5" s="1"/>
  <c r="M491" i="5" s="1"/>
  <c r="M492" i="5" s="1"/>
  <c r="M493" i="5" s="1"/>
  <c r="M494" i="5" s="1"/>
  <c r="M495" i="5" s="1"/>
  <c r="M496" i="5" s="1"/>
  <c r="M497" i="5" s="1"/>
  <c r="M498" i="5" s="1"/>
  <c r="M499" i="5" s="1"/>
  <c r="M500" i="5" s="1"/>
  <c r="M501" i="5" s="1"/>
  <c r="M502" i="5" s="1"/>
  <c r="M503" i="5" s="1"/>
  <c r="M504" i="5" s="1"/>
  <c r="M505" i="5" s="1"/>
  <c r="M506" i="5" s="1"/>
  <c r="M507" i="5" s="1"/>
  <c r="M508" i="5" s="1"/>
  <c r="M509" i="5" s="1"/>
  <c r="M510" i="5" s="1"/>
  <c r="M511" i="5" s="1"/>
  <c r="M512" i="5" s="1"/>
  <c r="M513" i="5" s="1"/>
  <c r="M514" i="5" s="1"/>
  <c r="M515" i="5" s="1"/>
  <c r="M516" i="5" s="1"/>
  <c r="M517" i="5" s="1"/>
  <c r="M518" i="5" s="1"/>
  <c r="M519" i="5" s="1"/>
  <c r="M520" i="5" s="1"/>
  <c r="M521" i="5" s="1"/>
  <c r="M522" i="5" s="1"/>
  <c r="M523" i="5" s="1"/>
  <c r="M524" i="5" s="1"/>
  <c r="M525" i="5" s="1"/>
  <c r="M526" i="5" s="1"/>
  <c r="M527" i="5" s="1"/>
  <c r="M528" i="5" s="1"/>
  <c r="M529" i="5" s="1"/>
  <c r="M530" i="5" s="1"/>
  <c r="M531" i="5" s="1"/>
  <c r="M532" i="5" s="1"/>
  <c r="M533" i="5" s="1"/>
  <c r="M534" i="5" s="1"/>
  <c r="M535" i="5" s="1"/>
  <c r="M536" i="5" s="1"/>
  <c r="M537" i="5" s="1"/>
  <c r="M538" i="5" s="1"/>
  <c r="M539" i="5" s="1"/>
  <c r="M540" i="5" s="1"/>
  <c r="M541" i="5" s="1"/>
  <c r="M542" i="5" s="1"/>
  <c r="M543" i="5" s="1"/>
  <c r="M544" i="5" s="1"/>
  <c r="M545" i="5" s="1"/>
  <c r="M546" i="5" s="1"/>
  <c r="M547" i="5" s="1"/>
  <c r="M548" i="5" s="1"/>
  <c r="M549" i="5" s="1"/>
  <c r="M550" i="5" s="1"/>
  <c r="M551" i="5" s="1"/>
  <c r="M552" i="5" s="1"/>
  <c r="M553" i="5" s="1"/>
  <c r="M554" i="5" s="1"/>
  <c r="M555" i="5" s="1"/>
  <c r="M556" i="5" s="1"/>
  <c r="M557" i="5" s="1"/>
  <c r="M558" i="5" s="1"/>
  <c r="M559" i="5" s="1"/>
  <c r="M560" i="5" s="1"/>
  <c r="M561" i="5" s="1"/>
  <c r="M562" i="5" s="1"/>
  <c r="M563" i="5" s="1"/>
  <c r="M564" i="5" s="1"/>
  <c r="M565" i="5" s="1"/>
  <c r="M566" i="5" s="1"/>
  <c r="M567" i="5" s="1"/>
  <c r="M568" i="5" s="1"/>
  <c r="M569" i="5" s="1"/>
  <c r="M570" i="5" s="1"/>
  <c r="N288" i="5"/>
  <c r="AM560" i="5" l="1"/>
  <c r="AJ561" i="5"/>
  <c r="AB559" i="5"/>
  <c r="Y560" i="5"/>
  <c r="P570" i="5"/>
  <c r="O570" i="5" s="1"/>
  <c r="CJ180" i="5"/>
  <c r="BT176" i="5"/>
  <c r="BU176" i="5" s="1"/>
  <c r="P288" i="5"/>
  <c r="O288" i="5" s="1"/>
  <c r="Q288" i="5" s="1"/>
  <c r="AB272" i="5"/>
  <c r="Y273" i="5" s="1"/>
  <c r="X273" i="5"/>
  <c r="AM269" i="5"/>
  <c r="AJ270" i="5" s="1"/>
  <c r="AI270" i="5"/>
  <c r="D208" i="5"/>
  <c r="Q570" i="5" l="1"/>
  <c r="N571" i="5"/>
  <c r="M571" i="5"/>
  <c r="AA560" i="5"/>
  <c r="Z560" i="5" s="1"/>
  <c r="AL561" i="5"/>
  <c r="AK561" i="5" s="1"/>
  <c r="CI180" i="5"/>
  <c r="CK180" i="5" s="1"/>
  <c r="CC176" i="5"/>
  <c r="AA273" i="5"/>
  <c r="Z273" i="5" s="1"/>
  <c r="AL270" i="5"/>
  <c r="AK270" i="5" s="1"/>
  <c r="B209" i="5"/>
  <c r="F208" i="5"/>
  <c r="C209" i="5" s="1"/>
  <c r="AM561" i="5" l="1"/>
  <c r="AJ562" i="5" s="1"/>
  <c r="AB560" i="5"/>
  <c r="Y561" i="5" s="1"/>
  <c r="P571" i="5"/>
  <c r="O571" i="5" s="1"/>
  <c r="CG181" i="5"/>
  <c r="CH181" i="5" s="1"/>
  <c r="BW176" i="5"/>
  <c r="BV176" i="5" s="1"/>
  <c r="BX176" i="5" s="1"/>
  <c r="AB273" i="5"/>
  <c r="Y274" i="5" s="1"/>
  <c r="X274" i="5"/>
  <c r="AM270" i="5"/>
  <c r="AI271" i="5"/>
  <c r="AJ271" i="5"/>
  <c r="E209" i="5"/>
  <c r="D209" i="5" s="1"/>
  <c r="Q571" i="5" l="1"/>
  <c r="M572" i="5"/>
  <c r="N572" i="5"/>
  <c r="AA561" i="5"/>
  <c r="Z561" i="5" s="1"/>
  <c r="AL562" i="5"/>
  <c r="AK562" i="5" s="1"/>
  <c r="CP181" i="5"/>
  <c r="CJ181" i="5"/>
  <c r="BT177" i="5"/>
  <c r="BU177" i="5" s="1"/>
  <c r="AA274" i="5"/>
  <c r="Z274" i="5" s="1"/>
  <c r="AL271" i="5"/>
  <c r="AK271" i="5" s="1"/>
  <c r="F209" i="5"/>
  <c r="C210" i="5" s="1"/>
  <c r="B210" i="5"/>
  <c r="AM562" i="5" l="1"/>
  <c r="AJ563" i="5"/>
  <c r="AB561" i="5"/>
  <c r="Y562" i="5"/>
  <c r="P572" i="5"/>
  <c r="O572" i="5" s="1"/>
  <c r="CI181" i="5"/>
  <c r="CK181" i="5" s="1"/>
  <c r="CC177" i="5"/>
  <c r="AB274" i="5"/>
  <c r="Y275" i="5" s="1"/>
  <c r="X275" i="5"/>
  <c r="AM271" i="5"/>
  <c r="AJ272" i="5" s="1"/>
  <c r="AI272" i="5"/>
  <c r="E210" i="5"/>
  <c r="D210" i="5" s="1"/>
  <c r="Q572" i="5" l="1"/>
  <c r="N573" i="5" s="1"/>
  <c r="M573" i="5"/>
  <c r="AA562" i="5"/>
  <c r="Z562" i="5" s="1"/>
  <c r="AL563" i="5"/>
  <c r="AK563" i="5" s="1"/>
  <c r="CG182" i="5"/>
  <c r="CH182" i="5" s="1"/>
  <c r="BW177" i="5"/>
  <c r="BV177" i="5" s="1"/>
  <c r="BX177" i="5" s="1"/>
  <c r="AA275" i="5"/>
  <c r="Z275" i="5" s="1"/>
  <c r="AL272" i="5"/>
  <c r="AK272" i="5" s="1"/>
  <c r="F210" i="5"/>
  <c r="C211" i="5" s="1"/>
  <c r="B211" i="5"/>
  <c r="O573" i="5" l="1"/>
  <c r="Q573" i="5" s="1"/>
  <c r="P573" i="5"/>
  <c r="AM563" i="5"/>
  <c r="AJ564" i="5"/>
  <c r="AB562" i="5"/>
  <c r="Y563" i="5"/>
  <c r="CP182" i="5"/>
  <c r="CJ182" i="5"/>
  <c r="CI182" i="5" s="1"/>
  <c r="CK182" i="5" s="1"/>
  <c r="BT178" i="5"/>
  <c r="BU178" i="5" s="1"/>
  <c r="AB275" i="5"/>
  <c r="Y276" i="5" s="1"/>
  <c r="X276" i="5"/>
  <c r="AM272" i="5"/>
  <c r="AJ273" i="5" s="1"/>
  <c r="AI273" i="5"/>
  <c r="E211" i="5"/>
  <c r="D211" i="5" s="1"/>
  <c r="AA563" i="5" l="1"/>
  <c r="Z563" i="5" s="1"/>
  <c r="AL564" i="5"/>
  <c r="AK564" i="5"/>
  <c r="AM564" i="5" s="1"/>
  <c r="AJ565" i="5"/>
  <c r="N574" i="5"/>
  <c r="M574" i="5"/>
  <c r="CG183" i="5"/>
  <c r="CH183" i="5" s="1"/>
  <c r="CC178" i="5"/>
  <c r="AA276" i="5"/>
  <c r="Z276" i="5" s="1"/>
  <c r="AL273" i="5"/>
  <c r="AK273" i="5" s="1"/>
  <c r="F211" i="5"/>
  <c r="C212" i="5" s="1"/>
  <c r="B212" i="5"/>
  <c r="AB563" i="5" l="1"/>
  <c r="Y564" i="5"/>
  <c r="P574" i="5"/>
  <c r="O574" i="5"/>
  <c r="Q574" i="5" s="1"/>
  <c r="N575" i="5"/>
  <c r="AL565" i="5"/>
  <c r="AK565" i="5"/>
  <c r="AM565" i="5" s="1"/>
  <c r="AJ566" i="5"/>
  <c r="CP183" i="5"/>
  <c r="BW178" i="5"/>
  <c r="BV178" i="5" s="1"/>
  <c r="BX178" i="5" s="1"/>
  <c r="AB276" i="5"/>
  <c r="Y277" i="5" s="1"/>
  <c r="X277" i="5"/>
  <c r="AM273" i="5"/>
  <c r="AJ274" i="5" s="1"/>
  <c r="AI274" i="5"/>
  <c r="E212" i="5"/>
  <c r="D212" i="5" s="1"/>
  <c r="P575" i="5" l="1"/>
  <c r="O575" i="5" s="1"/>
  <c r="M575" i="5"/>
  <c r="AL566" i="5"/>
  <c r="AK566" i="5" s="1"/>
  <c r="AA564" i="5"/>
  <c r="Z564" i="5"/>
  <c r="AB564" i="5" s="1"/>
  <c r="CJ183" i="5"/>
  <c r="BT179" i="5"/>
  <c r="BU179" i="5" s="1"/>
  <c r="AA277" i="5"/>
  <c r="Z277" i="5" s="1"/>
  <c r="AL274" i="5"/>
  <c r="AK274" i="5" s="1"/>
  <c r="F212" i="5"/>
  <c r="C213" i="5" s="1"/>
  <c r="B213" i="5"/>
  <c r="AM566" i="5" l="1"/>
  <c r="AJ567" i="5"/>
  <c r="Q575" i="5"/>
  <c r="N576" i="5"/>
  <c r="M576" i="5"/>
  <c r="Y565" i="5"/>
  <c r="CI183" i="5"/>
  <c r="CK183" i="5" s="1"/>
  <c r="CC179" i="5"/>
  <c r="AB277" i="5"/>
  <c r="Y278" i="5" s="1"/>
  <c r="X278" i="5"/>
  <c r="AM274" i="5"/>
  <c r="AJ275" i="5" s="1"/>
  <c r="AI275" i="5"/>
  <c r="E213" i="5"/>
  <c r="D213" i="5" s="1"/>
  <c r="AA565" i="5" l="1"/>
  <c r="Z565" i="5" s="1"/>
  <c r="P576" i="5"/>
  <c r="O576" i="5" s="1"/>
  <c r="AL567" i="5"/>
  <c r="AK567" i="5" s="1"/>
  <c r="CG184" i="5"/>
  <c r="CH184" i="5" s="1"/>
  <c r="BW179" i="5"/>
  <c r="BV179" i="5" s="1"/>
  <c r="BX179" i="5" s="1"/>
  <c r="AA278" i="5"/>
  <c r="Z278" i="5" s="1"/>
  <c r="AL275" i="5"/>
  <c r="AK275" i="5" s="1"/>
  <c r="F213" i="5"/>
  <c r="C214" i="5" s="1"/>
  <c r="B214" i="5"/>
  <c r="AM567" i="5" l="1"/>
  <c r="AJ568" i="5"/>
  <c r="Q576" i="5"/>
  <c r="N577" i="5" s="1"/>
  <c r="M577" i="5"/>
  <c r="AB565" i="5"/>
  <c r="Y566" i="5"/>
  <c r="CP184" i="5"/>
  <c r="CJ184" i="5"/>
  <c r="BT180" i="5"/>
  <c r="BU180" i="5" s="1"/>
  <c r="AB278" i="5"/>
  <c r="Y279" i="5" s="1"/>
  <c r="X279" i="5"/>
  <c r="AM275" i="5"/>
  <c r="AJ276" i="5" s="1"/>
  <c r="AI276" i="5"/>
  <c r="E214" i="5"/>
  <c r="D214" i="5" s="1"/>
  <c r="P577" i="5" l="1"/>
  <c r="O577" i="5"/>
  <c r="Q577" i="5" s="1"/>
  <c r="AA566" i="5"/>
  <c r="Z566" i="5" s="1"/>
  <c r="AK568" i="5"/>
  <c r="AM568" i="5" s="1"/>
  <c r="AL568" i="5"/>
  <c r="CI184" i="5"/>
  <c r="CK184" i="5" s="1"/>
  <c r="CC180" i="5"/>
  <c r="AA279" i="5"/>
  <c r="Z279" i="5" s="1"/>
  <c r="AL276" i="5"/>
  <c r="AK276" i="5" s="1"/>
  <c r="F214" i="5"/>
  <c r="C215" i="5" s="1"/>
  <c r="B215" i="5"/>
  <c r="AB566" i="5" l="1"/>
  <c r="Y567" i="5"/>
  <c r="AJ569" i="5"/>
  <c r="N578" i="5"/>
  <c r="M578" i="5"/>
  <c r="CG185" i="5"/>
  <c r="CH185" i="5" s="1"/>
  <c r="BW180" i="5"/>
  <c r="BV180" i="5" s="1"/>
  <c r="BX180" i="5" s="1"/>
  <c r="AB279" i="5"/>
  <c r="X280" i="5"/>
  <c r="Y280" i="5"/>
  <c r="AM276" i="5"/>
  <c r="AJ277" i="5" s="1"/>
  <c r="AI277" i="5"/>
  <c r="E215" i="5"/>
  <c r="D215" i="5" s="1"/>
  <c r="P578" i="5" l="1"/>
  <c r="O578" i="5" s="1"/>
  <c r="AL569" i="5"/>
  <c r="AK569" i="5"/>
  <c r="AM569" i="5" s="1"/>
  <c r="AA567" i="5"/>
  <c r="Z567" i="5" s="1"/>
  <c r="CP185" i="5"/>
  <c r="CJ185" i="5"/>
  <c r="CI185" i="5" s="1"/>
  <c r="CK185" i="5" s="1"/>
  <c r="BT181" i="5"/>
  <c r="BU181" i="5" s="1"/>
  <c r="AA280" i="5"/>
  <c r="Z280" i="5" s="1"/>
  <c r="AL277" i="5"/>
  <c r="AK277" i="5" s="1"/>
  <c r="F215" i="5"/>
  <c r="C216" i="5" s="1"/>
  <c r="B216" i="5"/>
  <c r="AB567" i="5" l="1"/>
  <c r="Y568" i="5"/>
  <c r="Q578" i="5"/>
  <c r="N579" i="5"/>
  <c r="M579" i="5"/>
  <c r="AJ570" i="5"/>
  <c r="CG186" i="5"/>
  <c r="CH186" i="5" s="1"/>
  <c r="CC181" i="5"/>
  <c r="AB280" i="5"/>
  <c r="X281" i="5"/>
  <c r="Y281" i="5"/>
  <c r="AM277" i="5"/>
  <c r="AJ278" i="5" s="1"/>
  <c r="AI278" i="5"/>
  <c r="E216" i="5"/>
  <c r="D216" i="5" s="1"/>
  <c r="AL570" i="5" l="1"/>
  <c r="AK570" i="5"/>
  <c r="AM570" i="5" s="1"/>
  <c r="AJ571" i="5"/>
  <c r="O579" i="5"/>
  <c r="Q579" i="5" s="1"/>
  <c r="P579" i="5"/>
  <c r="N580" i="5"/>
  <c r="M580" i="5"/>
  <c r="AA568" i="5"/>
  <c r="Z568" i="5" s="1"/>
  <c r="CP186" i="5"/>
  <c r="BW181" i="5"/>
  <c r="BV181" i="5" s="1"/>
  <c r="BX181" i="5" s="1"/>
  <c r="AA281" i="5"/>
  <c r="Z281" i="5" s="1"/>
  <c r="AL278" i="5"/>
  <c r="AK278" i="5" s="1"/>
  <c r="F216" i="5"/>
  <c r="C217" i="5" s="1"/>
  <c r="B217" i="5"/>
  <c r="AB568" i="5" l="1"/>
  <c r="Y569" i="5"/>
  <c r="P580" i="5"/>
  <c r="O580" i="5"/>
  <c r="Q580" i="5" s="1"/>
  <c r="N581" i="5"/>
  <c r="AL571" i="5"/>
  <c r="AK571" i="5" s="1"/>
  <c r="CJ186" i="5"/>
  <c r="CI186" i="5" s="1"/>
  <c r="CK186" i="5" s="1"/>
  <c r="BT182" i="5"/>
  <c r="BU182" i="5" s="1"/>
  <c r="AB281" i="5"/>
  <c r="Y282" i="5" s="1"/>
  <c r="X282" i="5"/>
  <c r="AM278" i="5"/>
  <c r="AI279" i="5"/>
  <c r="AJ279" i="5"/>
  <c r="E217" i="5"/>
  <c r="D217" i="5" s="1"/>
  <c r="AM571" i="5" l="1"/>
  <c r="AJ572" i="5"/>
  <c r="P581" i="5"/>
  <c r="O581" i="5" s="1"/>
  <c r="M581" i="5"/>
  <c r="AA569" i="5"/>
  <c r="Z569" i="5" s="1"/>
  <c r="CG187" i="5"/>
  <c r="CH187" i="5" s="1"/>
  <c r="CC182" i="5"/>
  <c r="AA282" i="5"/>
  <c r="Z282" i="5" s="1"/>
  <c r="AL279" i="5"/>
  <c r="AK279" i="5" s="1"/>
  <c r="F217" i="5"/>
  <c r="C218" i="5" s="1"/>
  <c r="B218" i="5"/>
  <c r="AB569" i="5" l="1"/>
  <c r="Y570" i="5"/>
  <c r="Q581" i="5"/>
  <c r="N582" i="5"/>
  <c r="M582" i="5"/>
  <c r="AL572" i="5"/>
  <c r="AK572" i="5" s="1"/>
  <c r="CP187" i="5"/>
  <c r="BW182" i="5"/>
  <c r="BV182" i="5" s="1"/>
  <c r="BX182" i="5" s="1"/>
  <c r="AB282" i="5"/>
  <c r="Y283" i="5" s="1"/>
  <c r="X283" i="5"/>
  <c r="AM279" i="5"/>
  <c r="AJ280" i="5" s="1"/>
  <c r="AI280" i="5"/>
  <c r="E218" i="5"/>
  <c r="D218" i="5" s="1"/>
  <c r="AM572" i="5" l="1"/>
  <c r="AJ573" i="5"/>
  <c r="P582" i="5"/>
  <c r="O582" i="5"/>
  <c r="Q582" i="5" s="1"/>
  <c r="AA570" i="5"/>
  <c r="Z570" i="5" s="1"/>
  <c r="CJ187" i="5"/>
  <c r="CI187" i="5" s="1"/>
  <c r="CK187" i="5" s="1"/>
  <c r="BT183" i="5"/>
  <c r="BU183" i="5" s="1"/>
  <c r="AA283" i="5"/>
  <c r="Z283" i="5" s="1"/>
  <c r="AL280" i="5"/>
  <c r="AK280" i="5" s="1"/>
  <c r="AM280" i="5" s="1"/>
  <c r="F218" i="5"/>
  <c r="C219" i="5" s="1"/>
  <c r="B219" i="5"/>
  <c r="AB570" i="5" l="1"/>
  <c r="Y571" i="5"/>
  <c r="N583" i="5"/>
  <c r="M583" i="5"/>
  <c r="AL573" i="5"/>
  <c r="AK573" i="5"/>
  <c r="AM573" i="5" s="1"/>
  <c r="AJ574" i="5"/>
  <c r="CG188" i="5"/>
  <c r="CH188" i="5" s="1"/>
  <c r="CC183" i="5"/>
  <c r="AB283" i="5"/>
  <c r="Y284" i="5" s="1"/>
  <c r="X284" i="5"/>
  <c r="AJ281" i="5"/>
  <c r="AI281" i="5"/>
  <c r="E219" i="5"/>
  <c r="D219" i="5" s="1"/>
  <c r="P583" i="5" l="1"/>
  <c r="O583" i="5" s="1"/>
  <c r="AL574" i="5"/>
  <c r="AK574" i="5"/>
  <c r="AM574" i="5" s="1"/>
  <c r="AA571" i="5"/>
  <c r="Z571" i="5" s="1"/>
  <c r="CP188" i="5"/>
  <c r="BW183" i="5"/>
  <c r="BV183" i="5" s="1"/>
  <c r="BX183" i="5" s="1"/>
  <c r="AA284" i="5"/>
  <c r="Z284" i="5" s="1"/>
  <c r="AL281" i="5"/>
  <c r="AK281" i="5" s="1"/>
  <c r="F219" i="5"/>
  <c r="C220" i="5" s="1"/>
  <c r="B220" i="5"/>
  <c r="AB571" i="5" l="1"/>
  <c r="Y572" i="5"/>
  <c r="Q583" i="5"/>
  <c r="M584" i="5"/>
  <c r="N584" i="5"/>
  <c r="AJ575" i="5"/>
  <c r="CJ188" i="5"/>
  <c r="BT184" i="5"/>
  <c r="BU184" i="5" s="1"/>
  <c r="AM281" i="5"/>
  <c r="AJ282" i="5" s="1"/>
  <c r="AI282" i="5"/>
  <c r="AB284" i="5"/>
  <c r="Y285" i="5" s="1"/>
  <c r="X285" i="5"/>
  <c r="E220" i="5"/>
  <c r="D220" i="5" s="1"/>
  <c r="AL575" i="5" l="1"/>
  <c r="AK575" i="5"/>
  <c r="AM575" i="5" s="1"/>
  <c r="AJ576" i="5"/>
  <c r="P584" i="5"/>
  <c r="O584" i="5" s="1"/>
  <c r="AA572" i="5"/>
  <c r="Z572" i="5"/>
  <c r="AB572" i="5" s="1"/>
  <c r="CI188" i="5"/>
  <c r="CK188" i="5" s="1"/>
  <c r="CC184" i="5"/>
  <c r="AA285" i="5"/>
  <c r="Z285" i="5" s="1"/>
  <c r="AL282" i="5"/>
  <c r="AK282" i="5" s="1"/>
  <c r="F220" i="5"/>
  <c r="C221" i="5" s="1"/>
  <c r="B221" i="5"/>
  <c r="Q584" i="5" l="1"/>
  <c r="N585" i="5"/>
  <c r="M585" i="5"/>
  <c r="Y573" i="5"/>
  <c r="AL576" i="5"/>
  <c r="AK576" i="5"/>
  <c r="AM576" i="5" s="1"/>
  <c r="CG189" i="5"/>
  <c r="CH189" i="5" s="1"/>
  <c r="BW184" i="5"/>
  <c r="BV184" i="5" s="1"/>
  <c r="BX184" i="5" s="1"/>
  <c r="AB285" i="5"/>
  <c r="Y286" i="5" s="1"/>
  <c r="X286" i="5"/>
  <c r="AM282" i="5"/>
  <c r="AI283" i="5"/>
  <c r="AJ283" i="5"/>
  <c r="E221" i="5"/>
  <c r="D221" i="5" s="1"/>
  <c r="P585" i="5" l="1"/>
  <c r="O585" i="5" s="1"/>
  <c r="AJ577" i="5"/>
  <c r="AA573" i="5"/>
  <c r="Z573" i="5" s="1"/>
  <c r="CP189" i="5"/>
  <c r="CJ189" i="5"/>
  <c r="CI189" i="5" s="1"/>
  <c r="CK189" i="5" s="1"/>
  <c r="BT185" i="5"/>
  <c r="BU185" i="5" s="1"/>
  <c r="AA286" i="5"/>
  <c r="Z286" i="5" s="1"/>
  <c r="AL283" i="5"/>
  <c r="AK283" i="5" s="1"/>
  <c r="F221" i="5"/>
  <c r="C222" i="5" s="1"/>
  <c r="B222" i="5"/>
  <c r="AB573" i="5" l="1"/>
  <c r="Y574" i="5"/>
  <c r="Q585" i="5"/>
  <c r="M586" i="5"/>
  <c r="N586" i="5"/>
  <c r="AL577" i="5"/>
  <c r="AK577" i="5" s="1"/>
  <c r="CG190" i="5"/>
  <c r="CH190" i="5" s="1"/>
  <c r="CC185" i="5"/>
  <c r="AB286" i="5"/>
  <c r="Y287" i="5" s="1"/>
  <c r="X287" i="5"/>
  <c r="AM283" i="5"/>
  <c r="AI284" i="5"/>
  <c r="AJ284" i="5"/>
  <c r="E222" i="5"/>
  <c r="D222" i="5" s="1"/>
  <c r="AM577" i="5" l="1"/>
  <c r="AJ578" i="5"/>
  <c r="P586" i="5"/>
  <c r="O586" i="5"/>
  <c r="Q586" i="5" s="1"/>
  <c r="Z574" i="5"/>
  <c r="AB574" i="5" s="1"/>
  <c r="AA574" i="5"/>
  <c r="CP190" i="5"/>
  <c r="BW185" i="5"/>
  <c r="BV185" i="5" s="1"/>
  <c r="BX185" i="5" s="1"/>
  <c r="AA287" i="5"/>
  <c r="Z287" i="5" s="1"/>
  <c r="AL284" i="5"/>
  <c r="AK284" i="5" s="1"/>
  <c r="F222" i="5"/>
  <c r="C223" i="5" s="1"/>
  <c r="B223" i="5"/>
  <c r="N587" i="5" l="1"/>
  <c r="M587" i="5"/>
  <c r="Y575" i="5"/>
  <c r="AK578" i="5"/>
  <c r="AM578" i="5" s="1"/>
  <c r="AL578" i="5"/>
  <c r="AJ579" i="5"/>
  <c r="CJ190" i="5"/>
  <c r="CI190" i="5" s="1"/>
  <c r="CK190" i="5" s="1"/>
  <c r="BT186" i="5"/>
  <c r="BU186" i="5" s="1"/>
  <c r="AB287" i="5"/>
  <c r="Y288" i="5" s="1"/>
  <c r="X288" i="5"/>
  <c r="X289" i="5" s="1"/>
  <c r="X290" i="5" s="1"/>
  <c r="X291" i="5" s="1"/>
  <c r="X292" i="5" s="1"/>
  <c r="X293" i="5" s="1"/>
  <c r="X294" i="5" s="1"/>
  <c r="X295" i="5" s="1"/>
  <c r="X296" i="5" s="1"/>
  <c r="X297" i="5" s="1"/>
  <c r="X298" i="5" s="1"/>
  <c r="X299" i="5" s="1"/>
  <c r="X300" i="5" s="1"/>
  <c r="X301" i="5" s="1"/>
  <c r="X302" i="5" s="1"/>
  <c r="X303" i="5" s="1"/>
  <c r="X304" i="5" s="1"/>
  <c r="X305" i="5" s="1"/>
  <c r="X306" i="5" s="1"/>
  <c r="X307" i="5" s="1"/>
  <c r="X308" i="5" s="1"/>
  <c r="X309" i="5" s="1"/>
  <c r="X310" i="5" s="1"/>
  <c r="X311" i="5" s="1"/>
  <c r="X312" i="5" s="1"/>
  <c r="X313" i="5" s="1"/>
  <c r="X314" i="5" s="1"/>
  <c r="X315" i="5" s="1"/>
  <c r="X316" i="5" s="1"/>
  <c r="X317" i="5" s="1"/>
  <c r="X318" i="5" s="1"/>
  <c r="X319" i="5" s="1"/>
  <c r="X320" i="5" s="1"/>
  <c r="X321" i="5" s="1"/>
  <c r="X322" i="5" s="1"/>
  <c r="X323" i="5" s="1"/>
  <c r="X324" i="5" s="1"/>
  <c r="X325" i="5" s="1"/>
  <c r="X326" i="5" s="1"/>
  <c r="X327" i="5" s="1"/>
  <c r="X328" i="5" s="1"/>
  <c r="X329" i="5" s="1"/>
  <c r="X330" i="5" s="1"/>
  <c r="X331" i="5" s="1"/>
  <c r="X332" i="5" s="1"/>
  <c r="X333" i="5" s="1"/>
  <c r="X334" i="5" s="1"/>
  <c r="X335" i="5" s="1"/>
  <c r="X336" i="5" s="1"/>
  <c r="X337" i="5" s="1"/>
  <c r="X338" i="5" s="1"/>
  <c r="X339" i="5" s="1"/>
  <c r="X340" i="5" s="1"/>
  <c r="X341" i="5" s="1"/>
  <c r="X342" i="5" s="1"/>
  <c r="X343" i="5" s="1"/>
  <c r="X344" i="5" s="1"/>
  <c r="X345" i="5" s="1"/>
  <c r="X346" i="5" s="1"/>
  <c r="X347" i="5" s="1"/>
  <c r="X348" i="5" s="1"/>
  <c r="X349" i="5" s="1"/>
  <c r="X350" i="5" s="1"/>
  <c r="X351" i="5" s="1"/>
  <c r="X352" i="5" s="1"/>
  <c r="X353" i="5" s="1"/>
  <c r="X354" i="5" s="1"/>
  <c r="X355" i="5" s="1"/>
  <c r="X356" i="5" s="1"/>
  <c r="X357" i="5" s="1"/>
  <c r="X358" i="5" s="1"/>
  <c r="X359" i="5" s="1"/>
  <c r="X360" i="5" s="1"/>
  <c r="X361" i="5" s="1"/>
  <c r="X362" i="5" s="1"/>
  <c r="X363" i="5" s="1"/>
  <c r="X364" i="5" s="1"/>
  <c r="X365" i="5" s="1"/>
  <c r="X366" i="5" s="1"/>
  <c r="X367" i="5" s="1"/>
  <c r="X368" i="5" s="1"/>
  <c r="X369" i="5" s="1"/>
  <c r="X370" i="5" s="1"/>
  <c r="X371" i="5" s="1"/>
  <c r="X372" i="5" s="1"/>
  <c r="X373" i="5" s="1"/>
  <c r="X374" i="5" s="1"/>
  <c r="X375" i="5" s="1"/>
  <c r="X376" i="5" s="1"/>
  <c r="X377" i="5" s="1"/>
  <c r="X378" i="5" s="1"/>
  <c r="X379" i="5" s="1"/>
  <c r="X380" i="5" s="1"/>
  <c r="X381" i="5" s="1"/>
  <c r="X382" i="5" s="1"/>
  <c r="X383" i="5" s="1"/>
  <c r="X384" i="5" s="1"/>
  <c r="X385" i="5" s="1"/>
  <c r="X386" i="5" s="1"/>
  <c r="X387" i="5" s="1"/>
  <c r="X388" i="5" s="1"/>
  <c r="X389" i="5" s="1"/>
  <c r="X390" i="5" s="1"/>
  <c r="X391" i="5" s="1"/>
  <c r="X392" i="5" s="1"/>
  <c r="X393" i="5" s="1"/>
  <c r="X394" i="5" s="1"/>
  <c r="X395" i="5" s="1"/>
  <c r="X396" i="5" s="1"/>
  <c r="X397" i="5" s="1"/>
  <c r="X398" i="5" s="1"/>
  <c r="X399" i="5" s="1"/>
  <c r="X400" i="5" s="1"/>
  <c r="X401" i="5" s="1"/>
  <c r="X402" i="5" s="1"/>
  <c r="X403" i="5" s="1"/>
  <c r="X404" i="5" s="1"/>
  <c r="X405" i="5" s="1"/>
  <c r="X406" i="5" s="1"/>
  <c r="X407" i="5" s="1"/>
  <c r="X408" i="5" s="1"/>
  <c r="X409" i="5" s="1"/>
  <c r="X410" i="5" s="1"/>
  <c r="X411" i="5" s="1"/>
  <c r="X412" i="5" s="1"/>
  <c r="X413" i="5" s="1"/>
  <c r="X414" i="5" s="1"/>
  <c r="X415" i="5" s="1"/>
  <c r="X416" i="5" s="1"/>
  <c r="X417" i="5" s="1"/>
  <c r="X418" i="5" s="1"/>
  <c r="X419" i="5" s="1"/>
  <c r="X420" i="5" s="1"/>
  <c r="X421" i="5" s="1"/>
  <c r="X422" i="5" s="1"/>
  <c r="X423" i="5" s="1"/>
  <c r="X424" i="5" s="1"/>
  <c r="X425" i="5" s="1"/>
  <c r="X426" i="5" s="1"/>
  <c r="X427" i="5" s="1"/>
  <c r="X428" i="5" s="1"/>
  <c r="X429" i="5" s="1"/>
  <c r="X430" i="5" s="1"/>
  <c r="X431" i="5" s="1"/>
  <c r="X432" i="5" s="1"/>
  <c r="X433" i="5" s="1"/>
  <c r="X434" i="5" s="1"/>
  <c r="X435" i="5" s="1"/>
  <c r="X436" i="5" s="1"/>
  <c r="X437" i="5" s="1"/>
  <c r="X438" i="5" s="1"/>
  <c r="X439" i="5" s="1"/>
  <c r="X440" i="5" s="1"/>
  <c r="X441" i="5" s="1"/>
  <c r="X442" i="5" s="1"/>
  <c r="X443" i="5" s="1"/>
  <c r="X444" i="5" s="1"/>
  <c r="X445" i="5" s="1"/>
  <c r="X446" i="5" s="1"/>
  <c r="X447" i="5" s="1"/>
  <c r="X448" i="5" s="1"/>
  <c r="X449" i="5" s="1"/>
  <c r="X450" i="5" s="1"/>
  <c r="X451" i="5" s="1"/>
  <c r="X452" i="5" s="1"/>
  <c r="X453" i="5" s="1"/>
  <c r="X454" i="5" s="1"/>
  <c r="X455" i="5" s="1"/>
  <c r="X456" i="5" s="1"/>
  <c r="X457" i="5" s="1"/>
  <c r="X458" i="5" s="1"/>
  <c r="X459" i="5" s="1"/>
  <c r="X460" i="5" s="1"/>
  <c r="X461" i="5" s="1"/>
  <c r="X462" i="5" s="1"/>
  <c r="X463" i="5" s="1"/>
  <c r="X464" i="5" s="1"/>
  <c r="X465" i="5" s="1"/>
  <c r="X466" i="5" s="1"/>
  <c r="X467" i="5" s="1"/>
  <c r="X468" i="5" s="1"/>
  <c r="X469" i="5" s="1"/>
  <c r="X470" i="5" s="1"/>
  <c r="X471" i="5" s="1"/>
  <c r="X472" i="5" s="1"/>
  <c r="X473" i="5" s="1"/>
  <c r="X474" i="5" s="1"/>
  <c r="X475" i="5" s="1"/>
  <c r="X476" i="5" s="1"/>
  <c r="X477" i="5" s="1"/>
  <c r="X478" i="5" s="1"/>
  <c r="X479" i="5" s="1"/>
  <c r="X480" i="5" s="1"/>
  <c r="X481" i="5" s="1"/>
  <c r="X482" i="5" s="1"/>
  <c r="X483" i="5" s="1"/>
  <c r="X484" i="5" s="1"/>
  <c r="X485" i="5" s="1"/>
  <c r="X486" i="5" s="1"/>
  <c r="X487" i="5" s="1"/>
  <c r="X488" i="5" s="1"/>
  <c r="X489" i="5" s="1"/>
  <c r="X490" i="5" s="1"/>
  <c r="X491" i="5" s="1"/>
  <c r="X492" i="5" s="1"/>
  <c r="X493" i="5" s="1"/>
  <c r="X494" i="5" s="1"/>
  <c r="X495" i="5" s="1"/>
  <c r="X496" i="5" s="1"/>
  <c r="X497" i="5" s="1"/>
  <c r="X498" i="5" s="1"/>
  <c r="X499" i="5" s="1"/>
  <c r="X500" i="5" s="1"/>
  <c r="X501" i="5" s="1"/>
  <c r="X502" i="5" s="1"/>
  <c r="X503" i="5" s="1"/>
  <c r="X504" i="5" s="1"/>
  <c r="X505" i="5" s="1"/>
  <c r="X506" i="5" s="1"/>
  <c r="X507" i="5" s="1"/>
  <c r="X508" i="5" s="1"/>
  <c r="X509" i="5" s="1"/>
  <c r="X510" i="5" s="1"/>
  <c r="X511" i="5" s="1"/>
  <c r="X512" i="5" s="1"/>
  <c r="X513" i="5" s="1"/>
  <c r="X514" i="5" s="1"/>
  <c r="X515" i="5" s="1"/>
  <c r="X516" i="5" s="1"/>
  <c r="X517" i="5" s="1"/>
  <c r="X518" i="5" s="1"/>
  <c r="X519" i="5" s="1"/>
  <c r="X520" i="5" s="1"/>
  <c r="X521" i="5" s="1"/>
  <c r="X522" i="5" s="1"/>
  <c r="X523" i="5" s="1"/>
  <c r="X524" i="5" s="1"/>
  <c r="X525" i="5" s="1"/>
  <c r="X526" i="5" s="1"/>
  <c r="X527" i="5" s="1"/>
  <c r="X528" i="5" s="1"/>
  <c r="X529" i="5" s="1"/>
  <c r="X530" i="5" s="1"/>
  <c r="X531" i="5" s="1"/>
  <c r="X532" i="5" s="1"/>
  <c r="X533" i="5" s="1"/>
  <c r="X534" i="5" s="1"/>
  <c r="X535" i="5" s="1"/>
  <c r="X536" i="5" s="1"/>
  <c r="X537" i="5" s="1"/>
  <c r="X538" i="5" s="1"/>
  <c r="X539" i="5" s="1"/>
  <c r="X540" i="5" s="1"/>
  <c r="X541" i="5" s="1"/>
  <c r="X542" i="5" s="1"/>
  <c r="X543" i="5" s="1"/>
  <c r="X544" i="5" s="1"/>
  <c r="X545" i="5" s="1"/>
  <c r="X546" i="5" s="1"/>
  <c r="X547" i="5" s="1"/>
  <c r="X548" i="5" s="1"/>
  <c r="X549" i="5" s="1"/>
  <c r="X550" i="5" s="1"/>
  <c r="X551" i="5" s="1"/>
  <c r="X552" i="5" s="1"/>
  <c r="X553" i="5" s="1"/>
  <c r="X554" i="5" s="1"/>
  <c r="X555" i="5" s="1"/>
  <c r="X556" i="5" s="1"/>
  <c r="X557" i="5" s="1"/>
  <c r="X558" i="5" s="1"/>
  <c r="X559" i="5" s="1"/>
  <c r="X560" i="5" s="1"/>
  <c r="X561" i="5" s="1"/>
  <c r="X562" i="5" s="1"/>
  <c r="X563" i="5" s="1"/>
  <c r="X564" i="5" s="1"/>
  <c r="X565" i="5" s="1"/>
  <c r="X566" i="5" s="1"/>
  <c r="X567" i="5" s="1"/>
  <c r="X568" i="5" s="1"/>
  <c r="X569" i="5" s="1"/>
  <c r="X570" i="5" s="1"/>
  <c r="X571" i="5" s="1"/>
  <c r="X572" i="5" s="1"/>
  <c r="X573" i="5" s="1"/>
  <c r="X574" i="5" s="1"/>
  <c r="X575" i="5" s="1"/>
  <c r="AM284" i="5"/>
  <c r="AJ285" i="5" s="1"/>
  <c r="AI285" i="5"/>
  <c r="E223" i="5"/>
  <c r="D223" i="5" s="1"/>
  <c r="AL579" i="5" l="1"/>
  <c r="AK579" i="5"/>
  <c r="AM579" i="5" s="1"/>
  <c r="AA575" i="5"/>
  <c r="Z575" i="5" s="1"/>
  <c r="P587" i="5"/>
  <c r="O587" i="5" s="1"/>
  <c r="CG191" i="5"/>
  <c r="CH191" i="5" s="1"/>
  <c r="CC186" i="5"/>
  <c r="AA288" i="5"/>
  <c r="Z288" i="5" s="1"/>
  <c r="AB288" i="5" s="1"/>
  <c r="AL285" i="5"/>
  <c r="AK285" i="5" s="1"/>
  <c r="F223" i="5"/>
  <c r="C224" i="5" s="1"/>
  <c r="B224" i="5"/>
  <c r="Q587" i="5" l="1"/>
  <c r="M588" i="5"/>
  <c r="N588" i="5"/>
  <c r="AB575" i="5"/>
  <c r="Y576" i="5"/>
  <c r="X576" i="5"/>
  <c r="AJ580" i="5"/>
  <c r="CP191" i="5"/>
  <c r="BW186" i="5"/>
  <c r="BV186" i="5" s="1"/>
  <c r="BX186" i="5" s="1"/>
  <c r="AM285" i="5"/>
  <c r="AJ286" i="5" s="1"/>
  <c r="AI286" i="5"/>
  <c r="E224" i="5"/>
  <c r="D224" i="5" s="1"/>
  <c r="AL580" i="5" l="1"/>
  <c r="AK580" i="5"/>
  <c r="AM580" i="5" s="1"/>
  <c r="AJ581" i="5"/>
  <c r="Z576" i="5"/>
  <c r="AB576" i="5" s="1"/>
  <c r="AA576" i="5"/>
  <c r="P588" i="5"/>
  <c r="O588" i="5" s="1"/>
  <c r="CJ191" i="5"/>
  <c r="BT187" i="5"/>
  <c r="BU187" i="5" s="1"/>
  <c r="AL286" i="5"/>
  <c r="AK286" i="5" s="1"/>
  <c r="F224" i="5"/>
  <c r="C225" i="5" s="1"/>
  <c r="B225" i="5"/>
  <c r="Q588" i="5" l="1"/>
  <c r="M589" i="5"/>
  <c r="N589" i="5"/>
  <c r="Y577" i="5"/>
  <c r="X577" i="5"/>
  <c r="AL581" i="5"/>
  <c r="AK581" i="5" s="1"/>
  <c r="CI191" i="5"/>
  <c r="CK191" i="5" s="1"/>
  <c r="CC187" i="5"/>
  <c r="AM286" i="5"/>
  <c r="AJ287" i="5" s="1"/>
  <c r="AI287" i="5"/>
  <c r="E225" i="5"/>
  <c r="D225" i="5" s="1"/>
  <c r="AM581" i="5" l="1"/>
  <c r="AJ582" i="5"/>
  <c r="AA577" i="5"/>
  <c r="Z577" i="5"/>
  <c r="AB577" i="5" s="1"/>
  <c r="P589" i="5"/>
  <c r="O589" i="5" s="1"/>
  <c r="CG192" i="5"/>
  <c r="CH192" i="5" s="1"/>
  <c r="BW187" i="5"/>
  <c r="BV187" i="5" s="1"/>
  <c r="BX187" i="5" s="1"/>
  <c r="AL287" i="5"/>
  <c r="AK287" i="5" s="1"/>
  <c r="F225" i="5"/>
  <c r="C226" i="5" s="1"/>
  <c r="B226" i="5"/>
  <c r="Q589" i="5" l="1"/>
  <c r="M590" i="5"/>
  <c r="N590" i="5"/>
  <c r="Y578" i="5"/>
  <c r="X578" i="5"/>
  <c r="AL582" i="5"/>
  <c r="AK582" i="5"/>
  <c r="AM582" i="5" s="1"/>
  <c r="CP192" i="5"/>
  <c r="CJ192" i="5"/>
  <c r="CI192" i="5" s="1"/>
  <c r="CK192" i="5" s="1"/>
  <c r="BT188" i="5"/>
  <c r="BU188" i="5" s="1"/>
  <c r="AM287" i="5"/>
  <c r="AJ288" i="5" s="1"/>
  <c r="AI288" i="5"/>
  <c r="AI289" i="5" s="1"/>
  <c r="AI290" i="5" s="1"/>
  <c r="AI291" i="5" s="1"/>
  <c r="AI292" i="5" s="1"/>
  <c r="AI293" i="5" s="1"/>
  <c r="AI294" i="5" s="1"/>
  <c r="AI295" i="5" s="1"/>
  <c r="AI296" i="5" s="1"/>
  <c r="AI297" i="5" s="1"/>
  <c r="AI298" i="5" s="1"/>
  <c r="AI299" i="5" s="1"/>
  <c r="AI300" i="5" s="1"/>
  <c r="AI301" i="5" s="1"/>
  <c r="AI302" i="5" s="1"/>
  <c r="AI303" i="5" s="1"/>
  <c r="AI304" i="5" s="1"/>
  <c r="AI305" i="5" s="1"/>
  <c r="AI306" i="5" s="1"/>
  <c r="AI307" i="5" s="1"/>
  <c r="AI308" i="5" s="1"/>
  <c r="AI309" i="5" s="1"/>
  <c r="AI310" i="5" s="1"/>
  <c r="AI311" i="5" s="1"/>
  <c r="AI312" i="5" s="1"/>
  <c r="AI313" i="5" s="1"/>
  <c r="AI314" i="5" s="1"/>
  <c r="AI315" i="5" s="1"/>
  <c r="AI316" i="5" s="1"/>
  <c r="AI317" i="5" s="1"/>
  <c r="AI318" i="5" s="1"/>
  <c r="AI319" i="5" s="1"/>
  <c r="AI320" i="5" s="1"/>
  <c r="AI321" i="5" s="1"/>
  <c r="AI322" i="5" s="1"/>
  <c r="AI323" i="5" s="1"/>
  <c r="AI324" i="5" s="1"/>
  <c r="AI325" i="5" s="1"/>
  <c r="AI326" i="5" s="1"/>
  <c r="AI327" i="5" s="1"/>
  <c r="AI328" i="5" s="1"/>
  <c r="AI329" i="5" s="1"/>
  <c r="AI330" i="5" s="1"/>
  <c r="AI331" i="5" s="1"/>
  <c r="AI332" i="5" s="1"/>
  <c r="AI333" i="5" s="1"/>
  <c r="AI334" i="5" s="1"/>
  <c r="AI335" i="5" s="1"/>
  <c r="AI336" i="5" s="1"/>
  <c r="AI337" i="5" s="1"/>
  <c r="AI338" i="5" s="1"/>
  <c r="AI339" i="5" s="1"/>
  <c r="AI340" i="5" s="1"/>
  <c r="AI341" i="5" s="1"/>
  <c r="AI342" i="5" s="1"/>
  <c r="AI343" i="5" s="1"/>
  <c r="AI344" i="5" s="1"/>
  <c r="AI345" i="5" s="1"/>
  <c r="AI346" i="5" s="1"/>
  <c r="AI347" i="5" s="1"/>
  <c r="AI348" i="5" s="1"/>
  <c r="AI349" i="5" s="1"/>
  <c r="AI350" i="5" s="1"/>
  <c r="AI351" i="5" s="1"/>
  <c r="AI352" i="5" s="1"/>
  <c r="AI353" i="5" s="1"/>
  <c r="AI354" i="5" s="1"/>
  <c r="AI355" i="5" s="1"/>
  <c r="AI356" i="5" s="1"/>
  <c r="AI357" i="5" s="1"/>
  <c r="AI358" i="5" s="1"/>
  <c r="AI359" i="5" s="1"/>
  <c r="AI360" i="5" s="1"/>
  <c r="AI361" i="5" s="1"/>
  <c r="AI362" i="5" s="1"/>
  <c r="AI363" i="5" s="1"/>
  <c r="AI364" i="5" s="1"/>
  <c r="AI365" i="5" s="1"/>
  <c r="AI366" i="5" s="1"/>
  <c r="AI367" i="5" s="1"/>
  <c r="AI368" i="5" s="1"/>
  <c r="AI369" i="5" s="1"/>
  <c r="AI370" i="5" s="1"/>
  <c r="AI371" i="5" s="1"/>
  <c r="AI372" i="5" s="1"/>
  <c r="AI373" i="5" s="1"/>
  <c r="AI374" i="5" s="1"/>
  <c r="AI375" i="5" s="1"/>
  <c r="AI376" i="5" s="1"/>
  <c r="AI377" i="5" s="1"/>
  <c r="AI378" i="5" s="1"/>
  <c r="AI379" i="5" s="1"/>
  <c r="AI380" i="5" s="1"/>
  <c r="AI381" i="5" s="1"/>
  <c r="AI382" i="5" s="1"/>
  <c r="AI383" i="5" s="1"/>
  <c r="AI384" i="5" s="1"/>
  <c r="AI385" i="5" s="1"/>
  <c r="AI386" i="5" s="1"/>
  <c r="AI387" i="5" s="1"/>
  <c r="AI388" i="5" s="1"/>
  <c r="AI389" i="5" s="1"/>
  <c r="AI390" i="5" s="1"/>
  <c r="AI391" i="5" s="1"/>
  <c r="AI392" i="5" s="1"/>
  <c r="AI393" i="5" s="1"/>
  <c r="AI394" i="5" s="1"/>
  <c r="AI395" i="5" s="1"/>
  <c r="AI396" i="5" s="1"/>
  <c r="AI397" i="5" s="1"/>
  <c r="AI398" i="5" s="1"/>
  <c r="AI399" i="5" s="1"/>
  <c r="AI400" i="5" s="1"/>
  <c r="AI401" i="5" s="1"/>
  <c r="AI402" i="5" s="1"/>
  <c r="AI403" i="5" s="1"/>
  <c r="AI404" i="5" s="1"/>
  <c r="AI405" i="5" s="1"/>
  <c r="AI406" i="5" s="1"/>
  <c r="AI407" i="5" s="1"/>
  <c r="AI408" i="5" s="1"/>
  <c r="AI409" i="5" s="1"/>
  <c r="AI410" i="5" s="1"/>
  <c r="AI411" i="5" s="1"/>
  <c r="AI412" i="5" s="1"/>
  <c r="AI413" i="5" s="1"/>
  <c r="AI414" i="5" s="1"/>
  <c r="AI415" i="5" s="1"/>
  <c r="AI416" i="5" s="1"/>
  <c r="AI417" i="5" s="1"/>
  <c r="AI418" i="5" s="1"/>
  <c r="AI419" i="5" s="1"/>
  <c r="AI420" i="5" s="1"/>
  <c r="AI421" i="5" s="1"/>
  <c r="AI422" i="5" s="1"/>
  <c r="AI423" i="5" s="1"/>
  <c r="AI424" i="5" s="1"/>
  <c r="AI425" i="5" s="1"/>
  <c r="AI426" i="5" s="1"/>
  <c r="AI427" i="5" s="1"/>
  <c r="AI428" i="5" s="1"/>
  <c r="AI429" i="5" s="1"/>
  <c r="AI430" i="5" s="1"/>
  <c r="AI431" i="5" s="1"/>
  <c r="AI432" i="5" s="1"/>
  <c r="AI433" i="5" s="1"/>
  <c r="AI434" i="5" s="1"/>
  <c r="AI435" i="5" s="1"/>
  <c r="AI436" i="5" s="1"/>
  <c r="AI437" i="5" s="1"/>
  <c r="AI438" i="5" s="1"/>
  <c r="AI439" i="5" s="1"/>
  <c r="AI440" i="5" s="1"/>
  <c r="AI441" i="5" s="1"/>
  <c r="AI442" i="5" s="1"/>
  <c r="AI443" i="5" s="1"/>
  <c r="AI444" i="5" s="1"/>
  <c r="AI445" i="5" s="1"/>
  <c r="AI446" i="5" s="1"/>
  <c r="AI447" i="5" s="1"/>
  <c r="AI448" i="5" s="1"/>
  <c r="AI449" i="5" s="1"/>
  <c r="AI450" i="5" s="1"/>
  <c r="AI451" i="5" s="1"/>
  <c r="AI452" i="5" s="1"/>
  <c r="AI453" i="5" s="1"/>
  <c r="AI454" i="5" s="1"/>
  <c r="AI455" i="5" s="1"/>
  <c r="AI456" i="5" s="1"/>
  <c r="AI457" i="5" s="1"/>
  <c r="AI458" i="5" s="1"/>
  <c r="AI459" i="5" s="1"/>
  <c r="AI460" i="5" s="1"/>
  <c r="AI461" i="5" s="1"/>
  <c r="AI462" i="5" s="1"/>
  <c r="AI463" i="5" s="1"/>
  <c r="AI464" i="5" s="1"/>
  <c r="AI465" i="5" s="1"/>
  <c r="AI466" i="5" s="1"/>
  <c r="AI467" i="5" s="1"/>
  <c r="AI468" i="5" s="1"/>
  <c r="AI469" i="5" s="1"/>
  <c r="AI470" i="5" s="1"/>
  <c r="AI471" i="5" s="1"/>
  <c r="AI472" i="5" s="1"/>
  <c r="AI473" i="5" s="1"/>
  <c r="AI474" i="5" s="1"/>
  <c r="AI475" i="5" s="1"/>
  <c r="AI476" i="5" s="1"/>
  <c r="AI477" i="5" s="1"/>
  <c r="AI478" i="5" s="1"/>
  <c r="AI479" i="5" s="1"/>
  <c r="AI480" i="5" s="1"/>
  <c r="AI481" i="5" s="1"/>
  <c r="AI482" i="5" s="1"/>
  <c r="AI483" i="5" s="1"/>
  <c r="AI484" i="5" s="1"/>
  <c r="AI485" i="5" s="1"/>
  <c r="AI486" i="5" s="1"/>
  <c r="AI487" i="5" s="1"/>
  <c r="AI488" i="5" s="1"/>
  <c r="AI489" i="5" s="1"/>
  <c r="AI490" i="5" s="1"/>
  <c r="AI491" i="5" s="1"/>
  <c r="AI492" i="5" s="1"/>
  <c r="AI493" i="5" s="1"/>
  <c r="AI494" i="5" s="1"/>
  <c r="AI495" i="5" s="1"/>
  <c r="AI496" i="5" s="1"/>
  <c r="AI497" i="5" s="1"/>
  <c r="AI498" i="5" s="1"/>
  <c r="AI499" i="5" s="1"/>
  <c r="AI500" i="5" s="1"/>
  <c r="AI501" i="5" s="1"/>
  <c r="AI502" i="5" s="1"/>
  <c r="AI503" i="5" s="1"/>
  <c r="AI504" i="5" s="1"/>
  <c r="AI505" i="5" s="1"/>
  <c r="AI506" i="5" s="1"/>
  <c r="AI507" i="5" s="1"/>
  <c r="AI508" i="5" s="1"/>
  <c r="AI509" i="5" s="1"/>
  <c r="AI510" i="5" s="1"/>
  <c r="AI511" i="5" s="1"/>
  <c r="AI512" i="5" s="1"/>
  <c r="AI513" i="5" s="1"/>
  <c r="AI514" i="5" s="1"/>
  <c r="AI515" i="5" s="1"/>
  <c r="AI516" i="5" s="1"/>
  <c r="AI517" i="5" s="1"/>
  <c r="AI518" i="5" s="1"/>
  <c r="AI519" i="5" s="1"/>
  <c r="AI520" i="5" s="1"/>
  <c r="AI521" i="5" s="1"/>
  <c r="AI522" i="5" s="1"/>
  <c r="AI523" i="5" s="1"/>
  <c r="AI524" i="5" s="1"/>
  <c r="AI525" i="5" s="1"/>
  <c r="AI526" i="5" s="1"/>
  <c r="AI527" i="5" s="1"/>
  <c r="AI528" i="5" s="1"/>
  <c r="AI529" i="5" s="1"/>
  <c r="AI530" i="5" s="1"/>
  <c r="AI531" i="5" s="1"/>
  <c r="AI532" i="5" s="1"/>
  <c r="AI533" i="5" s="1"/>
  <c r="AI534" i="5" s="1"/>
  <c r="AI535" i="5" s="1"/>
  <c r="AI536" i="5" s="1"/>
  <c r="AI537" i="5" s="1"/>
  <c r="AI538" i="5" s="1"/>
  <c r="AI539" i="5" s="1"/>
  <c r="AI540" i="5" s="1"/>
  <c r="AI541" i="5" s="1"/>
  <c r="AI542" i="5" s="1"/>
  <c r="AI543" i="5" s="1"/>
  <c r="AI544" i="5" s="1"/>
  <c r="AI545" i="5" s="1"/>
  <c r="AI546" i="5" s="1"/>
  <c r="AI547" i="5" s="1"/>
  <c r="AI548" i="5" s="1"/>
  <c r="AI549" i="5" s="1"/>
  <c r="AI550" i="5" s="1"/>
  <c r="AI551" i="5" s="1"/>
  <c r="AI552" i="5" s="1"/>
  <c r="AI553" i="5" s="1"/>
  <c r="AI554" i="5" s="1"/>
  <c r="AI555" i="5" s="1"/>
  <c r="AI556" i="5" s="1"/>
  <c r="AI557" i="5" s="1"/>
  <c r="AI558" i="5" s="1"/>
  <c r="AI559" i="5" s="1"/>
  <c r="AI560" i="5" s="1"/>
  <c r="AI561" i="5" s="1"/>
  <c r="AI562" i="5" s="1"/>
  <c r="AI563" i="5" s="1"/>
  <c r="AI564" i="5" s="1"/>
  <c r="AI565" i="5" s="1"/>
  <c r="AI566" i="5" s="1"/>
  <c r="AI567" i="5" s="1"/>
  <c r="AI568" i="5" s="1"/>
  <c r="AI569" i="5" s="1"/>
  <c r="AI570" i="5" s="1"/>
  <c r="AI571" i="5" s="1"/>
  <c r="AI572" i="5" s="1"/>
  <c r="AI573" i="5" s="1"/>
  <c r="AI574" i="5" s="1"/>
  <c r="AI575" i="5" s="1"/>
  <c r="AI576" i="5" s="1"/>
  <c r="AI577" i="5" s="1"/>
  <c r="AI578" i="5" s="1"/>
  <c r="AI579" i="5" s="1"/>
  <c r="AI580" i="5" s="1"/>
  <c r="AI581" i="5" s="1"/>
  <c r="AI582" i="5" s="1"/>
  <c r="AI583" i="5" s="1"/>
  <c r="E226" i="5"/>
  <c r="D226" i="5" s="1"/>
  <c r="AJ583" i="5" l="1"/>
  <c r="AA578" i="5"/>
  <c r="Z578" i="5" s="1"/>
  <c r="O590" i="5"/>
  <c r="Q590" i="5" s="1"/>
  <c r="P590" i="5"/>
  <c r="CG193" i="5"/>
  <c r="CH193" i="5" s="1"/>
  <c r="CC188" i="5"/>
  <c r="AL288" i="5"/>
  <c r="AK288" i="5" s="1"/>
  <c r="AM288" i="5" s="1"/>
  <c r="F226" i="5"/>
  <c r="C227" i="5" s="1"/>
  <c r="B227" i="5"/>
  <c r="AB578" i="5" l="1"/>
  <c r="X579" i="5"/>
  <c r="Y579" i="5"/>
  <c r="M591" i="5"/>
  <c r="N591" i="5"/>
  <c r="AL583" i="5"/>
  <c r="AK583" i="5" s="1"/>
  <c r="CP193" i="5"/>
  <c r="BW188" i="5"/>
  <c r="BV188" i="5" s="1"/>
  <c r="BX188" i="5" s="1"/>
  <c r="E227" i="5"/>
  <c r="D227" i="5" s="1"/>
  <c r="AM583" i="5" l="1"/>
  <c r="AI584" i="5"/>
  <c r="AJ584" i="5"/>
  <c r="P591" i="5"/>
  <c r="O591" i="5"/>
  <c r="Q591" i="5" s="1"/>
  <c r="M592" i="5"/>
  <c r="N592" i="5"/>
  <c r="AA579" i="5"/>
  <c r="Z579" i="5" s="1"/>
  <c r="CJ193" i="5"/>
  <c r="BT189" i="5"/>
  <c r="BU189" i="5" s="1"/>
  <c r="F227" i="5"/>
  <c r="C228" i="5" s="1"/>
  <c r="B228" i="5"/>
  <c r="AB579" i="5" l="1"/>
  <c r="Y580" i="5"/>
  <c r="X580" i="5"/>
  <c r="P592" i="5"/>
  <c r="O592" i="5" s="1"/>
  <c r="AK584" i="5"/>
  <c r="AM584" i="5" s="1"/>
  <c r="AL584" i="5"/>
  <c r="CI193" i="5"/>
  <c r="CG194" i="5" s="1"/>
  <c r="CH194" i="5" s="1"/>
  <c r="CC189" i="5"/>
  <c r="E228" i="5"/>
  <c r="D228" i="5" s="1"/>
  <c r="Q592" i="5" l="1"/>
  <c r="M593" i="5"/>
  <c r="N593" i="5"/>
  <c r="AI585" i="5"/>
  <c r="AA580" i="5"/>
  <c r="Z580" i="5" s="1"/>
  <c r="AJ585" i="5"/>
  <c r="CK193" i="5"/>
  <c r="CP194" i="5"/>
  <c r="BW189" i="5"/>
  <c r="BV189" i="5" s="1"/>
  <c r="BX189" i="5" s="1"/>
  <c r="F228" i="5"/>
  <c r="C229" i="5" s="1"/>
  <c r="B229" i="5"/>
  <c r="AB580" i="5" l="1"/>
  <c r="Y581" i="5"/>
  <c r="X581" i="5"/>
  <c r="P593" i="5"/>
  <c r="O593" i="5" s="1"/>
  <c r="AL585" i="5"/>
  <c r="AK585" i="5" s="1"/>
  <c r="CJ194" i="5"/>
  <c r="CI194" i="5" s="1"/>
  <c r="CK194" i="5" s="1"/>
  <c r="BT190" i="5"/>
  <c r="BU190" i="5" s="1"/>
  <c r="E229" i="5"/>
  <c r="D229" i="5" s="1"/>
  <c r="DJ39" i="50"/>
  <c r="AM585" i="5" l="1"/>
  <c r="AJ586" i="5"/>
  <c r="AI586" i="5"/>
  <c r="Q593" i="5"/>
  <c r="N594" i="5" s="1"/>
  <c r="M594" i="5"/>
  <c r="Z581" i="5"/>
  <c r="AB581" i="5" s="1"/>
  <c r="Y582" i="5"/>
  <c r="AA581" i="5"/>
  <c r="CG195" i="5"/>
  <c r="CH195" i="5" s="1"/>
  <c r="CC190" i="5"/>
  <c r="F229" i="5"/>
  <c r="C230" i="5" s="1"/>
  <c r="B230" i="5"/>
  <c r="P594" i="5" l="1"/>
  <c r="O594" i="5" s="1"/>
  <c r="AA582" i="5"/>
  <c r="Z582" i="5"/>
  <c r="AB582" i="5" s="1"/>
  <c r="AL586" i="5"/>
  <c r="AK586" i="5" s="1"/>
  <c r="X582" i="5"/>
  <c r="CP195" i="5"/>
  <c r="BW190" i="5"/>
  <c r="BV190" i="5" s="1"/>
  <c r="BX190" i="5" s="1"/>
  <c r="E230" i="5"/>
  <c r="D230" i="5" s="1"/>
  <c r="AM586" i="5" l="1"/>
  <c r="AI587" i="5"/>
  <c r="AJ587" i="5"/>
  <c r="Q594" i="5"/>
  <c r="N595" i="5"/>
  <c r="M595" i="5"/>
  <c r="Y583" i="5"/>
  <c r="X583" i="5"/>
  <c r="CJ195" i="5"/>
  <c r="BT191" i="5"/>
  <c r="BU191" i="5" s="1"/>
  <c r="F230" i="5"/>
  <c r="C231" i="5" s="1"/>
  <c r="B231" i="5"/>
  <c r="P595" i="5" l="1"/>
  <c r="O595" i="5" s="1"/>
  <c r="AA583" i="5"/>
  <c r="Z583" i="5" s="1"/>
  <c r="AL587" i="5"/>
  <c r="AK587" i="5" s="1"/>
  <c r="CI195" i="5"/>
  <c r="CG196" i="5" s="1"/>
  <c r="CH196" i="5" s="1"/>
  <c r="CC191" i="5"/>
  <c r="E231" i="5"/>
  <c r="D231" i="5" s="1"/>
  <c r="AM587" i="5" l="1"/>
  <c r="AI588" i="5"/>
  <c r="AJ588" i="5"/>
  <c r="AB583" i="5"/>
  <c r="X584" i="5"/>
  <c r="Y584" i="5"/>
  <c r="Q595" i="5"/>
  <c r="N596" i="5"/>
  <c r="M596" i="5"/>
  <c r="CK195" i="5"/>
  <c r="CP196" i="5"/>
  <c r="BW191" i="5"/>
  <c r="BV191" i="5" s="1"/>
  <c r="BX191" i="5" s="1"/>
  <c r="F231" i="5"/>
  <c r="C232" i="5" s="1"/>
  <c r="B232" i="5"/>
  <c r="P596" i="5" l="1"/>
  <c r="O596" i="5"/>
  <c r="Q596" i="5" s="1"/>
  <c r="AA584" i="5"/>
  <c r="Z584" i="5" s="1"/>
  <c r="AL588" i="5"/>
  <c r="AK588" i="5" s="1"/>
  <c r="CJ196" i="5"/>
  <c r="BT192" i="5"/>
  <c r="BU192" i="5" s="1"/>
  <c r="E232" i="5"/>
  <c r="D232" i="5" s="1"/>
  <c r="AM588" i="5" l="1"/>
  <c r="AJ589" i="5"/>
  <c r="AI589" i="5"/>
  <c r="AB584" i="5"/>
  <c r="X585" i="5"/>
  <c r="Y585" i="5"/>
  <c r="M597" i="5"/>
  <c r="N597" i="5"/>
  <c r="CI196" i="5"/>
  <c r="CK196" i="5" s="1"/>
  <c r="CC192" i="5"/>
  <c r="F232" i="5"/>
  <c r="C233" i="5" s="1"/>
  <c r="B233" i="5"/>
  <c r="P597" i="5" l="1"/>
  <c r="O597" i="5" s="1"/>
  <c r="Z585" i="5"/>
  <c r="AB585" i="5" s="1"/>
  <c r="AA585" i="5"/>
  <c r="AK589" i="5"/>
  <c r="AM589" i="5" s="1"/>
  <c r="AL589" i="5"/>
  <c r="CG197" i="5"/>
  <c r="CH197" i="5" s="1"/>
  <c r="BW192" i="5"/>
  <c r="BV192" i="5" s="1"/>
  <c r="BX192" i="5" s="1"/>
  <c r="E233" i="5"/>
  <c r="D233" i="5" s="1"/>
  <c r="Q597" i="5" l="1"/>
  <c r="M598" i="5"/>
  <c r="N598" i="5"/>
  <c r="Y586" i="5"/>
  <c r="X586" i="5"/>
  <c r="AJ590" i="5"/>
  <c r="AI590" i="5"/>
  <c r="CP197" i="5"/>
  <c r="CJ197" i="5"/>
  <c r="BT193" i="5"/>
  <c r="BU193" i="5" s="1"/>
  <c r="F233" i="5"/>
  <c r="C234" i="5" s="1"/>
  <c r="B234" i="5"/>
  <c r="AA586" i="5" l="1"/>
  <c r="Z586" i="5" s="1"/>
  <c r="P598" i="5"/>
  <c r="O598" i="5" s="1"/>
  <c r="AL590" i="5"/>
  <c r="AK590" i="5" s="1"/>
  <c r="CI197" i="5"/>
  <c r="CK197" i="5" s="1"/>
  <c r="CC193" i="5"/>
  <c r="E234" i="5"/>
  <c r="D234" i="5" s="1"/>
  <c r="AM590" i="5" l="1"/>
  <c r="AI591" i="5"/>
  <c r="AJ591" i="5"/>
  <c r="Q598" i="5"/>
  <c r="M599" i="5"/>
  <c r="N599" i="5"/>
  <c r="AB586" i="5"/>
  <c r="X587" i="5"/>
  <c r="Y587" i="5"/>
  <c r="CG198" i="5"/>
  <c r="CH198" i="5" s="1"/>
  <c r="BW193" i="5"/>
  <c r="BV193" i="5" s="1"/>
  <c r="BX193" i="5" s="1"/>
  <c r="F234" i="5"/>
  <c r="C235" i="5" s="1"/>
  <c r="B235" i="5"/>
  <c r="AA587" i="5" l="1"/>
  <c r="Z587" i="5" s="1"/>
  <c r="P599" i="5"/>
  <c r="O599" i="5" s="1"/>
  <c r="AL591" i="5"/>
  <c r="AK591" i="5" s="1"/>
  <c r="CP198" i="5"/>
  <c r="CJ198" i="5"/>
  <c r="CI198" i="5" s="1"/>
  <c r="CK198" i="5" s="1"/>
  <c r="BT194" i="5"/>
  <c r="BU194" i="5" s="1"/>
  <c r="E235" i="5"/>
  <c r="D235" i="5" s="1"/>
  <c r="AM591" i="5" l="1"/>
  <c r="AI592" i="5"/>
  <c r="AJ592" i="5"/>
  <c r="Q599" i="5"/>
  <c r="M600" i="5"/>
  <c r="N600" i="5"/>
  <c r="AB587" i="5"/>
  <c r="Y588" i="5"/>
  <c r="X588" i="5"/>
  <c r="CG199" i="5"/>
  <c r="CH199" i="5" s="1"/>
  <c r="CC194" i="5"/>
  <c r="F235" i="5"/>
  <c r="C236" i="5" s="1"/>
  <c r="B236" i="5"/>
  <c r="AA588" i="5" l="1"/>
  <c r="Z588" i="5" s="1"/>
  <c r="P600" i="5"/>
  <c r="O600" i="5" s="1"/>
  <c r="AK592" i="5"/>
  <c r="AM592" i="5" s="1"/>
  <c r="AL592" i="5"/>
  <c r="CP199" i="5"/>
  <c r="BW194" i="5"/>
  <c r="BV194" i="5" s="1"/>
  <c r="BX194" i="5" s="1"/>
  <c r="E236" i="5"/>
  <c r="D236" i="5" s="1"/>
  <c r="Q600" i="5" l="1"/>
  <c r="M601" i="5"/>
  <c r="N601" i="5"/>
  <c r="AB588" i="5"/>
  <c r="X589" i="5"/>
  <c r="Y589" i="5"/>
  <c r="AJ593" i="5"/>
  <c r="AI593" i="5"/>
  <c r="CJ199" i="5"/>
  <c r="CI199" i="5" s="1"/>
  <c r="CK199" i="5" s="1"/>
  <c r="BT195" i="5"/>
  <c r="BU195" i="5" s="1"/>
  <c r="F236" i="5"/>
  <c r="C237" i="5" s="1"/>
  <c r="B237" i="5"/>
  <c r="AL593" i="5" l="1"/>
  <c r="AK593" i="5" s="1"/>
  <c r="AA589" i="5"/>
  <c r="Z589" i="5" s="1"/>
  <c r="P601" i="5"/>
  <c r="O601" i="5" s="1"/>
  <c r="CG200" i="5"/>
  <c r="CH200" i="5" s="1"/>
  <c r="CC195" i="5"/>
  <c r="E237" i="5"/>
  <c r="D237" i="5" s="1"/>
  <c r="Q601" i="5" l="1"/>
  <c r="M602" i="5"/>
  <c r="N602" i="5"/>
  <c r="AB589" i="5"/>
  <c r="Y590" i="5"/>
  <c r="X590" i="5"/>
  <c r="AM593" i="5"/>
  <c r="AI594" i="5"/>
  <c r="AJ594" i="5"/>
  <c r="CP200" i="5"/>
  <c r="BW195" i="5"/>
  <c r="BV195" i="5" s="1"/>
  <c r="BX195" i="5" s="1"/>
  <c r="F237" i="5"/>
  <c r="C238" i="5" s="1"/>
  <c r="B238" i="5"/>
  <c r="AL594" i="5" l="1"/>
  <c r="AK594" i="5"/>
  <c r="AM594" i="5" s="1"/>
  <c r="AA590" i="5"/>
  <c r="Z590" i="5" s="1"/>
  <c r="P602" i="5"/>
  <c r="O602" i="5" s="1"/>
  <c r="CJ200" i="5"/>
  <c r="CI200" i="5" s="1"/>
  <c r="BT196" i="5"/>
  <c r="BU196" i="5" s="1"/>
  <c r="E238" i="5"/>
  <c r="D238" i="5" s="1"/>
  <c r="Q602" i="5" l="1"/>
  <c r="M603" i="5"/>
  <c r="N603" i="5"/>
  <c r="AB590" i="5"/>
  <c r="Y591" i="5"/>
  <c r="X591" i="5"/>
  <c r="AJ595" i="5"/>
  <c r="AI595" i="5"/>
  <c r="CK200" i="5"/>
  <c r="CG201" i="5"/>
  <c r="CH201" i="5" s="1"/>
  <c r="CC196" i="5"/>
  <c r="F238" i="5"/>
  <c r="C239" i="5" s="1"/>
  <c r="B239" i="5"/>
  <c r="AL595" i="5" l="1"/>
  <c r="AK595" i="5" s="1"/>
  <c r="AA591" i="5"/>
  <c r="Z591" i="5"/>
  <c r="AB591" i="5" s="1"/>
  <c r="P603" i="5"/>
  <c r="O603" i="5" s="1"/>
  <c r="CP201" i="5"/>
  <c r="BW196" i="5"/>
  <c r="BV196" i="5" s="1"/>
  <c r="BX196" i="5" s="1"/>
  <c r="E239" i="5"/>
  <c r="D239" i="5" s="1"/>
  <c r="Q603" i="5" l="1"/>
  <c r="M604" i="5"/>
  <c r="N604" i="5"/>
  <c r="AM595" i="5"/>
  <c r="AI596" i="5"/>
  <c r="AJ596" i="5"/>
  <c r="Y592" i="5"/>
  <c r="X592" i="5"/>
  <c r="CJ201" i="5"/>
  <c r="BT197" i="5"/>
  <c r="BU197" i="5" s="1"/>
  <c r="F239" i="5"/>
  <c r="C240" i="5" s="1"/>
  <c r="B240" i="5"/>
  <c r="AA592" i="5" l="1"/>
  <c r="Z592" i="5" s="1"/>
  <c r="AL596" i="5"/>
  <c r="AK596" i="5"/>
  <c r="AM596" i="5" s="1"/>
  <c r="P604" i="5"/>
  <c r="O604" i="5" s="1"/>
  <c r="CI201" i="5"/>
  <c r="CK201" i="5" s="1"/>
  <c r="CC197" i="5"/>
  <c r="E240" i="5"/>
  <c r="D240" i="5" s="1"/>
  <c r="Q604" i="5" l="1"/>
  <c r="N605" i="5"/>
  <c r="M605" i="5"/>
  <c r="AB592" i="5"/>
  <c r="X593" i="5"/>
  <c r="Y593" i="5"/>
  <c r="AJ597" i="5"/>
  <c r="AI597" i="5"/>
  <c r="CG202" i="5"/>
  <c r="CH202" i="5" s="1"/>
  <c r="BW197" i="5"/>
  <c r="BV197" i="5" s="1"/>
  <c r="BX197" i="5" s="1"/>
  <c r="F240" i="5"/>
  <c r="C241" i="5" s="1"/>
  <c r="B241" i="5"/>
  <c r="AL597" i="5" l="1"/>
  <c r="AK597" i="5"/>
  <c r="AM597" i="5" s="1"/>
  <c r="AI598" i="5"/>
  <c r="AJ598" i="5"/>
  <c r="AA593" i="5"/>
  <c r="Z593" i="5"/>
  <c r="AB593" i="5" s="1"/>
  <c r="P605" i="5"/>
  <c r="O605" i="5" s="1"/>
  <c r="CP202" i="5"/>
  <c r="CJ202" i="5"/>
  <c r="BT198" i="5"/>
  <c r="BU198" i="5" s="1"/>
  <c r="E241" i="5"/>
  <c r="D241" i="5" s="1"/>
  <c r="Q605" i="5" l="1"/>
  <c r="N606" i="5"/>
  <c r="M606" i="5"/>
  <c r="X594" i="5"/>
  <c r="Y594" i="5"/>
  <c r="AL598" i="5"/>
  <c r="AK598" i="5"/>
  <c r="AM598" i="5" s="1"/>
  <c r="CI202" i="5"/>
  <c r="CK202" i="5" s="1"/>
  <c r="CC198" i="5"/>
  <c r="F241" i="5"/>
  <c r="C242" i="5" s="1"/>
  <c r="B242" i="5"/>
  <c r="AJ599" i="5" l="1"/>
  <c r="AI599" i="5"/>
  <c r="AA594" i="5"/>
  <c r="Z594" i="5"/>
  <c r="AB594" i="5" s="1"/>
  <c r="Y595" i="5"/>
  <c r="P606" i="5"/>
  <c r="O606" i="5" s="1"/>
  <c r="CG203" i="5"/>
  <c r="CH203" i="5" s="1"/>
  <c r="BW198" i="5"/>
  <c r="BV198" i="5" s="1"/>
  <c r="BX198" i="5" s="1"/>
  <c r="E242" i="5"/>
  <c r="D242" i="5" s="1"/>
  <c r="Q606" i="5" l="1"/>
  <c r="M607" i="5"/>
  <c r="N607" i="5"/>
  <c r="AA595" i="5"/>
  <c r="Z595" i="5"/>
  <c r="AB595" i="5" s="1"/>
  <c r="X595" i="5"/>
  <c r="AL599" i="5"/>
  <c r="AK599" i="5"/>
  <c r="AM599" i="5" s="1"/>
  <c r="AI600" i="5"/>
  <c r="AJ600" i="5"/>
  <c r="CP203" i="5"/>
  <c r="CJ203" i="5"/>
  <c r="CI203" i="5" s="1"/>
  <c r="CK203" i="5" s="1"/>
  <c r="BT199" i="5"/>
  <c r="BU199" i="5" s="1"/>
  <c r="F242" i="5"/>
  <c r="C243" i="5" s="1"/>
  <c r="B243" i="5"/>
  <c r="Y596" i="5" l="1"/>
  <c r="X596" i="5"/>
  <c r="AL600" i="5"/>
  <c r="AK600" i="5"/>
  <c r="AM600" i="5" s="1"/>
  <c r="O607" i="5"/>
  <c r="Q607" i="5" s="1"/>
  <c r="N608" i="5"/>
  <c r="P607" i="5"/>
  <c r="CG204" i="5"/>
  <c r="CH204" i="5" s="1"/>
  <c r="CC199" i="5"/>
  <c r="E243" i="5"/>
  <c r="D243" i="5" s="1"/>
  <c r="AI601" i="5" l="1"/>
  <c r="P608" i="5"/>
  <c r="O608" i="5"/>
  <c r="Q608" i="5" s="1"/>
  <c r="AA596" i="5"/>
  <c r="Z596" i="5" s="1"/>
  <c r="M608" i="5"/>
  <c r="M609" i="5" s="1"/>
  <c r="AJ601" i="5"/>
  <c r="CP204" i="5"/>
  <c r="BW199" i="5"/>
  <c r="BV199" i="5" s="1"/>
  <c r="BX199" i="5" s="1"/>
  <c r="F243" i="5"/>
  <c r="B244" i="5"/>
  <c r="C244" i="5"/>
  <c r="AB596" i="5" l="1"/>
  <c r="X597" i="5"/>
  <c r="Y597" i="5"/>
  <c r="AL601" i="5"/>
  <c r="AK601" i="5" s="1"/>
  <c r="N609" i="5"/>
  <c r="CJ204" i="5"/>
  <c r="CI204" i="5" s="1"/>
  <c r="CK204" i="5" s="1"/>
  <c r="BT200" i="5"/>
  <c r="BU200" i="5" s="1"/>
  <c r="E244" i="5"/>
  <c r="D244" i="5" s="1"/>
  <c r="AM601" i="5" l="1"/>
  <c r="AI602" i="5"/>
  <c r="AJ602" i="5"/>
  <c r="AA597" i="5"/>
  <c r="Z597" i="5" s="1"/>
  <c r="P609" i="5"/>
  <c r="O609" i="5" s="1"/>
  <c r="CG205" i="5"/>
  <c r="CH205" i="5" s="1"/>
  <c r="CC200" i="5"/>
  <c r="F244" i="5"/>
  <c r="C245" i="5" s="1"/>
  <c r="B245" i="5"/>
  <c r="Q609" i="5" l="1"/>
  <c r="N610" i="5"/>
  <c r="M610" i="5"/>
  <c r="AB597" i="5"/>
  <c r="X598" i="5"/>
  <c r="Y598" i="5"/>
  <c r="AL602" i="5"/>
  <c r="AK602" i="5" s="1"/>
  <c r="CP205" i="5"/>
  <c r="BW200" i="5"/>
  <c r="BV200" i="5" s="1"/>
  <c r="BX200" i="5" s="1"/>
  <c r="E245" i="5"/>
  <c r="D245" i="5" s="1"/>
  <c r="AM602" i="5" l="1"/>
  <c r="AI603" i="5"/>
  <c r="AJ603" i="5"/>
  <c r="AA598" i="5"/>
  <c r="Z598" i="5" s="1"/>
  <c r="O610" i="5"/>
  <c r="Q610" i="5" s="1"/>
  <c r="P610" i="5"/>
  <c r="CJ205" i="5"/>
  <c r="CI205" i="5" s="1"/>
  <c r="CK205" i="5" s="1"/>
  <c r="BT201" i="5"/>
  <c r="BU201" i="5" s="1"/>
  <c r="F245" i="5"/>
  <c r="B246" i="5"/>
  <c r="C246" i="5"/>
  <c r="AG84" i="51"/>
  <c r="AI84" i="51" s="1"/>
  <c r="AG85" i="51"/>
  <c r="AI85" i="51" s="1"/>
  <c r="AB598" i="5" l="1"/>
  <c r="X599" i="5"/>
  <c r="Y599" i="5"/>
  <c r="N611" i="5"/>
  <c r="AL603" i="5"/>
  <c r="AK603" i="5"/>
  <c r="AM603" i="5" s="1"/>
  <c r="M611" i="5"/>
  <c r="CG206" i="5"/>
  <c r="CH206" i="5" s="1"/>
  <c r="CC201" i="5"/>
  <c r="E246" i="5"/>
  <c r="D246" i="5" s="1"/>
  <c r="AG86" i="51"/>
  <c r="AI86" i="51" s="1"/>
  <c r="AG87" i="51"/>
  <c r="AI87" i="51" s="1"/>
  <c r="AJ604" i="5" l="1"/>
  <c r="AI604" i="5"/>
  <c r="P611" i="5"/>
  <c r="O611" i="5" s="1"/>
  <c r="AA599" i="5"/>
  <c r="Z599" i="5" s="1"/>
  <c r="CP206" i="5"/>
  <c r="BW201" i="5"/>
  <c r="BV201" i="5" s="1"/>
  <c r="BX201" i="5" s="1"/>
  <c r="F246" i="5"/>
  <c r="C247" i="5" s="1"/>
  <c r="B247" i="5"/>
  <c r="AG88" i="51"/>
  <c r="AI88" i="51" s="1"/>
  <c r="AB599" i="5" l="1"/>
  <c r="X600" i="5"/>
  <c r="Y600" i="5"/>
  <c r="Q611" i="5"/>
  <c r="N612" i="5"/>
  <c r="M612" i="5"/>
  <c r="AL604" i="5"/>
  <c r="AK604" i="5" s="1"/>
  <c r="CJ206" i="5"/>
  <c r="CI206" i="5" s="1"/>
  <c r="CK206" i="5" s="1"/>
  <c r="BT202" i="5"/>
  <c r="BU202" i="5" s="1"/>
  <c r="E247" i="5"/>
  <c r="D247" i="5" s="1"/>
  <c r="AG89" i="51"/>
  <c r="AI89" i="51" s="1"/>
  <c r="AM604" i="5" l="1"/>
  <c r="AJ605" i="5"/>
  <c r="AI605" i="5"/>
  <c r="P612" i="5"/>
  <c r="O612" i="5" s="1"/>
  <c r="AA600" i="5"/>
  <c r="Z600" i="5" s="1"/>
  <c r="CG207" i="5"/>
  <c r="CH207" i="5" s="1"/>
  <c r="CC202" i="5"/>
  <c r="F247" i="5"/>
  <c r="C248" i="5" s="1"/>
  <c r="B248" i="5"/>
  <c r="AG90" i="51"/>
  <c r="AI90" i="51" s="1"/>
  <c r="AB600" i="5" l="1"/>
  <c r="Y601" i="5" s="1"/>
  <c r="X601" i="5"/>
  <c r="Q612" i="5"/>
  <c r="N613" i="5" s="1"/>
  <c r="M613" i="5"/>
  <c r="AL605" i="5"/>
  <c r="AK605" i="5" s="1"/>
  <c r="CP207" i="5"/>
  <c r="BW202" i="5"/>
  <c r="BV202" i="5" s="1"/>
  <c r="BX202" i="5" s="1"/>
  <c r="E248" i="5"/>
  <c r="D248" i="5" s="1"/>
  <c r="AG91" i="51"/>
  <c r="AI91" i="51" s="1"/>
  <c r="AM605" i="5" l="1"/>
  <c r="AJ606" i="5"/>
  <c r="AI606" i="5"/>
  <c r="P613" i="5"/>
  <c r="O613" i="5"/>
  <c r="Q613" i="5" s="1"/>
  <c r="AA601" i="5"/>
  <c r="Z601" i="5"/>
  <c r="AB601" i="5" s="1"/>
  <c r="CJ207" i="5"/>
  <c r="CI207" i="5" s="1"/>
  <c r="CK207" i="5" s="1"/>
  <c r="BT203" i="5"/>
  <c r="BU203" i="5" s="1"/>
  <c r="F248" i="5"/>
  <c r="C249" i="5" s="1"/>
  <c r="B249" i="5"/>
  <c r="AG92" i="51"/>
  <c r="AI92" i="51" s="1"/>
  <c r="X602" i="5" l="1"/>
  <c r="M614" i="5"/>
  <c r="Y602" i="5"/>
  <c r="N614" i="5"/>
  <c r="AL606" i="5"/>
  <c r="AK606" i="5"/>
  <c r="AM606" i="5" s="1"/>
  <c r="AI607" i="5"/>
  <c r="AJ607" i="5"/>
  <c r="CG208" i="5"/>
  <c r="CH208" i="5" s="1"/>
  <c r="CC203" i="5"/>
  <c r="E249" i="5"/>
  <c r="D249" i="5" s="1"/>
  <c r="AG93" i="51"/>
  <c r="AI93" i="51" s="1"/>
  <c r="AL607" i="5" l="1"/>
  <c r="AK607" i="5" s="1"/>
  <c r="P614" i="5"/>
  <c r="O614" i="5"/>
  <c r="Q614" i="5" s="1"/>
  <c r="AA602" i="5"/>
  <c r="Z602" i="5"/>
  <c r="AB602" i="5" s="1"/>
  <c r="CP208" i="5"/>
  <c r="BW203" i="5"/>
  <c r="BV203" i="5" s="1"/>
  <c r="BX203" i="5" s="1"/>
  <c r="F249" i="5"/>
  <c r="C250" i="5" s="1"/>
  <c r="B250" i="5"/>
  <c r="AG94" i="51"/>
  <c r="AI94" i="51" s="1"/>
  <c r="AM607" i="5" l="1"/>
  <c r="AI608" i="5"/>
  <c r="AJ608" i="5"/>
  <c r="N615" i="5"/>
  <c r="M615" i="5"/>
  <c r="X603" i="5"/>
  <c r="Y603" i="5"/>
  <c r="CJ208" i="5"/>
  <c r="CI208" i="5" s="1"/>
  <c r="CK208" i="5" s="1"/>
  <c r="BT204" i="5"/>
  <c r="BU204" i="5" s="1"/>
  <c r="E250" i="5"/>
  <c r="D250" i="5" s="1"/>
  <c r="AG95" i="51"/>
  <c r="AI95" i="51" s="1"/>
  <c r="AA603" i="5" l="1"/>
  <c r="Z603" i="5" s="1"/>
  <c r="P615" i="5"/>
  <c r="O615" i="5"/>
  <c r="Q615" i="5" s="1"/>
  <c r="N616" i="5"/>
  <c r="AL608" i="5"/>
  <c r="AK608" i="5" s="1"/>
  <c r="CG209" i="5"/>
  <c r="CH209" i="5" s="1"/>
  <c r="CC204" i="5"/>
  <c r="F250" i="5"/>
  <c r="C251" i="5" s="1"/>
  <c r="B251" i="5"/>
  <c r="AG96" i="51"/>
  <c r="AI96" i="51" s="1"/>
  <c r="AM608" i="5" l="1"/>
  <c r="AI609" i="5"/>
  <c r="AJ609" i="5"/>
  <c r="AB603" i="5"/>
  <c r="X604" i="5"/>
  <c r="Y604" i="5"/>
  <c r="P616" i="5"/>
  <c r="O616" i="5"/>
  <c r="Q616" i="5" s="1"/>
  <c r="M616" i="5"/>
  <c r="CP209" i="5"/>
  <c r="BW204" i="5"/>
  <c r="BV204" i="5" s="1"/>
  <c r="BX204" i="5" s="1"/>
  <c r="E251" i="5"/>
  <c r="D251" i="5" s="1"/>
  <c r="AG97" i="51"/>
  <c r="AI97" i="51" s="1"/>
  <c r="N617" i="5" l="1"/>
  <c r="M617" i="5"/>
  <c r="AA604" i="5"/>
  <c r="Z604" i="5"/>
  <c r="AB604" i="5" s="1"/>
  <c r="AL609" i="5"/>
  <c r="AK609" i="5"/>
  <c r="AM609" i="5" s="1"/>
  <c r="CJ209" i="5"/>
  <c r="CI209" i="5" s="1"/>
  <c r="CK209" i="5" s="1"/>
  <c r="BT205" i="5"/>
  <c r="BU205" i="5" s="1"/>
  <c r="F251" i="5"/>
  <c r="C252" i="5" s="1"/>
  <c r="B252" i="5"/>
  <c r="AG98" i="51"/>
  <c r="AI98" i="51" s="1"/>
  <c r="X605" i="5" l="1"/>
  <c r="AI610" i="5"/>
  <c r="AJ610" i="5"/>
  <c r="Y605" i="5"/>
  <c r="P617" i="5"/>
  <c r="O617" i="5" s="1"/>
  <c r="CG210" i="5"/>
  <c r="CH210" i="5" s="1"/>
  <c r="CC205" i="5"/>
  <c r="E252" i="5"/>
  <c r="D252" i="5" s="1"/>
  <c r="AG99" i="51"/>
  <c r="AI99" i="51" s="1"/>
  <c r="Q617" i="5" l="1"/>
  <c r="N618" i="5"/>
  <c r="M618" i="5"/>
  <c r="AA605" i="5"/>
  <c r="Z605" i="5" s="1"/>
  <c r="AK610" i="5"/>
  <c r="AM610" i="5" s="1"/>
  <c r="AL610" i="5"/>
  <c r="CP210" i="5"/>
  <c r="BW205" i="5"/>
  <c r="BV205" i="5" s="1"/>
  <c r="BX205" i="5" s="1"/>
  <c r="F252" i="5"/>
  <c r="C253" i="5" s="1"/>
  <c r="B253" i="5"/>
  <c r="AG100" i="51"/>
  <c r="AI100" i="51" s="1"/>
  <c r="AB605" i="5" l="1"/>
  <c r="Y606" i="5"/>
  <c r="X606" i="5"/>
  <c r="AI611" i="5"/>
  <c r="AJ611" i="5"/>
  <c r="P618" i="5"/>
  <c r="O618" i="5" s="1"/>
  <c r="CJ210" i="5"/>
  <c r="CI210" i="5" s="1"/>
  <c r="CK210" i="5" s="1"/>
  <c r="BT206" i="5"/>
  <c r="BU206" i="5" s="1"/>
  <c r="E253" i="5"/>
  <c r="D253" i="5" s="1"/>
  <c r="Q618" i="5" l="1"/>
  <c r="N619" i="5"/>
  <c r="M619" i="5"/>
  <c r="AL611" i="5"/>
  <c r="AK611" i="5" s="1"/>
  <c r="AA606" i="5"/>
  <c r="Z606" i="5" s="1"/>
  <c r="CG211" i="5"/>
  <c r="CH211" i="5" s="1"/>
  <c r="CC206" i="5"/>
  <c r="F253" i="5"/>
  <c r="C254" i="5" s="1"/>
  <c r="B254" i="5"/>
  <c r="AB606" i="5" l="1"/>
  <c r="Y607" i="5"/>
  <c r="X607" i="5"/>
  <c r="AM611" i="5"/>
  <c r="AI612" i="5"/>
  <c r="AJ612" i="5"/>
  <c r="O619" i="5"/>
  <c r="Q619" i="5" s="1"/>
  <c r="P619" i="5"/>
  <c r="CP211" i="5"/>
  <c r="BW206" i="5"/>
  <c r="BV206" i="5" s="1"/>
  <c r="BX206" i="5" s="1"/>
  <c r="E254" i="5"/>
  <c r="D254" i="5" s="1"/>
  <c r="M620" i="5" l="1"/>
  <c r="AL612" i="5"/>
  <c r="AK612" i="5"/>
  <c r="AM612" i="5" s="1"/>
  <c r="AA607" i="5"/>
  <c r="Z607" i="5" s="1"/>
  <c r="N620" i="5"/>
  <c r="CJ211" i="5"/>
  <c r="BT207" i="5"/>
  <c r="BU207" i="5" s="1"/>
  <c r="F254" i="5"/>
  <c r="C255" i="5" s="1"/>
  <c r="B255" i="5"/>
  <c r="AB607" i="5" l="1"/>
  <c r="X608" i="5"/>
  <c r="Y608" i="5"/>
  <c r="AI613" i="5"/>
  <c r="AJ613" i="5"/>
  <c r="P620" i="5"/>
  <c r="O620" i="5"/>
  <c r="Q620" i="5" s="1"/>
  <c r="CI211" i="5"/>
  <c r="CK211" i="5" s="1"/>
  <c r="CC207" i="5"/>
  <c r="E255" i="5"/>
  <c r="D255" i="5" s="1"/>
  <c r="N621" i="5" l="1"/>
  <c r="M621" i="5"/>
  <c r="AL613" i="5"/>
  <c r="AK613" i="5" s="1"/>
  <c r="AA608" i="5"/>
  <c r="Z608" i="5" s="1"/>
  <c r="CG212" i="5"/>
  <c r="CH212" i="5" s="1"/>
  <c r="BW207" i="5"/>
  <c r="BV207" i="5" s="1"/>
  <c r="BX207" i="5" s="1"/>
  <c r="F255" i="5"/>
  <c r="C256" i="5" s="1"/>
  <c r="B256" i="5"/>
  <c r="AB608" i="5" l="1"/>
  <c r="X609" i="5"/>
  <c r="Y609" i="5"/>
  <c r="AM613" i="5"/>
  <c r="AI614" i="5"/>
  <c r="AJ614" i="5"/>
  <c r="P621" i="5"/>
  <c r="O621" i="5" s="1"/>
  <c r="CP212" i="5"/>
  <c r="CJ212" i="5"/>
  <c r="CI212" i="5" s="1"/>
  <c r="CK212" i="5" s="1"/>
  <c r="BT208" i="5"/>
  <c r="BU208" i="5" s="1"/>
  <c r="E256" i="5"/>
  <c r="D256" i="5" s="1"/>
  <c r="Q621" i="5" l="1"/>
  <c r="N622" i="5"/>
  <c r="M622" i="5"/>
  <c r="AA609" i="5"/>
  <c r="Z609" i="5"/>
  <c r="AB609" i="5" s="1"/>
  <c r="AK614" i="5"/>
  <c r="AM614" i="5" s="1"/>
  <c r="AL614" i="5"/>
  <c r="CG213" i="5"/>
  <c r="CH213" i="5" s="1"/>
  <c r="CC208" i="5"/>
  <c r="F256" i="5"/>
  <c r="C257" i="5" s="1"/>
  <c r="B257" i="5"/>
  <c r="Y610" i="5" l="1"/>
  <c r="X610" i="5"/>
  <c r="AJ615" i="5"/>
  <c r="AI615" i="5"/>
  <c r="P622" i="5"/>
  <c r="O622" i="5" s="1"/>
  <c r="CP213" i="5"/>
  <c r="BW208" i="5"/>
  <c r="BV208" i="5" s="1"/>
  <c r="BX208" i="5" s="1"/>
  <c r="E257" i="5"/>
  <c r="D257" i="5" s="1"/>
  <c r="Q622" i="5" l="1"/>
  <c r="N623" i="5"/>
  <c r="M623" i="5"/>
  <c r="AL615" i="5"/>
  <c r="AK615" i="5"/>
  <c r="AM615" i="5" s="1"/>
  <c r="AA610" i="5"/>
  <c r="Z610" i="5"/>
  <c r="AB610" i="5" s="1"/>
  <c r="CJ213" i="5"/>
  <c r="CI213" i="5" s="1"/>
  <c r="CK213" i="5" s="1"/>
  <c r="BT209" i="5"/>
  <c r="BU209" i="5" s="1"/>
  <c r="F257" i="5"/>
  <c r="C258" i="5" s="1"/>
  <c r="B258" i="5"/>
  <c r="X611" i="5" l="1"/>
  <c r="Y611" i="5"/>
  <c r="AJ616" i="5"/>
  <c r="AI616" i="5"/>
  <c r="P623" i="5"/>
  <c r="O623" i="5" s="1"/>
  <c r="CG214" i="5"/>
  <c r="CH214" i="5" s="1"/>
  <c r="CC209" i="5"/>
  <c r="E258" i="5"/>
  <c r="D258" i="5" s="1"/>
  <c r="Q623" i="5" l="1"/>
  <c r="M624" i="5"/>
  <c r="N624" i="5"/>
  <c r="AL616" i="5"/>
  <c r="AK616" i="5"/>
  <c r="AM616" i="5" s="1"/>
  <c r="AI617" i="5"/>
  <c r="AJ617" i="5"/>
  <c r="AA611" i="5"/>
  <c r="Z611" i="5"/>
  <c r="AB611" i="5" s="1"/>
  <c r="CP214" i="5"/>
  <c r="BW209" i="5"/>
  <c r="BV209" i="5" s="1"/>
  <c r="BX209" i="5" s="1"/>
  <c r="F258" i="5"/>
  <c r="C259" i="5" s="1"/>
  <c r="B259" i="5"/>
  <c r="Y612" i="5" l="1"/>
  <c r="X612" i="5"/>
  <c r="AK617" i="5"/>
  <c r="AM617" i="5" s="1"/>
  <c r="AL617" i="5"/>
  <c r="O624" i="5"/>
  <c r="Q624" i="5" s="1"/>
  <c r="M625" i="5"/>
  <c r="N625" i="5"/>
  <c r="P624" i="5"/>
  <c r="CJ214" i="5"/>
  <c r="CI214" i="5" s="1"/>
  <c r="CK214" i="5" s="1"/>
  <c r="BT210" i="5"/>
  <c r="BU210" i="5" s="1"/>
  <c r="E259" i="5"/>
  <c r="D259" i="5" s="1"/>
  <c r="P625" i="5" l="1"/>
  <c r="O625" i="5" s="1"/>
  <c r="AJ618" i="5"/>
  <c r="AA612" i="5"/>
  <c r="Z612" i="5" s="1"/>
  <c r="AI618" i="5"/>
  <c r="CG215" i="5"/>
  <c r="CH215" i="5" s="1"/>
  <c r="CC210" i="5"/>
  <c r="F259" i="5"/>
  <c r="C260" i="5" s="1"/>
  <c r="B260" i="5"/>
  <c r="AB612" i="5" l="1"/>
  <c r="X613" i="5"/>
  <c r="Y613" i="5"/>
  <c r="Q625" i="5"/>
  <c r="N626" i="5" s="1"/>
  <c r="M626" i="5"/>
  <c r="AL618" i="5"/>
  <c r="AK618" i="5"/>
  <c r="AM618" i="5" s="1"/>
  <c r="AI619" i="5"/>
  <c r="AJ619" i="5"/>
  <c r="CP215" i="5"/>
  <c r="BW210" i="5"/>
  <c r="BV210" i="5" s="1"/>
  <c r="BX210" i="5" s="1"/>
  <c r="E260" i="5"/>
  <c r="D260" i="5" s="1"/>
  <c r="P626" i="5" l="1"/>
  <c r="O626" i="5" s="1"/>
  <c r="AL619" i="5"/>
  <c r="AK619" i="5" s="1"/>
  <c r="AA613" i="5"/>
  <c r="Z613" i="5"/>
  <c r="AB613" i="5" s="1"/>
  <c r="CJ215" i="5"/>
  <c r="CI215" i="5" s="1"/>
  <c r="CK215" i="5" s="1"/>
  <c r="BT211" i="5"/>
  <c r="BU211" i="5" s="1"/>
  <c r="F260" i="5"/>
  <c r="C261" i="5" s="1"/>
  <c r="B261" i="5"/>
  <c r="AM619" i="5" l="1"/>
  <c r="AI620" i="5"/>
  <c r="AJ620" i="5"/>
  <c r="Q626" i="5"/>
  <c r="M627" i="5"/>
  <c r="N627" i="5"/>
  <c r="Y614" i="5"/>
  <c r="X614" i="5"/>
  <c r="CG216" i="5"/>
  <c r="CH216" i="5" s="1"/>
  <c r="CC211" i="5"/>
  <c r="E261" i="5"/>
  <c r="D261" i="5" s="1"/>
  <c r="AA614" i="5" l="1"/>
  <c r="Z614" i="5" s="1"/>
  <c r="P627" i="5"/>
  <c r="O627" i="5" s="1"/>
  <c r="AL620" i="5"/>
  <c r="AK620" i="5" s="1"/>
  <c r="CP216" i="5"/>
  <c r="BW211" i="5"/>
  <c r="BV211" i="5" s="1"/>
  <c r="BX211" i="5" s="1"/>
  <c r="F261" i="5"/>
  <c r="C262" i="5" s="1"/>
  <c r="B262" i="5"/>
  <c r="AM620" i="5" l="1"/>
  <c r="AI621" i="5"/>
  <c r="AJ621" i="5"/>
  <c r="Q627" i="5"/>
  <c r="M628" i="5"/>
  <c r="N628" i="5"/>
  <c r="AB614" i="5"/>
  <c r="Y615" i="5" s="1"/>
  <c r="X615" i="5"/>
  <c r="CJ216" i="5"/>
  <c r="BT212" i="5"/>
  <c r="BU212" i="5" s="1"/>
  <c r="E262" i="5"/>
  <c r="D262" i="5" s="1"/>
  <c r="AA615" i="5" l="1"/>
  <c r="Z615" i="5" s="1"/>
  <c r="AL621" i="5"/>
  <c r="AK621" i="5" s="1"/>
  <c r="P628" i="5"/>
  <c r="O628" i="5" s="1"/>
  <c r="CI216" i="5"/>
  <c r="CK216" i="5" s="1"/>
  <c r="CC212" i="5"/>
  <c r="F262" i="5"/>
  <c r="C263" i="5" s="1"/>
  <c r="B263" i="5"/>
  <c r="Q628" i="5" l="1"/>
  <c r="M629" i="5"/>
  <c r="N629" i="5"/>
  <c r="AM621" i="5"/>
  <c r="AJ622" i="5" s="1"/>
  <c r="AI622" i="5"/>
  <c r="AB615" i="5"/>
  <c r="X616" i="5"/>
  <c r="Y616" i="5"/>
  <c r="CG217" i="5"/>
  <c r="CH217" i="5" s="1"/>
  <c r="BW212" i="5"/>
  <c r="BV212" i="5" s="1"/>
  <c r="BX212" i="5" s="1"/>
  <c r="E263" i="5"/>
  <c r="D263" i="5" s="1"/>
  <c r="AL622" i="5" l="1"/>
  <c r="AK622" i="5" s="1"/>
  <c r="AA616" i="5"/>
  <c r="Z616" i="5"/>
  <c r="AB616" i="5" s="1"/>
  <c r="O629" i="5"/>
  <c r="Q629" i="5" s="1"/>
  <c r="P629" i="5"/>
  <c r="CP217" i="5"/>
  <c r="CJ217" i="5"/>
  <c r="BT213" i="5"/>
  <c r="BU213" i="5" s="1"/>
  <c r="F263" i="5"/>
  <c r="C264" i="5" s="1"/>
  <c r="B264" i="5"/>
  <c r="AM622" i="5" l="1"/>
  <c r="AI623" i="5"/>
  <c r="AJ623" i="5"/>
  <c r="X617" i="5"/>
  <c r="Y617" i="5"/>
  <c r="M630" i="5"/>
  <c r="N630" i="5"/>
  <c r="CI217" i="5"/>
  <c r="CK217" i="5" s="1"/>
  <c r="CC213" i="5"/>
  <c r="E264" i="5"/>
  <c r="D264" i="5" s="1"/>
  <c r="P630" i="5" l="1"/>
  <c r="O630" i="5" s="1"/>
  <c r="AA617" i="5"/>
  <c r="Y618" i="5"/>
  <c r="Z617" i="5"/>
  <c r="AB617" i="5" s="1"/>
  <c r="AI624" i="5"/>
  <c r="AL623" i="5"/>
  <c r="AK623" i="5"/>
  <c r="AM623" i="5" s="1"/>
  <c r="CG218" i="5"/>
  <c r="CH218" i="5" s="1"/>
  <c r="BW213" i="5"/>
  <c r="BV213" i="5" s="1"/>
  <c r="BX213" i="5" s="1"/>
  <c r="F264" i="5"/>
  <c r="C265" i="5" s="1"/>
  <c r="B265" i="5"/>
  <c r="Q630" i="5" l="1"/>
  <c r="N631" i="5"/>
  <c r="M631" i="5"/>
  <c r="AA618" i="5"/>
  <c r="Z618" i="5"/>
  <c r="AB618" i="5" s="1"/>
  <c r="X618" i="5"/>
  <c r="AJ624" i="5"/>
  <c r="CP218" i="5"/>
  <c r="CJ218" i="5"/>
  <c r="BT214" i="5"/>
  <c r="BU214" i="5" s="1"/>
  <c r="E265" i="5"/>
  <c r="D265" i="5" s="1"/>
  <c r="Y619" i="5" l="1"/>
  <c r="X619" i="5"/>
  <c r="P631" i="5"/>
  <c r="O631" i="5" s="1"/>
  <c r="AL624" i="5"/>
  <c r="AK624" i="5" s="1"/>
  <c r="CI218" i="5"/>
  <c r="CK218" i="5" s="1"/>
  <c r="CC214" i="5"/>
  <c r="F265" i="5"/>
  <c r="C266" i="5" s="1"/>
  <c r="B266" i="5"/>
  <c r="AM624" i="5" l="1"/>
  <c r="AJ625" i="5"/>
  <c r="AI625" i="5"/>
  <c r="Q631" i="5"/>
  <c r="M632" i="5"/>
  <c r="N632" i="5"/>
  <c r="AA619" i="5"/>
  <c r="Z619" i="5"/>
  <c r="AB619" i="5" s="1"/>
  <c r="CG219" i="5"/>
  <c r="CH219" i="5" s="1"/>
  <c r="BW214" i="5"/>
  <c r="BV214" i="5" s="1"/>
  <c r="BX214" i="5" s="1"/>
  <c r="E266" i="5"/>
  <c r="D266" i="5" s="1"/>
  <c r="P632" i="5" l="1"/>
  <c r="O632" i="5"/>
  <c r="Q632" i="5" s="1"/>
  <c r="Y620" i="5"/>
  <c r="X620" i="5"/>
  <c r="AL625" i="5"/>
  <c r="AK625" i="5"/>
  <c r="AM625" i="5" s="1"/>
  <c r="CP219" i="5"/>
  <c r="CJ219" i="5"/>
  <c r="CI219" i="5" s="1"/>
  <c r="CK219" i="5" s="1"/>
  <c r="BT215" i="5"/>
  <c r="BU215" i="5" s="1"/>
  <c r="F266" i="5"/>
  <c r="C267" i="5" s="1"/>
  <c r="B267" i="5"/>
  <c r="AI626" i="5" l="1"/>
  <c r="AJ626" i="5"/>
  <c r="AA620" i="5"/>
  <c r="Z620" i="5" s="1"/>
  <c r="N633" i="5"/>
  <c r="M633" i="5"/>
  <c r="CG220" i="5"/>
  <c r="CH220" i="5" s="1"/>
  <c r="CC215" i="5"/>
  <c r="E267" i="5"/>
  <c r="D267" i="5" s="1"/>
  <c r="AB620" i="5" l="1"/>
  <c r="X621" i="5"/>
  <c r="Y621" i="5"/>
  <c r="AL626" i="5"/>
  <c r="AK626" i="5" s="1"/>
  <c r="O633" i="5"/>
  <c r="Q633" i="5" s="1"/>
  <c r="P633" i="5"/>
  <c r="CP220" i="5"/>
  <c r="BW215" i="5"/>
  <c r="BV215" i="5" s="1"/>
  <c r="BX215" i="5" s="1"/>
  <c r="F267" i="5"/>
  <c r="C268" i="5" s="1"/>
  <c r="B268" i="5"/>
  <c r="AM626" i="5" l="1"/>
  <c r="AI627" i="5"/>
  <c r="AJ627" i="5"/>
  <c r="N634" i="5"/>
  <c r="AA621" i="5"/>
  <c r="Z621" i="5" s="1"/>
  <c r="M634" i="5"/>
  <c r="CJ220" i="5"/>
  <c r="CI220" i="5" s="1"/>
  <c r="CK220" i="5" s="1"/>
  <c r="BT216" i="5"/>
  <c r="BU216" i="5" s="1"/>
  <c r="E268" i="5"/>
  <c r="D268" i="5" s="1"/>
  <c r="AB621" i="5" l="1"/>
  <c r="X622" i="5"/>
  <c r="Y622" i="5"/>
  <c r="P634" i="5"/>
  <c r="O634" i="5" s="1"/>
  <c r="AL627" i="5"/>
  <c r="AK627" i="5" s="1"/>
  <c r="CG221" i="5"/>
  <c r="CH221" i="5" s="1"/>
  <c r="CC216" i="5"/>
  <c r="F268" i="5"/>
  <c r="C269" i="5" s="1"/>
  <c r="B269" i="5"/>
  <c r="AM627" i="5" l="1"/>
  <c r="AJ628" i="5"/>
  <c r="AI628" i="5"/>
  <c r="Q634" i="5"/>
  <c r="M635" i="5"/>
  <c r="N635" i="5"/>
  <c r="AA622" i="5"/>
  <c r="Z622" i="5" s="1"/>
  <c r="CP221" i="5"/>
  <c r="BW216" i="5"/>
  <c r="BV216" i="5" s="1"/>
  <c r="BX216" i="5" s="1"/>
  <c r="E269" i="5"/>
  <c r="D269" i="5" s="1"/>
  <c r="AB622" i="5" l="1"/>
  <c r="X623" i="5"/>
  <c r="Y623" i="5"/>
  <c r="P635" i="5"/>
  <c r="O635" i="5" s="1"/>
  <c r="AL628" i="5"/>
  <c r="AK628" i="5" s="1"/>
  <c r="CJ221" i="5"/>
  <c r="BT217" i="5"/>
  <c r="BU217" i="5" s="1"/>
  <c r="F269" i="5"/>
  <c r="C270" i="5" s="1"/>
  <c r="B270" i="5"/>
  <c r="AM628" i="5" l="1"/>
  <c r="AJ629" i="5"/>
  <c r="AI629" i="5"/>
  <c r="Q635" i="5"/>
  <c r="N636" i="5"/>
  <c r="M636" i="5"/>
  <c r="AA623" i="5"/>
  <c r="Z623" i="5" s="1"/>
  <c r="CI221" i="5"/>
  <c r="CK221" i="5" s="1"/>
  <c r="CC217" i="5"/>
  <c r="E270" i="5"/>
  <c r="D270" i="5" s="1"/>
  <c r="AB623" i="5" l="1"/>
  <c r="X624" i="5"/>
  <c r="Y624" i="5"/>
  <c r="P636" i="5"/>
  <c r="O636" i="5" s="1"/>
  <c r="AL629" i="5"/>
  <c r="AK629" i="5" s="1"/>
  <c r="CG222" i="5"/>
  <c r="CH222" i="5" s="1"/>
  <c r="BW217" i="5"/>
  <c r="BV217" i="5" s="1"/>
  <c r="BX217" i="5" s="1"/>
  <c r="F270" i="5"/>
  <c r="C271" i="5" s="1"/>
  <c r="B271" i="5"/>
  <c r="AM629" i="5" l="1"/>
  <c r="AJ630" i="5"/>
  <c r="AI630" i="5"/>
  <c r="Q636" i="5"/>
  <c r="M637" i="5"/>
  <c r="N637" i="5"/>
  <c r="AA624" i="5"/>
  <c r="Z624" i="5" s="1"/>
  <c r="CP222" i="5"/>
  <c r="CJ222" i="5"/>
  <c r="CI222" i="5" s="1"/>
  <c r="BT218" i="5"/>
  <c r="BU218" i="5" s="1"/>
  <c r="E271" i="5"/>
  <c r="D271" i="5" s="1"/>
  <c r="AB624" i="5" l="1"/>
  <c r="X625" i="5"/>
  <c r="Y625" i="5"/>
  <c r="P637" i="5"/>
  <c r="O637" i="5" s="1"/>
  <c r="AK630" i="5"/>
  <c r="AM630" i="5" s="1"/>
  <c r="AL630" i="5"/>
  <c r="CK222" i="5"/>
  <c r="CG223" i="5"/>
  <c r="CH223" i="5" s="1"/>
  <c r="CC218" i="5"/>
  <c r="F271" i="5"/>
  <c r="C272" i="5" s="1"/>
  <c r="B272" i="5"/>
  <c r="Q637" i="5" l="1"/>
  <c r="M638" i="5"/>
  <c r="N638" i="5"/>
  <c r="AJ631" i="5"/>
  <c r="AA625" i="5"/>
  <c r="Z625" i="5" s="1"/>
  <c r="AI631" i="5"/>
  <c r="CP223" i="5"/>
  <c r="BW218" i="5"/>
  <c r="BV218" i="5" s="1"/>
  <c r="BX218" i="5" s="1"/>
  <c r="E272" i="5"/>
  <c r="D272" i="5" s="1"/>
  <c r="AB625" i="5" l="1"/>
  <c r="Y626" i="5"/>
  <c r="X626" i="5"/>
  <c r="AL631" i="5"/>
  <c r="AK631" i="5" s="1"/>
  <c r="O638" i="5"/>
  <c r="Q638" i="5" s="1"/>
  <c r="P638" i="5"/>
  <c r="CJ223" i="5"/>
  <c r="BT219" i="5"/>
  <c r="BU219" i="5" s="1"/>
  <c r="F272" i="5"/>
  <c r="C273" i="5" s="1"/>
  <c r="B273" i="5"/>
  <c r="AM631" i="5" l="1"/>
  <c r="AI632" i="5"/>
  <c r="AJ632" i="5"/>
  <c r="N639" i="5"/>
  <c r="AA626" i="5"/>
  <c r="Z626" i="5" s="1"/>
  <c r="M639" i="5"/>
  <c r="CI223" i="5"/>
  <c r="CK223" i="5" s="1"/>
  <c r="CC219" i="5"/>
  <c r="E273" i="5"/>
  <c r="D273" i="5" s="1"/>
  <c r="AB626" i="5" l="1"/>
  <c r="X627" i="5"/>
  <c r="Y627" i="5"/>
  <c r="P639" i="5"/>
  <c r="O639" i="5" s="1"/>
  <c r="AL632" i="5"/>
  <c r="AK632" i="5" s="1"/>
  <c r="CG224" i="5"/>
  <c r="CH224" i="5" s="1"/>
  <c r="BW219" i="5"/>
  <c r="BV219" i="5" s="1"/>
  <c r="BX219" i="5" s="1"/>
  <c r="F273" i="5"/>
  <c r="C274" i="5" s="1"/>
  <c r="B274" i="5"/>
  <c r="AM632" i="5" l="1"/>
  <c r="AJ633" i="5"/>
  <c r="AI633" i="5"/>
  <c r="Q639" i="5"/>
  <c r="M640" i="5"/>
  <c r="N640" i="5"/>
  <c r="AA627" i="5"/>
  <c r="Z627" i="5" s="1"/>
  <c r="CP224" i="5"/>
  <c r="CJ224" i="5"/>
  <c r="BT220" i="5"/>
  <c r="BU220" i="5" s="1"/>
  <c r="E274" i="5"/>
  <c r="D274" i="5" s="1"/>
  <c r="AB627" i="5" l="1"/>
  <c r="X628" i="5"/>
  <c r="Y628" i="5"/>
  <c r="P640" i="5"/>
  <c r="O640" i="5" s="1"/>
  <c r="AL633" i="5"/>
  <c r="AK633" i="5" s="1"/>
  <c r="CI224" i="5"/>
  <c r="CK224" i="5" s="1"/>
  <c r="CC220" i="5"/>
  <c r="F274" i="5"/>
  <c r="C275" i="5" s="1"/>
  <c r="B275" i="5"/>
  <c r="EZ39" i="50"/>
  <c r="EN39" i="50"/>
  <c r="ET39" i="50"/>
  <c r="AM633" i="5" l="1"/>
  <c r="AI634" i="5"/>
  <c r="AJ634" i="5"/>
  <c r="Q640" i="5"/>
  <c r="M641" i="5"/>
  <c r="N641" i="5"/>
  <c r="AA628" i="5"/>
  <c r="Z628" i="5" s="1"/>
  <c r="CG225" i="5"/>
  <c r="CH225" i="5" s="1"/>
  <c r="BW220" i="5"/>
  <c r="BV220" i="5" s="1"/>
  <c r="BX220" i="5" s="1"/>
  <c r="E275" i="5"/>
  <c r="D275" i="5" s="1"/>
  <c r="AB628" i="5" l="1"/>
  <c r="Y629" i="5"/>
  <c r="X629" i="5"/>
  <c r="AL634" i="5"/>
  <c r="AK634" i="5" s="1"/>
  <c r="O641" i="5"/>
  <c r="Q641" i="5" s="1"/>
  <c r="P641" i="5"/>
  <c r="CP225" i="5"/>
  <c r="CJ225" i="5"/>
  <c r="BT221" i="5"/>
  <c r="BU221" i="5" s="1"/>
  <c r="F275" i="5"/>
  <c r="C276" i="5" s="1"/>
  <c r="B276" i="5"/>
  <c r="AM634" i="5" l="1"/>
  <c r="AI635" i="5"/>
  <c r="AJ635" i="5"/>
  <c r="M642" i="5"/>
  <c r="AA629" i="5"/>
  <c r="Z629" i="5" s="1"/>
  <c r="N642" i="5"/>
  <c r="CI225" i="5"/>
  <c r="CK225" i="5" s="1"/>
  <c r="CC221" i="5"/>
  <c r="E276" i="5"/>
  <c r="D276" i="5" s="1"/>
  <c r="AB629" i="5" l="1"/>
  <c r="X630" i="5"/>
  <c r="Y630" i="5"/>
  <c r="P642" i="5"/>
  <c r="O642" i="5" s="1"/>
  <c r="AL635" i="5"/>
  <c r="AK635" i="5" s="1"/>
  <c r="CG226" i="5"/>
  <c r="CH226" i="5" s="1"/>
  <c r="BW221" i="5"/>
  <c r="BV221" i="5" s="1"/>
  <c r="F276" i="5"/>
  <c r="C277" i="5" s="1"/>
  <c r="B277" i="5"/>
  <c r="AM635" i="5" l="1"/>
  <c r="AI636" i="5"/>
  <c r="AJ636" i="5"/>
  <c r="Q642" i="5"/>
  <c r="N643" i="5" s="1"/>
  <c r="M643" i="5"/>
  <c r="Z630" i="5"/>
  <c r="AB630" i="5" s="1"/>
  <c r="AA630" i="5"/>
  <c r="CP226" i="5"/>
  <c r="CJ226" i="5"/>
  <c r="CI226" i="5" s="1"/>
  <c r="CK226" i="5" s="1"/>
  <c r="BX221" i="5"/>
  <c r="BT222" i="5"/>
  <c r="BU222" i="5" s="1"/>
  <c r="E277" i="5"/>
  <c r="D277" i="5" s="1"/>
  <c r="P643" i="5" l="1"/>
  <c r="O643" i="5" s="1"/>
  <c r="Y631" i="5"/>
  <c r="AL636" i="5"/>
  <c r="AK636" i="5" s="1"/>
  <c r="X631" i="5"/>
  <c r="CG227" i="5"/>
  <c r="CH227" i="5" s="1"/>
  <c r="CC222" i="5"/>
  <c r="F277" i="5"/>
  <c r="C278" i="5" s="1"/>
  <c r="B278" i="5"/>
  <c r="AM636" i="5" l="1"/>
  <c r="AJ637" i="5"/>
  <c r="AI637" i="5"/>
  <c r="Q643" i="5"/>
  <c r="N644" i="5"/>
  <c r="M644" i="5"/>
  <c r="AA631" i="5"/>
  <c r="Z631" i="5" s="1"/>
  <c r="CP227" i="5"/>
  <c r="BW222" i="5"/>
  <c r="BV222" i="5" s="1"/>
  <c r="BX222" i="5" s="1"/>
  <c r="E278" i="5"/>
  <c r="D278" i="5" s="1"/>
  <c r="AB631" i="5" l="1"/>
  <c r="X632" i="5"/>
  <c r="Y632" i="5"/>
  <c r="P644" i="5"/>
  <c r="O644" i="5"/>
  <c r="Q644" i="5" s="1"/>
  <c r="AL637" i="5"/>
  <c r="AK637" i="5" s="1"/>
  <c r="CJ227" i="5"/>
  <c r="BT223" i="5"/>
  <c r="BU223" i="5" s="1"/>
  <c r="F278" i="5"/>
  <c r="C279" i="5" s="1"/>
  <c r="B279" i="5"/>
  <c r="AM637" i="5" l="1"/>
  <c r="AI638" i="5"/>
  <c r="AJ638" i="5"/>
  <c r="N645" i="5"/>
  <c r="M645" i="5"/>
  <c r="AA632" i="5"/>
  <c r="Z632" i="5" s="1"/>
  <c r="CI227" i="5"/>
  <c r="CK227" i="5" s="1"/>
  <c r="CC223" i="5"/>
  <c r="E279" i="5"/>
  <c r="D279" i="5" s="1"/>
  <c r="AB632" i="5" l="1"/>
  <c r="X633" i="5"/>
  <c r="Y633" i="5"/>
  <c r="P645" i="5"/>
  <c r="O645" i="5" s="1"/>
  <c r="AL638" i="5"/>
  <c r="AK638" i="5" s="1"/>
  <c r="CG228" i="5"/>
  <c r="CH228" i="5" s="1"/>
  <c r="BW223" i="5"/>
  <c r="BV223" i="5" s="1"/>
  <c r="F279" i="5"/>
  <c r="C280" i="5" s="1"/>
  <c r="B280" i="5"/>
  <c r="AM638" i="5" l="1"/>
  <c r="AI639" i="5"/>
  <c r="AJ639" i="5"/>
  <c r="Q645" i="5"/>
  <c r="N646" i="5"/>
  <c r="M646" i="5"/>
  <c r="AA633" i="5"/>
  <c r="Z633" i="5" s="1"/>
  <c r="CP228" i="5"/>
  <c r="CJ228" i="5"/>
  <c r="CI228" i="5" s="1"/>
  <c r="CK228" i="5" s="1"/>
  <c r="BX223" i="5"/>
  <c r="BT224" i="5"/>
  <c r="BU224" i="5" s="1"/>
  <c r="E280" i="5"/>
  <c r="D280" i="5" s="1"/>
  <c r="AB633" i="5" l="1"/>
  <c r="Y634" i="5"/>
  <c r="X634" i="5"/>
  <c r="P646" i="5"/>
  <c r="O646" i="5" s="1"/>
  <c r="AL639" i="5"/>
  <c r="AK639" i="5"/>
  <c r="AM639" i="5" s="1"/>
  <c r="AJ640" i="5"/>
  <c r="CG229" i="5"/>
  <c r="CH229" i="5" s="1"/>
  <c r="CC224" i="5"/>
  <c r="F280" i="5"/>
  <c r="C281" i="5" s="1"/>
  <c r="B281" i="5"/>
  <c r="Q646" i="5" l="1"/>
  <c r="N647" i="5"/>
  <c r="M647" i="5"/>
  <c r="AL640" i="5"/>
  <c r="AK640" i="5" s="1"/>
  <c r="AI640" i="5"/>
  <c r="AA634" i="5"/>
  <c r="Z634" i="5" s="1"/>
  <c r="CP229" i="5"/>
  <c r="BW224" i="5"/>
  <c r="BV224" i="5" s="1"/>
  <c r="BX224" i="5" s="1"/>
  <c r="E281" i="5"/>
  <c r="D281" i="5" s="1"/>
  <c r="AB634" i="5" l="1"/>
  <c r="X635" i="5"/>
  <c r="Y635" i="5"/>
  <c r="AM640" i="5"/>
  <c r="AI641" i="5"/>
  <c r="AJ641" i="5"/>
  <c r="P647" i="5"/>
  <c r="O647" i="5"/>
  <c r="Q647" i="5" s="1"/>
  <c r="CJ229" i="5"/>
  <c r="BT225" i="5"/>
  <c r="BU225" i="5" s="1"/>
  <c r="F281" i="5"/>
  <c r="C282" i="5" s="1"/>
  <c r="B282" i="5"/>
  <c r="AL641" i="5" l="1"/>
  <c r="AK641" i="5" s="1"/>
  <c r="N648" i="5"/>
  <c r="M648" i="5"/>
  <c r="AA635" i="5"/>
  <c r="Z635" i="5" s="1"/>
  <c r="CI229" i="5"/>
  <c r="CK229" i="5" s="1"/>
  <c r="CC225" i="5"/>
  <c r="E282" i="5"/>
  <c r="D282" i="5" s="1"/>
  <c r="AB635" i="5" l="1"/>
  <c r="X636" i="5"/>
  <c r="Y636" i="5"/>
  <c r="AM641" i="5"/>
  <c r="AI642" i="5"/>
  <c r="AJ642" i="5"/>
  <c r="O648" i="5"/>
  <c r="Q648" i="5" s="1"/>
  <c r="P648" i="5"/>
  <c r="CG230" i="5"/>
  <c r="CH230" i="5" s="1"/>
  <c r="BW225" i="5"/>
  <c r="BV225" i="5" s="1"/>
  <c r="BX225" i="5" s="1"/>
  <c r="F282" i="5"/>
  <c r="C283" i="5" s="1"/>
  <c r="B283" i="5"/>
  <c r="M649" i="5" l="1"/>
  <c r="AL642" i="5"/>
  <c r="AK642" i="5" s="1"/>
  <c r="AA636" i="5"/>
  <c r="Z636" i="5"/>
  <c r="AB636" i="5" s="1"/>
  <c r="N649" i="5"/>
  <c r="CP230" i="5"/>
  <c r="CJ230" i="5"/>
  <c r="BT226" i="5"/>
  <c r="BU226" i="5" s="1"/>
  <c r="E283" i="5"/>
  <c r="D283" i="5" s="1"/>
  <c r="AM642" i="5" l="1"/>
  <c r="AI643" i="5"/>
  <c r="AJ643" i="5"/>
  <c r="P649" i="5"/>
  <c r="O649" i="5" s="1"/>
  <c r="Y637" i="5"/>
  <c r="X637" i="5"/>
  <c r="CI230" i="5"/>
  <c r="CK230" i="5" s="1"/>
  <c r="CC226" i="5"/>
  <c r="F283" i="5"/>
  <c r="C284" i="5" s="1"/>
  <c r="B284" i="5"/>
  <c r="Q649" i="5" l="1"/>
  <c r="N650" i="5"/>
  <c r="M650" i="5"/>
  <c r="AA637" i="5"/>
  <c r="Z637" i="5" s="1"/>
  <c r="AK643" i="5"/>
  <c r="AM643" i="5" s="1"/>
  <c r="AL643" i="5"/>
  <c r="CG231" i="5"/>
  <c r="CH231" i="5" s="1"/>
  <c r="BW226" i="5"/>
  <c r="BV226" i="5" s="1"/>
  <c r="BX226" i="5" s="1"/>
  <c r="E284" i="5"/>
  <c r="D284" i="5" s="1"/>
  <c r="AB637" i="5" l="1"/>
  <c r="Y638" i="5"/>
  <c r="X638" i="5"/>
  <c r="AI644" i="5"/>
  <c r="P650" i="5"/>
  <c r="O650" i="5" s="1"/>
  <c r="AJ644" i="5"/>
  <c r="CP231" i="5"/>
  <c r="CJ231" i="5"/>
  <c r="CI231" i="5" s="1"/>
  <c r="CK231" i="5" s="1"/>
  <c r="BT227" i="5"/>
  <c r="BU227" i="5" s="1"/>
  <c r="F284" i="5"/>
  <c r="C285" i="5" s="1"/>
  <c r="B285" i="5"/>
  <c r="Q650" i="5" l="1"/>
  <c r="N651" i="5"/>
  <c r="M651" i="5"/>
  <c r="AA638" i="5"/>
  <c r="Z638" i="5" s="1"/>
  <c r="AL644" i="5"/>
  <c r="AK644" i="5" s="1"/>
  <c r="CG232" i="5"/>
  <c r="CH232" i="5" s="1"/>
  <c r="CC227" i="5"/>
  <c r="E285" i="5"/>
  <c r="D285" i="5" s="1"/>
  <c r="AM644" i="5" l="1"/>
  <c r="AJ645" i="5"/>
  <c r="AI645" i="5"/>
  <c r="AB638" i="5"/>
  <c r="Y639" i="5"/>
  <c r="X639" i="5"/>
  <c r="P651" i="5"/>
  <c r="O651" i="5" s="1"/>
  <c r="CP232" i="5"/>
  <c r="BW227" i="5"/>
  <c r="BV227" i="5" s="1"/>
  <c r="BX227" i="5" s="1"/>
  <c r="F285" i="5"/>
  <c r="C286" i="5" s="1"/>
  <c r="B286" i="5"/>
  <c r="Q651" i="5" l="1"/>
  <c r="N652" i="5"/>
  <c r="M652" i="5"/>
  <c r="AA639" i="5"/>
  <c r="Z639" i="5" s="1"/>
  <c r="AJ646" i="5"/>
  <c r="AL645" i="5"/>
  <c r="AK645" i="5"/>
  <c r="AM645" i="5" s="1"/>
  <c r="CJ232" i="5"/>
  <c r="CI232" i="5" s="1"/>
  <c r="CK232" i="5" s="1"/>
  <c r="BT228" i="5"/>
  <c r="BU228" i="5" s="1"/>
  <c r="E286" i="5"/>
  <c r="D286" i="5" s="1"/>
  <c r="AB639" i="5" l="1"/>
  <c r="X640" i="5"/>
  <c r="Y640" i="5"/>
  <c r="AL646" i="5"/>
  <c r="AK646" i="5" s="1"/>
  <c r="AI646" i="5"/>
  <c r="P652" i="5"/>
  <c r="O652" i="5" s="1"/>
  <c r="CG233" i="5"/>
  <c r="CH233" i="5" s="1"/>
  <c r="CC228" i="5"/>
  <c r="F286" i="5"/>
  <c r="C287" i="5" s="1"/>
  <c r="B287" i="5"/>
  <c r="Q652" i="5" l="1"/>
  <c r="M653" i="5"/>
  <c r="N653" i="5"/>
  <c r="AM646" i="5"/>
  <c r="AJ647" i="5"/>
  <c r="AI647" i="5"/>
  <c r="Y641" i="5"/>
  <c r="Z640" i="5"/>
  <c r="AB640" i="5" s="1"/>
  <c r="AA640" i="5"/>
  <c r="CP233" i="5"/>
  <c r="BW228" i="5"/>
  <c r="BV228" i="5" s="1"/>
  <c r="BX228" i="5" s="1"/>
  <c r="E287" i="5"/>
  <c r="D287" i="5" s="1"/>
  <c r="AA641" i="5" l="1"/>
  <c r="Z641" i="5" s="1"/>
  <c r="AL647" i="5"/>
  <c r="AK647" i="5"/>
  <c r="AM647" i="5" s="1"/>
  <c r="O653" i="5"/>
  <c r="Q653" i="5" s="1"/>
  <c r="P653" i="5"/>
  <c r="X641" i="5"/>
  <c r="CJ233" i="5"/>
  <c r="BT229" i="5"/>
  <c r="BU229" i="5" s="1"/>
  <c r="F287" i="5"/>
  <c r="C288" i="5" s="1"/>
  <c r="B288" i="5"/>
  <c r="AB641" i="5" l="1"/>
  <c r="X642" i="5"/>
  <c r="Y642" i="5"/>
  <c r="AI648" i="5"/>
  <c r="AJ648" i="5"/>
  <c r="N654" i="5"/>
  <c r="M654" i="5"/>
  <c r="CI233" i="5"/>
  <c r="CK233" i="5" s="1"/>
  <c r="CC229" i="5"/>
  <c r="H2" i="5"/>
  <c r="E288" i="5"/>
  <c r="D288" i="5" s="1"/>
  <c r="B289" i="5" l="1"/>
  <c r="P654" i="5"/>
  <c r="O654" i="5" s="1"/>
  <c r="AL648" i="5"/>
  <c r="AK648" i="5" s="1"/>
  <c r="Y643" i="5"/>
  <c r="AA642" i="5"/>
  <c r="Z642" i="5"/>
  <c r="AB642" i="5" s="1"/>
  <c r="CG234" i="5"/>
  <c r="CH234" i="5" s="1"/>
  <c r="BW229" i="5"/>
  <c r="BV229" i="5" s="1"/>
  <c r="BX229" i="5" s="1"/>
  <c r="F288" i="5"/>
  <c r="C289" i="5" s="1"/>
  <c r="E289" i="5" l="1"/>
  <c r="D289" i="5" s="1"/>
  <c r="F289" i="5" s="1"/>
  <c r="C290" i="5"/>
  <c r="B290" i="5"/>
  <c r="AM648" i="5"/>
  <c r="AI649" i="5"/>
  <c r="AJ649" i="5"/>
  <c r="Q654" i="5"/>
  <c r="M655" i="5"/>
  <c r="N655" i="5"/>
  <c r="AA643" i="5"/>
  <c r="Z643" i="5"/>
  <c r="AB643" i="5" s="1"/>
  <c r="CP234" i="5"/>
  <c r="X643" i="5"/>
  <c r="CJ234" i="5"/>
  <c r="BT230" i="5"/>
  <c r="BU230" i="5" s="1"/>
  <c r="E290" i="5" l="1"/>
  <c r="D290" i="5" s="1"/>
  <c r="X644" i="5"/>
  <c r="P655" i="5"/>
  <c r="O655" i="5" s="1"/>
  <c r="AL649" i="5"/>
  <c r="AK649" i="5"/>
  <c r="AM649" i="5" s="1"/>
  <c r="Y644" i="5"/>
  <c r="CI234" i="5"/>
  <c r="CK234" i="5" s="1"/>
  <c r="CC230" i="5"/>
  <c r="F290" i="5" l="1"/>
  <c r="C291" i="5" s="1"/>
  <c r="B291" i="5"/>
  <c r="Q655" i="5"/>
  <c r="N656" i="5"/>
  <c r="M656" i="5"/>
  <c r="AI650" i="5"/>
  <c r="AJ650" i="5"/>
  <c r="Z644" i="5"/>
  <c r="AB644" i="5" s="1"/>
  <c r="X645" i="5"/>
  <c r="Y645" i="5"/>
  <c r="AA644" i="5"/>
  <c r="CG235" i="5"/>
  <c r="CH235" i="5" s="1"/>
  <c r="BW230" i="5"/>
  <c r="BV230" i="5" s="1"/>
  <c r="BX230" i="5" s="1"/>
  <c r="E291" i="5" l="1"/>
  <c r="D291" i="5" s="1"/>
  <c r="F291" i="5" s="1"/>
  <c r="C292" i="5"/>
  <c r="B292" i="5"/>
  <c r="AA645" i="5"/>
  <c r="Z645" i="5"/>
  <c r="AB645" i="5" s="1"/>
  <c r="AL650" i="5"/>
  <c r="AK650" i="5" s="1"/>
  <c r="P656" i="5"/>
  <c r="O656" i="5" s="1"/>
  <c r="CP235" i="5"/>
  <c r="CJ235" i="5"/>
  <c r="CI235" i="5" s="1"/>
  <c r="CK235" i="5" s="1"/>
  <c r="BT231" i="5"/>
  <c r="BU231" i="5" s="1"/>
  <c r="E292" i="5" l="1"/>
  <c r="D292" i="5" s="1"/>
  <c r="F292" i="5" s="1"/>
  <c r="C293" i="5" s="1"/>
  <c r="B293" i="5"/>
  <c r="Q656" i="5"/>
  <c r="N657" i="5"/>
  <c r="M657" i="5"/>
  <c r="AM650" i="5"/>
  <c r="AI651" i="5"/>
  <c r="AJ651" i="5"/>
  <c r="X646" i="5"/>
  <c r="Y646" i="5"/>
  <c r="CG236" i="5"/>
  <c r="CH236" i="5" s="1"/>
  <c r="CC231" i="5"/>
  <c r="E293" i="5" l="1"/>
  <c r="D293" i="5" s="1"/>
  <c r="F293" i="5" s="1"/>
  <c r="C294" i="5"/>
  <c r="B294" i="5"/>
  <c r="AL651" i="5"/>
  <c r="AK651" i="5"/>
  <c r="AM651" i="5" s="1"/>
  <c r="AA646" i="5"/>
  <c r="Z646" i="5"/>
  <c r="AB646" i="5" s="1"/>
  <c r="O657" i="5"/>
  <c r="Q657" i="5" s="1"/>
  <c r="P657" i="5"/>
  <c r="CP236" i="5"/>
  <c r="BW231" i="5"/>
  <c r="BV231" i="5" s="1"/>
  <c r="BX231" i="5" s="1"/>
  <c r="E294" i="5" l="1"/>
  <c r="D294" i="5" s="1"/>
  <c r="F294" i="5" s="1"/>
  <c r="C295" i="5"/>
  <c r="B295" i="5"/>
  <c r="AI652" i="5"/>
  <c r="AJ652" i="5"/>
  <c r="N658" i="5"/>
  <c r="M658" i="5"/>
  <c r="X647" i="5"/>
  <c r="Y647" i="5"/>
  <c r="CJ236" i="5"/>
  <c r="BT232" i="5"/>
  <c r="BU232" i="5" s="1"/>
  <c r="E295" i="5" l="1"/>
  <c r="D295" i="5" s="1"/>
  <c r="F295" i="5" s="1"/>
  <c r="C296" i="5" s="1"/>
  <c r="B296" i="5"/>
  <c r="O658" i="5"/>
  <c r="Q658" i="5" s="1"/>
  <c r="P658" i="5"/>
  <c r="M659" i="5"/>
  <c r="N659" i="5"/>
  <c r="AL652" i="5"/>
  <c r="AK652" i="5" s="1"/>
  <c r="Z647" i="5"/>
  <c r="AB647" i="5" s="1"/>
  <c r="AA647" i="5"/>
  <c r="X648" i="5"/>
  <c r="Y648" i="5"/>
  <c r="CI236" i="5"/>
  <c r="CK236" i="5" s="1"/>
  <c r="CC232" i="5"/>
  <c r="E296" i="5" l="1"/>
  <c r="D296" i="5" s="1"/>
  <c r="F296" i="5" s="1"/>
  <c r="C297" i="5" s="1"/>
  <c r="B297" i="5"/>
  <c r="AM652" i="5"/>
  <c r="AI653" i="5"/>
  <c r="AJ653" i="5"/>
  <c r="AA648" i="5"/>
  <c r="Z648" i="5"/>
  <c r="AB648" i="5" s="1"/>
  <c r="P659" i="5"/>
  <c r="O659" i="5" s="1"/>
  <c r="CG237" i="5"/>
  <c r="CH237" i="5" s="1"/>
  <c r="BW232" i="5"/>
  <c r="BV232" i="5" s="1"/>
  <c r="BX232" i="5" s="1"/>
  <c r="E297" i="5" l="1"/>
  <c r="D297" i="5" s="1"/>
  <c r="F297" i="5" s="1"/>
  <c r="C298" i="5"/>
  <c r="B298" i="5"/>
  <c r="Q659" i="5"/>
  <c r="N660" i="5"/>
  <c r="M660" i="5"/>
  <c r="AL653" i="5"/>
  <c r="AK653" i="5"/>
  <c r="AM653" i="5" s="1"/>
  <c r="X649" i="5"/>
  <c r="Y649" i="5"/>
  <c r="CP237" i="5"/>
  <c r="CJ237" i="5"/>
  <c r="BT233" i="5"/>
  <c r="BU233" i="5" s="1"/>
  <c r="E298" i="5" l="1"/>
  <c r="D298" i="5" s="1"/>
  <c r="F298" i="5" s="1"/>
  <c r="C299" i="5" s="1"/>
  <c r="B299" i="5"/>
  <c r="AI654" i="5"/>
  <c r="P660" i="5"/>
  <c r="O660" i="5" s="1"/>
  <c r="AJ654" i="5"/>
  <c r="AA649" i="5"/>
  <c r="Z649" i="5" s="1"/>
  <c r="CI237" i="5"/>
  <c r="CK237" i="5" s="1"/>
  <c r="CC233" i="5"/>
  <c r="X36" i="50"/>
  <c r="E35" i="51" s="1"/>
  <c r="E299" i="5" l="1"/>
  <c r="D299" i="5" s="1"/>
  <c r="F299" i="5" s="1"/>
  <c r="C300" i="5" s="1"/>
  <c r="B300" i="5"/>
  <c r="AB649" i="5"/>
  <c r="X650" i="5"/>
  <c r="Y650" i="5"/>
  <c r="Q660" i="5"/>
  <c r="N661" i="5" s="1"/>
  <c r="M661" i="5"/>
  <c r="AL654" i="5"/>
  <c r="AK654" i="5" s="1"/>
  <c r="CG238" i="5"/>
  <c r="CH238" i="5" s="1"/>
  <c r="BW233" i="5"/>
  <c r="BV233" i="5" s="1"/>
  <c r="BX233" i="5" s="1"/>
  <c r="E300" i="5" l="1"/>
  <c r="D300" i="5" s="1"/>
  <c r="F300" i="5" s="1"/>
  <c r="C301" i="5"/>
  <c r="B301" i="5"/>
  <c r="AM654" i="5"/>
  <c r="AJ655" i="5"/>
  <c r="AI655" i="5"/>
  <c r="P661" i="5"/>
  <c r="O661" i="5" s="1"/>
  <c r="AA650" i="5"/>
  <c r="Z650" i="5" s="1"/>
  <c r="CP238" i="5"/>
  <c r="CJ238" i="5"/>
  <c r="BT234" i="5"/>
  <c r="BU234" i="5" s="1"/>
  <c r="E301" i="5" l="1"/>
  <c r="D301" i="5" s="1"/>
  <c r="F301" i="5" s="1"/>
  <c r="C302" i="5"/>
  <c r="B302" i="5"/>
  <c r="AB650" i="5"/>
  <c r="X651" i="5"/>
  <c r="Y651" i="5"/>
  <c r="Q661" i="5"/>
  <c r="M662" i="5"/>
  <c r="N662" i="5"/>
  <c r="AK655" i="5"/>
  <c r="AM655" i="5" s="1"/>
  <c r="AL655" i="5"/>
  <c r="CI238" i="5"/>
  <c r="CK238" i="5" s="1"/>
  <c r="CC234" i="5"/>
  <c r="AD36" i="50"/>
  <c r="O35" i="51" s="1"/>
  <c r="E302" i="5" l="1"/>
  <c r="D302" i="5"/>
  <c r="F302" i="5" s="1"/>
  <c r="C303" i="5"/>
  <c r="B303" i="5"/>
  <c r="P662" i="5"/>
  <c r="O662" i="5" s="1"/>
  <c r="AI656" i="5"/>
  <c r="AA651" i="5"/>
  <c r="Z651" i="5" s="1"/>
  <c r="AJ656" i="5"/>
  <c r="CG239" i="5"/>
  <c r="CH239" i="5" s="1"/>
  <c r="BW234" i="5"/>
  <c r="BV234" i="5" s="1"/>
  <c r="BX234" i="5" s="1"/>
  <c r="E303" i="5" l="1"/>
  <c r="D303" i="5" s="1"/>
  <c r="F303" i="5" s="1"/>
  <c r="C304" i="5"/>
  <c r="B304" i="5"/>
  <c r="AB651" i="5"/>
  <c r="X652" i="5"/>
  <c r="Y652" i="5"/>
  <c r="Q662" i="5"/>
  <c r="N663" i="5" s="1"/>
  <c r="M663" i="5"/>
  <c r="AL656" i="5"/>
  <c r="AK656" i="5" s="1"/>
  <c r="CP239" i="5"/>
  <c r="CJ239" i="5"/>
  <c r="BT235" i="5"/>
  <c r="BU235" i="5" s="1"/>
  <c r="X37" i="50"/>
  <c r="E36" i="51" s="1"/>
  <c r="E304" i="5" l="1"/>
  <c r="D304" i="5" s="1"/>
  <c r="B305" i="5"/>
  <c r="AM656" i="5"/>
  <c r="AI657" i="5"/>
  <c r="AJ657" i="5"/>
  <c r="P663" i="5"/>
  <c r="O663" i="5"/>
  <c r="Q663" i="5" s="1"/>
  <c r="Z652" i="5"/>
  <c r="AB652" i="5" s="1"/>
  <c r="AA652" i="5"/>
  <c r="CI239" i="5"/>
  <c r="CK239" i="5" s="1"/>
  <c r="CC235" i="5"/>
  <c r="F304" i="5" l="1"/>
  <c r="C305" i="5"/>
  <c r="N664" i="5"/>
  <c r="M664" i="5"/>
  <c r="AL657" i="5"/>
  <c r="AK657" i="5" s="1"/>
  <c r="Y653" i="5"/>
  <c r="X653" i="5"/>
  <c r="CG240" i="5"/>
  <c r="CH240" i="5" s="1"/>
  <c r="BW235" i="5"/>
  <c r="BV235" i="5" s="1"/>
  <c r="BX235" i="5" s="1"/>
  <c r="E305" i="5" l="1"/>
  <c r="D305" i="5" s="1"/>
  <c r="F305" i="5" s="1"/>
  <c r="C306" i="5" s="1"/>
  <c r="B306" i="5"/>
  <c r="AM657" i="5"/>
  <c r="AJ658" i="5"/>
  <c r="AI658" i="5"/>
  <c r="AA653" i="5"/>
  <c r="Z653" i="5" s="1"/>
  <c r="O664" i="5"/>
  <c r="Q664" i="5" s="1"/>
  <c r="M665" i="5"/>
  <c r="N665" i="5"/>
  <c r="P664" i="5"/>
  <c r="CP240" i="5"/>
  <c r="CJ240" i="5"/>
  <c r="BT236" i="5"/>
  <c r="BU236" i="5" s="1"/>
  <c r="AD37" i="50"/>
  <c r="O36" i="51" s="1"/>
  <c r="E306" i="5" l="1"/>
  <c r="D306" i="5" s="1"/>
  <c r="F306" i="5" s="1"/>
  <c r="C307" i="5"/>
  <c r="B307" i="5"/>
  <c r="AB653" i="5"/>
  <c r="X654" i="5"/>
  <c r="Y654" i="5"/>
  <c r="P665" i="5"/>
  <c r="O665" i="5" s="1"/>
  <c r="AL658" i="5"/>
  <c r="AK658" i="5" s="1"/>
  <c r="CI240" i="5"/>
  <c r="CK240" i="5" s="1"/>
  <c r="CC236" i="5"/>
  <c r="E307" i="5" l="1"/>
  <c r="D307" i="5" s="1"/>
  <c r="F307" i="5" s="1"/>
  <c r="C308" i="5"/>
  <c r="B308" i="5"/>
  <c r="AM658" i="5"/>
  <c r="AJ659" i="5"/>
  <c r="AI659" i="5"/>
  <c r="Q665" i="5"/>
  <c r="M666" i="5"/>
  <c r="N666" i="5"/>
  <c r="Y655" i="5"/>
  <c r="X655" i="5"/>
  <c r="AA654" i="5"/>
  <c r="Z654" i="5"/>
  <c r="AB654" i="5" s="1"/>
  <c r="CG241" i="5"/>
  <c r="CH241" i="5" s="1"/>
  <c r="BW236" i="5"/>
  <c r="BV236" i="5" s="1"/>
  <c r="BX236" i="5" s="1"/>
  <c r="X38" i="50"/>
  <c r="E37" i="51" s="1"/>
  <c r="E308" i="5" l="1"/>
  <c r="D308" i="5" s="1"/>
  <c r="F308" i="5" s="1"/>
  <c r="C309" i="5" s="1"/>
  <c r="B309" i="5"/>
  <c r="P666" i="5"/>
  <c r="O666" i="5" s="1"/>
  <c r="AA655" i="5"/>
  <c r="Z655" i="5"/>
  <c r="AB655" i="5" s="1"/>
  <c r="AI660" i="5"/>
  <c r="AL659" i="5"/>
  <c r="AK659" i="5"/>
  <c r="AM659" i="5" s="1"/>
  <c r="CP241" i="5"/>
  <c r="CJ241" i="5"/>
  <c r="BT237" i="5"/>
  <c r="BU237" i="5" s="1"/>
  <c r="E309" i="5" l="1"/>
  <c r="D309" i="5" s="1"/>
  <c r="F309" i="5" s="1"/>
  <c r="C310" i="5"/>
  <c r="B310" i="5"/>
  <c r="Q666" i="5"/>
  <c r="M667" i="5"/>
  <c r="N667" i="5"/>
  <c r="X656" i="5"/>
  <c r="Y656" i="5"/>
  <c r="AJ660" i="5"/>
  <c r="CI241" i="5"/>
  <c r="CK241" i="5" s="1"/>
  <c r="CC237" i="5"/>
  <c r="E310" i="5" l="1"/>
  <c r="D310" i="5" s="1"/>
  <c r="F310" i="5" s="1"/>
  <c r="C311" i="5"/>
  <c r="B311" i="5"/>
  <c r="AA656" i="5"/>
  <c r="Z656" i="5" s="1"/>
  <c r="AL660" i="5"/>
  <c r="AK660" i="5"/>
  <c r="AM660" i="5" s="1"/>
  <c r="O667" i="5"/>
  <c r="Q667" i="5" s="1"/>
  <c r="P667" i="5"/>
  <c r="CG242" i="5"/>
  <c r="CH242" i="5" s="1"/>
  <c r="BW237" i="5"/>
  <c r="BV237" i="5" s="1"/>
  <c r="BX237" i="5" s="1"/>
  <c r="AD38" i="50"/>
  <c r="O37" i="51" s="1"/>
  <c r="E311" i="5" l="1"/>
  <c r="D311" i="5" s="1"/>
  <c r="F311" i="5" s="1"/>
  <c r="C312" i="5" s="1"/>
  <c r="B312" i="5"/>
  <c r="AB656" i="5"/>
  <c r="X657" i="5"/>
  <c r="Y657" i="5"/>
  <c r="AJ661" i="5"/>
  <c r="AI661" i="5"/>
  <c r="N668" i="5"/>
  <c r="M668" i="5"/>
  <c r="CP242" i="5"/>
  <c r="CJ242" i="5"/>
  <c r="CI242" i="5" s="1"/>
  <c r="CK242" i="5" s="1"/>
  <c r="BT238" i="5"/>
  <c r="BU238" i="5" s="1"/>
  <c r="E312" i="5" l="1"/>
  <c r="D312" i="5" s="1"/>
  <c r="F312" i="5" s="1"/>
  <c r="C313" i="5" s="1"/>
  <c r="B313" i="5"/>
  <c r="P668" i="5"/>
  <c r="O668" i="5" s="1"/>
  <c r="AA657" i="5"/>
  <c r="Z657" i="5"/>
  <c r="AB657" i="5" s="1"/>
  <c r="AL661" i="5"/>
  <c r="AK661" i="5" s="1"/>
  <c r="CG243" i="5"/>
  <c r="CH243" i="5" s="1"/>
  <c r="CC238" i="5"/>
  <c r="CR39" i="50"/>
  <c r="X39" i="50"/>
  <c r="E38" i="51" s="1"/>
  <c r="BN39" i="50"/>
  <c r="DV39" i="50"/>
  <c r="AV39" i="50"/>
  <c r="R39" i="50"/>
  <c r="C38" i="51" s="1"/>
  <c r="CX39" i="50"/>
  <c r="DP39" i="50"/>
  <c r="BH39" i="50"/>
  <c r="G38" i="51" s="1"/>
  <c r="DD39" i="50"/>
  <c r="AD39" i="50"/>
  <c r="BT39" i="50"/>
  <c r="EH39" i="50"/>
  <c r="BB39" i="50"/>
  <c r="BZ39" i="50"/>
  <c r="EB39" i="50"/>
  <c r="E313" i="5" l="1"/>
  <c r="D313" i="5" s="1"/>
  <c r="F313" i="5" s="1"/>
  <c r="C314" i="5"/>
  <c r="B314" i="5"/>
  <c r="AM661" i="5"/>
  <c r="AJ662" i="5"/>
  <c r="AI662" i="5"/>
  <c r="Q668" i="5"/>
  <c r="N669" i="5"/>
  <c r="M669" i="5"/>
  <c r="Y658" i="5"/>
  <c r="X658" i="5"/>
  <c r="CP243" i="5"/>
  <c r="BW238" i="5"/>
  <c r="BV238" i="5" s="1"/>
  <c r="BX238" i="5" s="1"/>
  <c r="E314" i="5" l="1"/>
  <c r="D314" i="5" s="1"/>
  <c r="F314" i="5" s="1"/>
  <c r="C315" i="5" s="1"/>
  <c r="B315" i="5"/>
  <c r="Z658" i="5"/>
  <c r="AB658" i="5" s="1"/>
  <c r="AA658" i="5"/>
  <c r="P669" i="5"/>
  <c r="O669" i="5" s="1"/>
  <c r="AL662" i="5"/>
  <c r="AK662" i="5" s="1"/>
  <c r="CJ243" i="5"/>
  <c r="BT239" i="5"/>
  <c r="BU239" i="5" s="1"/>
  <c r="E315" i="5" l="1"/>
  <c r="D315" i="5" s="1"/>
  <c r="F315" i="5" s="1"/>
  <c r="C316" i="5" s="1"/>
  <c r="B316" i="5"/>
  <c r="AM662" i="5"/>
  <c r="AI663" i="5"/>
  <c r="AJ663" i="5"/>
  <c r="Q669" i="5"/>
  <c r="N670" i="5" s="1"/>
  <c r="M670" i="5"/>
  <c r="X659" i="5"/>
  <c r="Y659" i="5"/>
  <c r="CI243" i="5"/>
  <c r="CK243" i="5" s="1"/>
  <c r="CC239" i="5"/>
  <c r="E316" i="5" l="1"/>
  <c r="D316" i="5" s="1"/>
  <c r="F316" i="5" s="1"/>
  <c r="C317" i="5"/>
  <c r="B317" i="5"/>
  <c r="P670" i="5"/>
  <c r="O670" i="5" s="1"/>
  <c r="AA659" i="5"/>
  <c r="Z659" i="5" s="1"/>
  <c r="AK663" i="5"/>
  <c r="AM663" i="5" s="1"/>
  <c r="AL663" i="5"/>
  <c r="CG244" i="5"/>
  <c r="CH244" i="5" s="1"/>
  <c r="BW239" i="5"/>
  <c r="BV239" i="5" s="1"/>
  <c r="BX239" i="5" s="1"/>
  <c r="E317" i="5" l="1"/>
  <c r="D317" i="5" s="1"/>
  <c r="F317" i="5" s="1"/>
  <c r="C318" i="5" s="1"/>
  <c r="B318" i="5"/>
  <c r="AB659" i="5"/>
  <c r="X660" i="5"/>
  <c r="Y660" i="5"/>
  <c r="Q670" i="5"/>
  <c r="N671" i="5"/>
  <c r="M671" i="5"/>
  <c r="AJ664" i="5"/>
  <c r="AI664" i="5"/>
  <c r="CP244" i="5"/>
  <c r="CJ244" i="5"/>
  <c r="BT240" i="5"/>
  <c r="BU240" i="5" s="1"/>
  <c r="E318" i="5" l="1"/>
  <c r="D318" i="5" s="1"/>
  <c r="F318" i="5" s="1"/>
  <c r="C319" i="5"/>
  <c r="B319" i="5"/>
  <c r="AL664" i="5"/>
  <c r="AK664" i="5"/>
  <c r="AM664" i="5" s="1"/>
  <c r="AA660" i="5"/>
  <c r="Z660" i="5"/>
  <c r="AB660" i="5" s="1"/>
  <c r="P671" i="5"/>
  <c r="O671" i="5" s="1"/>
  <c r="CI244" i="5"/>
  <c r="CK244" i="5" s="1"/>
  <c r="CC240" i="5"/>
  <c r="E319" i="5" l="1"/>
  <c r="D319" i="5" s="1"/>
  <c r="F319" i="5" s="1"/>
  <c r="C320" i="5" s="1"/>
  <c r="B320" i="5"/>
  <c r="Q671" i="5"/>
  <c r="N672" i="5"/>
  <c r="M672" i="5"/>
  <c r="X661" i="5"/>
  <c r="Y661" i="5"/>
  <c r="AI665" i="5"/>
  <c r="AJ665" i="5"/>
  <c r="CG245" i="5"/>
  <c r="CH245" i="5" s="1"/>
  <c r="BW240" i="5"/>
  <c r="BV240" i="5" s="1"/>
  <c r="BX240" i="5" s="1"/>
  <c r="E320" i="5" l="1"/>
  <c r="D320" i="5"/>
  <c r="F320" i="5" s="1"/>
  <c r="C321" i="5"/>
  <c r="B321" i="5"/>
  <c r="AA661" i="5"/>
  <c r="Z661" i="5" s="1"/>
  <c r="AL665" i="5"/>
  <c r="AK665" i="5" s="1"/>
  <c r="P672" i="5"/>
  <c r="O672" i="5" s="1"/>
  <c r="CP245" i="5"/>
  <c r="CJ245" i="5"/>
  <c r="BT241" i="5"/>
  <c r="BU241" i="5" s="1"/>
  <c r="E321" i="5" l="1"/>
  <c r="D321" i="5" s="1"/>
  <c r="F321" i="5" s="1"/>
  <c r="C322" i="5"/>
  <c r="B322" i="5"/>
  <c r="Q672" i="5"/>
  <c r="M673" i="5"/>
  <c r="N673" i="5"/>
  <c r="AM665" i="5"/>
  <c r="AJ666" i="5" s="1"/>
  <c r="AI666" i="5"/>
  <c r="AB661" i="5"/>
  <c r="Y662" i="5" s="1"/>
  <c r="X662" i="5"/>
  <c r="CI245" i="5"/>
  <c r="CK245" i="5" s="1"/>
  <c r="CC241" i="5"/>
  <c r="AC11" i="56"/>
  <c r="E322" i="5" l="1"/>
  <c r="D322" i="5" s="1"/>
  <c r="F322" i="5" s="1"/>
  <c r="C323" i="5" s="1"/>
  <c r="B323" i="5"/>
  <c r="AA662" i="5"/>
  <c r="Z662" i="5" s="1"/>
  <c r="AL666" i="5"/>
  <c r="AK666" i="5"/>
  <c r="AM666" i="5" s="1"/>
  <c r="P673" i="5"/>
  <c r="O673" i="5" s="1"/>
  <c r="CG246" i="5"/>
  <c r="CH246" i="5" s="1"/>
  <c r="BW241" i="5"/>
  <c r="BV241" i="5" s="1"/>
  <c r="BX241" i="5" s="1"/>
  <c r="E323" i="5" l="1"/>
  <c r="D323" i="5" s="1"/>
  <c r="F323" i="5" s="1"/>
  <c r="C324" i="5" s="1"/>
  <c r="B324" i="5"/>
  <c r="Q673" i="5"/>
  <c r="N674" i="5"/>
  <c r="M674" i="5"/>
  <c r="AB662" i="5"/>
  <c r="X663" i="5"/>
  <c r="Y663" i="5"/>
  <c r="AI667" i="5"/>
  <c r="AJ667" i="5"/>
  <c r="CP246" i="5"/>
  <c r="CJ246" i="5"/>
  <c r="CI246" i="5" s="1"/>
  <c r="CK246" i="5" s="1"/>
  <c r="BT242" i="5"/>
  <c r="BU242" i="5" s="1"/>
  <c r="E324" i="5" l="1"/>
  <c r="D324" i="5" s="1"/>
  <c r="F324" i="5" s="1"/>
  <c r="C325" i="5" s="1"/>
  <c r="B325" i="5"/>
  <c r="AL667" i="5"/>
  <c r="AK667" i="5" s="1"/>
  <c r="AA663" i="5"/>
  <c r="Z663" i="5" s="1"/>
  <c r="P674" i="5"/>
  <c r="O674" i="5" s="1"/>
  <c r="Q674" i="5" s="1"/>
  <c r="CG247" i="5"/>
  <c r="CH247" i="5" s="1"/>
  <c r="CC242" i="5"/>
  <c r="E325" i="5" l="1"/>
  <c r="D325" i="5" s="1"/>
  <c r="F325" i="5" s="1"/>
  <c r="C326" i="5" s="1"/>
  <c r="B326" i="5"/>
  <c r="AB663" i="5"/>
  <c r="X664" i="5"/>
  <c r="Y664" i="5"/>
  <c r="AM667" i="5"/>
  <c r="AI668" i="5"/>
  <c r="AJ668" i="5"/>
  <c r="CP247" i="5"/>
  <c r="BW242" i="5"/>
  <c r="BV242" i="5" s="1"/>
  <c r="BX242" i="5" s="1"/>
  <c r="E326" i="5" l="1"/>
  <c r="D326" i="5"/>
  <c r="F326" i="5" s="1"/>
  <c r="C327" i="5"/>
  <c r="B327" i="5"/>
  <c r="AL668" i="5"/>
  <c r="AK668" i="5" s="1"/>
  <c r="AA664" i="5"/>
  <c r="Z664" i="5" s="1"/>
  <c r="CJ247" i="5"/>
  <c r="BT243" i="5"/>
  <c r="BU243" i="5" s="1"/>
  <c r="E327" i="5" l="1"/>
  <c r="D327" i="5" s="1"/>
  <c r="F327" i="5" s="1"/>
  <c r="C328" i="5" s="1"/>
  <c r="B328" i="5"/>
  <c r="AB664" i="5"/>
  <c r="X665" i="5"/>
  <c r="Y665" i="5"/>
  <c r="AM668" i="5"/>
  <c r="AJ669" i="5" s="1"/>
  <c r="AI669" i="5"/>
  <c r="CI247" i="5"/>
  <c r="CK247" i="5" s="1"/>
  <c r="CC243" i="5"/>
  <c r="E328" i="5" l="1"/>
  <c r="D328" i="5" s="1"/>
  <c r="F328" i="5" s="1"/>
  <c r="C329" i="5"/>
  <c r="B329" i="5"/>
  <c r="AL669" i="5"/>
  <c r="AK669" i="5" s="1"/>
  <c r="AA665" i="5"/>
  <c r="Z665" i="5" s="1"/>
  <c r="CG248" i="5"/>
  <c r="CH248" i="5" s="1"/>
  <c r="BW243" i="5"/>
  <c r="BV243" i="5" s="1"/>
  <c r="BX243" i="5" s="1"/>
  <c r="E329" i="5" l="1"/>
  <c r="D329" i="5"/>
  <c r="F329" i="5" s="1"/>
  <c r="C330" i="5"/>
  <c r="B330" i="5"/>
  <c r="AB665" i="5"/>
  <c r="X666" i="5"/>
  <c r="Y666" i="5"/>
  <c r="AM669" i="5"/>
  <c r="AJ670" i="5"/>
  <c r="AI670" i="5"/>
  <c r="CP248" i="5"/>
  <c r="CJ248" i="5"/>
  <c r="CI248" i="5" s="1"/>
  <c r="BT244" i="5"/>
  <c r="BU244" i="5" s="1"/>
  <c r="E330" i="5" l="1"/>
  <c r="D330" i="5" s="1"/>
  <c r="F330" i="5" s="1"/>
  <c r="C331" i="5"/>
  <c r="B331" i="5"/>
  <c r="AL670" i="5"/>
  <c r="AK670" i="5" s="1"/>
  <c r="AA666" i="5"/>
  <c r="Z666" i="5"/>
  <c r="AB666" i="5" s="1"/>
  <c r="X667" i="5"/>
  <c r="CK248" i="5"/>
  <c r="CG249" i="5"/>
  <c r="CC244" i="5"/>
  <c r="AC12" i="56"/>
  <c r="AB13" i="56"/>
  <c r="E331" i="5" l="1"/>
  <c r="D331" i="5" s="1"/>
  <c r="F331" i="5" s="1"/>
  <c r="C332" i="5"/>
  <c r="B332" i="5"/>
  <c r="AM670" i="5"/>
  <c r="AJ671" i="5"/>
  <c r="AI671" i="5"/>
  <c r="Y667" i="5"/>
  <c r="CP249" i="5"/>
  <c r="CH249" i="5"/>
  <c r="CJ249" i="5" s="1"/>
  <c r="BW244" i="5"/>
  <c r="BV244" i="5" s="1"/>
  <c r="BX244" i="5" s="1"/>
  <c r="E332" i="5" l="1"/>
  <c r="D332" i="5"/>
  <c r="F332" i="5" s="1"/>
  <c r="C333" i="5"/>
  <c r="B333" i="5"/>
  <c r="AA667" i="5"/>
  <c r="Z667" i="5" s="1"/>
  <c r="AL671" i="5"/>
  <c r="AK671" i="5"/>
  <c r="AM671" i="5" s="1"/>
  <c r="CI249" i="5"/>
  <c r="CK249" i="5" s="1"/>
  <c r="BT245" i="5"/>
  <c r="BU245" i="5" s="1"/>
  <c r="E333" i="5" l="1"/>
  <c r="D333" i="5" s="1"/>
  <c r="F333" i="5" s="1"/>
  <c r="C334" i="5"/>
  <c r="B334" i="5"/>
  <c r="AB667" i="5"/>
  <c r="Y668" i="5"/>
  <c r="X668" i="5"/>
  <c r="AI672" i="5"/>
  <c r="AJ672" i="5"/>
  <c r="CG250" i="5"/>
  <c r="CH250" i="5" s="1"/>
  <c r="CC245" i="5"/>
  <c r="E334" i="5" l="1"/>
  <c r="D334" i="5" s="1"/>
  <c r="F334" i="5" s="1"/>
  <c r="C335" i="5"/>
  <c r="B335" i="5"/>
  <c r="AL672" i="5"/>
  <c r="AK672" i="5" s="1"/>
  <c r="AA668" i="5"/>
  <c r="Z668" i="5"/>
  <c r="AB668" i="5" s="1"/>
  <c r="CP250" i="5"/>
  <c r="CJ250" i="5"/>
  <c r="CI250" i="5" s="1"/>
  <c r="CK250" i="5" s="1"/>
  <c r="BW245" i="5"/>
  <c r="BV245" i="5" s="1"/>
  <c r="BX245" i="5" s="1"/>
  <c r="E335" i="5" l="1"/>
  <c r="D335" i="5" s="1"/>
  <c r="F335" i="5" s="1"/>
  <c r="C336" i="5" s="1"/>
  <c r="B336" i="5"/>
  <c r="AM672" i="5"/>
  <c r="AI673" i="5"/>
  <c r="AJ673" i="5"/>
  <c r="X669" i="5"/>
  <c r="Y669" i="5"/>
  <c r="CG251" i="5"/>
  <c r="CH251" i="5" s="1"/>
  <c r="BT246" i="5"/>
  <c r="BU246" i="5" s="1"/>
  <c r="E336" i="5" l="1"/>
  <c r="D336" i="5" s="1"/>
  <c r="F336" i="5" s="1"/>
  <c r="C337" i="5"/>
  <c r="B337" i="5"/>
  <c r="AA669" i="5"/>
  <c r="Z669" i="5" s="1"/>
  <c r="AK673" i="5"/>
  <c r="AM673" i="5" s="1"/>
  <c r="AL673" i="5"/>
  <c r="AJ674" i="5"/>
  <c r="CP251" i="5"/>
  <c r="CC246" i="5"/>
  <c r="E337" i="5" l="1"/>
  <c r="D337" i="5" s="1"/>
  <c r="F337" i="5" s="1"/>
  <c r="C338" i="5"/>
  <c r="B338" i="5"/>
  <c r="AB669" i="5"/>
  <c r="X670" i="5"/>
  <c r="Y670" i="5"/>
  <c r="AL674" i="5"/>
  <c r="AK674" i="5"/>
  <c r="AM674" i="5" s="1"/>
  <c r="AI674" i="5"/>
  <c r="CJ251" i="5"/>
  <c r="CI251" i="5" s="1"/>
  <c r="CK251" i="5" s="1"/>
  <c r="BW246" i="5"/>
  <c r="BV246" i="5" s="1"/>
  <c r="BX246" i="5" s="1"/>
  <c r="E338" i="5" l="1"/>
  <c r="D338" i="5" s="1"/>
  <c r="F338" i="5" s="1"/>
  <c r="C339" i="5"/>
  <c r="B339" i="5"/>
  <c r="AA670" i="5"/>
  <c r="Z670" i="5" s="1"/>
  <c r="CG252" i="5"/>
  <c r="CH252" i="5" s="1"/>
  <c r="BT247" i="5"/>
  <c r="BU247" i="5" s="1"/>
  <c r="E339" i="5" l="1"/>
  <c r="D339" i="5"/>
  <c r="F339" i="5" s="1"/>
  <c r="C340" i="5"/>
  <c r="B340" i="5"/>
  <c r="AB670" i="5"/>
  <c r="Y671" i="5"/>
  <c r="X671" i="5"/>
  <c r="CP252" i="5"/>
  <c r="CC247" i="5"/>
  <c r="E340" i="5" l="1"/>
  <c r="D340" i="5" s="1"/>
  <c r="F340" i="5" s="1"/>
  <c r="C341" i="5" s="1"/>
  <c r="B341" i="5"/>
  <c r="AA671" i="5"/>
  <c r="Z671" i="5" s="1"/>
  <c r="CJ252" i="5"/>
  <c r="CI252" i="5" s="1"/>
  <c r="CK252" i="5" s="1"/>
  <c r="BW247" i="5"/>
  <c r="BV247" i="5" s="1"/>
  <c r="BX247" i="5" s="1"/>
  <c r="E341" i="5" l="1"/>
  <c r="D341" i="5" s="1"/>
  <c r="F341" i="5" s="1"/>
  <c r="C342" i="5"/>
  <c r="B342" i="5"/>
  <c r="AB671" i="5"/>
  <c r="Y672" i="5"/>
  <c r="X672" i="5"/>
  <c r="CG253" i="5"/>
  <c r="CH253" i="5" s="1"/>
  <c r="BT248" i="5"/>
  <c r="BU248" i="5" s="1"/>
  <c r="AB14" i="56"/>
  <c r="AC13" i="56"/>
  <c r="E342" i="5" l="1"/>
  <c r="D342" i="5" s="1"/>
  <c r="F342" i="5" s="1"/>
  <c r="C343" i="5" s="1"/>
  <c r="B343" i="5"/>
  <c r="AA672" i="5"/>
  <c r="Z672" i="5"/>
  <c r="AB672" i="5" s="1"/>
  <c r="X673" i="5"/>
  <c r="Y673" i="5"/>
  <c r="CP253" i="5"/>
  <c r="CC248" i="5"/>
  <c r="E343" i="5" l="1"/>
  <c r="D343" i="5" s="1"/>
  <c r="F343" i="5" s="1"/>
  <c r="C344" i="5"/>
  <c r="B344" i="5"/>
  <c r="AA673" i="5"/>
  <c r="Z673" i="5"/>
  <c r="AB673" i="5" s="1"/>
  <c r="CJ253" i="5"/>
  <c r="CI253" i="5" s="1"/>
  <c r="CK253" i="5" s="1"/>
  <c r="BW248" i="5"/>
  <c r="BV248" i="5" s="1"/>
  <c r="BX248" i="5" s="1"/>
  <c r="E344" i="5" l="1"/>
  <c r="D344" i="5" s="1"/>
  <c r="F344" i="5" s="1"/>
  <c r="C345" i="5"/>
  <c r="B345" i="5"/>
  <c r="X674" i="5"/>
  <c r="Y674" i="5"/>
  <c r="CG254" i="5"/>
  <c r="CH254" i="5" s="1"/>
  <c r="BT249" i="5"/>
  <c r="BU249" i="5" s="1"/>
  <c r="E345" i="5" l="1"/>
  <c r="D345" i="5" s="1"/>
  <c r="F345" i="5" s="1"/>
  <c r="C346" i="5" s="1"/>
  <c r="B346" i="5"/>
  <c r="AA674" i="5"/>
  <c r="Z674" i="5" s="1"/>
  <c r="AB674" i="5" s="1"/>
  <c r="CP254" i="5"/>
  <c r="CC249" i="5"/>
  <c r="E346" i="5" l="1"/>
  <c r="D346" i="5" s="1"/>
  <c r="F346" i="5" s="1"/>
  <c r="C347" i="5"/>
  <c r="B347" i="5"/>
  <c r="CJ254" i="5"/>
  <c r="CI254" i="5" s="1"/>
  <c r="CK254" i="5" s="1"/>
  <c r="BW249" i="5"/>
  <c r="BV249" i="5" s="1"/>
  <c r="BX249" i="5" s="1"/>
  <c r="E347" i="5" l="1"/>
  <c r="D347" i="5" s="1"/>
  <c r="F347" i="5" s="1"/>
  <c r="C348" i="5" s="1"/>
  <c r="B348" i="5"/>
  <c r="CG255" i="5"/>
  <c r="CH255" i="5" s="1"/>
  <c r="BT250" i="5"/>
  <c r="BU250" i="5" s="1"/>
  <c r="E348" i="5" l="1"/>
  <c r="D348" i="5"/>
  <c r="F348" i="5" s="1"/>
  <c r="C349" i="5"/>
  <c r="B349" i="5"/>
  <c r="CP255" i="5"/>
  <c r="CC250" i="5"/>
  <c r="E349" i="5" l="1"/>
  <c r="D349" i="5"/>
  <c r="F349" i="5" s="1"/>
  <c r="C350" i="5"/>
  <c r="B350" i="5"/>
  <c r="CJ255" i="5"/>
  <c r="CI255" i="5" s="1"/>
  <c r="CK255" i="5" s="1"/>
  <c r="BW250" i="5"/>
  <c r="BV250" i="5" s="1"/>
  <c r="BX250" i="5" s="1"/>
  <c r="E350" i="5" l="1"/>
  <c r="D350" i="5" s="1"/>
  <c r="F350" i="5" s="1"/>
  <c r="C351" i="5"/>
  <c r="B351" i="5"/>
  <c r="CG256" i="5"/>
  <c r="CH256" i="5" s="1"/>
  <c r="BT251" i="5"/>
  <c r="BU251" i="5" s="1"/>
  <c r="E351" i="5" l="1"/>
  <c r="D351" i="5" s="1"/>
  <c r="F351" i="5" s="1"/>
  <c r="C352" i="5"/>
  <c r="B352" i="5"/>
  <c r="CP256" i="5"/>
  <c r="CC251" i="5"/>
  <c r="E352" i="5" l="1"/>
  <c r="D352" i="5"/>
  <c r="F352" i="5" s="1"/>
  <c r="C353" i="5"/>
  <c r="B353" i="5"/>
  <c r="CJ256" i="5"/>
  <c r="CI256" i="5" s="1"/>
  <c r="CK256" i="5" s="1"/>
  <c r="BW251" i="5"/>
  <c r="BV251" i="5" s="1"/>
  <c r="BX251" i="5" s="1"/>
  <c r="AB15" i="56"/>
  <c r="AC14" i="56"/>
  <c r="E353" i="5" l="1"/>
  <c r="D353" i="5"/>
  <c r="F353" i="5" s="1"/>
  <c r="C354" i="5"/>
  <c r="B354" i="5"/>
  <c r="CG257" i="5"/>
  <c r="CH257" i="5" s="1"/>
  <c r="BT252" i="5"/>
  <c r="BU252" i="5" s="1"/>
  <c r="E354" i="5" l="1"/>
  <c r="D354" i="5" s="1"/>
  <c r="F354" i="5" s="1"/>
  <c r="C355" i="5"/>
  <c r="B355" i="5"/>
  <c r="CP257" i="5"/>
  <c r="CC252" i="5"/>
  <c r="E355" i="5" l="1"/>
  <c r="D355" i="5" s="1"/>
  <c r="F355" i="5" s="1"/>
  <c r="C356" i="5"/>
  <c r="B356" i="5"/>
  <c r="CJ257" i="5"/>
  <c r="CI257" i="5" s="1"/>
  <c r="CK257" i="5" s="1"/>
  <c r="BW252" i="5"/>
  <c r="BV252" i="5" s="1"/>
  <c r="BX252" i="5" s="1"/>
  <c r="E356" i="5" l="1"/>
  <c r="D356" i="5" s="1"/>
  <c r="F356" i="5" s="1"/>
  <c r="C357" i="5" s="1"/>
  <c r="B357" i="5"/>
  <c r="CG258" i="5"/>
  <c r="BT253" i="5"/>
  <c r="BU253" i="5" s="1"/>
  <c r="E357" i="5" l="1"/>
  <c r="D357" i="5" s="1"/>
  <c r="F357" i="5" s="1"/>
  <c r="C358" i="5"/>
  <c r="B358" i="5"/>
  <c r="CP258" i="5"/>
  <c r="CH258" i="5"/>
  <c r="CC253" i="5"/>
  <c r="E358" i="5" l="1"/>
  <c r="D358" i="5" s="1"/>
  <c r="F358" i="5" s="1"/>
  <c r="C359" i="5"/>
  <c r="B359" i="5"/>
  <c r="CJ258" i="5"/>
  <c r="CI258" i="5" s="1"/>
  <c r="CK258" i="5" s="1"/>
  <c r="BW253" i="5"/>
  <c r="BV253" i="5" s="1"/>
  <c r="BX253" i="5" s="1"/>
  <c r="E359" i="5" l="1"/>
  <c r="D359" i="5" s="1"/>
  <c r="F359" i="5" s="1"/>
  <c r="C360" i="5" s="1"/>
  <c r="B360" i="5"/>
  <c r="CG259" i="5"/>
  <c r="BT254" i="5"/>
  <c r="BU254" i="5" s="1"/>
  <c r="E360" i="5" l="1"/>
  <c r="D360" i="5" s="1"/>
  <c r="F360" i="5" s="1"/>
  <c r="C361" i="5"/>
  <c r="B361" i="5"/>
  <c r="CP259" i="5"/>
  <c r="CH259" i="5"/>
  <c r="CC254" i="5"/>
  <c r="E361" i="5" l="1"/>
  <c r="D361" i="5" s="1"/>
  <c r="F361" i="5" s="1"/>
  <c r="C362" i="5"/>
  <c r="B362" i="5"/>
  <c r="CJ259" i="5"/>
  <c r="CI259" i="5" s="1"/>
  <c r="BW254" i="5"/>
  <c r="BV254" i="5" s="1"/>
  <c r="BX254" i="5" s="1"/>
  <c r="E362" i="5" l="1"/>
  <c r="D362" i="5" s="1"/>
  <c r="B363" i="5"/>
  <c r="CK259" i="5"/>
  <c r="CG260" i="5"/>
  <c r="CH260" i="5" s="1"/>
  <c r="BT255" i="5"/>
  <c r="BU255" i="5" s="1"/>
  <c r="F362" i="5" l="1"/>
  <c r="C363" i="5"/>
  <c r="CP260" i="5"/>
  <c r="CJ260" i="5"/>
  <c r="CI260" i="5" s="1"/>
  <c r="CK260" i="5" s="1"/>
  <c r="CC255" i="5"/>
  <c r="AB16" i="56"/>
  <c r="AC15" i="56"/>
  <c r="E363" i="5" l="1"/>
  <c r="D363" i="5"/>
  <c r="B364" i="5"/>
  <c r="CG261" i="5"/>
  <c r="CH261" i="5" s="1"/>
  <c r="BW255" i="5"/>
  <c r="BV255" i="5" s="1"/>
  <c r="BX255" i="5" s="1"/>
  <c r="F363" i="5" l="1"/>
  <c r="C364" i="5"/>
  <c r="CP261" i="5"/>
  <c r="BT256" i="5"/>
  <c r="BU256" i="5" s="1"/>
  <c r="E364" i="5" l="1"/>
  <c r="D364" i="5" s="1"/>
  <c r="F364" i="5" s="1"/>
  <c r="C365" i="5"/>
  <c r="B365" i="5"/>
  <c r="CJ261" i="5"/>
  <c r="CI261" i="5" s="1"/>
  <c r="CK261" i="5" s="1"/>
  <c r="CC256" i="5"/>
  <c r="E365" i="5" l="1"/>
  <c r="D365" i="5"/>
  <c r="F365" i="5" s="1"/>
  <c r="C366" i="5"/>
  <c r="B366" i="5"/>
  <c r="CG262" i="5"/>
  <c r="CH262" i="5" s="1"/>
  <c r="BW256" i="5"/>
  <c r="BV256" i="5" s="1"/>
  <c r="BX256" i="5" s="1"/>
  <c r="E366" i="5" l="1"/>
  <c r="D366" i="5" s="1"/>
  <c r="F366" i="5" s="1"/>
  <c r="C367" i="5" s="1"/>
  <c r="B367" i="5"/>
  <c r="CP262" i="5"/>
  <c r="BT257" i="5"/>
  <c r="BU257" i="5" s="1"/>
  <c r="E367" i="5" l="1"/>
  <c r="D367" i="5" s="1"/>
  <c r="F367" i="5" s="1"/>
  <c r="C368" i="5" s="1"/>
  <c r="B368" i="5"/>
  <c r="CJ262" i="5"/>
  <c r="CI262" i="5" s="1"/>
  <c r="CK262" i="5" s="1"/>
  <c r="CC257" i="5"/>
  <c r="E368" i="5" l="1"/>
  <c r="D368" i="5"/>
  <c r="F368" i="5" s="1"/>
  <c r="C369" i="5"/>
  <c r="B369" i="5"/>
  <c r="CG263" i="5"/>
  <c r="CH263" i="5" s="1"/>
  <c r="BW257" i="5"/>
  <c r="BV257" i="5" s="1"/>
  <c r="BX257" i="5" s="1"/>
  <c r="E369" i="5" l="1"/>
  <c r="D369" i="5" s="1"/>
  <c r="F369" i="5" s="1"/>
  <c r="C370" i="5"/>
  <c r="B370" i="5"/>
  <c r="CP263" i="5"/>
  <c r="BT258" i="5"/>
  <c r="BU258" i="5" s="1"/>
  <c r="E370" i="5" l="1"/>
  <c r="D370" i="5" s="1"/>
  <c r="F370" i="5" s="1"/>
  <c r="C371" i="5"/>
  <c r="B371" i="5"/>
  <c r="CJ263" i="5"/>
  <c r="CI263" i="5" s="1"/>
  <c r="CC258" i="5"/>
  <c r="E371" i="5" l="1"/>
  <c r="D371" i="5" s="1"/>
  <c r="F371" i="5" s="1"/>
  <c r="C372" i="5"/>
  <c r="B372" i="5"/>
  <c r="CK263" i="5"/>
  <c r="CG264" i="5"/>
  <c r="CH264" i="5" s="1"/>
  <c r="BW258" i="5"/>
  <c r="BV258" i="5" s="1"/>
  <c r="BX258" i="5" s="1"/>
  <c r="E372" i="5" l="1"/>
  <c r="D372" i="5" s="1"/>
  <c r="F372" i="5" s="1"/>
  <c r="C373" i="5" s="1"/>
  <c r="B373" i="5"/>
  <c r="CP264" i="5"/>
  <c r="BT259" i="5"/>
  <c r="BU259" i="5" s="1"/>
  <c r="AB17" i="56"/>
  <c r="AC16" i="56"/>
  <c r="E373" i="5" l="1"/>
  <c r="D373" i="5"/>
  <c r="F373" i="5" s="1"/>
  <c r="C374" i="5"/>
  <c r="B374" i="5"/>
  <c r="CJ264" i="5"/>
  <c r="CI264" i="5" s="1"/>
  <c r="CK264" i="5" s="1"/>
  <c r="CC259" i="5"/>
  <c r="E374" i="5" l="1"/>
  <c r="D374" i="5"/>
  <c r="F374" i="5" s="1"/>
  <c r="C375" i="5"/>
  <c r="B375" i="5"/>
  <c r="CG265" i="5"/>
  <c r="CH265" i="5" s="1"/>
  <c r="BW259" i="5"/>
  <c r="BV259" i="5" s="1"/>
  <c r="BX259" i="5" s="1"/>
  <c r="E375" i="5" l="1"/>
  <c r="D375" i="5" s="1"/>
  <c r="F375" i="5" s="1"/>
  <c r="C376" i="5"/>
  <c r="B376" i="5"/>
  <c r="CP265" i="5"/>
  <c r="BT260" i="5"/>
  <c r="BU260" i="5" s="1"/>
  <c r="E376" i="5" l="1"/>
  <c r="D376" i="5"/>
  <c r="F376" i="5" s="1"/>
  <c r="C377" i="5"/>
  <c r="B377" i="5"/>
  <c r="CJ265" i="5"/>
  <c r="CC260" i="5"/>
  <c r="E377" i="5" l="1"/>
  <c r="D377" i="5" s="1"/>
  <c r="F377" i="5" s="1"/>
  <c r="C378" i="5" s="1"/>
  <c r="B378" i="5"/>
  <c r="CI265" i="5"/>
  <c r="CK265" i="5" s="1"/>
  <c r="BW260" i="5"/>
  <c r="BV260" i="5" s="1"/>
  <c r="BX260" i="5" s="1"/>
  <c r="E378" i="5" l="1"/>
  <c r="D378" i="5" s="1"/>
  <c r="F378" i="5" s="1"/>
  <c r="C379" i="5"/>
  <c r="B379" i="5"/>
  <c r="CG266" i="5"/>
  <c r="CH266" i="5" s="1"/>
  <c r="BT261" i="5"/>
  <c r="BU261" i="5" s="1"/>
  <c r="E379" i="5" l="1"/>
  <c r="D379" i="5" s="1"/>
  <c r="F379" i="5" s="1"/>
  <c r="C380" i="5" s="1"/>
  <c r="B380" i="5"/>
  <c r="CP266" i="5"/>
  <c r="CJ266" i="5"/>
  <c r="CI266" i="5" s="1"/>
  <c r="CK266" i="5" s="1"/>
  <c r="CC261" i="5"/>
  <c r="E380" i="5" l="1"/>
  <c r="D380" i="5" s="1"/>
  <c r="F380" i="5" s="1"/>
  <c r="C381" i="5" s="1"/>
  <c r="B381" i="5"/>
  <c r="CG267" i="5"/>
  <c r="CH267" i="5" s="1"/>
  <c r="BW261" i="5"/>
  <c r="BV261" i="5" s="1"/>
  <c r="BX261" i="5" s="1"/>
  <c r="E381" i="5" l="1"/>
  <c r="D381" i="5" s="1"/>
  <c r="F381" i="5" s="1"/>
  <c r="C382" i="5" s="1"/>
  <c r="B382" i="5"/>
  <c r="CP267" i="5"/>
  <c r="BT262" i="5"/>
  <c r="BU262" i="5" s="1"/>
  <c r="E382" i="5" l="1"/>
  <c r="D382" i="5" s="1"/>
  <c r="F382" i="5" s="1"/>
  <c r="C383" i="5" s="1"/>
  <c r="B383" i="5"/>
  <c r="CJ267" i="5"/>
  <c r="CI267" i="5" s="1"/>
  <c r="CK267" i="5" s="1"/>
  <c r="CC262" i="5"/>
  <c r="E383" i="5" l="1"/>
  <c r="D383" i="5" s="1"/>
  <c r="F383" i="5" s="1"/>
  <c r="C384" i="5" s="1"/>
  <c r="B384" i="5"/>
  <c r="CG268" i="5"/>
  <c r="CH268" i="5" s="1"/>
  <c r="BW262" i="5"/>
  <c r="BV262" i="5" s="1"/>
  <c r="BX262" i="5" s="1"/>
  <c r="AB18" i="56"/>
  <c r="AC17" i="56"/>
  <c r="E384" i="5" l="1"/>
  <c r="D384" i="5" s="1"/>
  <c r="F384" i="5" s="1"/>
  <c r="C385" i="5"/>
  <c r="B385" i="5"/>
  <c r="CP268" i="5"/>
  <c r="BT263" i="5"/>
  <c r="BU263" i="5" s="1"/>
  <c r="E385" i="5" l="1"/>
  <c r="D385" i="5" s="1"/>
  <c r="F385" i="5" s="1"/>
  <c r="C386" i="5" s="1"/>
  <c r="B386" i="5"/>
  <c r="CJ268" i="5"/>
  <c r="CI268" i="5" s="1"/>
  <c r="CK268" i="5" s="1"/>
  <c r="CC263" i="5"/>
  <c r="E386" i="5" l="1"/>
  <c r="D386" i="5"/>
  <c r="B387" i="5"/>
  <c r="CG269" i="5"/>
  <c r="CH269" i="5" s="1"/>
  <c r="BW263" i="5"/>
  <c r="BV263" i="5" s="1"/>
  <c r="BX263" i="5" s="1"/>
  <c r="F386" i="5" l="1"/>
  <c r="C387" i="5"/>
  <c r="CP269" i="5"/>
  <c r="BT264" i="5"/>
  <c r="BU264" i="5" s="1"/>
  <c r="E387" i="5" l="1"/>
  <c r="D387" i="5" s="1"/>
  <c r="F387" i="5" s="1"/>
  <c r="C388" i="5"/>
  <c r="B388" i="5"/>
  <c r="CJ269" i="5"/>
  <c r="CC264" i="5"/>
  <c r="E388" i="5" l="1"/>
  <c r="D388" i="5" s="1"/>
  <c r="F388" i="5" s="1"/>
  <c r="C389" i="5"/>
  <c r="B389" i="5"/>
  <c r="CI269" i="5"/>
  <c r="CK269" i="5" s="1"/>
  <c r="BW264" i="5"/>
  <c r="BV264" i="5" s="1"/>
  <c r="BX264" i="5" s="1"/>
  <c r="E389" i="5" l="1"/>
  <c r="D389" i="5" s="1"/>
  <c r="F389" i="5" s="1"/>
  <c r="C390" i="5" s="1"/>
  <c r="B390" i="5"/>
  <c r="CG270" i="5"/>
  <c r="CH270" i="5" s="1"/>
  <c r="BT265" i="5"/>
  <c r="BU265" i="5" s="1"/>
  <c r="E390" i="5" l="1"/>
  <c r="D390" i="5"/>
  <c r="F390" i="5" s="1"/>
  <c r="C391" i="5"/>
  <c r="B391" i="5"/>
  <c r="CP270" i="5"/>
  <c r="CJ270" i="5"/>
  <c r="CI270" i="5" s="1"/>
  <c r="CK270" i="5" s="1"/>
  <c r="CC265" i="5"/>
  <c r="E391" i="5" l="1"/>
  <c r="D391" i="5" s="1"/>
  <c r="F391" i="5" s="1"/>
  <c r="C392" i="5"/>
  <c r="B392" i="5"/>
  <c r="CG271" i="5"/>
  <c r="CH271" i="5" s="1"/>
  <c r="BW265" i="5"/>
  <c r="BV265" i="5" s="1"/>
  <c r="BX265" i="5" s="1"/>
  <c r="AB19" i="56"/>
  <c r="AC18" i="56"/>
  <c r="E392" i="5" l="1"/>
  <c r="D392" i="5" s="1"/>
  <c r="F392" i="5" s="1"/>
  <c r="C393" i="5"/>
  <c r="B393" i="5"/>
  <c r="CP271" i="5"/>
  <c r="BT266" i="5"/>
  <c r="BU266" i="5" s="1"/>
  <c r="E393" i="5" l="1"/>
  <c r="D393" i="5"/>
  <c r="F393" i="5" s="1"/>
  <c r="C394" i="5"/>
  <c r="B394" i="5"/>
  <c r="CJ271" i="5"/>
  <c r="CI271" i="5" s="1"/>
  <c r="CK271" i="5" s="1"/>
  <c r="CC266" i="5"/>
  <c r="E394" i="5" l="1"/>
  <c r="D394" i="5"/>
  <c r="F394" i="5" s="1"/>
  <c r="C395" i="5"/>
  <c r="B395" i="5"/>
  <c r="CG272" i="5"/>
  <c r="CH272" i="5" s="1"/>
  <c r="BW266" i="5"/>
  <c r="BV266" i="5" s="1"/>
  <c r="BX266" i="5" s="1"/>
  <c r="E395" i="5" l="1"/>
  <c r="D395" i="5"/>
  <c r="F395" i="5" s="1"/>
  <c r="C396" i="5"/>
  <c r="B396" i="5"/>
  <c r="CP272" i="5"/>
  <c r="BT267" i="5"/>
  <c r="BU267" i="5" s="1"/>
  <c r="E396" i="5" l="1"/>
  <c r="D396" i="5" s="1"/>
  <c r="F396" i="5" s="1"/>
  <c r="C397" i="5"/>
  <c r="B397" i="5"/>
  <c r="CJ272" i="5"/>
  <c r="CI272" i="5" s="1"/>
  <c r="CK272" i="5" s="1"/>
  <c r="CC267" i="5"/>
  <c r="E397" i="5" l="1"/>
  <c r="D397" i="5" s="1"/>
  <c r="F397" i="5" s="1"/>
  <c r="C398" i="5"/>
  <c r="B398" i="5"/>
  <c r="CG273" i="5"/>
  <c r="CH273" i="5" s="1"/>
  <c r="BW267" i="5"/>
  <c r="BV267" i="5" s="1"/>
  <c r="BX267" i="5" s="1"/>
  <c r="E398" i="5" l="1"/>
  <c r="D398" i="5" s="1"/>
  <c r="F398" i="5" s="1"/>
  <c r="C399" i="5"/>
  <c r="B399" i="5"/>
  <c r="CP273" i="5"/>
  <c r="BT268" i="5"/>
  <c r="BU268" i="5" s="1"/>
  <c r="E399" i="5" l="1"/>
  <c r="D399" i="5" s="1"/>
  <c r="F399" i="5" s="1"/>
  <c r="C400" i="5"/>
  <c r="B400" i="5"/>
  <c r="CJ273" i="5"/>
  <c r="CC268" i="5"/>
  <c r="E400" i="5" l="1"/>
  <c r="D400" i="5"/>
  <c r="F400" i="5" s="1"/>
  <c r="C401" i="5"/>
  <c r="B401" i="5"/>
  <c r="CI273" i="5"/>
  <c r="CK273" i="5" s="1"/>
  <c r="BW268" i="5"/>
  <c r="BV268" i="5" s="1"/>
  <c r="BX268" i="5" s="1"/>
  <c r="AB20" i="56"/>
  <c r="AC19" i="56"/>
  <c r="E401" i="5" l="1"/>
  <c r="D401" i="5"/>
  <c r="F401" i="5" s="1"/>
  <c r="C402" i="5"/>
  <c r="B402" i="5"/>
  <c r="CG274" i="5"/>
  <c r="CH274" i="5" s="1"/>
  <c r="BT269" i="5"/>
  <c r="BU269" i="5" s="1"/>
  <c r="E402" i="5" l="1"/>
  <c r="D402" i="5" s="1"/>
  <c r="F402" i="5" s="1"/>
  <c r="C403" i="5"/>
  <c r="B403" i="5"/>
  <c r="CP274" i="5"/>
  <c r="CJ274" i="5"/>
  <c r="CI274" i="5" s="1"/>
  <c r="CK274" i="5" s="1"/>
  <c r="CC269" i="5"/>
  <c r="E403" i="5" l="1"/>
  <c r="D403" i="5" s="1"/>
  <c r="F403" i="5" s="1"/>
  <c r="C404" i="5"/>
  <c r="B404" i="5"/>
  <c r="CG275" i="5"/>
  <c r="BW269" i="5"/>
  <c r="BV269" i="5" s="1"/>
  <c r="BX269" i="5" s="1"/>
  <c r="E404" i="5" l="1"/>
  <c r="D404" i="5" s="1"/>
  <c r="F404" i="5" s="1"/>
  <c r="C405" i="5"/>
  <c r="B405" i="5"/>
  <c r="CP275" i="5"/>
  <c r="CH275" i="5"/>
  <c r="BT270" i="5"/>
  <c r="BU270" i="5" s="1"/>
  <c r="E405" i="5" l="1"/>
  <c r="D405" i="5" s="1"/>
  <c r="F405" i="5" s="1"/>
  <c r="C406" i="5" s="1"/>
  <c r="B406" i="5"/>
  <c r="CJ275" i="5"/>
  <c r="CI275" i="5" s="1"/>
  <c r="CG276" i="5" s="1"/>
  <c r="CH276" i="5" s="1"/>
  <c r="CC270" i="5"/>
  <c r="E406" i="5" l="1"/>
  <c r="D406" i="5" s="1"/>
  <c r="F406" i="5" s="1"/>
  <c r="C407" i="5" s="1"/>
  <c r="B407" i="5"/>
  <c r="CK275" i="5"/>
  <c r="CP276" i="5"/>
  <c r="BW270" i="5"/>
  <c r="BV270" i="5" s="1"/>
  <c r="BX270" i="5" s="1"/>
  <c r="E407" i="5" l="1"/>
  <c r="D407" i="5" s="1"/>
  <c r="F407" i="5" s="1"/>
  <c r="C408" i="5"/>
  <c r="B408" i="5"/>
  <c r="CJ276" i="5"/>
  <c r="BT271" i="5"/>
  <c r="BU271" i="5" s="1"/>
  <c r="E408" i="5" l="1"/>
  <c r="D408" i="5"/>
  <c r="F408" i="5" s="1"/>
  <c r="C409" i="5" s="1"/>
  <c r="B409" i="5"/>
  <c r="CI276" i="5"/>
  <c r="CK276" i="5" s="1"/>
  <c r="CC271" i="5"/>
  <c r="E409" i="5" l="1"/>
  <c r="D409" i="5"/>
  <c r="F409" i="5" s="1"/>
  <c r="C410" i="5"/>
  <c r="B410" i="5"/>
  <c r="CG277" i="5"/>
  <c r="CH277" i="5" s="1"/>
  <c r="BW271" i="5"/>
  <c r="BV271" i="5" s="1"/>
  <c r="BX271" i="5" s="1"/>
  <c r="AB21" i="56"/>
  <c r="AC20" i="56"/>
  <c r="E410" i="5" l="1"/>
  <c r="D410" i="5" s="1"/>
  <c r="F410" i="5" s="1"/>
  <c r="C411" i="5"/>
  <c r="B411" i="5"/>
  <c r="CP277" i="5"/>
  <c r="CJ277" i="5"/>
  <c r="CI277" i="5" s="1"/>
  <c r="CK277" i="5" s="1"/>
  <c r="BT272" i="5"/>
  <c r="BU272" i="5" s="1"/>
  <c r="E411" i="5" l="1"/>
  <c r="D411" i="5" s="1"/>
  <c r="F411" i="5" s="1"/>
  <c r="C412" i="5"/>
  <c r="B412" i="5"/>
  <c r="CG278" i="5"/>
  <c r="CH278" i="5" s="1"/>
  <c r="CC272" i="5"/>
  <c r="E412" i="5" l="1"/>
  <c r="D412" i="5"/>
  <c r="F412" i="5" s="1"/>
  <c r="C413" i="5"/>
  <c r="B413" i="5"/>
  <c r="CP278" i="5"/>
  <c r="BW272" i="5"/>
  <c r="BV272" i="5" s="1"/>
  <c r="BX272" i="5" s="1"/>
  <c r="E413" i="5" l="1"/>
  <c r="D413" i="5" s="1"/>
  <c r="F413" i="5" s="1"/>
  <c r="C414" i="5"/>
  <c r="B414" i="5"/>
  <c r="CJ278" i="5"/>
  <c r="CI278" i="5" s="1"/>
  <c r="CK278" i="5" s="1"/>
  <c r="BT273" i="5"/>
  <c r="BU273" i="5" s="1"/>
  <c r="E414" i="5" l="1"/>
  <c r="D414" i="5" s="1"/>
  <c r="B415" i="5"/>
  <c r="CG279" i="5"/>
  <c r="CH279" i="5" s="1"/>
  <c r="CC273" i="5"/>
  <c r="F414" i="5" l="1"/>
  <c r="C415" i="5"/>
  <c r="CP279" i="5"/>
  <c r="BW273" i="5"/>
  <c r="BV273" i="5" s="1"/>
  <c r="BX273" i="5" s="1"/>
  <c r="E415" i="5" l="1"/>
  <c r="D415" i="5" s="1"/>
  <c r="F415" i="5" s="1"/>
  <c r="C416" i="5"/>
  <c r="B416" i="5"/>
  <c r="CJ279" i="5"/>
  <c r="CI279" i="5" s="1"/>
  <c r="CK279" i="5" s="1"/>
  <c r="BT274" i="5"/>
  <c r="BU274" i="5" s="1"/>
  <c r="E416" i="5" l="1"/>
  <c r="D416" i="5" s="1"/>
  <c r="F416" i="5" s="1"/>
  <c r="C417" i="5" s="1"/>
  <c r="B417" i="5"/>
  <c r="CG280" i="5"/>
  <c r="CH280" i="5" s="1"/>
  <c r="CC274" i="5"/>
  <c r="E417" i="5" l="1"/>
  <c r="D417" i="5"/>
  <c r="F417" i="5" s="1"/>
  <c r="C418" i="5"/>
  <c r="B418" i="5"/>
  <c r="CP280" i="5"/>
  <c r="BW274" i="5"/>
  <c r="BV274" i="5" s="1"/>
  <c r="BX274" i="5" s="1"/>
  <c r="AB22" i="56"/>
  <c r="AC21" i="56"/>
  <c r="E418" i="5" l="1"/>
  <c r="D418" i="5"/>
  <c r="F418" i="5" s="1"/>
  <c r="C419" i="5"/>
  <c r="B419" i="5"/>
  <c r="CJ280" i="5"/>
  <c r="CI280" i="5" s="1"/>
  <c r="CK280" i="5" s="1"/>
  <c r="BT275" i="5"/>
  <c r="BU275" i="5" s="1"/>
  <c r="E419" i="5" l="1"/>
  <c r="D419" i="5"/>
  <c r="F419" i="5" s="1"/>
  <c r="C420" i="5"/>
  <c r="B420" i="5"/>
  <c r="CG281" i="5"/>
  <c r="CH281" i="5" s="1"/>
  <c r="CC275" i="5"/>
  <c r="E420" i="5" l="1"/>
  <c r="D420" i="5"/>
  <c r="F420" i="5" s="1"/>
  <c r="C421" i="5"/>
  <c r="B421" i="5"/>
  <c r="CP281" i="5"/>
  <c r="BW275" i="5"/>
  <c r="BV275" i="5" s="1"/>
  <c r="E421" i="5" l="1"/>
  <c r="D421" i="5" s="1"/>
  <c r="F421" i="5" s="1"/>
  <c r="C422" i="5"/>
  <c r="B422" i="5"/>
  <c r="CJ281" i="5"/>
  <c r="CI281" i="5" s="1"/>
  <c r="CK281" i="5" s="1"/>
  <c r="BX275" i="5"/>
  <c r="BT276" i="5"/>
  <c r="BU276" i="5" s="1"/>
  <c r="E422" i="5" l="1"/>
  <c r="D422" i="5" s="1"/>
  <c r="F422" i="5" s="1"/>
  <c r="C423" i="5"/>
  <c r="B423" i="5"/>
  <c r="CG282" i="5"/>
  <c r="CH282" i="5" s="1"/>
  <c r="CC276" i="5"/>
  <c r="E423" i="5" l="1"/>
  <c r="D423" i="5" s="1"/>
  <c r="F423" i="5" s="1"/>
  <c r="C424" i="5"/>
  <c r="B424" i="5"/>
  <c r="CP282" i="5"/>
  <c r="BW276" i="5"/>
  <c r="BV276" i="5" s="1"/>
  <c r="BX276" i="5" s="1"/>
  <c r="E424" i="5" l="1"/>
  <c r="D424" i="5"/>
  <c r="F424" i="5" s="1"/>
  <c r="C425" i="5"/>
  <c r="B425" i="5"/>
  <c r="CJ282" i="5"/>
  <c r="CI282" i="5" s="1"/>
  <c r="CK282" i="5" s="1"/>
  <c r="BT277" i="5"/>
  <c r="BU277" i="5" s="1"/>
  <c r="E425" i="5" l="1"/>
  <c r="D425" i="5"/>
  <c r="F425" i="5" s="1"/>
  <c r="C426" i="5"/>
  <c r="B426" i="5"/>
  <c r="CG283" i="5"/>
  <c r="CH283" i="5" s="1"/>
  <c r="CC277" i="5"/>
  <c r="E426" i="5" l="1"/>
  <c r="D426" i="5"/>
  <c r="F426" i="5" s="1"/>
  <c r="C427" i="5"/>
  <c r="B427" i="5"/>
  <c r="CP283" i="5"/>
  <c r="BW277" i="5"/>
  <c r="BV277" i="5" s="1"/>
  <c r="BX277" i="5" s="1"/>
  <c r="AB23" i="56"/>
  <c r="AC22" i="56"/>
  <c r="E427" i="5" l="1"/>
  <c r="D427" i="5" s="1"/>
  <c r="F427" i="5" s="1"/>
  <c r="C428" i="5"/>
  <c r="B428" i="5"/>
  <c r="CJ283" i="5"/>
  <c r="CI283" i="5" s="1"/>
  <c r="CK283" i="5" s="1"/>
  <c r="BT278" i="5"/>
  <c r="BU278" i="5" s="1"/>
  <c r="E428" i="5" l="1"/>
  <c r="D428" i="5" s="1"/>
  <c r="F428" i="5" s="1"/>
  <c r="C429" i="5"/>
  <c r="B429" i="5"/>
  <c r="CG284" i="5"/>
  <c r="CH284" i="5" s="1"/>
  <c r="CC278" i="5"/>
  <c r="E429" i="5" l="1"/>
  <c r="D429" i="5"/>
  <c r="F429" i="5" s="1"/>
  <c r="C430" i="5"/>
  <c r="B430" i="5"/>
  <c r="CP284" i="5"/>
  <c r="BW278" i="5"/>
  <c r="BV278" i="5" s="1"/>
  <c r="BX278" i="5" s="1"/>
  <c r="E430" i="5" l="1"/>
  <c r="D430" i="5" s="1"/>
  <c r="F430" i="5" s="1"/>
  <c r="C431" i="5"/>
  <c r="B431" i="5"/>
  <c r="CJ284" i="5"/>
  <c r="BT279" i="5"/>
  <c r="BU279" i="5" s="1"/>
  <c r="E431" i="5" l="1"/>
  <c r="D431" i="5"/>
  <c r="F431" i="5" s="1"/>
  <c r="C432" i="5"/>
  <c r="B432" i="5"/>
  <c r="CI284" i="5"/>
  <c r="CK284" i="5" s="1"/>
  <c r="CC279" i="5"/>
  <c r="E432" i="5" l="1"/>
  <c r="D432" i="5"/>
  <c r="F432" i="5" s="1"/>
  <c r="C433" i="5"/>
  <c r="B433" i="5"/>
  <c r="CG285" i="5"/>
  <c r="CH285" i="5" s="1"/>
  <c r="BW279" i="5"/>
  <c r="BV279" i="5" s="1"/>
  <c r="BX279" i="5" s="1"/>
  <c r="E433" i="5" l="1"/>
  <c r="D433" i="5" s="1"/>
  <c r="F433" i="5" s="1"/>
  <c r="C434" i="5"/>
  <c r="B434" i="5"/>
  <c r="CP285" i="5"/>
  <c r="CJ285" i="5"/>
  <c r="BT280" i="5"/>
  <c r="BU280" i="5" s="1"/>
  <c r="E434" i="5" l="1"/>
  <c r="D434" i="5" s="1"/>
  <c r="F434" i="5" s="1"/>
  <c r="C435" i="5"/>
  <c r="B435" i="5"/>
  <c r="CI285" i="5"/>
  <c r="CK285" i="5" s="1"/>
  <c r="CC280" i="5"/>
  <c r="E435" i="5" l="1"/>
  <c r="D435" i="5"/>
  <c r="F435" i="5" s="1"/>
  <c r="C436" i="5"/>
  <c r="B436" i="5"/>
  <c r="CG286" i="5"/>
  <c r="CH286" i="5" s="1"/>
  <c r="BW280" i="5"/>
  <c r="BV280" i="5" s="1"/>
  <c r="BX280" i="5" s="1"/>
  <c r="AB24" i="56"/>
  <c r="AC23" i="56"/>
  <c r="E436" i="5" l="1"/>
  <c r="D436" i="5"/>
  <c r="F436" i="5" s="1"/>
  <c r="C437" i="5"/>
  <c r="B437" i="5"/>
  <c r="CP286" i="5"/>
  <c r="CJ286" i="5"/>
  <c r="CI286" i="5" s="1"/>
  <c r="CK286" i="5" s="1"/>
  <c r="BT281" i="5"/>
  <c r="BU281" i="5" s="1"/>
  <c r="E437" i="5" l="1"/>
  <c r="D437" i="5"/>
  <c r="F437" i="5" s="1"/>
  <c r="C438" i="5"/>
  <c r="B438" i="5"/>
  <c r="CG287" i="5"/>
  <c r="CH287" i="5" s="1"/>
  <c r="CC281" i="5"/>
  <c r="E438" i="5" l="1"/>
  <c r="D438" i="5"/>
  <c r="F438" i="5" s="1"/>
  <c r="C439" i="5"/>
  <c r="B439" i="5"/>
  <c r="CP287" i="5"/>
  <c r="BW281" i="5"/>
  <c r="BV281" i="5" s="1"/>
  <c r="BX281" i="5" s="1"/>
  <c r="E439" i="5" l="1"/>
  <c r="D439" i="5" s="1"/>
  <c r="F439" i="5" s="1"/>
  <c r="C440" i="5"/>
  <c r="B440" i="5"/>
  <c r="CJ287" i="5"/>
  <c r="CI287" i="5" s="1"/>
  <c r="CK287" i="5" s="1"/>
  <c r="BT282" i="5"/>
  <c r="BU282" i="5" s="1"/>
  <c r="E440" i="5" l="1"/>
  <c r="D440" i="5" s="1"/>
  <c r="F440" i="5" s="1"/>
  <c r="C441" i="5"/>
  <c r="B441" i="5"/>
  <c r="CG288" i="5"/>
  <c r="CH288" i="5" s="1"/>
  <c r="CC282" i="5"/>
  <c r="E441" i="5" l="1"/>
  <c r="D441" i="5" s="1"/>
  <c r="F441" i="5" s="1"/>
  <c r="C442" i="5"/>
  <c r="B442" i="5"/>
  <c r="CP288" i="5"/>
  <c r="BW282" i="5"/>
  <c r="BV282" i="5" s="1"/>
  <c r="BX282" i="5" s="1"/>
  <c r="E442" i="5" l="1"/>
  <c r="D442" i="5"/>
  <c r="F442" i="5" s="1"/>
  <c r="C443" i="5"/>
  <c r="B443" i="5"/>
  <c r="CJ288" i="5"/>
  <c r="CI288" i="5" s="1"/>
  <c r="CK288" i="5" s="1"/>
  <c r="BT283" i="5"/>
  <c r="BU283" i="5" s="1"/>
  <c r="E443" i="5" l="1"/>
  <c r="D443" i="5"/>
  <c r="F443" i="5" s="1"/>
  <c r="C444" i="5"/>
  <c r="B444" i="5"/>
  <c r="CG289" i="5"/>
  <c r="CH289" i="5" s="1"/>
  <c r="CC283" i="5"/>
  <c r="E444" i="5" l="1"/>
  <c r="D444" i="5" s="1"/>
  <c r="F444" i="5" s="1"/>
  <c r="C445" i="5"/>
  <c r="B445" i="5"/>
  <c r="CP289" i="5"/>
  <c r="BW283" i="5"/>
  <c r="BV283" i="5" s="1"/>
  <c r="BX283" i="5" s="1"/>
  <c r="AB25" i="56"/>
  <c r="AC24" i="56"/>
  <c r="E445" i="5" l="1"/>
  <c r="D445" i="5"/>
  <c r="F445" i="5" s="1"/>
  <c r="C446" i="5"/>
  <c r="B446" i="5"/>
  <c r="CJ289" i="5"/>
  <c r="CI289" i="5" s="1"/>
  <c r="CK289" i="5" s="1"/>
  <c r="BT284" i="5"/>
  <c r="BU284" i="5" s="1"/>
  <c r="E446" i="5" l="1"/>
  <c r="D446" i="5"/>
  <c r="F446" i="5" s="1"/>
  <c r="C447" i="5"/>
  <c r="B447" i="5"/>
  <c r="CG290" i="5"/>
  <c r="CH290" i="5" s="1"/>
  <c r="CC284" i="5"/>
  <c r="E447" i="5" l="1"/>
  <c r="D447" i="5" s="1"/>
  <c r="F447" i="5" s="1"/>
  <c r="C448" i="5"/>
  <c r="B448" i="5"/>
  <c r="CP290" i="5"/>
  <c r="BW284" i="5"/>
  <c r="BV284" i="5" s="1"/>
  <c r="BX284" i="5" s="1"/>
  <c r="E448" i="5" l="1"/>
  <c r="D448" i="5"/>
  <c r="F448" i="5" s="1"/>
  <c r="C449" i="5"/>
  <c r="B449" i="5"/>
  <c r="CJ290" i="5"/>
  <c r="CI290" i="5" s="1"/>
  <c r="CK290" i="5" s="1"/>
  <c r="BT285" i="5"/>
  <c r="BU285" i="5" s="1"/>
  <c r="E449" i="5" l="1"/>
  <c r="D449" i="5" s="1"/>
  <c r="F449" i="5" s="1"/>
  <c r="C450" i="5" s="1"/>
  <c r="B450" i="5"/>
  <c r="CG291" i="5"/>
  <c r="CH291" i="5" s="1"/>
  <c r="CC285" i="5"/>
  <c r="E450" i="5" l="1"/>
  <c r="D450" i="5" s="1"/>
  <c r="F450" i="5" s="1"/>
  <c r="C451" i="5"/>
  <c r="B451" i="5"/>
  <c r="CP291" i="5"/>
  <c r="BW285" i="5"/>
  <c r="BV285" i="5" s="1"/>
  <c r="BX285" i="5" s="1"/>
  <c r="E451" i="5" l="1"/>
  <c r="D451" i="5"/>
  <c r="F451" i="5" s="1"/>
  <c r="C452" i="5"/>
  <c r="B452" i="5"/>
  <c r="CJ291" i="5"/>
  <c r="BT286" i="5"/>
  <c r="BU286" i="5" s="1"/>
  <c r="E452" i="5" l="1"/>
  <c r="D452" i="5"/>
  <c r="F452" i="5" s="1"/>
  <c r="C453" i="5"/>
  <c r="B453" i="5"/>
  <c r="CI291" i="5"/>
  <c r="CK291" i="5" s="1"/>
  <c r="CC286" i="5"/>
  <c r="E453" i="5" l="1"/>
  <c r="D453" i="5" s="1"/>
  <c r="F453" i="5" s="1"/>
  <c r="C454" i="5"/>
  <c r="B454" i="5"/>
  <c r="CG292" i="5"/>
  <c r="CH292" i="5" s="1"/>
  <c r="BW286" i="5"/>
  <c r="BV286" i="5" s="1"/>
  <c r="BX286" i="5" s="1"/>
  <c r="AB26" i="56"/>
  <c r="AC25" i="56"/>
  <c r="E454" i="5" l="1"/>
  <c r="D454" i="5"/>
  <c r="F454" i="5" s="1"/>
  <c r="C455" i="5"/>
  <c r="B455" i="5"/>
  <c r="CP292" i="5"/>
  <c r="CJ292" i="5"/>
  <c r="CI292" i="5" s="1"/>
  <c r="CK292" i="5" s="1"/>
  <c r="BT287" i="5"/>
  <c r="BU287" i="5" s="1"/>
  <c r="E455" i="5" l="1"/>
  <c r="D455" i="5" s="1"/>
  <c r="F455" i="5" s="1"/>
  <c r="C456" i="5"/>
  <c r="B456" i="5"/>
  <c r="CG293" i="5"/>
  <c r="CH293" i="5" s="1"/>
  <c r="CC287" i="5"/>
  <c r="E456" i="5" l="1"/>
  <c r="D456" i="5" s="1"/>
  <c r="F456" i="5" s="1"/>
  <c r="C457" i="5"/>
  <c r="B457" i="5"/>
  <c r="CP293" i="5"/>
  <c r="BW287" i="5"/>
  <c r="BV287" i="5" s="1"/>
  <c r="BX287" i="5" s="1"/>
  <c r="E457" i="5" l="1"/>
  <c r="D457" i="5" s="1"/>
  <c r="F457" i="5" s="1"/>
  <c r="C458" i="5"/>
  <c r="B458" i="5"/>
  <c r="CJ293" i="5"/>
  <c r="BT288" i="5"/>
  <c r="BU288" i="5" s="1"/>
  <c r="E458" i="5" l="1"/>
  <c r="D458" i="5"/>
  <c r="F458" i="5" s="1"/>
  <c r="C459" i="5"/>
  <c r="B459" i="5"/>
  <c r="CI293" i="5"/>
  <c r="CK293" i="5" s="1"/>
  <c r="CC288" i="5"/>
  <c r="E459" i="5" l="1"/>
  <c r="D459" i="5" s="1"/>
  <c r="F459" i="5" s="1"/>
  <c r="C460" i="5"/>
  <c r="B460" i="5"/>
  <c r="CG294" i="5"/>
  <c r="CH294" i="5" s="1"/>
  <c r="BW288" i="5"/>
  <c r="BV288" i="5" s="1"/>
  <c r="BX288" i="5" s="1"/>
  <c r="E460" i="5" l="1"/>
  <c r="D460" i="5" s="1"/>
  <c r="F460" i="5" s="1"/>
  <c r="C461" i="5"/>
  <c r="B461" i="5"/>
  <c r="CP294" i="5"/>
  <c r="CJ294" i="5"/>
  <c r="CI294" i="5" s="1"/>
  <c r="CK294" i="5" s="1"/>
  <c r="BT289" i="5"/>
  <c r="BU289" i="5" s="1"/>
  <c r="E461" i="5" l="1"/>
  <c r="D461" i="5" s="1"/>
  <c r="F461" i="5" s="1"/>
  <c r="C462" i="5"/>
  <c r="B462" i="5"/>
  <c r="CG295" i="5"/>
  <c r="CH295" i="5" s="1"/>
  <c r="CC289" i="5"/>
  <c r="E462" i="5" l="1"/>
  <c r="D462" i="5" s="1"/>
  <c r="F462" i="5" s="1"/>
  <c r="C463" i="5"/>
  <c r="B463" i="5"/>
  <c r="CP295" i="5"/>
  <c r="BW289" i="5"/>
  <c r="BV289" i="5" s="1"/>
  <c r="BX289" i="5" s="1"/>
  <c r="AB27" i="56"/>
  <c r="AC26" i="56"/>
  <c r="E463" i="5" l="1"/>
  <c r="D463" i="5" s="1"/>
  <c r="F463" i="5" s="1"/>
  <c r="C464" i="5"/>
  <c r="B464" i="5"/>
  <c r="CJ295" i="5"/>
  <c r="BT290" i="5"/>
  <c r="BU290" i="5" s="1"/>
  <c r="E464" i="5" l="1"/>
  <c r="D464" i="5"/>
  <c r="F464" i="5" s="1"/>
  <c r="C465" i="5"/>
  <c r="B465" i="5"/>
  <c r="CI295" i="5"/>
  <c r="CK295" i="5" s="1"/>
  <c r="CC290" i="5"/>
  <c r="E465" i="5" l="1"/>
  <c r="D465" i="5"/>
  <c r="F465" i="5" s="1"/>
  <c r="C466" i="5"/>
  <c r="B466" i="5"/>
  <c r="CG296" i="5"/>
  <c r="CH296" i="5" s="1"/>
  <c r="BW290" i="5"/>
  <c r="BV290" i="5" s="1"/>
  <c r="BX290" i="5" s="1"/>
  <c r="E466" i="5" l="1"/>
  <c r="D466" i="5" s="1"/>
  <c r="F466" i="5" s="1"/>
  <c r="C467" i="5" s="1"/>
  <c r="B467" i="5"/>
  <c r="CP296" i="5"/>
  <c r="CJ296" i="5"/>
  <c r="BT291" i="5"/>
  <c r="BU291" i="5" s="1"/>
  <c r="E467" i="5" l="1"/>
  <c r="D467" i="5"/>
  <c r="F467" i="5" s="1"/>
  <c r="C468" i="5"/>
  <c r="B468" i="5"/>
  <c r="CI296" i="5"/>
  <c r="CK296" i="5" s="1"/>
  <c r="CC291" i="5"/>
  <c r="E468" i="5" l="1"/>
  <c r="D468" i="5" s="1"/>
  <c r="F468" i="5" s="1"/>
  <c r="C469" i="5"/>
  <c r="B469" i="5"/>
  <c r="CG297" i="5"/>
  <c r="CH297" i="5" s="1"/>
  <c r="BW291" i="5"/>
  <c r="BV291" i="5" s="1"/>
  <c r="BX291" i="5" s="1"/>
  <c r="E469" i="5" l="1"/>
  <c r="D469" i="5" s="1"/>
  <c r="F469" i="5" s="1"/>
  <c r="C470" i="5"/>
  <c r="B470" i="5"/>
  <c r="CP297" i="5"/>
  <c r="CJ297" i="5"/>
  <c r="CI297" i="5" s="1"/>
  <c r="CK297" i="5" s="1"/>
  <c r="BT292" i="5"/>
  <c r="BU292" i="5" s="1"/>
  <c r="E470" i="5" l="1"/>
  <c r="D470" i="5" s="1"/>
  <c r="F470" i="5" s="1"/>
  <c r="C471" i="5"/>
  <c r="B471" i="5"/>
  <c r="CG298" i="5"/>
  <c r="CH298" i="5" s="1"/>
  <c r="CC292" i="5"/>
  <c r="E471" i="5" l="1"/>
  <c r="D471" i="5" s="1"/>
  <c r="F471" i="5" s="1"/>
  <c r="C472" i="5" s="1"/>
  <c r="B472" i="5"/>
  <c r="CP298" i="5"/>
  <c r="BW292" i="5"/>
  <c r="BV292" i="5" s="1"/>
  <c r="BX292" i="5" s="1"/>
  <c r="AB28" i="56"/>
  <c r="AC27" i="56"/>
  <c r="E472" i="5" l="1"/>
  <c r="D472" i="5"/>
  <c r="F472" i="5" s="1"/>
  <c r="C473" i="5"/>
  <c r="B473" i="5"/>
  <c r="CJ298" i="5"/>
  <c r="BT293" i="5"/>
  <c r="BU293" i="5" s="1"/>
  <c r="E473" i="5" l="1"/>
  <c r="D473" i="5"/>
  <c r="F473" i="5" s="1"/>
  <c r="C474" i="5"/>
  <c r="B474" i="5"/>
  <c r="CI298" i="5"/>
  <c r="CK298" i="5" s="1"/>
  <c r="CC293" i="5"/>
  <c r="E474" i="5" l="1"/>
  <c r="D474" i="5"/>
  <c r="F474" i="5" s="1"/>
  <c r="C475" i="5"/>
  <c r="B475" i="5"/>
  <c r="CG299" i="5"/>
  <c r="CH299" i="5" s="1"/>
  <c r="BW293" i="5"/>
  <c r="BV293" i="5" s="1"/>
  <c r="BX293" i="5" s="1"/>
  <c r="E475" i="5" l="1"/>
  <c r="D475" i="5"/>
  <c r="F475" i="5" s="1"/>
  <c r="C476" i="5"/>
  <c r="B476" i="5"/>
  <c r="CP299" i="5"/>
  <c r="CJ299" i="5"/>
  <c r="CI299" i="5" s="1"/>
  <c r="CK299" i="5" s="1"/>
  <c r="BT294" i="5"/>
  <c r="BU294" i="5" s="1"/>
  <c r="E476" i="5" l="1"/>
  <c r="D476" i="5" s="1"/>
  <c r="F476" i="5" s="1"/>
  <c r="C477" i="5"/>
  <c r="B477" i="5"/>
  <c r="CG300" i="5"/>
  <c r="CH300" i="5" s="1"/>
  <c r="CC294" i="5"/>
  <c r="E477" i="5" l="1"/>
  <c r="D477" i="5"/>
  <c r="F477" i="5" s="1"/>
  <c r="C478" i="5"/>
  <c r="B478" i="5"/>
  <c r="CP300" i="5"/>
  <c r="BW294" i="5"/>
  <c r="BV294" i="5" s="1"/>
  <c r="BX294" i="5" s="1"/>
  <c r="E478" i="5" l="1"/>
  <c r="D478" i="5" s="1"/>
  <c r="F478" i="5" s="1"/>
  <c r="C479" i="5"/>
  <c r="B479" i="5"/>
  <c r="CJ300" i="5"/>
  <c r="BT295" i="5"/>
  <c r="BU295" i="5" s="1"/>
  <c r="E479" i="5" l="1"/>
  <c r="D479" i="5"/>
  <c r="F479" i="5" s="1"/>
  <c r="C480" i="5"/>
  <c r="B480" i="5"/>
  <c r="CI300" i="5"/>
  <c r="CK300" i="5" s="1"/>
  <c r="CC295" i="5"/>
  <c r="E480" i="5" l="1"/>
  <c r="D480" i="5"/>
  <c r="F480" i="5" s="1"/>
  <c r="C481" i="5"/>
  <c r="B481" i="5"/>
  <c r="CG301" i="5"/>
  <c r="CH301" i="5" s="1"/>
  <c r="BW295" i="5"/>
  <c r="BV295" i="5" s="1"/>
  <c r="BX295" i="5" s="1"/>
  <c r="E481" i="5" l="1"/>
  <c r="D481" i="5"/>
  <c r="F481" i="5" s="1"/>
  <c r="C482" i="5"/>
  <c r="B482" i="5"/>
  <c r="CP301" i="5"/>
  <c r="CJ301" i="5"/>
  <c r="CI301" i="5" s="1"/>
  <c r="CK301" i="5" s="1"/>
  <c r="BT296" i="5"/>
  <c r="BU296" i="5" s="1"/>
  <c r="AB29" i="56"/>
  <c r="AC28" i="56"/>
  <c r="E482" i="5" l="1"/>
  <c r="D482" i="5" s="1"/>
  <c r="B483" i="5"/>
  <c r="CG302" i="5"/>
  <c r="CH302" i="5" s="1"/>
  <c r="CC296" i="5"/>
  <c r="F482" i="5" l="1"/>
  <c r="C483" i="5"/>
  <c r="CP302" i="5"/>
  <c r="BW296" i="5"/>
  <c r="BV296" i="5" s="1"/>
  <c r="BX296" i="5" s="1"/>
  <c r="E483" i="5" l="1"/>
  <c r="D483" i="5" s="1"/>
  <c r="F483" i="5" s="1"/>
  <c r="C484" i="5"/>
  <c r="B484" i="5"/>
  <c r="CJ302" i="5"/>
  <c r="BT297" i="5"/>
  <c r="BU297" i="5" s="1"/>
  <c r="E484" i="5" l="1"/>
  <c r="D484" i="5" s="1"/>
  <c r="F484" i="5" s="1"/>
  <c r="C485" i="5"/>
  <c r="B485" i="5"/>
  <c r="CI302" i="5"/>
  <c r="CK302" i="5" s="1"/>
  <c r="CC297" i="5"/>
  <c r="E485" i="5" l="1"/>
  <c r="D485" i="5"/>
  <c r="F485" i="5" s="1"/>
  <c r="C486" i="5"/>
  <c r="B486" i="5"/>
  <c r="CG303" i="5"/>
  <c r="CH303" i="5" s="1"/>
  <c r="BW297" i="5"/>
  <c r="BV297" i="5" s="1"/>
  <c r="BX297" i="5" s="1"/>
  <c r="E486" i="5" l="1"/>
  <c r="D486" i="5" s="1"/>
  <c r="F486" i="5" s="1"/>
  <c r="C487" i="5"/>
  <c r="B487" i="5"/>
  <c r="CP303" i="5"/>
  <c r="CJ303" i="5"/>
  <c r="BT298" i="5"/>
  <c r="BU298" i="5" s="1"/>
  <c r="E487" i="5" l="1"/>
  <c r="D487" i="5"/>
  <c r="F487" i="5" s="1"/>
  <c r="C488" i="5"/>
  <c r="B488" i="5"/>
  <c r="CI303" i="5"/>
  <c r="CK303" i="5" s="1"/>
  <c r="CC298" i="5"/>
  <c r="E488" i="5" l="1"/>
  <c r="D488" i="5" s="1"/>
  <c r="F488" i="5" s="1"/>
  <c r="C489" i="5"/>
  <c r="B489" i="5"/>
  <c r="CG304" i="5"/>
  <c r="CH304" i="5" s="1"/>
  <c r="BW298" i="5"/>
  <c r="BV298" i="5" s="1"/>
  <c r="BX298" i="5" s="1"/>
  <c r="E489" i="5" l="1"/>
  <c r="D489" i="5"/>
  <c r="F489" i="5" s="1"/>
  <c r="C490" i="5"/>
  <c r="B490" i="5"/>
  <c r="CP304" i="5"/>
  <c r="CJ304" i="5"/>
  <c r="CI304" i="5" s="1"/>
  <c r="CK304" i="5" s="1"/>
  <c r="BT299" i="5"/>
  <c r="BU299" i="5" s="1"/>
  <c r="AB30" i="56"/>
  <c r="AC29" i="56"/>
  <c r="E490" i="5" l="1"/>
  <c r="D490" i="5"/>
  <c r="F490" i="5" s="1"/>
  <c r="C491" i="5"/>
  <c r="B491" i="5"/>
  <c r="CG305" i="5"/>
  <c r="CH305" i="5" s="1"/>
  <c r="CC299" i="5"/>
  <c r="E491" i="5" l="1"/>
  <c r="D491" i="5" s="1"/>
  <c r="F491" i="5" s="1"/>
  <c r="C492" i="5"/>
  <c r="B492" i="5"/>
  <c r="CP305" i="5"/>
  <c r="BW299" i="5"/>
  <c r="BV299" i="5" s="1"/>
  <c r="BX299" i="5" s="1"/>
  <c r="E492" i="5" l="1"/>
  <c r="D492" i="5" s="1"/>
  <c r="F492" i="5" s="1"/>
  <c r="C493" i="5"/>
  <c r="B493" i="5"/>
  <c r="CJ305" i="5"/>
  <c r="CI305" i="5" s="1"/>
  <c r="CK305" i="5" s="1"/>
  <c r="BT300" i="5"/>
  <c r="BU300" i="5" s="1"/>
  <c r="E493" i="5" l="1"/>
  <c r="D493" i="5" s="1"/>
  <c r="F493" i="5" s="1"/>
  <c r="C494" i="5"/>
  <c r="B494" i="5"/>
  <c r="CG306" i="5"/>
  <c r="CH306" i="5" s="1"/>
  <c r="CC300" i="5"/>
  <c r="E494" i="5" l="1"/>
  <c r="D494" i="5" s="1"/>
  <c r="F494" i="5" s="1"/>
  <c r="C495" i="5"/>
  <c r="B495" i="5"/>
  <c r="CP306" i="5"/>
  <c r="BW300" i="5"/>
  <c r="BV300" i="5" s="1"/>
  <c r="BX300" i="5" s="1"/>
  <c r="E495" i="5" l="1"/>
  <c r="D495" i="5" s="1"/>
  <c r="F495" i="5" s="1"/>
  <c r="C496" i="5"/>
  <c r="B496" i="5"/>
  <c r="CJ306" i="5"/>
  <c r="BT301" i="5"/>
  <c r="BU301" i="5" s="1"/>
  <c r="E496" i="5" l="1"/>
  <c r="D496" i="5" s="1"/>
  <c r="F496" i="5" s="1"/>
  <c r="C497" i="5"/>
  <c r="B497" i="5"/>
  <c r="CI306" i="5"/>
  <c r="CK306" i="5" s="1"/>
  <c r="CC301" i="5"/>
  <c r="E497" i="5" l="1"/>
  <c r="D497" i="5" s="1"/>
  <c r="F497" i="5" s="1"/>
  <c r="C498" i="5"/>
  <c r="B498" i="5"/>
  <c r="CG307" i="5"/>
  <c r="CH307" i="5" s="1"/>
  <c r="BW301" i="5"/>
  <c r="BV301" i="5" s="1"/>
  <c r="BX301" i="5" s="1"/>
  <c r="E498" i="5" l="1"/>
  <c r="D498" i="5" s="1"/>
  <c r="F498" i="5" s="1"/>
  <c r="C499" i="5"/>
  <c r="B499" i="5"/>
  <c r="CP307" i="5"/>
  <c r="CJ307" i="5"/>
  <c r="BT302" i="5"/>
  <c r="BU302" i="5" s="1"/>
  <c r="E499" i="5" l="1"/>
  <c r="D499" i="5" s="1"/>
  <c r="F499" i="5" s="1"/>
  <c r="C500" i="5" s="1"/>
  <c r="B500" i="5"/>
  <c r="CI307" i="5"/>
  <c r="CK307" i="5" s="1"/>
  <c r="CC302" i="5"/>
  <c r="E500" i="5" l="1"/>
  <c r="D500" i="5" s="1"/>
  <c r="F500" i="5" s="1"/>
  <c r="C501" i="5"/>
  <c r="B501" i="5"/>
  <c r="CG308" i="5"/>
  <c r="CH308" i="5" s="1"/>
  <c r="BW302" i="5"/>
  <c r="BV302" i="5" s="1"/>
  <c r="BX302" i="5" s="1"/>
  <c r="AB31" i="56"/>
  <c r="AC30" i="56"/>
  <c r="E501" i="5" l="1"/>
  <c r="D501" i="5" s="1"/>
  <c r="F501" i="5" s="1"/>
  <c r="C502" i="5"/>
  <c r="B502" i="5"/>
  <c r="CP308" i="5"/>
  <c r="CJ308" i="5"/>
  <c r="CI308" i="5" s="1"/>
  <c r="CK308" i="5" s="1"/>
  <c r="BT303" i="5"/>
  <c r="BU303" i="5" s="1"/>
  <c r="E502" i="5" l="1"/>
  <c r="D502" i="5" s="1"/>
  <c r="F502" i="5" s="1"/>
  <c r="C503" i="5"/>
  <c r="B503" i="5"/>
  <c r="CG309" i="5"/>
  <c r="CH309" i="5" s="1"/>
  <c r="CC303" i="5"/>
  <c r="E503" i="5" l="1"/>
  <c r="D503" i="5" s="1"/>
  <c r="F503" i="5" s="1"/>
  <c r="C504" i="5"/>
  <c r="B504" i="5"/>
  <c r="CP309" i="5"/>
  <c r="BW303" i="5"/>
  <c r="BV303" i="5" s="1"/>
  <c r="BX303" i="5" s="1"/>
  <c r="E504" i="5" l="1"/>
  <c r="D504" i="5" s="1"/>
  <c r="F504" i="5" s="1"/>
  <c r="C505" i="5"/>
  <c r="B505" i="5"/>
  <c r="CJ309" i="5"/>
  <c r="BT304" i="5"/>
  <c r="BU304" i="5" s="1"/>
  <c r="E505" i="5" l="1"/>
  <c r="D505" i="5" s="1"/>
  <c r="F505" i="5" s="1"/>
  <c r="C506" i="5" s="1"/>
  <c r="B506" i="5"/>
  <c r="CI309" i="5"/>
  <c r="CK309" i="5" s="1"/>
  <c r="CC304" i="5"/>
  <c r="E506" i="5" l="1"/>
  <c r="D506" i="5" s="1"/>
  <c r="F506" i="5" s="1"/>
  <c r="C507" i="5" s="1"/>
  <c r="B507" i="5"/>
  <c r="CG310" i="5"/>
  <c r="CH310" i="5" s="1"/>
  <c r="BW304" i="5"/>
  <c r="BV304" i="5" s="1"/>
  <c r="BX304" i="5" s="1"/>
  <c r="E507" i="5" l="1"/>
  <c r="D507" i="5" s="1"/>
  <c r="F507" i="5" s="1"/>
  <c r="C508" i="5"/>
  <c r="B508" i="5"/>
  <c r="CP310" i="5"/>
  <c r="CJ310" i="5"/>
  <c r="CI310" i="5" s="1"/>
  <c r="CK310" i="5" s="1"/>
  <c r="BT305" i="5"/>
  <c r="BU305" i="5" s="1"/>
  <c r="E508" i="5" l="1"/>
  <c r="D508" i="5" s="1"/>
  <c r="F508" i="5" s="1"/>
  <c r="C509" i="5"/>
  <c r="B509" i="5"/>
  <c r="CG311" i="5"/>
  <c r="CH311" i="5" s="1"/>
  <c r="CC305" i="5"/>
  <c r="E509" i="5" l="1"/>
  <c r="D509" i="5"/>
  <c r="F509" i="5" s="1"/>
  <c r="C510" i="5"/>
  <c r="B510" i="5"/>
  <c r="CP311" i="5"/>
  <c r="BW305" i="5"/>
  <c r="BV305" i="5" s="1"/>
  <c r="BX305" i="5" s="1"/>
  <c r="E510" i="5" l="1"/>
  <c r="D510" i="5" s="1"/>
  <c r="F510" i="5" s="1"/>
  <c r="C511" i="5" s="1"/>
  <c r="B511" i="5"/>
  <c r="CJ311" i="5"/>
  <c r="CI311" i="5" s="1"/>
  <c r="CK311" i="5" s="1"/>
  <c r="BT306" i="5"/>
  <c r="BU306" i="5" s="1"/>
  <c r="E511" i="5" l="1"/>
  <c r="D511" i="5"/>
  <c r="F511" i="5" s="1"/>
  <c r="C512" i="5"/>
  <c r="B512" i="5"/>
  <c r="CG312" i="5"/>
  <c r="CC306" i="5"/>
  <c r="E512" i="5" l="1"/>
  <c r="D512" i="5" s="1"/>
  <c r="F512" i="5" s="1"/>
  <c r="C513" i="5"/>
  <c r="B513" i="5"/>
  <c r="CP312" i="5"/>
  <c r="CH312" i="5"/>
  <c r="BW306" i="5"/>
  <c r="BV306" i="5" s="1"/>
  <c r="BX306" i="5" s="1"/>
  <c r="AB32" i="56"/>
  <c r="AC31" i="56"/>
  <c r="E513" i="5" l="1"/>
  <c r="D513" i="5" s="1"/>
  <c r="F513" i="5" s="1"/>
  <c r="C514" i="5"/>
  <c r="B514" i="5"/>
  <c r="CJ312" i="5"/>
  <c r="CI312" i="5" s="1"/>
  <c r="CG313" i="5" s="1"/>
  <c r="CH313" i="5" s="1"/>
  <c r="BT307" i="5"/>
  <c r="BU307" i="5" s="1"/>
  <c r="E514" i="5" l="1"/>
  <c r="D514" i="5" s="1"/>
  <c r="F514" i="5" s="1"/>
  <c r="C515" i="5"/>
  <c r="B515" i="5"/>
  <c r="CK312" i="5"/>
  <c r="CP313" i="5"/>
  <c r="CC307" i="5"/>
  <c r="E515" i="5" l="1"/>
  <c r="D515" i="5" s="1"/>
  <c r="F515" i="5" s="1"/>
  <c r="C516" i="5" s="1"/>
  <c r="B516" i="5"/>
  <c r="CJ313" i="5"/>
  <c r="CI313" i="5" s="1"/>
  <c r="CK313" i="5" s="1"/>
  <c r="BW307" i="5"/>
  <c r="BV307" i="5" s="1"/>
  <c r="BX307" i="5" s="1"/>
  <c r="E516" i="5" l="1"/>
  <c r="D516" i="5" s="1"/>
  <c r="F516" i="5" s="1"/>
  <c r="C517" i="5" s="1"/>
  <c r="B517" i="5"/>
  <c r="CG314" i="5"/>
  <c r="CH314" i="5" s="1"/>
  <c r="BT308" i="5"/>
  <c r="BU308" i="5" s="1"/>
  <c r="E517" i="5" l="1"/>
  <c r="D517" i="5" s="1"/>
  <c r="F517" i="5" s="1"/>
  <c r="C518" i="5"/>
  <c r="B518" i="5"/>
  <c r="CP314" i="5"/>
  <c r="CC308" i="5"/>
  <c r="E518" i="5" l="1"/>
  <c r="D518" i="5" s="1"/>
  <c r="F518" i="5" s="1"/>
  <c r="C519" i="5"/>
  <c r="B519" i="5"/>
  <c r="CJ314" i="5"/>
  <c r="CI314" i="5" s="1"/>
  <c r="CK314" i="5" s="1"/>
  <c r="BW308" i="5"/>
  <c r="BV308" i="5" s="1"/>
  <c r="BX308" i="5" s="1"/>
  <c r="E519" i="5" l="1"/>
  <c r="D519" i="5"/>
  <c r="F519" i="5" s="1"/>
  <c r="C520" i="5"/>
  <c r="B520" i="5"/>
  <c r="CG315" i="5"/>
  <c r="CH315" i="5" s="1"/>
  <c r="BT309" i="5"/>
  <c r="BU309" i="5" s="1"/>
  <c r="E520" i="5" l="1"/>
  <c r="D520" i="5" s="1"/>
  <c r="F520" i="5" s="1"/>
  <c r="C521" i="5"/>
  <c r="B521" i="5"/>
  <c r="CP315" i="5"/>
  <c r="CC309" i="5"/>
  <c r="E521" i="5" l="1"/>
  <c r="D521" i="5" s="1"/>
  <c r="F521" i="5" s="1"/>
  <c r="C522" i="5" s="1"/>
  <c r="B522" i="5"/>
  <c r="CJ315" i="5"/>
  <c r="CI315" i="5" s="1"/>
  <c r="CK315" i="5" s="1"/>
  <c r="BW309" i="5"/>
  <c r="BV309" i="5" s="1"/>
  <c r="BX309" i="5" s="1"/>
  <c r="E522" i="5" l="1"/>
  <c r="D522" i="5" s="1"/>
  <c r="F522" i="5" s="1"/>
  <c r="C523" i="5"/>
  <c r="B523" i="5"/>
  <c r="CG316" i="5"/>
  <c r="CH316" i="5" s="1"/>
  <c r="BT310" i="5"/>
  <c r="BU310" i="5" s="1"/>
  <c r="E523" i="5" l="1"/>
  <c r="D523" i="5" s="1"/>
  <c r="F523" i="5" s="1"/>
  <c r="C524" i="5" s="1"/>
  <c r="B524" i="5"/>
  <c r="CP316" i="5"/>
  <c r="CC310" i="5"/>
  <c r="E524" i="5" l="1"/>
  <c r="D524" i="5" s="1"/>
  <c r="F524" i="5" s="1"/>
  <c r="C525" i="5"/>
  <c r="B525" i="5"/>
  <c r="CJ316" i="5"/>
  <c r="BW310" i="5"/>
  <c r="BV310" i="5" s="1"/>
  <c r="BX310" i="5" s="1"/>
  <c r="AB33" i="56"/>
  <c r="AC32" i="56"/>
  <c r="E525" i="5" l="1"/>
  <c r="D525" i="5" s="1"/>
  <c r="F525" i="5" s="1"/>
  <c r="C526" i="5" s="1"/>
  <c r="B526" i="5"/>
  <c r="CI316" i="5"/>
  <c r="CK316" i="5" s="1"/>
  <c r="BT311" i="5"/>
  <c r="BU311" i="5" s="1"/>
  <c r="E526" i="5" l="1"/>
  <c r="D526" i="5" s="1"/>
  <c r="F526" i="5" s="1"/>
  <c r="C527" i="5"/>
  <c r="B527" i="5"/>
  <c r="CG317" i="5"/>
  <c r="CH317" i="5" s="1"/>
  <c r="CC311" i="5"/>
  <c r="E527" i="5" l="1"/>
  <c r="D527" i="5" s="1"/>
  <c r="F527" i="5" s="1"/>
  <c r="C528" i="5"/>
  <c r="B528" i="5"/>
  <c r="CP317" i="5"/>
  <c r="CJ317" i="5"/>
  <c r="CI317" i="5" s="1"/>
  <c r="CK317" i="5" s="1"/>
  <c r="BW311" i="5"/>
  <c r="BV311" i="5" s="1"/>
  <c r="BX311" i="5" s="1"/>
  <c r="E528" i="5" l="1"/>
  <c r="D528" i="5" s="1"/>
  <c r="F528" i="5" s="1"/>
  <c r="C529" i="5"/>
  <c r="B529" i="5"/>
  <c r="CG318" i="5"/>
  <c r="CH318" i="5" s="1"/>
  <c r="BT312" i="5"/>
  <c r="BU312" i="5" s="1"/>
  <c r="E529" i="5" l="1"/>
  <c r="D529" i="5" s="1"/>
  <c r="F529" i="5" s="1"/>
  <c r="C530" i="5"/>
  <c r="B530" i="5"/>
  <c r="CP318" i="5"/>
  <c r="CC312" i="5"/>
  <c r="E530" i="5" l="1"/>
  <c r="D530" i="5" s="1"/>
  <c r="F530" i="5" s="1"/>
  <c r="C531" i="5" s="1"/>
  <c r="B531" i="5"/>
  <c r="CJ318" i="5"/>
  <c r="BW312" i="5"/>
  <c r="BV312" i="5" s="1"/>
  <c r="BX312" i="5" s="1"/>
  <c r="E531" i="5" l="1"/>
  <c r="D531" i="5"/>
  <c r="F531" i="5" s="1"/>
  <c r="C532" i="5"/>
  <c r="B532" i="5"/>
  <c r="CI318" i="5"/>
  <c r="CK318" i="5" s="1"/>
  <c r="BT313" i="5"/>
  <c r="BU313" i="5" s="1"/>
  <c r="E532" i="5" l="1"/>
  <c r="D532" i="5" s="1"/>
  <c r="F532" i="5" s="1"/>
  <c r="C533" i="5" s="1"/>
  <c r="B533" i="5"/>
  <c r="CG319" i="5"/>
  <c r="CH319" i="5" s="1"/>
  <c r="CC313" i="5"/>
  <c r="E533" i="5" l="1"/>
  <c r="D533" i="5" s="1"/>
  <c r="F533" i="5" s="1"/>
  <c r="C534" i="5"/>
  <c r="B534" i="5"/>
  <c r="CP319" i="5"/>
  <c r="CJ319" i="5"/>
  <c r="CI319" i="5" s="1"/>
  <c r="CK319" i="5" s="1"/>
  <c r="BW313" i="5"/>
  <c r="BV313" i="5" s="1"/>
  <c r="BX313" i="5" s="1"/>
  <c r="E534" i="5" l="1"/>
  <c r="D534" i="5" s="1"/>
  <c r="F534" i="5" s="1"/>
  <c r="C535" i="5" s="1"/>
  <c r="B535" i="5"/>
  <c r="CG320" i="5"/>
  <c r="BT314" i="5"/>
  <c r="BU314" i="5" s="1"/>
  <c r="E535" i="5" l="1"/>
  <c r="D535" i="5" s="1"/>
  <c r="F535" i="5" s="1"/>
  <c r="C536" i="5"/>
  <c r="B536" i="5"/>
  <c r="CP320" i="5"/>
  <c r="CH320" i="5"/>
  <c r="CC314" i="5"/>
  <c r="E536" i="5" l="1"/>
  <c r="D536" i="5" s="1"/>
  <c r="F536" i="5" s="1"/>
  <c r="C537" i="5"/>
  <c r="B537" i="5"/>
  <c r="CJ320" i="5"/>
  <c r="CI320" i="5" s="1"/>
  <c r="CK320" i="5" s="1"/>
  <c r="BW314" i="5"/>
  <c r="BV314" i="5" s="1"/>
  <c r="BX314" i="5" s="1"/>
  <c r="AB34" i="56"/>
  <c r="AC33" i="56"/>
  <c r="E537" i="5" l="1"/>
  <c r="D537" i="5" s="1"/>
  <c r="F537" i="5" s="1"/>
  <c r="C538" i="5"/>
  <c r="B538" i="5"/>
  <c r="CG321" i="5"/>
  <c r="BT315" i="5"/>
  <c r="BU315" i="5" s="1"/>
  <c r="E538" i="5" l="1"/>
  <c r="D538" i="5" s="1"/>
  <c r="B539" i="5"/>
  <c r="CP321" i="5"/>
  <c r="CH321" i="5"/>
  <c r="CC315" i="5"/>
  <c r="F538" i="5" l="1"/>
  <c r="C539" i="5"/>
  <c r="CJ321" i="5"/>
  <c r="CI321" i="5" s="1"/>
  <c r="CG322" i="5" s="1"/>
  <c r="CH322" i="5" s="1"/>
  <c r="BW315" i="5"/>
  <c r="BV315" i="5" s="1"/>
  <c r="BX315" i="5" s="1"/>
  <c r="E539" i="5" l="1"/>
  <c r="D539" i="5" s="1"/>
  <c r="F539" i="5" s="1"/>
  <c r="C540" i="5"/>
  <c r="B540" i="5"/>
  <c r="CK321" i="5"/>
  <c r="CP322" i="5"/>
  <c r="BT316" i="5"/>
  <c r="BU316" i="5" s="1"/>
  <c r="E540" i="5" l="1"/>
  <c r="D540" i="5" s="1"/>
  <c r="F540" i="5" s="1"/>
  <c r="C541" i="5"/>
  <c r="B541" i="5"/>
  <c r="CJ322" i="5"/>
  <c r="CC316" i="5"/>
  <c r="E541" i="5" l="1"/>
  <c r="D541" i="5" s="1"/>
  <c r="F541" i="5" s="1"/>
  <c r="C542" i="5"/>
  <c r="B542" i="5"/>
  <c r="CI322" i="5"/>
  <c r="CK322" i="5" s="1"/>
  <c r="BW316" i="5"/>
  <c r="BV316" i="5" s="1"/>
  <c r="BX316" i="5" s="1"/>
  <c r="E542" i="5" l="1"/>
  <c r="D542" i="5" s="1"/>
  <c r="F542" i="5" s="1"/>
  <c r="C543" i="5"/>
  <c r="B543" i="5"/>
  <c r="CG323" i="5"/>
  <c r="CH323" i="5" s="1"/>
  <c r="BT317" i="5"/>
  <c r="BU317" i="5" s="1"/>
  <c r="E543" i="5" l="1"/>
  <c r="D543" i="5" s="1"/>
  <c r="F543" i="5" s="1"/>
  <c r="C544" i="5" s="1"/>
  <c r="B544" i="5"/>
  <c r="CP323" i="5"/>
  <c r="CJ323" i="5"/>
  <c r="CI323" i="5" s="1"/>
  <c r="CK323" i="5" s="1"/>
  <c r="CC317" i="5"/>
  <c r="E544" i="5" l="1"/>
  <c r="D544" i="5" s="1"/>
  <c r="F544" i="5" s="1"/>
  <c r="C545" i="5"/>
  <c r="B545" i="5"/>
  <c r="CG324" i="5"/>
  <c r="CH324" i="5" s="1"/>
  <c r="BW317" i="5"/>
  <c r="BV317" i="5" s="1"/>
  <c r="BX317" i="5" s="1"/>
  <c r="E545" i="5" l="1"/>
  <c r="D545" i="5" s="1"/>
  <c r="F545" i="5" s="1"/>
  <c r="C546" i="5"/>
  <c r="B546" i="5"/>
  <c r="CP324" i="5"/>
  <c r="BT318" i="5"/>
  <c r="BU318" i="5" s="1"/>
  <c r="E546" i="5" l="1"/>
  <c r="D546" i="5" s="1"/>
  <c r="F546" i="5" s="1"/>
  <c r="C547" i="5"/>
  <c r="B547" i="5"/>
  <c r="CJ324" i="5"/>
  <c r="CI324" i="5" s="1"/>
  <c r="CK324" i="5" s="1"/>
  <c r="CC318" i="5"/>
  <c r="AB35" i="56"/>
  <c r="AC34" i="56"/>
  <c r="E547" i="5" l="1"/>
  <c r="D547" i="5" s="1"/>
  <c r="F547" i="5" s="1"/>
  <c r="C548" i="5"/>
  <c r="B548" i="5"/>
  <c r="CG325" i="5"/>
  <c r="CH325" i="5" s="1"/>
  <c r="BW318" i="5"/>
  <c r="BV318" i="5" s="1"/>
  <c r="BX318" i="5" s="1"/>
  <c r="E548" i="5" l="1"/>
  <c r="D548" i="5" s="1"/>
  <c r="F548" i="5" s="1"/>
  <c r="C549" i="5" s="1"/>
  <c r="B549" i="5"/>
  <c r="CP325" i="5"/>
  <c r="BT319" i="5"/>
  <c r="BU319" i="5" s="1"/>
  <c r="E549" i="5" l="1"/>
  <c r="D549" i="5"/>
  <c r="F549" i="5" s="1"/>
  <c r="C550" i="5"/>
  <c r="B550" i="5"/>
  <c r="CJ325" i="5"/>
  <c r="CI325" i="5" s="1"/>
  <c r="CK325" i="5" s="1"/>
  <c r="CC319" i="5"/>
  <c r="E550" i="5" l="1"/>
  <c r="D550" i="5" s="1"/>
  <c r="F550" i="5" s="1"/>
  <c r="C551" i="5"/>
  <c r="B551" i="5"/>
  <c r="CG326" i="5"/>
  <c r="CH326" i="5" s="1"/>
  <c r="BW319" i="5"/>
  <c r="BV319" i="5" s="1"/>
  <c r="BX319" i="5" s="1"/>
  <c r="E551" i="5" l="1"/>
  <c r="D551" i="5" s="1"/>
  <c r="F551" i="5" s="1"/>
  <c r="C552" i="5" s="1"/>
  <c r="B552" i="5"/>
  <c r="CP326" i="5"/>
  <c r="BT320" i="5"/>
  <c r="BU320" i="5" s="1"/>
  <c r="E552" i="5" l="1"/>
  <c r="D552" i="5"/>
  <c r="F552" i="5" s="1"/>
  <c r="C553" i="5"/>
  <c r="B553" i="5"/>
  <c r="CJ326" i="5"/>
  <c r="CI326" i="5" s="1"/>
  <c r="CK326" i="5" s="1"/>
  <c r="CC320" i="5"/>
  <c r="E553" i="5" l="1"/>
  <c r="D553" i="5" s="1"/>
  <c r="F553" i="5" s="1"/>
  <c r="C554" i="5"/>
  <c r="B554" i="5"/>
  <c r="CG327" i="5"/>
  <c r="CH327" i="5" s="1"/>
  <c r="BW320" i="5"/>
  <c r="BV320" i="5" s="1"/>
  <c r="BX320" i="5" s="1"/>
  <c r="E554" i="5" l="1"/>
  <c r="D554" i="5" s="1"/>
  <c r="F554" i="5" s="1"/>
  <c r="C555" i="5"/>
  <c r="B555" i="5"/>
  <c r="CP327" i="5"/>
  <c r="BT321" i="5"/>
  <c r="BU321" i="5" s="1"/>
  <c r="E555" i="5" l="1"/>
  <c r="D555" i="5"/>
  <c r="F555" i="5" s="1"/>
  <c r="C556" i="5"/>
  <c r="B556" i="5"/>
  <c r="CJ327" i="5"/>
  <c r="CI327" i="5" s="1"/>
  <c r="CK327" i="5" s="1"/>
  <c r="CC321" i="5"/>
  <c r="E556" i="5" l="1"/>
  <c r="D556" i="5"/>
  <c r="F556" i="5" s="1"/>
  <c r="C557" i="5"/>
  <c r="B557" i="5"/>
  <c r="CG328" i="5"/>
  <c r="CH328" i="5" s="1"/>
  <c r="BW321" i="5"/>
  <c r="BV321" i="5" s="1"/>
  <c r="BX321" i="5" s="1"/>
  <c r="E557" i="5" l="1"/>
  <c r="D557" i="5" s="1"/>
  <c r="F557" i="5" s="1"/>
  <c r="C558" i="5"/>
  <c r="B558" i="5"/>
  <c r="CP328" i="5"/>
  <c r="BT322" i="5"/>
  <c r="BU322" i="5" s="1"/>
  <c r="E558" i="5" l="1"/>
  <c r="D558" i="5"/>
  <c r="F558" i="5" s="1"/>
  <c r="C559" i="5"/>
  <c r="B559" i="5"/>
  <c r="CJ328" i="5"/>
  <c r="CI328" i="5" s="1"/>
  <c r="CK328" i="5" s="1"/>
  <c r="CC322" i="5"/>
  <c r="AB36" i="56"/>
  <c r="AC35" i="56"/>
  <c r="E559" i="5" l="1"/>
  <c r="D559" i="5" s="1"/>
  <c r="F559" i="5" s="1"/>
  <c r="C560" i="5"/>
  <c r="B560" i="5"/>
  <c r="CG329" i="5"/>
  <c r="CH329" i="5" s="1"/>
  <c r="BW322" i="5"/>
  <c r="BV322" i="5" s="1"/>
  <c r="BX322" i="5" s="1"/>
  <c r="E560" i="5" l="1"/>
  <c r="D560" i="5" s="1"/>
  <c r="F560" i="5" s="1"/>
  <c r="C561" i="5"/>
  <c r="B561" i="5"/>
  <c r="CP329" i="5"/>
  <c r="BT323" i="5"/>
  <c r="BU323" i="5" s="1"/>
  <c r="E561" i="5" l="1"/>
  <c r="D561" i="5"/>
  <c r="F561" i="5" s="1"/>
  <c r="C562" i="5"/>
  <c r="B562" i="5"/>
  <c r="CJ329" i="5"/>
  <c r="CC323" i="5"/>
  <c r="E562" i="5" l="1"/>
  <c r="D562" i="5" s="1"/>
  <c r="F562" i="5" s="1"/>
  <c r="C563" i="5"/>
  <c r="B563" i="5"/>
  <c r="CI329" i="5"/>
  <c r="CK329" i="5" s="1"/>
  <c r="BW323" i="5"/>
  <c r="BV323" i="5" s="1"/>
  <c r="BX323" i="5" s="1"/>
  <c r="E563" i="5" l="1"/>
  <c r="D563" i="5" s="1"/>
  <c r="F563" i="5" s="1"/>
  <c r="C564" i="5"/>
  <c r="B564" i="5"/>
  <c r="CG330" i="5"/>
  <c r="CH330" i="5" s="1"/>
  <c r="BT324" i="5"/>
  <c r="BU324" i="5" s="1"/>
  <c r="E564" i="5" l="1"/>
  <c r="D564" i="5" s="1"/>
  <c r="F564" i="5" s="1"/>
  <c r="C565" i="5"/>
  <c r="B565" i="5"/>
  <c r="CP330" i="5"/>
  <c r="CJ330" i="5"/>
  <c r="CI330" i="5" s="1"/>
  <c r="CK330" i="5" s="1"/>
  <c r="CC324" i="5"/>
  <c r="E565" i="5" l="1"/>
  <c r="D565" i="5" s="1"/>
  <c r="F565" i="5" s="1"/>
  <c r="C566" i="5"/>
  <c r="B566" i="5"/>
  <c r="CG331" i="5"/>
  <c r="CH331" i="5" s="1"/>
  <c r="BW324" i="5"/>
  <c r="BV324" i="5" s="1"/>
  <c r="BX324" i="5" s="1"/>
  <c r="E566" i="5" l="1"/>
  <c r="D566" i="5" s="1"/>
  <c r="F566" i="5" s="1"/>
  <c r="C567" i="5"/>
  <c r="B567" i="5"/>
  <c r="CP331" i="5"/>
  <c r="BT325" i="5"/>
  <c r="E567" i="5" l="1"/>
  <c r="D567" i="5" s="1"/>
  <c r="F567" i="5" s="1"/>
  <c r="C568" i="5"/>
  <c r="B568" i="5"/>
  <c r="CJ331" i="5"/>
  <c r="CC325" i="5"/>
  <c r="BU325" i="5"/>
  <c r="BW325" i="5" s="1"/>
  <c r="E568" i="5" l="1"/>
  <c r="D568" i="5" s="1"/>
  <c r="F568" i="5" s="1"/>
  <c r="C569" i="5"/>
  <c r="B569" i="5"/>
  <c r="CI331" i="5"/>
  <c r="CK331" i="5" s="1"/>
  <c r="BV325" i="5"/>
  <c r="BX325" i="5" s="1"/>
  <c r="E569" i="5" l="1"/>
  <c r="D569" i="5" s="1"/>
  <c r="F569" i="5" s="1"/>
  <c r="C570" i="5"/>
  <c r="B570" i="5"/>
  <c r="CG332" i="5"/>
  <c r="CH332" i="5" s="1"/>
  <c r="BT326" i="5"/>
  <c r="BU326" i="5" s="1"/>
  <c r="E570" i="5" l="1"/>
  <c r="D570" i="5" s="1"/>
  <c r="F570" i="5" s="1"/>
  <c r="C571" i="5"/>
  <c r="B571" i="5"/>
  <c r="CP332" i="5"/>
  <c r="CJ332" i="5"/>
  <c r="CI332" i="5" s="1"/>
  <c r="CK332" i="5" s="1"/>
  <c r="CC326" i="5"/>
  <c r="BW326" i="5"/>
  <c r="BV326" i="5" s="1"/>
  <c r="BX326" i="5" s="1"/>
  <c r="AB37" i="56"/>
  <c r="AC36" i="56"/>
  <c r="E571" i="5" l="1"/>
  <c r="D571" i="5" s="1"/>
  <c r="F571" i="5" s="1"/>
  <c r="C572" i="5"/>
  <c r="B572" i="5"/>
  <c r="CG333" i="5"/>
  <c r="CH333" i="5" s="1"/>
  <c r="BT327" i="5"/>
  <c r="BU327" i="5" s="1"/>
  <c r="E572" i="5" l="1"/>
  <c r="D572" i="5" s="1"/>
  <c r="F572" i="5" s="1"/>
  <c r="C573" i="5" s="1"/>
  <c r="B573" i="5"/>
  <c r="CP333" i="5"/>
  <c r="CC327" i="5"/>
  <c r="E573" i="5" l="1"/>
  <c r="D573" i="5" s="1"/>
  <c r="F573" i="5" s="1"/>
  <c r="C574" i="5"/>
  <c r="B574" i="5"/>
  <c r="CJ333" i="5"/>
  <c r="CI333" i="5" s="1"/>
  <c r="CK333" i="5" s="1"/>
  <c r="BW327" i="5"/>
  <c r="BV327" i="5" s="1"/>
  <c r="E574" i="5" l="1"/>
  <c r="D574" i="5" s="1"/>
  <c r="F574" i="5" s="1"/>
  <c r="C575" i="5"/>
  <c r="B575" i="5"/>
  <c r="CG334" i="5"/>
  <c r="CH334" i="5" s="1"/>
  <c r="BX327" i="5"/>
  <c r="BT328" i="5"/>
  <c r="BU328" i="5" s="1"/>
  <c r="E575" i="5" l="1"/>
  <c r="D575" i="5" s="1"/>
  <c r="F575" i="5" s="1"/>
  <c r="C576" i="5"/>
  <c r="B576" i="5"/>
  <c r="CP334" i="5"/>
  <c r="CC328" i="5"/>
  <c r="E576" i="5" l="1"/>
  <c r="D576" i="5"/>
  <c r="F576" i="5" s="1"/>
  <c r="C577" i="5"/>
  <c r="B577" i="5"/>
  <c r="CJ334" i="5"/>
  <c r="BW328" i="5"/>
  <c r="BV328" i="5" s="1"/>
  <c r="BX328" i="5" s="1"/>
  <c r="E577" i="5" l="1"/>
  <c r="D577" i="5" s="1"/>
  <c r="F577" i="5" s="1"/>
  <c r="C578" i="5"/>
  <c r="B578" i="5"/>
  <c r="CI334" i="5"/>
  <c r="CK334" i="5" s="1"/>
  <c r="BT329" i="5"/>
  <c r="BU329" i="5" s="1"/>
  <c r="E578" i="5" l="1"/>
  <c r="D578" i="5" s="1"/>
  <c r="F578" i="5" s="1"/>
  <c r="C579" i="5"/>
  <c r="B579" i="5"/>
  <c r="CG335" i="5"/>
  <c r="CH335" i="5" s="1"/>
  <c r="CC329" i="5"/>
  <c r="E579" i="5" l="1"/>
  <c r="D579" i="5" s="1"/>
  <c r="F579" i="5" s="1"/>
  <c r="C580" i="5"/>
  <c r="B580" i="5"/>
  <c r="CP335" i="5"/>
  <c r="CJ335" i="5"/>
  <c r="CI335" i="5" s="1"/>
  <c r="CK335" i="5" s="1"/>
  <c r="BW329" i="5"/>
  <c r="BV329" i="5" s="1"/>
  <c r="BX329" i="5" s="1"/>
  <c r="E580" i="5" l="1"/>
  <c r="D580" i="5"/>
  <c r="B581" i="5"/>
  <c r="CG336" i="5"/>
  <c r="CH336" i="5" s="1"/>
  <c r="BT330" i="5"/>
  <c r="BU330" i="5" s="1"/>
  <c r="F580" i="5" l="1"/>
  <c r="C581" i="5"/>
  <c r="CP336" i="5"/>
  <c r="CC330" i="5"/>
  <c r="E581" i="5" l="1"/>
  <c r="D581" i="5" s="1"/>
  <c r="F581" i="5" s="1"/>
  <c r="C582" i="5"/>
  <c r="B582" i="5"/>
  <c r="CJ336" i="5"/>
  <c r="CI336" i="5" s="1"/>
  <c r="CK336" i="5" s="1"/>
  <c r="BW330" i="5"/>
  <c r="BV330" i="5" s="1"/>
  <c r="BX330" i="5" s="1"/>
  <c r="AB38" i="56"/>
  <c r="AC37" i="56"/>
  <c r="E582" i="5" l="1"/>
  <c r="D582" i="5" s="1"/>
  <c r="F582" i="5" s="1"/>
  <c r="C583" i="5"/>
  <c r="B583" i="5"/>
  <c r="CG337" i="5"/>
  <c r="CH337" i="5" s="1"/>
  <c r="BT331" i="5"/>
  <c r="BU331" i="5" s="1"/>
  <c r="E583" i="5" l="1"/>
  <c r="D583" i="5" s="1"/>
  <c r="F583" i="5" s="1"/>
  <c r="C584" i="5"/>
  <c r="B584" i="5"/>
  <c r="CP337" i="5"/>
  <c r="CC331" i="5"/>
  <c r="E584" i="5" l="1"/>
  <c r="D584" i="5" s="1"/>
  <c r="F584" i="5" s="1"/>
  <c r="C585" i="5"/>
  <c r="B585" i="5"/>
  <c r="CJ337" i="5"/>
  <c r="CI337" i="5" s="1"/>
  <c r="CK337" i="5" s="1"/>
  <c r="BW331" i="5"/>
  <c r="BV331" i="5" s="1"/>
  <c r="BX331" i="5" s="1"/>
  <c r="E585" i="5" l="1"/>
  <c r="D585" i="5" s="1"/>
  <c r="F585" i="5" s="1"/>
  <c r="C586" i="5"/>
  <c r="B586" i="5"/>
  <c r="CG338" i="5"/>
  <c r="CH338" i="5" s="1"/>
  <c r="BT332" i="5"/>
  <c r="BU332" i="5" s="1"/>
  <c r="E586" i="5" l="1"/>
  <c r="D586" i="5"/>
  <c r="F586" i="5" s="1"/>
  <c r="C587" i="5"/>
  <c r="B587" i="5"/>
  <c r="CP338" i="5"/>
  <c r="CC332" i="5"/>
  <c r="E587" i="5" l="1"/>
  <c r="D587" i="5" s="1"/>
  <c r="F587" i="5" s="1"/>
  <c r="C588" i="5"/>
  <c r="B588" i="5"/>
  <c r="CJ338" i="5"/>
  <c r="CI338" i="5" s="1"/>
  <c r="BW332" i="5"/>
  <c r="BV332" i="5" s="1"/>
  <c r="BX332" i="5" s="1"/>
  <c r="E588" i="5" l="1"/>
  <c r="D588" i="5" s="1"/>
  <c r="F588" i="5" s="1"/>
  <c r="C589" i="5"/>
  <c r="B589" i="5"/>
  <c r="CK338" i="5"/>
  <c r="CG339" i="5"/>
  <c r="CH339" i="5" s="1"/>
  <c r="BT333" i="5"/>
  <c r="BU333" i="5" s="1"/>
  <c r="E589" i="5" l="1"/>
  <c r="D589" i="5" s="1"/>
  <c r="F589" i="5" s="1"/>
  <c r="C590" i="5"/>
  <c r="B590" i="5"/>
  <c r="CP339" i="5"/>
  <c r="CC333" i="5"/>
  <c r="E590" i="5" l="1"/>
  <c r="D590" i="5" s="1"/>
  <c r="F590" i="5" s="1"/>
  <c r="C591" i="5"/>
  <c r="B591" i="5"/>
  <c r="CJ339" i="5"/>
  <c r="BW333" i="5"/>
  <c r="BV333" i="5" s="1"/>
  <c r="BX333" i="5" s="1"/>
  <c r="E591" i="5" l="1"/>
  <c r="D591" i="5"/>
  <c r="F591" i="5" s="1"/>
  <c r="C592" i="5"/>
  <c r="B592" i="5"/>
  <c r="CI339" i="5"/>
  <c r="CK339" i="5" s="1"/>
  <c r="BT334" i="5"/>
  <c r="BU334" i="5" s="1"/>
  <c r="E592" i="5" l="1"/>
  <c r="D592" i="5" s="1"/>
  <c r="F592" i="5" s="1"/>
  <c r="C593" i="5"/>
  <c r="B593" i="5"/>
  <c r="CG340" i="5"/>
  <c r="CH340" i="5" s="1"/>
  <c r="CC334" i="5"/>
  <c r="E593" i="5" l="1"/>
  <c r="D593" i="5" s="1"/>
  <c r="F593" i="5" s="1"/>
  <c r="C594" i="5"/>
  <c r="B594" i="5"/>
  <c r="CP340" i="5"/>
  <c r="CJ340" i="5"/>
  <c r="BW334" i="5"/>
  <c r="BV334" i="5" s="1"/>
  <c r="BX334" i="5" s="1"/>
  <c r="AB39" i="56"/>
  <c r="AC38" i="56"/>
  <c r="E594" i="5" l="1"/>
  <c r="D594" i="5" s="1"/>
  <c r="F594" i="5" s="1"/>
  <c r="C595" i="5"/>
  <c r="B595" i="5"/>
  <c r="CI340" i="5"/>
  <c r="CK340" i="5" s="1"/>
  <c r="BT335" i="5"/>
  <c r="BU335" i="5" s="1"/>
  <c r="E595" i="5" l="1"/>
  <c r="D595" i="5" s="1"/>
  <c r="F595" i="5" s="1"/>
  <c r="C596" i="5"/>
  <c r="B596" i="5"/>
  <c r="CG341" i="5"/>
  <c r="CH341" i="5" s="1"/>
  <c r="CC335" i="5"/>
  <c r="E596" i="5" l="1"/>
  <c r="D596" i="5" s="1"/>
  <c r="F596" i="5" s="1"/>
  <c r="C597" i="5"/>
  <c r="B597" i="5"/>
  <c r="CP341" i="5"/>
  <c r="CJ341" i="5"/>
  <c r="CI341" i="5" s="1"/>
  <c r="CK341" i="5" s="1"/>
  <c r="BW335" i="5"/>
  <c r="BV335" i="5" s="1"/>
  <c r="BX335" i="5" s="1"/>
  <c r="E597" i="5" l="1"/>
  <c r="D597" i="5" s="1"/>
  <c r="F597" i="5" s="1"/>
  <c r="C598" i="5"/>
  <c r="B598" i="5"/>
  <c r="CG342" i="5"/>
  <c r="CH342" i="5" s="1"/>
  <c r="BT336" i="5"/>
  <c r="BU336" i="5" s="1"/>
  <c r="E598" i="5" l="1"/>
  <c r="D598" i="5" s="1"/>
  <c r="F598" i="5" s="1"/>
  <c r="C599" i="5"/>
  <c r="B599" i="5"/>
  <c r="CP342" i="5"/>
  <c r="CC336" i="5"/>
  <c r="E599" i="5" l="1"/>
  <c r="D599" i="5" s="1"/>
  <c r="F599" i="5" s="1"/>
  <c r="C600" i="5"/>
  <c r="B600" i="5"/>
  <c r="CJ342" i="5"/>
  <c r="CI342" i="5" s="1"/>
  <c r="CK342" i="5" s="1"/>
  <c r="BW336" i="5"/>
  <c r="BV336" i="5" s="1"/>
  <c r="BX336" i="5" s="1"/>
  <c r="E600" i="5" l="1"/>
  <c r="D600" i="5" s="1"/>
  <c r="F600" i="5" s="1"/>
  <c r="C601" i="5"/>
  <c r="B601" i="5"/>
  <c r="CG343" i="5"/>
  <c r="CH343" i="5" s="1"/>
  <c r="BT337" i="5"/>
  <c r="BU337" i="5" s="1"/>
  <c r="E601" i="5" l="1"/>
  <c r="D601" i="5"/>
  <c r="F601" i="5" s="1"/>
  <c r="C602" i="5"/>
  <c r="B602" i="5"/>
  <c r="CP343" i="5"/>
  <c r="CC337" i="5"/>
  <c r="E602" i="5" l="1"/>
  <c r="D602" i="5" s="1"/>
  <c r="F602" i="5" s="1"/>
  <c r="C603" i="5"/>
  <c r="B603" i="5"/>
  <c r="CJ343" i="5"/>
  <c r="CI343" i="5" s="1"/>
  <c r="CK343" i="5" s="1"/>
  <c r="BW337" i="5"/>
  <c r="BV337" i="5" s="1"/>
  <c r="BX337" i="5" s="1"/>
  <c r="E603" i="5" l="1"/>
  <c r="D603" i="5"/>
  <c r="F603" i="5" s="1"/>
  <c r="C604" i="5"/>
  <c r="B604" i="5"/>
  <c r="CG344" i="5"/>
  <c r="CH344" i="5" s="1"/>
  <c r="BT338" i="5"/>
  <c r="BU338" i="5" s="1"/>
  <c r="E604" i="5" l="1"/>
  <c r="D604" i="5" s="1"/>
  <c r="F604" i="5" s="1"/>
  <c r="C605" i="5"/>
  <c r="B605" i="5"/>
  <c r="CP344" i="5"/>
  <c r="CC338" i="5"/>
  <c r="E605" i="5" l="1"/>
  <c r="D605" i="5" s="1"/>
  <c r="F605" i="5" s="1"/>
  <c r="C606" i="5"/>
  <c r="B606" i="5"/>
  <c r="CJ344" i="5"/>
  <c r="CI344" i="5" s="1"/>
  <c r="CK344" i="5" s="1"/>
  <c r="BW338" i="5"/>
  <c r="BV338" i="5" s="1"/>
  <c r="BX338" i="5" s="1"/>
  <c r="AB40" i="56"/>
  <c r="AC39" i="56"/>
  <c r="E606" i="5" l="1"/>
  <c r="D606" i="5" s="1"/>
  <c r="F606" i="5" s="1"/>
  <c r="C607" i="5"/>
  <c r="B607" i="5"/>
  <c r="CG345" i="5"/>
  <c r="CH345" i="5" s="1"/>
  <c r="BT339" i="5"/>
  <c r="BU339" i="5" s="1"/>
  <c r="E607" i="5" l="1"/>
  <c r="D607" i="5" s="1"/>
  <c r="F607" i="5" s="1"/>
  <c r="C608" i="5"/>
  <c r="B608" i="5"/>
  <c r="CP345" i="5"/>
  <c r="CC339" i="5"/>
  <c r="E608" i="5" l="1"/>
  <c r="D608" i="5" s="1"/>
  <c r="F608" i="5" s="1"/>
  <c r="C609" i="5"/>
  <c r="B609" i="5"/>
  <c r="CJ345" i="5"/>
  <c r="CI345" i="5" s="1"/>
  <c r="CK345" i="5" s="1"/>
  <c r="BW339" i="5"/>
  <c r="BV339" i="5" s="1"/>
  <c r="BX339" i="5" s="1"/>
  <c r="E609" i="5" l="1"/>
  <c r="D609" i="5"/>
  <c r="F609" i="5" s="1"/>
  <c r="C610" i="5"/>
  <c r="B610" i="5"/>
  <c r="CG346" i="5"/>
  <c r="CH346" i="5" s="1"/>
  <c r="BT340" i="5"/>
  <c r="BU340" i="5" s="1"/>
  <c r="E610" i="5" l="1"/>
  <c r="D610" i="5"/>
  <c r="F610" i="5" s="1"/>
  <c r="C611" i="5"/>
  <c r="B611" i="5"/>
  <c r="CP346" i="5"/>
  <c r="CC340" i="5"/>
  <c r="E611" i="5" l="1"/>
  <c r="D611" i="5" s="1"/>
  <c r="F611" i="5" s="1"/>
  <c r="C612" i="5"/>
  <c r="B612" i="5"/>
  <c r="CJ346" i="5"/>
  <c r="CI346" i="5" s="1"/>
  <c r="CK346" i="5" s="1"/>
  <c r="BW340" i="5"/>
  <c r="BV340" i="5" s="1"/>
  <c r="BX340" i="5" s="1"/>
  <c r="E612" i="5" l="1"/>
  <c r="D612" i="5" s="1"/>
  <c r="F612" i="5" s="1"/>
  <c r="C613" i="5"/>
  <c r="B613" i="5"/>
  <c r="CG347" i="5"/>
  <c r="CH347" i="5" s="1"/>
  <c r="BT341" i="5"/>
  <c r="BU341" i="5" s="1"/>
  <c r="E613" i="5" l="1"/>
  <c r="D613" i="5"/>
  <c r="F613" i="5" s="1"/>
  <c r="C614" i="5"/>
  <c r="B614" i="5"/>
  <c r="CP347" i="5"/>
  <c r="CC341" i="5"/>
  <c r="E614" i="5" l="1"/>
  <c r="D614" i="5" s="1"/>
  <c r="F614" i="5" s="1"/>
  <c r="C615" i="5"/>
  <c r="B615" i="5"/>
  <c r="CJ347" i="5"/>
  <c r="BW341" i="5"/>
  <c r="BV341" i="5" s="1"/>
  <c r="BX341" i="5" s="1"/>
  <c r="E615" i="5" l="1"/>
  <c r="D615" i="5" s="1"/>
  <c r="F615" i="5" s="1"/>
  <c r="C616" i="5" s="1"/>
  <c r="B616" i="5"/>
  <c r="CI347" i="5"/>
  <c r="CK347" i="5" s="1"/>
  <c r="BT342" i="5"/>
  <c r="BU342" i="5" s="1"/>
  <c r="E616" i="5" l="1"/>
  <c r="D616" i="5" s="1"/>
  <c r="F616" i="5" s="1"/>
  <c r="C617" i="5"/>
  <c r="B617" i="5"/>
  <c r="CG348" i="5"/>
  <c r="CH348" i="5" s="1"/>
  <c r="CC342" i="5"/>
  <c r="E617" i="5" l="1"/>
  <c r="D617" i="5" s="1"/>
  <c r="F617" i="5" s="1"/>
  <c r="C618" i="5"/>
  <c r="B618" i="5"/>
  <c r="CP348" i="5"/>
  <c r="CJ348" i="5"/>
  <c r="BW342" i="5"/>
  <c r="BV342" i="5" s="1"/>
  <c r="BX342" i="5" s="1"/>
  <c r="AB41" i="56"/>
  <c r="AC40" i="56"/>
  <c r="E618" i="5" l="1"/>
  <c r="D618" i="5"/>
  <c r="F618" i="5" s="1"/>
  <c r="C619" i="5"/>
  <c r="B619" i="5"/>
  <c r="CI348" i="5"/>
  <c r="CK348" i="5" s="1"/>
  <c r="BT343" i="5"/>
  <c r="BU343" i="5" s="1"/>
  <c r="E619" i="5" l="1"/>
  <c r="D619" i="5" s="1"/>
  <c r="F619" i="5" s="1"/>
  <c r="C620" i="5"/>
  <c r="B620" i="5"/>
  <c r="CG349" i="5"/>
  <c r="CH349" i="5" s="1"/>
  <c r="CC343" i="5"/>
  <c r="E620" i="5" l="1"/>
  <c r="D620" i="5" s="1"/>
  <c r="F620" i="5" s="1"/>
  <c r="C621" i="5"/>
  <c r="B621" i="5"/>
  <c r="CP349" i="5"/>
  <c r="CJ349" i="5"/>
  <c r="CI349" i="5" s="1"/>
  <c r="BW343" i="5"/>
  <c r="BV343" i="5" s="1"/>
  <c r="BX343" i="5" s="1"/>
  <c r="E621" i="5" l="1"/>
  <c r="D621" i="5" s="1"/>
  <c r="F621" i="5" s="1"/>
  <c r="C622" i="5"/>
  <c r="B622" i="5"/>
  <c r="CK349" i="5"/>
  <c r="CG350" i="5"/>
  <c r="CH350" i="5" s="1"/>
  <c r="BT344" i="5"/>
  <c r="BU344" i="5" s="1"/>
  <c r="E622" i="5" l="1"/>
  <c r="D622" i="5" s="1"/>
  <c r="F622" i="5" s="1"/>
  <c r="C623" i="5"/>
  <c r="B623" i="5"/>
  <c r="CP350" i="5"/>
  <c r="CC344" i="5"/>
  <c r="E623" i="5" l="1"/>
  <c r="D623" i="5"/>
  <c r="F623" i="5" s="1"/>
  <c r="C624" i="5"/>
  <c r="B624" i="5"/>
  <c r="CJ350" i="5"/>
  <c r="BW344" i="5"/>
  <c r="BV344" i="5" s="1"/>
  <c r="BX344" i="5" s="1"/>
  <c r="E624" i="5" l="1"/>
  <c r="D624" i="5"/>
  <c r="F624" i="5" s="1"/>
  <c r="C625" i="5"/>
  <c r="B625" i="5"/>
  <c r="CI350" i="5"/>
  <c r="CK350" i="5" s="1"/>
  <c r="BT345" i="5"/>
  <c r="BU345" i="5" s="1"/>
  <c r="E625" i="5" l="1"/>
  <c r="D625" i="5" s="1"/>
  <c r="F625" i="5" s="1"/>
  <c r="C626" i="5"/>
  <c r="B626" i="5"/>
  <c r="CG351" i="5"/>
  <c r="CH351" i="5" s="1"/>
  <c r="CC345" i="5"/>
  <c r="E626" i="5" l="1"/>
  <c r="D626" i="5"/>
  <c r="F626" i="5" s="1"/>
  <c r="C627" i="5"/>
  <c r="B627" i="5"/>
  <c r="CP351" i="5"/>
  <c r="CJ351" i="5"/>
  <c r="BW345" i="5"/>
  <c r="BV345" i="5" s="1"/>
  <c r="BX345" i="5" s="1"/>
  <c r="E627" i="5" l="1"/>
  <c r="D627" i="5" s="1"/>
  <c r="F627" i="5" s="1"/>
  <c r="C628" i="5"/>
  <c r="B628" i="5"/>
  <c r="CI351" i="5"/>
  <c r="CK351" i="5" s="1"/>
  <c r="BT346" i="5"/>
  <c r="BU346" i="5" s="1"/>
  <c r="E628" i="5" l="1"/>
  <c r="D628" i="5" s="1"/>
  <c r="F628" i="5" s="1"/>
  <c r="C629" i="5"/>
  <c r="B629" i="5"/>
  <c r="CG352" i="5"/>
  <c r="CH352" i="5" s="1"/>
  <c r="CC346" i="5"/>
  <c r="E629" i="5" l="1"/>
  <c r="D629" i="5" s="1"/>
  <c r="F629" i="5" s="1"/>
  <c r="C630" i="5"/>
  <c r="B630" i="5"/>
  <c r="CP352" i="5"/>
  <c r="CJ352" i="5"/>
  <c r="BW346" i="5"/>
  <c r="BV346" i="5" s="1"/>
  <c r="BX346" i="5" s="1"/>
  <c r="E630" i="5" l="1"/>
  <c r="D630" i="5"/>
  <c r="F630" i="5" s="1"/>
  <c r="C631" i="5"/>
  <c r="B631" i="5"/>
  <c r="CI352" i="5"/>
  <c r="CK352" i="5" s="1"/>
  <c r="BT347" i="5"/>
  <c r="BU347" i="5" s="1"/>
  <c r="AB42" i="56"/>
  <c r="AC41" i="56"/>
  <c r="E631" i="5" l="1"/>
  <c r="D631" i="5" s="1"/>
  <c r="F631" i="5" s="1"/>
  <c r="C632" i="5"/>
  <c r="B632" i="5"/>
  <c r="CG353" i="5"/>
  <c r="CH353" i="5" s="1"/>
  <c r="CC347" i="5"/>
  <c r="E632" i="5" l="1"/>
  <c r="D632" i="5"/>
  <c r="F632" i="5" s="1"/>
  <c r="C633" i="5"/>
  <c r="B633" i="5"/>
  <c r="CP353" i="5"/>
  <c r="CJ353" i="5"/>
  <c r="CI353" i="5" s="1"/>
  <c r="BW347" i="5"/>
  <c r="BV347" i="5" s="1"/>
  <c r="BX347" i="5" s="1"/>
  <c r="E633" i="5" l="1"/>
  <c r="D633" i="5" s="1"/>
  <c r="F633" i="5" s="1"/>
  <c r="C634" i="5" s="1"/>
  <c r="B634" i="5"/>
  <c r="CK353" i="5"/>
  <c r="CG354" i="5"/>
  <c r="BT348" i="5"/>
  <c r="BU348" i="5" s="1"/>
  <c r="E634" i="5" l="1"/>
  <c r="D634" i="5" s="1"/>
  <c r="F634" i="5" s="1"/>
  <c r="C635" i="5"/>
  <c r="B635" i="5"/>
  <c r="CP354" i="5"/>
  <c r="CH354" i="5"/>
  <c r="CC348" i="5"/>
  <c r="E635" i="5" l="1"/>
  <c r="D635" i="5" s="1"/>
  <c r="F635" i="5" s="1"/>
  <c r="C636" i="5"/>
  <c r="B636" i="5"/>
  <c r="CJ354" i="5"/>
  <c r="CI354" i="5" s="1"/>
  <c r="CK354" i="5" s="1"/>
  <c r="BW348" i="5"/>
  <c r="BV348" i="5" s="1"/>
  <c r="BX348" i="5" s="1"/>
  <c r="E636" i="5" l="1"/>
  <c r="D636" i="5"/>
  <c r="F636" i="5" s="1"/>
  <c r="C637" i="5"/>
  <c r="B637" i="5"/>
  <c r="CG355" i="5"/>
  <c r="CH355" i="5" s="1"/>
  <c r="BT349" i="5"/>
  <c r="BU349" i="5" s="1"/>
  <c r="AB43" i="56"/>
  <c r="AC42" i="56"/>
  <c r="E637" i="5" l="1"/>
  <c r="D637" i="5" s="1"/>
  <c r="F637" i="5" s="1"/>
  <c r="C638" i="5" s="1"/>
  <c r="B638" i="5"/>
  <c r="CP355" i="5"/>
  <c r="CJ355" i="5"/>
  <c r="CC349" i="5"/>
  <c r="E638" i="5" l="1"/>
  <c r="D638" i="5"/>
  <c r="F638" i="5" s="1"/>
  <c r="C639" i="5"/>
  <c r="B639" i="5"/>
  <c r="CI355" i="5"/>
  <c r="CK355" i="5" s="1"/>
  <c r="BW349" i="5"/>
  <c r="BV349" i="5" s="1"/>
  <c r="BX349" i="5" s="1"/>
  <c r="E639" i="5" l="1"/>
  <c r="D639" i="5"/>
  <c r="F639" i="5" s="1"/>
  <c r="C640" i="5"/>
  <c r="B640" i="5"/>
  <c r="CG356" i="5"/>
  <c r="CH356" i="5" s="1"/>
  <c r="BT350" i="5"/>
  <c r="BU350" i="5" s="1"/>
  <c r="E640" i="5" l="1"/>
  <c r="D640" i="5" s="1"/>
  <c r="F640" i="5" s="1"/>
  <c r="C641" i="5"/>
  <c r="B641" i="5"/>
  <c r="CP356" i="5"/>
  <c r="CJ356" i="5"/>
  <c r="CI356" i="5" s="1"/>
  <c r="CK356" i="5" s="1"/>
  <c r="CC350" i="5"/>
  <c r="AC43" i="56"/>
  <c r="E641" i="5" l="1"/>
  <c r="D641" i="5"/>
  <c r="F641" i="5" s="1"/>
  <c r="C642" i="5"/>
  <c r="B642" i="5"/>
  <c r="CG357" i="5"/>
  <c r="CH357" i="5" s="1"/>
  <c r="BW350" i="5"/>
  <c r="BV350" i="5" s="1"/>
  <c r="BX350" i="5" s="1"/>
  <c r="E642" i="5" l="1"/>
  <c r="D642" i="5" s="1"/>
  <c r="F642" i="5" s="1"/>
  <c r="C643" i="5"/>
  <c r="B643" i="5"/>
  <c r="CP357" i="5"/>
  <c r="BT351" i="5"/>
  <c r="BU351" i="5" s="1"/>
  <c r="AC44" i="56"/>
  <c r="AB44" i="56" s="1"/>
  <c r="E643" i="5" l="1"/>
  <c r="D643" i="5" s="1"/>
  <c r="F643" i="5" s="1"/>
  <c r="C644" i="5"/>
  <c r="B644" i="5"/>
  <c r="CJ357" i="5"/>
  <c r="CC351" i="5"/>
  <c r="E644" i="5" l="1"/>
  <c r="D644" i="5" s="1"/>
  <c r="F644" i="5" s="1"/>
  <c r="C645" i="5"/>
  <c r="B645" i="5"/>
  <c r="CI357" i="5"/>
  <c r="CK357" i="5" s="1"/>
  <c r="BW351" i="5"/>
  <c r="BV351" i="5" s="1"/>
  <c r="BX351" i="5" s="1"/>
  <c r="AC45" i="56"/>
  <c r="AB45" i="56" s="1"/>
  <c r="E645" i="5" l="1"/>
  <c r="D645" i="5" s="1"/>
  <c r="F645" i="5" s="1"/>
  <c r="C646" i="5"/>
  <c r="B646" i="5"/>
  <c r="CG358" i="5"/>
  <c r="CH358" i="5" s="1"/>
  <c r="BT352" i="5"/>
  <c r="BU352" i="5" s="1"/>
  <c r="E646" i="5" l="1"/>
  <c r="D646" i="5" s="1"/>
  <c r="F646" i="5" s="1"/>
  <c r="C647" i="5"/>
  <c r="B647" i="5"/>
  <c r="CP358" i="5"/>
  <c r="CJ358" i="5"/>
  <c r="CI358" i="5" s="1"/>
  <c r="CK358" i="5" s="1"/>
  <c r="CC352" i="5"/>
  <c r="AC46" i="56"/>
  <c r="AB46" i="56" s="1"/>
  <c r="E647" i="5" l="1"/>
  <c r="D647" i="5" s="1"/>
  <c r="F647" i="5" s="1"/>
  <c r="C648" i="5"/>
  <c r="B648" i="5"/>
  <c r="CG359" i="5"/>
  <c r="BW352" i="5"/>
  <c r="BV352" i="5" s="1"/>
  <c r="BX352" i="5" s="1"/>
  <c r="E648" i="5" l="1"/>
  <c r="D648" i="5"/>
  <c r="F648" i="5" s="1"/>
  <c r="C649" i="5"/>
  <c r="B649" i="5"/>
  <c r="CP359" i="5"/>
  <c r="CH359" i="5"/>
  <c r="BT353" i="5"/>
  <c r="BU353" i="5" s="1"/>
  <c r="AC47" i="56"/>
  <c r="AB47" i="56" s="1"/>
  <c r="E649" i="5" l="1"/>
  <c r="D649" i="5"/>
  <c r="F649" i="5" s="1"/>
  <c r="C650" i="5"/>
  <c r="B650" i="5"/>
  <c r="CJ359" i="5"/>
  <c r="CI359" i="5" s="1"/>
  <c r="CK359" i="5" s="1"/>
  <c r="CC353" i="5"/>
  <c r="E650" i="5" l="1"/>
  <c r="D650" i="5" s="1"/>
  <c r="F650" i="5" s="1"/>
  <c r="C651" i="5"/>
  <c r="B651" i="5"/>
  <c r="CG360" i="5"/>
  <c r="CH360" i="5" s="1"/>
  <c r="BW353" i="5"/>
  <c r="BV353" i="5" s="1"/>
  <c r="BX353" i="5" s="1"/>
  <c r="AC48" i="56"/>
  <c r="AB48" i="56" s="1"/>
  <c r="E651" i="5" l="1"/>
  <c r="D651" i="5"/>
  <c r="F651" i="5" s="1"/>
  <c r="C652" i="5"/>
  <c r="B652" i="5"/>
  <c r="CP360" i="5"/>
  <c r="CJ360" i="5"/>
  <c r="CI360" i="5" s="1"/>
  <c r="BT354" i="5"/>
  <c r="BU354" i="5" s="1"/>
  <c r="E652" i="5" l="1"/>
  <c r="D652" i="5"/>
  <c r="F652" i="5" s="1"/>
  <c r="C653" i="5"/>
  <c r="B653" i="5"/>
  <c r="CK360" i="5"/>
  <c r="CG361" i="5"/>
  <c r="CH361" i="5" s="1"/>
  <c r="CC354" i="5"/>
  <c r="E653" i="5" l="1"/>
  <c r="D653" i="5"/>
  <c r="F653" i="5" s="1"/>
  <c r="C654" i="5"/>
  <c r="B654" i="5"/>
  <c r="CP361" i="5"/>
  <c r="BW354" i="5"/>
  <c r="BV354" i="5" s="1"/>
  <c r="BX354" i="5" s="1"/>
  <c r="AC49" i="56"/>
  <c r="AB49" i="56" s="1"/>
  <c r="E654" i="5" l="1"/>
  <c r="D654" i="5"/>
  <c r="F654" i="5" s="1"/>
  <c r="C655" i="5"/>
  <c r="B655" i="5"/>
  <c r="CJ361" i="5"/>
  <c r="BT355" i="5"/>
  <c r="BU355" i="5" s="1"/>
  <c r="E655" i="5" l="1"/>
  <c r="D655" i="5" s="1"/>
  <c r="F655" i="5" s="1"/>
  <c r="C656" i="5"/>
  <c r="B656" i="5"/>
  <c r="CI361" i="5"/>
  <c r="CK361" i="5" s="1"/>
  <c r="CC355" i="5"/>
  <c r="AC50" i="56"/>
  <c r="AB50" i="56" s="1"/>
  <c r="E656" i="5" l="1"/>
  <c r="D656" i="5" s="1"/>
  <c r="F656" i="5" s="1"/>
  <c r="C657" i="5"/>
  <c r="B657" i="5"/>
  <c r="CG362" i="5"/>
  <c r="CP362" i="5" s="1"/>
  <c r="BW355" i="5"/>
  <c r="BV355" i="5" s="1"/>
  <c r="BX355" i="5" s="1"/>
  <c r="E657" i="5" l="1"/>
  <c r="D657" i="5"/>
  <c r="F657" i="5" s="1"/>
  <c r="C658" i="5"/>
  <c r="B658" i="5"/>
  <c r="CH362" i="5"/>
  <c r="CJ362" i="5" s="1"/>
  <c r="CI362" i="5" s="1"/>
  <c r="CG363" i="5" s="1"/>
  <c r="CH363" i="5" s="1"/>
  <c r="BT356" i="5"/>
  <c r="BU356" i="5" s="1"/>
  <c r="AC51" i="56"/>
  <c r="AB51" i="56" s="1"/>
  <c r="E658" i="5" l="1"/>
  <c r="D658" i="5" s="1"/>
  <c r="F658" i="5" s="1"/>
  <c r="C659" i="5"/>
  <c r="B659" i="5"/>
  <c r="CK362" i="5"/>
  <c r="CP363" i="5"/>
  <c r="CC356" i="5"/>
  <c r="E659" i="5" l="1"/>
  <c r="D659" i="5"/>
  <c r="F659" i="5" s="1"/>
  <c r="C660" i="5"/>
  <c r="B660" i="5"/>
  <c r="CJ363" i="5"/>
  <c r="BW356" i="5"/>
  <c r="BV356" i="5" s="1"/>
  <c r="BX356" i="5" s="1"/>
  <c r="AC52" i="56"/>
  <c r="AB52" i="56" s="1"/>
  <c r="E660" i="5" l="1"/>
  <c r="D660" i="5"/>
  <c r="F660" i="5" s="1"/>
  <c r="C661" i="5"/>
  <c r="B661" i="5"/>
  <c r="CI363" i="5"/>
  <c r="CK363" i="5" s="1"/>
  <c r="BT357" i="5"/>
  <c r="BU357" i="5" s="1"/>
  <c r="E661" i="5" l="1"/>
  <c r="D661" i="5" s="1"/>
  <c r="F661" i="5" s="1"/>
  <c r="C662" i="5"/>
  <c r="B662" i="5"/>
  <c r="CG364" i="5"/>
  <c r="CH364" i="5" s="1"/>
  <c r="CC357" i="5"/>
  <c r="AC53" i="56"/>
  <c r="AB53" i="56" s="1"/>
  <c r="E662" i="5" l="1"/>
  <c r="D662" i="5"/>
  <c r="F662" i="5" s="1"/>
  <c r="C663" i="5"/>
  <c r="B663" i="5"/>
  <c r="CP364" i="5"/>
  <c r="CJ364" i="5"/>
  <c r="BW357" i="5"/>
  <c r="BV357" i="5" s="1"/>
  <c r="BX357" i="5" s="1"/>
  <c r="E663" i="5" l="1"/>
  <c r="D663" i="5"/>
  <c r="F663" i="5" s="1"/>
  <c r="C664" i="5"/>
  <c r="B664" i="5"/>
  <c r="CI364" i="5"/>
  <c r="CK364" i="5" s="1"/>
  <c r="BT358" i="5"/>
  <c r="BU358" i="5" s="1"/>
  <c r="AC54" i="56"/>
  <c r="AB54" i="56" s="1"/>
  <c r="E664" i="5" l="1"/>
  <c r="D664" i="5" s="1"/>
  <c r="F664" i="5" s="1"/>
  <c r="C665" i="5"/>
  <c r="B665" i="5"/>
  <c r="CG365" i="5"/>
  <c r="CH365" i="5" s="1"/>
  <c r="CC358" i="5"/>
  <c r="E665" i="5" l="1"/>
  <c r="D665" i="5"/>
  <c r="F665" i="5" s="1"/>
  <c r="C666" i="5"/>
  <c r="B666" i="5"/>
  <c r="CP365" i="5"/>
  <c r="CJ365" i="5"/>
  <c r="CI365" i="5" s="1"/>
  <c r="CK365" i="5" s="1"/>
  <c r="BW358" i="5"/>
  <c r="BV358" i="5" s="1"/>
  <c r="BX358" i="5" s="1"/>
  <c r="AC55" i="56"/>
  <c r="AB55" i="56" s="1"/>
  <c r="E666" i="5" l="1"/>
  <c r="D666" i="5"/>
  <c r="F666" i="5" s="1"/>
  <c r="C667" i="5"/>
  <c r="B667" i="5"/>
  <c r="CG366" i="5"/>
  <c r="BT359" i="5"/>
  <c r="BU359" i="5" s="1"/>
  <c r="E667" i="5" l="1"/>
  <c r="D667" i="5" s="1"/>
  <c r="F667" i="5" s="1"/>
  <c r="C668" i="5"/>
  <c r="B668" i="5"/>
  <c r="CP366" i="5"/>
  <c r="CH366" i="5"/>
  <c r="CC359" i="5"/>
  <c r="AC56" i="56"/>
  <c r="AB56" i="56" s="1"/>
  <c r="E668" i="5" l="1"/>
  <c r="D668" i="5" s="1"/>
  <c r="F668" i="5" s="1"/>
  <c r="C669" i="5"/>
  <c r="B669" i="5"/>
  <c r="CJ366" i="5"/>
  <c r="CI366" i="5" s="1"/>
  <c r="CG367" i="5" s="1"/>
  <c r="CP367" i="5" s="1"/>
  <c r="BW359" i="5"/>
  <c r="BV359" i="5" s="1"/>
  <c r="BX359" i="5" s="1"/>
  <c r="E669" i="5" l="1"/>
  <c r="D669" i="5"/>
  <c r="F669" i="5" s="1"/>
  <c r="C670" i="5"/>
  <c r="B670" i="5"/>
  <c r="CK366" i="5"/>
  <c r="CH367" i="5"/>
  <c r="BT360" i="5"/>
  <c r="BU360" i="5" s="1"/>
  <c r="AC57" i="56"/>
  <c r="AB57" i="56" s="1"/>
  <c r="E670" i="5" l="1"/>
  <c r="D670" i="5"/>
  <c r="F670" i="5" s="1"/>
  <c r="C671" i="5"/>
  <c r="B671" i="5"/>
  <c r="CJ367" i="5"/>
  <c r="CI367" i="5" s="1"/>
  <c r="CK367" i="5" s="1"/>
  <c r="CC360" i="5"/>
  <c r="E671" i="5" l="1"/>
  <c r="D671" i="5"/>
  <c r="F671" i="5" s="1"/>
  <c r="C672" i="5"/>
  <c r="B672" i="5"/>
  <c r="CG368" i="5"/>
  <c r="CH368" i="5" s="1"/>
  <c r="BW360" i="5"/>
  <c r="BV360" i="5" s="1"/>
  <c r="BX360" i="5" s="1"/>
  <c r="AC58" i="56"/>
  <c r="AB58" i="56" s="1"/>
  <c r="E672" i="5" l="1"/>
  <c r="D672" i="5" s="1"/>
  <c r="F672" i="5" s="1"/>
  <c r="C673" i="5"/>
  <c r="B673" i="5"/>
  <c r="CP368" i="5"/>
  <c r="CJ368" i="5"/>
  <c r="BT361" i="5"/>
  <c r="BU361" i="5" s="1"/>
  <c r="E673" i="5" l="1"/>
  <c r="D673" i="5" s="1"/>
  <c r="F673" i="5" s="1"/>
  <c r="C674" i="5"/>
  <c r="B674" i="5"/>
  <c r="CI368" i="5"/>
  <c r="CK368" i="5" s="1"/>
  <c r="CC361" i="5"/>
  <c r="AC59" i="56"/>
  <c r="AB59" i="56" s="1"/>
  <c r="E674" i="5" l="1"/>
  <c r="D674" i="5" s="1"/>
  <c r="F674" i="5" s="1"/>
  <c r="CG369" i="5"/>
  <c r="CH369" i="5" s="1"/>
  <c r="BW361" i="5"/>
  <c r="BV361" i="5" s="1"/>
  <c r="BX361" i="5" s="1"/>
  <c r="CP369" i="5" l="1"/>
  <c r="CJ369" i="5"/>
  <c r="BT362" i="5"/>
  <c r="BU362" i="5" s="1"/>
  <c r="CI369" i="5" l="1"/>
  <c r="CK369" i="5" s="1"/>
  <c r="CC362" i="5"/>
  <c r="AC61" i="56"/>
  <c r="AB61" i="56" s="1"/>
  <c r="CG370" i="5" l="1"/>
  <c r="CH370" i="5" s="1"/>
  <c r="BW362" i="5"/>
  <c r="BV362" i="5" s="1"/>
  <c r="BX362" i="5" s="1"/>
  <c r="CP370" i="5" l="1"/>
  <c r="CJ370" i="5"/>
  <c r="CI370" i="5" s="1"/>
  <c r="CK370" i="5" s="1"/>
  <c r="BT363" i="5"/>
  <c r="BU363" i="5" s="1"/>
  <c r="CG371" i="5" l="1"/>
  <c r="CH371" i="5" s="1"/>
  <c r="CC363" i="5"/>
  <c r="AC62" i="56"/>
  <c r="AB62" i="56" s="1"/>
  <c r="CP371" i="5" l="1"/>
  <c r="BW363" i="5"/>
  <c r="BV363" i="5" s="1"/>
  <c r="BX363" i="5" s="1"/>
  <c r="CJ371" i="5" l="1"/>
  <c r="CI371" i="5" s="1"/>
  <c r="CK371" i="5" s="1"/>
  <c r="BT364" i="5"/>
  <c r="BU364" i="5" s="1"/>
  <c r="AC63" i="56"/>
  <c r="AB63" i="56" s="1"/>
  <c r="CG372" i="5" l="1"/>
  <c r="CH372" i="5" s="1"/>
  <c r="CC364" i="5"/>
  <c r="CP372" i="5" l="1"/>
  <c r="BW364" i="5"/>
  <c r="BV364" i="5" s="1"/>
  <c r="BX364" i="5" s="1"/>
  <c r="AC64" i="56"/>
  <c r="AB64" i="56" s="1"/>
  <c r="CJ372" i="5" l="1"/>
  <c r="CI372" i="5" s="1"/>
  <c r="CK372" i="5" s="1"/>
  <c r="BT365" i="5"/>
  <c r="BU365" i="5" s="1"/>
  <c r="CG373" i="5" l="1"/>
  <c r="CH373" i="5" s="1"/>
  <c r="CC365" i="5"/>
  <c r="AC65" i="56"/>
  <c r="AB65" i="56" s="1"/>
  <c r="CP373" i="5" l="1"/>
  <c r="BW365" i="5"/>
  <c r="BV365" i="5" s="1"/>
  <c r="BX365" i="5" s="1"/>
  <c r="CJ373" i="5" l="1"/>
  <c r="BT366" i="5"/>
  <c r="BU366" i="5" s="1"/>
  <c r="CI373" i="5" l="1"/>
  <c r="CK373" i="5" s="1"/>
  <c r="CC366" i="5"/>
  <c r="AC66" i="56"/>
  <c r="AB66" i="56" s="1"/>
  <c r="CG374" i="5" l="1"/>
  <c r="CH374" i="5" s="1"/>
  <c r="BW366" i="5"/>
  <c r="BV366" i="5" s="1"/>
  <c r="BX366" i="5" s="1"/>
  <c r="CP374" i="5" l="1"/>
  <c r="CJ374" i="5"/>
  <c r="CI374" i="5" s="1"/>
  <c r="CK374" i="5" s="1"/>
  <c r="BT367" i="5"/>
  <c r="BU367" i="5" s="1"/>
  <c r="AC67" i="56"/>
  <c r="AB67" i="56" s="1"/>
  <c r="AG80" i="51"/>
  <c r="AI80" i="51" s="1"/>
  <c r="CG375" i="5" l="1"/>
  <c r="CC367" i="5"/>
  <c r="CP375" i="5" l="1"/>
  <c r="CH375" i="5"/>
  <c r="BW367" i="5"/>
  <c r="BV367" i="5" s="1"/>
  <c r="BX367" i="5" s="1"/>
  <c r="AC68" i="56"/>
  <c r="AB68" i="56" s="1"/>
  <c r="AG81" i="51"/>
  <c r="AI81" i="51" s="1"/>
  <c r="CJ375" i="5" l="1"/>
  <c r="CI375" i="5" s="1"/>
  <c r="CG376" i="5" s="1"/>
  <c r="CP376" i="5" s="1"/>
  <c r="BT368" i="5"/>
  <c r="BU368" i="5" s="1"/>
  <c r="AG82" i="51"/>
  <c r="AI82" i="51" s="1"/>
  <c r="CK375" i="5" l="1"/>
  <c r="CH376" i="5"/>
  <c r="CC368" i="5"/>
  <c r="AC69" i="56"/>
  <c r="AB69" i="56" s="1"/>
  <c r="AG83" i="51"/>
  <c r="AI83" i="51" s="1"/>
  <c r="CJ376" i="5" l="1"/>
  <c r="CI376" i="5" s="1"/>
  <c r="CG377" i="5" s="1"/>
  <c r="CH377" i="5" s="1"/>
  <c r="BW368" i="5"/>
  <c r="BV368" i="5" s="1"/>
  <c r="BX368" i="5" s="1"/>
  <c r="CK376" i="5" l="1"/>
  <c r="CP377" i="5"/>
  <c r="BT369" i="5"/>
  <c r="BU369" i="5" s="1"/>
  <c r="AC70" i="56"/>
  <c r="AB70" i="56" s="1"/>
  <c r="CJ377" i="5" l="1"/>
  <c r="CI377" i="5" s="1"/>
  <c r="CK377" i="5" s="1"/>
  <c r="CC369" i="5"/>
  <c r="CG378" i="5" l="1"/>
  <c r="BW369" i="5"/>
  <c r="BV369" i="5" s="1"/>
  <c r="BX369" i="5" s="1"/>
  <c r="AC71" i="56"/>
  <c r="AB71" i="56" s="1"/>
  <c r="CP378" i="5" l="1"/>
  <c r="CH378" i="5"/>
  <c r="BT370" i="5"/>
  <c r="BU370" i="5" s="1"/>
  <c r="CJ378" i="5" l="1"/>
  <c r="CI378" i="5" s="1"/>
  <c r="CK378" i="5" s="1"/>
  <c r="CC370" i="5"/>
  <c r="AC72" i="56"/>
  <c r="AB72" i="56" s="1"/>
  <c r="CG379" i="5" l="1"/>
  <c r="CH379" i="5" s="1"/>
  <c r="BW370" i="5"/>
  <c r="BV370" i="5" s="1"/>
  <c r="BX370" i="5" s="1"/>
  <c r="CP379" i="5" l="1"/>
  <c r="CJ379" i="5"/>
  <c r="BT371" i="5"/>
  <c r="BU371" i="5" s="1"/>
  <c r="AC73" i="56"/>
  <c r="AB73" i="56" s="1"/>
  <c r="CI379" i="5" l="1"/>
  <c r="CK379" i="5" s="1"/>
  <c r="CC371" i="5"/>
  <c r="CG380" i="5" l="1"/>
  <c r="CH380" i="5" s="1"/>
  <c r="BW371" i="5"/>
  <c r="BV371" i="5" s="1"/>
  <c r="BX371" i="5" s="1"/>
  <c r="AC74" i="56"/>
  <c r="AB74" i="56" s="1"/>
  <c r="CP380" i="5" l="1"/>
  <c r="CJ380" i="5"/>
  <c r="CI380" i="5" s="1"/>
  <c r="CK380" i="5" s="1"/>
  <c r="BT372" i="5"/>
  <c r="BU372" i="5" s="1"/>
  <c r="CG381" i="5" l="1"/>
  <c r="CH381" i="5" s="1"/>
  <c r="CC372" i="5"/>
  <c r="AC75" i="56"/>
  <c r="AB75" i="56" s="1"/>
  <c r="CP381" i="5" l="1"/>
  <c r="BW372" i="5"/>
  <c r="BV372" i="5" s="1"/>
  <c r="BX372" i="5" s="1"/>
  <c r="CJ381" i="5" l="1"/>
  <c r="CI381" i="5" s="1"/>
  <c r="CK381" i="5" s="1"/>
  <c r="BT373" i="5"/>
  <c r="BU373" i="5" s="1"/>
  <c r="AC76" i="56"/>
  <c r="AB76" i="56" s="1"/>
  <c r="CG382" i="5" l="1"/>
  <c r="CH382" i="5" s="1"/>
  <c r="CC373" i="5"/>
  <c r="CP382" i="5" l="1"/>
  <c r="BW373" i="5"/>
  <c r="BV373" i="5" s="1"/>
  <c r="BX373" i="5" s="1"/>
  <c r="AC77" i="56"/>
  <c r="AB77" i="56" s="1"/>
  <c r="CJ382" i="5" l="1"/>
  <c r="BT374" i="5"/>
  <c r="BU374" i="5" s="1"/>
  <c r="CI382" i="5" l="1"/>
  <c r="CK382" i="5" s="1"/>
  <c r="CC374" i="5"/>
  <c r="AC78" i="56"/>
  <c r="AB78" i="56" s="1"/>
  <c r="CG383" i="5" l="1"/>
  <c r="CH383" i="5" s="1"/>
  <c r="BW374" i="5"/>
  <c r="BV374" i="5" s="1"/>
  <c r="BX374" i="5" s="1"/>
  <c r="CP383" i="5" l="1"/>
  <c r="CJ383" i="5"/>
  <c r="BT375" i="5"/>
  <c r="BU375" i="5" s="1"/>
  <c r="CI383" i="5" l="1"/>
  <c r="CK383" i="5" s="1"/>
  <c r="CC375" i="5"/>
  <c r="AC79" i="56"/>
  <c r="AB79" i="56" s="1"/>
  <c r="CG384" i="5" l="1"/>
  <c r="CH384" i="5" s="1"/>
  <c r="BW375" i="5"/>
  <c r="BV375" i="5" s="1"/>
  <c r="BX375" i="5" s="1"/>
  <c r="CP384" i="5" l="1"/>
  <c r="CJ384" i="5"/>
  <c r="BT376" i="5"/>
  <c r="BU376" i="5" s="1"/>
  <c r="AC80" i="56"/>
  <c r="AB80" i="56" s="1"/>
  <c r="CI384" i="5" l="1"/>
  <c r="CK384" i="5" s="1"/>
  <c r="CC376" i="5"/>
  <c r="CG385" i="5" l="1"/>
  <c r="CH385" i="5" s="1"/>
  <c r="BW376" i="5"/>
  <c r="BV376" i="5" s="1"/>
  <c r="BX376" i="5" s="1"/>
  <c r="AC81" i="56"/>
  <c r="AB81" i="56" s="1"/>
  <c r="CP385" i="5" l="1"/>
  <c r="CJ385" i="5"/>
  <c r="BT377" i="5"/>
  <c r="BU377" i="5" s="1"/>
  <c r="CI385" i="5" l="1"/>
  <c r="CK385" i="5" s="1"/>
  <c r="CC377" i="5"/>
  <c r="AC82" i="56"/>
  <c r="AB82" i="56" s="1"/>
  <c r="CG386" i="5" l="1"/>
  <c r="CH386" i="5" s="1"/>
  <c r="BW377" i="5"/>
  <c r="BV377" i="5" s="1"/>
  <c r="BX377" i="5" s="1"/>
  <c r="CP386" i="5" l="1"/>
  <c r="CJ386" i="5"/>
  <c r="CI386" i="5" s="1"/>
  <c r="BT378" i="5"/>
  <c r="BU378" i="5" s="1"/>
  <c r="AC83" i="56"/>
  <c r="AB83" i="56" s="1"/>
  <c r="CK386" i="5" l="1"/>
  <c r="CG387" i="5"/>
  <c r="CH387" i="5" s="1"/>
  <c r="CC378" i="5"/>
  <c r="CP387" i="5" l="1"/>
  <c r="BW378" i="5"/>
  <c r="BV378" i="5" s="1"/>
  <c r="BX378" i="5" s="1"/>
  <c r="AC84" i="56"/>
  <c r="AB84" i="56" s="1"/>
  <c r="CJ387" i="5" l="1"/>
  <c r="BT379" i="5"/>
  <c r="BU379" i="5" s="1"/>
  <c r="CI387" i="5" l="1"/>
  <c r="CK387" i="5" s="1"/>
  <c r="CC379" i="5"/>
  <c r="AC85" i="56"/>
  <c r="AB85" i="56" s="1"/>
  <c r="CG388" i="5" l="1"/>
  <c r="CH388" i="5" s="1"/>
  <c r="BW379" i="5"/>
  <c r="BV379" i="5" s="1"/>
  <c r="BX379" i="5" s="1"/>
  <c r="CP388" i="5" l="1"/>
  <c r="CJ388" i="5"/>
  <c r="CI388" i="5" s="1"/>
  <c r="BT380" i="5"/>
  <c r="BU380" i="5" s="1"/>
  <c r="AC86" i="56"/>
  <c r="AB86" i="56" s="1"/>
  <c r="CK388" i="5" l="1"/>
  <c r="CG389" i="5"/>
  <c r="CH389" i="5" s="1"/>
  <c r="CC380" i="5"/>
  <c r="CP389" i="5" l="1"/>
  <c r="BW380" i="5"/>
  <c r="BV380" i="5" s="1"/>
  <c r="BX380" i="5" s="1"/>
  <c r="AC87" i="56"/>
  <c r="AB87" i="56" s="1"/>
  <c r="CJ389" i="5" l="1"/>
  <c r="BT381" i="5"/>
  <c r="BU381" i="5" s="1"/>
  <c r="CI389" i="5" l="1"/>
  <c r="CK389" i="5" s="1"/>
  <c r="CC381" i="5"/>
  <c r="CG390" i="5" l="1"/>
  <c r="CH390" i="5" s="1"/>
  <c r="BW381" i="5"/>
  <c r="BV381" i="5" s="1"/>
  <c r="BX381" i="5" s="1"/>
  <c r="CP390" i="5" l="1"/>
  <c r="CJ390" i="5"/>
  <c r="BT382" i="5"/>
  <c r="BU382" i="5" s="1"/>
  <c r="AW2" i="5"/>
  <c r="AX2" i="5" s="1"/>
  <c r="AZ2" i="5"/>
  <c r="CI390" i="5" l="1"/>
  <c r="CK390" i="5" s="1"/>
  <c r="CC382" i="5"/>
  <c r="AT3" i="5"/>
  <c r="CG391" i="5" l="1"/>
  <c r="CH391" i="5" s="1"/>
  <c r="BW382" i="5"/>
  <c r="BV382" i="5" s="1"/>
  <c r="BX382" i="5" s="1"/>
  <c r="BC3" i="5"/>
  <c r="AU3" i="5"/>
  <c r="AW3" i="5" l="1"/>
  <c r="AV3" i="5" s="1"/>
  <c r="CP391" i="5"/>
  <c r="CJ391" i="5"/>
  <c r="CI391" i="5" s="1"/>
  <c r="CK391" i="5" s="1"/>
  <c r="BT383" i="5"/>
  <c r="BU383" i="5" s="1"/>
  <c r="CG392" i="5" l="1"/>
  <c r="CH392" i="5" s="1"/>
  <c r="CC383" i="5"/>
  <c r="AX3" i="5"/>
  <c r="AT4" i="5"/>
  <c r="BC4" i="5" l="1"/>
  <c r="CP392" i="5"/>
  <c r="BW383" i="5"/>
  <c r="BV383" i="5" s="1"/>
  <c r="BX383" i="5" s="1"/>
  <c r="AU4" i="5"/>
  <c r="CJ392" i="5" l="1"/>
  <c r="BT384" i="5"/>
  <c r="AW4" i="5"/>
  <c r="AV4" i="5" s="1"/>
  <c r="AX4" i="5" l="1"/>
  <c r="CI392" i="5"/>
  <c r="CK392" i="5" s="1"/>
  <c r="CC384" i="5"/>
  <c r="BU384" i="5"/>
  <c r="BW384" i="5" s="1"/>
  <c r="AT5" i="5"/>
  <c r="CG393" i="5" l="1"/>
  <c r="CH393" i="5" s="1"/>
  <c r="BV384" i="5"/>
  <c r="BX384" i="5" s="1"/>
  <c r="BC5" i="5"/>
  <c r="AU5" i="5"/>
  <c r="CP393" i="5" l="1"/>
  <c r="CJ393" i="5"/>
  <c r="BT385" i="5"/>
  <c r="BU385" i="5" s="1"/>
  <c r="AW5" i="5"/>
  <c r="AV5" i="5" s="1"/>
  <c r="AX5" i="5" l="1"/>
  <c r="CI393" i="5"/>
  <c r="CK393" i="5" s="1"/>
  <c r="CC385" i="5"/>
  <c r="BW385" i="5"/>
  <c r="BV385" i="5" s="1"/>
  <c r="BX385" i="5" s="1"/>
  <c r="AT6" i="5"/>
  <c r="CG394" i="5" l="1"/>
  <c r="CH394" i="5" s="1"/>
  <c r="BT386" i="5"/>
  <c r="BU386" i="5" s="1"/>
  <c r="BC6" i="5"/>
  <c r="AU6" i="5"/>
  <c r="CP394" i="5" l="1"/>
  <c r="CJ394" i="5"/>
  <c r="CI394" i="5" s="1"/>
  <c r="CK394" i="5" s="1"/>
  <c r="CC386" i="5"/>
  <c r="AW6" i="5"/>
  <c r="AV6" i="5" s="1"/>
  <c r="CG395" i="5" l="1"/>
  <c r="CH395" i="5" s="1"/>
  <c r="BW386" i="5"/>
  <c r="BV386" i="5" s="1"/>
  <c r="BX386" i="5" s="1"/>
  <c r="AX6" i="5"/>
  <c r="AT7" i="5"/>
  <c r="CP395" i="5" l="1"/>
  <c r="BT387" i="5"/>
  <c r="BU387" i="5" s="1"/>
  <c r="BC7" i="5"/>
  <c r="AU7" i="5"/>
  <c r="CJ395" i="5" l="1"/>
  <c r="CC387" i="5"/>
  <c r="AW7" i="5"/>
  <c r="AV7" i="5" s="1"/>
  <c r="AX7" i="5" l="1"/>
  <c r="CI395" i="5"/>
  <c r="CK395" i="5" s="1"/>
  <c r="BW387" i="5"/>
  <c r="BV387" i="5" s="1"/>
  <c r="AT8" i="5"/>
  <c r="BC8" i="5" l="1"/>
  <c r="CG396" i="5"/>
  <c r="CH396" i="5" s="1"/>
  <c r="BX387" i="5"/>
  <c r="BT388" i="5"/>
  <c r="BU388" i="5" s="1"/>
  <c r="AU8" i="5"/>
  <c r="AW8" i="5" l="1"/>
  <c r="AV8" i="5" s="1"/>
  <c r="AX8" i="5" s="1"/>
  <c r="CP396" i="5"/>
  <c r="CJ396" i="5"/>
  <c r="CC388" i="5"/>
  <c r="AT9" i="5" l="1"/>
  <c r="BC9" i="5" s="1"/>
  <c r="CI396" i="5"/>
  <c r="CK396" i="5" s="1"/>
  <c r="BW388" i="5"/>
  <c r="BV388" i="5" s="1"/>
  <c r="AU9" i="5" l="1"/>
  <c r="AW9" i="5" s="1"/>
  <c r="AV9" i="5" s="1"/>
  <c r="CG397" i="5"/>
  <c r="CH397" i="5" s="1"/>
  <c r="BX388" i="5"/>
  <c r="BT389" i="5"/>
  <c r="BU389" i="5" s="1"/>
  <c r="CP397" i="5" l="1"/>
  <c r="CJ397" i="5"/>
  <c r="CI397" i="5" s="1"/>
  <c r="CK397" i="5" s="1"/>
  <c r="CC389" i="5"/>
  <c r="AX9" i="5"/>
  <c r="AT10" i="5"/>
  <c r="CG398" i="5" l="1"/>
  <c r="CH398" i="5" s="1"/>
  <c r="BW389" i="5"/>
  <c r="BV389" i="5" s="1"/>
  <c r="BX389" i="5" s="1"/>
  <c r="BC10" i="5"/>
  <c r="AU10" i="5"/>
  <c r="CP398" i="5" l="1"/>
  <c r="BT390" i="5"/>
  <c r="BU390" i="5" s="1"/>
  <c r="AW10" i="5"/>
  <c r="AV10" i="5" s="1"/>
  <c r="CJ398" i="5" l="1"/>
  <c r="CI398" i="5" s="1"/>
  <c r="CK398" i="5" s="1"/>
  <c r="CC390" i="5"/>
  <c r="AX10" i="5"/>
  <c r="AT11" i="5"/>
  <c r="CG399" i="5" l="1"/>
  <c r="CH399" i="5" s="1"/>
  <c r="BW390" i="5"/>
  <c r="BV390" i="5" s="1"/>
  <c r="BX390" i="5" s="1"/>
  <c r="BC11" i="5"/>
  <c r="AU11" i="5"/>
  <c r="CP399" i="5" l="1"/>
  <c r="BT391" i="5"/>
  <c r="BU391" i="5" s="1"/>
  <c r="AW11" i="5"/>
  <c r="AV11" i="5" s="1"/>
  <c r="CJ399" i="5" l="1"/>
  <c r="CC391" i="5"/>
  <c r="AX11" i="5"/>
  <c r="AT12" i="5"/>
  <c r="BC12" i="5" l="1"/>
  <c r="CI399" i="5"/>
  <c r="CK399" i="5" s="1"/>
  <c r="BW391" i="5"/>
  <c r="BV391" i="5" s="1"/>
  <c r="BX391" i="5" s="1"/>
  <c r="AU12" i="5"/>
  <c r="AW12" i="5" l="1"/>
  <c r="AV12" i="5" s="1"/>
  <c r="CG400" i="5"/>
  <c r="CH400" i="5" s="1"/>
  <c r="BT392" i="5"/>
  <c r="BU392" i="5" s="1"/>
  <c r="AX12" i="5" l="1"/>
  <c r="CP400" i="5"/>
  <c r="CJ400" i="5"/>
  <c r="CI400" i="5" s="1"/>
  <c r="CK400" i="5" s="1"/>
  <c r="CC392" i="5"/>
  <c r="AT13" i="5"/>
  <c r="CG401" i="5" l="1"/>
  <c r="CH401" i="5" s="1"/>
  <c r="BW392" i="5"/>
  <c r="BV392" i="5" s="1"/>
  <c r="BX392" i="5" s="1"/>
  <c r="BC13" i="5"/>
  <c r="AU13" i="5"/>
  <c r="CP401" i="5" l="1"/>
  <c r="BT393" i="5"/>
  <c r="BU393" i="5" s="1"/>
  <c r="AW13" i="5"/>
  <c r="AV13" i="5" s="1"/>
  <c r="AT14" i="5" l="1"/>
  <c r="AU14" i="5" s="1"/>
  <c r="CJ401" i="5"/>
  <c r="CI401" i="5" s="1"/>
  <c r="CC393" i="5"/>
  <c r="AX13" i="5"/>
  <c r="BC14" i="5" l="1"/>
  <c r="AW14" i="5"/>
  <c r="CK401" i="5"/>
  <c r="CG402" i="5"/>
  <c r="CH402" i="5" s="1"/>
  <c r="BW393" i="5"/>
  <c r="BV393" i="5" s="1"/>
  <c r="BX393" i="5" s="1"/>
  <c r="AV14" i="5"/>
  <c r="AX14" i="5" l="1"/>
  <c r="CP402" i="5"/>
  <c r="BT394" i="5"/>
  <c r="BU394" i="5" s="1"/>
  <c r="AT15" i="5"/>
  <c r="BC15" i="5" l="1"/>
  <c r="CJ402" i="5"/>
  <c r="CC394" i="5"/>
  <c r="AU15" i="5"/>
  <c r="AW15" i="5" l="1"/>
  <c r="AV15" i="5" s="1"/>
  <c r="CI402" i="5"/>
  <c r="CK402" i="5" s="1"/>
  <c r="BW394" i="5"/>
  <c r="BV394" i="5" s="1"/>
  <c r="BX394" i="5" s="1"/>
  <c r="AX15" i="5" l="1"/>
  <c r="CG403" i="5"/>
  <c r="CH403" i="5" s="1"/>
  <c r="BT395" i="5"/>
  <c r="BU395" i="5" s="1"/>
  <c r="AT16" i="5"/>
  <c r="CP403" i="5" l="1"/>
  <c r="CJ403" i="5"/>
  <c r="CI403" i="5" s="1"/>
  <c r="CK403" i="5" s="1"/>
  <c r="CC395" i="5"/>
  <c r="BC16" i="5"/>
  <c r="AU16" i="5"/>
  <c r="CG404" i="5" l="1"/>
  <c r="CH404" i="5" s="1"/>
  <c r="BW395" i="5"/>
  <c r="BV395" i="5" s="1"/>
  <c r="BX395" i="5" s="1"/>
  <c r="AW16" i="5"/>
  <c r="AV16" i="5" s="1"/>
  <c r="CP404" i="5" l="1"/>
  <c r="BT396" i="5"/>
  <c r="BU396" i="5" s="1"/>
  <c r="AX16" i="5"/>
  <c r="AT17" i="5"/>
  <c r="CJ404" i="5" l="1"/>
  <c r="CC396" i="5"/>
  <c r="AU17" i="5"/>
  <c r="BC17" i="5"/>
  <c r="CI404" i="5" l="1"/>
  <c r="CK404" i="5" s="1"/>
  <c r="BW396" i="5"/>
  <c r="BV396" i="5" s="1"/>
  <c r="BX396" i="5" s="1"/>
  <c r="AW17" i="5"/>
  <c r="AV17" i="5" s="1"/>
  <c r="AT18" i="5" l="1"/>
  <c r="AU18" i="5" s="1"/>
  <c r="CG405" i="5"/>
  <c r="CH405" i="5" s="1"/>
  <c r="BT397" i="5"/>
  <c r="BU397" i="5" s="1"/>
  <c r="AX17" i="5"/>
  <c r="BC18" i="5" l="1"/>
  <c r="CP405" i="5"/>
  <c r="CJ405" i="5"/>
  <c r="CI405" i="5" s="1"/>
  <c r="CC397" i="5"/>
  <c r="AW18" i="5"/>
  <c r="AV18" i="5" s="1"/>
  <c r="AT19" i="5" l="1"/>
  <c r="BC19" i="5" s="1"/>
  <c r="CK405" i="5"/>
  <c r="CG406" i="5"/>
  <c r="CH406" i="5" s="1"/>
  <c r="BW397" i="5"/>
  <c r="BV397" i="5" s="1"/>
  <c r="BX397" i="5" s="1"/>
  <c r="AX18" i="5"/>
  <c r="AU19" i="5" l="1"/>
  <c r="AW19" i="5" s="1"/>
  <c r="AV19" i="5" s="1"/>
  <c r="CP406" i="5"/>
  <c r="BT398" i="5"/>
  <c r="BU398" i="5" s="1"/>
  <c r="AT20" i="5" l="1"/>
  <c r="BC20" i="5" s="1"/>
  <c r="CJ406" i="5"/>
  <c r="CI406" i="5" s="1"/>
  <c r="CK406" i="5" s="1"/>
  <c r="CC398" i="5"/>
  <c r="AX19" i="5"/>
  <c r="AU20" i="5" l="1"/>
  <c r="AW20" i="5" s="1"/>
  <c r="CG407" i="5"/>
  <c r="CH407" i="5" s="1"/>
  <c r="BW398" i="5"/>
  <c r="BV398" i="5" s="1"/>
  <c r="BX398" i="5" s="1"/>
  <c r="AV20" i="5" l="1"/>
  <c r="AT21" i="5" s="1"/>
  <c r="AU21" i="5" s="1"/>
  <c r="CP407" i="5"/>
  <c r="BT399" i="5"/>
  <c r="BU399" i="5" s="1"/>
  <c r="AX20" i="5" l="1"/>
  <c r="BC21" i="5"/>
  <c r="AW21" i="5"/>
  <c r="AV21" i="5" s="1"/>
  <c r="CJ407" i="5"/>
  <c r="CI407" i="5" s="1"/>
  <c r="CC399" i="5"/>
  <c r="AX21" i="5" l="1"/>
  <c r="CK407" i="5"/>
  <c r="CG408" i="5"/>
  <c r="CH408" i="5" s="1"/>
  <c r="BW399" i="5"/>
  <c r="BV399" i="5" s="1"/>
  <c r="BX399" i="5" s="1"/>
  <c r="AT22" i="5"/>
  <c r="BC22" i="5" l="1"/>
  <c r="CP408" i="5"/>
  <c r="BT400" i="5"/>
  <c r="BU400" i="5" s="1"/>
  <c r="AU22" i="5"/>
  <c r="AW22" i="5" l="1"/>
  <c r="AV22" i="5" s="1"/>
  <c r="AX22" i="5" s="1"/>
  <c r="CJ408" i="5"/>
  <c r="CI408" i="5" s="1"/>
  <c r="CK408" i="5" s="1"/>
  <c r="CC400" i="5"/>
  <c r="AT23" i="5" l="1"/>
  <c r="CG409" i="5"/>
  <c r="CH409" i="5" s="1"/>
  <c r="BW400" i="5"/>
  <c r="BV400" i="5" s="1"/>
  <c r="BX400" i="5" s="1"/>
  <c r="BC23" i="5" l="1"/>
  <c r="AU23" i="5"/>
  <c r="AW23" i="5" s="1"/>
  <c r="AV23" i="5" s="1"/>
  <c r="AX23" i="5" s="1"/>
  <c r="CP409" i="5"/>
  <c r="BT401" i="5"/>
  <c r="BU401" i="5" s="1"/>
  <c r="AT24" i="5" l="1"/>
  <c r="CJ409" i="5"/>
  <c r="CI409" i="5" s="1"/>
  <c r="CK409" i="5" s="1"/>
  <c r="CC401" i="5"/>
  <c r="BC24" i="5" l="1"/>
  <c r="AU24" i="5"/>
  <c r="AW24" i="5" s="1"/>
  <c r="AV24" i="5" s="1"/>
  <c r="AX24" i="5" s="1"/>
  <c r="CG410" i="5"/>
  <c r="CH410" i="5" s="1"/>
  <c r="BW401" i="5"/>
  <c r="BV401" i="5" s="1"/>
  <c r="BX401" i="5" s="1"/>
  <c r="AT25" i="5" l="1"/>
  <c r="CP410" i="5"/>
  <c r="BT402" i="5"/>
  <c r="BU402" i="5" s="1"/>
  <c r="BC25" i="5" l="1"/>
  <c r="AU25" i="5"/>
  <c r="AW25" i="5" s="1"/>
  <c r="AV25" i="5" s="1"/>
  <c r="AX25" i="5" s="1"/>
  <c r="CJ410" i="5"/>
  <c r="CI410" i="5" s="1"/>
  <c r="CK410" i="5" s="1"/>
  <c r="CC402" i="5"/>
  <c r="AT26" i="5" l="1"/>
  <c r="CG411" i="5"/>
  <c r="CH411" i="5" s="1"/>
  <c r="BW402" i="5"/>
  <c r="BV402" i="5" s="1"/>
  <c r="BX402" i="5" s="1"/>
  <c r="BC26" i="5" l="1"/>
  <c r="AU26" i="5"/>
  <c r="AW26" i="5" s="1"/>
  <c r="AV26" i="5" s="1"/>
  <c r="AX26" i="5" s="1"/>
  <c r="CP411" i="5"/>
  <c r="BT403" i="5"/>
  <c r="BU403" i="5" s="1"/>
  <c r="AT27" i="5" l="1"/>
  <c r="BC27" i="5" s="1"/>
  <c r="CJ411" i="5"/>
  <c r="CI411" i="5" s="1"/>
  <c r="CK411" i="5" s="1"/>
  <c r="CC403" i="5"/>
  <c r="AU27" i="5" l="1"/>
  <c r="AW27" i="5" s="1"/>
  <c r="CG412" i="5"/>
  <c r="CH412" i="5" s="1"/>
  <c r="BW403" i="5"/>
  <c r="BV403" i="5" s="1"/>
  <c r="BX403" i="5" s="1"/>
  <c r="CP412" i="5" l="1"/>
  <c r="BT404" i="5"/>
  <c r="BU404" i="5" s="1"/>
  <c r="AV27" i="5"/>
  <c r="AX27" i="5" l="1"/>
  <c r="CJ412" i="5"/>
  <c r="CC404" i="5"/>
  <c r="AT28" i="5"/>
  <c r="BC28" i="5" l="1"/>
  <c r="CI412" i="5"/>
  <c r="CK412" i="5" s="1"/>
  <c r="BW404" i="5"/>
  <c r="BV404" i="5" s="1"/>
  <c r="BX404" i="5" s="1"/>
  <c r="AU28" i="5"/>
  <c r="AW28" i="5" l="1"/>
  <c r="AV28" i="5" s="1"/>
  <c r="AX28" i="5" s="1"/>
  <c r="CG413" i="5"/>
  <c r="CH413" i="5" s="1"/>
  <c r="BT405" i="5"/>
  <c r="BU405" i="5" s="1"/>
  <c r="AT29" i="5" l="1"/>
  <c r="BC29" i="5" s="1"/>
  <c r="CP413" i="5"/>
  <c r="CJ413" i="5"/>
  <c r="CI413" i="5" s="1"/>
  <c r="CK413" i="5" s="1"/>
  <c r="CC405" i="5"/>
  <c r="AU29" i="5" l="1"/>
  <c r="AW29" i="5" s="1"/>
  <c r="AV29" i="5" s="1"/>
  <c r="CG414" i="5"/>
  <c r="CH414" i="5" s="1"/>
  <c r="BW405" i="5"/>
  <c r="BV405" i="5" s="1"/>
  <c r="BX405" i="5" s="1"/>
  <c r="CP414" i="5" l="1"/>
  <c r="BT406" i="5"/>
  <c r="BU406" i="5" s="1"/>
  <c r="AX29" i="5"/>
  <c r="AT30" i="5"/>
  <c r="CJ414" i="5" l="1"/>
  <c r="CI414" i="5" s="1"/>
  <c r="CK414" i="5" s="1"/>
  <c r="CC406" i="5"/>
  <c r="BC30" i="5"/>
  <c r="AU30" i="5"/>
  <c r="CG415" i="5" l="1"/>
  <c r="CH415" i="5" s="1"/>
  <c r="BW406" i="5"/>
  <c r="BV406" i="5" s="1"/>
  <c r="BX406" i="5" s="1"/>
  <c r="AW30" i="5"/>
  <c r="CP415" i="5" l="1"/>
  <c r="BT407" i="5"/>
  <c r="BU407" i="5" s="1"/>
  <c r="AV30" i="5"/>
  <c r="AX30" i="5" l="1"/>
  <c r="CJ415" i="5"/>
  <c r="CC407" i="5"/>
  <c r="AT31" i="5"/>
  <c r="BC31" i="5" l="1"/>
  <c r="CI415" i="5"/>
  <c r="CK415" i="5" s="1"/>
  <c r="BW407" i="5"/>
  <c r="BV407" i="5" s="1"/>
  <c r="BX407" i="5" s="1"/>
  <c r="AU31" i="5"/>
  <c r="AW31" i="5" l="1"/>
  <c r="AV31" i="5" s="1"/>
  <c r="CG416" i="5"/>
  <c r="CH416" i="5" s="1"/>
  <c r="BT408" i="5"/>
  <c r="BU408" i="5" s="1"/>
  <c r="AX31" i="5" l="1"/>
  <c r="CP416" i="5"/>
  <c r="CJ416" i="5"/>
  <c r="CI416" i="5" s="1"/>
  <c r="CC408" i="5"/>
  <c r="AT32" i="5"/>
  <c r="BC32" i="5" l="1"/>
  <c r="CK416" i="5"/>
  <c r="CG417" i="5"/>
  <c r="CH417" i="5" s="1"/>
  <c r="BW408" i="5"/>
  <c r="BV408" i="5" s="1"/>
  <c r="BX408" i="5" s="1"/>
  <c r="AU32" i="5"/>
  <c r="AW32" i="5" l="1"/>
  <c r="AV32" i="5" s="1"/>
  <c r="AX32" i="5" s="1"/>
  <c r="CP417" i="5"/>
  <c r="BT409" i="5"/>
  <c r="BU409" i="5" s="1"/>
  <c r="AT33" i="5" l="1"/>
  <c r="CJ417" i="5"/>
  <c r="CI417" i="5" s="1"/>
  <c r="CK417" i="5" s="1"/>
  <c r="CC409" i="5"/>
  <c r="BC33" i="5" l="1"/>
  <c r="AU33" i="5"/>
  <c r="AW33" i="5" s="1"/>
  <c r="AV33" i="5" s="1"/>
  <c r="AX33" i="5" s="1"/>
  <c r="CG418" i="5"/>
  <c r="CH418" i="5" s="1"/>
  <c r="BW409" i="5"/>
  <c r="BV409" i="5" s="1"/>
  <c r="BX409" i="5" s="1"/>
  <c r="AT34" i="5" l="1"/>
  <c r="AU34" i="5" s="1"/>
  <c r="AW34" i="5" s="1"/>
  <c r="AV34" i="5" s="1"/>
  <c r="CP418" i="5"/>
  <c r="BT410" i="5"/>
  <c r="BC34" i="5" l="1"/>
  <c r="AT35" i="5"/>
  <c r="CJ418" i="5"/>
  <c r="CC410" i="5"/>
  <c r="BU410" i="5"/>
  <c r="BW410" i="5" s="1"/>
  <c r="AX34" i="5"/>
  <c r="AU35" i="5" l="1"/>
  <c r="AW35" i="5" s="1"/>
  <c r="AV35" i="5" s="1"/>
  <c r="BC35" i="5"/>
  <c r="CI418" i="5"/>
  <c r="CK418" i="5" s="1"/>
  <c r="BV410" i="5"/>
  <c r="BX410" i="5" s="1"/>
  <c r="AT36" i="5" l="1"/>
  <c r="CG419" i="5"/>
  <c r="CH419" i="5" s="1"/>
  <c r="BT411" i="5"/>
  <c r="BU411" i="5" s="1"/>
  <c r="AX35" i="5"/>
  <c r="AU36" i="5" l="1"/>
  <c r="AW36" i="5" s="1"/>
  <c r="AV36" i="5" s="1"/>
  <c r="BC36" i="5"/>
  <c r="CP419" i="5"/>
  <c r="CJ419" i="5"/>
  <c r="CI419" i="5" s="1"/>
  <c r="CK419" i="5" s="1"/>
  <c r="CC411" i="5"/>
  <c r="BW411" i="5"/>
  <c r="BV411" i="5" s="1"/>
  <c r="BX411" i="5" s="1"/>
  <c r="AT37" i="5" l="1"/>
  <c r="CG420" i="5"/>
  <c r="CH420" i="5" s="1"/>
  <c r="BT412" i="5"/>
  <c r="BU412" i="5" s="1"/>
  <c r="AX36" i="5"/>
  <c r="BC37" i="5" l="1"/>
  <c r="AU37" i="5"/>
  <c r="AW37" i="5" s="1"/>
  <c r="CP420" i="5"/>
  <c r="CC412" i="5"/>
  <c r="CJ420" i="5" l="1"/>
  <c r="CI420" i="5" s="1"/>
  <c r="CK420" i="5" s="1"/>
  <c r="BW412" i="5"/>
  <c r="BV412" i="5" s="1"/>
  <c r="BX412" i="5" s="1"/>
  <c r="AV37" i="5"/>
  <c r="AX37" i="5" l="1"/>
  <c r="CG421" i="5"/>
  <c r="CH421" i="5" s="1"/>
  <c r="BT413" i="5"/>
  <c r="AT38" i="5"/>
  <c r="BC38" i="5" l="1"/>
  <c r="CP421" i="5"/>
  <c r="CC413" i="5"/>
  <c r="BU413" i="5"/>
  <c r="BW413" i="5" s="1"/>
  <c r="AU38" i="5"/>
  <c r="AW38" i="5" l="1"/>
  <c r="AV38" i="5" s="1"/>
  <c r="AX38" i="5" s="1"/>
  <c r="CJ421" i="5"/>
  <c r="CI421" i="5" s="1"/>
  <c r="CK421" i="5" s="1"/>
  <c r="BV413" i="5"/>
  <c r="BX413" i="5" s="1"/>
  <c r="AT39" i="5" l="1"/>
  <c r="CG422" i="5"/>
  <c r="CH422" i="5" s="1"/>
  <c r="BT414" i="5"/>
  <c r="BU414" i="5" s="1"/>
  <c r="BC39" i="5" l="1"/>
  <c r="AU39" i="5"/>
  <c r="AW39" i="5" s="1"/>
  <c r="AV39" i="5" s="1"/>
  <c r="AX39" i="5" s="1"/>
  <c r="CP422" i="5"/>
  <c r="CC414" i="5"/>
  <c r="BW414" i="5"/>
  <c r="BV414" i="5" s="1"/>
  <c r="AT40" i="5" l="1"/>
  <c r="CJ422" i="5"/>
  <c r="BX414" i="5"/>
  <c r="BT415" i="5"/>
  <c r="BU415" i="5" s="1"/>
  <c r="BC40" i="5" l="1"/>
  <c r="AU40" i="5"/>
  <c r="AW40" i="5" s="1"/>
  <c r="AV40" i="5" s="1"/>
  <c r="AX40" i="5" s="1"/>
  <c r="CI422" i="5"/>
  <c r="CK422" i="5" s="1"/>
  <c r="CC415" i="5"/>
  <c r="AT41" i="5" l="1"/>
  <c r="CG423" i="5"/>
  <c r="CH423" i="5" s="1"/>
  <c r="BW415" i="5"/>
  <c r="BV415" i="5" s="1"/>
  <c r="BX415" i="5" s="1"/>
  <c r="BC41" i="5" l="1"/>
  <c r="AU41" i="5"/>
  <c r="AW41" i="5" s="1"/>
  <c r="AV41" i="5" s="1"/>
  <c r="AX41" i="5" s="1"/>
  <c r="CP423" i="5"/>
  <c r="CJ423" i="5"/>
  <c r="CI423" i="5" s="1"/>
  <c r="CK423" i="5" s="1"/>
  <c r="BT416" i="5"/>
  <c r="AT42" i="5" l="1"/>
  <c r="CG424" i="5"/>
  <c r="CH424" i="5" s="1"/>
  <c r="CC416" i="5"/>
  <c r="BU416" i="5"/>
  <c r="BW416" i="5" s="1"/>
  <c r="BC42" i="5" l="1"/>
  <c r="AU42" i="5"/>
  <c r="AW42" i="5" s="1"/>
  <c r="AV42" i="5" s="1"/>
  <c r="CP424" i="5"/>
  <c r="BV416" i="5"/>
  <c r="BX416" i="5" s="1"/>
  <c r="AT43" i="5" l="1"/>
  <c r="AX42" i="5"/>
  <c r="CJ424" i="5"/>
  <c r="BT417" i="5"/>
  <c r="BU417" i="5" s="1"/>
  <c r="AU43" i="5" l="1"/>
  <c r="AW43" i="5" s="1"/>
  <c r="AV43" i="5" s="1"/>
  <c r="AT44" i="5" s="1"/>
  <c r="BC43" i="5"/>
  <c r="CI424" i="5"/>
  <c r="CK424" i="5" s="1"/>
  <c r="CC417" i="5"/>
  <c r="BW417" i="5"/>
  <c r="BV417" i="5" s="1"/>
  <c r="BC44" i="5" l="1"/>
  <c r="AX43" i="5"/>
  <c r="AU44" i="5" s="1"/>
  <c r="CG425" i="5"/>
  <c r="CH425" i="5" s="1"/>
  <c r="BX417" i="5"/>
  <c r="BT418" i="5"/>
  <c r="BU418" i="5" s="1"/>
  <c r="AW44" i="5" l="1"/>
  <c r="AV44" i="5" s="1"/>
  <c r="AT45" i="5" s="1"/>
  <c r="CP425" i="5"/>
  <c r="CJ425" i="5"/>
  <c r="CI425" i="5" s="1"/>
  <c r="CK425" i="5" s="1"/>
  <c r="CC418" i="5"/>
  <c r="AX44" i="5" l="1"/>
  <c r="CG426" i="5"/>
  <c r="CH426" i="5" s="1"/>
  <c r="BW418" i="5"/>
  <c r="BV418" i="5" s="1"/>
  <c r="BX418" i="5" s="1"/>
  <c r="BC45" i="5"/>
  <c r="AU45" i="5"/>
  <c r="CP426" i="5" l="1"/>
  <c r="BT419" i="5"/>
  <c r="BU419" i="5" s="1"/>
  <c r="AW45" i="5"/>
  <c r="AV45" i="5" s="1"/>
  <c r="CJ426" i="5" l="1"/>
  <c r="CI426" i="5" s="1"/>
  <c r="CK426" i="5" s="1"/>
  <c r="CC419" i="5"/>
  <c r="AT46" i="5"/>
  <c r="AX45" i="5"/>
  <c r="BC46" i="5" l="1"/>
  <c r="CG427" i="5"/>
  <c r="CH427" i="5" s="1"/>
  <c r="AU46" i="5"/>
  <c r="BW419" i="5"/>
  <c r="BV419" i="5" s="1"/>
  <c r="BX419" i="5" s="1"/>
  <c r="AW46" i="5" l="1"/>
  <c r="AV46" i="5" s="1"/>
  <c r="AT47" i="5" s="1"/>
  <c r="CP427" i="5"/>
  <c r="BT420" i="5"/>
  <c r="BU420" i="5" s="1"/>
  <c r="AX46" i="5" l="1"/>
  <c r="AU47" i="5" s="1"/>
  <c r="CJ427" i="5"/>
  <c r="CC420" i="5"/>
  <c r="BC47" i="5"/>
  <c r="CI427" i="5" l="1"/>
  <c r="CK427" i="5" s="1"/>
  <c r="BW420" i="5"/>
  <c r="BV420" i="5" s="1"/>
  <c r="BX420" i="5" s="1"/>
  <c r="AW47" i="5"/>
  <c r="AV47" i="5" s="1"/>
  <c r="CG428" i="5" l="1"/>
  <c r="CH428" i="5" s="1"/>
  <c r="BT421" i="5"/>
  <c r="BU421" i="5" s="1"/>
  <c r="AX47" i="5"/>
  <c r="AT48" i="5"/>
  <c r="CP428" i="5" l="1"/>
  <c r="CJ428" i="5"/>
  <c r="CI428" i="5" s="1"/>
  <c r="CK428" i="5" s="1"/>
  <c r="CC421" i="5"/>
  <c r="BC48" i="5"/>
  <c r="AU48" i="5"/>
  <c r="CG429" i="5" l="1"/>
  <c r="CH429" i="5" s="1"/>
  <c r="BW421" i="5"/>
  <c r="BV421" i="5" s="1"/>
  <c r="BX421" i="5" s="1"/>
  <c r="AW48" i="5"/>
  <c r="AV48" i="5" s="1"/>
  <c r="CP429" i="5" l="1"/>
  <c r="BT422" i="5"/>
  <c r="BU422" i="5" s="1"/>
  <c r="AX48" i="5"/>
  <c r="AT49" i="5"/>
  <c r="BC49" i="5" l="1"/>
  <c r="CJ429" i="5"/>
  <c r="CI429" i="5" s="1"/>
  <c r="CK429" i="5" s="1"/>
  <c r="CC422" i="5"/>
  <c r="AU49" i="5"/>
  <c r="AW49" i="5" l="1"/>
  <c r="AV49" i="5" s="1"/>
  <c r="CG430" i="5"/>
  <c r="CH430" i="5" s="1"/>
  <c r="BW422" i="5"/>
  <c r="BV422" i="5" s="1"/>
  <c r="BX422" i="5" s="1"/>
  <c r="AX49" i="5" l="1"/>
  <c r="CP430" i="5"/>
  <c r="BT423" i="5"/>
  <c r="BU423" i="5" s="1"/>
  <c r="AT50" i="5"/>
  <c r="CJ430" i="5" l="1"/>
  <c r="CC423" i="5"/>
  <c r="BC50" i="5"/>
  <c r="AU50" i="5"/>
  <c r="CI430" i="5" l="1"/>
  <c r="CK430" i="5" s="1"/>
  <c r="BW423" i="5"/>
  <c r="BV423" i="5" s="1"/>
  <c r="BX423" i="5" s="1"/>
  <c r="AW50" i="5"/>
  <c r="CG431" i="5" l="1"/>
  <c r="CH431" i="5" s="1"/>
  <c r="BT424" i="5"/>
  <c r="BU424" i="5" s="1"/>
  <c r="AV50" i="5"/>
  <c r="CP431" i="5" l="1"/>
  <c r="AT51" i="5"/>
  <c r="BC51" i="5" s="1"/>
  <c r="CJ431" i="5"/>
  <c r="CI431" i="5" s="1"/>
  <c r="CK431" i="5" s="1"/>
  <c r="CC424" i="5"/>
  <c r="AX50" i="5"/>
  <c r="AU51" i="5" l="1"/>
  <c r="AW51" i="5" s="1"/>
  <c r="AV51" i="5" s="1"/>
  <c r="CG432" i="5"/>
  <c r="CH432" i="5" s="1"/>
  <c r="BW424" i="5"/>
  <c r="BV424" i="5" s="1"/>
  <c r="BX424" i="5" s="1"/>
  <c r="AT52" i="5" l="1"/>
  <c r="BC52" i="5" s="1"/>
  <c r="CP432" i="5"/>
  <c r="BT425" i="5"/>
  <c r="BU425" i="5" s="1"/>
  <c r="AX51" i="5"/>
  <c r="AU52" i="5" l="1"/>
  <c r="AW52" i="5" s="1"/>
  <c r="AV52" i="5" s="1"/>
  <c r="AX52" i="5" s="1"/>
  <c r="CJ432" i="5"/>
  <c r="CI432" i="5" s="1"/>
  <c r="CK432" i="5" s="1"/>
  <c r="CC425" i="5"/>
  <c r="AT53" i="5" l="1"/>
  <c r="BC53" i="5" s="1"/>
  <c r="CG433" i="5"/>
  <c r="CH433" i="5" s="1"/>
  <c r="BW425" i="5"/>
  <c r="BV425" i="5" s="1"/>
  <c r="BX425" i="5" s="1"/>
  <c r="AU53" i="5" l="1"/>
  <c r="AW53" i="5" s="1"/>
  <c r="AV53" i="5" s="1"/>
  <c r="CP433" i="5"/>
  <c r="BT426" i="5"/>
  <c r="BU426" i="5" s="1"/>
  <c r="AT54" i="5" l="1"/>
  <c r="BC54" i="5" s="1"/>
  <c r="AX53" i="5"/>
  <c r="CJ433" i="5"/>
  <c r="CC426" i="5"/>
  <c r="AU54" i="5" l="1"/>
  <c r="AW54" i="5" s="1"/>
  <c r="AV54" i="5" s="1"/>
  <c r="CI433" i="5"/>
  <c r="CK433" i="5" s="1"/>
  <c r="BW426" i="5"/>
  <c r="BV426" i="5" s="1"/>
  <c r="BX426" i="5" s="1"/>
  <c r="AX54" i="5" l="1"/>
  <c r="CG434" i="5"/>
  <c r="CH434" i="5" s="1"/>
  <c r="BT427" i="5"/>
  <c r="BU427" i="5" s="1"/>
  <c r="AT55" i="5"/>
  <c r="BC55" i="5" l="1"/>
  <c r="CP434" i="5"/>
  <c r="CJ434" i="5"/>
  <c r="CI434" i="5" s="1"/>
  <c r="CK434" i="5" s="1"/>
  <c r="CC427" i="5"/>
  <c r="AU55" i="5"/>
  <c r="AW55" i="5" l="1"/>
  <c r="AV55" i="5" s="1"/>
  <c r="AT56" i="5" s="1"/>
  <c r="CG435" i="5"/>
  <c r="CH435" i="5" s="1"/>
  <c r="BW427" i="5"/>
  <c r="BV427" i="5" s="1"/>
  <c r="BX427" i="5" s="1"/>
  <c r="AX55" i="5" l="1"/>
  <c r="CP435" i="5"/>
  <c r="BT428" i="5"/>
  <c r="BU428" i="5" s="1"/>
  <c r="BC56" i="5"/>
  <c r="AU56" i="5"/>
  <c r="CJ435" i="5" l="1"/>
  <c r="CI435" i="5" s="1"/>
  <c r="CK435" i="5" s="1"/>
  <c r="CC428" i="5"/>
  <c r="AW56" i="5"/>
  <c r="AV56" i="5" s="1"/>
  <c r="AX56" i="5" l="1"/>
  <c r="CG436" i="5"/>
  <c r="CH436" i="5" s="1"/>
  <c r="BW428" i="5"/>
  <c r="BV428" i="5" s="1"/>
  <c r="BX428" i="5" s="1"/>
  <c r="AT57" i="5"/>
  <c r="CP436" i="5" l="1"/>
  <c r="BT429" i="5"/>
  <c r="BU429" i="5" s="1"/>
  <c r="BC57" i="5"/>
  <c r="AU57" i="5"/>
  <c r="CJ436" i="5" l="1"/>
  <c r="CI436" i="5" s="1"/>
  <c r="CK436" i="5" s="1"/>
  <c r="CC429" i="5"/>
  <c r="AW57" i="5"/>
  <c r="AV57" i="5" s="1"/>
  <c r="CG437" i="5" l="1"/>
  <c r="CH437" i="5" s="1"/>
  <c r="BW429" i="5"/>
  <c r="BV429" i="5" s="1"/>
  <c r="BX429" i="5" s="1"/>
  <c r="AX57" i="5"/>
  <c r="AT58" i="5"/>
  <c r="BC58" i="5" l="1"/>
  <c r="CP437" i="5"/>
  <c r="BT430" i="5"/>
  <c r="BU430" i="5" s="1"/>
  <c r="AU58" i="5"/>
  <c r="AW58" i="5" l="1"/>
  <c r="AV58" i="5" s="1"/>
  <c r="CJ437" i="5"/>
  <c r="CI437" i="5" s="1"/>
  <c r="CK437" i="5" s="1"/>
  <c r="CC430" i="5"/>
  <c r="AX58" i="5" l="1"/>
  <c r="CG438" i="5"/>
  <c r="CH438" i="5" s="1"/>
  <c r="BW430" i="5"/>
  <c r="BV430" i="5" s="1"/>
  <c r="BX430" i="5" s="1"/>
  <c r="AT59" i="5"/>
  <c r="BC59" i="5" l="1"/>
  <c r="CP438" i="5"/>
  <c r="BT431" i="5"/>
  <c r="BU431" i="5" s="1"/>
  <c r="AU59" i="5"/>
  <c r="AW59" i="5" l="1"/>
  <c r="AV59" i="5" s="1"/>
  <c r="AT60" i="5" s="1"/>
  <c r="CJ438" i="5"/>
  <c r="CI438" i="5" s="1"/>
  <c r="CK438" i="5" s="1"/>
  <c r="CC431" i="5"/>
  <c r="AX59" i="5" l="1"/>
  <c r="CG439" i="5"/>
  <c r="CH439" i="5" s="1"/>
  <c r="BW431" i="5"/>
  <c r="BV431" i="5" s="1"/>
  <c r="BX431" i="5" s="1"/>
  <c r="BC60" i="5"/>
  <c r="AU60" i="5"/>
  <c r="CP439" i="5" l="1"/>
  <c r="BT432" i="5"/>
  <c r="BU432" i="5" s="1"/>
  <c r="AW60" i="5"/>
  <c r="AV60" i="5" s="1"/>
  <c r="CJ439" i="5" l="1"/>
  <c r="CI439" i="5" s="1"/>
  <c r="CK439" i="5" s="1"/>
  <c r="CC432" i="5"/>
  <c r="AX60" i="5"/>
  <c r="AT61" i="5"/>
  <c r="BC61" i="5" l="1"/>
  <c r="CG440" i="5"/>
  <c r="CH440" i="5" s="1"/>
  <c r="BW432" i="5"/>
  <c r="BV432" i="5" s="1"/>
  <c r="BX432" i="5" s="1"/>
  <c r="AU61" i="5"/>
  <c r="AW61" i="5" l="1"/>
  <c r="AV61" i="5" s="1"/>
  <c r="AX61" i="5" s="1"/>
  <c r="CP440" i="5"/>
  <c r="BT433" i="5"/>
  <c r="BU433" i="5" s="1"/>
  <c r="AT62" i="5" l="1"/>
  <c r="BC62" i="5" s="1"/>
  <c r="CJ440" i="5"/>
  <c r="CI440" i="5" s="1"/>
  <c r="CK440" i="5" s="1"/>
  <c r="CC433" i="5"/>
  <c r="AU62" i="5" l="1"/>
  <c r="AW62" i="5" s="1"/>
  <c r="AV62" i="5" s="1"/>
  <c r="CG441" i="5"/>
  <c r="CH441" i="5" s="1"/>
  <c r="BW433" i="5"/>
  <c r="BV433" i="5" s="1"/>
  <c r="BX433" i="5" s="1"/>
  <c r="AX62" i="5" l="1"/>
  <c r="CP441" i="5"/>
  <c r="BT434" i="5"/>
  <c r="BU434" i="5" s="1"/>
  <c r="AT63" i="5"/>
  <c r="CJ441" i="5" l="1"/>
  <c r="CI441" i="5" s="1"/>
  <c r="CK441" i="5" s="1"/>
  <c r="CC434" i="5"/>
  <c r="BC63" i="5"/>
  <c r="AU63" i="5"/>
  <c r="CG442" i="5" l="1"/>
  <c r="CH442" i="5" s="1"/>
  <c r="BW434" i="5"/>
  <c r="BV434" i="5" s="1"/>
  <c r="BX434" i="5" s="1"/>
  <c r="AW63" i="5"/>
  <c r="AV63" i="5" s="1"/>
  <c r="CP442" i="5" l="1"/>
  <c r="BT435" i="5"/>
  <c r="BU435" i="5" s="1"/>
  <c r="AX63" i="5"/>
  <c r="AT64" i="5"/>
  <c r="BC64" i="5" l="1"/>
  <c r="CJ442" i="5"/>
  <c r="CI442" i="5" s="1"/>
  <c r="CK442" i="5" s="1"/>
  <c r="CC435" i="5"/>
  <c r="AU64" i="5"/>
  <c r="CG443" i="5" l="1"/>
  <c r="CH443" i="5" s="1"/>
  <c r="BW435" i="5"/>
  <c r="BV435" i="5" s="1"/>
  <c r="BX435" i="5" s="1"/>
  <c r="AW64" i="5"/>
  <c r="AV64" i="5" s="1"/>
  <c r="AX64" i="5" l="1"/>
  <c r="CP443" i="5"/>
  <c r="BT436" i="5"/>
  <c r="BU436" i="5" s="1"/>
  <c r="AT65" i="5"/>
  <c r="BC65" i="5" l="1"/>
  <c r="CJ443" i="5"/>
  <c r="CI443" i="5" s="1"/>
  <c r="CK443" i="5" s="1"/>
  <c r="CC436" i="5"/>
  <c r="AU65" i="5"/>
  <c r="AW65" i="5" l="1"/>
  <c r="AV65" i="5" s="1"/>
  <c r="CG444" i="5"/>
  <c r="CH444" i="5" s="1"/>
  <c r="BW436" i="5"/>
  <c r="BV436" i="5" s="1"/>
  <c r="BX436" i="5" s="1"/>
  <c r="AX65" i="5" l="1"/>
  <c r="AT66" i="5"/>
  <c r="CP444" i="5"/>
  <c r="BT437" i="5"/>
  <c r="AU66" i="5" l="1"/>
  <c r="AW66" i="5" s="1"/>
  <c r="AV66" i="5" s="1"/>
  <c r="AT67" i="5" s="1"/>
  <c r="BC66" i="5"/>
  <c r="CJ444" i="5"/>
  <c r="CI444" i="5" s="1"/>
  <c r="CK444" i="5" s="1"/>
  <c r="CC437" i="5"/>
  <c r="BU437" i="5"/>
  <c r="BW437" i="5" s="1"/>
  <c r="BV437" i="5" s="1"/>
  <c r="BX437" i="5" s="1"/>
  <c r="AX66" i="5" l="1"/>
  <c r="AU67" i="5" s="1"/>
  <c r="CG445" i="5"/>
  <c r="CH445" i="5" s="1"/>
  <c r="BT438" i="5"/>
  <c r="BU438" i="5" s="1"/>
  <c r="BC67" i="5"/>
  <c r="CP445" i="5" l="1"/>
  <c r="CC438" i="5"/>
  <c r="AW67" i="5"/>
  <c r="AV67" i="5" s="1"/>
  <c r="CJ445" i="5" l="1"/>
  <c r="CI445" i="5" s="1"/>
  <c r="CK445" i="5" s="1"/>
  <c r="BW438" i="5"/>
  <c r="BV438" i="5" s="1"/>
  <c r="BX438" i="5" s="1"/>
  <c r="AX67" i="5"/>
  <c r="AT68" i="5"/>
  <c r="CG446" i="5" l="1"/>
  <c r="CH446" i="5" s="1"/>
  <c r="BT439" i="5"/>
  <c r="BU439" i="5" s="1"/>
  <c r="BC68" i="5"/>
  <c r="AU68" i="5"/>
  <c r="CP446" i="5" l="1"/>
  <c r="CC439" i="5"/>
  <c r="AW68" i="5"/>
  <c r="AV68" i="5" s="1"/>
  <c r="CJ446" i="5" l="1"/>
  <c r="BW439" i="5"/>
  <c r="BV439" i="5" s="1"/>
  <c r="BX439" i="5" s="1"/>
  <c r="AX68" i="5"/>
  <c r="AT69" i="5"/>
  <c r="BC69" i="5" l="1"/>
  <c r="CI446" i="5"/>
  <c r="CK446" i="5" s="1"/>
  <c r="BT440" i="5"/>
  <c r="BU440" i="5" s="1"/>
  <c r="AU69" i="5"/>
  <c r="AW69" i="5" l="1"/>
  <c r="AV69" i="5" s="1"/>
  <c r="CG447" i="5"/>
  <c r="CH447" i="5" s="1"/>
  <c r="CC440" i="5"/>
  <c r="AX69" i="5" l="1"/>
  <c r="CP447" i="5"/>
  <c r="CJ447" i="5"/>
  <c r="BW440" i="5"/>
  <c r="BV440" i="5" s="1"/>
  <c r="BX440" i="5" s="1"/>
  <c r="AT70" i="5"/>
  <c r="BC70" i="5" l="1"/>
  <c r="CI447" i="5"/>
  <c r="CK447" i="5" s="1"/>
  <c r="BT441" i="5"/>
  <c r="BU441" i="5" s="1"/>
  <c r="AU70" i="5"/>
  <c r="AW70" i="5" l="1"/>
  <c r="AV70" i="5" s="1"/>
  <c r="CG448" i="5"/>
  <c r="CH448" i="5" s="1"/>
  <c r="CC441" i="5"/>
  <c r="AX70" i="5" l="1"/>
  <c r="CP448" i="5"/>
  <c r="CJ448" i="5"/>
  <c r="CI448" i="5" s="1"/>
  <c r="CK448" i="5" s="1"/>
  <c r="BW441" i="5"/>
  <c r="BV441" i="5" s="1"/>
  <c r="BX441" i="5" s="1"/>
  <c r="AT71" i="5"/>
  <c r="CG449" i="5" l="1"/>
  <c r="CH449" i="5" s="1"/>
  <c r="BT442" i="5"/>
  <c r="BU442" i="5" s="1"/>
  <c r="BC71" i="5"/>
  <c r="AU71" i="5"/>
  <c r="CP449" i="5" l="1"/>
  <c r="CC442" i="5"/>
  <c r="AW71" i="5"/>
  <c r="AV71" i="5" s="1"/>
  <c r="CJ449" i="5" l="1"/>
  <c r="CI449" i="5" s="1"/>
  <c r="CK449" i="5" s="1"/>
  <c r="BW442" i="5"/>
  <c r="BV442" i="5" s="1"/>
  <c r="BX442" i="5" s="1"/>
  <c r="AX71" i="5"/>
  <c r="AT72" i="5"/>
  <c r="CG450" i="5" l="1"/>
  <c r="CH450" i="5" s="1"/>
  <c r="BT443" i="5"/>
  <c r="BU443" i="5" s="1"/>
  <c r="BC72" i="5"/>
  <c r="AU72" i="5"/>
  <c r="CP450" i="5" l="1"/>
  <c r="CC443" i="5"/>
  <c r="AW72" i="5"/>
  <c r="CJ450" i="5" l="1"/>
  <c r="CI450" i="5" s="1"/>
  <c r="CK450" i="5" s="1"/>
  <c r="BW443" i="5"/>
  <c r="BV443" i="5" s="1"/>
  <c r="BX443" i="5" s="1"/>
  <c r="AV72" i="5"/>
  <c r="AT73" i="5" l="1"/>
  <c r="BC73" i="5" s="1"/>
  <c r="CG451" i="5"/>
  <c r="CH451" i="5" s="1"/>
  <c r="BT444" i="5"/>
  <c r="BU444" i="5" s="1"/>
  <c r="AX72" i="5"/>
  <c r="AU73" i="5" l="1"/>
  <c r="AW73" i="5" s="1"/>
  <c r="AV73" i="5" s="1"/>
  <c r="CP451" i="5"/>
  <c r="CC444" i="5"/>
  <c r="AT74" i="5" l="1"/>
  <c r="BC74" i="5" s="1"/>
  <c r="CJ451" i="5"/>
  <c r="CI451" i="5" s="1"/>
  <c r="CK451" i="5" s="1"/>
  <c r="BW444" i="5"/>
  <c r="BV444" i="5" s="1"/>
  <c r="BX444" i="5" s="1"/>
  <c r="AX73" i="5"/>
  <c r="AU74" i="5" l="1"/>
  <c r="AW74" i="5" s="1"/>
  <c r="AV74" i="5" s="1"/>
  <c r="CG452" i="5"/>
  <c r="CH452" i="5" s="1"/>
  <c r="BT445" i="5"/>
  <c r="BU445" i="5" s="1"/>
  <c r="CP452" i="5" l="1"/>
  <c r="CC445" i="5"/>
  <c r="AX74" i="5"/>
  <c r="AT75" i="5"/>
  <c r="BC75" i="5" l="1"/>
  <c r="CJ452" i="5"/>
  <c r="CI452" i="5" s="1"/>
  <c r="CK452" i="5" s="1"/>
  <c r="BW445" i="5"/>
  <c r="BV445" i="5" s="1"/>
  <c r="BX445" i="5" s="1"/>
  <c r="AU75" i="5"/>
  <c r="AW75" i="5" l="1"/>
  <c r="AV75" i="5" s="1"/>
  <c r="AT76" i="5" s="1"/>
  <c r="CG453" i="5"/>
  <c r="CH453" i="5" s="1"/>
  <c r="BT446" i="5"/>
  <c r="BU446" i="5" s="1"/>
  <c r="AX75" i="5" l="1"/>
  <c r="CP453" i="5"/>
  <c r="CC446" i="5"/>
  <c r="BC76" i="5"/>
  <c r="AU76" i="5"/>
  <c r="CJ453" i="5" l="1"/>
  <c r="CI453" i="5" s="1"/>
  <c r="CK453" i="5" s="1"/>
  <c r="BW446" i="5"/>
  <c r="BV446" i="5" s="1"/>
  <c r="BX446" i="5" s="1"/>
  <c r="AW76" i="5"/>
  <c r="AV76" i="5" s="1"/>
  <c r="AT77" i="5" l="1"/>
  <c r="CG454" i="5"/>
  <c r="CH454" i="5" s="1"/>
  <c r="BT447" i="5"/>
  <c r="BU447" i="5" s="1"/>
  <c r="AX76" i="5"/>
  <c r="AU77" i="5" l="1"/>
  <c r="AW77" i="5" s="1"/>
  <c r="BC77" i="5"/>
  <c r="CP454" i="5"/>
  <c r="CC447" i="5"/>
  <c r="CJ454" i="5" l="1"/>
  <c r="CI454" i="5" s="1"/>
  <c r="CK454" i="5" s="1"/>
  <c r="BW447" i="5"/>
  <c r="BV447" i="5" s="1"/>
  <c r="BX447" i="5" s="1"/>
  <c r="AV77" i="5"/>
  <c r="AT78" i="5" l="1"/>
  <c r="CG455" i="5"/>
  <c r="CH455" i="5" s="1"/>
  <c r="BT448" i="5"/>
  <c r="BU448" i="5" s="1"/>
  <c r="AX77" i="5"/>
  <c r="AU78" i="5" l="1"/>
  <c r="AW78" i="5" s="1"/>
  <c r="AV78" i="5" s="1"/>
  <c r="AX78" i="5" s="1"/>
  <c r="BC78" i="5"/>
  <c r="CP455" i="5"/>
  <c r="CC448" i="5"/>
  <c r="AT79" i="5" l="1"/>
  <c r="CJ455" i="5"/>
  <c r="CI455" i="5" s="1"/>
  <c r="BW448" i="5"/>
  <c r="BV448" i="5" s="1"/>
  <c r="BX448" i="5" s="1"/>
  <c r="BC79" i="5" l="1"/>
  <c r="AU79" i="5"/>
  <c r="AW79" i="5" s="1"/>
  <c r="AV79" i="5" s="1"/>
  <c r="CK455" i="5"/>
  <c r="CG456" i="5"/>
  <c r="CH456" i="5" s="1"/>
  <c r="BT449" i="5"/>
  <c r="BU449" i="5" s="1"/>
  <c r="AT80" i="5" l="1"/>
  <c r="BC80" i="5" s="1"/>
  <c r="AX79" i="5"/>
  <c r="CP456" i="5"/>
  <c r="CC449" i="5"/>
  <c r="AU80" i="5" l="1"/>
  <c r="AW80" i="5" s="1"/>
  <c r="CJ456" i="5"/>
  <c r="BW449" i="5"/>
  <c r="BV449" i="5" s="1"/>
  <c r="BX449" i="5" s="1"/>
  <c r="CI456" i="5" l="1"/>
  <c r="CK456" i="5" s="1"/>
  <c r="BT450" i="5"/>
  <c r="BU450" i="5" s="1"/>
  <c r="AV80" i="5"/>
  <c r="AX80" i="5" l="1"/>
  <c r="CG457" i="5"/>
  <c r="CH457" i="5" s="1"/>
  <c r="CC450" i="5"/>
  <c r="AT81" i="5"/>
  <c r="CP457" i="5" l="1"/>
  <c r="CJ457" i="5"/>
  <c r="CI457" i="5" s="1"/>
  <c r="CK457" i="5" s="1"/>
  <c r="BW450" i="5"/>
  <c r="BV450" i="5" s="1"/>
  <c r="BX450" i="5" s="1"/>
  <c r="BC81" i="5"/>
  <c r="AU81" i="5"/>
  <c r="CG458" i="5" l="1"/>
  <c r="CH458" i="5" s="1"/>
  <c r="BT451" i="5"/>
  <c r="BU451" i="5" s="1"/>
  <c r="AW81" i="5"/>
  <c r="AV81" i="5" s="1"/>
  <c r="CP458" i="5" l="1"/>
  <c r="CC451" i="5"/>
  <c r="AX81" i="5"/>
  <c r="AT82" i="5"/>
  <c r="CJ458" i="5" l="1"/>
  <c r="CI458" i="5" s="1"/>
  <c r="CK458" i="5" s="1"/>
  <c r="BW451" i="5"/>
  <c r="BV451" i="5" s="1"/>
  <c r="BX451" i="5" s="1"/>
  <c r="BC82" i="5"/>
  <c r="AU82" i="5"/>
  <c r="CG459" i="5" l="1"/>
  <c r="CH459" i="5" s="1"/>
  <c r="BT452" i="5"/>
  <c r="BU452" i="5" s="1"/>
  <c r="AW82" i="5"/>
  <c r="AV82" i="5" s="1"/>
  <c r="CP459" i="5" l="1"/>
  <c r="CC452" i="5"/>
  <c r="AX82" i="5"/>
  <c r="AT83" i="5"/>
  <c r="CJ459" i="5" l="1"/>
  <c r="CI459" i="5" s="1"/>
  <c r="CK459" i="5" s="1"/>
  <c r="BW452" i="5"/>
  <c r="BV452" i="5" s="1"/>
  <c r="BX452" i="5" s="1"/>
  <c r="AU83" i="5"/>
  <c r="BC83" i="5"/>
  <c r="CG460" i="5" l="1"/>
  <c r="CH460" i="5" s="1"/>
  <c r="BT453" i="5"/>
  <c r="BU453" i="5" s="1"/>
  <c r="AW83" i="5"/>
  <c r="AV83" i="5" s="1"/>
  <c r="CP460" i="5" l="1"/>
  <c r="CC453" i="5"/>
  <c r="AX83" i="5"/>
  <c r="AT84" i="5"/>
  <c r="CJ460" i="5" l="1"/>
  <c r="CI460" i="5" s="1"/>
  <c r="CK460" i="5" s="1"/>
  <c r="BW453" i="5"/>
  <c r="BV453" i="5" s="1"/>
  <c r="BX453" i="5" s="1"/>
  <c r="BC84" i="5"/>
  <c r="AU84" i="5"/>
  <c r="CG461" i="5" l="1"/>
  <c r="CH461" i="5" s="1"/>
  <c r="BT454" i="5"/>
  <c r="BU454" i="5" s="1"/>
  <c r="AW84" i="5"/>
  <c r="AV84" i="5" s="1"/>
  <c r="CP461" i="5" l="1"/>
  <c r="CC454" i="5"/>
  <c r="AX84" i="5"/>
  <c r="AT85" i="5"/>
  <c r="CJ461" i="5" l="1"/>
  <c r="CI461" i="5" s="1"/>
  <c r="CK461" i="5" s="1"/>
  <c r="BW454" i="5"/>
  <c r="BV454" i="5" s="1"/>
  <c r="BX454" i="5" s="1"/>
  <c r="BC85" i="5"/>
  <c r="AU85" i="5"/>
  <c r="CG462" i="5" l="1"/>
  <c r="CH462" i="5" s="1"/>
  <c r="BT455" i="5"/>
  <c r="BU455" i="5" s="1"/>
  <c r="AW85" i="5"/>
  <c r="AV85" i="5" s="1"/>
  <c r="AT86" i="5" l="1"/>
  <c r="CP462" i="5"/>
  <c r="CC455" i="5"/>
  <c r="AX85" i="5"/>
  <c r="BC86" i="5" l="1"/>
  <c r="AU86" i="5"/>
  <c r="AW86" i="5" s="1"/>
  <c r="AV86" i="5" s="1"/>
  <c r="CJ462" i="5"/>
  <c r="CI462" i="5" s="1"/>
  <c r="CK462" i="5" s="1"/>
  <c r="BW455" i="5"/>
  <c r="BV455" i="5" s="1"/>
  <c r="BX455" i="5" s="1"/>
  <c r="AT87" i="5" l="1"/>
  <c r="BC87" i="5" s="1"/>
  <c r="AX86" i="5"/>
  <c r="CG463" i="5"/>
  <c r="CH463" i="5" s="1"/>
  <c r="BT456" i="5"/>
  <c r="BU456" i="5" s="1"/>
  <c r="AU87" i="5" l="1"/>
  <c r="AW87" i="5" s="1"/>
  <c r="CP463" i="5"/>
  <c r="CC456" i="5"/>
  <c r="CJ463" i="5" l="1"/>
  <c r="BW456" i="5"/>
  <c r="BV456" i="5" s="1"/>
  <c r="BX456" i="5" s="1"/>
  <c r="AV87" i="5"/>
  <c r="AX87" i="5" l="1"/>
  <c r="CI463" i="5"/>
  <c r="CK463" i="5" s="1"/>
  <c r="BT457" i="5"/>
  <c r="BU457" i="5" s="1"/>
  <c r="AT88" i="5"/>
  <c r="BC88" i="5" l="1"/>
  <c r="CG464" i="5"/>
  <c r="CH464" i="5" s="1"/>
  <c r="CC457" i="5"/>
  <c r="AU88" i="5"/>
  <c r="AW88" i="5" l="1"/>
  <c r="AV88" i="5" s="1"/>
  <c r="AT89" i="5" s="1"/>
  <c r="CP464" i="5"/>
  <c r="CJ464" i="5"/>
  <c r="CI464" i="5" s="1"/>
  <c r="CK464" i="5" s="1"/>
  <c r="BW457" i="5"/>
  <c r="BV457" i="5" s="1"/>
  <c r="BX457" i="5" s="1"/>
  <c r="AX88" i="5" l="1"/>
  <c r="AU89" i="5" s="1"/>
  <c r="CG465" i="5"/>
  <c r="CH465" i="5" s="1"/>
  <c r="BT458" i="5"/>
  <c r="BU458" i="5" s="1"/>
  <c r="BC89" i="5"/>
  <c r="CP465" i="5" l="1"/>
  <c r="CC458" i="5"/>
  <c r="AW89" i="5"/>
  <c r="AV89" i="5" s="1"/>
  <c r="AX89" i="5" l="1"/>
  <c r="CJ465" i="5"/>
  <c r="CI465" i="5" s="1"/>
  <c r="CK465" i="5" s="1"/>
  <c r="BW458" i="5"/>
  <c r="BV458" i="5" s="1"/>
  <c r="BX458" i="5" s="1"/>
  <c r="AT90" i="5"/>
  <c r="CG466" i="5" l="1"/>
  <c r="CH466" i="5" s="1"/>
  <c r="BT459" i="5"/>
  <c r="BU459" i="5" s="1"/>
  <c r="BC90" i="5"/>
  <c r="AU90" i="5"/>
  <c r="CP466" i="5" l="1"/>
  <c r="CC459" i="5"/>
  <c r="AW90" i="5"/>
  <c r="AV90" i="5" s="1"/>
  <c r="AX90" i="5" l="1"/>
  <c r="CJ466" i="5"/>
  <c r="BW459" i="5"/>
  <c r="BV459" i="5" s="1"/>
  <c r="BX459" i="5" s="1"/>
  <c r="AT91" i="5"/>
  <c r="CI466" i="5" l="1"/>
  <c r="CK466" i="5" s="1"/>
  <c r="BT460" i="5"/>
  <c r="BU460" i="5" s="1"/>
  <c r="BC91" i="5"/>
  <c r="AU91" i="5"/>
  <c r="CG467" i="5" l="1"/>
  <c r="CH467" i="5" s="1"/>
  <c r="CC460" i="5"/>
  <c r="AW91" i="5"/>
  <c r="AV91" i="5" s="1"/>
  <c r="AX91" i="5" l="1"/>
  <c r="CP467" i="5"/>
  <c r="CJ467" i="5"/>
  <c r="BW460" i="5"/>
  <c r="BV460" i="5" s="1"/>
  <c r="BX460" i="5" s="1"/>
  <c r="AT92" i="5"/>
  <c r="CI467" i="5" l="1"/>
  <c r="CK467" i="5" s="1"/>
  <c r="BT461" i="5"/>
  <c r="BU461" i="5" s="1"/>
  <c r="BC92" i="5"/>
  <c r="AU92" i="5"/>
  <c r="CG468" i="5" l="1"/>
  <c r="CH468" i="5" s="1"/>
  <c r="CC461" i="5"/>
  <c r="AW92" i="5"/>
  <c r="AV92" i="5" s="1"/>
  <c r="AX92" i="5" l="1"/>
  <c r="CP468" i="5"/>
  <c r="CJ468" i="5"/>
  <c r="CI468" i="5" s="1"/>
  <c r="CK468" i="5" s="1"/>
  <c r="BW461" i="5"/>
  <c r="BV461" i="5" s="1"/>
  <c r="BX461" i="5" s="1"/>
  <c r="AT93" i="5"/>
  <c r="CG469" i="5" l="1"/>
  <c r="CH469" i="5" s="1"/>
  <c r="BT462" i="5"/>
  <c r="BU462" i="5" s="1"/>
  <c r="BC93" i="5"/>
  <c r="AU93" i="5"/>
  <c r="CP469" i="5" l="1"/>
  <c r="CC462" i="5"/>
  <c r="AW93" i="5"/>
  <c r="CJ469" i="5" l="1"/>
  <c r="BW462" i="5"/>
  <c r="BV462" i="5" s="1"/>
  <c r="BX462" i="5" s="1"/>
  <c r="AV93" i="5"/>
  <c r="AX93" i="5" l="1"/>
  <c r="CI469" i="5"/>
  <c r="CK469" i="5" s="1"/>
  <c r="BT463" i="5"/>
  <c r="BU463" i="5" s="1"/>
  <c r="AT94" i="5"/>
  <c r="CG470" i="5" l="1"/>
  <c r="CH470" i="5" s="1"/>
  <c r="CC463" i="5"/>
  <c r="BC94" i="5"/>
  <c r="AU94" i="5"/>
  <c r="CP470" i="5" l="1"/>
  <c r="CJ470" i="5"/>
  <c r="BW463" i="5"/>
  <c r="BV463" i="5" s="1"/>
  <c r="BX463" i="5" s="1"/>
  <c r="AW94" i="5"/>
  <c r="AV94" i="5" s="1"/>
  <c r="CI470" i="5" l="1"/>
  <c r="CK470" i="5" s="1"/>
  <c r="BT464" i="5"/>
  <c r="BU464" i="5" s="1"/>
  <c r="AX94" i="5"/>
  <c r="AT95" i="5"/>
  <c r="CG471" i="5" l="1"/>
  <c r="CH471" i="5" s="1"/>
  <c r="CC464" i="5"/>
  <c r="AU95" i="5"/>
  <c r="BC95" i="5"/>
  <c r="CP471" i="5" l="1"/>
  <c r="CJ471" i="5"/>
  <c r="BW464" i="5"/>
  <c r="BV464" i="5" s="1"/>
  <c r="BX464" i="5" s="1"/>
  <c r="AW95" i="5"/>
  <c r="CI471" i="5" l="1"/>
  <c r="CK471" i="5" s="1"/>
  <c r="BT465" i="5"/>
  <c r="BU465" i="5" s="1"/>
  <c r="AV95" i="5"/>
  <c r="AT96" i="5" l="1"/>
  <c r="CG472" i="5"/>
  <c r="CH472" i="5" s="1"/>
  <c r="CC465" i="5"/>
  <c r="AX95" i="5"/>
  <c r="AU96" i="5" l="1"/>
  <c r="AW96" i="5" s="1"/>
  <c r="AV96" i="5" s="1"/>
  <c r="BC96" i="5"/>
  <c r="CP472" i="5"/>
  <c r="CJ472" i="5"/>
  <c r="BW465" i="5"/>
  <c r="BV465" i="5" s="1"/>
  <c r="BX465" i="5" s="1"/>
  <c r="CI472" i="5" l="1"/>
  <c r="CK472" i="5" s="1"/>
  <c r="BT466" i="5"/>
  <c r="BU466" i="5" s="1"/>
  <c r="AX96" i="5"/>
  <c r="AT97" i="5"/>
  <c r="CG473" i="5" l="1"/>
  <c r="CH473" i="5" s="1"/>
  <c r="CC466" i="5"/>
  <c r="BC97" i="5"/>
  <c r="AU97" i="5"/>
  <c r="CP473" i="5" l="1"/>
  <c r="CJ473" i="5"/>
  <c r="CI473" i="5" s="1"/>
  <c r="BW466" i="5"/>
  <c r="BV466" i="5" s="1"/>
  <c r="BX466" i="5" s="1"/>
  <c r="AW97" i="5"/>
  <c r="AV97" i="5" s="1"/>
  <c r="AX97" i="5" l="1"/>
  <c r="CK473" i="5"/>
  <c r="CG474" i="5"/>
  <c r="CH474" i="5" s="1"/>
  <c r="BT467" i="5"/>
  <c r="BU467" i="5" s="1"/>
  <c r="AT98" i="5"/>
  <c r="CP474" i="5" l="1"/>
  <c r="CC467" i="5"/>
  <c r="BC98" i="5"/>
  <c r="AU98" i="5"/>
  <c r="CJ474" i="5" l="1"/>
  <c r="CI474" i="5" s="1"/>
  <c r="CK474" i="5" s="1"/>
  <c r="BW467" i="5"/>
  <c r="BV467" i="5" s="1"/>
  <c r="BX467" i="5" s="1"/>
  <c r="AW98" i="5"/>
  <c r="CG475" i="5" l="1"/>
  <c r="CH475" i="5" s="1"/>
  <c r="BT468" i="5"/>
  <c r="BU468" i="5" s="1"/>
  <c r="AV98" i="5"/>
  <c r="AT99" i="5" l="1"/>
  <c r="CP475" i="5"/>
  <c r="CC468" i="5"/>
  <c r="AX98" i="5"/>
  <c r="AU99" i="5" l="1"/>
  <c r="AW99" i="5" s="1"/>
  <c r="AV99" i="5" s="1"/>
  <c r="BC99" i="5"/>
  <c r="CJ475" i="5"/>
  <c r="CI475" i="5" s="1"/>
  <c r="CK475" i="5" s="1"/>
  <c r="BW468" i="5"/>
  <c r="BV468" i="5" s="1"/>
  <c r="BX468" i="5" s="1"/>
  <c r="AX99" i="5" l="1"/>
  <c r="CG476" i="5"/>
  <c r="CH476" i="5" s="1"/>
  <c r="BT469" i="5"/>
  <c r="BU469" i="5" s="1"/>
  <c r="AT100" i="5"/>
  <c r="CP476" i="5" l="1"/>
  <c r="CC469" i="5"/>
  <c r="BC100" i="5"/>
  <c r="AU100" i="5"/>
  <c r="CJ476" i="5" l="1"/>
  <c r="CI476" i="5" s="1"/>
  <c r="CK476" i="5" s="1"/>
  <c r="BW469" i="5"/>
  <c r="BV469" i="5" s="1"/>
  <c r="BX469" i="5" s="1"/>
  <c r="AW100" i="5"/>
  <c r="AV100" i="5" s="1"/>
  <c r="AX100" i="5" l="1"/>
  <c r="CG477" i="5"/>
  <c r="CH477" i="5" s="1"/>
  <c r="BT470" i="5"/>
  <c r="BU470" i="5" s="1"/>
  <c r="AT101" i="5"/>
  <c r="CP477" i="5" l="1"/>
  <c r="CC470" i="5"/>
  <c r="BC101" i="5"/>
  <c r="AU101" i="5"/>
  <c r="CJ477" i="5" l="1"/>
  <c r="CI477" i="5" s="1"/>
  <c r="CK477" i="5" s="1"/>
  <c r="BW470" i="5"/>
  <c r="BV470" i="5" s="1"/>
  <c r="BX470" i="5" s="1"/>
  <c r="AW101" i="5"/>
  <c r="AV101" i="5" s="1"/>
  <c r="CG478" i="5" l="1"/>
  <c r="CH478" i="5" s="1"/>
  <c r="BT471" i="5"/>
  <c r="BU471" i="5" s="1"/>
  <c r="AX101" i="5"/>
  <c r="AT102" i="5"/>
  <c r="CP478" i="5" l="1"/>
  <c r="CC471" i="5"/>
  <c r="BC102" i="5"/>
  <c r="AU102" i="5"/>
  <c r="CJ478" i="5" l="1"/>
  <c r="CI478" i="5" s="1"/>
  <c r="CK478" i="5" s="1"/>
  <c r="BW471" i="5"/>
  <c r="BV471" i="5" s="1"/>
  <c r="BX471" i="5" s="1"/>
  <c r="AW102" i="5"/>
  <c r="CG479" i="5" l="1"/>
  <c r="CH479" i="5" s="1"/>
  <c r="BT472" i="5"/>
  <c r="BU472" i="5" s="1"/>
  <c r="AV102" i="5"/>
  <c r="AT103" i="5" l="1"/>
  <c r="CP479" i="5"/>
  <c r="CC472" i="5"/>
  <c r="AX102" i="5"/>
  <c r="BC103" i="5" l="1"/>
  <c r="AU103" i="5"/>
  <c r="AW103" i="5" s="1"/>
  <c r="AV103" i="5" s="1"/>
  <c r="CJ479" i="5"/>
  <c r="CI479" i="5" s="1"/>
  <c r="CK479" i="5" s="1"/>
  <c r="BW472" i="5"/>
  <c r="BV472" i="5" s="1"/>
  <c r="BX472" i="5" s="1"/>
  <c r="AT104" i="5" l="1"/>
  <c r="BC104" i="5" s="1"/>
  <c r="CG480" i="5"/>
  <c r="CH480" i="5" s="1"/>
  <c r="BT473" i="5"/>
  <c r="BU473" i="5" s="1"/>
  <c r="AX103" i="5"/>
  <c r="AU104" i="5" l="1"/>
  <c r="AW104" i="5" s="1"/>
  <c r="AV104" i="5" s="1"/>
  <c r="CP480" i="5"/>
  <c r="CC473" i="5"/>
  <c r="CJ480" i="5" l="1"/>
  <c r="CI480" i="5" s="1"/>
  <c r="CK480" i="5" s="1"/>
  <c r="BW473" i="5"/>
  <c r="BV473" i="5" s="1"/>
  <c r="BX473" i="5" s="1"/>
  <c r="AX104" i="5"/>
  <c r="AT105" i="5"/>
  <c r="CG481" i="5" l="1"/>
  <c r="CH481" i="5" s="1"/>
  <c r="BT474" i="5"/>
  <c r="BU474" i="5" s="1"/>
  <c r="BC105" i="5"/>
  <c r="AU105" i="5"/>
  <c r="CP481" i="5" l="1"/>
  <c r="CC474" i="5"/>
  <c r="AW105" i="5"/>
  <c r="AV105" i="5" s="1"/>
  <c r="CJ481" i="5" l="1"/>
  <c r="BW474" i="5"/>
  <c r="BV474" i="5" s="1"/>
  <c r="BX474" i="5" s="1"/>
  <c r="AX105" i="5"/>
  <c r="AT106" i="5"/>
  <c r="CI481" i="5" l="1"/>
  <c r="CK481" i="5" s="1"/>
  <c r="BT475" i="5"/>
  <c r="BU475" i="5" s="1"/>
  <c r="AU106" i="5"/>
  <c r="BC106" i="5"/>
  <c r="CG482" i="5" l="1"/>
  <c r="CH482" i="5" s="1"/>
  <c r="CC475" i="5"/>
  <c r="AW106" i="5"/>
  <c r="CP482" i="5" l="1"/>
  <c r="CJ482" i="5"/>
  <c r="CI482" i="5" s="1"/>
  <c r="BW475" i="5"/>
  <c r="BV475" i="5" s="1"/>
  <c r="BX475" i="5" s="1"/>
  <c r="AV106" i="5"/>
  <c r="AT107" i="5" l="1"/>
  <c r="CK482" i="5"/>
  <c r="CG483" i="5"/>
  <c r="CH483" i="5" s="1"/>
  <c r="BT476" i="5"/>
  <c r="BU476" i="5" s="1"/>
  <c r="AX106" i="5"/>
  <c r="BC107" i="5" l="1"/>
  <c r="AU107" i="5"/>
  <c r="AW107" i="5" s="1"/>
  <c r="AV107" i="5" s="1"/>
  <c r="CP483" i="5"/>
  <c r="CC476" i="5"/>
  <c r="CJ483" i="5" l="1"/>
  <c r="CI483" i="5" s="1"/>
  <c r="CK483" i="5" s="1"/>
  <c r="BW476" i="5"/>
  <c r="BV476" i="5" s="1"/>
  <c r="BX476" i="5" s="1"/>
  <c r="AX107" i="5"/>
  <c r="AT108" i="5"/>
  <c r="CG484" i="5" l="1"/>
  <c r="CH484" i="5" s="1"/>
  <c r="BT477" i="5"/>
  <c r="BU477" i="5" s="1"/>
  <c r="BC108" i="5"/>
  <c r="AU108" i="5"/>
  <c r="CP484" i="5" l="1"/>
  <c r="CC477" i="5"/>
  <c r="AW108" i="5"/>
  <c r="AV108" i="5" s="1"/>
  <c r="CJ484" i="5" l="1"/>
  <c r="CI484" i="5" s="1"/>
  <c r="CK484" i="5" s="1"/>
  <c r="BW477" i="5"/>
  <c r="BV477" i="5" s="1"/>
  <c r="BX477" i="5" s="1"/>
  <c r="AX108" i="5"/>
  <c r="AT109" i="5"/>
  <c r="CG485" i="5" l="1"/>
  <c r="CH485" i="5" s="1"/>
  <c r="BT478" i="5"/>
  <c r="BU478" i="5" s="1"/>
  <c r="BC109" i="5"/>
  <c r="AU109" i="5"/>
  <c r="CP485" i="5" l="1"/>
  <c r="CC478" i="5"/>
  <c r="AW109" i="5"/>
  <c r="AV109" i="5" s="1"/>
  <c r="CJ485" i="5" l="1"/>
  <c r="BW478" i="5"/>
  <c r="BV478" i="5" s="1"/>
  <c r="BX478" i="5" s="1"/>
  <c r="AX109" i="5"/>
  <c r="AT110" i="5"/>
  <c r="CI485" i="5" l="1"/>
  <c r="CK485" i="5" s="1"/>
  <c r="BT479" i="5"/>
  <c r="BU479" i="5" s="1"/>
  <c r="BC110" i="5"/>
  <c r="AU110" i="5"/>
  <c r="CG486" i="5" l="1"/>
  <c r="CH486" i="5" s="1"/>
  <c r="CC479" i="5"/>
  <c r="AW110" i="5"/>
  <c r="AV110" i="5" s="1"/>
  <c r="AX110" i="5" l="1"/>
  <c r="CP486" i="5"/>
  <c r="CJ486" i="5"/>
  <c r="CI486" i="5" s="1"/>
  <c r="BW479" i="5"/>
  <c r="BV479" i="5" s="1"/>
  <c r="BX479" i="5" s="1"/>
  <c r="AT111" i="5"/>
  <c r="CK486" i="5" l="1"/>
  <c r="CG487" i="5"/>
  <c r="CH487" i="5" s="1"/>
  <c r="BT480" i="5"/>
  <c r="BU480" i="5" s="1"/>
  <c r="BC111" i="5"/>
  <c r="AU111" i="5"/>
  <c r="CP487" i="5" l="1"/>
  <c r="CC480" i="5"/>
  <c r="AW111" i="5"/>
  <c r="AV111" i="5" s="1"/>
  <c r="CJ487" i="5" l="1"/>
  <c r="CI487" i="5" s="1"/>
  <c r="CK487" i="5" s="1"/>
  <c r="BW480" i="5"/>
  <c r="BV480" i="5" s="1"/>
  <c r="BX480" i="5" s="1"/>
  <c r="AX111" i="5"/>
  <c r="AT112" i="5"/>
  <c r="CG488" i="5" l="1"/>
  <c r="CH488" i="5" s="1"/>
  <c r="BT481" i="5"/>
  <c r="BU481" i="5" s="1"/>
  <c r="BC112" i="5"/>
  <c r="AU112" i="5"/>
  <c r="CP488" i="5" l="1"/>
  <c r="CC481" i="5"/>
  <c r="AW112" i="5"/>
  <c r="AV112" i="5" s="1"/>
  <c r="CJ488" i="5" l="1"/>
  <c r="BW481" i="5"/>
  <c r="BV481" i="5" s="1"/>
  <c r="BX481" i="5" s="1"/>
  <c r="AX112" i="5"/>
  <c r="AT113" i="5"/>
  <c r="CI488" i="5" l="1"/>
  <c r="CK488" i="5" s="1"/>
  <c r="BT482" i="5"/>
  <c r="BU482" i="5" s="1"/>
  <c r="BC113" i="5"/>
  <c r="AU113" i="5"/>
  <c r="CG489" i="5" l="1"/>
  <c r="CH489" i="5" s="1"/>
  <c r="CC482" i="5"/>
  <c r="AW113" i="5"/>
  <c r="CP489" i="5" l="1"/>
  <c r="CJ489" i="5"/>
  <c r="CI489" i="5" s="1"/>
  <c r="BW482" i="5"/>
  <c r="BV482" i="5" s="1"/>
  <c r="BX482" i="5" s="1"/>
  <c r="AV113" i="5"/>
  <c r="AT114" i="5" l="1"/>
  <c r="BC114" i="5" s="1"/>
  <c r="CK489" i="5"/>
  <c r="CG490" i="5"/>
  <c r="CH490" i="5" s="1"/>
  <c r="BT483" i="5"/>
  <c r="BU483" i="5" s="1"/>
  <c r="AX113" i="5"/>
  <c r="AU114" i="5" l="1"/>
  <c r="AW114" i="5" s="1"/>
  <c r="CP490" i="5"/>
  <c r="CC483" i="5"/>
  <c r="CJ490" i="5" l="1"/>
  <c r="CI490" i="5" s="1"/>
  <c r="CK490" i="5" s="1"/>
  <c r="BW483" i="5"/>
  <c r="BV483" i="5" s="1"/>
  <c r="BX483" i="5" s="1"/>
  <c r="AV114" i="5"/>
  <c r="AT115" i="5" l="1"/>
  <c r="BC115" i="5" s="1"/>
  <c r="CG491" i="5"/>
  <c r="CH491" i="5" s="1"/>
  <c r="BT484" i="5"/>
  <c r="BU484" i="5" s="1"/>
  <c r="AX114" i="5"/>
  <c r="AU115" i="5" l="1"/>
  <c r="AW115" i="5" s="1"/>
  <c r="AV115" i="5" s="1"/>
  <c r="CP491" i="5"/>
  <c r="CC484" i="5"/>
  <c r="AX115" i="5" l="1"/>
  <c r="CJ491" i="5"/>
  <c r="CI491" i="5" s="1"/>
  <c r="CK491" i="5" s="1"/>
  <c r="BW484" i="5"/>
  <c r="BV484" i="5" s="1"/>
  <c r="BX484" i="5" s="1"/>
  <c r="AT116" i="5"/>
  <c r="CG492" i="5" l="1"/>
  <c r="CH492" i="5" s="1"/>
  <c r="BT485" i="5"/>
  <c r="BU485" i="5" s="1"/>
  <c r="BC116" i="5"/>
  <c r="AU116" i="5"/>
  <c r="CP492" i="5" l="1"/>
  <c r="CC485" i="5"/>
  <c r="AW116" i="5"/>
  <c r="AV116" i="5" s="1"/>
  <c r="AX116" i="5" l="1"/>
  <c r="CJ492" i="5"/>
  <c r="BW485" i="5"/>
  <c r="BV485" i="5" s="1"/>
  <c r="BX485" i="5" s="1"/>
  <c r="AT117" i="5"/>
  <c r="CI492" i="5" l="1"/>
  <c r="CK492" i="5" s="1"/>
  <c r="BT486" i="5"/>
  <c r="BU486" i="5" s="1"/>
  <c r="BC117" i="5"/>
  <c r="AU117" i="5"/>
  <c r="AW117" i="5" l="1"/>
  <c r="AV117" i="5" s="1"/>
  <c r="AX117" i="5" s="1"/>
  <c r="CG493" i="5"/>
  <c r="CH493" i="5" s="1"/>
  <c r="CC486" i="5"/>
  <c r="AT118" i="5" l="1"/>
  <c r="CP493" i="5"/>
  <c r="CJ493" i="5"/>
  <c r="BW486" i="5"/>
  <c r="BV486" i="5" s="1"/>
  <c r="BX486" i="5" s="1"/>
  <c r="BC118" i="5" l="1"/>
  <c r="AU118" i="5"/>
  <c r="CI493" i="5"/>
  <c r="CK493" i="5" s="1"/>
  <c r="BT487" i="5"/>
  <c r="BU487" i="5" s="1"/>
  <c r="AW118" i="5" l="1"/>
  <c r="AV118" i="5" s="1"/>
  <c r="AT119" i="5" s="1"/>
  <c r="CG494" i="5"/>
  <c r="CH494" i="5" s="1"/>
  <c r="CC487" i="5"/>
  <c r="BC119" i="5" l="1"/>
  <c r="AX118" i="5"/>
  <c r="AU119" i="5" s="1"/>
  <c r="CP494" i="5"/>
  <c r="CJ494" i="5"/>
  <c r="CI494" i="5" s="1"/>
  <c r="CK494" i="5" s="1"/>
  <c r="BW487" i="5"/>
  <c r="BV487" i="5" s="1"/>
  <c r="BX487" i="5" s="1"/>
  <c r="AW119" i="5" l="1"/>
  <c r="AV119" i="5" s="1"/>
  <c r="AT120" i="5" s="1"/>
  <c r="CG495" i="5"/>
  <c r="CH495" i="5" s="1"/>
  <c r="BT488" i="5"/>
  <c r="BU488" i="5" s="1"/>
  <c r="BC120" i="5" l="1"/>
  <c r="AX119" i="5"/>
  <c r="AU120" i="5" s="1"/>
  <c r="AW120" i="5" s="1"/>
  <c r="AV120" i="5" s="1"/>
  <c r="CP495" i="5"/>
  <c r="CC488" i="5"/>
  <c r="AT121" i="5" l="1"/>
  <c r="AX120" i="5"/>
  <c r="CJ495" i="5"/>
  <c r="BW488" i="5"/>
  <c r="BV488" i="5" s="1"/>
  <c r="BX488" i="5" s="1"/>
  <c r="BC121" i="5" l="1"/>
  <c r="AU121" i="5"/>
  <c r="AW121" i="5" s="1"/>
  <c r="CI495" i="5"/>
  <c r="CK495" i="5" s="1"/>
  <c r="BT489" i="5"/>
  <c r="BU489" i="5" s="1"/>
  <c r="CG496" i="5" l="1"/>
  <c r="CH496" i="5" s="1"/>
  <c r="CC489" i="5"/>
  <c r="AV121" i="5"/>
  <c r="AX121" i="5" l="1"/>
  <c r="CP496" i="5"/>
  <c r="CJ496" i="5"/>
  <c r="CI496" i="5" s="1"/>
  <c r="CK496" i="5" s="1"/>
  <c r="BW489" i="5"/>
  <c r="BV489" i="5" s="1"/>
  <c r="BX489" i="5" s="1"/>
  <c r="AT122" i="5"/>
  <c r="BC122" i="5" l="1"/>
  <c r="CG497" i="5"/>
  <c r="CH497" i="5" s="1"/>
  <c r="BT490" i="5"/>
  <c r="BU490" i="5" s="1"/>
  <c r="AU122" i="5"/>
  <c r="AW122" i="5" l="1"/>
  <c r="AV122" i="5" s="1"/>
  <c r="CP497" i="5"/>
  <c r="CC490" i="5"/>
  <c r="AX122" i="5" l="1"/>
  <c r="CJ497" i="5"/>
  <c r="CI497" i="5" s="1"/>
  <c r="CK497" i="5" s="1"/>
  <c r="BW490" i="5"/>
  <c r="BV490" i="5" s="1"/>
  <c r="BX490" i="5" s="1"/>
  <c r="AT123" i="5"/>
  <c r="BC123" i="5" l="1"/>
  <c r="CG498" i="5"/>
  <c r="CH498" i="5" s="1"/>
  <c r="BT491" i="5"/>
  <c r="BU491" i="5" s="1"/>
  <c r="AU123" i="5"/>
  <c r="AW123" i="5" l="1"/>
  <c r="AV123" i="5" s="1"/>
  <c r="AT124" i="5" s="1"/>
  <c r="CP498" i="5"/>
  <c r="CC491" i="5"/>
  <c r="AX123" i="5" l="1"/>
  <c r="AU124" i="5" s="1"/>
  <c r="AW124" i="5" s="1"/>
  <c r="AV124" i="5" s="1"/>
  <c r="CJ498" i="5"/>
  <c r="BW491" i="5"/>
  <c r="BV491" i="5" s="1"/>
  <c r="BX491" i="5" s="1"/>
  <c r="BC124" i="5"/>
  <c r="CI498" i="5" l="1"/>
  <c r="CK498" i="5" s="1"/>
  <c r="BT492" i="5"/>
  <c r="BU492" i="5" s="1"/>
  <c r="AX124" i="5"/>
  <c r="AT125" i="5"/>
  <c r="BC125" i="5" l="1"/>
  <c r="CG499" i="5"/>
  <c r="CH499" i="5" s="1"/>
  <c r="CC492" i="5"/>
  <c r="AU125" i="5"/>
  <c r="CP499" i="5" l="1"/>
  <c r="AW125" i="5"/>
  <c r="AV125" i="5" s="1"/>
  <c r="AT126" i="5" s="1"/>
  <c r="CJ499" i="5"/>
  <c r="CI499" i="5" s="1"/>
  <c r="CK499" i="5" s="1"/>
  <c r="BW492" i="5"/>
  <c r="BV492" i="5" s="1"/>
  <c r="BX492" i="5" s="1"/>
  <c r="AX125" i="5" l="1"/>
  <c r="AU126" i="5" s="1"/>
  <c r="CG500" i="5"/>
  <c r="CH500" i="5" s="1"/>
  <c r="BT493" i="5"/>
  <c r="BU493" i="5" s="1"/>
  <c r="BC126" i="5"/>
  <c r="CP500" i="5" l="1"/>
  <c r="CC493" i="5"/>
  <c r="AW126" i="5"/>
  <c r="AV126" i="5" s="1"/>
  <c r="CJ500" i="5" l="1"/>
  <c r="CI500" i="5" s="1"/>
  <c r="CK500" i="5" s="1"/>
  <c r="BW493" i="5"/>
  <c r="BV493" i="5" s="1"/>
  <c r="BX493" i="5" s="1"/>
  <c r="AX126" i="5"/>
  <c r="AT127" i="5"/>
  <c r="CG501" i="5" l="1"/>
  <c r="CH501" i="5" s="1"/>
  <c r="BT494" i="5"/>
  <c r="BU494" i="5" s="1"/>
  <c r="BC127" i="5"/>
  <c r="AU127" i="5"/>
  <c r="CP501" i="5" l="1"/>
  <c r="CC494" i="5"/>
  <c r="AW127" i="5"/>
  <c r="AV127" i="5" s="1"/>
  <c r="AX127" i="5" l="1"/>
  <c r="CJ501" i="5"/>
  <c r="CI501" i="5" s="1"/>
  <c r="CK501" i="5" s="1"/>
  <c r="BW494" i="5"/>
  <c r="BV494" i="5" s="1"/>
  <c r="BX494" i="5" s="1"/>
  <c r="AT128" i="5"/>
  <c r="CG502" i="5" l="1"/>
  <c r="CH502" i="5" s="1"/>
  <c r="BT495" i="5"/>
  <c r="BU495" i="5" s="1"/>
  <c r="BC128" i="5"/>
  <c r="AU128" i="5"/>
  <c r="CP502" i="5" l="1"/>
  <c r="CC495" i="5"/>
  <c r="AW128" i="5"/>
  <c r="AV128" i="5" s="1"/>
  <c r="AT129" i="5" l="1"/>
  <c r="CJ502" i="5"/>
  <c r="CI502" i="5" s="1"/>
  <c r="CK502" i="5" s="1"/>
  <c r="BW495" i="5"/>
  <c r="BV495" i="5" s="1"/>
  <c r="BX495" i="5" s="1"/>
  <c r="AX128" i="5"/>
  <c r="AU129" i="5" l="1"/>
  <c r="AW129" i="5" s="1"/>
  <c r="AV129" i="5" s="1"/>
  <c r="BC129" i="5"/>
  <c r="CG503" i="5"/>
  <c r="CH503" i="5" s="1"/>
  <c r="BT496" i="5"/>
  <c r="BU496" i="5" s="1"/>
  <c r="AX129" i="5" l="1"/>
  <c r="CP503" i="5"/>
  <c r="CC496" i="5"/>
  <c r="AT130" i="5"/>
  <c r="CJ503" i="5" l="1"/>
  <c r="BW496" i="5"/>
  <c r="BV496" i="5" s="1"/>
  <c r="BC130" i="5"/>
  <c r="AU130" i="5"/>
  <c r="CI503" i="5" l="1"/>
  <c r="CK503" i="5" s="1"/>
  <c r="BX496" i="5"/>
  <c r="BT497" i="5"/>
  <c r="BU497" i="5" s="1"/>
  <c r="AW130" i="5"/>
  <c r="AV130" i="5" s="1"/>
  <c r="AX130" i="5" l="1"/>
  <c r="CG504" i="5"/>
  <c r="CH504" i="5" s="1"/>
  <c r="CC497" i="5"/>
  <c r="AT131" i="5"/>
  <c r="CP504" i="5" l="1"/>
  <c r="CJ504" i="5"/>
  <c r="CI504" i="5" s="1"/>
  <c r="BW497" i="5"/>
  <c r="BV497" i="5" s="1"/>
  <c r="BX497" i="5" s="1"/>
  <c r="BC131" i="5"/>
  <c r="AU131" i="5"/>
  <c r="CK504" i="5" l="1"/>
  <c r="CG505" i="5"/>
  <c r="CH505" i="5" s="1"/>
  <c r="BT498" i="5"/>
  <c r="BU498" i="5" s="1"/>
  <c r="AW131" i="5"/>
  <c r="AV131" i="5" s="1"/>
  <c r="AX131" i="5" l="1"/>
  <c r="CP505" i="5"/>
  <c r="CC498" i="5"/>
  <c r="AT132" i="5"/>
  <c r="CJ505" i="5" l="1"/>
  <c r="BW498" i="5"/>
  <c r="BV498" i="5" s="1"/>
  <c r="BX498" i="5" s="1"/>
  <c r="BC132" i="5"/>
  <c r="AU132" i="5"/>
  <c r="CI505" i="5" l="1"/>
  <c r="CK505" i="5" s="1"/>
  <c r="BT499" i="5"/>
  <c r="BU499" i="5" s="1"/>
  <c r="AW132" i="5"/>
  <c r="CG506" i="5" l="1"/>
  <c r="CH506" i="5" s="1"/>
  <c r="CC499" i="5"/>
  <c r="AV132" i="5"/>
  <c r="AX132" i="5" l="1"/>
  <c r="CP506" i="5"/>
  <c r="CJ506" i="5"/>
  <c r="CI506" i="5" s="1"/>
  <c r="CK506" i="5" s="1"/>
  <c r="BW499" i="5"/>
  <c r="BV499" i="5" s="1"/>
  <c r="BX499" i="5" s="1"/>
  <c r="AT133" i="5"/>
  <c r="CG507" i="5" l="1"/>
  <c r="CH507" i="5" s="1"/>
  <c r="BT500" i="5"/>
  <c r="BU500" i="5" s="1"/>
  <c r="BC133" i="5"/>
  <c r="AU133" i="5"/>
  <c r="CP507" i="5" l="1"/>
  <c r="CC500" i="5"/>
  <c r="AW133" i="5"/>
  <c r="AV133" i="5" s="1"/>
  <c r="AT134" i="5" l="1"/>
  <c r="CJ507" i="5"/>
  <c r="BW500" i="5"/>
  <c r="BV500" i="5" s="1"/>
  <c r="BX500" i="5" s="1"/>
  <c r="AX133" i="5"/>
  <c r="BC134" i="5" l="1"/>
  <c r="AU134" i="5"/>
  <c r="AW134" i="5" s="1"/>
  <c r="AV134" i="5" s="1"/>
  <c r="CI507" i="5"/>
  <c r="CK507" i="5" s="1"/>
  <c r="BT501" i="5"/>
  <c r="BU501" i="5" s="1"/>
  <c r="CG508" i="5" l="1"/>
  <c r="CH508" i="5" s="1"/>
  <c r="CC501" i="5"/>
  <c r="AX134" i="5"/>
  <c r="AT135" i="5"/>
  <c r="CP508" i="5" l="1"/>
  <c r="CJ508" i="5"/>
  <c r="CI508" i="5" s="1"/>
  <c r="BW501" i="5"/>
  <c r="BV501" i="5" s="1"/>
  <c r="BX501" i="5" s="1"/>
  <c r="AU135" i="5"/>
  <c r="BC135" i="5"/>
  <c r="CK508" i="5" l="1"/>
  <c r="CG509" i="5"/>
  <c r="CH509" i="5" s="1"/>
  <c r="BT502" i="5"/>
  <c r="BU502" i="5" s="1"/>
  <c r="AW135" i="5"/>
  <c r="CP509" i="5" l="1"/>
  <c r="CC502" i="5"/>
  <c r="AV135" i="5"/>
  <c r="AT136" i="5" l="1"/>
  <c r="CJ509" i="5"/>
  <c r="CI509" i="5" s="1"/>
  <c r="CK509" i="5" s="1"/>
  <c r="BW502" i="5"/>
  <c r="BV502" i="5" s="1"/>
  <c r="BX502" i="5" s="1"/>
  <c r="AX135" i="5"/>
  <c r="BC136" i="5" l="1"/>
  <c r="AU136" i="5"/>
  <c r="AW136" i="5" s="1"/>
  <c r="AV136" i="5" s="1"/>
  <c r="CG510" i="5"/>
  <c r="CH510" i="5" s="1"/>
  <c r="BT503" i="5"/>
  <c r="BU503" i="5" s="1"/>
  <c r="AT137" i="5" l="1"/>
  <c r="CP510" i="5"/>
  <c r="CC503" i="5"/>
  <c r="AX136" i="5"/>
  <c r="BC137" i="5" l="1"/>
  <c r="AU137" i="5"/>
  <c r="AW137" i="5" s="1"/>
  <c r="CJ510" i="5"/>
  <c r="BW503" i="5"/>
  <c r="BV503" i="5" s="1"/>
  <c r="BX503" i="5" s="1"/>
  <c r="CI510" i="5" l="1"/>
  <c r="CK510" i="5" s="1"/>
  <c r="BT504" i="5"/>
  <c r="BU504" i="5" s="1"/>
  <c r="AV137" i="5"/>
  <c r="AT138" i="5" l="1"/>
  <c r="CG511" i="5"/>
  <c r="CH511" i="5" s="1"/>
  <c r="CC504" i="5"/>
  <c r="AX137" i="5"/>
  <c r="AU138" i="5" l="1"/>
  <c r="AW138" i="5" s="1"/>
  <c r="BC138" i="5"/>
  <c r="CP511" i="5"/>
  <c r="CJ511" i="5"/>
  <c r="CI511" i="5" s="1"/>
  <c r="CK511" i="5" s="1"/>
  <c r="BW504" i="5"/>
  <c r="BV504" i="5" s="1"/>
  <c r="BX504" i="5" s="1"/>
  <c r="CG512" i="5" l="1"/>
  <c r="CH512" i="5" s="1"/>
  <c r="BT505" i="5"/>
  <c r="BU505" i="5" s="1"/>
  <c r="AV138" i="5"/>
  <c r="AT139" i="5" l="1"/>
  <c r="CP512" i="5"/>
  <c r="CC505" i="5"/>
  <c r="AX138" i="5"/>
  <c r="BC139" i="5" l="1"/>
  <c r="AU139" i="5"/>
  <c r="AW139" i="5" s="1"/>
  <c r="AV139" i="5" s="1"/>
  <c r="CJ512" i="5"/>
  <c r="BW505" i="5"/>
  <c r="BV505" i="5" s="1"/>
  <c r="BX505" i="5" s="1"/>
  <c r="AX139" i="5" l="1"/>
  <c r="CI512" i="5"/>
  <c r="CK512" i="5" s="1"/>
  <c r="BT506" i="5"/>
  <c r="BU506" i="5" s="1"/>
  <c r="AT140" i="5"/>
  <c r="CG513" i="5" l="1"/>
  <c r="CH513" i="5" s="1"/>
  <c r="CC506" i="5"/>
  <c r="BC140" i="5"/>
  <c r="AU140" i="5"/>
  <c r="CP513" i="5" l="1"/>
  <c r="CJ513" i="5"/>
  <c r="CI513" i="5" s="1"/>
  <c r="CK513" i="5" s="1"/>
  <c r="BW506" i="5"/>
  <c r="BV506" i="5" s="1"/>
  <c r="BX506" i="5" s="1"/>
  <c r="AW140" i="5"/>
  <c r="AV140" i="5" s="1"/>
  <c r="CG514" i="5" l="1"/>
  <c r="CH514" i="5" s="1"/>
  <c r="BT507" i="5"/>
  <c r="BU507" i="5" s="1"/>
  <c r="AX140" i="5"/>
  <c r="AT141" i="5"/>
  <c r="CP514" i="5" l="1"/>
  <c r="CC507" i="5"/>
  <c r="BC141" i="5"/>
  <c r="AU141" i="5"/>
  <c r="CJ514" i="5" l="1"/>
  <c r="BW507" i="5"/>
  <c r="BV507" i="5" s="1"/>
  <c r="BX507" i="5" s="1"/>
  <c r="AW141" i="5"/>
  <c r="AV141" i="5" s="1"/>
  <c r="CI514" i="5" l="1"/>
  <c r="CK514" i="5" s="1"/>
  <c r="BT508" i="5"/>
  <c r="BU508" i="5" s="1"/>
  <c r="AX141" i="5"/>
  <c r="AT142" i="5"/>
  <c r="CG515" i="5" l="1"/>
  <c r="CH515" i="5" s="1"/>
  <c r="CC508" i="5"/>
  <c r="BC142" i="5"/>
  <c r="AU142" i="5"/>
  <c r="CP515" i="5" l="1"/>
  <c r="CJ515" i="5"/>
  <c r="CI515" i="5" s="1"/>
  <c r="BW508" i="5"/>
  <c r="BV508" i="5" s="1"/>
  <c r="BX508" i="5" s="1"/>
  <c r="AW142" i="5"/>
  <c r="AV142" i="5" s="1"/>
  <c r="AX142" i="5" l="1"/>
  <c r="CK515" i="5"/>
  <c r="CG516" i="5"/>
  <c r="CH516" i="5" s="1"/>
  <c r="BT509" i="5"/>
  <c r="BU509" i="5" s="1"/>
  <c r="AT143" i="5"/>
  <c r="CP516" i="5" l="1"/>
  <c r="CC509" i="5"/>
  <c r="AU143" i="5"/>
  <c r="BC143" i="5"/>
  <c r="CJ516" i="5" l="1"/>
  <c r="CI516" i="5" s="1"/>
  <c r="CK516" i="5" s="1"/>
  <c r="BW509" i="5"/>
  <c r="BV509" i="5" s="1"/>
  <c r="BX509" i="5" s="1"/>
  <c r="AW143" i="5"/>
  <c r="AV143" i="5" s="1"/>
  <c r="CG517" i="5" l="1"/>
  <c r="CH517" i="5" s="1"/>
  <c r="BT510" i="5"/>
  <c r="BU510" i="5" s="1"/>
  <c r="AX143" i="5"/>
  <c r="AT144" i="5"/>
  <c r="CP517" i="5" l="1"/>
  <c r="CC510" i="5"/>
  <c r="BC144" i="5"/>
  <c r="AU144" i="5"/>
  <c r="CJ517" i="5" l="1"/>
  <c r="CI517" i="5" s="1"/>
  <c r="CK517" i="5" s="1"/>
  <c r="BW510" i="5"/>
  <c r="BV510" i="5" s="1"/>
  <c r="BX510" i="5" s="1"/>
  <c r="AW144" i="5"/>
  <c r="AV144" i="5" s="1"/>
  <c r="CG518" i="5" l="1"/>
  <c r="CH518" i="5" s="1"/>
  <c r="BT511" i="5"/>
  <c r="BU511" i="5" s="1"/>
  <c r="AX144" i="5"/>
  <c r="AT145" i="5"/>
  <c r="CP518" i="5" l="1"/>
  <c r="CC511" i="5"/>
  <c r="BC145" i="5"/>
  <c r="AU145" i="5"/>
  <c r="CJ518" i="5" l="1"/>
  <c r="BW511" i="5"/>
  <c r="BV511" i="5" s="1"/>
  <c r="BX511" i="5" s="1"/>
  <c r="AW145" i="5"/>
  <c r="AV145" i="5" s="1"/>
  <c r="AT146" i="5" l="1"/>
  <c r="BC146" i="5" s="1"/>
  <c r="CI518" i="5"/>
  <c r="CK518" i="5" s="1"/>
  <c r="BT512" i="5"/>
  <c r="BU512" i="5" s="1"/>
  <c r="AX145" i="5"/>
  <c r="AU146" i="5" l="1"/>
  <c r="AW146" i="5" s="1"/>
  <c r="CG519" i="5"/>
  <c r="CH519" i="5" s="1"/>
  <c r="CC512" i="5"/>
  <c r="CP519" i="5" l="1"/>
  <c r="CJ519" i="5"/>
  <c r="CI519" i="5" s="1"/>
  <c r="CK519" i="5" s="1"/>
  <c r="BW512" i="5"/>
  <c r="BV512" i="5" s="1"/>
  <c r="BX512" i="5" s="1"/>
  <c r="AV146" i="5"/>
  <c r="AT147" i="5" l="1"/>
  <c r="BC147" i="5" s="1"/>
  <c r="CG520" i="5"/>
  <c r="CH520" i="5" s="1"/>
  <c r="BT513" i="5"/>
  <c r="BU513" i="5" s="1"/>
  <c r="AX146" i="5"/>
  <c r="AU147" i="5" l="1"/>
  <c r="AW147" i="5" s="1"/>
  <c r="AV147" i="5" s="1"/>
  <c r="CP520" i="5"/>
  <c r="CC513" i="5"/>
  <c r="CJ520" i="5" l="1"/>
  <c r="CI520" i="5" s="1"/>
  <c r="BW513" i="5"/>
  <c r="BV513" i="5" s="1"/>
  <c r="BX513" i="5" s="1"/>
  <c r="AX147" i="5"/>
  <c r="AT148" i="5"/>
  <c r="CK520" i="5" l="1"/>
  <c r="CG521" i="5"/>
  <c r="CH521" i="5" s="1"/>
  <c r="BT514" i="5"/>
  <c r="BU514" i="5" s="1"/>
  <c r="AU148" i="5"/>
  <c r="BC148" i="5"/>
  <c r="CP521" i="5" l="1"/>
  <c r="CC514" i="5"/>
  <c r="AW148" i="5"/>
  <c r="AV148" i="5" s="1"/>
  <c r="CJ521" i="5" l="1"/>
  <c r="CI521" i="5" s="1"/>
  <c r="BW514" i="5"/>
  <c r="BV514" i="5" s="1"/>
  <c r="BX514" i="5" s="1"/>
  <c r="AX148" i="5"/>
  <c r="AT149" i="5"/>
  <c r="CK521" i="5" l="1"/>
  <c r="CG522" i="5"/>
  <c r="CH522" i="5" s="1"/>
  <c r="BT515" i="5"/>
  <c r="BU515" i="5" s="1"/>
  <c r="AU149" i="5"/>
  <c r="BC149" i="5"/>
  <c r="CP522" i="5" l="1"/>
  <c r="CC515" i="5"/>
  <c r="AW149" i="5"/>
  <c r="AV149" i="5" s="1"/>
  <c r="CJ522" i="5" l="1"/>
  <c r="BW515" i="5"/>
  <c r="BV515" i="5" s="1"/>
  <c r="BX515" i="5" s="1"/>
  <c r="AX149" i="5"/>
  <c r="AT150" i="5"/>
  <c r="CI522" i="5" l="1"/>
  <c r="CK522" i="5" s="1"/>
  <c r="BT516" i="5"/>
  <c r="BU516" i="5" s="1"/>
  <c r="AU150" i="5"/>
  <c r="BC150" i="5"/>
  <c r="CG523" i="5" l="1"/>
  <c r="CH523" i="5" s="1"/>
  <c r="CC516" i="5"/>
  <c r="AW150" i="5"/>
  <c r="AV150" i="5" s="1"/>
  <c r="AX150" i="5" l="1"/>
  <c r="CP523" i="5"/>
  <c r="CJ523" i="5"/>
  <c r="CI523" i="5" s="1"/>
  <c r="CK523" i="5" s="1"/>
  <c r="BW516" i="5"/>
  <c r="BV516" i="5" s="1"/>
  <c r="BX516" i="5" s="1"/>
  <c r="AT151" i="5"/>
  <c r="CG524" i="5" l="1"/>
  <c r="CH524" i="5" s="1"/>
  <c r="BT517" i="5"/>
  <c r="BU517" i="5" s="1"/>
  <c r="BC151" i="5"/>
  <c r="AU151" i="5"/>
  <c r="CP524" i="5" l="1"/>
  <c r="CC517" i="5"/>
  <c r="AW151" i="5"/>
  <c r="AV151" i="5" s="1"/>
  <c r="CJ524" i="5" l="1"/>
  <c r="CI524" i="5" s="1"/>
  <c r="CK524" i="5" s="1"/>
  <c r="BW517" i="5"/>
  <c r="BV517" i="5" s="1"/>
  <c r="BX517" i="5" s="1"/>
  <c r="AX151" i="5"/>
  <c r="AT152" i="5"/>
  <c r="CG525" i="5" l="1"/>
  <c r="CH525" i="5" s="1"/>
  <c r="BT518" i="5"/>
  <c r="BU518" i="5" s="1"/>
  <c r="AU152" i="5"/>
  <c r="BC152" i="5"/>
  <c r="CP525" i="5" l="1"/>
  <c r="CC518" i="5"/>
  <c r="AW152" i="5"/>
  <c r="AV152" i="5" s="1"/>
  <c r="AX152" i="5" l="1"/>
  <c r="CJ525" i="5"/>
  <c r="BW518" i="5"/>
  <c r="BV518" i="5" s="1"/>
  <c r="BX518" i="5" s="1"/>
  <c r="AT153" i="5"/>
  <c r="CI525" i="5" l="1"/>
  <c r="CK525" i="5" s="1"/>
  <c r="BT519" i="5"/>
  <c r="BU519" i="5" s="1"/>
  <c r="BC153" i="5"/>
  <c r="AU153" i="5"/>
  <c r="CG526" i="5" l="1"/>
  <c r="CH526" i="5" s="1"/>
  <c r="CC519" i="5"/>
  <c r="AW153" i="5"/>
  <c r="AV153" i="5" s="1"/>
  <c r="CP526" i="5" l="1"/>
  <c r="CJ526" i="5"/>
  <c r="CI526" i="5" s="1"/>
  <c r="CK526" i="5" s="1"/>
  <c r="BW519" i="5"/>
  <c r="BV519" i="5" s="1"/>
  <c r="BX519" i="5" s="1"/>
  <c r="AX153" i="5"/>
  <c r="AT154" i="5"/>
  <c r="CG527" i="5" l="1"/>
  <c r="CH527" i="5" s="1"/>
  <c r="BT520" i="5"/>
  <c r="BU520" i="5" s="1"/>
  <c r="BC154" i="5"/>
  <c r="AU154" i="5"/>
  <c r="CP527" i="5" l="1"/>
  <c r="CC520" i="5"/>
  <c r="AW154" i="5"/>
  <c r="AV154" i="5" s="1"/>
  <c r="AX154" i="5" l="1"/>
  <c r="CJ527" i="5"/>
  <c r="CI527" i="5" s="1"/>
  <c r="CK527" i="5" s="1"/>
  <c r="BW520" i="5"/>
  <c r="BV520" i="5" s="1"/>
  <c r="BX520" i="5" s="1"/>
  <c r="AT155" i="5"/>
  <c r="CG528" i="5" l="1"/>
  <c r="CH528" i="5" s="1"/>
  <c r="BT521" i="5"/>
  <c r="BU521" i="5" s="1"/>
  <c r="BC155" i="5"/>
  <c r="AU155" i="5"/>
  <c r="CP528" i="5" l="1"/>
  <c r="CC521" i="5"/>
  <c r="AW155" i="5"/>
  <c r="AV155" i="5" s="1"/>
  <c r="AX155" i="5" l="1"/>
  <c r="CJ528" i="5"/>
  <c r="CI528" i="5" s="1"/>
  <c r="CK528" i="5" s="1"/>
  <c r="BW521" i="5"/>
  <c r="BV521" i="5" s="1"/>
  <c r="BX521" i="5" s="1"/>
  <c r="AT156" i="5"/>
  <c r="CG529" i="5" l="1"/>
  <c r="CH529" i="5" s="1"/>
  <c r="BT522" i="5"/>
  <c r="BU522" i="5" s="1"/>
  <c r="BC156" i="5"/>
  <c r="AU156" i="5"/>
  <c r="CP529" i="5" l="1"/>
  <c r="CC522" i="5"/>
  <c r="AW156" i="5"/>
  <c r="AV156" i="5" s="1"/>
  <c r="CJ529" i="5" l="1"/>
  <c r="BW522" i="5"/>
  <c r="BV522" i="5" s="1"/>
  <c r="BX522" i="5" s="1"/>
  <c r="AX156" i="5"/>
  <c r="AT157" i="5"/>
  <c r="CI529" i="5" l="1"/>
  <c r="CK529" i="5" s="1"/>
  <c r="BT523" i="5"/>
  <c r="BU523" i="5" s="1"/>
  <c r="BC157" i="5"/>
  <c r="AU157" i="5"/>
  <c r="CG530" i="5" l="1"/>
  <c r="CH530" i="5" s="1"/>
  <c r="CC523" i="5"/>
  <c r="AW157" i="5"/>
  <c r="AV157" i="5" s="1"/>
  <c r="AT158" i="5" l="1"/>
  <c r="CP530" i="5"/>
  <c r="CJ530" i="5"/>
  <c r="CI530" i="5" s="1"/>
  <c r="BW523" i="5"/>
  <c r="BV523" i="5" s="1"/>
  <c r="BX523" i="5" s="1"/>
  <c r="AX157" i="5"/>
  <c r="AU158" i="5" l="1"/>
  <c r="AW158" i="5" s="1"/>
  <c r="BC158" i="5"/>
  <c r="CK530" i="5"/>
  <c r="CG531" i="5"/>
  <c r="CH531" i="5" s="1"/>
  <c r="BT524" i="5"/>
  <c r="BU524" i="5" s="1"/>
  <c r="AV158" i="5" l="1"/>
  <c r="AX158" i="5" s="1"/>
  <c r="CP531" i="5"/>
  <c r="CC524" i="5"/>
  <c r="AT159" i="5" l="1"/>
  <c r="BC159" i="5" s="1"/>
  <c r="CJ531" i="5"/>
  <c r="CI531" i="5" s="1"/>
  <c r="BW524" i="5"/>
  <c r="BV524" i="5" s="1"/>
  <c r="BX524" i="5" s="1"/>
  <c r="AU159" i="5" l="1"/>
  <c r="AW159" i="5" s="1"/>
  <c r="CK531" i="5"/>
  <c r="CG532" i="5"/>
  <c r="CH532" i="5" s="1"/>
  <c r="BT525" i="5"/>
  <c r="BU525" i="5" s="1"/>
  <c r="AV159" i="5" l="1"/>
  <c r="AX159" i="5" s="1"/>
  <c r="CP532" i="5"/>
  <c r="CC525" i="5"/>
  <c r="AT160" i="5" l="1"/>
  <c r="BC160" i="5" s="1"/>
  <c r="CJ532" i="5"/>
  <c r="CI532" i="5" s="1"/>
  <c r="CK532" i="5" s="1"/>
  <c r="BW525" i="5"/>
  <c r="BV525" i="5" s="1"/>
  <c r="AU160" i="5" l="1"/>
  <c r="AW160" i="5" s="1"/>
  <c r="AV160" i="5" s="1"/>
  <c r="CG533" i="5"/>
  <c r="CH533" i="5" s="1"/>
  <c r="BX525" i="5"/>
  <c r="BT526" i="5"/>
  <c r="BU526" i="5" s="1"/>
  <c r="AT161" i="5" l="1"/>
  <c r="BC161" i="5" s="1"/>
  <c r="CP533" i="5"/>
  <c r="CC526" i="5"/>
  <c r="AX160" i="5"/>
  <c r="AU161" i="5" l="1"/>
  <c r="AW161" i="5" s="1"/>
  <c r="AV161" i="5" s="1"/>
  <c r="CJ533" i="5"/>
  <c r="BW526" i="5"/>
  <c r="BV526" i="5" s="1"/>
  <c r="BX526" i="5" s="1"/>
  <c r="CI533" i="5" l="1"/>
  <c r="CK533" i="5" s="1"/>
  <c r="BT527" i="5"/>
  <c r="BU527" i="5" s="1"/>
  <c r="AX161" i="5"/>
  <c r="AT162" i="5"/>
  <c r="BC162" i="5" l="1"/>
  <c r="CG534" i="5"/>
  <c r="CH534" i="5" s="1"/>
  <c r="CC527" i="5"/>
  <c r="AU162" i="5"/>
  <c r="AW162" i="5" l="1"/>
  <c r="AV162" i="5" s="1"/>
  <c r="CP534" i="5"/>
  <c r="CJ534" i="5"/>
  <c r="CI534" i="5" s="1"/>
  <c r="BW527" i="5"/>
  <c r="BV527" i="5" s="1"/>
  <c r="BX527" i="5" s="1"/>
  <c r="AX162" i="5" l="1"/>
  <c r="CK534" i="5"/>
  <c r="CG535" i="5"/>
  <c r="CH535" i="5" s="1"/>
  <c r="BT528" i="5"/>
  <c r="BU528" i="5" s="1"/>
  <c r="AT163" i="5"/>
  <c r="BC163" i="5" l="1"/>
  <c r="CP535" i="5"/>
  <c r="CC528" i="5"/>
  <c r="AU163" i="5"/>
  <c r="AW163" i="5" l="1"/>
  <c r="AV163" i="5" s="1"/>
  <c r="CJ535" i="5"/>
  <c r="BW528" i="5"/>
  <c r="BV528" i="5" s="1"/>
  <c r="BX528" i="5" s="1"/>
  <c r="AT164" i="5" l="1"/>
  <c r="BC164" i="5" s="1"/>
  <c r="CI535" i="5"/>
  <c r="CK535" i="5" s="1"/>
  <c r="BT529" i="5"/>
  <c r="BU529" i="5" s="1"/>
  <c r="AX163" i="5"/>
  <c r="AU164" i="5" l="1"/>
  <c r="AW164" i="5" s="1"/>
  <c r="AV164" i="5" s="1"/>
  <c r="CG536" i="5"/>
  <c r="CH536" i="5" s="1"/>
  <c r="CC529" i="5"/>
  <c r="AX164" i="5" l="1"/>
  <c r="CP536" i="5"/>
  <c r="CJ536" i="5"/>
  <c r="CI536" i="5" s="1"/>
  <c r="CK536" i="5" s="1"/>
  <c r="BW529" i="5"/>
  <c r="BV529" i="5" s="1"/>
  <c r="BX529" i="5" s="1"/>
  <c r="AT165" i="5"/>
  <c r="BC165" i="5" l="1"/>
  <c r="CG537" i="5"/>
  <c r="CH537" i="5" s="1"/>
  <c r="BT530" i="5"/>
  <c r="BU530" i="5" s="1"/>
  <c r="AU165" i="5"/>
  <c r="AW165" i="5" l="1"/>
  <c r="AV165" i="5" s="1"/>
  <c r="AT166" i="5" s="1"/>
  <c r="CP537" i="5"/>
  <c r="CC530" i="5"/>
  <c r="AX165" i="5" l="1"/>
  <c r="CJ537" i="5"/>
  <c r="BW530" i="5"/>
  <c r="BV530" i="5" s="1"/>
  <c r="BX530" i="5" s="1"/>
  <c r="BC166" i="5"/>
  <c r="AU166" i="5"/>
  <c r="CI537" i="5" l="1"/>
  <c r="CK537" i="5" s="1"/>
  <c r="BT531" i="5"/>
  <c r="AW166" i="5"/>
  <c r="AV166" i="5" s="1"/>
  <c r="AX166" i="5" l="1"/>
  <c r="CG538" i="5"/>
  <c r="CH538" i="5" s="1"/>
  <c r="CC531" i="5"/>
  <c r="BU531" i="5"/>
  <c r="BW531" i="5" s="1"/>
  <c r="AT167" i="5"/>
  <c r="CP538" i="5" l="1"/>
  <c r="CJ538" i="5"/>
  <c r="CI538" i="5" s="1"/>
  <c r="CK538" i="5" s="1"/>
  <c r="BV531" i="5"/>
  <c r="BX531" i="5" s="1"/>
  <c r="BC167" i="5"/>
  <c r="AU167" i="5"/>
  <c r="CG539" i="5" l="1"/>
  <c r="CH539" i="5" s="1"/>
  <c r="BT532" i="5"/>
  <c r="BU532" i="5" s="1"/>
  <c r="AW167" i="5"/>
  <c r="AV167" i="5" s="1"/>
  <c r="AX167" i="5" l="1"/>
  <c r="CP539" i="5"/>
  <c r="CC532" i="5"/>
  <c r="BW532" i="5"/>
  <c r="BV532" i="5" s="1"/>
  <c r="BX532" i="5" s="1"/>
  <c r="AT168" i="5"/>
  <c r="CJ539" i="5" l="1"/>
  <c r="CI539" i="5" s="1"/>
  <c r="CK539" i="5" s="1"/>
  <c r="BT533" i="5"/>
  <c r="BU533" i="5" s="1"/>
  <c r="BC168" i="5"/>
  <c r="AU168" i="5"/>
  <c r="CG540" i="5" l="1"/>
  <c r="CH540" i="5" s="1"/>
  <c r="CC533" i="5"/>
  <c r="AW168" i="5"/>
  <c r="AV168" i="5" s="1"/>
  <c r="AX168" i="5" l="1"/>
  <c r="CP540" i="5"/>
  <c r="BW533" i="5"/>
  <c r="BV533" i="5" s="1"/>
  <c r="BX533" i="5" s="1"/>
  <c r="AT169" i="5"/>
  <c r="CJ540" i="5" l="1"/>
  <c r="CI540" i="5" s="1"/>
  <c r="CK540" i="5" s="1"/>
  <c r="BT534" i="5"/>
  <c r="BU534" i="5" s="1"/>
  <c r="BC169" i="5"/>
  <c r="AU169" i="5"/>
  <c r="CG541" i="5" l="1"/>
  <c r="CH541" i="5" s="1"/>
  <c r="CC534" i="5"/>
  <c r="AW169" i="5"/>
  <c r="CP541" i="5" l="1"/>
  <c r="BW534" i="5"/>
  <c r="BV534" i="5" s="1"/>
  <c r="BX534" i="5" s="1"/>
  <c r="AV169" i="5"/>
  <c r="AT170" i="5" l="1"/>
  <c r="CJ541" i="5"/>
  <c r="BT535" i="5"/>
  <c r="BU535" i="5" s="1"/>
  <c r="AX169" i="5"/>
  <c r="BC170" i="5" l="1"/>
  <c r="AU170" i="5"/>
  <c r="AW170" i="5" s="1"/>
  <c r="AV170" i="5" s="1"/>
  <c r="CI541" i="5"/>
  <c r="CK541" i="5" s="1"/>
  <c r="CC535" i="5"/>
  <c r="AX170" i="5" l="1"/>
  <c r="CG542" i="5"/>
  <c r="CH542" i="5" s="1"/>
  <c r="BW535" i="5"/>
  <c r="BV535" i="5" s="1"/>
  <c r="BX535" i="5" s="1"/>
  <c r="AT171" i="5"/>
  <c r="BC171" i="5" l="1"/>
  <c r="CP542" i="5"/>
  <c r="CJ542" i="5"/>
  <c r="CI542" i="5" s="1"/>
  <c r="BT536" i="5"/>
  <c r="BU536" i="5" s="1"/>
  <c r="AU171" i="5"/>
  <c r="AW171" i="5" l="1"/>
  <c r="AV171" i="5" s="1"/>
  <c r="AT172" i="5" s="1"/>
  <c r="CK542" i="5"/>
  <c r="CG543" i="5"/>
  <c r="CH543" i="5" s="1"/>
  <c r="CC536" i="5"/>
  <c r="AX171" i="5" l="1"/>
  <c r="CP543" i="5"/>
  <c r="BW536" i="5"/>
  <c r="BV536" i="5" s="1"/>
  <c r="BX536" i="5" s="1"/>
  <c r="BC172" i="5"/>
  <c r="AU172" i="5"/>
  <c r="CJ543" i="5" l="1"/>
  <c r="CI543" i="5" s="1"/>
  <c r="CK543" i="5" s="1"/>
  <c r="BT537" i="5"/>
  <c r="BU537" i="5" s="1"/>
  <c r="AW172" i="5"/>
  <c r="AV172" i="5" s="1"/>
  <c r="AX172" i="5" l="1"/>
  <c r="CG544" i="5"/>
  <c r="CH544" i="5" s="1"/>
  <c r="CC537" i="5"/>
  <c r="AT173" i="5"/>
  <c r="CP544" i="5" l="1"/>
  <c r="BW537" i="5"/>
  <c r="BV537" i="5" s="1"/>
  <c r="BX537" i="5" s="1"/>
  <c r="BC173" i="5"/>
  <c r="AU173" i="5"/>
  <c r="CJ544" i="5" l="1"/>
  <c r="CI544" i="5" s="1"/>
  <c r="CK544" i="5" s="1"/>
  <c r="BT538" i="5"/>
  <c r="BU538" i="5" s="1"/>
  <c r="AW173" i="5"/>
  <c r="AV173" i="5" s="1"/>
  <c r="AX173" i="5" l="1"/>
  <c r="CG545" i="5"/>
  <c r="CH545" i="5" s="1"/>
  <c r="CC538" i="5"/>
  <c r="AT174" i="5"/>
  <c r="CP545" i="5" l="1"/>
  <c r="BW538" i="5"/>
  <c r="BV538" i="5" s="1"/>
  <c r="BX538" i="5" s="1"/>
  <c r="BC174" i="5"/>
  <c r="AU174" i="5"/>
  <c r="CJ545" i="5" l="1"/>
  <c r="CI545" i="5" s="1"/>
  <c r="CK545" i="5" s="1"/>
  <c r="BT539" i="5"/>
  <c r="BU539" i="5" s="1"/>
  <c r="AW174" i="5"/>
  <c r="CG546" i="5" l="1"/>
  <c r="CH546" i="5" s="1"/>
  <c r="CC539" i="5"/>
  <c r="AV174" i="5"/>
  <c r="AX174" i="5" l="1"/>
  <c r="CP546" i="5"/>
  <c r="BW539" i="5"/>
  <c r="BV539" i="5" s="1"/>
  <c r="BX539" i="5" s="1"/>
  <c r="AT175" i="5"/>
  <c r="BC175" i="5" l="1"/>
  <c r="CJ546" i="5"/>
  <c r="BT540" i="5"/>
  <c r="BU540" i="5" s="1"/>
  <c r="AU175" i="5"/>
  <c r="AW175" i="5" l="1"/>
  <c r="AV175" i="5" s="1"/>
  <c r="AX175" i="5" s="1"/>
  <c r="CI546" i="5"/>
  <c r="CK546" i="5" s="1"/>
  <c r="CC540" i="5"/>
  <c r="AT176" i="5" l="1"/>
  <c r="AU176" i="5" s="1"/>
  <c r="CG547" i="5"/>
  <c r="CH547" i="5" s="1"/>
  <c r="BW540" i="5"/>
  <c r="BV540" i="5" s="1"/>
  <c r="BX540" i="5" s="1"/>
  <c r="BC176" i="5" l="1"/>
  <c r="CP547" i="5"/>
  <c r="CJ547" i="5"/>
  <c r="CI547" i="5" s="1"/>
  <c r="CK547" i="5" s="1"/>
  <c r="BT541" i="5"/>
  <c r="BU541" i="5" s="1"/>
  <c r="AW176" i="5"/>
  <c r="AV176" i="5" s="1"/>
  <c r="CG548" i="5" l="1"/>
  <c r="CH548" i="5" s="1"/>
  <c r="CC541" i="5"/>
  <c r="AX176" i="5"/>
  <c r="AT177" i="5"/>
  <c r="CP548" i="5" l="1"/>
  <c r="BW541" i="5"/>
  <c r="BV541" i="5" s="1"/>
  <c r="BX541" i="5" s="1"/>
  <c r="BC177" i="5"/>
  <c r="AU177" i="5"/>
  <c r="CJ548" i="5" l="1"/>
  <c r="BT542" i="5"/>
  <c r="BU542" i="5" s="1"/>
  <c r="AW177" i="5"/>
  <c r="AV177" i="5" s="1"/>
  <c r="CI548" i="5" l="1"/>
  <c r="CK548" i="5" s="1"/>
  <c r="CC542" i="5"/>
  <c r="AX177" i="5"/>
  <c r="AT178" i="5"/>
  <c r="CG549" i="5" l="1"/>
  <c r="CH549" i="5" s="1"/>
  <c r="BW542" i="5"/>
  <c r="BV542" i="5" s="1"/>
  <c r="BX542" i="5" s="1"/>
  <c r="BC178" i="5"/>
  <c r="AU178" i="5"/>
  <c r="CP549" i="5" l="1"/>
  <c r="CJ549" i="5"/>
  <c r="CI549" i="5" s="1"/>
  <c r="CK549" i="5" s="1"/>
  <c r="BT543" i="5"/>
  <c r="BU543" i="5" s="1"/>
  <c r="AW178" i="5"/>
  <c r="AV178" i="5" s="1"/>
  <c r="CG550" i="5" l="1"/>
  <c r="CH550" i="5" s="1"/>
  <c r="CC543" i="5"/>
  <c r="AX178" i="5"/>
  <c r="AT179" i="5"/>
  <c r="BC179" i="5" l="1"/>
  <c r="CP550" i="5"/>
  <c r="BW543" i="5"/>
  <c r="BV543" i="5" s="1"/>
  <c r="BX543" i="5" s="1"/>
  <c r="AU179" i="5"/>
  <c r="AW179" i="5" l="1"/>
  <c r="AV179" i="5" s="1"/>
  <c r="CJ550" i="5"/>
  <c r="CI550" i="5" s="1"/>
  <c r="CK550" i="5" s="1"/>
  <c r="BT544" i="5"/>
  <c r="BU544" i="5" s="1"/>
  <c r="AX179" i="5" l="1"/>
  <c r="CG551" i="5"/>
  <c r="CH551" i="5" s="1"/>
  <c r="CC544" i="5"/>
  <c r="AT180" i="5"/>
  <c r="BC180" i="5" l="1"/>
  <c r="CP551" i="5"/>
  <c r="BW544" i="5"/>
  <c r="BV544" i="5" s="1"/>
  <c r="BX544" i="5" s="1"/>
  <c r="AU180" i="5"/>
  <c r="AW180" i="5" l="1"/>
  <c r="AV180" i="5" s="1"/>
  <c r="CJ551" i="5"/>
  <c r="BT545" i="5"/>
  <c r="BU545" i="5" s="1"/>
  <c r="AX180" i="5" l="1"/>
  <c r="CI551" i="5"/>
  <c r="CK551" i="5" s="1"/>
  <c r="CC545" i="5"/>
  <c r="AT181" i="5"/>
  <c r="BC181" i="5" l="1"/>
  <c r="CG552" i="5"/>
  <c r="CH552" i="5" s="1"/>
  <c r="BW545" i="5"/>
  <c r="BV545" i="5" s="1"/>
  <c r="BX545" i="5" s="1"/>
  <c r="AU181" i="5"/>
  <c r="AW181" i="5" l="1"/>
  <c r="AV181" i="5" s="1"/>
  <c r="CP552" i="5"/>
  <c r="CJ552" i="5"/>
  <c r="CI552" i="5" s="1"/>
  <c r="CK552" i="5" s="1"/>
  <c r="BT546" i="5"/>
  <c r="BU546" i="5" s="1"/>
  <c r="AX181" i="5" l="1"/>
  <c r="CG553" i="5"/>
  <c r="CH553" i="5" s="1"/>
  <c r="CC546" i="5"/>
  <c r="AT182" i="5"/>
  <c r="BC182" i="5" l="1"/>
  <c r="CP553" i="5"/>
  <c r="BW546" i="5"/>
  <c r="BV546" i="5" s="1"/>
  <c r="BX546" i="5" s="1"/>
  <c r="AU182" i="5"/>
  <c r="AW182" i="5" l="1"/>
  <c r="AV182" i="5" s="1"/>
  <c r="CJ553" i="5"/>
  <c r="CI553" i="5" s="1"/>
  <c r="CK553" i="5" s="1"/>
  <c r="BT547" i="5"/>
  <c r="BU547" i="5" s="1"/>
  <c r="AT183" i="5" l="1"/>
  <c r="CG554" i="5"/>
  <c r="CH554" i="5" s="1"/>
  <c r="CC547" i="5"/>
  <c r="AX182" i="5"/>
  <c r="BC183" i="5" l="1"/>
  <c r="AU183" i="5"/>
  <c r="AW183" i="5" s="1"/>
  <c r="AV183" i="5" s="1"/>
  <c r="CP554" i="5"/>
  <c r="BW547" i="5"/>
  <c r="BV547" i="5" s="1"/>
  <c r="BX547" i="5" s="1"/>
  <c r="CJ554" i="5" l="1"/>
  <c r="BT548" i="5"/>
  <c r="BU548" i="5" s="1"/>
  <c r="AX183" i="5"/>
  <c r="AT184" i="5"/>
  <c r="CI554" i="5" l="1"/>
  <c r="CK554" i="5" s="1"/>
  <c r="CC548" i="5"/>
  <c r="BC184" i="5"/>
  <c r="AU184" i="5"/>
  <c r="CG555" i="5" l="1"/>
  <c r="CH555" i="5" s="1"/>
  <c r="BW548" i="5"/>
  <c r="BV548" i="5" s="1"/>
  <c r="BX548" i="5" s="1"/>
  <c r="AW184" i="5"/>
  <c r="AV184" i="5" s="1"/>
  <c r="AX184" i="5" l="1"/>
  <c r="CP555" i="5"/>
  <c r="CJ555" i="5"/>
  <c r="CI555" i="5" s="1"/>
  <c r="CK555" i="5" s="1"/>
  <c r="BT549" i="5"/>
  <c r="BU549" i="5" s="1"/>
  <c r="AT185" i="5"/>
  <c r="CG556" i="5" l="1"/>
  <c r="CH556" i="5" s="1"/>
  <c r="CC549" i="5"/>
  <c r="BC185" i="5"/>
  <c r="AU185" i="5"/>
  <c r="CP556" i="5" l="1"/>
  <c r="BW549" i="5"/>
  <c r="BV549" i="5" s="1"/>
  <c r="BX549" i="5" s="1"/>
  <c r="AW185" i="5"/>
  <c r="AV185" i="5" s="1"/>
  <c r="CJ556" i="5" l="1"/>
  <c r="CI556" i="5" s="1"/>
  <c r="BT550" i="5"/>
  <c r="BU550" i="5" s="1"/>
  <c r="AX185" i="5"/>
  <c r="AT186" i="5"/>
  <c r="CK556" i="5" l="1"/>
  <c r="CG557" i="5"/>
  <c r="CC550" i="5"/>
  <c r="BC186" i="5"/>
  <c r="AU186" i="5"/>
  <c r="CP557" i="5" l="1"/>
  <c r="CH557" i="5"/>
  <c r="BW550" i="5"/>
  <c r="BV550" i="5" s="1"/>
  <c r="BX550" i="5" s="1"/>
  <c r="AW186" i="5"/>
  <c r="AV186" i="5" s="1"/>
  <c r="AX186" i="5" l="1"/>
  <c r="CJ557" i="5"/>
  <c r="CI557" i="5" s="1"/>
  <c r="CK557" i="5" s="1"/>
  <c r="BT551" i="5"/>
  <c r="BU551" i="5" s="1"/>
  <c r="AT187" i="5"/>
  <c r="CG558" i="5" l="1"/>
  <c r="CH558" i="5" s="1"/>
  <c r="CC551" i="5"/>
  <c r="BC187" i="5"/>
  <c r="AU187" i="5"/>
  <c r="CP558" i="5" l="1"/>
  <c r="CJ558" i="5"/>
  <c r="CI558" i="5" s="1"/>
  <c r="CK558" i="5" s="1"/>
  <c r="BW551" i="5"/>
  <c r="BV551" i="5" s="1"/>
  <c r="BX551" i="5" s="1"/>
  <c r="AW187" i="5"/>
  <c r="AV187" i="5" s="1"/>
  <c r="AX187" i="5" l="1"/>
  <c r="CG559" i="5"/>
  <c r="CH559" i="5" s="1"/>
  <c r="BT552" i="5"/>
  <c r="BU552" i="5" s="1"/>
  <c r="AT188" i="5"/>
  <c r="CP559" i="5" l="1"/>
  <c r="CC552" i="5"/>
  <c r="BC188" i="5"/>
  <c r="AU188" i="5"/>
  <c r="CJ559" i="5" l="1"/>
  <c r="BW552" i="5"/>
  <c r="BV552" i="5" s="1"/>
  <c r="BX552" i="5" s="1"/>
  <c r="AW188" i="5"/>
  <c r="AV188" i="5" s="1"/>
  <c r="CI559" i="5" l="1"/>
  <c r="CK559" i="5" s="1"/>
  <c r="BT553" i="5"/>
  <c r="BU553" i="5" s="1"/>
  <c r="AT189" i="5"/>
  <c r="AX188" i="5"/>
  <c r="CG560" i="5" l="1"/>
  <c r="CH560" i="5" s="1"/>
  <c r="CC553" i="5"/>
  <c r="BC189" i="5"/>
  <c r="AU189" i="5"/>
  <c r="CP560" i="5" l="1"/>
  <c r="CJ560" i="5"/>
  <c r="CI560" i="5" s="1"/>
  <c r="CK560" i="5" s="1"/>
  <c r="BW553" i="5"/>
  <c r="BV553" i="5" s="1"/>
  <c r="BX553" i="5" s="1"/>
  <c r="AW189" i="5"/>
  <c r="AV189" i="5" s="1"/>
  <c r="AX189" i="5" l="1"/>
  <c r="CG561" i="5"/>
  <c r="CH561" i="5" s="1"/>
  <c r="BT554" i="5"/>
  <c r="BU554" i="5" s="1"/>
  <c r="AT190" i="5"/>
  <c r="CP561" i="5" l="1"/>
  <c r="CC554" i="5"/>
  <c r="BC190" i="5"/>
  <c r="AU190" i="5"/>
  <c r="CJ561" i="5" l="1"/>
  <c r="CI561" i="5" s="1"/>
  <c r="CK561" i="5" s="1"/>
  <c r="BW554" i="5"/>
  <c r="BV554" i="5" s="1"/>
  <c r="BX554" i="5" s="1"/>
  <c r="AW190" i="5"/>
  <c r="AV190" i="5" s="1"/>
  <c r="AX190" i="5" l="1"/>
  <c r="CG562" i="5"/>
  <c r="CH562" i="5" s="1"/>
  <c r="BT555" i="5"/>
  <c r="BU555" i="5" s="1"/>
  <c r="AT191" i="5"/>
  <c r="CP562" i="5" l="1"/>
  <c r="CC555" i="5"/>
  <c r="BC191" i="5"/>
  <c r="AU191" i="5"/>
  <c r="CJ562" i="5" l="1"/>
  <c r="BW555" i="5"/>
  <c r="BV555" i="5" s="1"/>
  <c r="BX555" i="5" s="1"/>
  <c r="AW191" i="5"/>
  <c r="AV191" i="5" s="1"/>
  <c r="CI562" i="5" l="1"/>
  <c r="CK562" i="5" s="1"/>
  <c r="BT556" i="5"/>
  <c r="BU556" i="5" s="1"/>
  <c r="AX191" i="5"/>
  <c r="AT192" i="5"/>
  <c r="CG563" i="5" l="1"/>
  <c r="CH563" i="5" s="1"/>
  <c r="CC556" i="5"/>
  <c r="BC192" i="5"/>
  <c r="AU192" i="5"/>
  <c r="CP563" i="5" l="1"/>
  <c r="CJ563" i="5"/>
  <c r="BW556" i="5"/>
  <c r="BV556" i="5" s="1"/>
  <c r="BX556" i="5" s="1"/>
  <c r="AW192" i="5"/>
  <c r="AV192" i="5" s="1"/>
  <c r="AX192" i="5" l="1"/>
  <c r="CI563" i="5"/>
  <c r="CK563" i="5" s="1"/>
  <c r="BT557" i="5"/>
  <c r="BU557" i="5" s="1"/>
  <c r="AT193" i="5"/>
  <c r="BC193" i="5" l="1"/>
  <c r="CG564" i="5"/>
  <c r="CH564" i="5" s="1"/>
  <c r="CC557" i="5"/>
  <c r="AU193" i="5"/>
  <c r="AW193" i="5" l="1"/>
  <c r="AV193" i="5" s="1"/>
  <c r="CP564" i="5"/>
  <c r="CJ564" i="5"/>
  <c r="BW557" i="5"/>
  <c r="BV557" i="5" s="1"/>
  <c r="BX557" i="5" s="1"/>
  <c r="AX193" i="5" l="1"/>
  <c r="CI564" i="5"/>
  <c r="CK564" i="5" s="1"/>
  <c r="BT558" i="5"/>
  <c r="BU558" i="5" s="1"/>
  <c r="AT194" i="5"/>
  <c r="CG565" i="5" l="1"/>
  <c r="CH565" i="5" s="1"/>
  <c r="CC558" i="5"/>
  <c r="BC194" i="5"/>
  <c r="AU194" i="5"/>
  <c r="CP565" i="5" l="1"/>
  <c r="CJ565" i="5"/>
  <c r="BW558" i="5"/>
  <c r="BV558" i="5" s="1"/>
  <c r="BX558" i="5" s="1"/>
  <c r="AW194" i="5"/>
  <c r="AV194" i="5" s="1"/>
  <c r="AX194" i="5" l="1"/>
  <c r="CI565" i="5"/>
  <c r="CK565" i="5" s="1"/>
  <c r="BT559" i="5"/>
  <c r="BU559" i="5" s="1"/>
  <c r="AT195" i="5"/>
  <c r="BC195" i="5" l="1"/>
  <c r="CG566" i="5"/>
  <c r="CH566" i="5" s="1"/>
  <c r="CC559" i="5"/>
  <c r="AU195" i="5"/>
  <c r="AW195" i="5" l="1"/>
  <c r="AV195" i="5" s="1"/>
  <c r="AT196" i="5" s="1"/>
  <c r="CP566" i="5"/>
  <c r="CJ566" i="5"/>
  <c r="CI566" i="5" s="1"/>
  <c r="CK566" i="5" s="1"/>
  <c r="BW559" i="5"/>
  <c r="BV559" i="5" s="1"/>
  <c r="BX559" i="5" s="1"/>
  <c r="BC196" i="5" l="1"/>
  <c r="AX195" i="5"/>
  <c r="AU196" i="5" s="1"/>
  <c r="CG567" i="5"/>
  <c r="CH567" i="5" s="1"/>
  <c r="BT560" i="5"/>
  <c r="BU560" i="5" s="1"/>
  <c r="AW196" i="5" l="1"/>
  <c r="AV196" i="5" s="1"/>
  <c r="AT197" i="5" s="1"/>
  <c r="CP567" i="5"/>
  <c r="CC560" i="5"/>
  <c r="BC197" i="5" l="1"/>
  <c r="AX196" i="5"/>
  <c r="AU197" i="5" s="1"/>
  <c r="CJ567" i="5"/>
  <c r="BW560" i="5"/>
  <c r="BV560" i="5" s="1"/>
  <c r="BX560" i="5" s="1"/>
  <c r="AW197" i="5" l="1"/>
  <c r="AV197" i="5" s="1"/>
  <c r="AT198" i="5" s="1"/>
  <c r="CI567" i="5"/>
  <c r="CK567" i="5" s="1"/>
  <c r="BT561" i="5"/>
  <c r="BU561" i="5" s="1"/>
  <c r="BC198" i="5" l="1"/>
  <c r="AX197" i="5"/>
  <c r="AU198" i="5" s="1"/>
  <c r="CG568" i="5"/>
  <c r="CH568" i="5" s="1"/>
  <c r="CC561" i="5"/>
  <c r="CP568" i="5" l="1"/>
  <c r="AW198" i="5"/>
  <c r="AV198" i="5" s="1"/>
  <c r="AT199" i="5" s="1"/>
  <c r="CJ568" i="5"/>
  <c r="BW561" i="5"/>
  <c r="BV561" i="5" s="1"/>
  <c r="BX561" i="5" s="1"/>
  <c r="BC199" i="5" l="1"/>
  <c r="AX198" i="5"/>
  <c r="CI568" i="5"/>
  <c r="CK568" i="5" s="1"/>
  <c r="BT562" i="5"/>
  <c r="BU562" i="5" s="1"/>
  <c r="AU199" i="5"/>
  <c r="AW199" i="5" l="1"/>
  <c r="AV199" i="5" s="1"/>
  <c r="CG569" i="5"/>
  <c r="CH569" i="5" s="1"/>
  <c r="CC562" i="5"/>
  <c r="AT200" i="5" l="1"/>
  <c r="CP569" i="5"/>
  <c r="CJ569" i="5"/>
  <c r="CI569" i="5" s="1"/>
  <c r="BW562" i="5"/>
  <c r="BV562" i="5" s="1"/>
  <c r="BX562" i="5" s="1"/>
  <c r="AX199" i="5"/>
  <c r="AU200" i="5" l="1"/>
  <c r="AW200" i="5" s="1"/>
  <c r="AV200" i="5" s="1"/>
  <c r="AT201" i="5" s="1"/>
  <c r="BC200" i="5"/>
  <c r="CK569" i="5"/>
  <c r="CG570" i="5"/>
  <c r="CH570" i="5" s="1"/>
  <c r="BT563" i="5"/>
  <c r="BU563" i="5" s="1"/>
  <c r="AX200" i="5" l="1"/>
  <c r="AU201" i="5" s="1"/>
  <c r="CP570" i="5"/>
  <c r="CC563" i="5"/>
  <c r="BC201" i="5"/>
  <c r="CJ570" i="5" l="1"/>
  <c r="CI570" i="5" s="1"/>
  <c r="CK570" i="5" s="1"/>
  <c r="BW563" i="5"/>
  <c r="BV563" i="5" s="1"/>
  <c r="BX563" i="5" s="1"/>
  <c r="AW201" i="5"/>
  <c r="AV201" i="5" s="1"/>
  <c r="AX201" i="5" l="1"/>
  <c r="CG571" i="5"/>
  <c r="CH571" i="5" s="1"/>
  <c r="BT564" i="5"/>
  <c r="BU564" i="5" s="1"/>
  <c r="AT202" i="5"/>
  <c r="CP571" i="5" l="1"/>
  <c r="CC564" i="5"/>
  <c r="BC202" i="5"/>
  <c r="AU202" i="5"/>
  <c r="CJ571" i="5" l="1"/>
  <c r="CI571" i="5" s="1"/>
  <c r="CK571" i="5" s="1"/>
  <c r="BW564" i="5"/>
  <c r="BV564" i="5" s="1"/>
  <c r="BX564" i="5" s="1"/>
  <c r="AW202" i="5"/>
  <c r="AV202" i="5" s="1"/>
  <c r="AT203" i="5" l="1"/>
  <c r="CG572" i="5"/>
  <c r="CH572" i="5" s="1"/>
  <c r="BT565" i="5"/>
  <c r="BU565" i="5" s="1"/>
  <c r="AX202" i="5"/>
  <c r="AU203" i="5" l="1"/>
  <c r="AW203" i="5" s="1"/>
  <c r="AV203" i="5" s="1"/>
  <c r="BC203" i="5"/>
  <c r="CP572" i="5"/>
  <c r="CC565" i="5"/>
  <c r="AX203" i="5" l="1"/>
  <c r="CJ572" i="5"/>
  <c r="BW565" i="5"/>
  <c r="BV565" i="5" s="1"/>
  <c r="BX565" i="5" s="1"/>
  <c r="AT204" i="5"/>
  <c r="CI572" i="5" l="1"/>
  <c r="CK572" i="5" s="1"/>
  <c r="BT566" i="5"/>
  <c r="BU566" i="5" s="1"/>
  <c r="BC204" i="5"/>
  <c r="AU204" i="5"/>
  <c r="CG573" i="5" l="1"/>
  <c r="CH573" i="5" s="1"/>
  <c r="CC566" i="5"/>
  <c r="AW204" i="5"/>
  <c r="CP573" i="5" l="1"/>
  <c r="CJ573" i="5"/>
  <c r="BW566" i="5"/>
  <c r="BV566" i="5" s="1"/>
  <c r="BX566" i="5" s="1"/>
  <c r="AV204" i="5"/>
  <c r="AX204" i="5" l="1"/>
  <c r="CI573" i="5"/>
  <c r="CK573" i="5" s="1"/>
  <c r="BT567" i="5"/>
  <c r="BU567" i="5" s="1"/>
  <c r="AT205" i="5"/>
  <c r="BC205" i="5" l="1"/>
  <c r="CG574" i="5"/>
  <c r="CH574" i="5" s="1"/>
  <c r="CC567" i="5"/>
  <c r="AU205" i="5"/>
  <c r="AW205" i="5" l="1"/>
  <c r="AV205" i="5" s="1"/>
  <c r="AT206" i="5" s="1"/>
  <c r="CP574" i="5"/>
  <c r="CJ574" i="5"/>
  <c r="BW567" i="5"/>
  <c r="BV567" i="5" s="1"/>
  <c r="BX567" i="5" s="1"/>
  <c r="AX205" i="5" l="1"/>
  <c r="AU206" i="5" s="1"/>
  <c r="CI574" i="5"/>
  <c r="CK574" i="5" s="1"/>
  <c r="BT568" i="5"/>
  <c r="BU568" i="5" s="1"/>
  <c r="BC206" i="5"/>
  <c r="CG575" i="5" l="1"/>
  <c r="CH575" i="5" s="1"/>
  <c r="CC568" i="5"/>
  <c r="AW206" i="5"/>
  <c r="CP575" i="5" l="1"/>
  <c r="CJ575" i="5"/>
  <c r="BW568" i="5"/>
  <c r="BV568" i="5" s="1"/>
  <c r="BX568" i="5" s="1"/>
  <c r="AV206" i="5"/>
  <c r="AX206" i="5" l="1"/>
  <c r="CI575" i="5"/>
  <c r="CK575" i="5" s="1"/>
  <c r="BT569" i="5"/>
  <c r="AT207" i="5"/>
  <c r="BC207" i="5" l="1"/>
  <c r="CG576" i="5"/>
  <c r="CH576" i="5" s="1"/>
  <c r="CC569" i="5"/>
  <c r="BU569" i="5"/>
  <c r="AU207" i="5"/>
  <c r="AW207" i="5" l="1"/>
  <c r="AV207" i="5" s="1"/>
  <c r="AT208" i="5" s="1"/>
  <c r="CP576" i="5"/>
  <c r="CJ576" i="5"/>
  <c r="CI576" i="5" s="1"/>
  <c r="BW569" i="5"/>
  <c r="BV569" i="5" s="1"/>
  <c r="BX569" i="5" s="1"/>
  <c r="AX207" i="5" l="1"/>
  <c r="CK576" i="5"/>
  <c r="CG577" i="5"/>
  <c r="CH577" i="5" s="1"/>
  <c r="BT570" i="5"/>
  <c r="BU570" i="5" s="1"/>
  <c r="BC208" i="5"/>
  <c r="AU208" i="5"/>
  <c r="CP577" i="5" l="1"/>
  <c r="CC570" i="5"/>
  <c r="BW570" i="5"/>
  <c r="BV570" i="5" s="1"/>
  <c r="BX570" i="5" s="1"/>
  <c r="AW208" i="5"/>
  <c r="AV208" i="5" s="1"/>
  <c r="CJ577" i="5" l="1"/>
  <c r="BT571" i="5"/>
  <c r="BU571" i="5" s="1"/>
  <c r="AX208" i="5"/>
  <c r="AT209" i="5"/>
  <c r="CI577" i="5" l="1"/>
  <c r="CK577" i="5" s="1"/>
  <c r="CC571" i="5"/>
  <c r="BC209" i="5"/>
  <c r="AU209" i="5"/>
  <c r="CG578" i="5" l="1"/>
  <c r="CH578" i="5" s="1"/>
  <c r="BW571" i="5"/>
  <c r="BV571" i="5" s="1"/>
  <c r="BX571" i="5" s="1"/>
  <c r="AW209" i="5"/>
  <c r="AV209" i="5" s="1"/>
  <c r="AX209" i="5" l="1"/>
  <c r="CP578" i="5"/>
  <c r="CJ578" i="5"/>
  <c r="BT572" i="5"/>
  <c r="BU572" i="5" s="1"/>
  <c r="AT210" i="5"/>
  <c r="CI578" i="5" l="1"/>
  <c r="CK578" i="5" s="1"/>
  <c r="CC572" i="5"/>
  <c r="BC210" i="5"/>
  <c r="AU210" i="5"/>
  <c r="CG579" i="5" l="1"/>
  <c r="CH579" i="5" s="1"/>
  <c r="BW572" i="5"/>
  <c r="BV572" i="5" s="1"/>
  <c r="BX572" i="5" s="1"/>
  <c r="AW210" i="5"/>
  <c r="AV210" i="5" s="1"/>
  <c r="AX210" i="5" l="1"/>
  <c r="CP579" i="5"/>
  <c r="CJ579" i="5"/>
  <c r="BT573" i="5"/>
  <c r="BU573" i="5" s="1"/>
  <c r="AT211" i="5"/>
  <c r="CI579" i="5" l="1"/>
  <c r="CK579" i="5" s="1"/>
  <c r="CC573" i="5"/>
  <c r="BC211" i="5"/>
  <c r="AU211" i="5"/>
  <c r="CG580" i="5" l="1"/>
  <c r="CH580" i="5" s="1"/>
  <c r="BW573" i="5"/>
  <c r="BV573" i="5" s="1"/>
  <c r="BX573" i="5" s="1"/>
  <c r="AW211" i="5"/>
  <c r="AV211" i="5" s="1"/>
  <c r="CP580" i="5" l="1"/>
  <c r="AX211" i="5"/>
  <c r="CJ580" i="5"/>
  <c r="CI580" i="5" s="1"/>
  <c r="CK580" i="5" s="1"/>
  <c r="BT574" i="5"/>
  <c r="BU574" i="5" s="1"/>
  <c r="AT212" i="5"/>
  <c r="CG581" i="5" l="1"/>
  <c r="CH581" i="5" s="1"/>
  <c r="CC574" i="5"/>
  <c r="BC212" i="5"/>
  <c r="AU212" i="5"/>
  <c r="CP581" i="5" l="1"/>
  <c r="BW574" i="5"/>
  <c r="BV574" i="5" s="1"/>
  <c r="BX574" i="5" s="1"/>
  <c r="AW212" i="5"/>
  <c r="AV212" i="5" s="1"/>
  <c r="AX212" i="5" l="1"/>
  <c r="CJ581" i="5"/>
  <c r="BT575" i="5"/>
  <c r="BU575" i="5" s="1"/>
  <c r="AT213" i="5"/>
  <c r="CI581" i="5" l="1"/>
  <c r="CK581" i="5" s="1"/>
  <c r="CC575" i="5"/>
  <c r="BC213" i="5"/>
  <c r="AU213" i="5"/>
  <c r="CG582" i="5" l="1"/>
  <c r="CH582" i="5" s="1"/>
  <c r="BW575" i="5"/>
  <c r="BV575" i="5" s="1"/>
  <c r="AW213" i="5"/>
  <c r="CP582" i="5" l="1"/>
  <c r="CJ582" i="5"/>
  <c r="CI582" i="5" s="1"/>
  <c r="BX575" i="5"/>
  <c r="BT576" i="5"/>
  <c r="BU576" i="5" s="1"/>
  <c r="AV213" i="5"/>
  <c r="AX213" i="5" l="1"/>
  <c r="CK582" i="5"/>
  <c r="CG583" i="5"/>
  <c r="CH583" i="5" s="1"/>
  <c r="CC576" i="5"/>
  <c r="AT214" i="5"/>
  <c r="BC214" i="5" l="1"/>
  <c r="CP583" i="5"/>
  <c r="BW576" i="5"/>
  <c r="BV576" i="5" s="1"/>
  <c r="BX576" i="5" s="1"/>
  <c r="AU214" i="5"/>
  <c r="AW214" i="5" l="1"/>
  <c r="AV214" i="5" s="1"/>
  <c r="AT215" i="5" s="1"/>
  <c r="CJ583" i="5"/>
  <c r="BT577" i="5"/>
  <c r="BU577" i="5" s="1"/>
  <c r="BC215" i="5" l="1"/>
  <c r="AX214" i="5"/>
  <c r="CI583" i="5"/>
  <c r="CK583" i="5" s="1"/>
  <c r="CC577" i="5"/>
  <c r="AU215" i="5"/>
  <c r="AW215" i="5" l="1"/>
  <c r="AV215" i="5" s="1"/>
  <c r="CG584" i="5"/>
  <c r="CH584" i="5" s="1"/>
  <c r="BW577" i="5"/>
  <c r="BV577" i="5" s="1"/>
  <c r="BX577" i="5" s="1"/>
  <c r="AX215" i="5" l="1"/>
  <c r="CP584" i="5"/>
  <c r="CJ584" i="5"/>
  <c r="CI584" i="5" s="1"/>
  <c r="CK584" i="5" s="1"/>
  <c r="BT578" i="5"/>
  <c r="BU578" i="5" s="1"/>
  <c r="AT216" i="5"/>
  <c r="BC216" i="5" l="1"/>
  <c r="CG585" i="5"/>
  <c r="CH585" i="5" s="1"/>
  <c r="CC578" i="5"/>
  <c r="AU216" i="5"/>
  <c r="AW216" i="5" l="1"/>
  <c r="AV216" i="5" s="1"/>
  <c r="AT217" i="5" s="1"/>
  <c r="CP585" i="5"/>
  <c r="BW578" i="5"/>
  <c r="BV578" i="5" s="1"/>
  <c r="BX578" i="5" s="1"/>
  <c r="AX216" i="5" l="1"/>
  <c r="CJ585" i="5"/>
  <c r="BT579" i="5"/>
  <c r="BU579" i="5" s="1"/>
  <c r="BC217" i="5"/>
  <c r="AU217" i="5"/>
  <c r="CI585" i="5" l="1"/>
  <c r="CK585" i="5" s="1"/>
  <c r="CC579" i="5"/>
  <c r="AW217" i="5"/>
  <c r="AV217" i="5" s="1"/>
  <c r="AX217" i="5" l="1"/>
  <c r="CG586" i="5"/>
  <c r="CH586" i="5" s="1"/>
  <c r="BW579" i="5"/>
  <c r="BV579" i="5" s="1"/>
  <c r="BX579" i="5" s="1"/>
  <c r="AT218" i="5"/>
  <c r="CP586" i="5" l="1"/>
  <c r="CJ586" i="5"/>
  <c r="CI586" i="5" s="1"/>
  <c r="CK586" i="5" s="1"/>
  <c r="BT580" i="5"/>
  <c r="BU580" i="5" s="1"/>
  <c r="BC218" i="5"/>
  <c r="AU218" i="5"/>
  <c r="CG587" i="5" l="1"/>
  <c r="CH587" i="5" s="1"/>
  <c r="CC580" i="5"/>
  <c r="AW218" i="5"/>
  <c r="CP587" i="5" l="1"/>
  <c r="BW580" i="5"/>
  <c r="BV580" i="5" s="1"/>
  <c r="BX580" i="5" s="1"/>
  <c r="AV218" i="5"/>
  <c r="AX218" i="5" l="1"/>
  <c r="CJ587" i="5"/>
  <c r="CI587" i="5" s="1"/>
  <c r="CK587" i="5" s="1"/>
  <c r="BT581" i="5"/>
  <c r="BU581" i="5" s="1"/>
  <c r="AT219" i="5"/>
  <c r="BC219" i="5" l="1"/>
  <c r="CG588" i="5"/>
  <c r="CH588" i="5" s="1"/>
  <c r="CC581" i="5"/>
  <c r="AU219" i="5"/>
  <c r="AW219" i="5" l="1"/>
  <c r="AV219" i="5" s="1"/>
  <c r="AT220" i="5" s="1"/>
  <c r="CP588" i="5"/>
  <c r="BW581" i="5"/>
  <c r="BV581" i="5" s="1"/>
  <c r="BX581" i="5" s="1"/>
  <c r="AX219" i="5" l="1"/>
  <c r="CJ588" i="5"/>
  <c r="CI588" i="5" s="1"/>
  <c r="CK588" i="5" s="1"/>
  <c r="BT582" i="5"/>
  <c r="BU582" i="5" s="1"/>
  <c r="BC220" i="5"/>
  <c r="AU220" i="5"/>
  <c r="CG589" i="5" l="1"/>
  <c r="CH589" i="5" s="1"/>
  <c r="CC582" i="5"/>
  <c r="AW220" i="5"/>
  <c r="AV220" i="5" s="1"/>
  <c r="CP589" i="5" l="1"/>
  <c r="BW582" i="5"/>
  <c r="BV582" i="5" s="1"/>
  <c r="BX582" i="5" s="1"/>
  <c r="AX220" i="5"/>
  <c r="AT221" i="5"/>
  <c r="CJ589" i="5" l="1"/>
  <c r="BT583" i="5"/>
  <c r="BU583" i="5" s="1"/>
  <c r="BC221" i="5"/>
  <c r="AU221" i="5"/>
  <c r="CI589" i="5" l="1"/>
  <c r="CK589" i="5" s="1"/>
  <c r="CC583" i="5"/>
  <c r="AW221" i="5"/>
  <c r="AV221" i="5" s="1"/>
  <c r="CG590" i="5" l="1"/>
  <c r="CH590" i="5" s="1"/>
  <c r="BW583" i="5"/>
  <c r="BV583" i="5" s="1"/>
  <c r="BX583" i="5" s="1"/>
  <c r="AX221" i="5"/>
  <c r="AT222" i="5"/>
  <c r="BC222" i="5" l="1"/>
  <c r="CP590" i="5"/>
  <c r="CJ590" i="5"/>
  <c r="CI590" i="5" s="1"/>
  <c r="CK590" i="5" s="1"/>
  <c r="BT584" i="5"/>
  <c r="BU584" i="5" s="1"/>
  <c r="AU222" i="5"/>
  <c r="CG591" i="5" l="1"/>
  <c r="CH591" i="5" s="1"/>
  <c r="CC584" i="5"/>
  <c r="AW222" i="5"/>
  <c r="AV222" i="5" s="1"/>
  <c r="AX222" i="5" l="1"/>
  <c r="CP591" i="5"/>
  <c r="BW584" i="5"/>
  <c r="BV584" i="5" s="1"/>
  <c r="BX584" i="5" s="1"/>
  <c r="AT223" i="5"/>
  <c r="BC223" i="5" l="1"/>
  <c r="CJ591" i="5"/>
  <c r="CI591" i="5" s="1"/>
  <c r="BT585" i="5"/>
  <c r="BU585" i="5" s="1"/>
  <c r="AU223" i="5"/>
  <c r="AW223" i="5" l="1"/>
  <c r="AV223" i="5" s="1"/>
  <c r="AX223" i="5" s="1"/>
  <c r="CK591" i="5"/>
  <c r="CG592" i="5"/>
  <c r="CH592" i="5" s="1"/>
  <c r="CC585" i="5"/>
  <c r="AT224" i="5" l="1"/>
  <c r="CP592" i="5"/>
  <c r="BW585" i="5"/>
  <c r="BV585" i="5" s="1"/>
  <c r="BX585" i="5" s="1"/>
  <c r="BC224" i="5" l="1"/>
  <c r="AU224" i="5"/>
  <c r="AW224" i="5" s="1"/>
  <c r="AV224" i="5" s="1"/>
  <c r="AX224" i="5" s="1"/>
  <c r="CJ592" i="5"/>
  <c r="CI592" i="5" s="1"/>
  <c r="CK592" i="5" s="1"/>
  <c r="BT586" i="5"/>
  <c r="BU586" i="5" s="1"/>
  <c r="AT225" i="5" l="1"/>
  <c r="AU225" i="5" s="1"/>
  <c r="CG593" i="5"/>
  <c r="CH593" i="5" s="1"/>
  <c r="CC586" i="5"/>
  <c r="BC225" i="5" l="1"/>
  <c r="CP593" i="5"/>
  <c r="BW586" i="5"/>
  <c r="BV586" i="5" s="1"/>
  <c r="BX586" i="5" s="1"/>
  <c r="AW225" i="5"/>
  <c r="AV225" i="5" s="1"/>
  <c r="CJ593" i="5" l="1"/>
  <c r="CI593" i="5" s="1"/>
  <c r="BT587" i="5"/>
  <c r="BU587" i="5" s="1"/>
  <c r="AX225" i="5"/>
  <c r="AT226" i="5"/>
  <c r="CK593" i="5" l="1"/>
  <c r="CG594" i="5"/>
  <c r="CH594" i="5" s="1"/>
  <c r="CC587" i="5"/>
  <c r="BC226" i="5"/>
  <c r="AU226" i="5"/>
  <c r="CP594" i="5" l="1"/>
  <c r="BW587" i="5"/>
  <c r="BV587" i="5" s="1"/>
  <c r="BX587" i="5" s="1"/>
  <c r="AW226" i="5"/>
  <c r="AV226" i="5" s="1"/>
  <c r="CJ594" i="5" l="1"/>
  <c r="CI594" i="5" s="1"/>
  <c r="CK594" i="5" s="1"/>
  <c r="BT588" i="5"/>
  <c r="BU588" i="5" s="1"/>
  <c r="AX226" i="5"/>
  <c r="AT227" i="5"/>
  <c r="CG595" i="5" l="1"/>
  <c r="CH595" i="5" s="1"/>
  <c r="CC588" i="5"/>
  <c r="BC227" i="5"/>
  <c r="AU227" i="5"/>
  <c r="CP595" i="5" l="1"/>
  <c r="BW588" i="5"/>
  <c r="BV588" i="5" s="1"/>
  <c r="BX588" i="5" s="1"/>
  <c r="AW227" i="5"/>
  <c r="AV227" i="5" s="1"/>
  <c r="AX227" i="5" l="1"/>
  <c r="CJ595" i="5"/>
  <c r="BT589" i="5"/>
  <c r="BU589" i="5" s="1"/>
  <c r="AT228" i="5"/>
  <c r="CI595" i="5" l="1"/>
  <c r="CK595" i="5" s="1"/>
  <c r="CC589" i="5"/>
  <c r="BC228" i="5"/>
  <c r="AU228" i="5"/>
  <c r="CG596" i="5" l="1"/>
  <c r="CH596" i="5" s="1"/>
  <c r="BW589" i="5"/>
  <c r="BV589" i="5" s="1"/>
  <c r="BX589" i="5" s="1"/>
  <c r="AW228" i="5"/>
  <c r="AV228" i="5" s="1"/>
  <c r="AX228" i="5" l="1"/>
  <c r="CP596" i="5"/>
  <c r="CJ596" i="5"/>
  <c r="CI596" i="5" s="1"/>
  <c r="BT590" i="5"/>
  <c r="AT229" i="5"/>
  <c r="CK596" i="5" l="1"/>
  <c r="CG597" i="5"/>
  <c r="CH597" i="5" s="1"/>
  <c r="CC590" i="5"/>
  <c r="BU590" i="5"/>
  <c r="BC229" i="5"/>
  <c r="AU229" i="5"/>
  <c r="CP597" i="5" l="1"/>
  <c r="BW590" i="5"/>
  <c r="BV590" i="5" s="1"/>
  <c r="BX590" i="5" s="1"/>
  <c r="AW229" i="5"/>
  <c r="AV229" i="5" s="1"/>
  <c r="CJ597" i="5" l="1"/>
  <c r="CI597" i="5" s="1"/>
  <c r="BT591" i="5"/>
  <c r="BU591" i="5" s="1"/>
  <c r="AX229" i="5"/>
  <c r="AT230" i="5"/>
  <c r="BC230" i="5" l="1"/>
  <c r="CK597" i="5"/>
  <c r="CG598" i="5"/>
  <c r="CC591" i="5"/>
  <c r="BW591" i="5"/>
  <c r="BV591" i="5" s="1"/>
  <c r="BX591" i="5" s="1"/>
  <c r="AU230" i="5"/>
  <c r="AW230" i="5" l="1"/>
  <c r="AV230" i="5" s="1"/>
  <c r="AT231" i="5" s="1"/>
  <c r="CP598" i="5"/>
  <c r="CH598" i="5"/>
  <c r="BT592" i="5"/>
  <c r="BU592" i="5" s="1"/>
  <c r="BC231" i="5" l="1"/>
  <c r="AX230" i="5"/>
  <c r="CJ598" i="5"/>
  <c r="CC592" i="5"/>
  <c r="AU231" i="5"/>
  <c r="CI598" i="5" l="1"/>
  <c r="CK598" i="5" s="1"/>
  <c r="BW592" i="5"/>
  <c r="BV592" i="5" s="1"/>
  <c r="BX592" i="5" s="1"/>
  <c r="AW231" i="5"/>
  <c r="AV231" i="5" s="1"/>
  <c r="AX231" i="5" l="1"/>
  <c r="CG599" i="5"/>
  <c r="CP599" i="5" s="1"/>
  <c r="BT593" i="5"/>
  <c r="BU593" i="5" s="1"/>
  <c r="AT232" i="5"/>
  <c r="BC232" i="5" l="1"/>
  <c r="CH599" i="5"/>
  <c r="CJ599" i="5" s="1"/>
  <c r="CI599" i="5" s="1"/>
  <c r="CG600" i="5" s="1"/>
  <c r="CH600" i="5" s="1"/>
  <c r="CC593" i="5"/>
  <c r="AU232" i="5"/>
  <c r="AW232" i="5" l="1"/>
  <c r="AV232" i="5" s="1"/>
  <c r="CK599" i="5"/>
  <c r="CP600" i="5"/>
  <c r="BW593" i="5"/>
  <c r="BV593" i="5" s="1"/>
  <c r="BX593" i="5" s="1"/>
  <c r="AT233" i="5" l="1"/>
  <c r="CJ600" i="5"/>
  <c r="CI600" i="5" s="1"/>
  <c r="CK600" i="5" s="1"/>
  <c r="BT594" i="5"/>
  <c r="BU594" i="5" s="1"/>
  <c r="AX232" i="5"/>
  <c r="BC233" i="5" l="1"/>
  <c r="AU233" i="5"/>
  <c r="CG601" i="5"/>
  <c r="CH601" i="5" s="1"/>
  <c r="CC594" i="5"/>
  <c r="AW233" i="5" l="1"/>
  <c r="AV233" i="5" s="1"/>
  <c r="AT234" i="5" s="1"/>
  <c r="CP601" i="5"/>
  <c r="BW594" i="5"/>
  <c r="BV594" i="5" s="1"/>
  <c r="BX594" i="5" s="1"/>
  <c r="BC234" i="5" l="1"/>
  <c r="AX233" i="5"/>
  <c r="AU234" i="5" s="1"/>
  <c r="AW234" i="5" s="1"/>
  <c r="AV234" i="5" s="1"/>
  <c r="CJ601" i="5"/>
  <c r="BT595" i="5"/>
  <c r="BU595" i="5" s="1"/>
  <c r="AT235" i="5" l="1"/>
  <c r="AX234" i="5"/>
  <c r="CI601" i="5"/>
  <c r="CK601" i="5" s="1"/>
  <c r="CC595" i="5"/>
  <c r="BC235" i="5" l="1"/>
  <c r="AU235" i="5"/>
  <c r="AW235" i="5" s="1"/>
  <c r="AV235" i="5" s="1"/>
  <c r="CG602" i="5"/>
  <c r="CH602" i="5" s="1"/>
  <c r="BW595" i="5"/>
  <c r="BV595" i="5" s="1"/>
  <c r="BX595" i="5" s="1"/>
  <c r="AX235" i="5" l="1"/>
  <c r="CP602" i="5"/>
  <c r="CJ602" i="5"/>
  <c r="CI602" i="5" s="1"/>
  <c r="BT596" i="5"/>
  <c r="BU596" i="5" s="1"/>
  <c r="AT236" i="5"/>
  <c r="CK602" i="5" l="1"/>
  <c r="CG603" i="5"/>
  <c r="CH603" i="5" s="1"/>
  <c r="CC596" i="5"/>
  <c r="BC236" i="5"/>
  <c r="AU236" i="5"/>
  <c r="CP603" i="5" l="1"/>
  <c r="BW596" i="5"/>
  <c r="BV596" i="5" s="1"/>
  <c r="BX596" i="5" s="1"/>
  <c r="AW236" i="5"/>
  <c r="AV236" i="5" s="1"/>
  <c r="AT237" i="5" l="1"/>
  <c r="CJ603" i="5"/>
  <c r="BT597" i="5"/>
  <c r="BU597" i="5" s="1"/>
  <c r="AX236" i="5"/>
  <c r="BC237" i="5" l="1"/>
  <c r="AU237" i="5"/>
  <c r="AW237" i="5" s="1"/>
  <c r="AV237" i="5" s="1"/>
  <c r="CI603" i="5"/>
  <c r="CK603" i="5" s="1"/>
  <c r="CC597" i="5"/>
  <c r="CG604" i="5" l="1"/>
  <c r="CH604" i="5" s="1"/>
  <c r="BW597" i="5"/>
  <c r="BV597" i="5" s="1"/>
  <c r="BX597" i="5" s="1"/>
  <c r="AX237" i="5"/>
  <c r="AT238" i="5"/>
  <c r="CP604" i="5" l="1"/>
  <c r="CJ604" i="5"/>
  <c r="CI604" i="5" s="1"/>
  <c r="CK604" i="5" s="1"/>
  <c r="BT598" i="5"/>
  <c r="BU598" i="5" s="1"/>
  <c r="BC238" i="5"/>
  <c r="AU238" i="5"/>
  <c r="CG605" i="5" l="1"/>
  <c r="CH605" i="5" s="1"/>
  <c r="CC598" i="5"/>
  <c r="AW238" i="5"/>
  <c r="AV238" i="5" s="1"/>
  <c r="CP605" i="5" l="1"/>
  <c r="BW598" i="5"/>
  <c r="BV598" i="5" s="1"/>
  <c r="BX598" i="5" s="1"/>
  <c r="AX238" i="5"/>
  <c r="AT239" i="5"/>
  <c r="BC239" i="5" l="1"/>
  <c r="CJ605" i="5"/>
  <c r="BT599" i="5"/>
  <c r="BU599" i="5" s="1"/>
  <c r="AU239" i="5"/>
  <c r="CI605" i="5" l="1"/>
  <c r="CK605" i="5" s="1"/>
  <c r="CC599" i="5"/>
  <c r="AW239" i="5"/>
  <c r="AV239" i="5" s="1"/>
  <c r="AT240" i="5" l="1"/>
  <c r="CG606" i="5"/>
  <c r="CH606" i="5" s="1"/>
  <c r="BW599" i="5"/>
  <c r="BV599" i="5" s="1"/>
  <c r="BX599" i="5" s="1"/>
  <c r="AX239" i="5"/>
  <c r="BC240" i="5" l="1"/>
  <c r="AU240" i="5"/>
  <c r="AW240" i="5" s="1"/>
  <c r="AV240" i="5" s="1"/>
  <c r="AX240" i="5" s="1"/>
  <c r="CP606" i="5"/>
  <c r="CJ606" i="5"/>
  <c r="BT600" i="5"/>
  <c r="BU600" i="5" s="1"/>
  <c r="AT241" i="5" l="1"/>
  <c r="CI606" i="5"/>
  <c r="CK606" i="5" s="1"/>
  <c r="CC600" i="5"/>
  <c r="BC241" i="5" l="1"/>
  <c r="AU241" i="5"/>
  <c r="AW241" i="5" s="1"/>
  <c r="CG607" i="5"/>
  <c r="CH607" i="5" s="1"/>
  <c r="BW600" i="5"/>
  <c r="BV600" i="5" s="1"/>
  <c r="BX600" i="5" s="1"/>
  <c r="AV241" i="5" l="1"/>
  <c r="AT242" i="5" s="1"/>
  <c r="CP607" i="5"/>
  <c r="CJ607" i="5"/>
  <c r="CI607" i="5" s="1"/>
  <c r="CK607" i="5" s="1"/>
  <c r="BT601" i="5"/>
  <c r="BU601" i="5" s="1"/>
  <c r="AX241" i="5" l="1"/>
  <c r="BC242" i="5"/>
  <c r="AU242" i="5"/>
  <c r="AW242" i="5" s="1"/>
  <c r="CG608" i="5"/>
  <c r="CH608" i="5" s="1"/>
  <c r="CC601" i="5"/>
  <c r="AV242" i="5" l="1"/>
  <c r="AX242" i="5" s="1"/>
  <c r="CP608" i="5"/>
  <c r="BW601" i="5"/>
  <c r="BV601" i="5" s="1"/>
  <c r="BX601" i="5" s="1"/>
  <c r="AT243" i="5" l="1"/>
  <c r="CJ608" i="5"/>
  <c r="BT602" i="5"/>
  <c r="BU602" i="5" s="1"/>
  <c r="BC243" i="5" l="1"/>
  <c r="AU243" i="5"/>
  <c r="AW243" i="5" s="1"/>
  <c r="AV243" i="5" s="1"/>
  <c r="CI608" i="5"/>
  <c r="CK608" i="5" s="1"/>
  <c r="CC602" i="5"/>
  <c r="AT244" i="5" l="1"/>
  <c r="CG609" i="5"/>
  <c r="CH609" i="5" s="1"/>
  <c r="BW602" i="5"/>
  <c r="BV602" i="5" s="1"/>
  <c r="BX602" i="5" s="1"/>
  <c r="AX243" i="5"/>
  <c r="BC244" i="5" l="1"/>
  <c r="AU244" i="5"/>
  <c r="AW244" i="5" s="1"/>
  <c r="AV244" i="5" s="1"/>
  <c r="CP609" i="5"/>
  <c r="CJ609" i="5"/>
  <c r="BT603" i="5"/>
  <c r="BU603" i="5" s="1"/>
  <c r="AT245" i="5" l="1"/>
  <c r="CI609" i="5"/>
  <c r="CK609" i="5" s="1"/>
  <c r="CC603" i="5"/>
  <c r="AX244" i="5"/>
  <c r="BC245" i="5" l="1"/>
  <c r="AU245" i="5"/>
  <c r="AW245" i="5" s="1"/>
  <c r="AV245" i="5" s="1"/>
  <c r="CG610" i="5"/>
  <c r="CH610" i="5" s="1"/>
  <c r="BW603" i="5"/>
  <c r="BV603" i="5" s="1"/>
  <c r="BX603" i="5" s="1"/>
  <c r="AT246" i="5" l="1"/>
  <c r="AX245" i="5"/>
  <c r="CP610" i="5"/>
  <c r="CJ610" i="5"/>
  <c r="CI610" i="5" s="1"/>
  <c r="BT604" i="5"/>
  <c r="BU604" i="5" s="1"/>
  <c r="AU246" i="5" l="1"/>
  <c r="AW246" i="5" s="1"/>
  <c r="AV246" i="5" s="1"/>
  <c r="AX246" i="5" s="1"/>
  <c r="BC246" i="5"/>
  <c r="CK610" i="5"/>
  <c r="CG611" i="5"/>
  <c r="CC604" i="5"/>
  <c r="AT247" i="5" l="1"/>
  <c r="BC247" i="5" s="1"/>
  <c r="CP611" i="5"/>
  <c r="CH611" i="5"/>
  <c r="BW604" i="5"/>
  <c r="BV604" i="5" s="1"/>
  <c r="BX604" i="5" s="1"/>
  <c r="AU247" i="5" l="1"/>
  <c r="AW247" i="5" s="1"/>
  <c r="CJ611" i="5"/>
  <c r="BT605" i="5"/>
  <c r="BU605" i="5" s="1"/>
  <c r="CI611" i="5" l="1"/>
  <c r="CK611" i="5" s="1"/>
  <c r="CC605" i="5"/>
  <c r="AV247" i="5"/>
  <c r="AX247" i="5" l="1"/>
  <c r="CG612" i="5"/>
  <c r="CP612" i="5" s="1"/>
  <c r="BW605" i="5"/>
  <c r="BV605" i="5" s="1"/>
  <c r="BX605" i="5" s="1"/>
  <c r="AT248" i="5"/>
  <c r="CH612" i="5" l="1"/>
  <c r="CJ612" i="5" s="1"/>
  <c r="CI612" i="5" s="1"/>
  <c r="CK612" i="5" s="1"/>
  <c r="BT606" i="5"/>
  <c r="BU606" i="5" s="1"/>
  <c r="BC248" i="5"/>
  <c r="AU248" i="5"/>
  <c r="CG613" i="5" l="1"/>
  <c r="CC606" i="5"/>
  <c r="AW248" i="5"/>
  <c r="AV248" i="5" s="1"/>
  <c r="AT249" i="5" l="1"/>
  <c r="CP613" i="5"/>
  <c r="CH613" i="5"/>
  <c r="BW606" i="5"/>
  <c r="BV606" i="5" s="1"/>
  <c r="BX606" i="5" s="1"/>
  <c r="AX248" i="5"/>
  <c r="BC249" i="5" l="1"/>
  <c r="AU249" i="5"/>
  <c r="AW249" i="5" s="1"/>
  <c r="CJ613" i="5"/>
  <c r="BT607" i="5"/>
  <c r="BU607" i="5" s="1"/>
  <c r="CI613" i="5" l="1"/>
  <c r="CK613" i="5" s="1"/>
  <c r="CC607" i="5"/>
  <c r="AV249" i="5"/>
  <c r="AT250" i="5" l="1"/>
  <c r="CG614" i="5"/>
  <c r="CH614" i="5" s="1"/>
  <c r="CJ614" i="5" s="1"/>
  <c r="BW607" i="5"/>
  <c r="BV607" i="5" s="1"/>
  <c r="BX607" i="5" s="1"/>
  <c r="AX249" i="5"/>
  <c r="BC250" i="5" l="1"/>
  <c r="AU250" i="5"/>
  <c r="AW250" i="5" s="1"/>
  <c r="AV250" i="5" s="1"/>
  <c r="CP614" i="5"/>
  <c r="CI614" i="5"/>
  <c r="CK614" i="5" s="1"/>
  <c r="BT608" i="5"/>
  <c r="BU608" i="5" s="1"/>
  <c r="AT251" i="5" l="1"/>
  <c r="CG615" i="5"/>
  <c r="CH615" i="5" s="1"/>
  <c r="CC608" i="5"/>
  <c r="AX250" i="5"/>
  <c r="BC251" i="5" l="1"/>
  <c r="AU251" i="5"/>
  <c r="AW251" i="5" s="1"/>
  <c r="AV251" i="5" s="1"/>
  <c r="CP615" i="5"/>
  <c r="CJ615" i="5"/>
  <c r="BW608" i="5"/>
  <c r="BV608" i="5" s="1"/>
  <c r="BX608" i="5" s="1"/>
  <c r="CI615" i="5" l="1"/>
  <c r="CK615" i="5" s="1"/>
  <c r="BT609" i="5"/>
  <c r="BU609" i="5" s="1"/>
  <c r="AX251" i="5"/>
  <c r="AT252" i="5"/>
  <c r="CG616" i="5" l="1"/>
  <c r="CH616" i="5" s="1"/>
  <c r="CC609" i="5"/>
  <c r="BC252" i="5"/>
  <c r="AU252" i="5"/>
  <c r="CP616" i="5" l="1"/>
  <c r="CJ616" i="5"/>
  <c r="CI616" i="5" s="1"/>
  <c r="CK616" i="5" s="1"/>
  <c r="BW609" i="5"/>
  <c r="BV609" i="5" s="1"/>
  <c r="BX609" i="5" s="1"/>
  <c r="AW252" i="5"/>
  <c r="AV252" i="5" s="1"/>
  <c r="CG617" i="5" l="1"/>
  <c r="CH617" i="5" s="1"/>
  <c r="BT610" i="5"/>
  <c r="BU610" i="5" s="1"/>
  <c r="AX252" i="5"/>
  <c r="AT253" i="5"/>
  <c r="CP617" i="5" l="1"/>
  <c r="CC610" i="5"/>
  <c r="BC253" i="5"/>
  <c r="AU253" i="5"/>
  <c r="CJ617" i="5" l="1"/>
  <c r="CI617" i="5" s="1"/>
  <c r="CK617" i="5" s="1"/>
  <c r="BW610" i="5"/>
  <c r="BV610" i="5" s="1"/>
  <c r="BX610" i="5" s="1"/>
  <c r="AW253" i="5"/>
  <c r="AV253" i="5" s="1"/>
  <c r="AX253" i="5" l="1"/>
  <c r="CG618" i="5"/>
  <c r="CH618" i="5" s="1"/>
  <c r="BT611" i="5"/>
  <c r="BU611" i="5" s="1"/>
  <c r="AT254" i="5"/>
  <c r="CP618" i="5" l="1"/>
  <c r="CC611" i="5"/>
  <c r="BC254" i="5"/>
  <c r="AU254" i="5"/>
  <c r="CJ618" i="5" l="1"/>
  <c r="CI618" i="5" s="1"/>
  <c r="CK618" i="5" s="1"/>
  <c r="BW611" i="5"/>
  <c r="BV611" i="5" s="1"/>
  <c r="BX611" i="5" s="1"/>
  <c r="AW254" i="5"/>
  <c r="AV254" i="5" s="1"/>
  <c r="CG619" i="5" l="1"/>
  <c r="CH619" i="5" s="1"/>
  <c r="BT612" i="5"/>
  <c r="BU612" i="5" s="1"/>
  <c r="AX254" i="5"/>
  <c r="AT255" i="5"/>
  <c r="CP619" i="5" l="1"/>
  <c r="CC612" i="5"/>
  <c r="BC255" i="5"/>
  <c r="AU255" i="5"/>
  <c r="CJ619" i="5" l="1"/>
  <c r="BW612" i="5"/>
  <c r="BV612" i="5" s="1"/>
  <c r="BX612" i="5" s="1"/>
  <c r="AW255" i="5"/>
  <c r="AV255" i="5" s="1"/>
  <c r="AT256" i="5" l="1"/>
  <c r="CI619" i="5"/>
  <c r="CK619" i="5" s="1"/>
  <c r="BT613" i="5"/>
  <c r="BU613" i="5" s="1"/>
  <c r="AX255" i="5"/>
  <c r="BC256" i="5" l="1"/>
  <c r="AU256" i="5"/>
  <c r="AW256" i="5" s="1"/>
  <c r="AV256" i="5" s="1"/>
  <c r="CG620" i="5"/>
  <c r="CH620" i="5" s="1"/>
  <c r="CC613" i="5"/>
  <c r="AT257" i="5" l="1"/>
  <c r="CP620" i="5"/>
  <c r="CJ620" i="5"/>
  <c r="CI620" i="5" s="1"/>
  <c r="BW613" i="5"/>
  <c r="BV613" i="5" s="1"/>
  <c r="BX613" i="5" s="1"/>
  <c r="AX256" i="5"/>
  <c r="AU257" i="5" l="1"/>
  <c r="AW257" i="5" s="1"/>
  <c r="BC257" i="5"/>
  <c r="CK620" i="5"/>
  <c r="CG621" i="5"/>
  <c r="CH621" i="5" s="1"/>
  <c r="BT614" i="5"/>
  <c r="BU614" i="5" s="1"/>
  <c r="CP621" i="5" l="1"/>
  <c r="CC614" i="5"/>
  <c r="AV257" i="5"/>
  <c r="AT258" i="5" l="1"/>
  <c r="CJ621" i="5"/>
  <c r="BW614" i="5"/>
  <c r="BV614" i="5" s="1"/>
  <c r="BX614" i="5" s="1"/>
  <c r="AX257" i="5"/>
  <c r="AU258" i="5" l="1"/>
  <c r="AW258" i="5" s="1"/>
  <c r="AV258" i="5" s="1"/>
  <c r="BC258" i="5"/>
  <c r="CI621" i="5"/>
  <c r="CK621" i="5" s="1"/>
  <c r="BT615" i="5"/>
  <c r="BU615" i="5" s="1"/>
  <c r="AT259" i="5" l="1"/>
  <c r="CG622" i="5"/>
  <c r="CH622" i="5" s="1"/>
  <c r="CC615" i="5"/>
  <c r="AX258" i="5"/>
  <c r="BC259" i="5" l="1"/>
  <c r="AU259" i="5"/>
  <c r="AW259" i="5" s="1"/>
  <c r="AV259" i="5" s="1"/>
  <c r="CP622" i="5"/>
  <c r="CJ622" i="5"/>
  <c r="BW615" i="5"/>
  <c r="BV615" i="5" s="1"/>
  <c r="BX615" i="5" s="1"/>
  <c r="AT260" i="5" l="1"/>
  <c r="CI622" i="5"/>
  <c r="CK622" i="5" s="1"/>
  <c r="BT616" i="5"/>
  <c r="BU616" i="5" s="1"/>
  <c r="AX259" i="5"/>
  <c r="AU260" i="5" l="1"/>
  <c r="AW260" i="5" s="1"/>
  <c r="AV260" i="5" s="1"/>
  <c r="BC260" i="5"/>
  <c r="CG623" i="5"/>
  <c r="CH623" i="5" s="1"/>
  <c r="CC616" i="5"/>
  <c r="AT261" i="5" l="1"/>
  <c r="BC261" i="5" s="1"/>
  <c r="CP623" i="5"/>
  <c r="CJ623" i="5"/>
  <c r="BW616" i="5"/>
  <c r="BV616" i="5" s="1"/>
  <c r="BX616" i="5" s="1"/>
  <c r="AX260" i="5"/>
  <c r="AU261" i="5" l="1"/>
  <c r="AW261" i="5" s="1"/>
  <c r="AV261" i="5" s="1"/>
  <c r="CI623" i="5"/>
  <c r="CK623" i="5" s="1"/>
  <c r="BT617" i="5"/>
  <c r="BU617" i="5" s="1"/>
  <c r="AT262" i="5" l="1"/>
  <c r="BC262" i="5" s="1"/>
  <c r="CG624" i="5"/>
  <c r="CH624" i="5" s="1"/>
  <c r="CC617" i="5"/>
  <c r="AX261" i="5"/>
  <c r="AU262" i="5" l="1"/>
  <c r="AW262" i="5" s="1"/>
  <c r="AV262" i="5" s="1"/>
  <c r="CP624" i="5"/>
  <c r="CJ624" i="5"/>
  <c r="BW617" i="5"/>
  <c r="BV617" i="5" s="1"/>
  <c r="BX617" i="5" s="1"/>
  <c r="CI624" i="5" l="1"/>
  <c r="CK624" i="5" s="1"/>
  <c r="BT618" i="5"/>
  <c r="BU618" i="5" s="1"/>
  <c r="AX262" i="5"/>
  <c r="AT263" i="5"/>
  <c r="CG625" i="5" l="1"/>
  <c r="CH625" i="5" s="1"/>
  <c r="CC618" i="5"/>
  <c r="BC263" i="5"/>
  <c r="AU263" i="5"/>
  <c r="CP625" i="5" l="1"/>
  <c r="CJ625" i="5"/>
  <c r="BW618" i="5"/>
  <c r="BV618" i="5" s="1"/>
  <c r="BX618" i="5" s="1"/>
  <c r="AW263" i="5"/>
  <c r="CI625" i="5" l="1"/>
  <c r="CK625" i="5" s="1"/>
  <c r="BT619" i="5"/>
  <c r="BU619" i="5" s="1"/>
  <c r="AV263" i="5"/>
  <c r="AT264" i="5" l="1"/>
  <c r="BC264" i="5" s="1"/>
  <c r="CG626" i="5"/>
  <c r="CH626" i="5" s="1"/>
  <c r="CC619" i="5"/>
  <c r="AX263" i="5"/>
  <c r="AU264" i="5" l="1"/>
  <c r="AW264" i="5" s="1"/>
  <c r="AV264" i="5" s="1"/>
  <c r="CP626" i="5"/>
  <c r="CJ626" i="5"/>
  <c r="BW619" i="5"/>
  <c r="BV619" i="5" s="1"/>
  <c r="BX619" i="5" s="1"/>
  <c r="CI626" i="5" l="1"/>
  <c r="CK626" i="5" s="1"/>
  <c r="BT620" i="5"/>
  <c r="BU620" i="5" s="1"/>
  <c r="AX264" i="5"/>
  <c r="AT265" i="5"/>
  <c r="CG627" i="5" l="1"/>
  <c r="CH627" i="5" s="1"/>
  <c r="CC620" i="5"/>
  <c r="BC265" i="5"/>
  <c r="AU265" i="5"/>
  <c r="CP627" i="5" l="1"/>
  <c r="CJ627" i="5"/>
  <c r="CI627" i="5" s="1"/>
  <c r="CK627" i="5" s="1"/>
  <c r="BW620" i="5"/>
  <c r="BV620" i="5" s="1"/>
  <c r="BX620" i="5" s="1"/>
  <c r="AW265" i="5"/>
  <c r="AV265" i="5" s="1"/>
  <c r="CG628" i="5" l="1"/>
  <c r="CH628" i="5" s="1"/>
  <c r="BT621" i="5"/>
  <c r="BU621" i="5" s="1"/>
  <c r="AX265" i="5"/>
  <c r="AT266" i="5"/>
  <c r="CP628" i="5" l="1"/>
  <c r="CC621" i="5"/>
  <c r="BC266" i="5"/>
  <c r="AU266" i="5"/>
  <c r="CJ628" i="5" l="1"/>
  <c r="CI628" i="5" s="1"/>
  <c r="CK628" i="5" s="1"/>
  <c r="BW621" i="5"/>
  <c r="BV621" i="5" s="1"/>
  <c r="BX621" i="5" s="1"/>
  <c r="AW266" i="5"/>
  <c r="AV266" i="5" s="1"/>
  <c r="CG629" i="5" l="1"/>
  <c r="CH629" i="5" s="1"/>
  <c r="BT622" i="5"/>
  <c r="BU622" i="5" s="1"/>
  <c r="AX266" i="5"/>
  <c r="AT267" i="5"/>
  <c r="CP629" i="5" l="1"/>
  <c r="CC622" i="5"/>
  <c r="BC267" i="5"/>
  <c r="AU267" i="5"/>
  <c r="CJ629" i="5" l="1"/>
  <c r="BW622" i="5"/>
  <c r="BV622" i="5" s="1"/>
  <c r="BX622" i="5" s="1"/>
  <c r="AW267" i="5"/>
  <c r="AV267" i="5" s="1"/>
  <c r="AT268" i="5" l="1"/>
  <c r="BC268" i="5" s="1"/>
  <c r="CI629" i="5"/>
  <c r="CK629" i="5" s="1"/>
  <c r="BT623" i="5"/>
  <c r="BU623" i="5" s="1"/>
  <c r="AX267" i="5"/>
  <c r="AU268" i="5" l="1"/>
  <c r="AW268" i="5" s="1"/>
  <c r="CG630" i="5"/>
  <c r="CH630" i="5" s="1"/>
  <c r="CC623" i="5"/>
  <c r="CP630" i="5" l="1"/>
  <c r="CJ630" i="5"/>
  <c r="BW623" i="5"/>
  <c r="BV623" i="5" s="1"/>
  <c r="BX623" i="5" s="1"/>
  <c r="AV268" i="5"/>
  <c r="AT269" i="5" l="1"/>
  <c r="BC269" i="5" s="1"/>
  <c r="CI630" i="5"/>
  <c r="CK630" i="5" s="1"/>
  <c r="BT624" i="5"/>
  <c r="BU624" i="5" s="1"/>
  <c r="AX268" i="5"/>
  <c r="AU269" i="5" l="1"/>
  <c r="AW269" i="5" s="1"/>
  <c r="AV269" i="5" s="1"/>
  <c r="CG631" i="5"/>
  <c r="CH631" i="5" s="1"/>
  <c r="CC624" i="5"/>
  <c r="AT270" i="5" l="1"/>
  <c r="BC270" i="5" s="1"/>
  <c r="CP631" i="5"/>
  <c r="CJ631" i="5"/>
  <c r="CI631" i="5" s="1"/>
  <c r="BW624" i="5"/>
  <c r="BV624" i="5" s="1"/>
  <c r="BX624" i="5" s="1"/>
  <c r="AX269" i="5"/>
  <c r="AU270" i="5" l="1"/>
  <c r="AW270" i="5" s="1"/>
  <c r="AV270" i="5" s="1"/>
  <c r="CK631" i="5"/>
  <c r="CG632" i="5"/>
  <c r="CH632" i="5" s="1"/>
  <c r="BT625" i="5"/>
  <c r="BU625" i="5" s="1"/>
  <c r="AT271" i="5" l="1"/>
  <c r="BC271" i="5" s="1"/>
  <c r="CP632" i="5"/>
  <c r="CC625" i="5"/>
  <c r="AX270" i="5"/>
  <c r="AU271" i="5" l="1"/>
  <c r="AW271" i="5" s="1"/>
  <c r="AV271" i="5" s="1"/>
  <c r="CJ632" i="5"/>
  <c r="CI632" i="5" s="1"/>
  <c r="BW625" i="5"/>
  <c r="BV625" i="5" s="1"/>
  <c r="BX625" i="5" s="1"/>
  <c r="CK632" i="5" l="1"/>
  <c r="CG633" i="5"/>
  <c r="CH633" i="5" s="1"/>
  <c r="BT626" i="5"/>
  <c r="BU626" i="5" s="1"/>
  <c r="AX271" i="5"/>
  <c r="AT272" i="5"/>
  <c r="BC272" i="5" l="1"/>
  <c r="CP633" i="5"/>
  <c r="CC626" i="5"/>
  <c r="AU272" i="5"/>
  <c r="CJ633" i="5" l="1"/>
  <c r="CI633" i="5" s="1"/>
  <c r="CK633" i="5" s="1"/>
  <c r="BW626" i="5"/>
  <c r="BV626" i="5" s="1"/>
  <c r="BX626" i="5" s="1"/>
  <c r="AW272" i="5"/>
  <c r="AV272" i="5" s="1"/>
  <c r="CG634" i="5" l="1"/>
  <c r="CH634" i="5" s="1"/>
  <c r="BT627" i="5"/>
  <c r="BU627" i="5" s="1"/>
  <c r="AX272" i="5"/>
  <c r="AT273" i="5"/>
  <c r="BC273" i="5" l="1"/>
  <c r="CP634" i="5"/>
  <c r="CC627" i="5"/>
  <c r="AU273" i="5"/>
  <c r="AW273" i="5" l="1"/>
  <c r="AV273" i="5" s="1"/>
  <c r="AX273" i="5" s="1"/>
  <c r="CJ634" i="5"/>
  <c r="CI634" i="5" s="1"/>
  <c r="CK634" i="5" s="1"/>
  <c r="BW627" i="5"/>
  <c r="BV627" i="5" s="1"/>
  <c r="BX627" i="5" s="1"/>
  <c r="AT274" i="5" l="1"/>
  <c r="BC274" i="5" s="1"/>
  <c r="CG635" i="5"/>
  <c r="CH635" i="5" s="1"/>
  <c r="BT628" i="5"/>
  <c r="BU628" i="5" s="1"/>
  <c r="AU274" i="5" l="1"/>
  <c r="AW274" i="5" s="1"/>
  <c r="AV274" i="5" s="1"/>
  <c r="CP635" i="5"/>
  <c r="CC628" i="5"/>
  <c r="CJ635" i="5" l="1"/>
  <c r="CI635" i="5" s="1"/>
  <c r="CK635" i="5" s="1"/>
  <c r="BW628" i="5"/>
  <c r="BV628" i="5" s="1"/>
  <c r="BX628" i="5" s="1"/>
  <c r="AX274" i="5"/>
  <c r="AT275" i="5"/>
  <c r="CG636" i="5" l="1"/>
  <c r="CH636" i="5" s="1"/>
  <c r="BT629" i="5"/>
  <c r="BU629" i="5" s="1"/>
  <c r="BC275" i="5"/>
  <c r="AU275" i="5"/>
  <c r="CP636" i="5" l="1"/>
  <c r="CC629" i="5"/>
  <c r="AW275" i="5"/>
  <c r="AV275" i="5" s="1"/>
  <c r="AX275" i="5" l="1"/>
  <c r="CJ636" i="5"/>
  <c r="CI636" i="5" s="1"/>
  <c r="BW629" i="5"/>
  <c r="BV629" i="5" s="1"/>
  <c r="BX629" i="5" s="1"/>
  <c r="AT276" i="5"/>
  <c r="CK636" i="5" l="1"/>
  <c r="CG637" i="5"/>
  <c r="BT630" i="5"/>
  <c r="BU630" i="5" s="1"/>
  <c r="BC276" i="5"/>
  <c r="AU276" i="5"/>
  <c r="CP637" i="5" l="1"/>
  <c r="CH637" i="5"/>
  <c r="CC630" i="5"/>
  <c r="AW276" i="5"/>
  <c r="AV276" i="5" s="1"/>
  <c r="CJ637" i="5" l="1"/>
  <c r="CI637" i="5" s="1"/>
  <c r="BW630" i="5"/>
  <c r="BV630" i="5" s="1"/>
  <c r="BX630" i="5" s="1"/>
  <c r="AX276" i="5"/>
  <c r="AT277" i="5"/>
  <c r="CK637" i="5" l="1"/>
  <c r="CG638" i="5"/>
  <c r="CH638" i="5" s="1"/>
  <c r="BT631" i="5"/>
  <c r="BU631" i="5" s="1"/>
  <c r="BC277" i="5"/>
  <c r="AU277" i="5"/>
  <c r="CP638" i="5" l="1"/>
  <c r="CJ638" i="5"/>
  <c r="CC631" i="5"/>
  <c r="AW277" i="5"/>
  <c r="AV277" i="5" s="1"/>
  <c r="CI638" i="5" l="1"/>
  <c r="CK638" i="5" s="1"/>
  <c r="BW631" i="5"/>
  <c r="BV631" i="5" s="1"/>
  <c r="BX631" i="5" s="1"/>
  <c r="AX277" i="5"/>
  <c r="AT278" i="5"/>
  <c r="CG639" i="5" l="1"/>
  <c r="CH639" i="5" s="1"/>
  <c r="BT632" i="5"/>
  <c r="BU632" i="5" s="1"/>
  <c r="BC278" i="5"/>
  <c r="AU278" i="5"/>
  <c r="CP639" i="5" l="1"/>
  <c r="CJ639" i="5"/>
  <c r="CI639" i="5" s="1"/>
  <c r="CK639" i="5" s="1"/>
  <c r="CC632" i="5"/>
  <c r="AW278" i="5"/>
  <c r="AV278" i="5" s="1"/>
  <c r="AX278" i="5" l="1"/>
  <c r="CG640" i="5"/>
  <c r="CH640" i="5" s="1"/>
  <c r="BW632" i="5"/>
  <c r="BV632" i="5" s="1"/>
  <c r="BX632" i="5" s="1"/>
  <c r="AT279" i="5"/>
  <c r="CP640" i="5" l="1"/>
  <c r="BT633" i="5"/>
  <c r="BU633" i="5" s="1"/>
  <c r="BC279" i="5"/>
  <c r="AU279" i="5"/>
  <c r="CJ640" i="5" l="1"/>
  <c r="CI640" i="5" s="1"/>
  <c r="CK640" i="5" s="1"/>
  <c r="CC633" i="5"/>
  <c r="AW279" i="5"/>
  <c r="AV279" i="5" s="1"/>
  <c r="AX279" i="5" l="1"/>
  <c r="CG641" i="5"/>
  <c r="CH641" i="5" s="1"/>
  <c r="BW633" i="5"/>
  <c r="BV633" i="5" s="1"/>
  <c r="BX633" i="5" s="1"/>
  <c r="AT280" i="5"/>
  <c r="BC280" i="5" l="1"/>
  <c r="CP641" i="5"/>
  <c r="BT634" i="5"/>
  <c r="BU634" i="5" s="1"/>
  <c r="AU280" i="5"/>
  <c r="AW280" i="5" l="1"/>
  <c r="AV280" i="5" s="1"/>
  <c r="AT281" i="5" s="1"/>
  <c r="CJ641" i="5"/>
  <c r="CI641" i="5" s="1"/>
  <c r="CK641" i="5" s="1"/>
  <c r="CC634" i="5"/>
  <c r="AX280" i="5" l="1"/>
  <c r="CG642" i="5"/>
  <c r="CH642" i="5" s="1"/>
  <c r="BW634" i="5"/>
  <c r="BV634" i="5" s="1"/>
  <c r="BX634" i="5" s="1"/>
  <c r="BC281" i="5"/>
  <c r="AU281" i="5"/>
  <c r="CP642" i="5" l="1"/>
  <c r="BT635" i="5"/>
  <c r="BU635" i="5" s="1"/>
  <c r="AW281" i="5"/>
  <c r="AV281" i="5" s="1"/>
  <c r="AX281" i="5" l="1"/>
  <c r="CJ642" i="5"/>
  <c r="CC635" i="5"/>
  <c r="AT282" i="5"/>
  <c r="CI642" i="5" l="1"/>
  <c r="CK642" i="5" s="1"/>
  <c r="BW635" i="5"/>
  <c r="BV635" i="5" s="1"/>
  <c r="BX635" i="5" s="1"/>
  <c r="BC282" i="5"/>
  <c r="AU282" i="5"/>
  <c r="CG643" i="5" l="1"/>
  <c r="CH643" i="5" s="1"/>
  <c r="BT636" i="5"/>
  <c r="BU636" i="5" s="1"/>
  <c r="AW282" i="5"/>
  <c r="AV282" i="5" s="1"/>
  <c r="AX282" i="5" l="1"/>
  <c r="CP643" i="5"/>
  <c r="CJ643" i="5"/>
  <c r="CC636" i="5"/>
  <c r="AT283" i="5"/>
  <c r="CI643" i="5" l="1"/>
  <c r="CK643" i="5" s="1"/>
  <c r="BW636" i="5"/>
  <c r="BV636" i="5" s="1"/>
  <c r="BX636" i="5" s="1"/>
  <c r="BC283" i="5"/>
  <c r="AU283" i="5"/>
  <c r="CG644" i="5" l="1"/>
  <c r="CH644" i="5" s="1"/>
  <c r="BT637" i="5"/>
  <c r="BU637" i="5" s="1"/>
  <c r="AW283" i="5"/>
  <c r="AV283" i="5" s="1"/>
  <c r="CP644" i="5" l="1"/>
  <c r="CJ644" i="5"/>
  <c r="CC637" i="5"/>
  <c r="AX283" i="5"/>
  <c r="AT284" i="5"/>
  <c r="CI644" i="5" l="1"/>
  <c r="CK644" i="5" s="1"/>
  <c r="BW637" i="5"/>
  <c r="BV637" i="5" s="1"/>
  <c r="BX637" i="5" s="1"/>
  <c r="BC284" i="5"/>
  <c r="AU284" i="5"/>
  <c r="CG645" i="5" l="1"/>
  <c r="CH645" i="5" s="1"/>
  <c r="BT638" i="5"/>
  <c r="BU638" i="5" s="1"/>
  <c r="AW284" i="5"/>
  <c r="AV284" i="5" s="1"/>
  <c r="AX284" i="5" l="1"/>
  <c r="CP645" i="5"/>
  <c r="CJ645" i="5"/>
  <c r="CI645" i="5" s="1"/>
  <c r="CK645" i="5" s="1"/>
  <c r="CC638" i="5"/>
  <c r="AT285" i="5"/>
  <c r="CG646" i="5" l="1"/>
  <c r="CH646" i="5" s="1"/>
  <c r="BW638" i="5"/>
  <c r="BV638" i="5" s="1"/>
  <c r="BX638" i="5" s="1"/>
  <c r="BC285" i="5"/>
  <c r="AU285" i="5"/>
  <c r="CP646" i="5" l="1"/>
  <c r="BT639" i="5"/>
  <c r="BU639" i="5" s="1"/>
  <c r="AW285" i="5"/>
  <c r="AV285" i="5" s="1"/>
  <c r="AX285" i="5" l="1"/>
  <c r="CJ646" i="5"/>
  <c r="CC639" i="5"/>
  <c r="AT286" i="5"/>
  <c r="CI646" i="5" l="1"/>
  <c r="CK646" i="5" s="1"/>
  <c r="BW639" i="5"/>
  <c r="BV639" i="5" s="1"/>
  <c r="BX639" i="5" s="1"/>
  <c r="BC286" i="5"/>
  <c r="AU286" i="5"/>
  <c r="CG647" i="5" l="1"/>
  <c r="CH647" i="5" s="1"/>
  <c r="BT640" i="5"/>
  <c r="BU640" i="5" s="1"/>
  <c r="AW286" i="5"/>
  <c r="AV286" i="5" s="1"/>
  <c r="AX286" i="5" l="1"/>
  <c r="CP647" i="5"/>
  <c r="CJ647" i="5"/>
  <c r="CI647" i="5" s="1"/>
  <c r="CK647" i="5" s="1"/>
  <c r="CC640" i="5"/>
  <c r="AT287" i="5"/>
  <c r="CG648" i="5" l="1"/>
  <c r="CH648" i="5" s="1"/>
  <c r="BW640" i="5"/>
  <c r="BV640" i="5" s="1"/>
  <c r="BX640" i="5" s="1"/>
  <c r="BC287" i="5"/>
  <c r="AU287" i="5"/>
  <c r="CP648" i="5" l="1"/>
  <c r="BT641" i="5"/>
  <c r="BU641" i="5" s="1"/>
  <c r="AW287" i="5"/>
  <c r="AV287" i="5" s="1"/>
  <c r="AX287" i="5" l="1"/>
  <c r="CJ648" i="5"/>
  <c r="CC641" i="5"/>
  <c r="AT288" i="5"/>
  <c r="CI648" i="5" l="1"/>
  <c r="CK648" i="5" s="1"/>
  <c r="BW641" i="5"/>
  <c r="BV641" i="5" s="1"/>
  <c r="BX641" i="5" s="1"/>
  <c r="BC288" i="5"/>
  <c r="AU288" i="5"/>
  <c r="CG649" i="5" l="1"/>
  <c r="CH649" i="5" s="1"/>
  <c r="BT642" i="5"/>
  <c r="BU642" i="5" s="1"/>
  <c r="AW288" i="5"/>
  <c r="AV288" i="5" s="1"/>
  <c r="AX288" i="5" l="1"/>
  <c r="CP649" i="5"/>
  <c r="CJ649" i="5"/>
  <c r="CI649" i="5" s="1"/>
  <c r="CC642" i="5"/>
  <c r="AT289" i="5"/>
  <c r="BC289" i="5" l="1"/>
  <c r="CK649" i="5"/>
  <c r="CG650" i="5"/>
  <c r="CH650" i="5" s="1"/>
  <c r="BW642" i="5"/>
  <c r="BV642" i="5" s="1"/>
  <c r="BX642" i="5" s="1"/>
  <c r="AU289" i="5"/>
  <c r="CP650" i="5" l="1"/>
  <c r="BT643" i="5"/>
  <c r="BU643" i="5" s="1"/>
  <c r="AW289" i="5"/>
  <c r="AV289" i="5" s="1"/>
  <c r="AX289" i="5" l="1"/>
  <c r="CJ650" i="5"/>
  <c r="CC643" i="5"/>
  <c r="AT290" i="5"/>
  <c r="BC290" i="5" l="1"/>
  <c r="CI650" i="5"/>
  <c r="CK650" i="5" s="1"/>
  <c r="BW643" i="5"/>
  <c r="BV643" i="5" s="1"/>
  <c r="AU290" i="5"/>
  <c r="AW290" i="5" l="1"/>
  <c r="AV290" i="5" s="1"/>
  <c r="CG651" i="5"/>
  <c r="CH651" i="5" s="1"/>
  <c r="BX643" i="5"/>
  <c r="BT644" i="5"/>
  <c r="BU644" i="5" s="1"/>
  <c r="AT291" i="5" l="1"/>
  <c r="AU291" i="5" s="1"/>
  <c r="CP651" i="5"/>
  <c r="CJ651" i="5"/>
  <c r="CC644" i="5"/>
  <c r="AX290" i="5"/>
  <c r="BC291" i="5" l="1"/>
  <c r="AW291" i="5"/>
  <c r="AV291" i="5" s="1"/>
  <c r="AX291" i="5" s="1"/>
  <c r="CI651" i="5"/>
  <c r="CK651" i="5" s="1"/>
  <c r="BW644" i="5"/>
  <c r="BV644" i="5" s="1"/>
  <c r="BX644" i="5" s="1"/>
  <c r="AT292" i="5" l="1"/>
  <c r="BC292" i="5" s="1"/>
  <c r="CG652" i="5"/>
  <c r="CH652" i="5" s="1"/>
  <c r="BT645" i="5"/>
  <c r="BU645" i="5" s="1"/>
  <c r="AU292" i="5" l="1"/>
  <c r="AW292" i="5" s="1"/>
  <c r="AV292" i="5" s="1"/>
  <c r="CP652" i="5"/>
  <c r="CJ652" i="5"/>
  <c r="CI652" i="5" s="1"/>
  <c r="CK652" i="5" s="1"/>
  <c r="CC645" i="5"/>
  <c r="AX292" i="5" l="1"/>
  <c r="CG653" i="5"/>
  <c r="CH653" i="5" s="1"/>
  <c r="BW645" i="5"/>
  <c r="BV645" i="5" s="1"/>
  <c r="BX645" i="5" s="1"/>
  <c r="AT293" i="5"/>
  <c r="CP653" i="5" l="1"/>
  <c r="BT646" i="5"/>
  <c r="BU646" i="5" s="1"/>
  <c r="BC293" i="5"/>
  <c r="AU293" i="5"/>
  <c r="CJ653" i="5" l="1"/>
  <c r="CC646" i="5"/>
  <c r="AW293" i="5"/>
  <c r="AV293" i="5" s="1"/>
  <c r="AX293" i="5" l="1"/>
  <c r="CI653" i="5"/>
  <c r="CK653" i="5" s="1"/>
  <c r="BW646" i="5"/>
  <c r="BV646" i="5" s="1"/>
  <c r="BX646" i="5" s="1"/>
  <c r="AT294" i="5"/>
  <c r="CG654" i="5" l="1"/>
  <c r="CH654" i="5" s="1"/>
  <c r="BT647" i="5"/>
  <c r="BU647" i="5" s="1"/>
  <c r="BC294" i="5"/>
  <c r="AU294" i="5"/>
  <c r="CP654" i="5" l="1"/>
  <c r="CJ654" i="5"/>
  <c r="CI654" i="5" s="1"/>
  <c r="CC647" i="5"/>
  <c r="AW294" i="5"/>
  <c r="AV294" i="5" s="1"/>
  <c r="AX294" i="5" l="1"/>
  <c r="CK654" i="5"/>
  <c r="CG655" i="5"/>
  <c r="CH655" i="5" s="1"/>
  <c r="BW647" i="5"/>
  <c r="BV647" i="5" s="1"/>
  <c r="BX647" i="5" s="1"/>
  <c r="AT295" i="5"/>
  <c r="CP655" i="5" l="1"/>
  <c r="BT648" i="5"/>
  <c r="BU648" i="5" s="1"/>
  <c r="BC295" i="5"/>
  <c r="AU295" i="5"/>
  <c r="CJ655" i="5" l="1"/>
  <c r="CC648" i="5"/>
  <c r="AW295" i="5"/>
  <c r="CI655" i="5" l="1"/>
  <c r="CK655" i="5" s="1"/>
  <c r="BW648" i="5"/>
  <c r="BV648" i="5" s="1"/>
  <c r="BX648" i="5" s="1"/>
  <c r="AV295" i="5"/>
  <c r="CG656" i="5" l="1"/>
  <c r="CH656" i="5" s="1"/>
  <c r="AT296" i="5"/>
  <c r="AU296" i="5" s="1"/>
  <c r="BT649" i="5"/>
  <c r="BU649" i="5" s="1"/>
  <c r="AX295" i="5"/>
  <c r="CP656" i="5" l="1"/>
  <c r="BC296" i="5"/>
  <c r="AW296" i="5"/>
  <c r="AV296" i="5" s="1"/>
  <c r="CJ656" i="5"/>
  <c r="CI656" i="5" s="1"/>
  <c r="CK656" i="5" s="1"/>
  <c r="CC649" i="5"/>
  <c r="AX296" i="5" l="1"/>
  <c r="CG657" i="5"/>
  <c r="CH657" i="5" s="1"/>
  <c r="BW649" i="5"/>
  <c r="BV649" i="5" s="1"/>
  <c r="BX649" i="5" s="1"/>
  <c r="AT297" i="5"/>
  <c r="AU297" i="5" l="1"/>
  <c r="AW297" i="5" s="1"/>
  <c r="AV297" i="5" s="1"/>
  <c r="CP657" i="5"/>
  <c r="BT650" i="5"/>
  <c r="BU650" i="5" s="1"/>
  <c r="BC297" i="5"/>
  <c r="AT298" i="5" l="1"/>
  <c r="AU298" i="5" s="1"/>
  <c r="CJ657" i="5"/>
  <c r="CI657" i="5" s="1"/>
  <c r="CK657" i="5" s="1"/>
  <c r="CC650" i="5"/>
  <c r="AX297" i="5"/>
  <c r="BC298" i="5" l="1"/>
  <c r="CG658" i="5"/>
  <c r="CH658" i="5" s="1"/>
  <c r="BW650" i="5"/>
  <c r="BV650" i="5" s="1"/>
  <c r="BX650" i="5" s="1"/>
  <c r="AW298" i="5"/>
  <c r="CP658" i="5" l="1"/>
  <c r="BT651" i="5"/>
  <c r="BU651" i="5" s="1"/>
  <c r="AV298" i="5"/>
  <c r="AX298" i="5" l="1"/>
  <c r="CJ658" i="5"/>
  <c r="CI658" i="5" s="1"/>
  <c r="CK658" i="5" s="1"/>
  <c r="CC651" i="5"/>
  <c r="AT299" i="5"/>
  <c r="BC299" i="5" l="1"/>
  <c r="CG659" i="5"/>
  <c r="CH659" i="5" s="1"/>
  <c r="BW651" i="5"/>
  <c r="BV651" i="5" s="1"/>
  <c r="BX651" i="5" s="1"/>
  <c r="AU299" i="5"/>
  <c r="AW299" i="5" l="1"/>
  <c r="AV299" i="5" s="1"/>
  <c r="AT300" i="5" s="1"/>
  <c r="CP659" i="5"/>
  <c r="BT652" i="5"/>
  <c r="BU652" i="5" s="1"/>
  <c r="AX299" i="5" l="1"/>
  <c r="CJ659" i="5"/>
  <c r="CC652" i="5"/>
  <c r="BC300" i="5"/>
  <c r="AU300" i="5"/>
  <c r="CI659" i="5" l="1"/>
  <c r="CK659" i="5" s="1"/>
  <c r="BW652" i="5"/>
  <c r="BV652" i="5" s="1"/>
  <c r="BX652" i="5" s="1"/>
  <c r="AW300" i="5"/>
  <c r="AV300" i="5" s="1"/>
  <c r="AX300" i="5" l="1"/>
  <c r="CG660" i="5"/>
  <c r="CH660" i="5" s="1"/>
  <c r="BT653" i="5"/>
  <c r="BU653" i="5" s="1"/>
  <c r="AT301" i="5"/>
  <c r="CP660" i="5" l="1"/>
  <c r="CJ660" i="5"/>
  <c r="CI660" i="5" s="1"/>
  <c r="CK660" i="5" s="1"/>
  <c r="CC653" i="5"/>
  <c r="BC301" i="5"/>
  <c r="AU301" i="5"/>
  <c r="CG661" i="5" l="1"/>
  <c r="CH661" i="5" s="1"/>
  <c r="BW653" i="5"/>
  <c r="BV653" i="5" s="1"/>
  <c r="BX653" i="5" s="1"/>
  <c r="AW301" i="5"/>
  <c r="AV301" i="5" s="1"/>
  <c r="AX301" i="5" l="1"/>
  <c r="CP661" i="5"/>
  <c r="BT654" i="5"/>
  <c r="BU654" i="5" s="1"/>
  <c r="AT302" i="5"/>
  <c r="CJ661" i="5" l="1"/>
  <c r="CI661" i="5" s="1"/>
  <c r="CK661" i="5" s="1"/>
  <c r="CC654" i="5"/>
  <c r="BC302" i="5"/>
  <c r="AU302" i="5"/>
  <c r="CG662" i="5" l="1"/>
  <c r="CH662" i="5" s="1"/>
  <c r="BW654" i="5"/>
  <c r="BV654" i="5" s="1"/>
  <c r="BX654" i="5" s="1"/>
  <c r="AW302" i="5"/>
  <c r="AV302" i="5" s="1"/>
  <c r="CP662" i="5" l="1"/>
  <c r="BT655" i="5"/>
  <c r="BU655" i="5" s="1"/>
  <c r="AX302" i="5"/>
  <c r="AT303" i="5"/>
  <c r="CJ662" i="5" l="1"/>
  <c r="CC655" i="5"/>
  <c r="BC303" i="5"/>
  <c r="AU303" i="5"/>
  <c r="CI662" i="5" l="1"/>
  <c r="CK662" i="5" s="1"/>
  <c r="BW655" i="5"/>
  <c r="BV655" i="5" s="1"/>
  <c r="BX655" i="5" s="1"/>
  <c r="AW303" i="5"/>
  <c r="AV303" i="5" s="1"/>
  <c r="CG663" i="5" l="1"/>
  <c r="CH663" i="5" s="1"/>
  <c r="AX303" i="5"/>
  <c r="BT656" i="5"/>
  <c r="BU656" i="5" s="1"/>
  <c r="AT304" i="5"/>
  <c r="CP663" i="5" l="1"/>
  <c r="CJ663" i="5"/>
  <c r="CI663" i="5" s="1"/>
  <c r="CK663" i="5" s="1"/>
  <c r="CC656" i="5"/>
  <c r="BC304" i="5"/>
  <c r="AU304" i="5"/>
  <c r="CG664" i="5" l="1"/>
  <c r="CH664" i="5" s="1"/>
  <c r="BW656" i="5"/>
  <c r="BV656" i="5" s="1"/>
  <c r="BX656" i="5" s="1"/>
  <c r="AW304" i="5"/>
  <c r="AV304" i="5" s="1"/>
  <c r="AX304" i="5" l="1"/>
  <c r="CP664" i="5"/>
  <c r="BT657" i="5"/>
  <c r="BU657" i="5" s="1"/>
  <c r="AT305" i="5"/>
  <c r="BC305" i="5" l="1"/>
  <c r="CJ664" i="5"/>
  <c r="CC657" i="5"/>
  <c r="AU305" i="5"/>
  <c r="CI664" i="5" l="1"/>
  <c r="CK664" i="5" s="1"/>
  <c r="BW657" i="5"/>
  <c r="BV657" i="5" s="1"/>
  <c r="BX657" i="5" s="1"/>
  <c r="AW305" i="5"/>
  <c r="AV305" i="5" s="1"/>
  <c r="AT306" i="5" l="1"/>
  <c r="BC306" i="5" s="1"/>
  <c r="CG665" i="5"/>
  <c r="CH665" i="5" s="1"/>
  <c r="BT658" i="5"/>
  <c r="BU658" i="5" s="1"/>
  <c r="AX305" i="5"/>
  <c r="AU306" i="5" l="1"/>
  <c r="AW306" i="5" s="1"/>
  <c r="AV306" i="5" s="1"/>
  <c r="CP665" i="5"/>
  <c r="CJ665" i="5"/>
  <c r="CI665" i="5" s="1"/>
  <c r="CK665" i="5" s="1"/>
  <c r="CC658" i="5"/>
  <c r="AX306" i="5" l="1"/>
  <c r="CG666" i="5"/>
  <c r="CH666" i="5" s="1"/>
  <c r="BW658" i="5"/>
  <c r="BV658" i="5" s="1"/>
  <c r="BX658" i="5" s="1"/>
  <c r="AT307" i="5"/>
  <c r="CP666" i="5" l="1"/>
  <c r="BT659" i="5"/>
  <c r="BU659" i="5" s="1"/>
  <c r="BC307" i="5"/>
  <c r="AU307" i="5"/>
  <c r="CJ666" i="5" l="1"/>
  <c r="CC659" i="5"/>
  <c r="AW307" i="5"/>
  <c r="AV307" i="5" s="1"/>
  <c r="AX307" i="5" l="1"/>
  <c r="CI666" i="5"/>
  <c r="CK666" i="5" s="1"/>
  <c r="BW659" i="5"/>
  <c r="BV659" i="5" s="1"/>
  <c r="BX659" i="5" s="1"/>
  <c r="AT308" i="5"/>
  <c r="CG667" i="5" l="1"/>
  <c r="CH667" i="5" s="1"/>
  <c r="BT660" i="5"/>
  <c r="BU660" i="5" s="1"/>
  <c r="BC308" i="5"/>
  <c r="AU308" i="5"/>
  <c r="CP667" i="5" l="1"/>
  <c r="CJ667" i="5"/>
  <c r="CC660" i="5"/>
  <c r="AW308" i="5"/>
  <c r="CI667" i="5" l="1"/>
  <c r="CK667" i="5" s="1"/>
  <c r="BW660" i="5"/>
  <c r="BV660" i="5" s="1"/>
  <c r="BX660" i="5" s="1"/>
  <c r="AV308" i="5"/>
  <c r="AX308" i="5" l="1"/>
  <c r="CG668" i="5"/>
  <c r="CH668" i="5" s="1"/>
  <c r="BT661" i="5"/>
  <c r="BU661" i="5" s="1"/>
  <c r="AT309" i="5"/>
  <c r="BC309" i="5" l="1"/>
  <c r="CP668" i="5"/>
  <c r="CJ668" i="5"/>
  <c r="CI668" i="5" s="1"/>
  <c r="CK668" i="5" s="1"/>
  <c r="CC661" i="5"/>
  <c r="AU309" i="5"/>
  <c r="AW309" i="5" l="1"/>
  <c r="AV309" i="5" s="1"/>
  <c r="CG669" i="5"/>
  <c r="CH669" i="5" s="1"/>
  <c r="BW661" i="5"/>
  <c r="BV661" i="5" s="1"/>
  <c r="BX661" i="5" s="1"/>
  <c r="AX309" i="5" l="1"/>
  <c r="CP669" i="5"/>
  <c r="BT662" i="5"/>
  <c r="BU662" i="5" s="1"/>
  <c r="AT310" i="5"/>
  <c r="BC310" i="5" l="1"/>
  <c r="CJ669" i="5"/>
  <c r="CC662" i="5"/>
  <c r="AU310" i="5"/>
  <c r="AW310" i="5" l="1"/>
  <c r="AV310" i="5" s="1"/>
  <c r="CI669" i="5"/>
  <c r="CK669" i="5" s="1"/>
  <c r="BW662" i="5"/>
  <c r="BV662" i="5" s="1"/>
  <c r="BX662" i="5" s="1"/>
  <c r="AX310" i="5" l="1"/>
  <c r="CG670" i="5"/>
  <c r="CH670" i="5" s="1"/>
  <c r="BT663" i="5"/>
  <c r="BU663" i="5" s="1"/>
  <c r="AT311" i="5"/>
  <c r="BC311" i="5" l="1"/>
  <c r="CP670" i="5"/>
  <c r="CJ670" i="5"/>
  <c r="CC663" i="5"/>
  <c r="AU311" i="5"/>
  <c r="AW311" i="5" l="1"/>
  <c r="AV311" i="5" s="1"/>
  <c r="CI670" i="5"/>
  <c r="CK670" i="5" s="1"/>
  <c r="BW663" i="5"/>
  <c r="BV663" i="5" s="1"/>
  <c r="BX663" i="5" s="1"/>
  <c r="AX311" i="5" l="1"/>
  <c r="CG671" i="5"/>
  <c r="CH671" i="5" s="1"/>
  <c r="BT664" i="5"/>
  <c r="BU664" i="5" s="1"/>
  <c r="AT312" i="5"/>
  <c r="BC312" i="5" l="1"/>
  <c r="CP671" i="5"/>
  <c r="CJ671" i="5"/>
  <c r="CI671" i="5" s="1"/>
  <c r="CC664" i="5"/>
  <c r="AU312" i="5"/>
  <c r="AW312" i="5" l="1"/>
  <c r="AV312" i="5" s="1"/>
  <c r="AT313" i="5" s="1"/>
  <c r="CK671" i="5"/>
  <c r="CG672" i="5"/>
  <c r="CH672" i="5" s="1"/>
  <c r="BW664" i="5"/>
  <c r="BV664" i="5" s="1"/>
  <c r="BX664" i="5" s="1"/>
  <c r="BC313" i="5" l="1"/>
  <c r="AX312" i="5"/>
  <c r="CP672" i="5"/>
  <c r="AU313" i="5"/>
  <c r="BT665" i="5"/>
  <c r="BU665" i="5" s="1"/>
  <c r="AW313" i="5" l="1"/>
  <c r="AV313" i="5" s="1"/>
  <c r="CJ672" i="5"/>
  <c r="CC665" i="5"/>
  <c r="AX313" i="5" l="1"/>
  <c r="CI672" i="5"/>
  <c r="CK672" i="5" s="1"/>
  <c r="BW665" i="5"/>
  <c r="BV665" i="5" s="1"/>
  <c r="BX665" i="5" s="1"/>
  <c r="AT314" i="5"/>
  <c r="BC314" i="5" l="1"/>
  <c r="CG673" i="5"/>
  <c r="CH673" i="5" s="1"/>
  <c r="BT666" i="5"/>
  <c r="BU666" i="5" s="1"/>
  <c r="AU314" i="5"/>
  <c r="AW314" i="5" l="1"/>
  <c r="AV314" i="5" s="1"/>
  <c r="AX314" i="5" s="1"/>
  <c r="CP673" i="5"/>
  <c r="CJ673" i="5"/>
  <c r="CC666" i="5"/>
  <c r="AT315" i="5" l="1"/>
  <c r="BC315" i="5" s="1"/>
  <c r="CI673" i="5"/>
  <c r="CK673" i="5" s="1"/>
  <c r="BW666" i="5"/>
  <c r="BV666" i="5" s="1"/>
  <c r="BX666" i="5" s="1"/>
  <c r="AU315" i="5" l="1"/>
  <c r="AW315" i="5" s="1"/>
  <c r="AV315" i="5" s="1"/>
  <c r="CG674" i="5"/>
  <c r="CH674" i="5" s="1"/>
  <c r="BT667" i="5"/>
  <c r="CP674" i="5" l="1"/>
  <c r="CJ674" i="5"/>
  <c r="CC667" i="5"/>
  <c r="BU667" i="5"/>
  <c r="BW667" i="5" s="1"/>
  <c r="AX315" i="5"/>
  <c r="AT316" i="5"/>
  <c r="CI674" i="5" l="1"/>
  <c r="CK674" i="5" s="1"/>
  <c r="BV667" i="5"/>
  <c r="BX667" i="5" s="1"/>
  <c r="BC316" i="5"/>
  <c r="AU316" i="5"/>
  <c r="BT668" i="5" l="1"/>
  <c r="BU668" i="5" s="1"/>
  <c r="AW316" i="5"/>
  <c r="AV316" i="5" s="1"/>
  <c r="AX316" i="5" l="1"/>
  <c r="CC668" i="5"/>
  <c r="BW668" i="5"/>
  <c r="BV668" i="5" s="1"/>
  <c r="BX668" i="5" s="1"/>
  <c r="AT317" i="5"/>
  <c r="BT669" i="5" l="1"/>
  <c r="BU669" i="5" s="1"/>
  <c r="BC317" i="5"/>
  <c r="AU317" i="5"/>
  <c r="CC669" i="5" l="1"/>
  <c r="AW317" i="5"/>
  <c r="AV317" i="5" s="1"/>
  <c r="BW669" i="5" l="1"/>
  <c r="BV669" i="5" s="1"/>
  <c r="BX669" i="5" s="1"/>
  <c r="AX317" i="5"/>
  <c r="AT318" i="5"/>
  <c r="BT670" i="5" l="1"/>
  <c r="BU670" i="5" s="1"/>
  <c r="BC318" i="5"/>
  <c r="AU318" i="5"/>
  <c r="CC670" i="5" l="1"/>
  <c r="AW318" i="5"/>
  <c r="AV318" i="5" s="1"/>
  <c r="AX318" i="5" l="1"/>
  <c r="BW670" i="5"/>
  <c r="BV670" i="5" s="1"/>
  <c r="BX670" i="5" s="1"/>
  <c r="AT319" i="5"/>
  <c r="BT671" i="5" l="1"/>
  <c r="BU671" i="5" s="1"/>
  <c r="BC319" i="5"/>
  <c r="AU319" i="5"/>
  <c r="CC671" i="5" l="1"/>
  <c r="AW319" i="5"/>
  <c r="AV319" i="5" s="1"/>
  <c r="AX319" i="5" l="1"/>
  <c r="BW671" i="5"/>
  <c r="BV671" i="5" s="1"/>
  <c r="BX671" i="5" s="1"/>
  <c r="AT320" i="5"/>
  <c r="BT672" i="5" l="1"/>
  <c r="BU672" i="5" s="1"/>
  <c r="BC320" i="5"/>
  <c r="AU320" i="5"/>
  <c r="CC672" i="5" l="1"/>
  <c r="AW320" i="5"/>
  <c r="AV320" i="5" s="1"/>
  <c r="AX320" i="5" l="1"/>
  <c r="BW672" i="5"/>
  <c r="BV672" i="5" s="1"/>
  <c r="BX672" i="5" s="1"/>
  <c r="AT321" i="5"/>
  <c r="BT673" i="5" l="1"/>
  <c r="BU673" i="5" s="1"/>
  <c r="BC321" i="5"/>
  <c r="AU321" i="5"/>
  <c r="CC673" i="5" l="1"/>
  <c r="AW321" i="5"/>
  <c r="AV321" i="5" s="1"/>
  <c r="AX321" i="5" l="1"/>
  <c r="BW673" i="5"/>
  <c r="BV673" i="5" s="1"/>
  <c r="BX673" i="5" s="1"/>
  <c r="AT322" i="5"/>
  <c r="BT674" i="5" l="1"/>
  <c r="BU674" i="5" s="1"/>
  <c r="BC322" i="5"/>
  <c r="AU322" i="5"/>
  <c r="CC674" i="5" l="1"/>
  <c r="AW322" i="5"/>
  <c r="AV322" i="5" s="1"/>
  <c r="CD2" i="5" l="1" a="1"/>
  <c r="CD2" i="5" s="1"/>
  <c r="CQ2" i="5" a="1"/>
  <c r="CQ2" i="5" s="1"/>
  <c r="BW674" i="5"/>
  <c r="BV674" i="5" s="1"/>
  <c r="BX674" i="5" s="1"/>
  <c r="AX322" i="5"/>
  <c r="AT323" i="5"/>
  <c r="BC323" i="5" l="1"/>
  <c r="AU323" i="5"/>
  <c r="AW323" i="5" l="1"/>
  <c r="AV323" i="5" s="1"/>
  <c r="AX323" i="5" l="1"/>
  <c r="AT324" i="5"/>
  <c r="BC324" i="5" l="1"/>
  <c r="AU324" i="5"/>
  <c r="AW324" i="5" l="1"/>
  <c r="AV324" i="5" s="1"/>
  <c r="AX324" i="5" l="1"/>
  <c r="AT325" i="5"/>
  <c r="BC325" i="5" l="1"/>
  <c r="AU325" i="5"/>
  <c r="AW325" i="5" l="1"/>
  <c r="AV325" i="5" l="1"/>
  <c r="AX325" i="5" l="1"/>
  <c r="AT326" i="5"/>
  <c r="BC326" i="5" l="1"/>
  <c r="AU326" i="5"/>
  <c r="AW326" i="5" l="1"/>
  <c r="AV326" i="5" s="1"/>
  <c r="AX326" i="5" l="1"/>
  <c r="AT327" i="5"/>
  <c r="BC327" i="5" l="1"/>
  <c r="AU327" i="5"/>
  <c r="AW327" i="5" l="1"/>
  <c r="AV327" i="5" s="1"/>
  <c r="AX327" i="5" l="1"/>
  <c r="AT328" i="5"/>
  <c r="BC328" i="5" l="1"/>
  <c r="AU328" i="5"/>
  <c r="AW328" i="5" l="1"/>
  <c r="AV328" i="5" s="1"/>
  <c r="AX328" i="5" l="1"/>
  <c r="AT329" i="5"/>
  <c r="BC329" i="5" l="1"/>
  <c r="AU329" i="5"/>
  <c r="AW329" i="5" l="1"/>
  <c r="AV329" i="5" s="1"/>
  <c r="AT330" i="5" s="1"/>
  <c r="BC330" i="5" l="1"/>
  <c r="AX329" i="5"/>
  <c r="AU330" i="5"/>
  <c r="AW330" i="5" l="1"/>
  <c r="AV330" i="5" s="1"/>
  <c r="AT331" i="5" s="1"/>
  <c r="AX330" i="5" l="1"/>
  <c r="BC331" i="5"/>
  <c r="AU331" i="5"/>
  <c r="AW331" i="5" l="1"/>
  <c r="AV331" i="5" s="1"/>
  <c r="AT332" i="5" l="1"/>
  <c r="AU332" i="5" s="1"/>
  <c r="AX331" i="5"/>
  <c r="BC332" i="5" l="1"/>
  <c r="AW332" i="5"/>
  <c r="AV332" i="5" l="1"/>
  <c r="AT333" i="5" l="1"/>
  <c r="AX332" i="5"/>
  <c r="BC333" i="5" l="1"/>
  <c r="AU333" i="5"/>
  <c r="AW333" i="5" s="1"/>
  <c r="AV333" i="5" l="1"/>
  <c r="AX333" i="5" s="1"/>
  <c r="AT334" i="5" l="1"/>
  <c r="BC334" i="5" s="1"/>
  <c r="AU334" i="5" l="1"/>
  <c r="AW334" i="5" s="1"/>
  <c r="AV334" i="5" l="1"/>
  <c r="AX334" i="5" s="1"/>
  <c r="AT335" i="5" l="1"/>
  <c r="BC335" i="5" s="1"/>
  <c r="AU335" i="5" l="1"/>
  <c r="AW335" i="5" s="1"/>
  <c r="AV335" i="5" s="1"/>
  <c r="AX335" i="5" l="1"/>
  <c r="AT336" i="5"/>
  <c r="AU336" i="5" l="1"/>
  <c r="BC336" i="5"/>
  <c r="AW336" i="5" l="1"/>
  <c r="AV336" i="5" s="1"/>
  <c r="AT337" i="5" s="1"/>
  <c r="BC337" i="5" l="1"/>
  <c r="AX336" i="5"/>
  <c r="AU337" i="5"/>
  <c r="AW337" i="5" l="1"/>
  <c r="AV337" i="5" s="1"/>
  <c r="AX337" i="5" s="1"/>
  <c r="AT338" i="5" l="1"/>
  <c r="BC338" i="5" s="1"/>
  <c r="AU338" i="5" l="1"/>
  <c r="AW338" i="5" s="1"/>
  <c r="AV338" i="5" s="1"/>
  <c r="AX338" i="5" l="1"/>
  <c r="AT339" i="5"/>
  <c r="BC339" i="5" l="1"/>
  <c r="AU339" i="5"/>
  <c r="AW339" i="5" l="1"/>
  <c r="AV339" i="5" s="1"/>
  <c r="AX339" i="5" l="1"/>
  <c r="AT340" i="5"/>
  <c r="BC340" i="5" l="1"/>
  <c r="AU340" i="5"/>
  <c r="AW340" i="5" l="1"/>
  <c r="AV340" i="5" s="1"/>
  <c r="AX340" i="5" l="1"/>
  <c r="AT341" i="5"/>
  <c r="BC341" i="5" l="1"/>
  <c r="AU341" i="5"/>
  <c r="AW341" i="5" l="1"/>
  <c r="AV341" i="5" s="1"/>
  <c r="AX341" i="5" l="1"/>
  <c r="AT342" i="5"/>
  <c r="BC342" i="5" l="1"/>
  <c r="AU342" i="5"/>
  <c r="AW342" i="5" l="1"/>
  <c r="AV342" i="5" s="1"/>
  <c r="AX342" i="5" s="1"/>
  <c r="AT343" i="5" l="1"/>
  <c r="BC343" i="5" l="1"/>
  <c r="AU343" i="5"/>
  <c r="AW343" i="5" l="1"/>
  <c r="AV343" i="5" s="1"/>
  <c r="AT344" i="5" l="1"/>
  <c r="AX343" i="5"/>
  <c r="BC344" i="5" l="1"/>
  <c r="AU344" i="5"/>
  <c r="AW344" i="5" l="1"/>
  <c r="AV344" i="5" s="1"/>
  <c r="AT345" i="5" s="1"/>
  <c r="BC345" i="5" l="1"/>
  <c r="AU345" i="5"/>
  <c r="AX344" i="5"/>
  <c r="AW345" i="5" l="1"/>
  <c r="AV345" i="5" s="1"/>
  <c r="AX345" i="5" l="1"/>
  <c r="AT346" i="5"/>
  <c r="BC346" i="5" l="1"/>
  <c r="AU346" i="5"/>
  <c r="AW346" i="5" l="1"/>
  <c r="AV346" i="5" s="1"/>
  <c r="AT347" i="5" s="1"/>
  <c r="AU347" i="5" l="1"/>
  <c r="BC347" i="5"/>
  <c r="AX346" i="5"/>
  <c r="AW347" i="5" l="1"/>
  <c r="AV347" i="5" s="1"/>
  <c r="AX347" i="5" l="1"/>
  <c r="AT348" i="5"/>
  <c r="BC348" i="5" l="1"/>
  <c r="AU348" i="5"/>
  <c r="AW348" i="5" l="1"/>
  <c r="AV348" i="5" s="1"/>
  <c r="AX348" i="5" l="1"/>
  <c r="AT349" i="5"/>
  <c r="BC349" i="5" l="1"/>
  <c r="AU349" i="5"/>
  <c r="AW349" i="5" l="1"/>
  <c r="AV349" i="5" s="1"/>
  <c r="AX349" i="5" l="1"/>
  <c r="AT350" i="5"/>
  <c r="BC350" i="5" l="1"/>
  <c r="AU350" i="5"/>
  <c r="AW350" i="5" l="1"/>
  <c r="AV350" i="5" s="1"/>
  <c r="AX350" i="5" l="1"/>
  <c r="AT351" i="5"/>
  <c r="BC351" i="5" l="1"/>
  <c r="AU351" i="5"/>
  <c r="AW351" i="5" l="1"/>
  <c r="AV351" i="5" s="1"/>
  <c r="AX351" i="5" l="1"/>
  <c r="AT352" i="5"/>
  <c r="BC352" i="5" l="1"/>
  <c r="AU352" i="5"/>
  <c r="AW352" i="5" l="1"/>
  <c r="AV352" i="5" s="1"/>
  <c r="AT353" i="5" s="1"/>
  <c r="BC353" i="5" l="1"/>
  <c r="AU353" i="5"/>
  <c r="AX352" i="5"/>
  <c r="AW353" i="5" l="1"/>
  <c r="AV353" i="5" s="1"/>
  <c r="AX353" i="5" l="1"/>
  <c r="AT354" i="5"/>
  <c r="BC354" i="5" l="1"/>
  <c r="AU354" i="5"/>
  <c r="AW354" i="5" l="1"/>
  <c r="AV354" i="5" s="1"/>
  <c r="AX354" i="5" l="1"/>
  <c r="AT355" i="5"/>
  <c r="BC355" i="5" l="1"/>
  <c r="AU355" i="5"/>
  <c r="AW355" i="5" l="1"/>
  <c r="AV355" i="5" s="1"/>
  <c r="AX355" i="5" l="1"/>
  <c r="AT356" i="5"/>
  <c r="BC356" i="5" l="1"/>
  <c r="AU356" i="5"/>
  <c r="AW356" i="5" l="1"/>
  <c r="AV356" i="5" s="1"/>
  <c r="AX356" i="5" l="1"/>
  <c r="AT357" i="5"/>
  <c r="BC357" i="5" l="1"/>
  <c r="AU357" i="5"/>
  <c r="AW357" i="5" l="1"/>
  <c r="AV357" i="5" s="1"/>
  <c r="AT358" i="5" l="1"/>
  <c r="AX357" i="5"/>
  <c r="BC358" i="5" l="1"/>
  <c r="AU358" i="5"/>
  <c r="AW358" i="5" l="1"/>
  <c r="AV358" i="5" s="1"/>
  <c r="AT359" i="5" s="1"/>
  <c r="BC359" i="5" l="1"/>
  <c r="AX358" i="5"/>
  <c r="AU359" i="5"/>
  <c r="AW359" i="5" l="1"/>
  <c r="AV359" i="5" s="1"/>
  <c r="AT360" i="5" l="1"/>
  <c r="AX359" i="5"/>
  <c r="BC360" i="5" l="1"/>
  <c r="AU360" i="5"/>
  <c r="AW360" i="5" l="1"/>
  <c r="AV360" i="5" s="1"/>
  <c r="AT361" i="5" l="1"/>
  <c r="AX360" i="5"/>
  <c r="BC361" i="5" l="1"/>
  <c r="AU361" i="5"/>
  <c r="AW361" i="5" l="1"/>
  <c r="AV361" i="5" s="1"/>
  <c r="AX361" i="5" l="1"/>
  <c r="AT362" i="5"/>
  <c r="BC362" i="5" l="1"/>
  <c r="AU362" i="5"/>
  <c r="AW362" i="5" l="1"/>
  <c r="AV362" i="5" s="1"/>
  <c r="AX362" i="5" l="1"/>
  <c r="AT363" i="5"/>
  <c r="BC363" i="5" l="1"/>
  <c r="AU363" i="5"/>
  <c r="AW363" i="5" l="1"/>
  <c r="AV363" i="5" s="1"/>
  <c r="AX363" i="5" l="1"/>
  <c r="AT364" i="5"/>
  <c r="BC364" i="5" l="1"/>
  <c r="AU364" i="5"/>
  <c r="AW364" i="5" l="1"/>
  <c r="AV364" i="5" s="1"/>
  <c r="AT365" i="5" l="1"/>
  <c r="AX364" i="5"/>
  <c r="BC365" i="5" l="1"/>
  <c r="AU365" i="5"/>
  <c r="AW365" i="5" l="1"/>
  <c r="AV365" i="5" s="1"/>
  <c r="AX365" i="5" l="1"/>
  <c r="AT366" i="5"/>
  <c r="BC366" i="5" l="1"/>
  <c r="AU366" i="5"/>
  <c r="AW366" i="5" l="1"/>
  <c r="AV366" i="5" s="1"/>
  <c r="AT367" i="5" s="1"/>
  <c r="BC367" i="5" l="1"/>
  <c r="AU367" i="5"/>
  <c r="AX366" i="5"/>
  <c r="AW367" i="5" l="1"/>
  <c r="AV367" i="5" s="1"/>
  <c r="AT368" i="5" s="1"/>
  <c r="BC368" i="5" l="1"/>
  <c r="AX367" i="5"/>
  <c r="AU368" i="5"/>
  <c r="AW368" i="5" l="1"/>
  <c r="AV368" i="5" s="1"/>
  <c r="AX368" i="5" l="1"/>
  <c r="AT369" i="5"/>
  <c r="BC369" i="5" l="1"/>
  <c r="AU369" i="5"/>
  <c r="AW369" i="5" l="1"/>
  <c r="AV369" i="5" s="1"/>
  <c r="AT370" i="5" s="1"/>
  <c r="BC370" i="5" l="1"/>
  <c r="AX369" i="5"/>
  <c r="AU370" i="5"/>
  <c r="AW370" i="5" l="1"/>
  <c r="AV370" i="5" s="1"/>
  <c r="AT371" i="5" s="1"/>
  <c r="BC371" i="5" l="1"/>
  <c r="AU371" i="5"/>
  <c r="AW371" i="5" s="1"/>
  <c r="AX370" i="5"/>
  <c r="AV371" i="5" l="1"/>
  <c r="AX371" i="5" l="1"/>
  <c r="AT372" i="5"/>
  <c r="BC372" i="5" l="1"/>
  <c r="AU372" i="5"/>
  <c r="AW372" i="5" l="1"/>
  <c r="AV372" i="5" s="1"/>
  <c r="AX372" i="5" l="1"/>
  <c r="AT373" i="5"/>
  <c r="BC373" i="5" l="1"/>
  <c r="AU373" i="5"/>
  <c r="AW373" i="5" l="1"/>
  <c r="AV373" i="5" s="1"/>
  <c r="AT374" i="5" s="1"/>
  <c r="BC374" i="5" l="1"/>
  <c r="AX373" i="5"/>
  <c r="AU374" i="5"/>
  <c r="AW374" i="5" l="1"/>
  <c r="AV374" i="5" s="1"/>
  <c r="AX374" i="5" s="1"/>
  <c r="AT375" i="5" l="1"/>
  <c r="AU375" i="5" s="1"/>
  <c r="BC375" i="5" l="1"/>
  <c r="AW375" i="5"/>
  <c r="AV375" i="5" s="1"/>
  <c r="AX375" i="5" l="1"/>
  <c r="AT376" i="5"/>
  <c r="BC376" i="5" l="1"/>
  <c r="AU376" i="5"/>
  <c r="AW376" i="5" l="1"/>
  <c r="AV376" i="5" s="1"/>
  <c r="AX376" i="5" l="1"/>
  <c r="AT377" i="5"/>
  <c r="BC377" i="5" l="1"/>
  <c r="AU377" i="5"/>
  <c r="AW377" i="5" l="1"/>
  <c r="AV377" i="5" s="1"/>
  <c r="AX377" i="5" l="1"/>
  <c r="AT378" i="5"/>
  <c r="BC378" i="5" l="1"/>
  <c r="AU378" i="5"/>
  <c r="AW378" i="5" l="1"/>
  <c r="AV378" i="5" s="1"/>
  <c r="AX378" i="5" l="1"/>
  <c r="AT379" i="5"/>
  <c r="BC379" i="5" l="1"/>
  <c r="AU379" i="5"/>
  <c r="AW379" i="5" l="1"/>
  <c r="AV379" i="5" s="1"/>
  <c r="AX379" i="5" l="1"/>
  <c r="AT380" i="5"/>
  <c r="BC380" i="5" l="1"/>
  <c r="AU380" i="5"/>
  <c r="AW380" i="5" l="1"/>
  <c r="AV380" i="5" s="1"/>
  <c r="AX380" i="5" l="1"/>
  <c r="AT381" i="5"/>
  <c r="BC381" i="5" l="1"/>
  <c r="AU381" i="5"/>
  <c r="AW381" i="5" l="1"/>
  <c r="AV381" i="5" l="1"/>
  <c r="AX381" i="5" l="1"/>
  <c r="AT382" i="5"/>
  <c r="BC382" i="5" l="1"/>
  <c r="AU382" i="5"/>
  <c r="AW382" i="5" l="1"/>
  <c r="AV382" i="5" s="1"/>
  <c r="AT383" i="5" s="1"/>
  <c r="AX382" i="5" l="1"/>
  <c r="BC383" i="5"/>
  <c r="AU383" i="5"/>
  <c r="AW383" i="5" l="1"/>
  <c r="AV383" i="5" s="1"/>
  <c r="AX383" i="5" l="1"/>
  <c r="AT384" i="5"/>
  <c r="BC384" i="5" l="1"/>
  <c r="AU384" i="5"/>
  <c r="AW384" i="5" l="1"/>
  <c r="AV384" i="5" s="1"/>
  <c r="AX384" i="5" l="1"/>
  <c r="AT385" i="5"/>
  <c r="BC385" i="5" l="1"/>
  <c r="AU385" i="5"/>
  <c r="AW385" i="5" l="1"/>
  <c r="AV385" i="5" s="1"/>
  <c r="AT386" i="5" l="1"/>
  <c r="BC386" i="5" s="1"/>
  <c r="AX385" i="5"/>
  <c r="AU386" i="5" l="1"/>
  <c r="AW386" i="5" s="1"/>
  <c r="AV386" i="5" s="1"/>
  <c r="AX386" i="5" l="1"/>
  <c r="AT387" i="5"/>
  <c r="BC387" i="5" l="1"/>
  <c r="AU387" i="5"/>
  <c r="AW387" i="5" l="1"/>
  <c r="AV387" i="5" s="1"/>
  <c r="AX387" i="5" l="1"/>
  <c r="AT388" i="5"/>
  <c r="BC388" i="5" l="1"/>
  <c r="AU388" i="5"/>
  <c r="AW388" i="5" l="1"/>
  <c r="AV388" i="5" s="1"/>
  <c r="AX388" i="5" l="1"/>
  <c r="AT389" i="5"/>
  <c r="BC389" i="5" l="1"/>
  <c r="AU389" i="5"/>
  <c r="AW389" i="5" l="1"/>
  <c r="AV389" i="5" s="1"/>
  <c r="AX389" i="5" l="1"/>
  <c r="AT390" i="5"/>
  <c r="BC390" i="5" l="1"/>
  <c r="AU390" i="5"/>
  <c r="AW390" i="5" l="1"/>
  <c r="AV390" i="5" s="1"/>
  <c r="AX390" i="5" l="1"/>
  <c r="AT391" i="5"/>
  <c r="BC391" i="5" l="1"/>
  <c r="AU391" i="5"/>
  <c r="AW391" i="5" l="1"/>
  <c r="AV391" i="5" s="1"/>
  <c r="AX391" i="5" l="1"/>
  <c r="AT392" i="5"/>
  <c r="BC392" i="5" l="1"/>
  <c r="AU392" i="5"/>
  <c r="AW392" i="5" l="1"/>
  <c r="AV392" i="5" s="1"/>
  <c r="AT393" i="5" s="1"/>
  <c r="AX392" i="5" l="1"/>
  <c r="BC393" i="5"/>
  <c r="AU393" i="5"/>
  <c r="AW393" i="5" l="1"/>
  <c r="AV393" i="5" s="1"/>
  <c r="AX393" i="5" l="1"/>
  <c r="AT394" i="5"/>
  <c r="BC394" i="5" l="1"/>
  <c r="AU394" i="5"/>
  <c r="AW394" i="5" l="1"/>
  <c r="AV394" i="5" s="1"/>
  <c r="AX394" i="5" l="1"/>
  <c r="AT395" i="5"/>
  <c r="BC395" i="5" l="1"/>
  <c r="AU395" i="5"/>
  <c r="AW395" i="5" l="1"/>
  <c r="AV395" i="5" s="1"/>
  <c r="AX395" i="5" l="1"/>
  <c r="AT396" i="5"/>
  <c r="BC396" i="5" l="1"/>
  <c r="AU396" i="5"/>
  <c r="AW396" i="5" l="1"/>
  <c r="AV396" i="5" s="1"/>
  <c r="AX396" i="5" l="1"/>
  <c r="AT397" i="5"/>
  <c r="BC397" i="5" l="1"/>
  <c r="AU397" i="5"/>
  <c r="AW397" i="5" l="1"/>
  <c r="AV397" i="5" s="1"/>
  <c r="AX397" i="5" l="1"/>
  <c r="AT398" i="5"/>
  <c r="BC398" i="5" l="1"/>
  <c r="AU398" i="5"/>
  <c r="AW398" i="5" l="1"/>
  <c r="AV398" i="5" l="1"/>
  <c r="AX398" i="5" l="1"/>
  <c r="AT399" i="5"/>
  <c r="AU399" i="5" l="1"/>
  <c r="AW399" i="5" s="1"/>
  <c r="AV399" i="5" s="1"/>
  <c r="BC399" i="5"/>
  <c r="AX399" i="5" l="1"/>
  <c r="AT400" i="5"/>
  <c r="BC400" i="5" l="1"/>
  <c r="AU400" i="5"/>
  <c r="AW400" i="5" l="1"/>
  <c r="AV400" i="5" l="1"/>
  <c r="AX400" i="5" l="1"/>
  <c r="AT401" i="5"/>
  <c r="BC401" i="5" l="1"/>
  <c r="AU401" i="5"/>
  <c r="AW401" i="5" l="1"/>
  <c r="AV401" i="5" s="1"/>
  <c r="AT402" i="5" s="1"/>
  <c r="AX401" i="5" l="1"/>
  <c r="BC402" i="5"/>
  <c r="AU402" i="5"/>
  <c r="AW402" i="5" l="1"/>
  <c r="AV402" i="5" l="1"/>
  <c r="AX402" i="5" l="1"/>
  <c r="AT403" i="5"/>
  <c r="BC403" i="5" l="1"/>
  <c r="AU403" i="5"/>
  <c r="AW403" i="5" l="1"/>
  <c r="AV403" i="5" s="1"/>
  <c r="AT404" i="5" s="1"/>
  <c r="BC404" i="5" l="1"/>
  <c r="AX403" i="5"/>
  <c r="AU404" i="5"/>
  <c r="AW404" i="5" l="1"/>
  <c r="AV404" i="5" s="1"/>
  <c r="AX404" i="5" l="1"/>
  <c r="AT405" i="5"/>
  <c r="BC405" i="5" l="1"/>
  <c r="AU405" i="5"/>
  <c r="AW405" i="5" l="1"/>
  <c r="AV405" i="5" s="1"/>
  <c r="AT406" i="5" l="1"/>
  <c r="AU406" i="5" s="1"/>
  <c r="AX405" i="5"/>
  <c r="BC406" i="5" l="1"/>
  <c r="AW406" i="5"/>
  <c r="AV406" i="5" s="1"/>
  <c r="AX406" i="5" l="1"/>
  <c r="AT407" i="5"/>
  <c r="BC407" i="5" l="1"/>
  <c r="AU407" i="5"/>
  <c r="AW407" i="5" l="1"/>
  <c r="AV407" i="5" s="1"/>
  <c r="AX407" i="5" l="1"/>
  <c r="AT408" i="5"/>
  <c r="BC408" i="5" l="1"/>
  <c r="AU408" i="5"/>
  <c r="AW408" i="5" l="1"/>
  <c r="AV408" i="5" s="1"/>
  <c r="AX408" i="5" l="1"/>
  <c r="AT409" i="5"/>
  <c r="BC409" i="5" l="1"/>
  <c r="AU409" i="5"/>
  <c r="AW409" i="5" l="1"/>
  <c r="AV409" i="5" s="1"/>
  <c r="AT410" i="5" s="1"/>
  <c r="AU410" i="5" s="1"/>
  <c r="BC410" i="5" l="1"/>
  <c r="AX409" i="5"/>
  <c r="AW410" i="5"/>
  <c r="AV410" i="5" l="1"/>
  <c r="AX410" i="5" l="1"/>
  <c r="AT411" i="5"/>
  <c r="BC411" i="5" l="1"/>
  <c r="AU411" i="5"/>
  <c r="AW411" i="5" l="1"/>
  <c r="AV411" i="5" s="1"/>
  <c r="AT412" i="5" s="1"/>
  <c r="AX411" i="5" l="1"/>
  <c r="BC412" i="5"/>
  <c r="AU412" i="5"/>
  <c r="AW412" i="5" l="1"/>
  <c r="AV412" i="5" l="1"/>
  <c r="AX412" i="5" l="1"/>
  <c r="AT413" i="5"/>
  <c r="BC413" i="5" l="1"/>
  <c r="AU413" i="5"/>
  <c r="AW413" i="5" l="1"/>
  <c r="AV413" i="5" s="1"/>
  <c r="AX413" i="5" s="1"/>
  <c r="AT414" i="5" l="1"/>
  <c r="BC414" i="5" l="1"/>
  <c r="AU414" i="5"/>
  <c r="AW414" i="5" l="1"/>
  <c r="AV414" i="5" s="1"/>
  <c r="AX414" i="5" l="1"/>
  <c r="AT415" i="5"/>
  <c r="BC415" i="5" l="1"/>
  <c r="AU415" i="5"/>
  <c r="AW415" i="5" l="1"/>
  <c r="AV415" i="5" s="1"/>
  <c r="AT416" i="5" s="1"/>
  <c r="BC416" i="5" l="1"/>
  <c r="AX415" i="5"/>
  <c r="AU416" i="5"/>
  <c r="AW416" i="5" l="1"/>
  <c r="AV416" i="5" s="1"/>
  <c r="AT417" i="5" s="1"/>
  <c r="AX416" i="5" l="1"/>
  <c r="BC417" i="5"/>
  <c r="AU417" i="5"/>
  <c r="AW417" i="5" l="1"/>
  <c r="AV417" i="5" s="1"/>
  <c r="AX417" i="5" l="1"/>
  <c r="AT418" i="5"/>
  <c r="BC418" i="5" l="1"/>
  <c r="AU418" i="5"/>
  <c r="AW418" i="5" l="1"/>
  <c r="AV418" i="5" l="1"/>
  <c r="AT419" i="5" l="1"/>
  <c r="AX418" i="5"/>
  <c r="BC419" i="5" l="1"/>
  <c r="AU419" i="5"/>
  <c r="AW419" i="5" s="1"/>
  <c r="AV419" i="5" s="1"/>
  <c r="AT420" i="5" l="1"/>
  <c r="AU420" i="5" s="1"/>
  <c r="AX419" i="5"/>
  <c r="BC420" i="5" l="1"/>
  <c r="AW420" i="5"/>
  <c r="AV420" i="5" s="1"/>
  <c r="AT421" i="5" l="1"/>
  <c r="AU421" i="5" s="1"/>
  <c r="AX420" i="5"/>
  <c r="BC421" i="5" l="1"/>
  <c r="AW421" i="5"/>
  <c r="AV421" i="5" s="1"/>
  <c r="AT422" i="5" s="1"/>
  <c r="AX421" i="5" l="1"/>
  <c r="BC422" i="5"/>
  <c r="AU422" i="5"/>
  <c r="AW422" i="5" l="1"/>
  <c r="AV422" i="5" s="1"/>
  <c r="AX422" i="5" l="1"/>
  <c r="AT423" i="5"/>
  <c r="BC423" i="5" l="1"/>
  <c r="AU423" i="5"/>
  <c r="AW423" i="5" l="1"/>
  <c r="AV423" i="5" s="1"/>
  <c r="AX423" i="5" l="1"/>
  <c r="AT424" i="5"/>
  <c r="BC424" i="5" l="1"/>
  <c r="AU424" i="5"/>
  <c r="AW424" i="5" l="1"/>
  <c r="AV424" i="5" s="1"/>
  <c r="AX424" i="5" l="1"/>
  <c r="AT425" i="5"/>
  <c r="BC425" i="5" l="1"/>
  <c r="AU425" i="5"/>
  <c r="AW425" i="5" l="1"/>
  <c r="AV425" i="5" s="1"/>
  <c r="AX425" i="5" l="1"/>
  <c r="AT426" i="5"/>
  <c r="BC426" i="5" l="1"/>
  <c r="AU426" i="5"/>
  <c r="AW426" i="5" l="1"/>
  <c r="AV426" i="5" l="1"/>
  <c r="AX426" i="5" l="1"/>
  <c r="AT427" i="5"/>
  <c r="BC427" i="5" l="1"/>
  <c r="AU427" i="5"/>
  <c r="AW427" i="5" l="1"/>
  <c r="AV427" i="5" s="1"/>
  <c r="AT428" i="5" s="1"/>
  <c r="AX427" i="5" l="1"/>
  <c r="BC428" i="5"/>
  <c r="AU428" i="5"/>
  <c r="AW428" i="5" l="1"/>
  <c r="AV428" i="5" l="1"/>
  <c r="AX428" i="5" l="1"/>
  <c r="AT429" i="5"/>
  <c r="BC429" i="5" l="1"/>
  <c r="AU429" i="5"/>
  <c r="AW429" i="5" l="1"/>
  <c r="AV429" i="5" s="1"/>
  <c r="AX429" i="5" s="1"/>
  <c r="AT430" i="5" l="1"/>
  <c r="BC430" i="5" s="1"/>
  <c r="AU430" i="5" l="1"/>
  <c r="AW430" i="5" s="1"/>
  <c r="AV430" i="5" l="1"/>
  <c r="AX430" i="5" l="1"/>
  <c r="AT431" i="5"/>
  <c r="BC431" i="5" l="1"/>
  <c r="AU431" i="5"/>
  <c r="AW431" i="5" l="1"/>
  <c r="AV431" i="5" s="1"/>
  <c r="AT432" i="5" s="1"/>
  <c r="AX431" i="5" l="1"/>
  <c r="BC432" i="5"/>
  <c r="AU432" i="5"/>
  <c r="AW432" i="5" l="1"/>
  <c r="AV432" i="5" s="1"/>
  <c r="AX432" i="5" l="1"/>
  <c r="AT433" i="5"/>
  <c r="BC433" i="5" l="1"/>
  <c r="AU433" i="5"/>
  <c r="AW433" i="5" l="1"/>
  <c r="AV433" i="5" s="1"/>
  <c r="AX433" i="5" l="1"/>
  <c r="AT434" i="5"/>
  <c r="BC434" i="5" l="1"/>
  <c r="AU434" i="5"/>
  <c r="AW434" i="5" l="1"/>
  <c r="AV434" i="5" s="1"/>
  <c r="AX434" i="5" l="1"/>
  <c r="AT435" i="5"/>
  <c r="BC435" i="5" l="1"/>
  <c r="AU435" i="5"/>
  <c r="AW435" i="5" l="1"/>
  <c r="AV435" i="5" s="1"/>
  <c r="AX435" i="5" l="1"/>
  <c r="AT436" i="5"/>
  <c r="BC436" i="5" l="1"/>
  <c r="AU436" i="5"/>
  <c r="AW436" i="5" l="1"/>
  <c r="AV436" i="5" s="1"/>
  <c r="AX436" i="5" l="1"/>
  <c r="AT437" i="5"/>
  <c r="BC437" i="5" l="1"/>
  <c r="AU437" i="5"/>
  <c r="AW437" i="5" l="1"/>
  <c r="AV437" i="5" s="1"/>
  <c r="AX437" i="5" l="1"/>
  <c r="AT438" i="5"/>
  <c r="BC438" i="5" l="1"/>
  <c r="AU438" i="5"/>
  <c r="AW438" i="5" l="1"/>
  <c r="AV438" i="5" s="1"/>
  <c r="AX438" i="5" l="1"/>
  <c r="AT439" i="5"/>
  <c r="BC439" i="5" l="1"/>
  <c r="AU439" i="5"/>
  <c r="AW439" i="5" l="1"/>
  <c r="AV439" i="5" s="1"/>
  <c r="AT440" i="5" l="1"/>
  <c r="AU440" i="5" s="1"/>
  <c r="AX439" i="5"/>
  <c r="BC440" i="5" l="1"/>
  <c r="AW440" i="5"/>
  <c r="AV440" i="5" s="1"/>
  <c r="AX440" i="5" l="1"/>
  <c r="AT441" i="5"/>
  <c r="BC441" i="5" l="1"/>
  <c r="AU441" i="5"/>
  <c r="AW441" i="5" l="1"/>
  <c r="AV441" i="5" s="1"/>
  <c r="AX441" i="5" l="1"/>
  <c r="AT442" i="5"/>
  <c r="BC442" i="5" l="1"/>
  <c r="AU442" i="5"/>
  <c r="AW442" i="5" l="1"/>
  <c r="AV442" i="5" s="1"/>
  <c r="AX442" i="5" l="1"/>
  <c r="AT443" i="5"/>
  <c r="BC443" i="5" l="1"/>
  <c r="AU443" i="5"/>
  <c r="AW443" i="5" l="1"/>
  <c r="AV443" i="5" s="1"/>
  <c r="AX443" i="5" l="1"/>
  <c r="AT444" i="5"/>
  <c r="BC444" i="5" l="1"/>
  <c r="AU444" i="5"/>
  <c r="AW444" i="5" l="1"/>
  <c r="AV444" i="5" s="1"/>
  <c r="AX444" i="5" l="1"/>
  <c r="AT445" i="5"/>
  <c r="BC445" i="5" l="1"/>
  <c r="AU445" i="5"/>
  <c r="AW445" i="5" l="1"/>
  <c r="AV445" i="5" l="1"/>
  <c r="AX445" i="5" l="1"/>
  <c r="AT446" i="5"/>
  <c r="BC446" i="5" l="1"/>
  <c r="AU446" i="5"/>
  <c r="AW446" i="5" l="1"/>
  <c r="AV446" i="5" s="1"/>
  <c r="AX446" i="5" s="1"/>
  <c r="AT447" i="5" l="1"/>
  <c r="BC447" i="5" s="1"/>
  <c r="AU447" i="5" l="1"/>
  <c r="AW447" i="5" s="1"/>
  <c r="AV447" i="5" s="1"/>
  <c r="AX447" i="5" l="1"/>
  <c r="AT448" i="5"/>
  <c r="BC448" i="5" l="1"/>
  <c r="AU448" i="5"/>
  <c r="AW448" i="5" l="1"/>
  <c r="AV448" i="5" s="1"/>
  <c r="AX448" i="5" l="1"/>
  <c r="AT449" i="5"/>
  <c r="BC449" i="5" l="1"/>
  <c r="AU449" i="5"/>
  <c r="AW449" i="5" l="1"/>
  <c r="AV449" i="5" l="1"/>
  <c r="AX449" i="5" l="1"/>
  <c r="AT450" i="5"/>
  <c r="BC450" i="5" l="1"/>
  <c r="AU450" i="5"/>
  <c r="AW450" i="5" l="1"/>
  <c r="AV450" i="5" s="1"/>
  <c r="AT451" i="5" s="1"/>
  <c r="AX450" i="5" l="1"/>
  <c r="BC451" i="5"/>
  <c r="AU451" i="5"/>
  <c r="AW451" i="5" l="1"/>
  <c r="AV451" i="5" s="1"/>
  <c r="AX451" i="5" l="1"/>
  <c r="AT452" i="5"/>
  <c r="BC452" i="5" l="1"/>
  <c r="AU452" i="5"/>
  <c r="AW452" i="5" l="1"/>
  <c r="AV452" i="5" l="1"/>
  <c r="AT453" i="5" l="1"/>
  <c r="AU453" i="5" s="1"/>
  <c r="AX452" i="5"/>
  <c r="BC453" i="5" l="1"/>
  <c r="AW453" i="5"/>
  <c r="AV453" i="5" s="1"/>
  <c r="AX453" i="5" l="1"/>
  <c r="AT454" i="5"/>
  <c r="BC454" i="5" l="1"/>
  <c r="AU454" i="5"/>
  <c r="AW454" i="5" l="1"/>
  <c r="AV454" i="5" s="1"/>
  <c r="AT455" i="5" s="1"/>
  <c r="AX454" i="5" l="1"/>
  <c r="BC455" i="5"/>
  <c r="AU455" i="5"/>
  <c r="AW455" i="5" l="1"/>
  <c r="AV455" i="5" s="1"/>
  <c r="AX455" i="5" l="1"/>
  <c r="AT456" i="5"/>
  <c r="BC456" i="5" l="1"/>
  <c r="AU456" i="5"/>
  <c r="AW456" i="5" l="1"/>
  <c r="AV456" i="5" s="1"/>
  <c r="AX456" i="5" l="1"/>
  <c r="AT457" i="5"/>
  <c r="BC457" i="5" l="1"/>
  <c r="AU457" i="5"/>
  <c r="AW457" i="5" l="1"/>
  <c r="AV457" i="5" l="1"/>
  <c r="AX457" i="5" l="1"/>
  <c r="AT458" i="5"/>
  <c r="BC458" i="5" l="1"/>
  <c r="AU458" i="5"/>
  <c r="AW458" i="5" l="1"/>
  <c r="AV458" i="5" s="1"/>
  <c r="AX458" i="5" l="1"/>
  <c r="AT459" i="5"/>
  <c r="BC459" i="5" l="1"/>
  <c r="AU459" i="5"/>
  <c r="AW459" i="5" l="1"/>
  <c r="AV459" i="5" s="1"/>
  <c r="AT460" i="5" s="1"/>
  <c r="AX459" i="5" l="1"/>
  <c r="BC460" i="5"/>
  <c r="AU460" i="5"/>
  <c r="AW460" i="5" l="1"/>
  <c r="AV460" i="5" s="1"/>
  <c r="AX460" i="5" l="1"/>
  <c r="AT461" i="5"/>
  <c r="BC461" i="5" l="1"/>
  <c r="AU461" i="5"/>
  <c r="AW461" i="5" l="1"/>
  <c r="AV461" i="5" s="1"/>
  <c r="AX461" i="5" l="1"/>
  <c r="AT462" i="5"/>
  <c r="BC462" i="5" l="1"/>
  <c r="AU462" i="5"/>
  <c r="AW462" i="5" l="1"/>
  <c r="AV462" i="5" s="1"/>
  <c r="AX462" i="5" l="1"/>
  <c r="AT463" i="5"/>
  <c r="BC463" i="5" l="1"/>
  <c r="AU463" i="5"/>
  <c r="AW463" i="5" l="1"/>
  <c r="AV463" i="5" l="1"/>
  <c r="AX463" i="5" l="1"/>
  <c r="AT464" i="5"/>
  <c r="BC464" i="5" l="1"/>
  <c r="AU464" i="5"/>
  <c r="AW464" i="5" l="1"/>
  <c r="AV464" i="5" s="1"/>
  <c r="AT465" i="5" s="1"/>
  <c r="AX464" i="5" l="1"/>
  <c r="BC465" i="5"/>
  <c r="AU465" i="5"/>
  <c r="AW465" i="5" l="1"/>
  <c r="AV465" i="5" l="1"/>
  <c r="AX465" i="5" l="1"/>
  <c r="AT466" i="5"/>
  <c r="BC466" i="5" l="1"/>
  <c r="AU466" i="5"/>
  <c r="AW466" i="5" l="1"/>
  <c r="AV466" i="5" s="1"/>
  <c r="AT467" i="5" s="1"/>
  <c r="AX466" i="5" l="1"/>
  <c r="BC467" i="5"/>
  <c r="AU467" i="5"/>
  <c r="AW467" i="5" l="1"/>
  <c r="AV467" i="5" s="1"/>
  <c r="AX467" i="5" l="1"/>
  <c r="AT468" i="5"/>
  <c r="BC468" i="5" l="1"/>
  <c r="AU468" i="5"/>
  <c r="AW468" i="5" l="1"/>
  <c r="AV468" i="5" l="1"/>
  <c r="AX468" i="5" l="1"/>
  <c r="AT469" i="5"/>
  <c r="BC469" i="5" l="1"/>
  <c r="AU469" i="5"/>
  <c r="AW469" i="5" l="1"/>
  <c r="AV469" i="5" s="1"/>
  <c r="AX469" i="5" s="1"/>
  <c r="AT470" i="5" l="1"/>
  <c r="BC470" i="5" s="1"/>
  <c r="AU470" i="5" l="1"/>
  <c r="AW470" i="5" s="1"/>
  <c r="AV470" i="5" s="1"/>
  <c r="AT471" i="5" l="1"/>
  <c r="BC471" i="5" s="1"/>
  <c r="AX470" i="5"/>
  <c r="AU471" i="5" l="1"/>
  <c r="AW471" i="5" s="1"/>
  <c r="AV471" i="5" l="1"/>
  <c r="AX471" i="5" s="1"/>
  <c r="AT472" i="5" l="1"/>
  <c r="BC472" i="5" s="1"/>
  <c r="AU472" i="5" l="1"/>
  <c r="AW472" i="5" s="1"/>
  <c r="AV472" i="5" l="1"/>
  <c r="AX472" i="5" s="1"/>
  <c r="AT473" i="5" l="1"/>
  <c r="BC473" i="5" s="1"/>
  <c r="AU473" i="5" l="1"/>
  <c r="AW473" i="5" s="1"/>
  <c r="AV473" i="5" s="1"/>
  <c r="AX473" i="5" l="1"/>
  <c r="AT474" i="5"/>
  <c r="BC474" i="5" l="1"/>
  <c r="AU474" i="5"/>
  <c r="AW474" i="5" l="1"/>
  <c r="AV474" i="5" s="1"/>
  <c r="AX474" i="5" l="1"/>
  <c r="AT475" i="5"/>
  <c r="BC475" i="5" l="1"/>
  <c r="AU475" i="5"/>
  <c r="AW475" i="5" l="1"/>
  <c r="AV475" i="5" s="1"/>
  <c r="AT476" i="5" s="1"/>
  <c r="BC476" i="5" l="1"/>
  <c r="AX475" i="5"/>
  <c r="AU476" i="5"/>
  <c r="AW476" i="5" l="1"/>
  <c r="AV476" i="5" s="1"/>
  <c r="AT477" i="5" s="1"/>
  <c r="AX476" i="5" l="1"/>
  <c r="BC477" i="5"/>
  <c r="AU477" i="5"/>
  <c r="AW477" i="5" l="1"/>
  <c r="AV477" i="5" s="1"/>
  <c r="AX477" i="5" l="1"/>
  <c r="AT478" i="5"/>
  <c r="BC478" i="5" l="1"/>
  <c r="AU478" i="5"/>
  <c r="AW478" i="5" l="1"/>
  <c r="AV478" i="5" l="1"/>
  <c r="AX478" i="5" l="1"/>
  <c r="AT479" i="5"/>
  <c r="BC479" i="5" l="1"/>
  <c r="AU479" i="5"/>
  <c r="AW479" i="5" l="1"/>
  <c r="AV479" i="5" s="1"/>
  <c r="AT480" i="5" s="1"/>
  <c r="AX479" i="5" l="1"/>
  <c r="BC480" i="5"/>
  <c r="AU480" i="5"/>
  <c r="AW480" i="5" l="1"/>
  <c r="AV480" i="5" s="1"/>
  <c r="AX480" i="5" l="1"/>
  <c r="AT481" i="5"/>
  <c r="BC481" i="5" l="1"/>
  <c r="AU481" i="5"/>
  <c r="AW481" i="5" l="1"/>
  <c r="AV481" i="5" s="1"/>
  <c r="AX481" i="5" l="1"/>
  <c r="AT482" i="5"/>
  <c r="BC482" i="5" l="1"/>
  <c r="AU482" i="5"/>
  <c r="AW482" i="5" l="1"/>
  <c r="AV482" i="5" s="1"/>
  <c r="AX482" i="5" l="1"/>
  <c r="AT483" i="5"/>
  <c r="BC483" i="5" l="1"/>
  <c r="AU483" i="5"/>
  <c r="AW483" i="5" l="1"/>
  <c r="AV483" i="5" l="1"/>
  <c r="AX483" i="5" l="1"/>
  <c r="AT484" i="5"/>
  <c r="BC484" i="5" l="1"/>
  <c r="AU484" i="5"/>
  <c r="AW484" i="5" l="1"/>
  <c r="AV484" i="5" s="1"/>
  <c r="AT485" i="5" s="1"/>
  <c r="AX484" i="5" l="1"/>
  <c r="BC485" i="5"/>
  <c r="AU485" i="5"/>
  <c r="AW485" i="5" l="1"/>
  <c r="AV485" i="5" l="1"/>
  <c r="AX485" i="5" l="1"/>
  <c r="AT486" i="5"/>
  <c r="BC486" i="5" l="1"/>
  <c r="AU486" i="5"/>
  <c r="AW486" i="5" l="1"/>
  <c r="AV486" i="5" s="1"/>
  <c r="AT487" i="5" s="1"/>
  <c r="AX486" i="5" l="1"/>
  <c r="BC487" i="5"/>
  <c r="AU487" i="5"/>
  <c r="AW487" i="5" l="1"/>
  <c r="AV487" i="5" s="1"/>
  <c r="AX487" i="5" l="1"/>
  <c r="AT488" i="5"/>
  <c r="BC488" i="5" l="1"/>
  <c r="AU488" i="5"/>
  <c r="AW488" i="5" l="1"/>
  <c r="AV488" i="5" s="1"/>
  <c r="AX488" i="5" l="1"/>
  <c r="AT489" i="5"/>
  <c r="BC489" i="5" l="1"/>
  <c r="AU489" i="5"/>
  <c r="AW489" i="5" l="1"/>
  <c r="AV489" i="5" s="1"/>
  <c r="AX489" i="5" l="1"/>
  <c r="AT490" i="5"/>
  <c r="BC490" i="5" l="1"/>
  <c r="AU490" i="5"/>
  <c r="AW490" i="5" l="1"/>
  <c r="AV490" i="5" s="1"/>
  <c r="AX490" i="5" l="1"/>
  <c r="AT491" i="5"/>
  <c r="BC491" i="5" l="1"/>
  <c r="AU491" i="5"/>
  <c r="AW491" i="5" l="1"/>
  <c r="AV491" i="5" s="1"/>
  <c r="AX491" i="5" l="1"/>
  <c r="AT492" i="5"/>
  <c r="BC492" i="5" l="1"/>
  <c r="AU492" i="5"/>
  <c r="AW492" i="5" l="1"/>
  <c r="AV492" i="5" s="1"/>
  <c r="AX492" i="5" l="1"/>
  <c r="AT493" i="5"/>
  <c r="BC493" i="5" l="1"/>
  <c r="AU493" i="5"/>
  <c r="AW493" i="5" l="1"/>
  <c r="AV493" i="5" s="1"/>
  <c r="AX493" i="5" l="1"/>
  <c r="AT494" i="5"/>
  <c r="BC494" i="5" l="1"/>
  <c r="AU494" i="5"/>
  <c r="AW494" i="5" l="1"/>
  <c r="AV494" i="5" s="1"/>
  <c r="AX494" i="5" l="1"/>
  <c r="AT495" i="5"/>
  <c r="BC495" i="5" l="1"/>
  <c r="AU495" i="5"/>
  <c r="AW495" i="5" l="1"/>
  <c r="AV495" i="5" s="1"/>
  <c r="AX495" i="5" l="1"/>
  <c r="AT496" i="5"/>
  <c r="BC496" i="5" l="1"/>
  <c r="AU496" i="5"/>
  <c r="AW496" i="5" l="1"/>
  <c r="AV496" i="5" s="1"/>
  <c r="AX496" i="5" l="1"/>
  <c r="AT497" i="5"/>
  <c r="BC497" i="5" l="1"/>
  <c r="AU497" i="5"/>
  <c r="AW497" i="5" l="1"/>
  <c r="AV497" i="5" s="1"/>
  <c r="AX497" i="5" l="1"/>
  <c r="AT498" i="5"/>
  <c r="BC498" i="5" l="1"/>
  <c r="AU498" i="5"/>
  <c r="AW498" i="5" l="1"/>
  <c r="AV498" i="5" l="1"/>
  <c r="AT499" i="5" l="1"/>
  <c r="AX498" i="5"/>
  <c r="BC499" i="5" l="1"/>
  <c r="AU499" i="5"/>
  <c r="AW499" i="5" s="1"/>
  <c r="AV499" i="5" s="1"/>
  <c r="AX499" i="5" l="1"/>
  <c r="AT500" i="5"/>
  <c r="BC500" i="5" l="1"/>
  <c r="AU500" i="5"/>
  <c r="AW500" i="5" l="1"/>
  <c r="AV500" i="5" s="1"/>
  <c r="AX500" i="5" l="1"/>
  <c r="AT501" i="5"/>
  <c r="BC501" i="5" l="1"/>
  <c r="AU501" i="5"/>
  <c r="AW501" i="5" l="1"/>
  <c r="AV501" i="5" s="1"/>
  <c r="AX501" i="5" l="1"/>
  <c r="AT502" i="5"/>
  <c r="AU502" i="5" l="1"/>
  <c r="BC502" i="5"/>
  <c r="AW502" i="5" l="1"/>
  <c r="AV502" i="5" s="1"/>
  <c r="AX502" i="5" l="1"/>
  <c r="AT503" i="5"/>
  <c r="BC503" i="5" l="1"/>
  <c r="AU503" i="5"/>
  <c r="AW503" i="5" l="1"/>
  <c r="AV503" i="5" s="1"/>
  <c r="AX503" i="5" l="1"/>
  <c r="AT504" i="5"/>
  <c r="AU504" i="5" l="1"/>
  <c r="BC504" i="5"/>
  <c r="AW504" i="5" l="1"/>
  <c r="AV504" i="5" s="1"/>
  <c r="AX504" i="5" l="1"/>
  <c r="AT505" i="5"/>
  <c r="BC505" i="5" l="1"/>
  <c r="AU505" i="5"/>
  <c r="AW505" i="5" l="1"/>
  <c r="AV505" i="5" s="1"/>
  <c r="AT506" i="5" l="1"/>
  <c r="AU506" i="5" s="1"/>
  <c r="AX505" i="5"/>
  <c r="BC506" i="5" l="1"/>
  <c r="AW506" i="5"/>
  <c r="AV506" i="5" s="1"/>
  <c r="AT507" i="5" l="1"/>
  <c r="BC507" i="5" s="1"/>
  <c r="AX506" i="5"/>
  <c r="AU507" i="5" l="1"/>
  <c r="AW507" i="5" s="1"/>
  <c r="AV507" i="5" s="1"/>
  <c r="AX507" i="5" l="1"/>
  <c r="AT508" i="5"/>
  <c r="AU508" i="5" l="1"/>
  <c r="BC508" i="5"/>
  <c r="AW508" i="5" l="1"/>
  <c r="AV508" i="5" l="1"/>
  <c r="AT509" i="5" l="1"/>
  <c r="BC509" i="5" s="1"/>
  <c r="AX508" i="5"/>
  <c r="AU509" i="5" l="1"/>
  <c r="AW509" i="5" s="1"/>
  <c r="AV509" i="5" l="1"/>
  <c r="AT510" i="5" l="1"/>
  <c r="BC510" i="5" s="1"/>
  <c r="AX509" i="5"/>
  <c r="AU510" i="5" l="1"/>
  <c r="AW510" i="5" s="1"/>
  <c r="AV510" i="5" s="1"/>
  <c r="AX510" i="5" l="1"/>
  <c r="AT511" i="5"/>
  <c r="BC511" i="5" l="1"/>
  <c r="AU511" i="5"/>
  <c r="AW511" i="5" l="1"/>
  <c r="AV511" i="5" l="1"/>
  <c r="AT512" i="5" l="1"/>
  <c r="BC512" i="5" s="1"/>
  <c r="AX511" i="5"/>
  <c r="AU512" i="5" l="1"/>
  <c r="AW512" i="5" s="1"/>
  <c r="AV512" i="5" s="1"/>
  <c r="AT513" i="5" l="1"/>
  <c r="BC513" i="5" s="1"/>
  <c r="AX512" i="5"/>
  <c r="AU513" i="5" l="1"/>
  <c r="AW513" i="5" s="1"/>
  <c r="AV513" i="5" s="1"/>
  <c r="AT514" i="5" l="1"/>
  <c r="BC514" i="5" s="1"/>
  <c r="AX513" i="5"/>
  <c r="AU514" i="5" l="1"/>
  <c r="AW514" i="5" s="1"/>
  <c r="AV514" i="5" s="1"/>
  <c r="AX514" i="5" l="1"/>
  <c r="AT515" i="5"/>
  <c r="BC515" i="5" l="1"/>
  <c r="AU515" i="5"/>
  <c r="AW515" i="5" l="1"/>
  <c r="AV515" i="5" l="1"/>
  <c r="AT516" i="5" l="1"/>
  <c r="BC516" i="5" s="1"/>
  <c r="AX515" i="5"/>
  <c r="AU516" i="5" l="1"/>
  <c r="AW516" i="5" s="1"/>
  <c r="AV516" i="5" s="1"/>
  <c r="AT517" i="5" l="1"/>
  <c r="BC517" i="5" s="1"/>
  <c r="AX516" i="5"/>
  <c r="AU517" i="5" l="1"/>
  <c r="AW517" i="5" s="1"/>
  <c r="AV517" i="5" s="1"/>
  <c r="AT518" i="5" l="1"/>
  <c r="AX517" i="5"/>
  <c r="AU518" i="5" l="1"/>
  <c r="AW518" i="5" s="1"/>
  <c r="AV518" i="5" s="1"/>
  <c r="BC518" i="5"/>
  <c r="AX518" i="5" l="1"/>
  <c r="AT519" i="5"/>
  <c r="BC519" i="5" l="1"/>
  <c r="AU519" i="5"/>
  <c r="AW519" i="5" l="1"/>
  <c r="AV519" i="5" s="1"/>
  <c r="AX519" i="5" l="1"/>
  <c r="AT520" i="5"/>
  <c r="BC520" i="5" l="1"/>
  <c r="AU520" i="5"/>
  <c r="AW520" i="5" l="1"/>
  <c r="AV520" i="5" l="1"/>
  <c r="AT521" i="5" l="1"/>
  <c r="BC521" i="5" s="1"/>
  <c r="AX520" i="5"/>
  <c r="AU521" i="5" l="1"/>
  <c r="AW521" i="5" s="1"/>
  <c r="AV521" i="5" s="1"/>
  <c r="AT522" i="5" l="1"/>
  <c r="BC522" i="5" s="1"/>
  <c r="AX521" i="5"/>
  <c r="AU522" i="5" l="1"/>
  <c r="AW522" i="5" s="1"/>
  <c r="AV522" i="5" s="1"/>
  <c r="AX522" i="5" l="1"/>
  <c r="AT523" i="5"/>
  <c r="BC523" i="5" l="1"/>
  <c r="AU523" i="5"/>
  <c r="AW523" i="5" l="1"/>
  <c r="AV523" i="5" s="1"/>
  <c r="AT524" i="5" l="1"/>
  <c r="BC524" i="5" s="1"/>
  <c r="AX523" i="5"/>
  <c r="AU524" i="5" l="1"/>
  <c r="AW524" i="5" s="1"/>
  <c r="AV524" i="5" s="1"/>
  <c r="AT525" i="5" l="1"/>
  <c r="BC525" i="5" s="1"/>
  <c r="AX524" i="5"/>
  <c r="AU525" i="5" l="1"/>
  <c r="AW525" i="5" s="1"/>
  <c r="AV525" i="5" s="1"/>
  <c r="AT526" i="5" l="1"/>
  <c r="BC526" i="5" s="1"/>
  <c r="AX525" i="5"/>
  <c r="AU526" i="5" l="1"/>
  <c r="AW526" i="5" s="1"/>
  <c r="AV526" i="5" s="1"/>
  <c r="AX526" i="5" l="1"/>
  <c r="AT527" i="5"/>
  <c r="BC527" i="5" l="1"/>
  <c r="AU527" i="5"/>
  <c r="AW527" i="5" l="1"/>
  <c r="AV527" i="5" s="1"/>
  <c r="AT528" i="5" l="1"/>
  <c r="BC528" i="5" s="1"/>
  <c r="AX527" i="5"/>
  <c r="AU528" i="5" l="1"/>
  <c r="AW528" i="5" s="1"/>
  <c r="AV528" i="5" s="1"/>
  <c r="AX528" i="5" l="1"/>
  <c r="AT529" i="5"/>
  <c r="BC529" i="5" l="1"/>
  <c r="AU529" i="5"/>
  <c r="AW529" i="5" l="1"/>
  <c r="AV529" i="5" s="1"/>
  <c r="AT530" i="5" l="1"/>
  <c r="BC530" i="5" s="1"/>
  <c r="AX529" i="5"/>
  <c r="AU530" i="5" l="1"/>
  <c r="AW530" i="5" s="1"/>
  <c r="AV530" i="5" s="1"/>
  <c r="AT531" i="5" l="1"/>
  <c r="AX530" i="5"/>
  <c r="BC531" i="5" l="1"/>
  <c r="AU531" i="5"/>
  <c r="AW531" i="5" s="1"/>
  <c r="AV531" i="5" s="1"/>
  <c r="AT532" i="5" l="1"/>
  <c r="BC532" i="5" s="1"/>
  <c r="AX531" i="5"/>
  <c r="AU532" i="5" l="1"/>
  <c r="AW532" i="5" s="1"/>
  <c r="AV532" i="5" s="1"/>
  <c r="AX532" i="5" l="1"/>
  <c r="AT533" i="5"/>
  <c r="BC533" i="5" l="1"/>
  <c r="AU533" i="5"/>
  <c r="AW533" i="5" l="1"/>
  <c r="AV533" i="5" s="1"/>
  <c r="AT534" i="5" l="1"/>
  <c r="BC534" i="5" s="1"/>
  <c r="AX533" i="5"/>
  <c r="AU534" i="5" l="1"/>
  <c r="AW534" i="5" s="1"/>
  <c r="AV534" i="5" s="1"/>
  <c r="AX534" i="5" l="1"/>
  <c r="AT535" i="5"/>
  <c r="BC535" i="5" l="1"/>
  <c r="AU535" i="5"/>
  <c r="AW535" i="5" l="1"/>
  <c r="AV535" i="5" s="1"/>
  <c r="AX535" i="5" s="1"/>
  <c r="AT536" i="5" l="1"/>
  <c r="BC536" i="5" s="1"/>
  <c r="AU536" i="5" l="1"/>
  <c r="AW536" i="5" s="1"/>
  <c r="AV536" i="5" s="1"/>
  <c r="AX536" i="5" l="1"/>
  <c r="AT537" i="5"/>
  <c r="BC537" i="5" l="1"/>
  <c r="AU537" i="5"/>
  <c r="AW537" i="5" l="1"/>
  <c r="AV537" i="5" s="1"/>
  <c r="AT538" i="5" l="1"/>
  <c r="BC538" i="5" s="1"/>
  <c r="AX537" i="5"/>
  <c r="AU538" i="5" l="1"/>
  <c r="AW538" i="5" s="1"/>
  <c r="AV538" i="5" s="1"/>
  <c r="AT539" i="5" l="1"/>
  <c r="BC539" i="5" s="1"/>
  <c r="AX538" i="5"/>
  <c r="AU539" i="5" l="1"/>
  <c r="AW539" i="5" s="1"/>
  <c r="AV539" i="5" s="1"/>
  <c r="AT540" i="5" l="1"/>
  <c r="BC540" i="5" s="1"/>
  <c r="AX539" i="5"/>
  <c r="AU540" i="5" l="1"/>
  <c r="AW540" i="5" s="1"/>
  <c r="AV540" i="5" s="1"/>
  <c r="AT541" i="5" l="1"/>
  <c r="BC541" i="5" s="1"/>
  <c r="AX540" i="5"/>
  <c r="AU541" i="5" l="1"/>
  <c r="AW541" i="5" s="1"/>
  <c r="AV541" i="5" s="1"/>
  <c r="AX541" i="5" l="1"/>
  <c r="AT542" i="5"/>
  <c r="BC542" i="5" l="1"/>
  <c r="AU542" i="5"/>
  <c r="AW542" i="5" l="1"/>
  <c r="AV542" i="5" s="1"/>
  <c r="AX542" i="5" l="1"/>
  <c r="AT543" i="5"/>
  <c r="BC543" i="5" l="1"/>
  <c r="AU543" i="5"/>
  <c r="AW543" i="5" l="1"/>
  <c r="AV543" i="5" s="1"/>
  <c r="AX543" i="5" l="1"/>
  <c r="AT544" i="5"/>
  <c r="BC544" i="5" l="1"/>
  <c r="AU544" i="5"/>
  <c r="AW544" i="5" l="1"/>
  <c r="AV544" i="5" s="1"/>
  <c r="AX544" i="5" l="1"/>
  <c r="AT545" i="5"/>
  <c r="BC545" i="5" l="1"/>
  <c r="AU545" i="5"/>
  <c r="AW545" i="5" l="1"/>
  <c r="AV545" i="5" l="1"/>
  <c r="AT546" i="5" l="1"/>
  <c r="BC546" i="5" s="1"/>
  <c r="AX545" i="5"/>
  <c r="AU546" i="5" l="1"/>
  <c r="AW546" i="5" s="1"/>
  <c r="AV546" i="5" l="1"/>
  <c r="AT547" i="5" l="1"/>
  <c r="BC547" i="5" s="1"/>
  <c r="AX546" i="5"/>
  <c r="AU547" i="5" l="1"/>
  <c r="AW547" i="5" s="1"/>
  <c r="AV547" i="5" s="1"/>
  <c r="AX547" i="5" l="1"/>
  <c r="AT548" i="5"/>
  <c r="BC548" i="5" l="1"/>
  <c r="AU548" i="5"/>
  <c r="AW548" i="5" l="1"/>
  <c r="AV548" i="5" s="1"/>
  <c r="AT549" i="5" l="1"/>
  <c r="AU549" i="5" s="1"/>
  <c r="AX548" i="5"/>
  <c r="BC549" i="5" l="1"/>
  <c r="AW549" i="5"/>
  <c r="AV549" i="5" s="1"/>
  <c r="AT550" i="5" s="1"/>
  <c r="BC550" i="5" l="1"/>
  <c r="AX549" i="5"/>
  <c r="AU550" i="5"/>
  <c r="AW550" i="5" l="1"/>
  <c r="AV550" i="5" s="1"/>
  <c r="AT551" i="5" l="1"/>
  <c r="BC551" i="5" s="1"/>
  <c r="AX550" i="5"/>
  <c r="AU551" i="5" l="1"/>
  <c r="AW551" i="5" s="1"/>
  <c r="AV551" i="5" l="1"/>
  <c r="AT552" i="5" l="1"/>
  <c r="BC552" i="5" s="1"/>
  <c r="AX551" i="5"/>
  <c r="AU552" i="5" l="1"/>
  <c r="AW552" i="5" s="1"/>
  <c r="AV552" i="5" s="1"/>
  <c r="AX552" i="5" l="1"/>
  <c r="AT553" i="5"/>
  <c r="BC553" i="5" l="1"/>
  <c r="AU553" i="5"/>
  <c r="AW553" i="5" l="1"/>
  <c r="AV553" i="5" s="1"/>
  <c r="AX553" i="5" s="1"/>
  <c r="AT554" i="5" l="1"/>
  <c r="AU554" i="5" s="1"/>
  <c r="BC554" i="5" l="1"/>
  <c r="AW554" i="5"/>
  <c r="AV554" i="5" s="1"/>
  <c r="AX554" i="5" s="1"/>
  <c r="AT555" i="5" l="1"/>
  <c r="BC555" i="5" s="1"/>
  <c r="AU555" i="5" l="1"/>
  <c r="AW555" i="5" s="1"/>
  <c r="AV555" i="5" s="1"/>
  <c r="AX555" i="5" l="1"/>
  <c r="AT556" i="5"/>
  <c r="BC556" i="5" l="1"/>
  <c r="AU556" i="5"/>
  <c r="AW556" i="5" l="1"/>
  <c r="AV556" i="5" s="1"/>
  <c r="AX556" i="5" l="1"/>
  <c r="AT557" i="5"/>
  <c r="BC557" i="5" l="1"/>
  <c r="AU557" i="5"/>
  <c r="AW557" i="5" l="1"/>
  <c r="AV557" i="5" s="1"/>
  <c r="AX557" i="5" l="1"/>
  <c r="AT558" i="5"/>
  <c r="BC558" i="5" l="1"/>
  <c r="AU558" i="5"/>
  <c r="AW558" i="5" l="1"/>
  <c r="AV558" i="5" l="1"/>
  <c r="AT559" i="5" l="1"/>
  <c r="BC559" i="5" s="1"/>
  <c r="AX558" i="5"/>
  <c r="AU559" i="5" l="1"/>
  <c r="AW559" i="5" s="1"/>
  <c r="AV559" i="5" s="1"/>
  <c r="AX559" i="5" l="1"/>
  <c r="AT560" i="5"/>
  <c r="BC560" i="5" l="1"/>
  <c r="AU560" i="5"/>
  <c r="AW560" i="5" l="1"/>
  <c r="AV560" i="5" s="1"/>
  <c r="AX560" i="5" l="1"/>
  <c r="AT561" i="5"/>
  <c r="BC561" i="5" l="1"/>
  <c r="AU561" i="5"/>
  <c r="AW561" i="5" l="1"/>
  <c r="AV561" i="5" l="1"/>
  <c r="AT562" i="5" l="1"/>
  <c r="BC562" i="5" s="1"/>
  <c r="AX561" i="5"/>
  <c r="AU562" i="5" l="1"/>
  <c r="AW562" i="5" s="1"/>
  <c r="AV562" i="5" s="1"/>
  <c r="AX562" i="5" l="1"/>
  <c r="AT563" i="5"/>
  <c r="BC563" i="5" l="1"/>
  <c r="AU563" i="5"/>
  <c r="AW563" i="5" l="1"/>
  <c r="AV563" i="5" s="1"/>
  <c r="AT564" i="5" l="1"/>
  <c r="AU564" i="5" s="1"/>
  <c r="AX563" i="5"/>
  <c r="BC564" i="5" l="1"/>
  <c r="AW564" i="5"/>
  <c r="AV564" i="5" s="1"/>
  <c r="AX564" i="5" s="1"/>
  <c r="AT565" i="5" l="1"/>
  <c r="BC565" i="5" l="1"/>
  <c r="AU565" i="5"/>
  <c r="AW565" i="5" l="1"/>
  <c r="AV565" i="5" s="1"/>
  <c r="AT566" i="5" l="1"/>
  <c r="AX565" i="5"/>
  <c r="BC566" i="5" l="1"/>
  <c r="AU566" i="5"/>
  <c r="AW566" i="5" l="1"/>
  <c r="AV566" i="5" s="1"/>
  <c r="AT567" i="5" s="1"/>
  <c r="BC567" i="5" l="1"/>
  <c r="AU567" i="5"/>
  <c r="AX566" i="5"/>
  <c r="AW567" i="5" l="1"/>
  <c r="AV567" i="5" s="1"/>
  <c r="AT568" i="5" l="1"/>
  <c r="AX567" i="5"/>
  <c r="BC568" i="5" l="1"/>
  <c r="AU568" i="5"/>
  <c r="AW568" i="5" l="1"/>
  <c r="AV568" i="5" s="1"/>
  <c r="AT569" i="5" s="1"/>
  <c r="BC569" i="5" l="1"/>
  <c r="AU569" i="5"/>
  <c r="AX568" i="5"/>
  <c r="AW569" i="5" l="1"/>
  <c r="AV569" i="5" s="1"/>
  <c r="AT570" i="5" l="1"/>
  <c r="AX569" i="5"/>
  <c r="AU570" i="5" l="1"/>
  <c r="BC570" i="5"/>
  <c r="AW570" i="5" l="1"/>
  <c r="AV570" i="5" s="1"/>
  <c r="AT571" i="5" s="1"/>
  <c r="BC571" i="5" l="1"/>
  <c r="AU571" i="5"/>
  <c r="AX570" i="5"/>
  <c r="AW571" i="5" l="1"/>
  <c r="AV571" i="5" s="1"/>
  <c r="AT572" i="5" l="1"/>
  <c r="AX571" i="5"/>
  <c r="BC572" i="5" l="1"/>
  <c r="AU572" i="5"/>
  <c r="AW572" i="5" l="1"/>
  <c r="AV572" i="5" s="1"/>
  <c r="AT573" i="5" s="1"/>
  <c r="BC573" i="5" l="1"/>
  <c r="AU573" i="5"/>
  <c r="AX572" i="5"/>
  <c r="AW573" i="5" l="1"/>
  <c r="AV573" i="5" s="1"/>
  <c r="AX573" i="5" l="1"/>
  <c r="AT574" i="5"/>
  <c r="BC574" i="5" l="1"/>
  <c r="AU574" i="5"/>
  <c r="AW574" i="5" l="1"/>
  <c r="AV574" i="5" s="1"/>
  <c r="AT575" i="5" s="1"/>
  <c r="BC575" i="5" l="1"/>
  <c r="AU575" i="5"/>
  <c r="AX574" i="5"/>
  <c r="AW575" i="5" l="1"/>
  <c r="AV575" i="5" s="1"/>
  <c r="AX575" i="5" l="1"/>
  <c r="AT576" i="5"/>
  <c r="BC576" i="5" s="1"/>
  <c r="AU576" i="5" l="1"/>
  <c r="AW576" i="5" s="1"/>
  <c r="AV576" i="5" s="1"/>
  <c r="AT577" i="5" s="1"/>
  <c r="BC577" i="5" l="1"/>
  <c r="AX576" i="5"/>
  <c r="AU577" i="5"/>
  <c r="AW577" i="5" l="1"/>
  <c r="AV577" i="5" s="1"/>
  <c r="AX577" i="5" l="1"/>
  <c r="AT578" i="5"/>
  <c r="BC578" i="5" l="1"/>
  <c r="AU578" i="5"/>
  <c r="AW578" i="5" l="1"/>
  <c r="AV578" i="5" s="1"/>
  <c r="AX578" i="5" l="1"/>
  <c r="AT579" i="5"/>
  <c r="BC579" i="5" l="1"/>
  <c r="AU579" i="5"/>
  <c r="AW579" i="5" l="1"/>
  <c r="AV579" i="5" s="1"/>
  <c r="AT580" i="5" l="1"/>
  <c r="AU580" i="5" s="1"/>
  <c r="AX579" i="5"/>
  <c r="BC580" i="5" l="1"/>
  <c r="AW580" i="5"/>
  <c r="AV580" i="5" s="1"/>
  <c r="AT581" i="5" l="1"/>
  <c r="AX580" i="5"/>
  <c r="BC581" i="5" l="1"/>
  <c r="AU581" i="5"/>
  <c r="AW581" i="5" l="1"/>
  <c r="AV581" i="5" s="1"/>
  <c r="AX581" i="5" l="1"/>
  <c r="AT582" i="5"/>
  <c r="BC582" i="5" l="1"/>
  <c r="AU582" i="5"/>
  <c r="AW582" i="5" l="1"/>
  <c r="AV582" i="5" s="1"/>
  <c r="AX582" i="5" l="1"/>
  <c r="AT583" i="5"/>
  <c r="BC583" i="5" l="1"/>
  <c r="AU583" i="5"/>
  <c r="AW583" i="5" l="1"/>
  <c r="AV583" i="5" s="1"/>
  <c r="AX583" i="5" l="1"/>
  <c r="AT584" i="5"/>
  <c r="BC584" i="5" l="1"/>
  <c r="AU584" i="5"/>
  <c r="AW584" i="5" l="1"/>
  <c r="AV584" i="5" s="1"/>
  <c r="AT585" i="5" s="1"/>
  <c r="BC585" i="5" l="1"/>
  <c r="AX584" i="5"/>
  <c r="AU585" i="5"/>
  <c r="AW585" i="5" l="1"/>
  <c r="AV585" i="5" s="1"/>
  <c r="AX585" i="5" l="1"/>
  <c r="AT586" i="5"/>
  <c r="BC586" i="5" l="1"/>
  <c r="AU586" i="5"/>
  <c r="AW586" i="5" l="1"/>
  <c r="AV586" i="5" s="1"/>
  <c r="AX586" i="5" s="1"/>
  <c r="AT587" i="5" l="1"/>
  <c r="BC587" i="5" l="1"/>
  <c r="AU587" i="5"/>
  <c r="AW587" i="5" l="1"/>
  <c r="AV587" i="5" s="1"/>
  <c r="AT588" i="5" l="1"/>
  <c r="AX587" i="5"/>
  <c r="BC588" i="5" l="1"/>
  <c r="AU588" i="5"/>
  <c r="AW588" i="5" l="1"/>
  <c r="AV588" i="5" s="1"/>
  <c r="AT589" i="5" s="1"/>
  <c r="BC589" i="5" l="1"/>
  <c r="AX588" i="5"/>
  <c r="AU589" i="5"/>
  <c r="AW589" i="5" l="1"/>
  <c r="AV589" i="5" s="1"/>
  <c r="AT590" i="5" s="1"/>
  <c r="BC590" i="5" l="1"/>
  <c r="AX589" i="5"/>
  <c r="AU590" i="5"/>
  <c r="AW590" i="5" l="1"/>
  <c r="AV590" i="5" s="1"/>
  <c r="AT591" i="5" l="1"/>
  <c r="AX590" i="5"/>
  <c r="BC591" i="5" l="1"/>
  <c r="AU591" i="5"/>
  <c r="AW591" i="5" l="1"/>
  <c r="AV591" i="5" s="1"/>
  <c r="AT592" i="5" l="1"/>
  <c r="AX591" i="5"/>
  <c r="BC592" i="5" l="1"/>
  <c r="AU592" i="5"/>
  <c r="AW592" i="5" l="1"/>
  <c r="AV592" i="5" s="1"/>
  <c r="AT593" i="5" l="1"/>
  <c r="AX592" i="5"/>
  <c r="BC593" i="5" l="1"/>
  <c r="AU593" i="5"/>
  <c r="AW593" i="5" l="1"/>
  <c r="AV593" i="5" s="1"/>
  <c r="AX593" i="5" l="1"/>
  <c r="AT594" i="5"/>
  <c r="BC594" i="5" l="1"/>
  <c r="AU594" i="5"/>
  <c r="AW594" i="5" l="1"/>
  <c r="AV594" i="5" s="1"/>
  <c r="AT595" i="5" l="1"/>
  <c r="AX594" i="5"/>
  <c r="BC595" i="5" l="1"/>
  <c r="AU595" i="5"/>
  <c r="AW595" i="5" l="1"/>
  <c r="AV595" i="5" s="1"/>
  <c r="AT596" i="5" l="1"/>
  <c r="AX595" i="5"/>
  <c r="BC596" i="5" l="1"/>
  <c r="AU596" i="5"/>
  <c r="AW596" i="5" l="1"/>
  <c r="AV596" i="5" s="1"/>
  <c r="AT597" i="5" s="1"/>
  <c r="BC597" i="5" l="1"/>
  <c r="AU597" i="5"/>
  <c r="AX596" i="5"/>
  <c r="AW597" i="5" l="1"/>
  <c r="AV597" i="5" s="1"/>
  <c r="AT598" i="5" s="1"/>
  <c r="BC598" i="5" l="1"/>
  <c r="AU598" i="5"/>
  <c r="AX597" i="5"/>
  <c r="AW598" i="5" l="1"/>
  <c r="AV598" i="5" s="1"/>
  <c r="AT599" i="5" s="1"/>
  <c r="BC599" i="5" l="1"/>
  <c r="AU599" i="5"/>
  <c r="AX598" i="5"/>
  <c r="AW599" i="5" l="1"/>
  <c r="AV599" i="5" s="1"/>
  <c r="AT600" i="5" s="1"/>
  <c r="BC600" i="5" l="1"/>
  <c r="AU600" i="5"/>
  <c r="AX599" i="5"/>
  <c r="AW600" i="5" l="1"/>
  <c r="AV600" i="5" s="1"/>
  <c r="AT601" i="5" s="1"/>
  <c r="BC601" i="5" l="1"/>
  <c r="AU601" i="5"/>
  <c r="AX600" i="5"/>
  <c r="AW601" i="5" l="1"/>
  <c r="AV601" i="5" s="1"/>
  <c r="AT602" i="5" l="1"/>
  <c r="AX601" i="5"/>
  <c r="BC602" i="5" l="1"/>
  <c r="AU602" i="5"/>
  <c r="AW602" i="5" l="1"/>
  <c r="AV602" i="5" s="1"/>
  <c r="AT603" i="5" l="1"/>
  <c r="AX602" i="5"/>
  <c r="BC603" i="5" l="1"/>
  <c r="AU603" i="5"/>
  <c r="AW603" i="5" l="1"/>
  <c r="AV603" i="5" s="1"/>
  <c r="AT604" i="5" l="1"/>
  <c r="AX603" i="5"/>
  <c r="BC604" i="5" l="1"/>
  <c r="AU604" i="5"/>
  <c r="AW604" i="5" l="1"/>
  <c r="AV604" i="5" s="1"/>
  <c r="AT605" i="5" l="1"/>
  <c r="AX604" i="5"/>
  <c r="BC605" i="5" l="1"/>
  <c r="AU605" i="5"/>
  <c r="AW605" i="5" l="1"/>
  <c r="AV605" i="5" s="1"/>
  <c r="AT606" i="5" l="1"/>
  <c r="AX605" i="5"/>
  <c r="BC606" i="5" l="1"/>
  <c r="AU606" i="5"/>
  <c r="AW606" i="5" l="1"/>
  <c r="AV606" i="5" s="1"/>
  <c r="AX606" i="5" l="1"/>
  <c r="AT607" i="5"/>
  <c r="BC607" i="5" l="1"/>
  <c r="AU607" i="5"/>
  <c r="AW607" i="5" l="1"/>
  <c r="AV607" i="5" s="1"/>
  <c r="AX607" i="5" l="1"/>
  <c r="AT608" i="5"/>
  <c r="BC608" i="5" l="1"/>
  <c r="AU608" i="5"/>
  <c r="AW608" i="5" l="1"/>
  <c r="AV608" i="5" s="1"/>
  <c r="AT609" i="5" s="1"/>
  <c r="BC609" i="5" l="1"/>
  <c r="AU609" i="5"/>
  <c r="AX608" i="5"/>
  <c r="AW609" i="5" l="1"/>
  <c r="AV609" i="5" s="1"/>
  <c r="AT610" i="5" s="1"/>
  <c r="AU610" i="5" s="1"/>
  <c r="BC610" i="5" l="1"/>
  <c r="AW610" i="5"/>
  <c r="AV610" i="5" s="1"/>
  <c r="AT611" i="5" s="1"/>
  <c r="AU611" i="5" s="1"/>
  <c r="AX609" i="5"/>
  <c r="BC611" i="5" l="1"/>
  <c r="AW611" i="5"/>
  <c r="AV611" i="5" s="1"/>
  <c r="AT612" i="5" s="1"/>
  <c r="AX610" i="5"/>
  <c r="BC612" i="5" l="1"/>
  <c r="AU612" i="5"/>
  <c r="AX611" i="5"/>
  <c r="AW612" i="5" l="1"/>
  <c r="AV612" i="5" s="1"/>
  <c r="AT613" i="5" l="1"/>
  <c r="AX612" i="5"/>
  <c r="BC613" i="5" l="1"/>
  <c r="AU613" i="5"/>
  <c r="AW613" i="5" l="1"/>
  <c r="AV613" i="5" s="1"/>
  <c r="AT614" i="5" l="1"/>
  <c r="AX613" i="5"/>
  <c r="BC614" i="5" l="1"/>
  <c r="AU614" i="5"/>
  <c r="AW614" i="5" l="1"/>
  <c r="AV614" i="5" s="1"/>
  <c r="AT615" i="5" l="1"/>
  <c r="AX614" i="5"/>
  <c r="BC615" i="5" l="1"/>
  <c r="AU615" i="5"/>
  <c r="AW615" i="5" l="1"/>
  <c r="AV615" i="5" s="1"/>
  <c r="AX615" i="5" l="1"/>
  <c r="AT616" i="5"/>
  <c r="BC616" i="5" l="1"/>
  <c r="AU616" i="5"/>
  <c r="AW616" i="5" l="1"/>
  <c r="AV616" i="5" s="1"/>
  <c r="AT617" i="5" l="1"/>
  <c r="AX616" i="5"/>
  <c r="BC617" i="5" l="1"/>
  <c r="AU617" i="5"/>
  <c r="AW617" i="5" l="1"/>
  <c r="AV617" i="5" s="1"/>
  <c r="AT618" i="5" s="1"/>
  <c r="BC618" i="5" l="1"/>
  <c r="AU618" i="5"/>
  <c r="AX617" i="5"/>
  <c r="AW618" i="5" l="1"/>
  <c r="AV618" i="5" s="1"/>
  <c r="AX618" i="5" l="1"/>
  <c r="AT619" i="5"/>
  <c r="BC619" i="5" l="1"/>
  <c r="AU619" i="5"/>
  <c r="AW619" i="5" l="1"/>
  <c r="AV619" i="5" s="1"/>
  <c r="AX619" i="5" l="1"/>
  <c r="AT620" i="5"/>
  <c r="BC620" i="5" l="1"/>
  <c r="AU620" i="5"/>
  <c r="AW620" i="5" l="1"/>
  <c r="AV620" i="5" s="1"/>
  <c r="AX620" i="5" l="1"/>
  <c r="AT621" i="5"/>
  <c r="BC621" i="5" l="1"/>
  <c r="AU621" i="5"/>
  <c r="AW621" i="5" l="1"/>
  <c r="AV621" i="5" s="1"/>
  <c r="AT622" i="5" s="1"/>
  <c r="AU622" i="5" l="1"/>
  <c r="BC622" i="5"/>
  <c r="AX621" i="5"/>
  <c r="AW622" i="5" l="1"/>
  <c r="AV622" i="5" s="1"/>
  <c r="AT623" i="5" s="1"/>
  <c r="BC623" i="5" l="1"/>
  <c r="AU623" i="5"/>
  <c r="AX622" i="5"/>
  <c r="AW623" i="5" l="1"/>
  <c r="AV623" i="5" s="1"/>
  <c r="AT624" i="5" s="1"/>
  <c r="BC624" i="5" l="1"/>
  <c r="AU624" i="5"/>
  <c r="AX623" i="5"/>
  <c r="AW624" i="5" l="1"/>
  <c r="AV624" i="5" s="1"/>
  <c r="AT625" i="5" s="1"/>
  <c r="BC625" i="5" l="1"/>
  <c r="AU625" i="5"/>
  <c r="AX624" i="5"/>
  <c r="AW625" i="5" l="1"/>
  <c r="AV625" i="5" s="1"/>
  <c r="AT626" i="5" s="1"/>
  <c r="BC626" i="5" l="1"/>
  <c r="AU626" i="5"/>
  <c r="AX625" i="5"/>
  <c r="AW626" i="5" l="1"/>
  <c r="AV626" i="5" s="1"/>
  <c r="AX626" i="5" l="1"/>
  <c r="AT627" i="5"/>
  <c r="BC627" i="5" l="1"/>
  <c r="AU627" i="5"/>
  <c r="AW627" i="5" l="1"/>
  <c r="AV627" i="5" s="1"/>
  <c r="AX627" i="5" l="1"/>
  <c r="AT628" i="5"/>
  <c r="BC628" i="5" l="1"/>
  <c r="AU628" i="5"/>
  <c r="AW628" i="5" l="1"/>
  <c r="AV628" i="5" s="1"/>
  <c r="AX628" i="5" l="1"/>
  <c r="AT629" i="5"/>
  <c r="BC629" i="5" l="1"/>
  <c r="AU629" i="5"/>
  <c r="AW629" i="5" l="1"/>
  <c r="AV629" i="5" s="1"/>
  <c r="AX629" i="5" l="1"/>
  <c r="AT630" i="5"/>
  <c r="BC630" i="5" l="1"/>
  <c r="AU630" i="5"/>
  <c r="AW630" i="5" l="1"/>
  <c r="AV630" i="5" s="1"/>
  <c r="AX630" i="5" l="1"/>
  <c r="AT631" i="5"/>
  <c r="BC631" i="5" l="1"/>
  <c r="AU631" i="5"/>
  <c r="AW631" i="5" l="1"/>
  <c r="AV631" i="5" s="1"/>
  <c r="AX631" i="5" l="1"/>
  <c r="AT632" i="5"/>
  <c r="BC632" i="5" l="1"/>
  <c r="AU632" i="5"/>
  <c r="AW632" i="5" l="1"/>
  <c r="AV632" i="5" s="1"/>
  <c r="AT633" i="5" s="1"/>
  <c r="BC633" i="5" l="1"/>
  <c r="AU633" i="5"/>
  <c r="AX632" i="5"/>
  <c r="AW633" i="5" l="1"/>
  <c r="AV633" i="5" s="1"/>
  <c r="AT634" i="5" l="1"/>
  <c r="AX633" i="5"/>
  <c r="BC634" i="5" l="1"/>
  <c r="AU634" i="5"/>
  <c r="AW634" i="5" l="1"/>
  <c r="AV634" i="5" s="1"/>
  <c r="AT635" i="5" s="1"/>
  <c r="AU635" i="5" l="1"/>
  <c r="BC635" i="5"/>
  <c r="AX634" i="5"/>
  <c r="AW635" i="5" l="1"/>
  <c r="AV635" i="5" s="1"/>
  <c r="AX635" i="5" l="1"/>
  <c r="AT636" i="5"/>
  <c r="BC636" i="5" l="1"/>
  <c r="AU636" i="5"/>
  <c r="AW636" i="5" l="1"/>
  <c r="AV636" i="5" s="1"/>
  <c r="AT637" i="5" l="1"/>
  <c r="AX636" i="5"/>
  <c r="BC637" i="5" l="1"/>
  <c r="AU637" i="5"/>
  <c r="AW637" i="5" l="1"/>
  <c r="AV637" i="5" s="1"/>
  <c r="AT638" i="5" l="1"/>
  <c r="AX637" i="5"/>
  <c r="BC638" i="5" l="1"/>
  <c r="AU638" i="5"/>
  <c r="AW638" i="5" l="1"/>
  <c r="AV638" i="5" s="1"/>
  <c r="AT639" i="5" l="1"/>
  <c r="AX638" i="5"/>
  <c r="BC639" i="5" l="1"/>
  <c r="AU639" i="5"/>
  <c r="AW639" i="5" l="1"/>
  <c r="AV639" i="5" s="1"/>
  <c r="AT640" i="5" l="1"/>
  <c r="AX639" i="5"/>
  <c r="BC640" i="5" l="1"/>
  <c r="AU640" i="5"/>
  <c r="AW640" i="5" l="1"/>
  <c r="AV640" i="5" s="1"/>
  <c r="AX640" i="5" l="1"/>
  <c r="AT641" i="5"/>
  <c r="BC641" i="5" l="1"/>
  <c r="AU641" i="5"/>
  <c r="AW641" i="5" l="1"/>
  <c r="AV641" i="5" s="1"/>
  <c r="AT642" i="5" s="1"/>
  <c r="BC642" i="5" l="1"/>
  <c r="AU642" i="5"/>
  <c r="AX641" i="5"/>
  <c r="AW642" i="5" l="1"/>
  <c r="AV642" i="5" s="1"/>
  <c r="AT643" i="5" s="1"/>
  <c r="BC643" i="5" l="1"/>
  <c r="AU643" i="5"/>
  <c r="AX642" i="5"/>
  <c r="AW643" i="5" l="1"/>
  <c r="AV643" i="5" s="1"/>
  <c r="AT644" i="5" l="1"/>
  <c r="AX643" i="5"/>
  <c r="BC644" i="5" l="1"/>
  <c r="AU644" i="5"/>
  <c r="AW644" i="5" l="1"/>
  <c r="AV644" i="5" s="1"/>
  <c r="AX644" i="5" l="1"/>
  <c r="AT645" i="5"/>
  <c r="BC645" i="5" l="1"/>
  <c r="AU645" i="5"/>
  <c r="AW645" i="5" l="1"/>
  <c r="AV645" i="5" s="1"/>
  <c r="AX645" i="5" l="1"/>
  <c r="AT646" i="5"/>
  <c r="BC646" i="5" l="1"/>
  <c r="AU646" i="5"/>
  <c r="AW646" i="5" l="1"/>
  <c r="AV646" i="5" s="1"/>
  <c r="AT647" i="5" s="1"/>
  <c r="AU647" i="5" l="1"/>
  <c r="BC647" i="5"/>
  <c r="AX646" i="5"/>
  <c r="AW647" i="5" l="1"/>
  <c r="AV647" i="5" s="1"/>
  <c r="AT648" i="5" l="1"/>
  <c r="AX647" i="5"/>
  <c r="BC648" i="5" l="1"/>
  <c r="AU648" i="5"/>
  <c r="AW648" i="5" l="1"/>
  <c r="AV648" i="5" s="1"/>
  <c r="AX648" i="5" l="1"/>
  <c r="AT649" i="5"/>
  <c r="BC649" i="5" l="1"/>
  <c r="AU649" i="5"/>
  <c r="AW649" i="5" l="1"/>
  <c r="AV649" i="5" s="1"/>
  <c r="AT650" i="5" l="1"/>
  <c r="AX649" i="5"/>
  <c r="BC650" i="5" l="1"/>
  <c r="AU650" i="5"/>
  <c r="AW650" i="5" l="1"/>
  <c r="AV650" i="5" s="1"/>
  <c r="AX650" i="5" l="1"/>
  <c r="AT651" i="5"/>
  <c r="BC651" i="5" l="1"/>
  <c r="AU651" i="5"/>
  <c r="AW651" i="5" l="1"/>
  <c r="AV651" i="5" s="1"/>
  <c r="AX651" i="5" l="1"/>
  <c r="AT652" i="5"/>
  <c r="BC652" i="5" l="1"/>
  <c r="AU652" i="5"/>
  <c r="AW652" i="5" l="1"/>
  <c r="AV652" i="5" s="1"/>
  <c r="AX652" i="5" l="1"/>
  <c r="AT653" i="5"/>
  <c r="BC653" i="5" l="1"/>
  <c r="AU653" i="5"/>
  <c r="AW653" i="5" l="1"/>
  <c r="AV653" i="5" s="1"/>
  <c r="AT654" i="5" s="1"/>
  <c r="BC654" i="5" l="1"/>
  <c r="AU654" i="5"/>
  <c r="AX653" i="5"/>
  <c r="AW654" i="5" l="1"/>
  <c r="AV654" i="5" s="1"/>
  <c r="AX654" i="5" l="1"/>
  <c r="AT655" i="5"/>
  <c r="BC655" i="5" l="1"/>
  <c r="AU655" i="5"/>
  <c r="AW655" i="5" l="1"/>
  <c r="AV655" i="5" s="1"/>
  <c r="AT656" i="5" s="1"/>
  <c r="BC656" i="5" l="1"/>
  <c r="AU656" i="5"/>
  <c r="AX655" i="5"/>
  <c r="AW656" i="5" l="1"/>
  <c r="AV656" i="5" s="1"/>
  <c r="AX656" i="5" l="1"/>
  <c r="AT657" i="5"/>
  <c r="BC657" i="5" l="1"/>
  <c r="AU657" i="5"/>
  <c r="AW657" i="5" l="1"/>
  <c r="AV657" i="5" s="1"/>
  <c r="AT658" i="5" s="1"/>
  <c r="BC658" i="5" l="1"/>
  <c r="AU658" i="5"/>
  <c r="AX657" i="5"/>
  <c r="AW658" i="5" l="1"/>
  <c r="AV658" i="5" s="1"/>
  <c r="AX658" i="5" l="1"/>
  <c r="AT659" i="5"/>
  <c r="BC659" i="5" l="1"/>
  <c r="AU659" i="5"/>
  <c r="AW659" i="5" l="1"/>
  <c r="AV659" i="5" s="1"/>
  <c r="AX659" i="5" l="1"/>
  <c r="AT660" i="5"/>
  <c r="BC660" i="5" l="1"/>
  <c r="AU660" i="5"/>
  <c r="AW660" i="5" l="1"/>
  <c r="AV660" i="5" s="1"/>
  <c r="AT661" i="5" s="1"/>
  <c r="BC661" i="5" l="1"/>
  <c r="AU661" i="5"/>
  <c r="AX660" i="5"/>
  <c r="AW661" i="5" l="1"/>
  <c r="AV661" i="5" s="1"/>
  <c r="AT662" i="5" s="1"/>
  <c r="BC662" i="5" l="1"/>
  <c r="AU662" i="5"/>
  <c r="AX661" i="5"/>
  <c r="AW662" i="5" l="1"/>
  <c r="AV662" i="5" s="1"/>
  <c r="AT663" i="5" s="1"/>
  <c r="BC663" i="5" l="1"/>
  <c r="AU663" i="5"/>
  <c r="AX662" i="5"/>
  <c r="AW663" i="5" l="1"/>
  <c r="AV663" i="5" s="1"/>
  <c r="AX663" i="5" l="1"/>
  <c r="AT664" i="5"/>
  <c r="BC664" i="5" l="1"/>
  <c r="AU664" i="5"/>
  <c r="AW664" i="5" l="1"/>
  <c r="AV664" i="5" s="1"/>
  <c r="AX664" i="5" l="1"/>
  <c r="AT665" i="5"/>
  <c r="BC665" i="5" l="1"/>
  <c r="AU665" i="5"/>
  <c r="AW665" i="5" l="1"/>
  <c r="AV665" i="5" s="1"/>
  <c r="AX665" i="5" l="1"/>
  <c r="AT666" i="5"/>
  <c r="AU666" i="5" l="1"/>
  <c r="BC666" i="5"/>
  <c r="AW666" i="5" l="1"/>
  <c r="AV666" i="5" s="1"/>
  <c r="AT667" i="5" s="1"/>
  <c r="AU667" i="5" l="1"/>
  <c r="AW667" i="5" s="1"/>
  <c r="AV667" i="5" s="1"/>
  <c r="BC667" i="5"/>
  <c r="AX666" i="5"/>
  <c r="AX667" i="5" l="1"/>
  <c r="AT668" i="5"/>
  <c r="BC668" i="5" l="1"/>
  <c r="AU668" i="5"/>
  <c r="AW668" i="5" l="1"/>
  <c r="AV668" i="5" s="1"/>
  <c r="AX668" i="5" l="1"/>
  <c r="AT669" i="5"/>
  <c r="BC669" i="5" l="1"/>
  <c r="AU669" i="5"/>
  <c r="AW669" i="5" l="1"/>
  <c r="AV669" i="5" s="1"/>
  <c r="AX669" i="5" l="1"/>
  <c r="AT670" i="5"/>
  <c r="BC670" i="5" l="1"/>
  <c r="AU670" i="5"/>
  <c r="AW670" i="5" l="1"/>
  <c r="AV670" i="5" s="1"/>
  <c r="AX670" i="5" l="1"/>
  <c r="AT671" i="5"/>
  <c r="BC671" i="5" l="1"/>
  <c r="AU671" i="5"/>
  <c r="AW671" i="5" l="1"/>
  <c r="AV671" i="5" s="1"/>
  <c r="AT672" i="5" l="1"/>
  <c r="AX671" i="5"/>
  <c r="BC672" i="5" l="1"/>
  <c r="AU672" i="5"/>
  <c r="AW672" i="5" l="1"/>
  <c r="AV672" i="5" s="1"/>
  <c r="AT673" i="5" l="1"/>
  <c r="AX672" i="5"/>
  <c r="BC673" i="5" l="1"/>
  <c r="AU673" i="5"/>
  <c r="AW673" i="5" l="1"/>
  <c r="AV673" i="5" s="1"/>
  <c r="AT674" i="5" l="1"/>
  <c r="AX673" i="5"/>
  <c r="BC674" i="5" l="1"/>
  <c r="AU674" i="5"/>
  <c r="AW674" i="5" l="1"/>
  <c r="AV674" i="5" s="1"/>
  <c r="BD2" i="5" a="1"/>
  <c r="BD2" i="5" s="1"/>
  <c r="AX674" i="5" l="1"/>
  <c r="BH2" i="5" l="1"/>
  <c r="CT2" i="5" s="1"/>
  <c r="CX2" i="5" s="1"/>
  <c r="BI2" i="5" l="1"/>
  <c r="BJ2" i="5"/>
  <c r="BM2" i="5"/>
  <c r="CU2" i="5" l="1"/>
  <c r="BK2" i="5"/>
  <c r="BG3" i="5"/>
  <c r="CV3" i="5" s="1"/>
  <c r="AB11" i="56" l="1"/>
  <c r="BP3" i="5"/>
  <c r="BH3" i="5"/>
  <c r="CT3" i="5" s="1"/>
  <c r="BJ3" i="5" l="1"/>
  <c r="BI3" i="5" s="1"/>
  <c r="BK3" i="5" l="1"/>
  <c r="CU3" i="5"/>
  <c r="BG4" i="5"/>
  <c r="CV4" i="5" s="1"/>
  <c r="BP4" i="5" l="1"/>
  <c r="BH4" i="5"/>
  <c r="CT4" i="5" s="1"/>
  <c r="BJ4" i="5" l="1"/>
  <c r="BI4" i="5" s="1"/>
  <c r="BK4" i="5" l="1"/>
  <c r="CU4" i="5"/>
  <c r="BG5" i="5"/>
  <c r="CV5" i="5" s="1"/>
  <c r="BP5" i="5" l="1"/>
  <c r="BH5" i="5"/>
  <c r="CT5" i="5" s="1"/>
  <c r="AD11" i="56" l="1"/>
  <c r="BJ5" i="5"/>
  <c r="BI5" i="5" s="1"/>
  <c r="BK5" i="5" l="1"/>
  <c r="CU5" i="5"/>
  <c r="BG6" i="5"/>
  <c r="CV6" i="5" s="1"/>
  <c r="BP6" i="5" l="1"/>
  <c r="BH6" i="5"/>
  <c r="CT6" i="5" s="1"/>
  <c r="AD12" i="56" l="1"/>
  <c r="BJ6" i="5"/>
  <c r="BI6" i="5" s="1"/>
  <c r="BK6" i="5" l="1"/>
  <c r="CU6" i="5"/>
  <c r="BG7" i="5"/>
  <c r="CV7" i="5" s="1"/>
  <c r="BP7" i="5" l="1"/>
  <c r="BH7" i="5"/>
  <c r="CT7" i="5" s="1"/>
  <c r="AD13" i="56" l="1"/>
  <c r="BJ7" i="5"/>
  <c r="BI7" i="5" s="1"/>
  <c r="BK7" i="5" l="1"/>
  <c r="CU7" i="5"/>
  <c r="BG8" i="5"/>
  <c r="CV8" i="5" s="1"/>
  <c r="BP8" i="5" l="1"/>
  <c r="BH8" i="5"/>
  <c r="CT8" i="5" s="1"/>
  <c r="AD14" i="56" l="1"/>
  <c r="BJ8" i="5"/>
  <c r="BI8" i="5" s="1"/>
  <c r="BK8" i="5" l="1"/>
  <c r="CU8" i="5"/>
  <c r="BG9" i="5"/>
  <c r="CV9" i="5" s="1"/>
  <c r="BP9" i="5" l="1"/>
  <c r="BH9" i="5"/>
  <c r="CT9" i="5" s="1"/>
  <c r="AD15" i="56" l="1"/>
  <c r="BJ9" i="5"/>
  <c r="BI9" i="5" s="1"/>
  <c r="BK9" i="5" l="1"/>
  <c r="CU9" i="5"/>
  <c r="BG10" i="5"/>
  <c r="CV10" i="5" s="1"/>
  <c r="BP10" i="5" l="1"/>
  <c r="BH10" i="5"/>
  <c r="CT10" i="5" s="1"/>
  <c r="AD16" i="56" l="1"/>
  <c r="BJ10" i="5"/>
  <c r="BI10" i="5" s="1"/>
  <c r="BK10" i="5" l="1"/>
  <c r="CU10" i="5"/>
  <c r="BG11" i="5"/>
  <c r="CV11" i="5" s="1"/>
  <c r="BP11" i="5" l="1"/>
  <c r="BH11" i="5"/>
  <c r="CT11" i="5" s="1"/>
  <c r="AD17" i="56" l="1"/>
  <c r="BJ11" i="5"/>
  <c r="BI11" i="5" s="1"/>
  <c r="BK11" i="5" l="1"/>
  <c r="CU11" i="5"/>
  <c r="BG12" i="5"/>
  <c r="CV12" i="5" s="1"/>
  <c r="BP12" i="5" l="1"/>
  <c r="BH12" i="5"/>
  <c r="CT12" i="5" s="1"/>
  <c r="AD18" i="56" l="1"/>
  <c r="BJ12" i="5"/>
  <c r="BI12" i="5" s="1"/>
  <c r="BK12" i="5" l="1"/>
  <c r="CU12" i="5"/>
  <c r="BG13" i="5"/>
  <c r="CV13" i="5" s="1"/>
  <c r="BP13" i="5" l="1"/>
  <c r="BH13" i="5"/>
  <c r="CT13" i="5" s="1"/>
  <c r="AD19" i="56" l="1"/>
  <c r="BJ13" i="5"/>
  <c r="BI13" i="5" s="1"/>
  <c r="BK13" i="5" l="1"/>
  <c r="CU13" i="5"/>
  <c r="BG14" i="5"/>
  <c r="CV14" i="5" s="1"/>
  <c r="BP14" i="5" l="1"/>
  <c r="BH14" i="5"/>
  <c r="CT14" i="5" s="1"/>
  <c r="CX3" i="5" s="1"/>
  <c r="K11" i="24" l="1"/>
  <c r="AE11" i="24" s="1"/>
  <c r="AD20" i="56"/>
  <c r="BJ14" i="5"/>
  <c r="BI14" i="5" s="1"/>
  <c r="BK14" i="5" l="1"/>
  <c r="CU14" i="5"/>
  <c r="BG15" i="5"/>
  <c r="CV15" i="5" s="1"/>
  <c r="BP15" i="5" l="1"/>
  <c r="BH15" i="5"/>
  <c r="CT15" i="5" s="1"/>
  <c r="AD21" i="56" l="1"/>
  <c r="BJ15" i="5"/>
  <c r="BI15" i="5" s="1"/>
  <c r="BK15" i="5" l="1"/>
  <c r="CU15" i="5"/>
  <c r="BG16" i="5"/>
  <c r="CV16" i="5" s="1"/>
  <c r="BP16" i="5" l="1"/>
  <c r="BH16" i="5"/>
  <c r="CT16" i="5" s="1"/>
  <c r="AD22" i="56" l="1"/>
  <c r="BJ16" i="5"/>
  <c r="BI16" i="5" s="1"/>
  <c r="BK16" i="5" l="1"/>
  <c r="CU16" i="5"/>
  <c r="BG17" i="5"/>
  <c r="CV17" i="5" s="1"/>
  <c r="BP17" i="5" l="1"/>
  <c r="BH17" i="5"/>
  <c r="CT17" i="5" s="1"/>
  <c r="AD23" i="56" l="1"/>
  <c r="BJ17" i="5"/>
  <c r="BI17" i="5" s="1"/>
  <c r="BK17" i="5" l="1"/>
  <c r="CU17" i="5"/>
  <c r="BG18" i="5"/>
  <c r="CV18" i="5" s="1"/>
  <c r="BP18" i="5" l="1"/>
  <c r="BH18" i="5"/>
  <c r="CT18" i="5" s="1"/>
  <c r="AD24" i="56" l="1"/>
  <c r="BJ18" i="5"/>
  <c r="BI18" i="5" s="1"/>
  <c r="BK18" i="5" l="1"/>
  <c r="CU18" i="5"/>
  <c r="BG19" i="5"/>
  <c r="CV19" i="5" s="1"/>
  <c r="BP19" i="5" l="1"/>
  <c r="BH19" i="5"/>
  <c r="CT19" i="5" s="1"/>
  <c r="AD25" i="56" l="1"/>
  <c r="BJ19" i="5"/>
  <c r="BI19" i="5" s="1"/>
  <c r="BK19" i="5" l="1"/>
  <c r="CU19" i="5"/>
  <c r="BG20" i="5"/>
  <c r="CV20" i="5" s="1"/>
  <c r="BP20" i="5" l="1"/>
  <c r="BH20" i="5"/>
  <c r="CT20" i="5" s="1"/>
  <c r="AD26" i="56" l="1"/>
  <c r="BJ20" i="5"/>
  <c r="BI20" i="5" s="1"/>
  <c r="BK20" i="5" l="1"/>
  <c r="CU20" i="5"/>
  <c r="BG21" i="5"/>
  <c r="CV21" i="5" s="1"/>
  <c r="BP21" i="5" l="1"/>
  <c r="BH21" i="5"/>
  <c r="CT21" i="5" s="1"/>
  <c r="AD27" i="56" l="1"/>
  <c r="BJ21" i="5"/>
  <c r="BI21" i="5" s="1"/>
  <c r="BK21" i="5" l="1"/>
  <c r="CU21" i="5"/>
  <c r="BG22" i="5"/>
  <c r="CV22" i="5" s="1"/>
  <c r="BP22" i="5" l="1"/>
  <c r="BH22" i="5"/>
  <c r="CT22" i="5" s="1"/>
  <c r="BJ22" i="5" l="1"/>
  <c r="BI22" i="5" s="1"/>
  <c r="BK22" i="5" l="1"/>
  <c r="CU22" i="5"/>
  <c r="BG23" i="5"/>
  <c r="CV23" i="5" s="1"/>
  <c r="AD28" i="56" l="1"/>
  <c r="BP23" i="5"/>
  <c r="BH23" i="5"/>
  <c r="CT23" i="5" s="1"/>
  <c r="BJ23" i="5" l="1"/>
  <c r="BI23" i="5" s="1"/>
  <c r="BK23" i="5" l="1"/>
  <c r="CU23" i="5"/>
  <c r="BG24" i="5"/>
  <c r="CV24" i="5" s="1"/>
  <c r="AD29" i="56" l="1"/>
  <c r="BP24" i="5"/>
  <c r="BH24" i="5"/>
  <c r="CT24" i="5" s="1"/>
  <c r="BJ24" i="5" l="1"/>
  <c r="BI24" i="5" s="1"/>
  <c r="BK24" i="5" l="1"/>
  <c r="CU24" i="5"/>
  <c r="BG25" i="5"/>
  <c r="CV25" i="5" s="1"/>
  <c r="AD30" i="56" l="1"/>
  <c r="BP25" i="5"/>
  <c r="BH25" i="5"/>
  <c r="CT25" i="5" s="1"/>
  <c r="BJ25" i="5" l="1"/>
  <c r="BI25" i="5" s="1"/>
  <c r="BK25" i="5" l="1"/>
  <c r="CU25" i="5"/>
  <c r="BG26" i="5"/>
  <c r="CV26" i="5" s="1"/>
  <c r="AD31" i="56" l="1"/>
  <c r="BP26" i="5"/>
  <c r="BH26" i="5"/>
  <c r="CT26" i="5" s="1"/>
  <c r="CX4" i="5" s="1"/>
  <c r="K12" i="24" l="1"/>
  <c r="AE12" i="24" s="1"/>
  <c r="BJ26" i="5"/>
  <c r="BI26" i="5" s="1"/>
  <c r="BK26" i="5" l="1"/>
  <c r="CU26" i="5"/>
  <c r="BG27" i="5"/>
  <c r="CV27" i="5" s="1"/>
  <c r="AD32" i="56" l="1"/>
  <c r="BP27" i="5"/>
  <c r="BH27" i="5"/>
  <c r="CT27" i="5" s="1"/>
  <c r="BJ27" i="5" l="1"/>
  <c r="BI27" i="5" s="1"/>
  <c r="BK27" i="5" l="1"/>
  <c r="CU27" i="5"/>
  <c r="BG28" i="5"/>
  <c r="CV28" i="5" s="1"/>
  <c r="AD33" i="56" l="1"/>
  <c r="BP28" i="5"/>
  <c r="BH28" i="5"/>
  <c r="CT28" i="5" s="1"/>
  <c r="BJ28" i="5" l="1"/>
  <c r="BI28" i="5" s="1"/>
  <c r="BK28" i="5" l="1"/>
  <c r="CU28" i="5"/>
  <c r="BG29" i="5"/>
  <c r="CV29" i="5" s="1"/>
  <c r="AD34" i="56" l="1"/>
  <c r="BP29" i="5"/>
  <c r="BH29" i="5"/>
  <c r="CT29" i="5" s="1"/>
  <c r="BJ29" i="5" l="1"/>
  <c r="BI29" i="5" s="1"/>
  <c r="BK29" i="5" l="1"/>
  <c r="CU29" i="5"/>
  <c r="BG30" i="5"/>
  <c r="CV30" i="5" s="1"/>
  <c r="AD35" i="56" l="1"/>
  <c r="BP30" i="5"/>
  <c r="BH30" i="5"/>
  <c r="CT30" i="5" s="1"/>
  <c r="BJ30" i="5" l="1"/>
  <c r="BI30" i="5" s="1"/>
  <c r="BK30" i="5" l="1"/>
  <c r="CU30" i="5"/>
  <c r="BG31" i="5"/>
  <c r="CV31" i="5" s="1"/>
  <c r="AD36" i="56" l="1"/>
  <c r="BP31" i="5"/>
  <c r="BH31" i="5"/>
  <c r="CT31" i="5" s="1"/>
  <c r="BJ31" i="5" l="1"/>
  <c r="BI31" i="5" s="1"/>
  <c r="BK31" i="5" l="1"/>
  <c r="CU31" i="5"/>
  <c r="BG32" i="5"/>
  <c r="CV32" i="5" s="1"/>
  <c r="AD37" i="56" l="1"/>
  <c r="BP32" i="5"/>
  <c r="BH32" i="5"/>
  <c r="CT32" i="5" s="1"/>
  <c r="BJ32" i="5" l="1"/>
  <c r="BI32" i="5" s="1"/>
  <c r="BK32" i="5" l="1"/>
  <c r="CU32" i="5"/>
  <c r="BG33" i="5"/>
  <c r="CV33" i="5" s="1"/>
  <c r="AD38" i="56" l="1"/>
  <c r="BP33" i="5"/>
  <c r="BH33" i="5"/>
  <c r="CT33" i="5" s="1"/>
  <c r="BJ33" i="5" l="1"/>
  <c r="BI33" i="5" s="1"/>
  <c r="BK33" i="5" l="1"/>
  <c r="CU33" i="5"/>
  <c r="BG34" i="5"/>
  <c r="CV34" i="5" s="1"/>
  <c r="AD39" i="56" l="1"/>
  <c r="BP34" i="5"/>
  <c r="BH34" i="5"/>
  <c r="CT34" i="5" s="1"/>
  <c r="BJ34" i="5" l="1"/>
  <c r="BI34" i="5" s="1"/>
  <c r="BK34" i="5" l="1"/>
  <c r="CU34" i="5"/>
  <c r="BG35" i="5"/>
  <c r="CV35" i="5" s="1"/>
  <c r="AD40" i="56" l="1"/>
  <c r="BP35" i="5"/>
  <c r="BH35" i="5"/>
  <c r="CT35" i="5" s="1"/>
  <c r="BJ35" i="5" l="1"/>
  <c r="BI35" i="5" s="1"/>
  <c r="BK35" i="5" l="1"/>
  <c r="CU35" i="5"/>
  <c r="BG36" i="5"/>
  <c r="CV36" i="5" s="1"/>
  <c r="BP36" i="5" l="1"/>
  <c r="BH36" i="5"/>
  <c r="CT36" i="5" s="1"/>
  <c r="BJ36" i="5" l="1"/>
  <c r="BI36" i="5" s="1"/>
  <c r="BK36" i="5" l="1"/>
  <c r="CU36" i="5"/>
  <c r="AD41" i="56"/>
  <c r="BG37" i="5"/>
  <c r="CV37" i="5" s="1"/>
  <c r="BP37" i="5" l="1"/>
  <c r="BH37" i="5"/>
  <c r="CT37" i="5" s="1"/>
  <c r="BJ37" i="5" l="1"/>
  <c r="BI37" i="5" s="1"/>
  <c r="BK37" i="5" l="1"/>
  <c r="CU37" i="5"/>
  <c r="BG38" i="5"/>
  <c r="CV38" i="5" s="1"/>
  <c r="AD42" i="56" l="1"/>
  <c r="BP38" i="5"/>
  <c r="BH38" i="5"/>
  <c r="CT38" i="5" s="1"/>
  <c r="CX5" i="5" s="1"/>
  <c r="K14" i="24" l="1"/>
  <c r="K13" i="24"/>
  <c r="AE13" i="24" s="1"/>
  <c r="BJ38" i="5"/>
  <c r="BI38" i="5" s="1"/>
  <c r="BK38" i="5" l="1"/>
  <c r="CU38" i="5"/>
  <c r="BG39" i="5"/>
  <c r="CV39" i="5" s="1"/>
  <c r="BP39" i="5" l="1"/>
  <c r="BH39" i="5"/>
  <c r="CT39" i="5" s="1"/>
  <c r="AD43" i="56" l="1"/>
  <c r="BJ39" i="5"/>
  <c r="BI39" i="5" s="1"/>
  <c r="BK39" i="5" l="1"/>
  <c r="CU39" i="5"/>
  <c r="BG40" i="5"/>
  <c r="CV40" i="5" s="1"/>
  <c r="AD44" i="56" l="1"/>
  <c r="BP40" i="5"/>
  <c r="BH40" i="5"/>
  <c r="CT40" i="5" s="1"/>
  <c r="BJ40" i="5" l="1"/>
  <c r="BI40" i="5" s="1"/>
  <c r="BK40" i="5" l="1"/>
  <c r="CU40" i="5"/>
  <c r="AD45" i="56"/>
  <c r="BG41" i="5"/>
  <c r="CV41" i="5" s="1"/>
  <c r="BP41" i="5" l="1"/>
  <c r="BH41" i="5"/>
  <c r="CT41" i="5" s="1"/>
  <c r="AD46" i="56" l="1"/>
  <c r="BJ41" i="5"/>
  <c r="BI41" i="5" s="1"/>
  <c r="CU41" i="5" s="1"/>
  <c r="BK41" i="5" l="1"/>
  <c r="BG42" i="5"/>
  <c r="CV42" i="5" s="1"/>
  <c r="BP42" i="5" l="1"/>
  <c r="BH42" i="5"/>
  <c r="CT42" i="5" s="1"/>
  <c r="AD47" i="56" l="1"/>
  <c r="BJ42" i="5"/>
  <c r="BI42" i="5" s="1"/>
  <c r="BK42" i="5" l="1"/>
  <c r="CU42" i="5"/>
  <c r="BG43" i="5"/>
  <c r="CV43" i="5" s="1"/>
  <c r="BP43" i="5" l="1"/>
  <c r="BH43" i="5"/>
  <c r="CT43" i="5" s="1"/>
  <c r="AD48" i="56" l="1"/>
  <c r="BJ43" i="5"/>
  <c r="BI43" i="5" s="1"/>
  <c r="CU43" i="5" s="1"/>
  <c r="BK43" i="5" l="1"/>
  <c r="BG44" i="5"/>
  <c r="CV44" i="5" s="1"/>
  <c r="AD49" i="56" l="1"/>
  <c r="BP44" i="5"/>
  <c r="BH44" i="5"/>
  <c r="CT44" i="5" s="1"/>
  <c r="BJ44" i="5" l="1"/>
  <c r="BI44" i="5" s="1"/>
  <c r="BK44" i="5" l="1"/>
  <c r="CU44" i="5"/>
  <c r="AD50" i="56"/>
  <c r="BG45" i="5"/>
  <c r="CV45" i="5" s="1"/>
  <c r="BP45" i="5" l="1"/>
  <c r="BH45" i="5"/>
  <c r="CT45" i="5" s="1"/>
  <c r="BJ45" i="5" l="1"/>
  <c r="BI45" i="5" s="1"/>
  <c r="BK45" i="5" l="1"/>
  <c r="CU45" i="5"/>
  <c r="AD51" i="56"/>
  <c r="BG46" i="5"/>
  <c r="CV46" i="5" s="1"/>
  <c r="BP46" i="5" l="1"/>
  <c r="BH46" i="5"/>
  <c r="CT46" i="5" s="1"/>
  <c r="AD52" i="56" l="1"/>
  <c r="BJ46" i="5"/>
  <c r="BI46" i="5" s="1"/>
  <c r="BK46" i="5" l="1"/>
  <c r="CU46" i="5"/>
  <c r="BG47" i="5"/>
  <c r="CV47" i="5" s="1"/>
  <c r="AD53" i="56" l="1"/>
  <c r="BP47" i="5"/>
  <c r="BH47" i="5"/>
  <c r="CT47" i="5" s="1"/>
  <c r="BJ47" i="5" l="1"/>
  <c r="BI47" i="5" s="1"/>
  <c r="BK47" i="5" l="1"/>
  <c r="CU47" i="5"/>
  <c r="AD54" i="56"/>
  <c r="BG48" i="5"/>
  <c r="CV48" i="5" s="1"/>
  <c r="BP48" i="5" l="1"/>
  <c r="BH48" i="5"/>
  <c r="CT48" i="5" s="1"/>
  <c r="AD55" i="56" l="1"/>
  <c r="BJ48" i="5"/>
  <c r="BI48" i="5" s="1"/>
  <c r="BK48" i="5" l="1"/>
  <c r="CU48" i="5"/>
  <c r="BG49" i="5"/>
  <c r="CV49" i="5" s="1"/>
  <c r="AD56" i="56" l="1"/>
  <c r="BP49" i="5"/>
  <c r="BH49" i="5"/>
  <c r="CT49" i="5" s="1"/>
  <c r="BJ49" i="5" l="1"/>
  <c r="BI49" i="5" s="1"/>
  <c r="BK49" i="5" l="1"/>
  <c r="CU49" i="5"/>
  <c r="AD57" i="56"/>
  <c r="BG50" i="5"/>
  <c r="CV50" i="5" s="1"/>
  <c r="BP50" i="5" l="1"/>
  <c r="BH50" i="5"/>
  <c r="CT50" i="5" s="1"/>
  <c r="CX6" i="5" s="1"/>
  <c r="K15" i="24" s="1"/>
  <c r="AE14" i="24" l="1"/>
  <c r="BJ50" i="5"/>
  <c r="BI50" i="5" s="1"/>
  <c r="BK50" i="5" l="1"/>
  <c r="CU50" i="5"/>
  <c r="AD58" i="56"/>
  <c r="BG51" i="5"/>
  <c r="CV51" i="5" s="1"/>
  <c r="BP51" i="5" l="1"/>
  <c r="BH51" i="5"/>
  <c r="CT51" i="5" s="1"/>
  <c r="BJ51" i="5" l="1"/>
  <c r="BI51" i="5" s="1"/>
  <c r="BK51" i="5" l="1"/>
  <c r="CU51" i="5"/>
  <c r="AD59" i="56"/>
  <c r="BG52" i="5"/>
  <c r="CV52" i="5" s="1"/>
  <c r="BP52" i="5" l="1"/>
  <c r="BH52" i="5"/>
  <c r="CT52" i="5" s="1"/>
  <c r="AD60" i="56" l="1"/>
  <c r="AC60" i="56"/>
  <c r="AB60" i="56" s="1"/>
  <c r="BJ52" i="5"/>
  <c r="BI52" i="5" s="1"/>
  <c r="BK52" i="5" l="1"/>
  <c r="CU52" i="5"/>
  <c r="BG53" i="5"/>
  <c r="CV53" i="5" s="1"/>
  <c r="AD61" i="56" l="1"/>
  <c r="BP53" i="5"/>
  <c r="BH53" i="5"/>
  <c r="CT53" i="5" s="1"/>
  <c r="BJ53" i="5" l="1"/>
  <c r="BI53" i="5" s="1"/>
  <c r="BK53" i="5" l="1"/>
  <c r="CU53" i="5"/>
  <c r="AD62" i="56"/>
  <c r="BG54" i="5"/>
  <c r="CV54" i="5" s="1"/>
  <c r="BP54" i="5" l="1"/>
  <c r="BH54" i="5"/>
  <c r="CT54" i="5" s="1"/>
  <c r="AD63" i="56" l="1"/>
  <c r="BJ54" i="5"/>
  <c r="BI54" i="5" s="1"/>
  <c r="CU54" i="5" s="1"/>
  <c r="BK54" i="5" l="1"/>
  <c r="BG55" i="5"/>
  <c r="CV55" i="5" s="1"/>
  <c r="AD64" i="56" l="1"/>
  <c r="BP55" i="5"/>
  <c r="BH55" i="5"/>
  <c r="CT55" i="5" s="1"/>
  <c r="BJ55" i="5" l="1"/>
  <c r="BI55" i="5" s="1"/>
  <c r="BK55" i="5" l="1"/>
  <c r="CU55" i="5"/>
  <c r="AD65" i="56"/>
  <c r="BG56" i="5"/>
  <c r="CV56" i="5" s="1"/>
  <c r="BP56" i="5" l="1"/>
  <c r="BH56" i="5"/>
  <c r="CT56" i="5" s="1"/>
  <c r="AD66" i="56" l="1"/>
  <c r="BJ56" i="5"/>
  <c r="BI56" i="5" s="1"/>
  <c r="BK56" i="5" l="1"/>
  <c r="CU56" i="5"/>
  <c r="BG57" i="5"/>
  <c r="CV57" i="5" s="1"/>
  <c r="AD67" i="56" l="1"/>
  <c r="BP57" i="5"/>
  <c r="BH57" i="5"/>
  <c r="CT57" i="5" s="1"/>
  <c r="BJ57" i="5" l="1"/>
  <c r="BI57" i="5" s="1"/>
  <c r="BK57" i="5" l="1"/>
  <c r="CU57" i="5"/>
  <c r="AD68" i="56"/>
  <c r="BG58" i="5"/>
  <c r="CV58" i="5" s="1"/>
  <c r="BP58" i="5" l="1"/>
  <c r="BH58" i="5"/>
  <c r="CT58" i="5" s="1"/>
  <c r="AD69" i="56" l="1"/>
  <c r="BJ58" i="5"/>
  <c r="BI58" i="5" s="1"/>
  <c r="BK58" i="5" l="1"/>
  <c r="CU58" i="5"/>
  <c r="BG59" i="5"/>
  <c r="CV59" i="5" s="1"/>
  <c r="AD70" i="56" l="1"/>
  <c r="BP59" i="5"/>
  <c r="BH59" i="5"/>
  <c r="CT59" i="5" s="1"/>
  <c r="BJ59" i="5" l="1"/>
  <c r="BI59" i="5" s="1"/>
  <c r="CU59" i="5" s="1"/>
  <c r="AD71" i="56" l="1"/>
  <c r="BK59" i="5"/>
  <c r="BG60" i="5"/>
  <c r="CV60" i="5" s="1"/>
  <c r="AD72" i="56" l="1"/>
  <c r="BP60" i="5"/>
  <c r="BH60" i="5"/>
  <c r="CT60" i="5" s="1"/>
  <c r="BJ60" i="5" l="1"/>
  <c r="BI60" i="5" s="1"/>
  <c r="BK60" i="5" l="1"/>
  <c r="CU60" i="5"/>
  <c r="AD73" i="56"/>
  <c r="BG61" i="5"/>
  <c r="CV61" i="5" s="1"/>
  <c r="BP61" i="5" l="1"/>
  <c r="BH61" i="5"/>
  <c r="CT61" i="5" s="1"/>
  <c r="AD74" i="56" l="1"/>
  <c r="BJ61" i="5"/>
  <c r="BI61" i="5" s="1"/>
  <c r="BK61" i="5" l="1"/>
  <c r="CU61" i="5"/>
  <c r="BG62" i="5"/>
  <c r="CV62" i="5" s="1"/>
  <c r="AD75" i="56" l="1"/>
  <c r="BP62" i="5"/>
  <c r="BH62" i="5"/>
  <c r="CT62" i="5" s="1"/>
  <c r="CX7" i="5" s="1"/>
  <c r="K16" i="24" s="1"/>
  <c r="AE15" i="24" l="1"/>
  <c r="BJ62" i="5"/>
  <c r="BI62" i="5" s="1"/>
  <c r="BK62" i="5" l="1"/>
  <c r="CU62" i="5"/>
  <c r="AD76" i="56"/>
  <c r="BG63" i="5"/>
  <c r="CV63" i="5" s="1"/>
  <c r="BP63" i="5" l="1"/>
  <c r="BH63" i="5"/>
  <c r="CT63" i="5" s="1"/>
  <c r="AD77" i="56" l="1"/>
  <c r="BJ63" i="5"/>
  <c r="BI63" i="5" s="1"/>
  <c r="CU63" i="5" s="1"/>
  <c r="BK63" i="5" l="1"/>
  <c r="BG64" i="5"/>
  <c r="CV64" i="5" s="1"/>
  <c r="BP64" i="5" l="1"/>
  <c r="BH64" i="5"/>
  <c r="CT64" i="5" s="1"/>
  <c r="AD78" i="56" l="1"/>
  <c r="BJ64" i="5"/>
  <c r="BI64" i="5" s="1"/>
  <c r="BK64" i="5" l="1"/>
  <c r="CU64" i="5"/>
  <c r="BG65" i="5"/>
  <c r="CV65" i="5" s="1"/>
  <c r="AD79" i="56" l="1"/>
  <c r="BP65" i="5"/>
  <c r="BH65" i="5"/>
  <c r="CT65" i="5" s="1"/>
  <c r="BJ65" i="5" l="1"/>
  <c r="BI65" i="5" s="1"/>
  <c r="BK65" i="5" l="1"/>
  <c r="CU65" i="5"/>
  <c r="AD80" i="56"/>
  <c r="BG66" i="5"/>
  <c r="CV66" i="5" s="1"/>
  <c r="BP66" i="5" l="1"/>
  <c r="BH66" i="5"/>
  <c r="CT66" i="5" s="1"/>
  <c r="AD81" i="56" l="1"/>
  <c r="BJ66" i="5"/>
  <c r="BI66" i="5" s="1"/>
  <c r="BK66" i="5" l="1"/>
  <c r="CU66" i="5"/>
  <c r="BG67" i="5"/>
  <c r="CV67" i="5" s="1"/>
  <c r="AD82" i="56" l="1"/>
  <c r="BP67" i="5"/>
  <c r="BH67" i="5"/>
  <c r="CT67" i="5" s="1"/>
  <c r="BJ67" i="5" l="1"/>
  <c r="BI67" i="5" s="1"/>
  <c r="BK67" i="5" l="1"/>
  <c r="CU67" i="5"/>
  <c r="AD83" i="56"/>
  <c r="BG68" i="5"/>
  <c r="CV68" i="5" s="1"/>
  <c r="BP68" i="5" l="1"/>
  <c r="BH68" i="5"/>
  <c r="CT68" i="5" s="1"/>
  <c r="AD84" i="56" l="1"/>
  <c r="BJ68" i="5"/>
  <c r="BI68" i="5" s="1"/>
  <c r="BK68" i="5" l="1"/>
  <c r="CU68" i="5"/>
  <c r="BG69" i="5"/>
  <c r="CV69" i="5" s="1"/>
  <c r="AD85" i="56" l="1"/>
  <c r="BP69" i="5"/>
  <c r="BH69" i="5"/>
  <c r="CT69" i="5" s="1"/>
  <c r="BJ69" i="5" l="1"/>
  <c r="BI69" i="5" s="1"/>
  <c r="BK69" i="5" l="1"/>
  <c r="CU69" i="5"/>
  <c r="AD86" i="56"/>
  <c r="BG70" i="5"/>
  <c r="CV70" i="5" s="1"/>
  <c r="BP70" i="5" l="1"/>
  <c r="BH70" i="5"/>
  <c r="CT70" i="5" s="1"/>
  <c r="AD87" i="56" l="1"/>
  <c r="BJ70" i="5"/>
  <c r="BI70" i="5" s="1"/>
  <c r="BK70" i="5" l="1"/>
  <c r="CU70" i="5"/>
  <c r="BG71" i="5"/>
  <c r="CV71" i="5" s="1"/>
  <c r="BP71" i="5" l="1"/>
  <c r="BH71" i="5"/>
  <c r="CT71" i="5" s="1"/>
  <c r="BJ71" i="5" l="1"/>
  <c r="BI71" i="5" s="1"/>
  <c r="BK71" i="5" l="1"/>
  <c r="CU71" i="5"/>
  <c r="BG72" i="5"/>
  <c r="CV72" i="5" s="1"/>
  <c r="BP72" i="5" l="1"/>
  <c r="BH72" i="5"/>
  <c r="CT72" i="5" s="1"/>
  <c r="BJ72" i="5" l="1"/>
  <c r="BI72" i="5" s="1"/>
  <c r="BK72" i="5" l="1"/>
  <c r="CU72" i="5"/>
  <c r="BG73" i="5"/>
  <c r="CV73" i="5" s="1"/>
  <c r="BP73" i="5" l="1"/>
  <c r="BH73" i="5"/>
  <c r="CT73" i="5" s="1"/>
  <c r="BJ73" i="5" l="1"/>
  <c r="BI73" i="5" s="1"/>
  <c r="BK73" i="5" l="1"/>
  <c r="CU73" i="5"/>
  <c r="BG74" i="5"/>
  <c r="CV74" i="5" s="1"/>
  <c r="BP74" i="5" l="1"/>
  <c r="BH74" i="5"/>
  <c r="CT74" i="5" s="1"/>
  <c r="CX8" i="5" s="1"/>
  <c r="K17" i="24" s="1"/>
  <c r="AE16" i="24" l="1"/>
  <c r="BJ74" i="5"/>
  <c r="BI74" i="5" s="1"/>
  <c r="BK74" i="5" l="1"/>
  <c r="CU74" i="5"/>
  <c r="BG75" i="5"/>
  <c r="CV75" i="5" s="1"/>
  <c r="BP75" i="5" l="1"/>
  <c r="BH75" i="5"/>
  <c r="CT75" i="5" s="1"/>
  <c r="BJ75" i="5" l="1"/>
  <c r="BI75" i="5" s="1"/>
  <c r="BK75" i="5" l="1"/>
  <c r="CU75" i="5"/>
  <c r="BG76" i="5"/>
  <c r="CV76" i="5" s="1"/>
  <c r="BP76" i="5" l="1"/>
  <c r="BH76" i="5"/>
  <c r="CT76" i="5" s="1"/>
  <c r="BJ76" i="5" l="1"/>
  <c r="BI76" i="5" s="1"/>
  <c r="CU76" i="5" s="1"/>
  <c r="BK76" i="5" l="1"/>
  <c r="BG77" i="5"/>
  <c r="CV77" i="5" s="1"/>
  <c r="BP77" i="5" l="1"/>
  <c r="BH77" i="5"/>
  <c r="CT77" i="5" s="1"/>
  <c r="BJ77" i="5" l="1"/>
  <c r="BI77" i="5" s="1"/>
  <c r="BK77" i="5" l="1"/>
  <c r="CU77" i="5"/>
  <c r="BG78" i="5"/>
  <c r="CV78" i="5" s="1"/>
  <c r="BP78" i="5" l="1"/>
  <c r="BH78" i="5"/>
  <c r="CT78" i="5" s="1"/>
  <c r="BJ78" i="5" l="1"/>
  <c r="BI78" i="5" s="1"/>
  <c r="BK78" i="5" l="1"/>
  <c r="CU78" i="5"/>
  <c r="BG79" i="5"/>
  <c r="CV79" i="5" s="1"/>
  <c r="BP79" i="5" l="1"/>
  <c r="BH79" i="5"/>
  <c r="CT79" i="5" s="1"/>
  <c r="BJ79" i="5" l="1"/>
  <c r="BI79" i="5" s="1"/>
  <c r="BK79" i="5" l="1"/>
  <c r="CU79" i="5"/>
  <c r="BG80" i="5"/>
  <c r="CV80" i="5" s="1"/>
  <c r="BP80" i="5" l="1"/>
  <c r="BH80" i="5"/>
  <c r="CT80" i="5" s="1"/>
  <c r="BJ80" i="5" l="1"/>
  <c r="BI80" i="5" s="1"/>
  <c r="BK80" i="5" l="1"/>
  <c r="CU80" i="5"/>
  <c r="BG81" i="5"/>
  <c r="CV81" i="5" s="1"/>
  <c r="BP81" i="5" l="1"/>
  <c r="BH81" i="5"/>
  <c r="CT81" i="5" s="1"/>
  <c r="BJ81" i="5" l="1"/>
  <c r="BI81" i="5" s="1"/>
  <c r="BK81" i="5" l="1"/>
  <c r="CU81" i="5"/>
  <c r="BG82" i="5"/>
  <c r="CV82" i="5" s="1"/>
  <c r="BP82" i="5" l="1"/>
  <c r="BH82" i="5"/>
  <c r="CT82" i="5" s="1"/>
  <c r="BJ82" i="5" l="1"/>
  <c r="BI82" i="5" s="1"/>
  <c r="BK82" i="5" l="1"/>
  <c r="CU82" i="5"/>
  <c r="BG83" i="5"/>
  <c r="CV83" i="5" s="1"/>
  <c r="BP83" i="5" l="1"/>
  <c r="BH83" i="5"/>
  <c r="CT83" i="5" s="1"/>
  <c r="BJ83" i="5" l="1"/>
  <c r="BI83" i="5" s="1"/>
  <c r="BK83" i="5" l="1"/>
  <c r="CU83" i="5"/>
  <c r="BG84" i="5"/>
  <c r="CV84" i="5" s="1"/>
  <c r="BP84" i="5" l="1"/>
  <c r="BH84" i="5"/>
  <c r="CT84" i="5" s="1"/>
  <c r="BJ84" i="5" l="1"/>
  <c r="BI84" i="5" s="1"/>
  <c r="BK84" i="5" l="1"/>
  <c r="CU84" i="5"/>
  <c r="BG85" i="5"/>
  <c r="CV85" i="5" s="1"/>
  <c r="BP85" i="5" l="1"/>
  <c r="BH85" i="5"/>
  <c r="CT85" i="5" s="1"/>
  <c r="BJ85" i="5" l="1"/>
  <c r="BI85" i="5" s="1"/>
  <c r="BK85" i="5" l="1"/>
  <c r="CU85" i="5"/>
  <c r="BG86" i="5"/>
  <c r="CV86" i="5" s="1"/>
  <c r="BP86" i="5" l="1"/>
  <c r="BH86" i="5"/>
  <c r="CT86" i="5" s="1"/>
  <c r="CX9" i="5" s="1"/>
  <c r="K18" i="24" s="1"/>
  <c r="AE17" i="24" l="1"/>
  <c r="BJ86" i="5"/>
  <c r="BI86" i="5" s="1"/>
  <c r="BK86" i="5" l="1"/>
  <c r="CU86" i="5"/>
  <c r="BG87" i="5"/>
  <c r="CV87" i="5" s="1"/>
  <c r="BP87" i="5" l="1"/>
  <c r="BH87" i="5"/>
  <c r="CT87" i="5" s="1"/>
  <c r="BJ87" i="5" l="1"/>
  <c r="BI87" i="5" s="1"/>
  <c r="BK87" i="5" l="1"/>
  <c r="CU87" i="5"/>
  <c r="BG88" i="5"/>
  <c r="CV88" i="5" s="1"/>
  <c r="BP88" i="5" l="1"/>
  <c r="BH88" i="5"/>
  <c r="CT88" i="5" s="1"/>
  <c r="BJ88" i="5" l="1"/>
  <c r="BI88" i="5" s="1"/>
  <c r="BK88" i="5" l="1"/>
  <c r="CU88" i="5"/>
  <c r="BG89" i="5"/>
  <c r="CV89" i="5" s="1"/>
  <c r="BP89" i="5" l="1"/>
  <c r="BH89" i="5"/>
  <c r="CT89" i="5" s="1"/>
  <c r="BJ89" i="5" l="1"/>
  <c r="BI89" i="5" s="1"/>
  <c r="BK89" i="5" l="1"/>
  <c r="CU89" i="5"/>
  <c r="BG90" i="5"/>
  <c r="CV90" i="5" s="1"/>
  <c r="BP90" i="5" l="1"/>
  <c r="BH90" i="5"/>
  <c r="CT90" i="5" s="1"/>
  <c r="BJ90" i="5" l="1"/>
  <c r="BI90" i="5" s="1"/>
  <c r="BK90" i="5" l="1"/>
  <c r="CU90" i="5"/>
  <c r="BG91" i="5"/>
  <c r="CV91" i="5" s="1"/>
  <c r="BP91" i="5" l="1"/>
  <c r="BH91" i="5"/>
  <c r="CT91" i="5" s="1"/>
  <c r="BJ91" i="5" l="1"/>
  <c r="BI91" i="5" s="1"/>
  <c r="BK91" i="5" l="1"/>
  <c r="CU91" i="5"/>
  <c r="BG92" i="5"/>
  <c r="CV92" i="5" s="1"/>
  <c r="BP92" i="5" l="1"/>
  <c r="BH92" i="5"/>
  <c r="CT92" i="5" s="1"/>
  <c r="BJ92" i="5" l="1"/>
  <c r="BI92" i="5" s="1"/>
  <c r="BK92" i="5" l="1"/>
  <c r="CU92" i="5"/>
  <c r="BG93" i="5"/>
  <c r="CV93" i="5" s="1"/>
  <c r="BP93" i="5" l="1"/>
  <c r="BH93" i="5"/>
  <c r="CT93" i="5" s="1"/>
  <c r="BJ93" i="5" l="1"/>
  <c r="BI93" i="5" s="1"/>
  <c r="BK93" i="5" l="1"/>
  <c r="CU93" i="5"/>
  <c r="BG94" i="5"/>
  <c r="CV94" i="5" s="1"/>
  <c r="BP94" i="5" l="1"/>
  <c r="BH94" i="5"/>
  <c r="CT94" i="5" s="1"/>
  <c r="BJ94" i="5" l="1"/>
  <c r="BI94" i="5" s="1"/>
  <c r="BK94" i="5" l="1"/>
  <c r="CU94" i="5"/>
  <c r="BG95" i="5"/>
  <c r="CV95" i="5" s="1"/>
  <c r="BP95" i="5" l="1"/>
  <c r="BH95" i="5"/>
  <c r="CT95" i="5" s="1"/>
  <c r="BJ95" i="5" l="1"/>
  <c r="BI95" i="5" s="1"/>
  <c r="BK95" i="5" l="1"/>
  <c r="CU95" i="5"/>
  <c r="BG96" i="5"/>
  <c r="CV96" i="5" s="1"/>
  <c r="BP96" i="5" l="1"/>
  <c r="BH96" i="5"/>
  <c r="CT96" i="5" s="1"/>
  <c r="BJ96" i="5" l="1"/>
  <c r="BI96" i="5" s="1"/>
  <c r="BK96" i="5" l="1"/>
  <c r="CU96" i="5"/>
  <c r="BG97" i="5"/>
  <c r="CV97" i="5" s="1"/>
  <c r="BP97" i="5" l="1"/>
  <c r="BH97" i="5"/>
  <c r="CT97" i="5" s="1"/>
  <c r="BJ97" i="5" l="1"/>
  <c r="BI97" i="5" s="1"/>
  <c r="BK97" i="5" l="1"/>
  <c r="CU97" i="5"/>
  <c r="BG98" i="5"/>
  <c r="CV98" i="5" s="1"/>
  <c r="BP98" i="5" l="1"/>
  <c r="BH98" i="5"/>
  <c r="CT98" i="5" s="1"/>
  <c r="CX10" i="5" s="1"/>
  <c r="K19" i="24" s="1"/>
  <c r="AE18" i="24" l="1"/>
  <c r="BJ98" i="5"/>
  <c r="BI98" i="5" s="1"/>
  <c r="BK98" i="5" l="1"/>
  <c r="CU98" i="5"/>
  <c r="BG99" i="5"/>
  <c r="CV99" i="5" s="1"/>
  <c r="BP99" i="5" l="1"/>
  <c r="BH99" i="5"/>
  <c r="CT99" i="5" s="1"/>
  <c r="BJ99" i="5" l="1"/>
  <c r="BI99" i="5" s="1"/>
  <c r="BK99" i="5" l="1"/>
  <c r="CU99" i="5"/>
  <c r="BG100" i="5"/>
  <c r="CV100" i="5" s="1"/>
  <c r="BP100" i="5" l="1"/>
  <c r="BH100" i="5"/>
  <c r="CT100" i="5" s="1"/>
  <c r="BJ100" i="5" l="1"/>
  <c r="BI100" i="5" s="1"/>
  <c r="BK100" i="5" l="1"/>
  <c r="CU100" i="5"/>
  <c r="BG101" i="5"/>
  <c r="CV101" i="5" s="1"/>
  <c r="BP101" i="5" l="1"/>
  <c r="BH101" i="5"/>
  <c r="CT101" i="5" s="1"/>
  <c r="BJ101" i="5" l="1"/>
  <c r="BI101" i="5" s="1"/>
  <c r="BK101" i="5" l="1"/>
  <c r="CU101" i="5"/>
  <c r="BG102" i="5"/>
  <c r="CV102" i="5" s="1"/>
  <c r="BP102" i="5" l="1"/>
  <c r="BH102" i="5"/>
  <c r="CT102" i="5" s="1"/>
  <c r="BJ102" i="5" l="1"/>
  <c r="BI102" i="5" s="1"/>
  <c r="BK102" i="5" l="1"/>
  <c r="CU102" i="5"/>
  <c r="BG103" i="5"/>
  <c r="CV103" i="5" s="1"/>
  <c r="BP103" i="5" l="1"/>
  <c r="BH103" i="5"/>
  <c r="CT103" i="5" s="1"/>
  <c r="BJ103" i="5" l="1"/>
  <c r="BI103" i="5" s="1"/>
  <c r="BK103" i="5" l="1"/>
  <c r="CU103" i="5"/>
  <c r="BG104" i="5"/>
  <c r="CV104" i="5" s="1"/>
  <c r="BP104" i="5" l="1"/>
  <c r="BH104" i="5"/>
  <c r="CT104" i="5" s="1"/>
  <c r="BJ104" i="5" l="1"/>
  <c r="BI104" i="5" s="1"/>
  <c r="BK104" i="5" l="1"/>
  <c r="CU104" i="5"/>
  <c r="BG105" i="5"/>
  <c r="CV105" i="5" s="1"/>
  <c r="BP105" i="5" l="1"/>
  <c r="BH105" i="5"/>
  <c r="CT105" i="5" s="1"/>
  <c r="BJ105" i="5" l="1"/>
  <c r="BI105" i="5" s="1"/>
  <c r="BK105" i="5" l="1"/>
  <c r="CU105" i="5"/>
  <c r="BG106" i="5"/>
  <c r="CV106" i="5" s="1"/>
  <c r="BP106" i="5" l="1"/>
  <c r="BH106" i="5"/>
  <c r="CT106" i="5" s="1"/>
  <c r="BJ106" i="5" l="1"/>
  <c r="BI106" i="5" s="1"/>
  <c r="CU106" i="5" s="1"/>
  <c r="BK106" i="5" l="1"/>
  <c r="BG107" i="5"/>
  <c r="CV107" i="5" s="1"/>
  <c r="BP107" i="5" l="1"/>
  <c r="BH107" i="5"/>
  <c r="CT107" i="5" s="1"/>
  <c r="BJ107" i="5" l="1"/>
  <c r="BI107" i="5" s="1"/>
  <c r="BK107" i="5" l="1"/>
  <c r="CU107" i="5"/>
  <c r="BG108" i="5"/>
  <c r="CV108" i="5" s="1"/>
  <c r="BP108" i="5" l="1"/>
  <c r="BH108" i="5"/>
  <c r="CT108" i="5" s="1"/>
  <c r="BJ108" i="5" l="1"/>
  <c r="BI108" i="5" s="1"/>
  <c r="BK108" i="5" l="1"/>
  <c r="CU108" i="5"/>
  <c r="BG109" i="5"/>
  <c r="CV109" i="5" s="1"/>
  <c r="BP109" i="5" l="1"/>
  <c r="BH109" i="5"/>
  <c r="CT109" i="5" s="1"/>
  <c r="BJ109" i="5" l="1"/>
  <c r="BI109" i="5" s="1"/>
  <c r="BK109" i="5" l="1"/>
  <c r="CU109" i="5"/>
  <c r="BG110" i="5"/>
  <c r="CV110" i="5" s="1"/>
  <c r="BP110" i="5" l="1"/>
  <c r="BH110" i="5"/>
  <c r="CT110" i="5" s="1"/>
  <c r="CX11" i="5" s="1"/>
  <c r="K20" i="24" s="1"/>
  <c r="AE19" i="24" l="1"/>
  <c r="BJ110" i="5"/>
  <c r="BI110" i="5" s="1"/>
  <c r="BK110" i="5" l="1"/>
  <c r="CU110" i="5"/>
  <c r="BG111" i="5"/>
  <c r="CV111" i="5" s="1"/>
  <c r="BP111" i="5" l="1"/>
  <c r="BH111" i="5"/>
  <c r="CT111" i="5" s="1"/>
  <c r="BJ111" i="5" l="1"/>
  <c r="BI111" i="5" s="1"/>
  <c r="BK111" i="5" l="1"/>
  <c r="CU111" i="5"/>
  <c r="BG112" i="5"/>
  <c r="CV112" i="5" s="1"/>
  <c r="BP112" i="5" l="1"/>
  <c r="BH112" i="5"/>
  <c r="CT112" i="5" s="1"/>
  <c r="BJ112" i="5" l="1"/>
  <c r="BI112" i="5" s="1"/>
  <c r="BK112" i="5" l="1"/>
  <c r="CU112" i="5"/>
  <c r="BG113" i="5"/>
  <c r="CV113" i="5" s="1"/>
  <c r="BP113" i="5" l="1"/>
  <c r="BH113" i="5"/>
  <c r="CT113" i="5" s="1"/>
  <c r="BJ113" i="5" l="1"/>
  <c r="BI113" i="5" s="1"/>
  <c r="BK113" i="5" l="1"/>
  <c r="CU113" i="5"/>
  <c r="BG114" i="5"/>
  <c r="CV114" i="5" s="1"/>
  <c r="BP114" i="5" l="1"/>
  <c r="BH114" i="5"/>
  <c r="CT114" i="5" s="1"/>
  <c r="BJ114" i="5" l="1"/>
  <c r="BI114" i="5" s="1"/>
  <c r="BK114" i="5" l="1"/>
  <c r="CU114" i="5"/>
  <c r="BG115" i="5"/>
  <c r="CV115" i="5" s="1"/>
  <c r="BP115" i="5" l="1"/>
  <c r="BH115" i="5"/>
  <c r="CT115" i="5" s="1"/>
  <c r="BJ115" i="5" l="1"/>
  <c r="BI115" i="5" s="1"/>
  <c r="BK115" i="5" l="1"/>
  <c r="CU115" i="5"/>
  <c r="BG116" i="5"/>
  <c r="CV116" i="5" s="1"/>
  <c r="BP116" i="5" l="1"/>
  <c r="BH116" i="5"/>
  <c r="CT116" i="5" s="1"/>
  <c r="BJ116" i="5" l="1"/>
  <c r="BI116" i="5" s="1"/>
  <c r="BK116" i="5" l="1"/>
  <c r="CU116" i="5"/>
  <c r="BG117" i="5"/>
  <c r="CV117" i="5" s="1"/>
  <c r="BP117" i="5" l="1"/>
  <c r="BH117" i="5"/>
  <c r="CT117" i="5" s="1"/>
  <c r="BJ117" i="5" l="1"/>
  <c r="BI117" i="5" s="1"/>
  <c r="BK117" i="5" l="1"/>
  <c r="CU117" i="5"/>
  <c r="BG118" i="5"/>
  <c r="CV118" i="5" s="1"/>
  <c r="BP118" i="5" l="1"/>
  <c r="BH118" i="5"/>
  <c r="CT118" i="5" s="1"/>
  <c r="BJ118" i="5" l="1"/>
  <c r="BI118" i="5" s="1"/>
  <c r="BK118" i="5" l="1"/>
  <c r="CU118" i="5"/>
  <c r="BG119" i="5"/>
  <c r="CV119" i="5" s="1"/>
  <c r="BP119" i="5" l="1"/>
  <c r="BH119" i="5"/>
  <c r="CT119" i="5" s="1"/>
  <c r="BJ119" i="5" l="1"/>
  <c r="BI119" i="5" s="1"/>
  <c r="BK119" i="5" l="1"/>
  <c r="CU119" i="5"/>
  <c r="BG120" i="5"/>
  <c r="CV120" i="5" s="1"/>
  <c r="BP120" i="5" l="1"/>
  <c r="BH120" i="5"/>
  <c r="CT120" i="5" s="1"/>
  <c r="BJ120" i="5" l="1"/>
  <c r="BI120" i="5" s="1"/>
  <c r="BK120" i="5" l="1"/>
  <c r="CU120" i="5"/>
  <c r="BG121" i="5"/>
  <c r="CV121" i="5" s="1"/>
  <c r="BP121" i="5" l="1"/>
  <c r="BH121" i="5"/>
  <c r="CT121" i="5" s="1"/>
  <c r="BJ121" i="5" l="1"/>
  <c r="BI121" i="5" s="1"/>
  <c r="BK121" i="5" l="1"/>
  <c r="CU121" i="5"/>
  <c r="BG122" i="5"/>
  <c r="CV122" i="5" s="1"/>
  <c r="BP122" i="5" l="1"/>
  <c r="BH122" i="5"/>
  <c r="CT122" i="5" s="1"/>
  <c r="CX12" i="5" s="1"/>
  <c r="K21" i="24" s="1"/>
  <c r="AE20" i="24" l="1"/>
  <c r="BJ122" i="5"/>
  <c r="BI122" i="5" s="1"/>
  <c r="BK122" i="5" l="1"/>
  <c r="CU122" i="5"/>
  <c r="BG123" i="5"/>
  <c r="CV123" i="5" s="1"/>
  <c r="BP123" i="5" l="1"/>
  <c r="BH123" i="5"/>
  <c r="CT123" i="5" s="1"/>
  <c r="BJ123" i="5" l="1"/>
  <c r="BI123" i="5" s="1"/>
  <c r="BK123" i="5" l="1"/>
  <c r="CU123" i="5"/>
  <c r="BG124" i="5"/>
  <c r="CV124" i="5" s="1"/>
  <c r="BP124" i="5" l="1"/>
  <c r="BH124" i="5"/>
  <c r="CT124" i="5" s="1"/>
  <c r="BJ124" i="5" l="1"/>
  <c r="BI124" i="5" s="1"/>
  <c r="BK124" i="5" l="1"/>
  <c r="CU124" i="5"/>
  <c r="BG125" i="5"/>
  <c r="CV125" i="5" s="1"/>
  <c r="BP125" i="5" l="1"/>
  <c r="BH125" i="5"/>
  <c r="CT125" i="5" s="1"/>
  <c r="BJ125" i="5" l="1"/>
  <c r="BI125" i="5" s="1"/>
  <c r="BK125" i="5" l="1"/>
  <c r="CU125" i="5"/>
  <c r="BG126" i="5"/>
  <c r="CV126" i="5" s="1"/>
  <c r="BP126" i="5" l="1"/>
  <c r="BH126" i="5"/>
  <c r="CT126" i="5" s="1"/>
  <c r="BJ126" i="5" l="1"/>
  <c r="BI126" i="5" s="1"/>
  <c r="BK126" i="5" l="1"/>
  <c r="CU126" i="5"/>
  <c r="BG127" i="5"/>
  <c r="CV127" i="5" s="1"/>
  <c r="BP127" i="5" l="1"/>
  <c r="BH127" i="5"/>
  <c r="CT127" i="5" s="1"/>
  <c r="BJ127" i="5" l="1"/>
  <c r="BI127" i="5" s="1"/>
  <c r="BK127" i="5" l="1"/>
  <c r="CU127" i="5"/>
  <c r="BG128" i="5"/>
  <c r="CV128" i="5" s="1"/>
  <c r="BP128" i="5" l="1"/>
  <c r="BH128" i="5"/>
  <c r="CT128" i="5" s="1"/>
  <c r="BJ128" i="5" l="1"/>
  <c r="BI128" i="5" s="1"/>
  <c r="BK128" i="5" l="1"/>
  <c r="CU128" i="5"/>
  <c r="BG129" i="5"/>
  <c r="CV129" i="5" s="1"/>
  <c r="BP129" i="5" l="1"/>
  <c r="BH129" i="5"/>
  <c r="CT129" i="5" s="1"/>
  <c r="BJ129" i="5" l="1"/>
  <c r="BI129" i="5" s="1"/>
  <c r="BK129" i="5" l="1"/>
  <c r="CU129" i="5"/>
  <c r="BG130" i="5"/>
  <c r="CV130" i="5" s="1"/>
  <c r="BP130" i="5" l="1"/>
  <c r="BH130" i="5"/>
  <c r="CT130" i="5" s="1"/>
  <c r="BJ130" i="5" l="1"/>
  <c r="BI130" i="5" s="1"/>
  <c r="BK130" i="5" l="1"/>
  <c r="CU130" i="5"/>
  <c r="BG131" i="5"/>
  <c r="CV131" i="5" s="1"/>
  <c r="BP131" i="5" l="1"/>
  <c r="BH131" i="5"/>
  <c r="CT131" i="5" s="1"/>
  <c r="BJ131" i="5" l="1"/>
  <c r="BI131" i="5" s="1"/>
  <c r="BK131" i="5" l="1"/>
  <c r="CU131" i="5"/>
  <c r="BG132" i="5"/>
  <c r="CV132" i="5" s="1"/>
  <c r="BP132" i="5" l="1"/>
  <c r="BH132" i="5"/>
  <c r="CT132" i="5" s="1"/>
  <c r="BJ132" i="5" l="1"/>
  <c r="BI132" i="5" s="1"/>
  <c r="BK132" i="5" l="1"/>
  <c r="CU132" i="5"/>
  <c r="BG133" i="5"/>
  <c r="CV133" i="5" s="1"/>
  <c r="BP133" i="5" l="1"/>
  <c r="BH133" i="5"/>
  <c r="CT133" i="5" s="1"/>
  <c r="BJ133" i="5" l="1"/>
  <c r="BI133" i="5" s="1"/>
  <c r="BK133" i="5" l="1"/>
  <c r="CU133" i="5"/>
  <c r="BG134" i="5"/>
  <c r="CV134" i="5" s="1"/>
  <c r="BP134" i="5" l="1"/>
  <c r="BH134" i="5"/>
  <c r="CT134" i="5" s="1"/>
  <c r="CX13" i="5" s="1"/>
  <c r="K22" i="24" s="1"/>
  <c r="AE21" i="24" l="1"/>
  <c r="BJ134" i="5"/>
  <c r="BI134" i="5" s="1"/>
  <c r="BK134" i="5" l="1"/>
  <c r="CU134" i="5"/>
  <c r="BG135" i="5"/>
  <c r="CV135" i="5" s="1"/>
  <c r="BP135" i="5" l="1"/>
  <c r="BH135" i="5"/>
  <c r="CT135" i="5" s="1"/>
  <c r="BJ135" i="5" l="1"/>
  <c r="BI135" i="5" s="1"/>
  <c r="BK135" i="5" l="1"/>
  <c r="CU135" i="5"/>
  <c r="BG136" i="5"/>
  <c r="CV136" i="5" s="1"/>
  <c r="BP136" i="5" l="1"/>
  <c r="BH136" i="5"/>
  <c r="CT136" i="5" s="1"/>
  <c r="BJ136" i="5" l="1"/>
  <c r="BI136" i="5" s="1"/>
  <c r="BK136" i="5" l="1"/>
  <c r="CU136" i="5"/>
  <c r="BG137" i="5"/>
  <c r="CV137" i="5" s="1"/>
  <c r="BP137" i="5" l="1"/>
  <c r="BH137" i="5"/>
  <c r="CT137" i="5" s="1"/>
  <c r="BJ137" i="5" l="1"/>
  <c r="BI137" i="5"/>
  <c r="BK137" i="5" l="1"/>
  <c r="CU137" i="5"/>
  <c r="BG138" i="5"/>
  <c r="CV138" i="5" s="1"/>
  <c r="BP138" i="5" l="1"/>
  <c r="BH138" i="5"/>
  <c r="CT138" i="5" s="1"/>
  <c r="BJ138" i="5" l="1"/>
  <c r="BI138" i="5" s="1"/>
  <c r="BK138" i="5" l="1"/>
  <c r="CU138" i="5"/>
  <c r="BG139" i="5"/>
  <c r="CV139" i="5" s="1"/>
  <c r="BP139" i="5" l="1"/>
  <c r="BH139" i="5"/>
  <c r="CT139" i="5" s="1"/>
  <c r="BJ139" i="5" l="1"/>
  <c r="BI139" i="5" s="1"/>
  <c r="BK139" i="5" l="1"/>
  <c r="CU139" i="5"/>
  <c r="BG140" i="5"/>
  <c r="CV140" i="5" s="1"/>
  <c r="BP140" i="5" l="1"/>
  <c r="BH140" i="5"/>
  <c r="CT140" i="5" s="1"/>
  <c r="BJ140" i="5" l="1"/>
  <c r="BI140" i="5" s="1"/>
  <c r="BK140" i="5" l="1"/>
  <c r="CU140" i="5"/>
  <c r="BG141" i="5"/>
  <c r="CV141" i="5" s="1"/>
  <c r="BP141" i="5" l="1"/>
  <c r="BH141" i="5"/>
  <c r="CT141" i="5" s="1"/>
  <c r="BJ141" i="5" l="1"/>
  <c r="BI141" i="5" s="1"/>
  <c r="BK141" i="5" l="1"/>
  <c r="CU141" i="5"/>
  <c r="BG142" i="5"/>
  <c r="CV142" i="5" s="1"/>
  <c r="BP142" i="5" l="1"/>
  <c r="BH142" i="5"/>
  <c r="CT142" i="5" s="1"/>
  <c r="BJ142" i="5" l="1"/>
  <c r="BI142" i="5" s="1"/>
  <c r="BK142" i="5" l="1"/>
  <c r="CU142" i="5"/>
  <c r="BG143" i="5"/>
  <c r="CV143" i="5" s="1"/>
  <c r="BP143" i="5" l="1"/>
  <c r="BH143" i="5"/>
  <c r="CT143" i="5" s="1"/>
  <c r="BJ143" i="5" l="1"/>
  <c r="BI143" i="5" s="1"/>
  <c r="BK143" i="5" l="1"/>
  <c r="CU143" i="5"/>
  <c r="BG144" i="5"/>
  <c r="CV144" i="5" s="1"/>
  <c r="BP144" i="5" l="1"/>
  <c r="BH144" i="5"/>
  <c r="CT144" i="5" s="1"/>
  <c r="BJ144" i="5" l="1"/>
  <c r="BI144" i="5" s="1"/>
  <c r="BK144" i="5" l="1"/>
  <c r="CU144" i="5"/>
  <c r="BG145" i="5"/>
  <c r="CV145" i="5" s="1"/>
  <c r="BP145" i="5" l="1"/>
  <c r="BH145" i="5"/>
  <c r="CT145" i="5" s="1"/>
  <c r="BJ145" i="5" l="1"/>
  <c r="BI145" i="5" s="1"/>
  <c r="BK145" i="5" l="1"/>
  <c r="CU145" i="5"/>
  <c r="BG146" i="5"/>
  <c r="CV146" i="5" s="1"/>
  <c r="BP146" i="5" l="1"/>
  <c r="BH146" i="5"/>
  <c r="CT146" i="5" s="1"/>
  <c r="CX14" i="5" s="1"/>
  <c r="K23" i="24" s="1"/>
  <c r="AE22" i="24" l="1"/>
  <c r="BJ146" i="5"/>
  <c r="BI146" i="5" s="1"/>
  <c r="BK146" i="5" l="1"/>
  <c r="CU146" i="5"/>
  <c r="BG147" i="5"/>
  <c r="CV147" i="5" s="1"/>
  <c r="BP147" i="5" l="1"/>
  <c r="BH147" i="5"/>
  <c r="CT147" i="5" s="1"/>
  <c r="BJ147" i="5" l="1"/>
  <c r="BI147" i="5" s="1"/>
  <c r="BK147" i="5" l="1"/>
  <c r="CU147" i="5"/>
  <c r="BG148" i="5"/>
  <c r="CV148" i="5" s="1"/>
  <c r="BP148" i="5" l="1"/>
  <c r="BH148" i="5"/>
  <c r="CT148" i="5" s="1"/>
  <c r="BJ148" i="5" l="1"/>
  <c r="BI148" i="5" s="1"/>
  <c r="BK148" i="5" l="1"/>
  <c r="CU148" i="5"/>
  <c r="BG149" i="5"/>
  <c r="CV149" i="5" s="1"/>
  <c r="BP149" i="5" l="1"/>
  <c r="BH149" i="5"/>
  <c r="CT149" i="5" s="1"/>
  <c r="BJ149" i="5" l="1"/>
  <c r="BI149" i="5" s="1"/>
  <c r="BK149" i="5" l="1"/>
  <c r="CU149" i="5"/>
  <c r="BG150" i="5"/>
  <c r="CV150" i="5" s="1"/>
  <c r="BP150" i="5" l="1"/>
  <c r="BH150" i="5"/>
  <c r="CT150" i="5" s="1"/>
  <c r="BJ150" i="5" l="1"/>
  <c r="BI150" i="5" s="1"/>
  <c r="BK150" i="5" l="1"/>
  <c r="CU150" i="5"/>
  <c r="BG151" i="5"/>
  <c r="CV151" i="5" s="1"/>
  <c r="BP151" i="5" l="1"/>
  <c r="BH151" i="5"/>
  <c r="CT151" i="5" s="1"/>
  <c r="BJ151" i="5" l="1"/>
  <c r="BI151" i="5" s="1"/>
  <c r="CU151" i="5" s="1"/>
  <c r="BK151" i="5" l="1"/>
  <c r="BG152" i="5"/>
  <c r="CV152" i="5" s="1"/>
  <c r="BP152" i="5" l="1"/>
  <c r="BH152" i="5"/>
  <c r="CT152" i="5" s="1"/>
  <c r="BJ152" i="5" l="1"/>
  <c r="BI152" i="5" s="1"/>
  <c r="BK152" i="5" l="1"/>
  <c r="CU152" i="5"/>
  <c r="BG153" i="5"/>
  <c r="CV153" i="5" s="1"/>
  <c r="BP153" i="5" l="1"/>
  <c r="BH153" i="5"/>
  <c r="CT153" i="5" s="1"/>
  <c r="BJ153" i="5" l="1"/>
  <c r="BI153" i="5" s="1"/>
  <c r="BK153" i="5" l="1"/>
  <c r="CU153" i="5"/>
  <c r="BG154" i="5"/>
  <c r="CV154" i="5" s="1"/>
  <c r="BP154" i="5" l="1"/>
  <c r="BH154" i="5"/>
  <c r="CT154" i="5" s="1"/>
  <c r="BJ154" i="5" l="1"/>
  <c r="BI154" i="5" s="1"/>
  <c r="BK154" i="5" l="1"/>
  <c r="CU154" i="5"/>
  <c r="BG155" i="5"/>
  <c r="CV155" i="5" s="1"/>
  <c r="BP155" i="5" l="1"/>
  <c r="BH155" i="5"/>
  <c r="CT155" i="5" s="1"/>
  <c r="BJ155" i="5" l="1"/>
  <c r="BI155" i="5" s="1"/>
  <c r="BK155" i="5" l="1"/>
  <c r="CU155" i="5"/>
  <c r="BG156" i="5"/>
  <c r="CV156" i="5" s="1"/>
  <c r="BP156" i="5" l="1"/>
  <c r="BH156" i="5"/>
  <c r="CT156" i="5" s="1"/>
  <c r="BJ156" i="5" l="1"/>
  <c r="BI156" i="5" s="1"/>
  <c r="BK156" i="5" l="1"/>
  <c r="CU156" i="5"/>
  <c r="BG157" i="5"/>
  <c r="CV157" i="5" s="1"/>
  <c r="BP157" i="5" l="1"/>
  <c r="BH157" i="5"/>
  <c r="CT157" i="5" s="1"/>
  <c r="BJ157" i="5" l="1"/>
  <c r="BI157" i="5" s="1"/>
  <c r="BK157" i="5" l="1"/>
  <c r="CU157" i="5"/>
  <c r="BG158" i="5"/>
  <c r="CV158" i="5" s="1"/>
  <c r="BP158" i="5" l="1"/>
  <c r="BH158" i="5"/>
  <c r="CT158" i="5" s="1"/>
  <c r="CX15" i="5" s="1"/>
  <c r="K24" i="24" s="1"/>
  <c r="AE23" i="24" l="1"/>
  <c r="BJ158" i="5"/>
  <c r="BI158" i="5" s="1"/>
  <c r="BK158" i="5" l="1"/>
  <c r="CU158" i="5"/>
  <c r="BG159" i="5"/>
  <c r="CV159" i="5" s="1"/>
  <c r="BP159" i="5" l="1"/>
  <c r="BH159" i="5"/>
  <c r="CT159" i="5" s="1"/>
  <c r="BJ159" i="5" l="1"/>
  <c r="BI159" i="5" s="1"/>
  <c r="BK159" i="5" l="1"/>
  <c r="CU159" i="5"/>
  <c r="BG160" i="5"/>
  <c r="CV160" i="5" s="1"/>
  <c r="BP160" i="5" l="1"/>
  <c r="BH160" i="5"/>
  <c r="CT160" i="5" s="1"/>
  <c r="BJ160" i="5" l="1"/>
  <c r="BI160" i="5" s="1"/>
  <c r="BK160" i="5" l="1"/>
  <c r="CU160" i="5"/>
  <c r="BG161" i="5"/>
  <c r="CV161" i="5" s="1"/>
  <c r="BP161" i="5" l="1"/>
  <c r="BH161" i="5"/>
  <c r="CT161" i="5" s="1"/>
  <c r="BJ161" i="5" l="1"/>
  <c r="BI161" i="5" s="1"/>
  <c r="BK161" i="5" l="1"/>
  <c r="CU161" i="5"/>
  <c r="BG162" i="5"/>
  <c r="CV162" i="5" s="1"/>
  <c r="BP162" i="5" l="1"/>
  <c r="BH162" i="5"/>
  <c r="CT162" i="5" s="1"/>
  <c r="BJ162" i="5" l="1"/>
  <c r="BI162" i="5" s="1"/>
  <c r="BK162" i="5" l="1"/>
  <c r="CU162" i="5"/>
  <c r="BG163" i="5"/>
  <c r="CV163" i="5" s="1"/>
  <c r="BP163" i="5" l="1"/>
  <c r="BH163" i="5"/>
  <c r="CT163" i="5" s="1"/>
  <c r="BJ163" i="5" l="1"/>
  <c r="BI163" i="5" s="1"/>
  <c r="BK163" i="5" l="1"/>
  <c r="CU163" i="5"/>
  <c r="BG164" i="5"/>
  <c r="CV164" i="5" s="1"/>
  <c r="BP164" i="5" l="1"/>
  <c r="BH164" i="5"/>
  <c r="CT164" i="5" s="1"/>
  <c r="BJ164" i="5" l="1"/>
  <c r="BI164" i="5" s="1"/>
  <c r="BK164" i="5" l="1"/>
  <c r="CU164" i="5"/>
  <c r="BG165" i="5"/>
  <c r="CV165" i="5" s="1"/>
  <c r="BP165" i="5" l="1"/>
  <c r="BH165" i="5"/>
  <c r="CT165" i="5" s="1"/>
  <c r="BJ165" i="5" l="1"/>
  <c r="BI165" i="5" s="1"/>
  <c r="BK165" i="5" l="1"/>
  <c r="CU165" i="5"/>
  <c r="BG166" i="5"/>
  <c r="CV166" i="5" s="1"/>
  <c r="BP166" i="5" l="1"/>
  <c r="BH166" i="5"/>
  <c r="CT166" i="5" s="1"/>
  <c r="BJ166" i="5" l="1"/>
  <c r="BI166" i="5" s="1"/>
  <c r="BK166" i="5" l="1"/>
  <c r="CU166" i="5"/>
  <c r="BG167" i="5"/>
  <c r="CV167" i="5" s="1"/>
  <c r="BP167" i="5" l="1"/>
  <c r="BH167" i="5"/>
  <c r="CT167" i="5" s="1"/>
  <c r="BJ167" i="5" l="1"/>
  <c r="BI167" i="5" s="1"/>
  <c r="BK167" i="5" l="1"/>
  <c r="CU167" i="5"/>
  <c r="BG168" i="5"/>
  <c r="CV168" i="5" s="1"/>
  <c r="BP168" i="5" l="1"/>
  <c r="BH168" i="5"/>
  <c r="CT168" i="5" s="1"/>
  <c r="BJ168" i="5" l="1"/>
  <c r="BI168" i="5" s="1"/>
  <c r="BK168" i="5" l="1"/>
  <c r="CU168" i="5"/>
  <c r="BG169" i="5"/>
  <c r="CV169" i="5" s="1"/>
  <c r="BP169" i="5" l="1"/>
  <c r="BH169" i="5"/>
  <c r="CT169" i="5" s="1"/>
  <c r="BJ169" i="5" l="1"/>
  <c r="BI169" i="5" s="1"/>
  <c r="BK169" i="5" l="1"/>
  <c r="CU169" i="5"/>
  <c r="BG170" i="5"/>
  <c r="CV170" i="5" s="1"/>
  <c r="BP170" i="5" l="1"/>
  <c r="BH170" i="5"/>
  <c r="CT170" i="5" s="1"/>
  <c r="CX16" i="5" s="1"/>
  <c r="K25" i="24" s="1"/>
  <c r="AE24" i="24" l="1"/>
  <c r="BJ170" i="5"/>
  <c r="BI170" i="5" s="1"/>
  <c r="BK170" i="5" l="1"/>
  <c r="CU170" i="5"/>
  <c r="BG171" i="5"/>
  <c r="CV171" i="5" s="1"/>
  <c r="BP171" i="5" l="1"/>
  <c r="BH171" i="5"/>
  <c r="CT171" i="5" s="1"/>
  <c r="BJ171" i="5" l="1"/>
  <c r="BI171" i="5" s="1"/>
  <c r="BK171" i="5" l="1"/>
  <c r="CU171" i="5"/>
  <c r="BG172" i="5"/>
  <c r="CV172" i="5" s="1"/>
  <c r="BP172" i="5" l="1"/>
  <c r="BH172" i="5"/>
  <c r="CT172" i="5" s="1"/>
  <c r="BJ172" i="5" l="1"/>
  <c r="BI172" i="5" s="1"/>
  <c r="CU172" i="5" s="1"/>
  <c r="BK172" i="5" l="1"/>
  <c r="BG173" i="5"/>
  <c r="CV173" i="5" s="1"/>
  <c r="BP173" i="5" l="1"/>
  <c r="BH173" i="5"/>
  <c r="CT173" i="5" s="1"/>
  <c r="BJ173" i="5" l="1"/>
  <c r="BI173" i="5" s="1"/>
  <c r="BK173" i="5" l="1"/>
  <c r="CU173" i="5"/>
  <c r="BG174" i="5"/>
  <c r="CV174" i="5" s="1"/>
  <c r="BP174" i="5" l="1"/>
  <c r="BH174" i="5"/>
  <c r="CT174" i="5" s="1"/>
  <c r="BJ174" i="5" l="1"/>
  <c r="BI174" i="5" s="1"/>
  <c r="BK174" i="5" l="1"/>
  <c r="CU174" i="5"/>
  <c r="BG175" i="5"/>
  <c r="CV175" i="5" s="1"/>
  <c r="BP175" i="5" l="1"/>
  <c r="BH175" i="5"/>
  <c r="CT175" i="5" s="1"/>
  <c r="BJ175" i="5" l="1"/>
  <c r="BI175" i="5" s="1"/>
  <c r="BK175" i="5" l="1"/>
  <c r="CU175" i="5"/>
  <c r="BG176" i="5"/>
  <c r="CV176" i="5" s="1"/>
  <c r="BP176" i="5" l="1"/>
  <c r="BH176" i="5"/>
  <c r="CT176" i="5" s="1"/>
  <c r="BJ176" i="5" l="1"/>
  <c r="BI176" i="5" s="1"/>
  <c r="BK176" i="5" l="1"/>
  <c r="CU176" i="5"/>
  <c r="BG177" i="5"/>
  <c r="CV177" i="5" s="1"/>
  <c r="BP177" i="5" l="1"/>
  <c r="BH177" i="5"/>
  <c r="CT177" i="5" s="1"/>
  <c r="BJ177" i="5" l="1"/>
  <c r="BI177" i="5" s="1"/>
  <c r="BK177" i="5" l="1"/>
  <c r="CU177" i="5"/>
  <c r="BG178" i="5"/>
  <c r="CV178" i="5" s="1"/>
  <c r="BP178" i="5" l="1"/>
  <c r="BH178" i="5"/>
  <c r="CT178" i="5" s="1"/>
  <c r="BJ178" i="5" l="1"/>
  <c r="BI178" i="5" s="1"/>
  <c r="BK178" i="5" l="1"/>
  <c r="CU178" i="5"/>
  <c r="BG179" i="5"/>
  <c r="CV179" i="5" s="1"/>
  <c r="BP179" i="5" l="1"/>
  <c r="BH179" i="5"/>
  <c r="CT179" i="5" s="1"/>
  <c r="BJ179" i="5" l="1"/>
  <c r="BI179" i="5" s="1"/>
  <c r="CU179" i="5" s="1"/>
  <c r="BK179" i="5" l="1"/>
  <c r="BG180" i="5"/>
  <c r="CV180" i="5" s="1"/>
  <c r="BP180" i="5" l="1"/>
  <c r="BH180" i="5"/>
  <c r="CT180" i="5" s="1"/>
  <c r="BJ180" i="5" l="1"/>
  <c r="BI180" i="5" s="1"/>
  <c r="BK180" i="5" l="1"/>
  <c r="CU180" i="5"/>
  <c r="BG181" i="5"/>
  <c r="CV181" i="5" s="1"/>
  <c r="BP181" i="5" l="1"/>
  <c r="BH181" i="5"/>
  <c r="CT181" i="5" s="1"/>
  <c r="BJ181" i="5" l="1"/>
  <c r="BI181" i="5" s="1"/>
  <c r="BK181" i="5" l="1"/>
  <c r="CU181" i="5"/>
  <c r="BG182" i="5"/>
  <c r="CV182" i="5" s="1"/>
  <c r="BP182" i="5" l="1"/>
  <c r="BH182" i="5"/>
  <c r="CT182" i="5" s="1"/>
  <c r="CX17" i="5" s="1"/>
  <c r="K26" i="24" s="1"/>
  <c r="AE25" i="24" l="1"/>
  <c r="BJ182" i="5"/>
  <c r="BI182" i="5" s="1"/>
  <c r="BK182" i="5" l="1"/>
  <c r="CU182" i="5"/>
  <c r="BG183" i="5"/>
  <c r="CV183" i="5" s="1"/>
  <c r="BP183" i="5" l="1"/>
  <c r="BH183" i="5"/>
  <c r="CT183" i="5" s="1"/>
  <c r="BJ183" i="5" l="1"/>
  <c r="BI183" i="5" s="1"/>
  <c r="BK183" i="5" l="1"/>
  <c r="CU183" i="5"/>
  <c r="BG184" i="5"/>
  <c r="CV184" i="5" s="1"/>
  <c r="BP184" i="5" l="1"/>
  <c r="BH184" i="5"/>
  <c r="CT184" i="5" s="1"/>
  <c r="BJ184" i="5" l="1"/>
  <c r="BI184" i="5" s="1"/>
  <c r="BK184" i="5" l="1"/>
  <c r="CU184" i="5"/>
  <c r="BG185" i="5"/>
  <c r="CV185" i="5" s="1"/>
  <c r="BP185" i="5" l="1"/>
  <c r="BH185" i="5"/>
  <c r="CT185" i="5" s="1"/>
  <c r="BJ185" i="5" l="1"/>
  <c r="BI185" i="5" s="1"/>
  <c r="BK185" i="5" l="1"/>
  <c r="CU185" i="5"/>
  <c r="BG186" i="5"/>
  <c r="CV186" i="5" s="1"/>
  <c r="BP186" i="5" l="1"/>
  <c r="BH186" i="5"/>
  <c r="CT186" i="5" s="1"/>
  <c r="BJ186" i="5" l="1"/>
  <c r="BI186" i="5" s="1"/>
  <c r="BK186" i="5" l="1"/>
  <c r="CU186" i="5"/>
  <c r="BG187" i="5"/>
  <c r="CV187" i="5" s="1"/>
  <c r="BP187" i="5" l="1"/>
  <c r="BH187" i="5"/>
  <c r="CT187" i="5" s="1"/>
  <c r="BJ187" i="5" l="1"/>
  <c r="BI187" i="5" s="1"/>
  <c r="BK187" i="5" l="1"/>
  <c r="CU187" i="5"/>
  <c r="BG188" i="5"/>
  <c r="CV188" i="5" s="1"/>
  <c r="BP188" i="5" l="1"/>
  <c r="BH188" i="5"/>
  <c r="CT188" i="5" s="1"/>
  <c r="BJ188" i="5" l="1"/>
  <c r="BI188" i="5" s="1"/>
  <c r="BK188" i="5" l="1"/>
  <c r="CU188" i="5"/>
  <c r="BG189" i="5"/>
  <c r="CV189" i="5" s="1"/>
  <c r="BP189" i="5" l="1"/>
  <c r="BH189" i="5"/>
  <c r="CT189" i="5" s="1"/>
  <c r="BJ189" i="5" l="1"/>
  <c r="BI189" i="5" s="1"/>
  <c r="CU189" i="5" s="1"/>
  <c r="BK189" i="5" l="1"/>
  <c r="BG190" i="5"/>
  <c r="CV190" i="5" s="1"/>
  <c r="BP190" i="5" l="1"/>
  <c r="BH190" i="5"/>
  <c r="CT190" i="5" s="1"/>
  <c r="BJ190" i="5" l="1"/>
  <c r="BI190" i="5" s="1"/>
  <c r="BK190" i="5" l="1"/>
  <c r="CU190" i="5"/>
  <c r="BG191" i="5"/>
  <c r="CV191" i="5" s="1"/>
  <c r="BP191" i="5" l="1"/>
  <c r="BH191" i="5"/>
  <c r="CT191" i="5" s="1"/>
  <c r="BJ191" i="5" l="1"/>
  <c r="BI191" i="5" s="1"/>
  <c r="BK191" i="5" l="1"/>
  <c r="CU191" i="5"/>
  <c r="BG192" i="5"/>
  <c r="CV192" i="5" s="1"/>
  <c r="BP192" i="5" l="1"/>
  <c r="BH192" i="5"/>
  <c r="CT192" i="5" s="1"/>
  <c r="BJ192" i="5" l="1"/>
  <c r="BI192" i="5" s="1"/>
  <c r="BK192" i="5" l="1"/>
  <c r="CU192" i="5"/>
  <c r="BG193" i="5"/>
  <c r="CV193" i="5" s="1"/>
  <c r="BP193" i="5" l="1"/>
  <c r="BH193" i="5"/>
  <c r="CT193" i="5" s="1"/>
  <c r="BJ193" i="5" l="1"/>
  <c r="BI193" i="5" s="1"/>
  <c r="BK193" i="5" l="1"/>
  <c r="CU193" i="5"/>
  <c r="BG194" i="5"/>
  <c r="CV194" i="5" s="1"/>
  <c r="BP194" i="5" l="1"/>
  <c r="BH194" i="5"/>
  <c r="CT194" i="5" s="1"/>
  <c r="CX18" i="5" s="1"/>
  <c r="K27" i="24" s="1"/>
  <c r="AE26" i="24" l="1"/>
  <c r="BJ194" i="5"/>
  <c r="BI194" i="5" s="1"/>
  <c r="BK194" i="5" l="1"/>
  <c r="CU194" i="5"/>
  <c r="BG195" i="5"/>
  <c r="CV195" i="5" s="1"/>
  <c r="BP195" i="5" l="1"/>
  <c r="BH195" i="5"/>
  <c r="CT195" i="5" s="1"/>
  <c r="BJ195" i="5" l="1"/>
  <c r="BI195" i="5" s="1"/>
  <c r="BK195" i="5" l="1"/>
  <c r="CU195" i="5"/>
  <c r="BG196" i="5"/>
  <c r="CV196" i="5" s="1"/>
  <c r="BP196" i="5" l="1"/>
  <c r="BH196" i="5"/>
  <c r="CT196" i="5" s="1"/>
  <c r="BJ196" i="5" l="1"/>
  <c r="BI196" i="5" s="1"/>
  <c r="BK196" i="5" l="1"/>
  <c r="CU196" i="5"/>
  <c r="BG197" i="5"/>
  <c r="CV197" i="5" s="1"/>
  <c r="BP197" i="5" l="1"/>
  <c r="BH197" i="5"/>
  <c r="CT197" i="5" s="1"/>
  <c r="BJ197" i="5" l="1"/>
  <c r="BI197" i="5" s="1"/>
  <c r="BK197" i="5" l="1"/>
  <c r="CU197" i="5"/>
  <c r="BG198" i="5"/>
  <c r="CV198" i="5" s="1"/>
  <c r="BP198" i="5" l="1"/>
  <c r="BH198" i="5"/>
  <c r="CT198" i="5" s="1"/>
  <c r="BJ198" i="5" l="1"/>
  <c r="BI198" i="5" s="1"/>
  <c r="BK198" i="5" l="1"/>
  <c r="CU198" i="5"/>
  <c r="BG199" i="5"/>
  <c r="CV199" i="5" s="1"/>
  <c r="BP199" i="5" l="1"/>
  <c r="BH199" i="5"/>
  <c r="CT199" i="5" s="1"/>
  <c r="BJ199" i="5" l="1"/>
  <c r="BI199" i="5" s="1"/>
  <c r="BK199" i="5" l="1"/>
  <c r="CU199" i="5"/>
  <c r="BG200" i="5"/>
  <c r="CV200" i="5" s="1"/>
  <c r="BP200" i="5" l="1"/>
  <c r="BH200" i="5"/>
  <c r="CT200" i="5" s="1"/>
  <c r="BJ200" i="5" l="1"/>
  <c r="BI200" i="5" s="1"/>
  <c r="BK200" i="5" l="1"/>
  <c r="CU200" i="5"/>
  <c r="BG201" i="5"/>
  <c r="CV201" i="5" s="1"/>
  <c r="BP201" i="5" l="1"/>
  <c r="BH201" i="5"/>
  <c r="CT201" i="5" s="1"/>
  <c r="BJ201" i="5" l="1"/>
  <c r="BI201" i="5" s="1"/>
  <c r="BK201" i="5" l="1"/>
  <c r="CU201" i="5"/>
  <c r="BG202" i="5"/>
  <c r="CV202" i="5" s="1"/>
  <c r="BP202" i="5" l="1"/>
  <c r="BH202" i="5"/>
  <c r="CT202" i="5" s="1"/>
  <c r="BJ202" i="5" l="1"/>
  <c r="BI202" i="5" s="1"/>
  <c r="CU202" i="5" s="1"/>
  <c r="BK202" i="5" l="1"/>
  <c r="BG203" i="5"/>
  <c r="CV203" i="5" s="1"/>
  <c r="BP203" i="5" l="1"/>
  <c r="BH203" i="5"/>
  <c r="CT203" i="5" s="1"/>
  <c r="BJ203" i="5" l="1"/>
  <c r="BI203" i="5" s="1"/>
  <c r="BK203" i="5" l="1"/>
  <c r="CU203" i="5"/>
  <c r="BG204" i="5"/>
  <c r="CV204" i="5" s="1"/>
  <c r="BP204" i="5" l="1"/>
  <c r="BH204" i="5"/>
  <c r="CT204" i="5" s="1"/>
  <c r="BJ204" i="5" l="1"/>
  <c r="BI204" i="5" s="1"/>
  <c r="CU204" i="5" s="1"/>
  <c r="BK204" i="5" l="1"/>
  <c r="BG205" i="5"/>
  <c r="CV205" i="5" s="1"/>
  <c r="BP205" i="5" l="1"/>
  <c r="BH205" i="5"/>
  <c r="CT205" i="5" s="1"/>
  <c r="BJ205" i="5" l="1"/>
  <c r="BI205" i="5" s="1"/>
  <c r="CU205" i="5" s="1"/>
  <c r="BK205" i="5" l="1"/>
  <c r="BG206" i="5"/>
  <c r="CV206" i="5" s="1"/>
  <c r="BP206" i="5" l="1"/>
  <c r="BH206" i="5"/>
  <c r="CT206" i="5" s="1"/>
  <c r="CX19" i="5" s="1"/>
  <c r="K28" i="24" s="1"/>
  <c r="AE27" i="24" l="1"/>
  <c r="BJ206" i="5"/>
  <c r="BI206" i="5" s="1"/>
  <c r="BK206" i="5" l="1"/>
  <c r="CU206" i="5"/>
  <c r="BG207" i="5"/>
  <c r="CV207" i="5" s="1"/>
  <c r="BP207" i="5" l="1"/>
  <c r="BH207" i="5"/>
  <c r="CT207" i="5" s="1"/>
  <c r="BJ207" i="5" l="1"/>
  <c r="BI207" i="5" s="1"/>
  <c r="CU207" i="5" s="1"/>
  <c r="BK207" i="5" l="1"/>
  <c r="BG208" i="5"/>
  <c r="CV208" i="5" s="1"/>
  <c r="BP208" i="5" l="1"/>
  <c r="BH208" i="5"/>
  <c r="CT208" i="5" s="1"/>
  <c r="BJ208" i="5" l="1"/>
  <c r="BI208" i="5" s="1"/>
  <c r="BK208" i="5" l="1"/>
  <c r="CU208" i="5"/>
  <c r="BG209" i="5"/>
  <c r="CV209" i="5" s="1"/>
  <c r="BP209" i="5" l="1"/>
  <c r="BH209" i="5"/>
  <c r="CT209" i="5" s="1"/>
  <c r="BJ209" i="5" l="1"/>
  <c r="BI209" i="5" s="1"/>
  <c r="BK209" i="5" l="1"/>
  <c r="CU209" i="5"/>
  <c r="BG210" i="5"/>
  <c r="CV210" i="5" s="1"/>
  <c r="BP210" i="5" l="1"/>
  <c r="BH210" i="5"/>
  <c r="CT210" i="5" s="1"/>
  <c r="BJ210" i="5" l="1"/>
  <c r="BI210" i="5" s="1"/>
  <c r="CU210" i="5" s="1"/>
  <c r="BK210" i="5" l="1"/>
  <c r="BG211" i="5"/>
  <c r="CV211" i="5" s="1"/>
  <c r="BP211" i="5" l="1"/>
  <c r="BH211" i="5"/>
  <c r="CT211" i="5" s="1"/>
  <c r="BJ211" i="5" l="1"/>
  <c r="BI211" i="5" s="1"/>
  <c r="BK211" i="5" l="1"/>
  <c r="CU211" i="5"/>
  <c r="BG212" i="5"/>
  <c r="CV212" i="5" s="1"/>
  <c r="BP212" i="5" l="1"/>
  <c r="BH212" i="5"/>
  <c r="CT212" i="5" s="1"/>
  <c r="BJ212" i="5" l="1"/>
  <c r="BI212" i="5" s="1"/>
  <c r="BK212" i="5" l="1"/>
  <c r="CU212" i="5"/>
  <c r="BG213" i="5"/>
  <c r="CV213" i="5" s="1"/>
  <c r="BP213" i="5" l="1"/>
  <c r="BH213" i="5"/>
  <c r="CT213" i="5" s="1"/>
  <c r="BJ213" i="5" l="1"/>
  <c r="BI213" i="5" s="1"/>
  <c r="BK213" i="5" l="1"/>
  <c r="CU213" i="5"/>
  <c r="BG214" i="5"/>
  <c r="CV214" i="5" s="1"/>
  <c r="BP214" i="5" l="1"/>
  <c r="BH214" i="5"/>
  <c r="CT214" i="5" s="1"/>
  <c r="BJ214" i="5" l="1"/>
  <c r="BI214" i="5" s="1"/>
  <c r="BK214" i="5" l="1"/>
  <c r="CU214" i="5"/>
  <c r="BG215" i="5"/>
  <c r="CV215" i="5" s="1"/>
  <c r="BP215" i="5" l="1"/>
  <c r="BH215" i="5"/>
  <c r="CT215" i="5" s="1"/>
  <c r="BJ215" i="5" l="1"/>
  <c r="BI215" i="5" s="1"/>
  <c r="BK215" i="5" l="1"/>
  <c r="CU215" i="5"/>
  <c r="BG216" i="5"/>
  <c r="CV216" i="5" s="1"/>
  <c r="BP216" i="5" l="1"/>
  <c r="BH216" i="5"/>
  <c r="CT216" i="5" s="1"/>
  <c r="BJ216" i="5" l="1"/>
  <c r="BI216" i="5" s="1"/>
  <c r="CU216" i="5" s="1"/>
  <c r="BK216" i="5" l="1"/>
  <c r="BG217" i="5"/>
  <c r="CV217" i="5" s="1"/>
  <c r="BP217" i="5" l="1"/>
  <c r="BH217" i="5"/>
  <c r="CT217" i="5" s="1"/>
  <c r="BJ217" i="5" l="1"/>
  <c r="BI217" i="5" s="1"/>
  <c r="BK217" i="5" l="1"/>
  <c r="CU217" i="5"/>
  <c r="BG218" i="5"/>
  <c r="CV218" i="5" s="1"/>
  <c r="BP218" i="5" l="1"/>
  <c r="BH218" i="5"/>
  <c r="CT218" i="5" s="1"/>
  <c r="CX20" i="5" s="1"/>
  <c r="K29" i="24" s="1"/>
  <c r="AE28" i="24" l="1"/>
  <c r="BJ218" i="5"/>
  <c r="BI218" i="5" s="1"/>
  <c r="BK218" i="5" l="1"/>
  <c r="CU218" i="5"/>
  <c r="BG219" i="5"/>
  <c r="CV219" i="5" s="1"/>
  <c r="BP219" i="5" l="1"/>
  <c r="BH219" i="5"/>
  <c r="CT219" i="5" s="1"/>
  <c r="BJ219" i="5" l="1"/>
  <c r="BI219" i="5" s="1"/>
  <c r="BK219" i="5" l="1"/>
  <c r="CU219" i="5"/>
  <c r="BG220" i="5"/>
  <c r="CV220" i="5" s="1"/>
  <c r="BP220" i="5" l="1"/>
  <c r="BH220" i="5"/>
  <c r="CT220" i="5" s="1"/>
  <c r="BJ220" i="5" l="1"/>
  <c r="BI220" i="5" s="1"/>
  <c r="BK220" i="5" l="1"/>
  <c r="CU220" i="5"/>
  <c r="BG221" i="5"/>
  <c r="CV221" i="5" s="1"/>
  <c r="BP221" i="5" l="1"/>
  <c r="BH221" i="5"/>
  <c r="CT221" i="5" s="1"/>
  <c r="BJ221" i="5" l="1"/>
  <c r="BI221" i="5" s="1"/>
  <c r="BK221" i="5" l="1"/>
  <c r="CU221" i="5"/>
  <c r="BG222" i="5"/>
  <c r="CV222" i="5" s="1"/>
  <c r="BP222" i="5" l="1"/>
  <c r="BH222" i="5"/>
  <c r="CT222" i="5" s="1"/>
  <c r="BJ222" i="5" l="1"/>
  <c r="BI222" i="5" s="1"/>
  <c r="BK222" i="5" l="1"/>
  <c r="CU222" i="5"/>
  <c r="BG223" i="5"/>
  <c r="CV223" i="5" s="1"/>
  <c r="BP223" i="5" l="1"/>
  <c r="BH223" i="5"/>
  <c r="CT223" i="5" s="1"/>
  <c r="BJ223" i="5" l="1"/>
  <c r="BI223" i="5" s="1"/>
  <c r="BK223" i="5" l="1"/>
  <c r="CU223" i="5"/>
  <c r="BG224" i="5"/>
  <c r="CV224" i="5" s="1"/>
  <c r="BP224" i="5" l="1"/>
  <c r="BH224" i="5"/>
  <c r="CT224" i="5" s="1"/>
  <c r="BJ224" i="5" l="1"/>
  <c r="BI224" i="5" s="1"/>
  <c r="BK224" i="5" l="1"/>
  <c r="CU224" i="5"/>
  <c r="BG225" i="5"/>
  <c r="CV225" i="5" s="1"/>
  <c r="BP225" i="5" l="1"/>
  <c r="BH225" i="5"/>
  <c r="CT225" i="5" s="1"/>
  <c r="BJ225" i="5" l="1"/>
  <c r="BI225" i="5" s="1"/>
  <c r="BK225" i="5" l="1"/>
  <c r="CU225" i="5"/>
  <c r="BG226" i="5"/>
  <c r="CV226" i="5" s="1"/>
  <c r="BP226" i="5" l="1"/>
  <c r="BH226" i="5"/>
  <c r="CT226" i="5" s="1"/>
  <c r="BJ226" i="5" l="1"/>
  <c r="BI226" i="5" s="1"/>
  <c r="BK226" i="5" l="1"/>
  <c r="CU226" i="5"/>
  <c r="BG227" i="5"/>
  <c r="CV227" i="5" s="1"/>
  <c r="BP227" i="5" l="1"/>
  <c r="BH227" i="5"/>
  <c r="CT227" i="5" s="1"/>
  <c r="BJ227" i="5" l="1"/>
  <c r="BI227" i="5" s="1"/>
  <c r="BK227" i="5" l="1"/>
  <c r="CU227" i="5"/>
  <c r="BG228" i="5"/>
  <c r="CV228" i="5" s="1"/>
  <c r="BP228" i="5" l="1"/>
  <c r="BH228" i="5"/>
  <c r="CT228" i="5" s="1"/>
  <c r="BJ228" i="5" l="1"/>
  <c r="BI228" i="5" s="1"/>
  <c r="BK228" i="5" l="1"/>
  <c r="CU228" i="5"/>
  <c r="BG229" i="5"/>
  <c r="CV229" i="5" s="1"/>
  <c r="BP229" i="5" l="1"/>
  <c r="BH229" i="5"/>
  <c r="CT229" i="5" s="1"/>
  <c r="BJ229" i="5" l="1"/>
  <c r="BI229" i="5" s="1"/>
  <c r="BK229" i="5" l="1"/>
  <c r="CU229" i="5"/>
  <c r="BG230" i="5"/>
  <c r="CV230" i="5" s="1"/>
  <c r="BP230" i="5" l="1"/>
  <c r="BH230" i="5"/>
  <c r="CT230" i="5" s="1"/>
  <c r="CX21" i="5" s="1"/>
  <c r="K30" i="24" s="1"/>
  <c r="AE29" i="24" l="1"/>
  <c r="BJ230" i="5"/>
  <c r="BI230" i="5" s="1"/>
  <c r="BK230" i="5" l="1"/>
  <c r="CU230" i="5"/>
  <c r="BG231" i="5"/>
  <c r="CV231" i="5" s="1"/>
  <c r="BP231" i="5" l="1"/>
  <c r="BH231" i="5"/>
  <c r="CT231" i="5" s="1"/>
  <c r="BJ231" i="5" l="1"/>
  <c r="BI231" i="5" s="1"/>
  <c r="BK231" i="5" l="1"/>
  <c r="CU231" i="5"/>
  <c r="BG232" i="5"/>
  <c r="CV232" i="5" s="1"/>
  <c r="BP232" i="5" l="1"/>
  <c r="BH232" i="5"/>
  <c r="CT232" i="5" s="1"/>
  <c r="BJ232" i="5" l="1"/>
  <c r="BI232" i="5" s="1"/>
  <c r="BK232" i="5" l="1"/>
  <c r="CU232" i="5"/>
  <c r="BG233" i="5"/>
  <c r="CV233" i="5" s="1"/>
  <c r="BP233" i="5" l="1"/>
  <c r="BH233" i="5"/>
  <c r="CT233" i="5" s="1"/>
  <c r="BJ233" i="5" l="1"/>
  <c r="BI233" i="5" s="1"/>
  <c r="BK233" i="5" l="1"/>
  <c r="CU233" i="5"/>
  <c r="BG234" i="5"/>
  <c r="CV234" i="5" s="1"/>
  <c r="BP234" i="5" l="1"/>
  <c r="BH234" i="5"/>
  <c r="CT234" i="5" s="1"/>
  <c r="BJ234" i="5" l="1"/>
  <c r="BI234" i="5" s="1"/>
  <c r="BK234" i="5" l="1"/>
  <c r="CU234" i="5"/>
  <c r="BG235" i="5"/>
  <c r="CV235" i="5" s="1"/>
  <c r="BP235" i="5" l="1"/>
  <c r="BH235" i="5"/>
  <c r="CT235" i="5" s="1"/>
  <c r="BJ235" i="5" l="1"/>
  <c r="BI235" i="5" s="1"/>
  <c r="BK235" i="5" l="1"/>
  <c r="CU235" i="5"/>
  <c r="BG236" i="5"/>
  <c r="CV236" i="5" s="1"/>
  <c r="BP236" i="5" l="1"/>
  <c r="BH236" i="5"/>
  <c r="CT236" i="5" s="1"/>
  <c r="BJ236" i="5" l="1"/>
  <c r="BI236" i="5" s="1"/>
  <c r="BK236" i="5" l="1"/>
  <c r="CU236" i="5"/>
  <c r="BG237" i="5"/>
  <c r="CV237" i="5" s="1"/>
  <c r="BP237" i="5" l="1"/>
  <c r="BH237" i="5"/>
  <c r="CT237" i="5" s="1"/>
  <c r="BJ237" i="5" l="1"/>
  <c r="BI237" i="5" s="1"/>
  <c r="BK237" i="5" l="1"/>
  <c r="CU237" i="5"/>
  <c r="BG238" i="5"/>
  <c r="CV238" i="5" s="1"/>
  <c r="BP238" i="5" l="1"/>
  <c r="BH238" i="5"/>
  <c r="CT238" i="5" s="1"/>
  <c r="BJ238" i="5" l="1"/>
  <c r="BI238" i="5" s="1"/>
  <c r="BK238" i="5" l="1"/>
  <c r="CU238" i="5"/>
  <c r="BG239" i="5"/>
  <c r="CV239" i="5" s="1"/>
  <c r="BP239" i="5" l="1"/>
  <c r="BH239" i="5"/>
  <c r="CT239" i="5" s="1"/>
  <c r="BJ239" i="5" l="1"/>
  <c r="BI239" i="5" s="1"/>
  <c r="BK239" i="5" l="1"/>
  <c r="CU239" i="5"/>
  <c r="BG240" i="5"/>
  <c r="CV240" i="5" s="1"/>
  <c r="BP240" i="5" l="1"/>
  <c r="BH240" i="5"/>
  <c r="CT240" i="5" s="1"/>
  <c r="BJ240" i="5" l="1"/>
  <c r="BI240" i="5" s="1"/>
  <c r="BK240" i="5" l="1"/>
  <c r="CU240" i="5"/>
  <c r="BG241" i="5"/>
  <c r="CV241" i="5" s="1"/>
  <c r="BP241" i="5" l="1"/>
  <c r="BH241" i="5"/>
  <c r="CT241" i="5" s="1"/>
  <c r="BJ241" i="5" l="1"/>
  <c r="BI241" i="5" s="1"/>
  <c r="BK241" i="5" l="1"/>
  <c r="CU241" i="5"/>
  <c r="BG242" i="5"/>
  <c r="CV242" i="5" s="1"/>
  <c r="BP242" i="5" l="1"/>
  <c r="BH242" i="5"/>
  <c r="CT242" i="5" s="1"/>
  <c r="CX22" i="5" s="1"/>
  <c r="K31" i="24" s="1"/>
  <c r="AE30" i="24" l="1"/>
  <c r="BJ242" i="5"/>
  <c r="BI242" i="5" s="1"/>
  <c r="BK242" i="5" l="1"/>
  <c r="CU242" i="5"/>
  <c r="BG243" i="5"/>
  <c r="CV243" i="5" s="1"/>
  <c r="BP243" i="5" l="1"/>
  <c r="BH243" i="5"/>
  <c r="CT243" i="5" s="1"/>
  <c r="BJ243" i="5" l="1"/>
  <c r="BI243" i="5" s="1"/>
  <c r="BK243" i="5" l="1"/>
  <c r="CU243" i="5"/>
  <c r="BG244" i="5"/>
  <c r="CV244" i="5" s="1"/>
  <c r="BP244" i="5" l="1"/>
  <c r="BH244" i="5"/>
  <c r="CT244" i="5" s="1"/>
  <c r="BJ244" i="5" l="1"/>
  <c r="BI244" i="5" s="1"/>
  <c r="BK244" i="5" l="1"/>
  <c r="CU244" i="5"/>
  <c r="BG245" i="5"/>
  <c r="CV245" i="5" s="1"/>
  <c r="BP245" i="5" l="1"/>
  <c r="BH245" i="5"/>
  <c r="CT245" i="5" s="1"/>
  <c r="BJ245" i="5" l="1"/>
  <c r="BI245" i="5" s="1"/>
  <c r="BK245" i="5" l="1"/>
  <c r="CU245" i="5"/>
  <c r="BG246" i="5"/>
  <c r="CV246" i="5" s="1"/>
  <c r="BP246" i="5" l="1"/>
  <c r="BH246" i="5"/>
  <c r="CT246" i="5" s="1"/>
  <c r="BJ246" i="5" l="1"/>
  <c r="BI246" i="5" s="1"/>
  <c r="BK246" i="5" l="1"/>
  <c r="CU246" i="5"/>
  <c r="BG247" i="5"/>
  <c r="CV247" i="5" s="1"/>
  <c r="BP247" i="5" l="1"/>
  <c r="BH247" i="5"/>
  <c r="CT247" i="5" s="1"/>
  <c r="BJ247" i="5" l="1"/>
  <c r="BI247" i="5" s="1"/>
  <c r="BK247" i="5" l="1"/>
  <c r="CU247" i="5"/>
  <c r="BG248" i="5"/>
  <c r="CV248" i="5" s="1"/>
  <c r="BP248" i="5" l="1"/>
  <c r="BH248" i="5"/>
  <c r="CT248" i="5" s="1"/>
  <c r="BJ248" i="5" l="1"/>
  <c r="BI248" i="5" s="1"/>
  <c r="BK248" i="5" l="1"/>
  <c r="CU248" i="5"/>
  <c r="BG249" i="5"/>
  <c r="CV249" i="5" s="1"/>
  <c r="BP249" i="5" l="1"/>
  <c r="BH249" i="5"/>
  <c r="CT249" i="5" s="1"/>
  <c r="BJ249" i="5" l="1"/>
  <c r="BI249" i="5" s="1"/>
  <c r="BK249" i="5" l="1"/>
  <c r="CU249" i="5"/>
  <c r="BG250" i="5"/>
  <c r="CV250" i="5" s="1"/>
  <c r="BP250" i="5" l="1"/>
  <c r="BH250" i="5"/>
  <c r="CT250" i="5" s="1"/>
  <c r="BJ250" i="5" l="1"/>
  <c r="BI250" i="5" s="1"/>
  <c r="BK250" i="5" l="1"/>
  <c r="CU250" i="5"/>
  <c r="BG251" i="5"/>
  <c r="CV251" i="5" s="1"/>
  <c r="BP251" i="5" l="1"/>
  <c r="BH251" i="5"/>
  <c r="CT251" i="5" s="1"/>
  <c r="BJ251" i="5" l="1"/>
  <c r="BI251" i="5" s="1"/>
  <c r="BK251" i="5" l="1"/>
  <c r="CU251" i="5"/>
  <c r="BG252" i="5"/>
  <c r="CV252" i="5" s="1"/>
  <c r="BP252" i="5" l="1"/>
  <c r="BH252" i="5"/>
  <c r="CT252" i="5" s="1"/>
  <c r="BJ252" i="5" l="1"/>
  <c r="BI252" i="5" s="1"/>
  <c r="BK252" i="5" l="1"/>
  <c r="CU252" i="5"/>
  <c r="BG253" i="5"/>
  <c r="CV253" i="5" s="1"/>
  <c r="BP253" i="5" l="1"/>
  <c r="BH253" i="5"/>
  <c r="CT253" i="5" s="1"/>
  <c r="BJ253" i="5" l="1"/>
  <c r="BI253" i="5" s="1"/>
  <c r="BK253" i="5" l="1"/>
  <c r="CU253" i="5"/>
  <c r="BG254" i="5"/>
  <c r="CV254" i="5" s="1"/>
  <c r="BP254" i="5" l="1"/>
  <c r="BH254" i="5"/>
  <c r="CT254" i="5" s="1"/>
  <c r="CX23" i="5" s="1"/>
  <c r="K32" i="24" s="1"/>
  <c r="AE31" i="24" l="1"/>
  <c r="BJ254" i="5"/>
  <c r="BI254" i="5" s="1"/>
  <c r="BK254" i="5" l="1"/>
  <c r="CU254" i="5"/>
  <c r="BG255" i="5"/>
  <c r="CV255" i="5" s="1"/>
  <c r="BP255" i="5" l="1"/>
  <c r="BH255" i="5"/>
  <c r="CT255" i="5" s="1"/>
  <c r="BJ255" i="5" l="1"/>
  <c r="BI255" i="5" s="1"/>
  <c r="BK255" i="5" l="1"/>
  <c r="CU255" i="5"/>
  <c r="BG256" i="5"/>
  <c r="CV256" i="5" s="1"/>
  <c r="BP256" i="5" l="1"/>
  <c r="BH256" i="5"/>
  <c r="CT256" i="5" s="1"/>
  <c r="BJ256" i="5" l="1"/>
  <c r="BI256" i="5" s="1"/>
  <c r="BK256" i="5" l="1"/>
  <c r="CU256" i="5"/>
  <c r="BG257" i="5"/>
  <c r="CV257" i="5" s="1"/>
  <c r="BP257" i="5" l="1"/>
  <c r="BH257" i="5"/>
  <c r="CT257" i="5" s="1"/>
  <c r="BJ257" i="5" l="1"/>
  <c r="BI257" i="5" s="1"/>
  <c r="BK257" i="5" l="1"/>
  <c r="CU257" i="5"/>
  <c r="BG258" i="5"/>
  <c r="CV258" i="5" s="1"/>
  <c r="BP258" i="5" l="1"/>
  <c r="BH258" i="5"/>
  <c r="CT258" i="5" s="1"/>
  <c r="BJ258" i="5" l="1"/>
  <c r="BI258" i="5" s="1"/>
  <c r="BK258" i="5" l="1"/>
  <c r="CU258" i="5"/>
  <c r="BG259" i="5"/>
  <c r="CV259" i="5" s="1"/>
  <c r="BP259" i="5" l="1"/>
  <c r="BH259" i="5"/>
  <c r="CT259" i="5" s="1"/>
  <c r="BJ259" i="5" l="1"/>
  <c r="BI259" i="5" s="1"/>
  <c r="BK259" i="5" l="1"/>
  <c r="CU259" i="5"/>
  <c r="BG260" i="5"/>
  <c r="CV260" i="5" s="1"/>
  <c r="BP260" i="5" l="1"/>
  <c r="BH260" i="5"/>
  <c r="CT260" i="5" s="1"/>
  <c r="BJ260" i="5" l="1"/>
  <c r="BI260" i="5" s="1"/>
  <c r="BK260" i="5" l="1"/>
  <c r="CU260" i="5"/>
  <c r="BG261" i="5"/>
  <c r="CV261" i="5" s="1"/>
  <c r="BP261" i="5" l="1"/>
  <c r="BH261" i="5"/>
  <c r="CT261" i="5" s="1"/>
  <c r="BJ261" i="5" l="1"/>
  <c r="BI261" i="5" s="1"/>
  <c r="BK261" i="5" l="1"/>
  <c r="CU261" i="5"/>
  <c r="BG262" i="5"/>
  <c r="CV262" i="5" s="1"/>
  <c r="BP262" i="5" l="1"/>
  <c r="BH262" i="5"/>
  <c r="CT262" i="5" s="1"/>
  <c r="BJ262" i="5" l="1"/>
  <c r="BI262" i="5" s="1"/>
  <c r="BK262" i="5" l="1"/>
  <c r="CU262" i="5"/>
  <c r="BG263" i="5"/>
  <c r="CV263" i="5" s="1"/>
  <c r="BP263" i="5" l="1"/>
  <c r="BH263" i="5"/>
  <c r="CT263" i="5" s="1"/>
  <c r="BJ263" i="5" l="1"/>
  <c r="BI263" i="5" s="1"/>
  <c r="BK263" i="5" l="1"/>
  <c r="CU263" i="5"/>
  <c r="BG264" i="5"/>
  <c r="CV264" i="5" s="1"/>
  <c r="BP264" i="5" l="1"/>
  <c r="BH264" i="5"/>
  <c r="CT264" i="5" s="1"/>
  <c r="BJ264" i="5" l="1"/>
  <c r="BI264" i="5" s="1"/>
  <c r="CU264" i="5" s="1"/>
  <c r="BK264" i="5" l="1"/>
  <c r="BG265" i="5"/>
  <c r="CV265" i="5" s="1"/>
  <c r="BP265" i="5" l="1"/>
  <c r="BH265" i="5"/>
  <c r="CT265" i="5" s="1"/>
  <c r="BJ265" i="5" l="1"/>
  <c r="BI265" i="5" s="1"/>
  <c r="BK265" i="5" l="1"/>
  <c r="CU265" i="5"/>
  <c r="BG266" i="5"/>
  <c r="CV266" i="5" s="1"/>
  <c r="BP266" i="5" l="1"/>
  <c r="BH266" i="5"/>
  <c r="CT266" i="5" s="1"/>
  <c r="CX24" i="5" s="1"/>
  <c r="K33" i="24" s="1"/>
  <c r="AE32" i="24" l="1"/>
  <c r="BJ266" i="5"/>
  <c r="BI266" i="5" s="1"/>
  <c r="BK266" i="5" l="1"/>
  <c r="CU266" i="5"/>
  <c r="BG267" i="5"/>
  <c r="CV267" i="5" s="1"/>
  <c r="BP267" i="5" l="1"/>
  <c r="BH267" i="5"/>
  <c r="CT267" i="5" s="1"/>
  <c r="BJ267" i="5" l="1"/>
  <c r="BI267" i="5" s="1"/>
  <c r="BK267" i="5" l="1"/>
  <c r="CU267" i="5"/>
  <c r="BG268" i="5"/>
  <c r="CV268" i="5" s="1"/>
  <c r="BP268" i="5" l="1"/>
  <c r="BH268" i="5"/>
  <c r="CT268" i="5" s="1"/>
  <c r="BJ268" i="5" l="1"/>
  <c r="BI268" i="5" s="1"/>
  <c r="BK268" i="5" l="1"/>
  <c r="CU268" i="5"/>
  <c r="BG269" i="5"/>
  <c r="CV269" i="5" s="1"/>
  <c r="BP269" i="5" l="1"/>
  <c r="BH269" i="5"/>
  <c r="CT269" i="5" s="1"/>
  <c r="BJ269" i="5" l="1"/>
  <c r="BI269" i="5" s="1"/>
  <c r="BK269" i="5" l="1"/>
  <c r="CU269" i="5"/>
  <c r="BG270" i="5"/>
  <c r="CV270" i="5" s="1"/>
  <c r="BP270" i="5" l="1"/>
  <c r="BH270" i="5"/>
  <c r="CT270" i="5" s="1"/>
  <c r="BJ270" i="5" l="1"/>
  <c r="BI270" i="5" s="1"/>
  <c r="CU270" i="5" s="1"/>
  <c r="BK270" i="5" l="1"/>
  <c r="BG271" i="5"/>
  <c r="CV271" i="5" s="1"/>
  <c r="BP271" i="5" l="1"/>
  <c r="BH271" i="5"/>
  <c r="CT271" i="5" s="1"/>
  <c r="BJ271" i="5" l="1"/>
  <c r="BI271" i="5" s="1"/>
  <c r="BK271" i="5" l="1"/>
  <c r="CU271" i="5"/>
  <c r="BG272" i="5"/>
  <c r="CV272" i="5" s="1"/>
  <c r="BP272" i="5" l="1"/>
  <c r="BH272" i="5"/>
  <c r="CT272" i="5" s="1"/>
  <c r="BJ272" i="5" l="1"/>
  <c r="BI272" i="5" s="1"/>
  <c r="BK272" i="5" l="1"/>
  <c r="CU272" i="5"/>
  <c r="BG273" i="5"/>
  <c r="CV273" i="5" s="1"/>
  <c r="BP273" i="5" l="1"/>
  <c r="BH273" i="5"/>
  <c r="CT273" i="5" s="1"/>
  <c r="BJ273" i="5" l="1"/>
  <c r="BI273" i="5" s="1"/>
  <c r="BK273" i="5" l="1"/>
  <c r="CU273" i="5"/>
  <c r="BG274" i="5"/>
  <c r="CV274" i="5" s="1"/>
  <c r="BP274" i="5" l="1"/>
  <c r="BH274" i="5"/>
  <c r="CT274" i="5" s="1"/>
  <c r="BJ274" i="5" l="1"/>
  <c r="BI274" i="5" s="1"/>
  <c r="BK274" i="5" l="1"/>
  <c r="CU274" i="5"/>
  <c r="BG275" i="5"/>
  <c r="CV275" i="5" s="1"/>
  <c r="BP275" i="5" l="1"/>
  <c r="BH275" i="5"/>
  <c r="CT275" i="5" s="1"/>
  <c r="BJ275" i="5" l="1"/>
  <c r="BI275" i="5" s="1"/>
  <c r="BK275" i="5" l="1"/>
  <c r="CU275" i="5"/>
  <c r="BG276" i="5"/>
  <c r="CV276" i="5" s="1"/>
  <c r="BP276" i="5" l="1"/>
  <c r="BH276" i="5"/>
  <c r="CT276" i="5" s="1"/>
  <c r="BJ276" i="5" l="1"/>
  <c r="BI276" i="5" s="1"/>
  <c r="BK276" i="5" l="1"/>
  <c r="CU276" i="5"/>
  <c r="BG277" i="5"/>
  <c r="CV277" i="5" s="1"/>
  <c r="BP277" i="5" l="1"/>
  <c r="BH277" i="5"/>
  <c r="CT277" i="5" s="1"/>
  <c r="BJ277" i="5" l="1"/>
  <c r="BI277" i="5" s="1"/>
  <c r="BK277" i="5" l="1"/>
  <c r="CU277" i="5"/>
  <c r="BG278" i="5"/>
  <c r="CV278" i="5" s="1"/>
  <c r="BP278" i="5" l="1"/>
  <c r="BH278" i="5"/>
  <c r="CT278" i="5" s="1"/>
  <c r="CX25" i="5" s="1"/>
  <c r="K34" i="24" s="1"/>
  <c r="AE33" i="24" l="1"/>
  <c r="BJ278" i="5"/>
  <c r="BI278" i="5" s="1"/>
  <c r="BK278" i="5" l="1"/>
  <c r="CU278" i="5"/>
  <c r="BG279" i="5"/>
  <c r="CV279" i="5" s="1"/>
  <c r="BP279" i="5" l="1"/>
  <c r="BH279" i="5"/>
  <c r="CT279" i="5" s="1"/>
  <c r="BJ279" i="5" l="1"/>
  <c r="BI279" i="5" s="1"/>
  <c r="BK279" i="5" l="1"/>
  <c r="CU279" i="5"/>
  <c r="BG280" i="5"/>
  <c r="CV280" i="5" s="1"/>
  <c r="BP280" i="5" l="1"/>
  <c r="BH280" i="5"/>
  <c r="CT280" i="5" s="1"/>
  <c r="BJ280" i="5" l="1"/>
  <c r="BI280" i="5" s="1"/>
  <c r="BK280" i="5" l="1"/>
  <c r="CU280" i="5"/>
  <c r="BG281" i="5"/>
  <c r="CV281" i="5" s="1"/>
  <c r="BP281" i="5" l="1"/>
  <c r="BH281" i="5"/>
  <c r="CT281" i="5" s="1"/>
  <c r="BJ281" i="5" l="1"/>
  <c r="BI281" i="5" s="1"/>
  <c r="BK281" i="5" l="1"/>
  <c r="CU281" i="5"/>
  <c r="BG282" i="5"/>
  <c r="CV282" i="5" s="1"/>
  <c r="BP282" i="5" l="1"/>
  <c r="BH282" i="5"/>
  <c r="CT282" i="5" s="1"/>
  <c r="BJ282" i="5" l="1"/>
  <c r="BI282" i="5" s="1"/>
  <c r="BK282" i="5" l="1"/>
  <c r="CU282" i="5"/>
  <c r="BG283" i="5"/>
  <c r="CV283" i="5" s="1"/>
  <c r="BP283" i="5" l="1"/>
  <c r="BH283" i="5"/>
  <c r="CT283" i="5" s="1"/>
  <c r="BJ283" i="5" l="1"/>
  <c r="BI283" i="5" s="1"/>
  <c r="BK283" i="5" l="1"/>
  <c r="CU283" i="5"/>
  <c r="BG284" i="5"/>
  <c r="CV284" i="5" s="1"/>
  <c r="BP284" i="5" l="1"/>
  <c r="BH284" i="5"/>
  <c r="CT284" i="5" s="1"/>
  <c r="BJ284" i="5" l="1"/>
  <c r="BI284" i="5" s="1"/>
  <c r="BK284" i="5" l="1"/>
  <c r="CU284" i="5"/>
  <c r="BG285" i="5"/>
  <c r="CV285" i="5" s="1"/>
  <c r="BP285" i="5" l="1"/>
  <c r="BH285" i="5"/>
  <c r="CT285" i="5" s="1"/>
  <c r="BJ285" i="5" l="1"/>
  <c r="BI285" i="5" s="1"/>
  <c r="BK285" i="5" l="1"/>
  <c r="CU285" i="5"/>
  <c r="BG286" i="5"/>
  <c r="CV286" i="5" s="1"/>
  <c r="BP286" i="5" l="1"/>
  <c r="BH286" i="5"/>
  <c r="CT286" i="5" s="1"/>
  <c r="BJ286" i="5" l="1"/>
  <c r="BI286" i="5" s="1"/>
  <c r="BK286" i="5" l="1"/>
  <c r="CU286" i="5"/>
  <c r="BG287" i="5"/>
  <c r="CV287" i="5" s="1"/>
  <c r="BP287" i="5" l="1"/>
  <c r="BH287" i="5"/>
  <c r="CT287" i="5" s="1"/>
  <c r="BJ287" i="5" l="1"/>
  <c r="BI287" i="5" s="1"/>
  <c r="BK287" i="5" l="1"/>
  <c r="CU287" i="5"/>
  <c r="BG288" i="5"/>
  <c r="CV288" i="5" s="1"/>
  <c r="BP288" i="5" l="1"/>
  <c r="BH288" i="5"/>
  <c r="CT288" i="5" s="1"/>
  <c r="BJ288" i="5" l="1"/>
  <c r="BI288" i="5" s="1"/>
  <c r="BK288" i="5" l="1"/>
  <c r="CU288" i="5"/>
  <c r="BG289" i="5"/>
  <c r="CV289" i="5" s="1"/>
  <c r="BP289" i="5" l="1"/>
  <c r="BH289" i="5"/>
  <c r="CT289" i="5" s="1"/>
  <c r="BJ289" i="5" l="1"/>
  <c r="BI289" i="5" s="1"/>
  <c r="BK289" i="5" l="1"/>
  <c r="CU289" i="5"/>
  <c r="AB12" i="56"/>
  <c r="BG290" i="5"/>
  <c r="CV290" i="5" s="1"/>
  <c r="BP290" i="5" l="1"/>
  <c r="BH290" i="5"/>
  <c r="CT290" i="5" s="1"/>
  <c r="CX26" i="5" s="1"/>
  <c r="AE34" i="24" l="1"/>
  <c r="K35" i="24"/>
  <c r="BJ290" i="5"/>
  <c r="BI290" i="5" s="1"/>
  <c r="BK290" i="5" l="1"/>
  <c r="CU290" i="5"/>
  <c r="BG291" i="5"/>
  <c r="CV291" i="5" s="1"/>
  <c r="BP291" i="5" l="1"/>
  <c r="BH291" i="5"/>
  <c r="CT291" i="5" s="1"/>
  <c r="BJ291" i="5" l="1"/>
  <c r="BI291" i="5" s="1"/>
  <c r="BK291" i="5" l="1"/>
  <c r="CU291" i="5"/>
  <c r="BG292" i="5"/>
  <c r="CV292" i="5" s="1"/>
  <c r="BP292" i="5" l="1"/>
  <c r="BH292" i="5"/>
  <c r="CT292" i="5" s="1"/>
  <c r="BJ292" i="5" l="1"/>
  <c r="BI292" i="5" s="1"/>
  <c r="BK292" i="5" l="1"/>
  <c r="CU292" i="5"/>
  <c r="BG293" i="5"/>
  <c r="CV293" i="5" s="1"/>
  <c r="BP293" i="5" l="1"/>
  <c r="BH293" i="5"/>
  <c r="CT293" i="5" s="1"/>
  <c r="BJ293" i="5" l="1"/>
  <c r="BI293" i="5" s="1"/>
  <c r="BK293" i="5" l="1"/>
  <c r="CU293" i="5"/>
  <c r="BG294" i="5"/>
  <c r="CV294" i="5" s="1"/>
  <c r="BP294" i="5" l="1"/>
  <c r="BH294" i="5"/>
  <c r="CT294" i="5" s="1"/>
  <c r="BJ294" i="5" l="1"/>
  <c r="BI294" i="5" s="1"/>
  <c r="BK294" i="5" l="1"/>
  <c r="CU294" i="5"/>
  <c r="BG295" i="5"/>
  <c r="CV295" i="5" s="1"/>
  <c r="BP295" i="5" l="1"/>
  <c r="BH295" i="5"/>
  <c r="CT295" i="5" s="1"/>
  <c r="BJ295" i="5" l="1"/>
  <c r="BI295" i="5" s="1"/>
  <c r="BK295" i="5" l="1"/>
  <c r="CU295" i="5"/>
  <c r="BG296" i="5"/>
  <c r="CV296" i="5" s="1"/>
  <c r="BP296" i="5" l="1"/>
  <c r="BH296" i="5"/>
  <c r="CT296" i="5" s="1"/>
  <c r="BJ296" i="5" l="1"/>
  <c r="BI296" i="5" s="1"/>
  <c r="BK296" i="5" l="1"/>
  <c r="CU296" i="5"/>
  <c r="BG297" i="5"/>
  <c r="CV297" i="5" s="1"/>
  <c r="BP297" i="5" l="1"/>
  <c r="BH297" i="5"/>
  <c r="CT297" i="5" s="1"/>
  <c r="BJ297" i="5" l="1"/>
  <c r="BI297" i="5" s="1"/>
  <c r="BK297" i="5" l="1"/>
  <c r="CU297" i="5"/>
  <c r="BG298" i="5"/>
  <c r="CV298" i="5" s="1"/>
  <c r="BP298" i="5" l="1"/>
  <c r="BH298" i="5"/>
  <c r="CT298" i="5" s="1"/>
  <c r="BJ298" i="5" l="1"/>
  <c r="BI298" i="5" s="1"/>
  <c r="BK298" i="5" l="1"/>
  <c r="CU298" i="5"/>
  <c r="BG299" i="5"/>
  <c r="CV299" i="5" s="1"/>
  <c r="BP299" i="5" l="1"/>
  <c r="BH299" i="5"/>
  <c r="CT299" i="5" s="1"/>
  <c r="BJ299" i="5" l="1"/>
  <c r="BI299" i="5" s="1"/>
  <c r="BK299" i="5" l="1"/>
  <c r="CU299" i="5"/>
  <c r="BG300" i="5"/>
  <c r="CV300" i="5" s="1"/>
  <c r="BP300" i="5" l="1"/>
  <c r="BH300" i="5"/>
  <c r="CT300" i="5" s="1"/>
  <c r="BJ300" i="5" l="1"/>
  <c r="BI300" i="5" s="1"/>
  <c r="BK300" i="5" l="1"/>
  <c r="CU300" i="5"/>
  <c r="BG301" i="5"/>
  <c r="CV301" i="5" s="1"/>
  <c r="BP301" i="5" l="1"/>
  <c r="BH301" i="5"/>
  <c r="CT301" i="5" s="1"/>
  <c r="BJ301" i="5" l="1"/>
  <c r="BI301" i="5" s="1"/>
  <c r="BK301" i="5" l="1"/>
  <c r="CU301" i="5"/>
  <c r="BG302" i="5"/>
  <c r="CV302" i="5" s="1"/>
  <c r="BP302" i="5" l="1"/>
  <c r="BH302" i="5"/>
  <c r="CT302" i="5" s="1"/>
  <c r="CX27" i="5" s="1"/>
  <c r="AE35" i="24" l="1"/>
  <c r="K36" i="24"/>
  <c r="BJ302" i="5"/>
  <c r="BI302" i="5" s="1"/>
  <c r="BK302" i="5" l="1"/>
  <c r="CU302" i="5"/>
  <c r="BG303" i="5"/>
  <c r="CV303" i="5" s="1"/>
  <c r="BP303" i="5" l="1"/>
  <c r="BH303" i="5"/>
  <c r="CT303" i="5" s="1"/>
  <c r="BJ303" i="5" l="1"/>
  <c r="BI303" i="5" s="1"/>
  <c r="BK303" i="5" l="1"/>
  <c r="CU303" i="5"/>
  <c r="BG304" i="5"/>
  <c r="CV304" i="5" s="1"/>
  <c r="BP304" i="5" l="1"/>
  <c r="BH304" i="5"/>
  <c r="CT304" i="5" s="1"/>
  <c r="BJ304" i="5" l="1"/>
  <c r="BI304" i="5" s="1"/>
  <c r="BK304" i="5" l="1"/>
  <c r="CU304" i="5"/>
  <c r="BG305" i="5"/>
  <c r="CV305" i="5" s="1"/>
  <c r="BP305" i="5" l="1"/>
  <c r="BH305" i="5"/>
  <c r="CT305" i="5" s="1"/>
  <c r="BJ305" i="5" l="1"/>
  <c r="BI305" i="5" s="1"/>
  <c r="BK305" i="5" l="1"/>
  <c r="CU305" i="5"/>
  <c r="BG306" i="5"/>
  <c r="CV306" i="5" s="1"/>
  <c r="BP306" i="5" l="1"/>
  <c r="BH306" i="5"/>
  <c r="CT306" i="5" s="1"/>
  <c r="BJ306" i="5" l="1"/>
  <c r="BI306" i="5" s="1"/>
  <c r="BK306" i="5" l="1"/>
  <c r="CU306" i="5"/>
  <c r="BG307" i="5"/>
  <c r="CV307" i="5" s="1"/>
  <c r="BP307" i="5" l="1"/>
  <c r="BH307" i="5"/>
  <c r="CT307" i="5" s="1"/>
  <c r="BJ307" i="5" l="1"/>
  <c r="BI307" i="5" s="1"/>
  <c r="BK307" i="5" l="1"/>
  <c r="CU307" i="5"/>
  <c r="BG308" i="5"/>
  <c r="CV308" i="5" s="1"/>
  <c r="BP308" i="5" l="1"/>
  <c r="BH308" i="5"/>
  <c r="CT308" i="5" s="1"/>
  <c r="BJ308" i="5" l="1"/>
  <c r="BI308" i="5" s="1"/>
  <c r="BK308" i="5" l="1"/>
  <c r="CU308" i="5"/>
  <c r="BG309" i="5"/>
  <c r="CV309" i="5" s="1"/>
  <c r="BP309" i="5" l="1"/>
  <c r="BH309" i="5"/>
  <c r="CT309" i="5" s="1"/>
  <c r="BJ309" i="5" l="1"/>
  <c r="BI309" i="5" s="1"/>
  <c r="BK309" i="5" l="1"/>
  <c r="CU309" i="5"/>
  <c r="BG310" i="5"/>
  <c r="CV310" i="5" s="1"/>
  <c r="BP310" i="5" l="1"/>
  <c r="BH310" i="5"/>
  <c r="CT310" i="5" s="1"/>
  <c r="BJ310" i="5" l="1"/>
  <c r="BI310" i="5" s="1"/>
  <c r="BK310" i="5" l="1"/>
  <c r="CU310" i="5"/>
  <c r="BG311" i="5"/>
  <c r="CV311" i="5" s="1"/>
  <c r="BP311" i="5" l="1"/>
  <c r="BH311" i="5"/>
  <c r="CT311" i="5" s="1"/>
  <c r="BJ311" i="5" l="1"/>
  <c r="BI311" i="5" s="1"/>
  <c r="BK311" i="5" l="1"/>
  <c r="CU311" i="5"/>
  <c r="BG312" i="5"/>
  <c r="CV312" i="5" s="1"/>
  <c r="BP312" i="5" l="1"/>
  <c r="BH312" i="5"/>
  <c r="CT312" i="5" s="1"/>
  <c r="BJ312" i="5" l="1"/>
  <c r="BI312" i="5" s="1"/>
  <c r="BK312" i="5" l="1"/>
  <c r="CU312" i="5"/>
  <c r="BG313" i="5"/>
  <c r="CV313" i="5" s="1"/>
  <c r="BP313" i="5" l="1"/>
  <c r="BH313" i="5"/>
  <c r="CT313" i="5" s="1"/>
  <c r="BJ313" i="5" l="1"/>
  <c r="BI313" i="5" s="1"/>
  <c r="BK313" i="5" l="1"/>
  <c r="CU313" i="5"/>
  <c r="BG314" i="5"/>
  <c r="CV314" i="5" s="1"/>
  <c r="BP314" i="5" l="1"/>
  <c r="BH314" i="5"/>
  <c r="CT314" i="5" s="1"/>
  <c r="CX28" i="5" s="1"/>
  <c r="AE36" i="24" l="1"/>
  <c r="K37" i="24"/>
  <c r="BJ314" i="5"/>
  <c r="BI314" i="5" s="1"/>
  <c r="BK314" i="5" l="1"/>
  <c r="CU314" i="5"/>
  <c r="BG315" i="5"/>
  <c r="CV315" i="5" s="1"/>
  <c r="BP315" i="5" l="1"/>
  <c r="BH315" i="5"/>
  <c r="CT315" i="5" s="1"/>
  <c r="BJ315" i="5" l="1"/>
  <c r="BI315" i="5" s="1"/>
  <c r="BK315" i="5" l="1"/>
  <c r="CU315" i="5"/>
  <c r="BG316" i="5"/>
  <c r="CV316" i="5" s="1"/>
  <c r="BP316" i="5" l="1"/>
  <c r="BH316" i="5"/>
  <c r="CT316" i="5" s="1"/>
  <c r="BJ316" i="5" l="1"/>
  <c r="BI316" i="5" s="1"/>
  <c r="BK316" i="5" l="1"/>
  <c r="CU316" i="5"/>
  <c r="BG317" i="5"/>
  <c r="CV317" i="5" s="1"/>
  <c r="BP317" i="5" l="1"/>
  <c r="BH317" i="5"/>
  <c r="CT317" i="5" s="1"/>
  <c r="BJ317" i="5" l="1"/>
  <c r="BI317" i="5" s="1"/>
  <c r="BK317" i="5" l="1"/>
  <c r="CU317" i="5"/>
  <c r="BG318" i="5"/>
  <c r="CV318" i="5" s="1"/>
  <c r="BP318" i="5" l="1"/>
  <c r="BH318" i="5"/>
  <c r="CT318" i="5" s="1"/>
  <c r="BJ318" i="5" l="1"/>
  <c r="BI318" i="5" s="1"/>
  <c r="BK318" i="5" l="1"/>
  <c r="CU318" i="5"/>
  <c r="BG319" i="5"/>
  <c r="CV319" i="5" s="1"/>
  <c r="BP319" i="5" l="1"/>
  <c r="BH319" i="5"/>
  <c r="CT319" i="5" s="1"/>
  <c r="BJ319" i="5" l="1"/>
  <c r="BI319" i="5" s="1"/>
  <c r="BK319" i="5" l="1"/>
  <c r="CU319" i="5"/>
  <c r="BG320" i="5"/>
  <c r="CV320" i="5" s="1"/>
  <c r="BP320" i="5" l="1"/>
  <c r="BH320" i="5"/>
  <c r="CT320" i="5" s="1"/>
  <c r="BJ320" i="5" l="1"/>
  <c r="BI320" i="5" s="1"/>
  <c r="BK320" i="5" l="1"/>
  <c r="CU320" i="5"/>
  <c r="BG321" i="5"/>
  <c r="CV321" i="5" s="1"/>
  <c r="BP321" i="5" l="1"/>
  <c r="BH321" i="5"/>
  <c r="CT321" i="5" s="1"/>
  <c r="BJ321" i="5" l="1"/>
  <c r="BI321" i="5" s="1"/>
  <c r="BK321" i="5" l="1"/>
  <c r="CU321" i="5"/>
  <c r="BG322" i="5"/>
  <c r="CV322" i="5" s="1"/>
  <c r="BP322" i="5" l="1"/>
  <c r="BH322" i="5"/>
  <c r="CT322" i="5" s="1"/>
  <c r="BJ322" i="5" l="1"/>
  <c r="BI322" i="5" s="1"/>
  <c r="BK322" i="5" l="1"/>
  <c r="CU322" i="5"/>
  <c r="BG323" i="5"/>
  <c r="CV323" i="5" s="1"/>
  <c r="BP323" i="5" l="1"/>
  <c r="BH323" i="5"/>
  <c r="CT323" i="5" s="1"/>
  <c r="BJ323" i="5" l="1"/>
  <c r="BI323" i="5" s="1"/>
  <c r="BK323" i="5" l="1"/>
  <c r="CU323" i="5"/>
  <c r="BG324" i="5"/>
  <c r="CV324" i="5" s="1"/>
  <c r="BP324" i="5" l="1"/>
  <c r="BH324" i="5"/>
  <c r="CT324" i="5" s="1"/>
  <c r="BJ324" i="5" l="1"/>
  <c r="BI324" i="5" s="1"/>
  <c r="BK324" i="5" l="1"/>
  <c r="CU324" i="5"/>
  <c r="BG325" i="5"/>
  <c r="CV325" i="5" s="1"/>
  <c r="BP325" i="5" l="1"/>
  <c r="BH325" i="5"/>
  <c r="CT325" i="5" s="1"/>
  <c r="BJ325" i="5" l="1"/>
  <c r="BI325" i="5" s="1"/>
  <c r="BK325" i="5" l="1"/>
  <c r="CU325" i="5"/>
  <c r="BG326" i="5"/>
  <c r="CV326" i="5" s="1"/>
  <c r="BP326" i="5" l="1"/>
  <c r="BH326" i="5"/>
  <c r="CT326" i="5" s="1"/>
  <c r="CX29" i="5" s="1"/>
  <c r="AE37" i="24" l="1"/>
  <c r="K38" i="24"/>
  <c r="BJ326" i="5"/>
  <c r="BI326" i="5" s="1"/>
  <c r="BK326" i="5" l="1"/>
  <c r="CU326" i="5"/>
  <c r="BG327" i="5"/>
  <c r="CV327" i="5" s="1"/>
  <c r="BP327" i="5" l="1"/>
  <c r="BH327" i="5"/>
  <c r="CT327" i="5" s="1"/>
  <c r="BJ327" i="5" l="1"/>
  <c r="BI327" i="5" s="1"/>
  <c r="BK327" i="5" l="1"/>
  <c r="CU327" i="5"/>
  <c r="BG328" i="5"/>
  <c r="CV328" i="5" s="1"/>
  <c r="BP328" i="5" l="1"/>
  <c r="BH328" i="5"/>
  <c r="CT328" i="5" s="1"/>
  <c r="BJ328" i="5" l="1"/>
  <c r="BI328" i="5" s="1"/>
  <c r="BK328" i="5" l="1"/>
  <c r="CU328" i="5"/>
  <c r="BG329" i="5"/>
  <c r="CV329" i="5" s="1"/>
  <c r="BP329" i="5" l="1"/>
  <c r="BH329" i="5"/>
  <c r="CT329" i="5" s="1"/>
  <c r="BJ329" i="5" l="1"/>
  <c r="BI329" i="5" s="1"/>
  <c r="BK329" i="5" l="1"/>
  <c r="CU329" i="5"/>
  <c r="BG330" i="5"/>
  <c r="CV330" i="5" s="1"/>
  <c r="BP330" i="5" l="1"/>
  <c r="BH330" i="5"/>
  <c r="CT330" i="5" s="1"/>
  <c r="BJ330" i="5" l="1"/>
  <c r="BI330" i="5" s="1"/>
  <c r="BK330" i="5" l="1"/>
  <c r="CU330" i="5"/>
  <c r="BG331" i="5"/>
  <c r="CV331" i="5" s="1"/>
  <c r="BP331" i="5" l="1"/>
  <c r="BH331" i="5"/>
  <c r="CT331" i="5" s="1"/>
  <c r="BJ331" i="5" l="1"/>
  <c r="BI331" i="5" s="1"/>
  <c r="BK331" i="5" l="1"/>
  <c r="CU331" i="5"/>
  <c r="BG332" i="5"/>
  <c r="CV332" i="5" s="1"/>
  <c r="BP332" i="5" l="1"/>
  <c r="BH332" i="5"/>
  <c r="CT332" i="5" s="1"/>
  <c r="BJ332" i="5" l="1"/>
  <c r="BI332" i="5" s="1"/>
  <c r="BK332" i="5" l="1"/>
  <c r="CU332" i="5"/>
  <c r="BG333" i="5"/>
  <c r="CV333" i="5" s="1"/>
  <c r="BP333" i="5" l="1"/>
  <c r="BH333" i="5"/>
  <c r="CT333" i="5" s="1"/>
  <c r="BJ333" i="5" l="1"/>
  <c r="BI333" i="5" s="1"/>
  <c r="BK333" i="5" l="1"/>
  <c r="CU333" i="5"/>
  <c r="BG334" i="5"/>
  <c r="CV334" i="5" s="1"/>
  <c r="BP334" i="5" l="1"/>
  <c r="BH334" i="5"/>
  <c r="CT334" i="5" s="1"/>
  <c r="BJ334" i="5" l="1"/>
  <c r="BI334" i="5" s="1"/>
  <c r="BK334" i="5" l="1"/>
  <c r="CU334" i="5"/>
  <c r="BG335" i="5"/>
  <c r="CV335" i="5" s="1"/>
  <c r="BP335" i="5" l="1"/>
  <c r="BH335" i="5"/>
  <c r="CT335" i="5" s="1"/>
  <c r="BJ335" i="5" l="1"/>
  <c r="BI335" i="5" s="1"/>
  <c r="BK335" i="5" l="1"/>
  <c r="CU335" i="5"/>
  <c r="BG336" i="5"/>
  <c r="CV336" i="5" s="1"/>
  <c r="BP336" i="5" l="1"/>
  <c r="BH336" i="5"/>
  <c r="CT336" i="5" s="1"/>
  <c r="BJ336" i="5" l="1"/>
  <c r="BI336" i="5" s="1"/>
  <c r="BK336" i="5" l="1"/>
  <c r="CU336" i="5"/>
  <c r="BG337" i="5"/>
  <c r="CV337" i="5" s="1"/>
  <c r="BP337" i="5" l="1"/>
  <c r="BH337" i="5"/>
  <c r="CT337" i="5" s="1"/>
  <c r="BJ337" i="5" l="1"/>
  <c r="BI337" i="5" s="1"/>
  <c r="BK337" i="5" l="1"/>
  <c r="CU337" i="5"/>
  <c r="BG338" i="5"/>
  <c r="CV338" i="5" s="1"/>
  <c r="BP338" i="5" l="1"/>
  <c r="BH338" i="5"/>
  <c r="CT338" i="5" s="1"/>
  <c r="CX30" i="5" s="1"/>
  <c r="AE38" i="24" l="1"/>
  <c r="K39" i="24"/>
  <c r="BJ338" i="5"/>
  <c r="BI338" i="5" s="1"/>
  <c r="BK338" i="5" l="1"/>
  <c r="CU338" i="5"/>
  <c r="BG339" i="5"/>
  <c r="CV339" i="5" s="1"/>
  <c r="BP339" i="5" l="1"/>
  <c r="BH339" i="5"/>
  <c r="CT339" i="5" s="1"/>
  <c r="BJ339" i="5" l="1"/>
  <c r="BI339" i="5" s="1"/>
  <c r="BK339" i="5" l="1"/>
  <c r="CU339" i="5"/>
  <c r="BG340" i="5"/>
  <c r="CV340" i="5" s="1"/>
  <c r="BP340" i="5" l="1"/>
  <c r="BH340" i="5"/>
  <c r="CT340" i="5" s="1"/>
  <c r="BJ340" i="5" l="1"/>
  <c r="BI340" i="5" s="1"/>
  <c r="BK340" i="5" l="1"/>
  <c r="CU340" i="5"/>
  <c r="BG341" i="5"/>
  <c r="CV341" i="5" s="1"/>
  <c r="BP341" i="5" l="1"/>
  <c r="BH341" i="5"/>
  <c r="CT341" i="5" s="1"/>
  <c r="BJ341" i="5" l="1"/>
  <c r="BI341" i="5" s="1"/>
  <c r="BK341" i="5" l="1"/>
  <c r="CU341" i="5"/>
  <c r="BG342" i="5"/>
  <c r="CV342" i="5" s="1"/>
  <c r="BP342" i="5" l="1"/>
  <c r="BH342" i="5"/>
  <c r="CT342" i="5" s="1"/>
  <c r="BJ342" i="5" l="1"/>
  <c r="BI342" i="5" s="1"/>
  <c r="BK342" i="5" l="1"/>
  <c r="CU342" i="5"/>
  <c r="BG343" i="5"/>
  <c r="CV343" i="5" s="1"/>
  <c r="BP343" i="5" l="1"/>
  <c r="BH343" i="5"/>
  <c r="CT343" i="5" s="1"/>
  <c r="BJ343" i="5" l="1"/>
  <c r="BI343" i="5" s="1"/>
  <c r="BK343" i="5" l="1"/>
  <c r="CU343" i="5"/>
  <c r="BG344" i="5"/>
  <c r="CV344" i="5" s="1"/>
  <c r="BP344" i="5" l="1"/>
  <c r="BH344" i="5"/>
  <c r="CT344" i="5" s="1"/>
  <c r="BJ344" i="5" l="1"/>
  <c r="BI344" i="5" s="1"/>
  <c r="BK344" i="5" l="1"/>
  <c r="CU344" i="5"/>
  <c r="BG345" i="5"/>
  <c r="CV345" i="5" s="1"/>
  <c r="BP345" i="5" l="1"/>
  <c r="BH345" i="5"/>
  <c r="CT345" i="5" s="1"/>
  <c r="BJ345" i="5" l="1"/>
  <c r="BI345" i="5" s="1"/>
  <c r="BK345" i="5" l="1"/>
  <c r="CU345" i="5"/>
  <c r="BG346" i="5"/>
  <c r="CV346" i="5" s="1"/>
  <c r="BP346" i="5" l="1"/>
  <c r="BH346" i="5"/>
  <c r="CT346" i="5" s="1"/>
  <c r="BJ346" i="5" l="1"/>
  <c r="BI346" i="5" s="1"/>
  <c r="BK346" i="5" l="1"/>
  <c r="CU346" i="5"/>
  <c r="BG347" i="5"/>
  <c r="CV347" i="5" s="1"/>
  <c r="BP347" i="5" l="1"/>
  <c r="BH347" i="5"/>
  <c r="CT347" i="5" s="1"/>
  <c r="BJ347" i="5" l="1"/>
  <c r="BI347" i="5" s="1"/>
  <c r="BK347" i="5" l="1"/>
  <c r="CU347" i="5"/>
  <c r="BG348" i="5"/>
  <c r="CV348" i="5" s="1"/>
  <c r="BP348" i="5" l="1"/>
  <c r="BH348" i="5"/>
  <c r="CT348" i="5" s="1"/>
  <c r="BJ348" i="5" l="1"/>
  <c r="BI348" i="5" s="1"/>
  <c r="BK348" i="5" l="1"/>
  <c r="CU348" i="5"/>
  <c r="BG349" i="5"/>
  <c r="CV349" i="5" s="1"/>
  <c r="BP349" i="5" l="1"/>
  <c r="BH349" i="5"/>
  <c r="CT349" i="5" s="1"/>
  <c r="BJ349" i="5" l="1"/>
  <c r="BI349" i="5" s="1"/>
  <c r="BK349" i="5" l="1"/>
  <c r="CU349" i="5"/>
  <c r="BG350" i="5"/>
  <c r="CV350" i="5" s="1"/>
  <c r="BP350" i="5" l="1"/>
  <c r="BH350" i="5"/>
  <c r="CT350" i="5" s="1"/>
  <c r="CX31" i="5" s="1"/>
  <c r="AE39" i="24" l="1"/>
  <c r="K40" i="24"/>
  <c r="BJ350" i="5"/>
  <c r="BI350" i="5" s="1"/>
  <c r="BK350" i="5" l="1"/>
  <c r="CU350" i="5"/>
  <c r="BG351" i="5"/>
  <c r="CV351" i="5" s="1"/>
  <c r="BP351" i="5" l="1"/>
  <c r="BH351" i="5"/>
  <c r="CT351" i="5" s="1"/>
  <c r="BJ351" i="5" l="1"/>
  <c r="BI351" i="5" s="1"/>
  <c r="BK351" i="5" l="1"/>
  <c r="CU351" i="5"/>
  <c r="BG352" i="5"/>
  <c r="CV352" i="5" s="1"/>
  <c r="BP352" i="5" l="1"/>
  <c r="BH352" i="5"/>
  <c r="CT352" i="5" s="1"/>
  <c r="BJ352" i="5" l="1"/>
  <c r="BI352" i="5" s="1"/>
  <c r="BK352" i="5" l="1"/>
  <c r="CU352" i="5"/>
  <c r="BG353" i="5"/>
  <c r="CV353" i="5" s="1"/>
  <c r="BP353" i="5" l="1"/>
  <c r="BH353" i="5"/>
  <c r="CT353" i="5" s="1"/>
  <c r="BJ353" i="5" l="1"/>
  <c r="BI353" i="5" s="1"/>
  <c r="BK353" i="5" l="1"/>
  <c r="CU353" i="5"/>
  <c r="BG354" i="5"/>
  <c r="CV354" i="5" s="1"/>
  <c r="BP354" i="5" l="1"/>
  <c r="BH354" i="5"/>
  <c r="CT354" i="5" s="1"/>
  <c r="BJ354" i="5" l="1"/>
  <c r="BI354" i="5" s="1"/>
  <c r="BK354" i="5" l="1"/>
  <c r="CU354" i="5"/>
  <c r="BG355" i="5"/>
  <c r="CV355" i="5" s="1"/>
  <c r="BP355" i="5" l="1"/>
  <c r="BH355" i="5"/>
  <c r="CT355" i="5" s="1"/>
  <c r="BJ355" i="5" l="1"/>
  <c r="BI355" i="5" s="1"/>
  <c r="BK355" i="5" l="1"/>
  <c r="CU355" i="5"/>
  <c r="BG356" i="5"/>
  <c r="CV356" i="5" s="1"/>
  <c r="BP356" i="5" l="1"/>
  <c r="BH356" i="5"/>
  <c r="CT356" i="5" s="1"/>
  <c r="BJ356" i="5" l="1"/>
  <c r="BI356" i="5" s="1"/>
  <c r="BK356" i="5" l="1"/>
  <c r="CU356" i="5"/>
  <c r="BG357" i="5"/>
  <c r="CV357" i="5" s="1"/>
  <c r="BP357" i="5" l="1"/>
  <c r="BH357" i="5"/>
  <c r="CT357" i="5" s="1"/>
  <c r="BJ357" i="5" l="1"/>
  <c r="BI357" i="5" s="1"/>
  <c r="BK357" i="5" l="1"/>
  <c r="CU357" i="5"/>
  <c r="BG358" i="5"/>
  <c r="CV358" i="5" s="1"/>
  <c r="BP358" i="5" l="1"/>
  <c r="BH358" i="5"/>
  <c r="CT358" i="5" s="1"/>
  <c r="BJ358" i="5" l="1"/>
  <c r="BI358" i="5" s="1"/>
  <c r="BK358" i="5" l="1"/>
  <c r="CU358" i="5"/>
  <c r="BG359" i="5"/>
  <c r="CV359" i="5" s="1"/>
  <c r="BP359" i="5" l="1"/>
  <c r="BH359" i="5"/>
  <c r="CT359" i="5" s="1"/>
  <c r="BJ359" i="5" l="1"/>
  <c r="BI359" i="5" s="1"/>
  <c r="BK359" i="5" l="1"/>
  <c r="CU359" i="5"/>
  <c r="BG360" i="5"/>
  <c r="CV360" i="5" s="1"/>
  <c r="BP360" i="5" l="1"/>
  <c r="BH360" i="5"/>
  <c r="CT360" i="5" s="1"/>
  <c r="BJ360" i="5" l="1"/>
  <c r="BI360" i="5" s="1"/>
  <c r="BK360" i="5" l="1"/>
  <c r="CU360" i="5"/>
  <c r="BG361" i="5"/>
  <c r="CV361" i="5" s="1"/>
  <c r="BP361" i="5" l="1"/>
  <c r="BH361" i="5"/>
  <c r="CT361" i="5" s="1"/>
  <c r="BJ361" i="5" l="1"/>
  <c r="BI361" i="5" s="1"/>
  <c r="BK361" i="5" l="1"/>
  <c r="CU361" i="5"/>
  <c r="BG362" i="5"/>
  <c r="CV362" i="5" s="1"/>
  <c r="BP362" i="5" l="1"/>
  <c r="BH362" i="5"/>
  <c r="CT362" i="5" s="1"/>
  <c r="CX32" i="5" s="1"/>
  <c r="AE40" i="24" l="1"/>
  <c r="K41" i="24"/>
  <c r="BJ362" i="5"/>
  <c r="BI362" i="5" s="1"/>
  <c r="BK362" i="5" l="1"/>
  <c r="CU362" i="5"/>
  <c r="BG363" i="5"/>
  <c r="CV363" i="5" s="1"/>
  <c r="BP363" i="5" l="1"/>
  <c r="BH363" i="5"/>
  <c r="CT363" i="5" s="1"/>
  <c r="BJ363" i="5" l="1"/>
  <c r="BI363" i="5" s="1"/>
  <c r="BK363" i="5" l="1"/>
  <c r="CU363" i="5"/>
  <c r="BG364" i="5"/>
  <c r="CV364" i="5" s="1"/>
  <c r="BP364" i="5" l="1"/>
  <c r="BH364" i="5"/>
  <c r="CT364" i="5" s="1"/>
  <c r="BJ364" i="5" l="1"/>
  <c r="BI364" i="5" s="1"/>
  <c r="BK364" i="5" l="1"/>
  <c r="CU364" i="5"/>
  <c r="BG365" i="5"/>
  <c r="CV365" i="5" s="1"/>
  <c r="BP365" i="5" l="1"/>
  <c r="BH365" i="5"/>
  <c r="CT365" i="5" s="1"/>
  <c r="BJ365" i="5" l="1"/>
  <c r="BI365" i="5" s="1"/>
  <c r="BK365" i="5" l="1"/>
  <c r="CU365" i="5"/>
  <c r="BG366" i="5"/>
  <c r="CV366" i="5" s="1"/>
  <c r="BP366" i="5" l="1"/>
  <c r="BH366" i="5"/>
  <c r="CT366" i="5" s="1"/>
  <c r="BJ366" i="5" l="1"/>
  <c r="BI366" i="5" s="1"/>
  <c r="BK366" i="5" l="1"/>
  <c r="CU366" i="5"/>
  <c r="BG367" i="5"/>
  <c r="CV367" i="5" s="1"/>
  <c r="BP367" i="5" l="1"/>
  <c r="BH367" i="5"/>
  <c r="CT367" i="5" s="1"/>
  <c r="BJ367" i="5" l="1"/>
  <c r="BI367" i="5" s="1"/>
  <c r="BK367" i="5" l="1"/>
  <c r="CU367" i="5"/>
  <c r="BG368" i="5"/>
  <c r="CV368" i="5" s="1"/>
  <c r="BP368" i="5" l="1"/>
  <c r="BH368" i="5"/>
  <c r="CT368" i="5" s="1"/>
  <c r="BJ368" i="5" l="1"/>
  <c r="BI368" i="5" s="1"/>
  <c r="BK368" i="5" l="1"/>
  <c r="CU368" i="5"/>
  <c r="BG369" i="5"/>
  <c r="CV369" i="5" s="1"/>
  <c r="BP369" i="5" l="1"/>
  <c r="BH369" i="5"/>
  <c r="CT369" i="5" s="1"/>
  <c r="BJ369" i="5" l="1"/>
  <c r="BI369" i="5" s="1"/>
  <c r="BK369" i="5" l="1"/>
  <c r="CU369" i="5"/>
  <c r="BG370" i="5"/>
  <c r="CV370" i="5" s="1"/>
  <c r="BP370" i="5" l="1"/>
  <c r="BH370" i="5"/>
  <c r="CT370" i="5" s="1"/>
  <c r="BJ370" i="5" l="1"/>
  <c r="BI370" i="5" s="1"/>
  <c r="BK370" i="5" l="1"/>
  <c r="CU370" i="5"/>
  <c r="BG371" i="5"/>
  <c r="CV371" i="5" s="1"/>
  <c r="BP371" i="5" l="1"/>
  <c r="BH371" i="5"/>
  <c r="CT371" i="5" s="1"/>
  <c r="BJ371" i="5" l="1"/>
  <c r="BI371" i="5" s="1"/>
  <c r="BK371" i="5" l="1"/>
  <c r="CU371" i="5"/>
  <c r="BG372" i="5"/>
  <c r="CV372" i="5" s="1"/>
  <c r="BP372" i="5" l="1"/>
  <c r="BH372" i="5"/>
  <c r="CT372" i="5" s="1"/>
  <c r="BJ372" i="5" l="1"/>
  <c r="BI372" i="5" s="1"/>
  <c r="BK372" i="5" l="1"/>
  <c r="CU372" i="5"/>
  <c r="BG373" i="5"/>
  <c r="CV373" i="5" s="1"/>
  <c r="BP373" i="5" l="1"/>
  <c r="BH373" i="5"/>
  <c r="CT373" i="5" s="1"/>
  <c r="BJ373" i="5" l="1"/>
  <c r="BI373" i="5" s="1"/>
  <c r="BK373" i="5" l="1"/>
  <c r="CU373" i="5"/>
  <c r="BG374" i="5"/>
  <c r="CV374" i="5" s="1"/>
  <c r="BP374" i="5" l="1"/>
  <c r="BH374" i="5"/>
  <c r="CT374" i="5" s="1"/>
  <c r="CX33" i="5" s="1"/>
  <c r="AE41" i="24" l="1"/>
  <c r="K42" i="24"/>
  <c r="BJ374" i="5"/>
  <c r="BI374" i="5" s="1"/>
  <c r="BK374" i="5" l="1"/>
  <c r="CU374" i="5"/>
  <c r="BG375" i="5"/>
  <c r="CV375" i="5" s="1"/>
  <c r="BP375" i="5" l="1"/>
  <c r="BH375" i="5"/>
  <c r="CT375" i="5" s="1"/>
  <c r="BJ375" i="5" l="1"/>
  <c r="BI375" i="5" s="1"/>
  <c r="BK375" i="5" l="1"/>
  <c r="CU375" i="5"/>
  <c r="BG376" i="5"/>
  <c r="CV376" i="5" s="1"/>
  <c r="BP376" i="5" l="1"/>
  <c r="BH376" i="5"/>
  <c r="CT376" i="5" s="1"/>
  <c r="BJ376" i="5" l="1"/>
  <c r="BI376" i="5" s="1"/>
  <c r="BK376" i="5" l="1"/>
  <c r="CU376" i="5"/>
  <c r="BG377" i="5"/>
  <c r="CV377" i="5" s="1"/>
  <c r="BP377" i="5" l="1"/>
  <c r="BH377" i="5"/>
  <c r="CT377" i="5" s="1"/>
  <c r="BJ377" i="5" l="1"/>
  <c r="BI377" i="5" s="1"/>
  <c r="BK377" i="5" l="1"/>
  <c r="CU377" i="5"/>
  <c r="BG378" i="5"/>
  <c r="CV378" i="5" s="1"/>
  <c r="BP378" i="5" l="1"/>
  <c r="BH378" i="5"/>
  <c r="CT378" i="5" s="1"/>
  <c r="BJ378" i="5" l="1"/>
  <c r="BI378" i="5" s="1"/>
  <c r="BK378" i="5" l="1"/>
  <c r="CU378" i="5"/>
  <c r="BG379" i="5"/>
  <c r="CV379" i="5" s="1"/>
  <c r="BP379" i="5" l="1"/>
  <c r="BH379" i="5"/>
  <c r="CT379" i="5" s="1"/>
  <c r="BJ379" i="5" l="1"/>
  <c r="BI379" i="5" s="1"/>
  <c r="BK379" i="5" l="1"/>
  <c r="CU379" i="5"/>
  <c r="BG380" i="5"/>
  <c r="CV380" i="5" s="1"/>
  <c r="BP380" i="5" l="1"/>
  <c r="BH380" i="5"/>
  <c r="CT380" i="5" s="1"/>
  <c r="BJ380" i="5" l="1"/>
  <c r="BI380" i="5" s="1"/>
  <c r="BK380" i="5" l="1"/>
  <c r="CU380" i="5"/>
  <c r="BG381" i="5"/>
  <c r="CV381" i="5" s="1"/>
  <c r="BP381" i="5" l="1"/>
  <c r="BH381" i="5"/>
  <c r="CT381" i="5" s="1"/>
  <c r="BJ381" i="5" l="1"/>
  <c r="BI381" i="5" s="1"/>
  <c r="BK381" i="5" l="1"/>
  <c r="CU381" i="5"/>
  <c r="BG382" i="5"/>
  <c r="CV382" i="5" s="1"/>
  <c r="BP382" i="5" l="1"/>
  <c r="BH382" i="5"/>
  <c r="CT382" i="5" s="1"/>
  <c r="BJ382" i="5" l="1"/>
  <c r="BI382" i="5" s="1"/>
  <c r="BK382" i="5" l="1"/>
  <c r="CU382" i="5"/>
  <c r="BG383" i="5"/>
  <c r="CV383" i="5" s="1"/>
  <c r="BP383" i="5" l="1"/>
  <c r="BH383" i="5"/>
  <c r="CT383" i="5" s="1"/>
  <c r="BJ383" i="5" l="1"/>
  <c r="BI383" i="5" s="1"/>
  <c r="BK383" i="5" l="1"/>
  <c r="CU383" i="5"/>
  <c r="BG384" i="5"/>
  <c r="CV384" i="5" s="1"/>
  <c r="BP384" i="5" l="1"/>
  <c r="BH384" i="5"/>
  <c r="CT384" i="5" s="1"/>
  <c r="BJ384" i="5" l="1"/>
  <c r="BI384" i="5" s="1"/>
  <c r="BK384" i="5" l="1"/>
  <c r="CU384" i="5"/>
  <c r="BG385" i="5"/>
  <c r="CV385" i="5" s="1"/>
  <c r="BP385" i="5" l="1"/>
  <c r="BH385" i="5"/>
  <c r="CT385" i="5" s="1"/>
  <c r="BJ385" i="5" l="1"/>
  <c r="BI385" i="5" s="1"/>
  <c r="BK385" i="5" l="1"/>
  <c r="CU385" i="5"/>
  <c r="BG386" i="5"/>
  <c r="CV386" i="5" s="1"/>
  <c r="BP386" i="5" l="1"/>
  <c r="BH386" i="5"/>
  <c r="CT386" i="5" s="1"/>
  <c r="CX34" i="5" s="1"/>
  <c r="AE42" i="24" l="1"/>
  <c r="K43" i="24"/>
  <c r="BJ386" i="5"/>
  <c r="BI386" i="5" s="1"/>
  <c r="BK386" i="5" l="1"/>
  <c r="CU386" i="5"/>
  <c r="BG387" i="5"/>
  <c r="CV387" i="5" s="1"/>
  <c r="BP387" i="5" l="1"/>
  <c r="BH387" i="5"/>
  <c r="CT387" i="5" s="1"/>
  <c r="BJ387" i="5" l="1"/>
  <c r="BI387" i="5" s="1"/>
  <c r="BK387" i="5" l="1"/>
  <c r="CU387" i="5"/>
  <c r="BG388" i="5"/>
  <c r="CV388" i="5" s="1"/>
  <c r="BP388" i="5" l="1"/>
  <c r="BH388" i="5"/>
  <c r="CT388" i="5" s="1"/>
  <c r="BJ388" i="5" l="1"/>
  <c r="BI388" i="5" s="1"/>
  <c r="BK388" i="5" l="1"/>
  <c r="CU388" i="5"/>
  <c r="BG389" i="5"/>
  <c r="CV389" i="5" s="1"/>
  <c r="BP389" i="5" l="1"/>
  <c r="BH389" i="5"/>
  <c r="CT389" i="5" s="1"/>
  <c r="BJ389" i="5" l="1"/>
  <c r="BI389" i="5" s="1"/>
  <c r="BK389" i="5" l="1"/>
  <c r="CU389" i="5"/>
  <c r="BG390" i="5"/>
  <c r="CV390" i="5" s="1"/>
  <c r="BP390" i="5" l="1"/>
  <c r="BH390" i="5"/>
  <c r="CT390" i="5" s="1"/>
  <c r="BJ390" i="5" l="1"/>
  <c r="BI390" i="5" s="1"/>
  <c r="BK390" i="5" l="1"/>
  <c r="CU390" i="5"/>
  <c r="BG391" i="5"/>
  <c r="CV391" i="5" s="1"/>
  <c r="BP391" i="5" l="1"/>
  <c r="BH391" i="5"/>
  <c r="CT391" i="5" s="1"/>
  <c r="BJ391" i="5" l="1"/>
  <c r="BI391" i="5" s="1"/>
  <c r="BK391" i="5" l="1"/>
  <c r="CU391" i="5"/>
  <c r="BG392" i="5"/>
  <c r="CV392" i="5" s="1"/>
  <c r="BP392" i="5" l="1"/>
  <c r="BH392" i="5"/>
  <c r="CT392" i="5" s="1"/>
  <c r="BJ392" i="5" l="1"/>
  <c r="BI392" i="5" s="1"/>
  <c r="BK392" i="5" l="1"/>
  <c r="CU392" i="5"/>
  <c r="BG393" i="5"/>
  <c r="CV393" i="5" s="1"/>
  <c r="BP393" i="5" l="1"/>
  <c r="BH393" i="5"/>
  <c r="CT393" i="5" s="1"/>
  <c r="BJ393" i="5" l="1"/>
  <c r="BI393" i="5" s="1"/>
  <c r="BK393" i="5" l="1"/>
  <c r="CU393" i="5"/>
  <c r="BG394" i="5"/>
  <c r="CV394" i="5" s="1"/>
  <c r="BP394" i="5" l="1"/>
  <c r="BH394" i="5"/>
  <c r="CT394" i="5" s="1"/>
  <c r="BJ394" i="5" l="1"/>
  <c r="BI394" i="5" s="1"/>
  <c r="BK394" i="5" l="1"/>
  <c r="CU394" i="5"/>
  <c r="BG395" i="5"/>
  <c r="CV395" i="5" s="1"/>
  <c r="BP395" i="5" l="1"/>
  <c r="BH395" i="5"/>
  <c r="CT395" i="5" s="1"/>
  <c r="BJ395" i="5" l="1"/>
  <c r="BI395" i="5" s="1"/>
  <c r="BK395" i="5" l="1"/>
  <c r="CU395" i="5"/>
  <c r="BG396" i="5"/>
  <c r="CV396" i="5" s="1"/>
  <c r="BP396" i="5" l="1"/>
  <c r="BH396" i="5"/>
  <c r="CT396" i="5" s="1"/>
  <c r="BJ396" i="5" l="1"/>
  <c r="BI396" i="5" s="1"/>
  <c r="BK396" i="5" l="1"/>
  <c r="CU396" i="5"/>
  <c r="BG397" i="5"/>
  <c r="CV397" i="5" s="1"/>
  <c r="BP397" i="5" l="1"/>
  <c r="BH397" i="5"/>
  <c r="CT397" i="5" s="1"/>
  <c r="BJ397" i="5" l="1"/>
  <c r="BI397" i="5" s="1"/>
  <c r="BK397" i="5" l="1"/>
  <c r="CU397" i="5"/>
  <c r="BG398" i="5"/>
  <c r="CV398" i="5" s="1"/>
  <c r="BP398" i="5" l="1"/>
  <c r="BH398" i="5"/>
  <c r="CT398" i="5" s="1"/>
  <c r="CX35" i="5" s="1"/>
  <c r="AE43" i="24" l="1"/>
  <c r="K44" i="24"/>
  <c r="BJ398" i="5"/>
  <c r="BI398" i="5" s="1"/>
  <c r="BK398" i="5" l="1"/>
  <c r="CU398" i="5"/>
  <c r="BG399" i="5"/>
  <c r="CV399" i="5" s="1"/>
  <c r="BP399" i="5" l="1"/>
  <c r="BH399" i="5"/>
  <c r="CT399" i="5" s="1"/>
  <c r="BJ399" i="5" l="1"/>
  <c r="BI399" i="5" s="1"/>
  <c r="BK399" i="5" l="1"/>
  <c r="CU399" i="5"/>
  <c r="BG400" i="5"/>
  <c r="CV400" i="5" s="1"/>
  <c r="BP400" i="5" l="1"/>
  <c r="BH400" i="5"/>
  <c r="CT400" i="5" s="1"/>
  <c r="BJ400" i="5" l="1"/>
  <c r="BI400" i="5" s="1"/>
  <c r="BK400" i="5" l="1"/>
  <c r="CU400" i="5"/>
  <c r="BG401" i="5"/>
  <c r="CV401" i="5" s="1"/>
  <c r="BP401" i="5" l="1"/>
  <c r="BH401" i="5"/>
  <c r="CT401" i="5" s="1"/>
  <c r="BJ401" i="5" l="1"/>
  <c r="BI401" i="5" s="1"/>
  <c r="BK401" i="5" l="1"/>
  <c r="CU401" i="5"/>
  <c r="BG402" i="5"/>
  <c r="CV402" i="5" s="1"/>
  <c r="BP402" i="5" l="1"/>
  <c r="BH402" i="5"/>
  <c r="CT402" i="5" s="1"/>
  <c r="BJ402" i="5" l="1"/>
  <c r="BI402" i="5" s="1"/>
  <c r="BK402" i="5" l="1"/>
  <c r="CU402" i="5"/>
  <c r="BG403" i="5"/>
  <c r="CV403" i="5" s="1"/>
  <c r="BP403" i="5" l="1"/>
  <c r="BH403" i="5"/>
  <c r="CT403" i="5" s="1"/>
  <c r="BJ403" i="5" l="1"/>
  <c r="BI403" i="5" s="1"/>
  <c r="BK403" i="5" l="1"/>
  <c r="CU403" i="5"/>
  <c r="BG404" i="5"/>
  <c r="CV404" i="5" s="1"/>
  <c r="BP404" i="5" l="1"/>
  <c r="BH404" i="5"/>
  <c r="CT404" i="5" s="1"/>
  <c r="BJ404" i="5" l="1"/>
  <c r="BI404" i="5" s="1"/>
  <c r="BK404" i="5" l="1"/>
  <c r="CU404" i="5"/>
  <c r="BG405" i="5"/>
  <c r="CV405" i="5" s="1"/>
  <c r="BP405" i="5" l="1"/>
  <c r="BH405" i="5"/>
  <c r="CT405" i="5" s="1"/>
  <c r="BJ405" i="5" l="1"/>
  <c r="BI405" i="5" s="1"/>
  <c r="BK405" i="5" l="1"/>
  <c r="CU405" i="5"/>
  <c r="BG406" i="5"/>
  <c r="CV406" i="5" s="1"/>
  <c r="BP406" i="5" l="1"/>
  <c r="BH406" i="5"/>
  <c r="CT406" i="5" s="1"/>
  <c r="BJ406" i="5" l="1"/>
  <c r="BI406" i="5" s="1"/>
  <c r="BK406" i="5" l="1"/>
  <c r="CU406" i="5"/>
  <c r="BG407" i="5"/>
  <c r="CV407" i="5" s="1"/>
  <c r="BP407" i="5" l="1"/>
  <c r="BH407" i="5"/>
  <c r="CT407" i="5" s="1"/>
  <c r="BJ407" i="5" l="1"/>
  <c r="BI407" i="5" s="1"/>
  <c r="BK407" i="5" l="1"/>
  <c r="CU407" i="5"/>
  <c r="BG408" i="5"/>
  <c r="CV408" i="5" s="1"/>
  <c r="BP408" i="5" l="1"/>
  <c r="BH408" i="5"/>
  <c r="CT408" i="5" s="1"/>
  <c r="BJ408" i="5" l="1"/>
  <c r="BI408" i="5" s="1"/>
  <c r="BK408" i="5" l="1"/>
  <c r="CU408" i="5"/>
  <c r="BG409" i="5"/>
  <c r="CV409" i="5" s="1"/>
  <c r="BP409" i="5" l="1"/>
  <c r="BH409" i="5"/>
  <c r="CT409" i="5" s="1"/>
  <c r="BJ409" i="5" l="1"/>
  <c r="BI409" i="5" s="1"/>
  <c r="BK409" i="5" l="1"/>
  <c r="CU409" i="5"/>
  <c r="BG410" i="5"/>
  <c r="CV410" i="5" s="1"/>
  <c r="BP410" i="5" l="1"/>
  <c r="BH410" i="5"/>
  <c r="CT410" i="5" s="1"/>
  <c r="CX36" i="5" s="1"/>
  <c r="AE44" i="24" l="1"/>
  <c r="K45" i="24"/>
  <c r="BJ410" i="5"/>
  <c r="BI410" i="5" s="1"/>
  <c r="BK410" i="5" l="1"/>
  <c r="CU410" i="5"/>
  <c r="BG411" i="5"/>
  <c r="CV411" i="5" s="1"/>
  <c r="BP411" i="5" l="1"/>
  <c r="BH411" i="5"/>
  <c r="CT411" i="5" s="1"/>
  <c r="BJ411" i="5" l="1"/>
  <c r="BI411" i="5" s="1"/>
  <c r="BK411" i="5" l="1"/>
  <c r="CU411" i="5"/>
  <c r="BG412" i="5"/>
  <c r="CV412" i="5" s="1"/>
  <c r="BP412" i="5" l="1"/>
  <c r="BH412" i="5"/>
  <c r="CT412" i="5" s="1"/>
  <c r="BJ412" i="5" l="1"/>
  <c r="BI412" i="5" s="1"/>
  <c r="BK412" i="5" l="1"/>
  <c r="CU412" i="5"/>
  <c r="BG413" i="5"/>
  <c r="CV413" i="5" s="1"/>
  <c r="BP413" i="5" l="1"/>
  <c r="BH413" i="5"/>
  <c r="CT413" i="5" s="1"/>
  <c r="BJ413" i="5" l="1"/>
  <c r="BI413" i="5" s="1"/>
  <c r="BK413" i="5" l="1"/>
  <c r="CU413" i="5"/>
  <c r="BG414" i="5"/>
  <c r="CV414" i="5" s="1"/>
  <c r="BP414" i="5" l="1"/>
  <c r="BH414" i="5"/>
  <c r="CT414" i="5" s="1"/>
  <c r="BJ414" i="5" l="1"/>
  <c r="BI414" i="5" s="1"/>
  <c r="BK414" i="5" l="1"/>
  <c r="CU414" i="5"/>
  <c r="BG415" i="5"/>
  <c r="CV415" i="5" s="1"/>
  <c r="BP415" i="5" l="1"/>
  <c r="BH415" i="5"/>
  <c r="CT415" i="5" s="1"/>
  <c r="BJ415" i="5" l="1"/>
  <c r="BI415" i="5" s="1"/>
  <c r="BK415" i="5" l="1"/>
  <c r="CU415" i="5"/>
  <c r="BG416" i="5"/>
  <c r="CV416" i="5" s="1"/>
  <c r="BP416" i="5" l="1"/>
  <c r="BH416" i="5"/>
  <c r="CT416" i="5" s="1"/>
  <c r="BJ416" i="5" l="1"/>
  <c r="BI416" i="5" s="1"/>
  <c r="BK416" i="5" l="1"/>
  <c r="CU416" i="5"/>
  <c r="BG417" i="5"/>
  <c r="CV417" i="5" s="1"/>
  <c r="BP417" i="5" l="1"/>
  <c r="BH417" i="5"/>
  <c r="CT417" i="5" s="1"/>
  <c r="BJ417" i="5" l="1"/>
  <c r="BI417" i="5" s="1"/>
  <c r="BK417" i="5" l="1"/>
  <c r="CU417" i="5"/>
  <c r="BG418" i="5"/>
  <c r="CV418" i="5" s="1"/>
  <c r="BP418" i="5" l="1"/>
  <c r="BH418" i="5"/>
  <c r="CT418" i="5" s="1"/>
  <c r="BJ418" i="5" l="1"/>
  <c r="BI418" i="5" s="1"/>
  <c r="BK418" i="5" l="1"/>
  <c r="CU418" i="5"/>
  <c r="BG419" i="5"/>
  <c r="CV419" i="5" s="1"/>
  <c r="BP419" i="5" l="1"/>
  <c r="BH419" i="5"/>
  <c r="CT419" i="5" s="1"/>
  <c r="BJ419" i="5" l="1"/>
  <c r="BI419" i="5" s="1"/>
  <c r="BK419" i="5" l="1"/>
  <c r="CU419" i="5"/>
  <c r="BG420" i="5"/>
  <c r="CV420" i="5" s="1"/>
  <c r="BP420" i="5" l="1"/>
  <c r="BH420" i="5"/>
  <c r="CT420" i="5" s="1"/>
  <c r="BJ420" i="5" l="1"/>
  <c r="BI420" i="5" s="1"/>
  <c r="BK420" i="5" l="1"/>
  <c r="CU420" i="5"/>
  <c r="BG421" i="5"/>
  <c r="CV421" i="5" s="1"/>
  <c r="BP421" i="5" l="1"/>
  <c r="BH421" i="5"/>
  <c r="CT421" i="5" s="1"/>
  <c r="BJ421" i="5" l="1"/>
  <c r="BI421" i="5" s="1"/>
  <c r="BK421" i="5" l="1"/>
  <c r="CU421" i="5"/>
  <c r="BG422" i="5"/>
  <c r="CV422" i="5" s="1"/>
  <c r="BP422" i="5" l="1"/>
  <c r="BH422" i="5"/>
  <c r="CT422" i="5" s="1"/>
  <c r="CX37" i="5" s="1"/>
  <c r="AE45" i="24" l="1"/>
  <c r="K46" i="24"/>
  <c r="BJ422" i="5"/>
  <c r="BI422" i="5" s="1"/>
  <c r="BK422" i="5" l="1"/>
  <c r="CU422" i="5"/>
  <c r="BG423" i="5"/>
  <c r="CV423" i="5" s="1"/>
  <c r="BP423" i="5" l="1"/>
  <c r="BH423" i="5"/>
  <c r="CT423" i="5" s="1"/>
  <c r="BJ423" i="5" l="1"/>
  <c r="BI423" i="5" s="1"/>
  <c r="BK423" i="5" l="1"/>
  <c r="CU423" i="5"/>
  <c r="BG424" i="5"/>
  <c r="CV424" i="5" s="1"/>
  <c r="BP424" i="5" l="1"/>
  <c r="BH424" i="5"/>
  <c r="CT424" i="5" s="1"/>
  <c r="BJ424" i="5" l="1"/>
  <c r="BI424" i="5" s="1"/>
  <c r="BK424" i="5" l="1"/>
  <c r="CU424" i="5"/>
  <c r="BG425" i="5"/>
  <c r="CV425" i="5" s="1"/>
  <c r="BP425" i="5" l="1"/>
  <c r="BH425" i="5"/>
  <c r="CT425" i="5" s="1"/>
  <c r="BJ425" i="5" l="1"/>
  <c r="BI425" i="5" s="1"/>
  <c r="BK425" i="5" l="1"/>
  <c r="CU425" i="5"/>
  <c r="BG426" i="5"/>
  <c r="CV426" i="5" s="1"/>
  <c r="BP426" i="5" l="1"/>
  <c r="BH426" i="5"/>
  <c r="CT426" i="5" s="1"/>
  <c r="BJ426" i="5" l="1"/>
  <c r="BI426" i="5" s="1"/>
  <c r="BK426" i="5" l="1"/>
  <c r="CU426" i="5"/>
  <c r="BG427" i="5"/>
  <c r="CV427" i="5" s="1"/>
  <c r="BP427" i="5" l="1"/>
  <c r="BH427" i="5"/>
  <c r="CT427" i="5" s="1"/>
  <c r="BJ427" i="5" l="1"/>
  <c r="BI427" i="5" s="1"/>
  <c r="BK427" i="5" l="1"/>
  <c r="CU427" i="5"/>
  <c r="BG428" i="5"/>
  <c r="CV428" i="5" s="1"/>
  <c r="BP428" i="5" l="1"/>
  <c r="BH428" i="5"/>
  <c r="CT428" i="5" s="1"/>
  <c r="BJ428" i="5" l="1"/>
  <c r="BI428" i="5" s="1"/>
  <c r="BK428" i="5" l="1"/>
  <c r="CU428" i="5"/>
  <c r="BG429" i="5"/>
  <c r="CV429" i="5" s="1"/>
  <c r="BP429" i="5" l="1"/>
  <c r="BH429" i="5"/>
  <c r="CT429" i="5" s="1"/>
  <c r="BJ429" i="5" l="1"/>
  <c r="BI429" i="5" s="1"/>
  <c r="BK429" i="5" l="1"/>
  <c r="CU429" i="5"/>
  <c r="BG430" i="5"/>
  <c r="CV430" i="5" s="1"/>
  <c r="BP430" i="5" l="1"/>
  <c r="BH430" i="5"/>
  <c r="CT430" i="5" s="1"/>
  <c r="BJ430" i="5" l="1"/>
  <c r="BI430" i="5" s="1"/>
  <c r="BK430" i="5" l="1"/>
  <c r="CU430" i="5"/>
  <c r="BG431" i="5"/>
  <c r="CV431" i="5" s="1"/>
  <c r="BP431" i="5" l="1"/>
  <c r="BH431" i="5"/>
  <c r="CT431" i="5" s="1"/>
  <c r="BJ431" i="5" l="1"/>
  <c r="BI431" i="5" s="1"/>
  <c r="BK431" i="5" l="1"/>
  <c r="CU431" i="5"/>
  <c r="BG432" i="5"/>
  <c r="CV432" i="5" s="1"/>
  <c r="BP432" i="5" l="1"/>
  <c r="BH432" i="5"/>
  <c r="CT432" i="5" s="1"/>
  <c r="BJ432" i="5" l="1"/>
  <c r="BI432" i="5" s="1"/>
  <c r="BK432" i="5" l="1"/>
  <c r="CU432" i="5"/>
  <c r="BG433" i="5"/>
  <c r="CV433" i="5" s="1"/>
  <c r="BP433" i="5" l="1"/>
  <c r="BH433" i="5"/>
  <c r="CT433" i="5" s="1"/>
  <c r="BJ433" i="5" l="1"/>
  <c r="BI433" i="5" s="1"/>
  <c r="BK433" i="5" l="1"/>
  <c r="CU433" i="5"/>
  <c r="BG434" i="5"/>
  <c r="CV434" i="5" s="1"/>
  <c r="BP434" i="5" l="1"/>
  <c r="BH434" i="5"/>
  <c r="CT434" i="5" s="1"/>
  <c r="CX38" i="5" s="1"/>
  <c r="AE46" i="24" l="1"/>
  <c r="K47" i="24"/>
  <c r="BJ434" i="5"/>
  <c r="BI434" i="5" s="1"/>
  <c r="BK434" i="5" l="1"/>
  <c r="CU434" i="5"/>
  <c r="BG435" i="5"/>
  <c r="CV435" i="5" s="1"/>
  <c r="BP435" i="5" l="1"/>
  <c r="BH435" i="5"/>
  <c r="CT435" i="5" s="1"/>
  <c r="BJ435" i="5" l="1"/>
  <c r="BI435" i="5" s="1"/>
  <c r="BK435" i="5" l="1"/>
  <c r="CU435" i="5"/>
  <c r="BG436" i="5"/>
  <c r="CV436" i="5" s="1"/>
  <c r="BP436" i="5" l="1"/>
  <c r="BH436" i="5"/>
  <c r="CT436" i="5" s="1"/>
  <c r="BJ436" i="5" l="1"/>
  <c r="BI436" i="5" s="1"/>
  <c r="BK436" i="5" l="1"/>
  <c r="CU436" i="5"/>
  <c r="BG437" i="5"/>
  <c r="CV437" i="5" s="1"/>
  <c r="BP437" i="5" l="1"/>
  <c r="BH437" i="5"/>
  <c r="CT437" i="5" s="1"/>
  <c r="BJ437" i="5" l="1"/>
  <c r="BI437" i="5" s="1"/>
  <c r="BK437" i="5" l="1"/>
  <c r="CU437" i="5"/>
  <c r="BG438" i="5"/>
  <c r="CV438" i="5" s="1"/>
  <c r="BP438" i="5" l="1"/>
  <c r="BH438" i="5"/>
  <c r="CT438" i="5" s="1"/>
  <c r="BJ438" i="5" l="1"/>
  <c r="BI438" i="5" s="1"/>
  <c r="BK438" i="5" l="1"/>
  <c r="CU438" i="5"/>
  <c r="BG439" i="5"/>
  <c r="CV439" i="5" s="1"/>
  <c r="BP439" i="5" l="1"/>
  <c r="BH439" i="5"/>
  <c r="CT439" i="5" s="1"/>
  <c r="BJ439" i="5" l="1"/>
  <c r="BI439" i="5" s="1"/>
  <c r="BK439" i="5" l="1"/>
  <c r="CU439" i="5"/>
  <c r="BG440" i="5"/>
  <c r="CV440" i="5" s="1"/>
  <c r="BP440" i="5" l="1"/>
  <c r="BH440" i="5"/>
  <c r="CT440" i="5" s="1"/>
  <c r="BJ440" i="5" l="1"/>
  <c r="BI440" i="5" s="1"/>
  <c r="BK440" i="5" l="1"/>
  <c r="CU440" i="5"/>
  <c r="BG441" i="5"/>
  <c r="CV441" i="5" s="1"/>
  <c r="BP441" i="5" l="1"/>
  <c r="BH441" i="5"/>
  <c r="CT441" i="5" s="1"/>
  <c r="BJ441" i="5" l="1"/>
  <c r="BI441" i="5" s="1"/>
  <c r="BK441" i="5" l="1"/>
  <c r="CU441" i="5"/>
  <c r="BG442" i="5"/>
  <c r="CV442" i="5" s="1"/>
  <c r="BP442" i="5" l="1"/>
  <c r="BH442" i="5"/>
  <c r="CT442" i="5" s="1"/>
  <c r="BJ442" i="5" l="1"/>
  <c r="BI442" i="5" s="1"/>
  <c r="BK442" i="5" l="1"/>
  <c r="CU442" i="5"/>
  <c r="BG443" i="5"/>
  <c r="CV443" i="5" s="1"/>
  <c r="BP443" i="5" l="1"/>
  <c r="BH443" i="5"/>
  <c r="CT443" i="5" s="1"/>
  <c r="BJ443" i="5" l="1"/>
  <c r="BI443" i="5" s="1"/>
  <c r="BK443" i="5" l="1"/>
  <c r="CU443" i="5"/>
  <c r="BG444" i="5"/>
  <c r="CV444" i="5" s="1"/>
  <c r="BP444" i="5" l="1"/>
  <c r="BH444" i="5"/>
  <c r="CT444" i="5" s="1"/>
  <c r="BJ444" i="5" l="1"/>
  <c r="BI444" i="5" s="1"/>
  <c r="BK444" i="5" l="1"/>
  <c r="CU444" i="5"/>
  <c r="BG445" i="5"/>
  <c r="CV445" i="5" s="1"/>
  <c r="BP445" i="5" l="1"/>
  <c r="BH445" i="5"/>
  <c r="CT445" i="5" s="1"/>
  <c r="BJ445" i="5" l="1"/>
  <c r="BI445" i="5" s="1"/>
  <c r="BK445" i="5" l="1"/>
  <c r="CU445" i="5"/>
  <c r="BG446" i="5"/>
  <c r="CV446" i="5" s="1"/>
  <c r="BP446" i="5" l="1"/>
  <c r="BH446" i="5"/>
  <c r="CT446" i="5" s="1"/>
  <c r="CX39" i="5" s="1"/>
  <c r="AE47" i="24" l="1"/>
  <c r="K48" i="24"/>
  <c r="BJ446" i="5"/>
  <c r="BI446" i="5" s="1"/>
  <c r="BK446" i="5" l="1"/>
  <c r="CU446" i="5"/>
  <c r="BG447" i="5"/>
  <c r="CV447" i="5" s="1"/>
  <c r="BP447" i="5" l="1"/>
  <c r="BH447" i="5"/>
  <c r="CT447" i="5" s="1"/>
  <c r="BJ447" i="5" l="1"/>
  <c r="BI447" i="5" s="1"/>
  <c r="BK447" i="5" l="1"/>
  <c r="CU447" i="5"/>
  <c r="BG448" i="5"/>
  <c r="CV448" i="5" s="1"/>
  <c r="BP448" i="5" l="1"/>
  <c r="BH448" i="5"/>
  <c r="CT448" i="5" s="1"/>
  <c r="BJ448" i="5" l="1"/>
  <c r="BI448" i="5" s="1"/>
  <c r="BK448" i="5" l="1"/>
  <c r="CU448" i="5"/>
  <c r="BG449" i="5"/>
  <c r="CV449" i="5" s="1"/>
  <c r="BP449" i="5" l="1"/>
  <c r="BH449" i="5"/>
  <c r="CT449" i="5" s="1"/>
  <c r="BJ449" i="5" l="1"/>
  <c r="BI449" i="5" s="1"/>
  <c r="BK449" i="5" l="1"/>
  <c r="CU449" i="5"/>
  <c r="BG450" i="5"/>
  <c r="CV450" i="5" s="1"/>
  <c r="BP450" i="5" l="1"/>
  <c r="BH450" i="5"/>
  <c r="CT450" i="5" s="1"/>
  <c r="BJ450" i="5" l="1"/>
  <c r="BI450" i="5" s="1"/>
  <c r="BK450" i="5" l="1"/>
  <c r="CU450" i="5"/>
  <c r="BG451" i="5"/>
  <c r="CV451" i="5" s="1"/>
  <c r="BP451" i="5" l="1"/>
  <c r="BH451" i="5"/>
  <c r="CT451" i="5" s="1"/>
  <c r="BJ451" i="5" l="1"/>
  <c r="BI451" i="5" s="1"/>
  <c r="BK451" i="5" l="1"/>
  <c r="CU451" i="5"/>
  <c r="BG452" i="5"/>
  <c r="CV452" i="5" s="1"/>
  <c r="BP452" i="5" l="1"/>
  <c r="BH452" i="5"/>
  <c r="CT452" i="5" s="1"/>
  <c r="BJ452" i="5" l="1"/>
  <c r="BI452" i="5" s="1"/>
  <c r="BK452" i="5" l="1"/>
  <c r="CU452" i="5"/>
  <c r="BG453" i="5"/>
  <c r="CV453" i="5" s="1"/>
  <c r="BP453" i="5" l="1"/>
  <c r="BH453" i="5"/>
  <c r="CT453" i="5" s="1"/>
  <c r="BJ453" i="5" l="1"/>
  <c r="BI453" i="5" s="1"/>
  <c r="BK453" i="5" l="1"/>
  <c r="CU453" i="5"/>
  <c r="BG454" i="5"/>
  <c r="CV454" i="5" s="1"/>
  <c r="BP454" i="5" l="1"/>
  <c r="BH454" i="5"/>
  <c r="CT454" i="5" s="1"/>
  <c r="BJ454" i="5" l="1"/>
  <c r="BI454" i="5" s="1"/>
  <c r="BK454" i="5" l="1"/>
  <c r="CU454" i="5"/>
  <c r="BG455" i="5"/>
  <c r="CV455" i="5" s="1"/>
  <c r="BP455" i="5" l="1"/>
  <c r="BH455" i="5"/>
  <c r="CT455" i="5" s="1"/>
  <c r="BJ455" i="5" l="1"/>
  <c r="BI455" i="5" s="1"/>
  <c r="BK455" i="5" l="1"/>
  <c r="CU455" i="5"/>
  <c r="BG456" i="5"/>
  <c r="CV456" i="5" s="1"/>
  <c r="BP456" i="5" l="1"/>
  <c r="BH456" i="5"/>
  <c r="CT456" i="5" s="1"/>
  <c r="BJ456" i="5" l="1"/>
  <c r="BI456" i="5" s="1"/>
  <c r="BK456" i="5" l="1"/>
  <c r="CU456" i="5"/>
  <c r="BG457" i="5"/>
  <c r="CV457" i="5" s="1"/>
  <c r="BP457" i="5" l="1"/>
  <c r="BH457" i="5"/>
  <c r="CT457" i="5" s="1"/>
  <c r="BJ457" i="5" l="1"/>
  <c r="BI457" i="5" s="1"/>
  <c r="BK457" i="5" l="1"/>
  <c r="CU457" i="5"/>
  <c r="BG458" i="5"/>
  <c r="CV458" i="5" s="1"/>
  <c r="BP458" i="5" l="1"/>
  <c r="BH458" i="5"/>
  <c r="CT458" i="5" s="1"/>
  <c r="CX40" i="5" s="1"/>
  <c r="AE48" i="24" l="1"/>
  <c r="K49" i="24"/>
  <c r="BJ458" i="5"/>
  <c r="BI458" i="5" s="1"/>
  <c r="BK458" i="5" l="1"/>
  <c r="CU458" i="5"/>
  <c r="BG459" i="5"/>
  <c r="CV459" i="5" s="1"/>
  <c r="BP459" i="5" l="1"/>
  <c r="BH459" i="5"/>
  <c r="CT459" i="5" s="1"/>
  <c r="BJ459" i="5" l="1"/>
  <c r="BI459" i="5" s="1"/>
  <c r="BK459" i="5" l="1"/>
  <c r="CU459" i="5"/>
  <c r="BG460" i="5"/>
  <c r="CV460" i="5" s="1"/>
  <c r="BP460" i="5" l="1"/>
  <c r="BH460" i="5"/>
  <c r="CT460" i="5" s="1"/>
  <c r="BJ460" i="5" l="1"/>
  <c r="BI460" i="5" s="1"/>
  <c r="BK460" i="5" l="1"/>
  <c r="CU460" i="5"/>
  <c r="BG461" i="5"/>
  <c r="CV461" i="5" s="1"/>
  <c r="BP461" i="5" l="1"/>
  <c r="BH461" i="5"/>
  <c r="CT461" i="5" s="1"/>
  <c r="BJ461" i="5" l="1"/>
  <c r="BI461" i="5" s="1"/>
  <c r="BK461" i="5" l="1"/>
  <c r="CU461" i="5"/>
  <c r="BG462" i="5"/>
  <c r="CV462" i="5" s="1"/>
  <c r="BP462" i="5" l="1"/>
  <c r="BH462" i="5"/>
  <c r="CT462" i="5" s="1"/>
  <c r="BJ462" i="5" l="1"/>
  <c r="BI462" i="5" s="1"/>
  <c r="BK462" i="5" l="1"/>
  <c r="CU462" i="5"/>
  <c r="BG463" i="5"/>
  <c r="CV463" i="5" s="1"/>
  <c r="BP463" i="5" l="1"/>
  <c r="BH463" i="5"/>
  <c r="CT463" i="5" s="1"/>
  <c r="BJ463" i="5" l="1"/>
  <c r="BI463" i="5" s="1"/>
  <c r="BK463" i="5" l="1"/>
  <c r="CU463" i="5"/>
  <c r="BG464" i="5"/>
  <c r="CV464" i="5" s="1"/>
  <c r="BP464" i="5" l="1"/>
  <c r="BH464" i="5"/>
  <c r="CT464" i="5" s="1"/>
  <c r="BJ464" i="5" l="1"/>
  <c r="BI464" i="5" s="1"/>
  <c r="BK464" i="5" l="1"/>
  <c r="CU464" i="5"/>
  <c r="BG465" i="5"/>
  <c r="CV465" i="5" s="1"/>
  <c r="BP465" i="5" l="1"/>
  <c r="BH465" i="5"/>
  <c r="CT465" i="5" s="1"/>
  <c r="BJ465" i="5" l="1"/>
  <c r="BI465" i="5" s="1"/>
  <c r="BK465" i="5" l="1"/>
  <c r="CU465" i="5"/>
  <c r="BG466" i="5"/>
  <c r="CV466" i="5" s="1"/>
  <c r="BP466" i="5" l="1"/>
  <c r="BH466" i="5"/>
  <c r="CT466" i="5" s="1"/>
  <c r="BJ466" i="5" l="1"/>
  <c r="BI466" i="5" s="1"/>
  <c r="BK466" i="5" l="1"/>
  <c r="CU466" i="5"/>
  <c r="BG467" i="5"/>
  <c r="CV467" i="5" s="1"/>
  <c r="BP467" i="5" l="1"/>
  <c r="BH467" i="5"/>
  <c r="CT467" i="5" s="1"/>
  <c r="BJ467" i="5" l="1"/>
  <c r="BI467" i="5" s="1"/>
  <c r="BK467" i="5" l="1"/>
  <c r="CU467" i="5"/>
  <c r="BG468" i="5"/>
  <c r="CV468" i="5" s="1"/>
  <c r="BP468" i="5" l="1"/>
  <c r="BH468" i="5"/>
  <c r="CT468" i="5" s="1"/>
  <c r="BJ468" i="5" l="1"/>
  <c r="BI468" i="5" s="1"/>
  <c r="BK468" i="5" l="1"/>
  <c r="CU468" i="5"/>
  <c r="BG469" i="5"/>
  <c r="CV469" i="5" s="1"/>
  <c r="BP469" i="5" l="1"/>
  <c r="BH469" i="5"/>
  <c r="CT469" i="5" s="1"/>
  <c r="BJ469" i="5" l="1"/>
  <c r="BI469" i="5" s="1"/>
  <c r="BK469" i="5" l="1"/>
  <c r="CU469" i="5"/>
  <c r="BG470" i="5"/>
  <c r="CV470" i="5" s="1"/>
  <c r="BP470" i="5" l="1"/>
  <c r="BH470" i="5"/>
  <c r="CT470" i="5" s="1"/>
  <c r="CX41" i="5" s="1"/>
  <c r="AE49" i="24" l="1"/>
  <c r="K50" i="24"/>
  <c r="BJ470" i="5"/>
  <c r="BI470" i="5" s="1"/>
  <c r="BK470" i="5" l="1"/>
  <c r="CU470" i="5"/>
  <c r="BG471" i="5"/>
  <c r="CV471" i="5" s="1"/>
  <c r="BP471" i="5" l="1"/>
  <c r="BH471" i="5"/>
  <c r="CT471" i="5" s="1"/>
  <c r="BJ471" i="5" l="1"/>
  <c r="BI471" i="5" s="1"/>
  <c r="BK471" i="5" l="1"/>
  <c r="CU471" i="5"/>
  <c r="BG472" i="5"/>
  <c r="CV472" i="5" s="1"/>
  <c r="BP472" i="5" l="1"/>
  <c r="BH472" i="5"/>
  <c r="CT472" i="5" s="1"/>
  <c r="BJ472" i="5" l="1"/>
  <c r="BI472" i="5" s="1"/>
  <c r="BK472" i="5" l="1"/>
  <c r="CU472" i="5"/>
  <c r="BG473" i="5"/>
  <c r="CV473" i="5" s="1"/>
  <c r="BP473" i="5" l="1"/>
  <c r="BH473" i="5"/>
  <c r="CT473" i="5" s="1"/>
  <c r="BJ473" i="5" l="1"/>
  <c r="BI473" i="5" s="1"/>
  <c r="BK473" i="5" l="1"/>
  <c r="CU473" i="5"/>
  <c r="BG474" i="5"/>
  <c r="CV474" i="5" s="1"/>
  <c r="BP474" i="5" l="1"/>
  <c r="BH474" i="5"/>
  <c r="CT474" i="5" s="1"/>
  <c r="BJ474" i="5" l="1"/>
  <c r="BI474" i="5" s="1"/>
  <c r="BK474" i="5" l="1"/>
  <c r="CU474" i="5"/>
  <c r="BG475" i="5"/>
  <c r="CV475" i="5" s="1"/>
  <c r="BP475" i="5" l="1"/>
  <c r="BH475" i="5"/>
  <c r="CT475" i="5" s="1"/>
  <c r="BJ475" i="5" l="1"/>
  <c r="BI475" i="5" s="1"/>
  <c r="BK475" i="5" l="1"/>
  <c r="CU475" i="5"/>
  <c r="BG476" i="5"/>
  <c r="CV476" i="5" s="1"/>
  <c r="BP476" i="5" l="1"/>
  <c r="BH476" i="5"/>
  <c r="CT476" i="5" s="1"/>
  <c r="BJ476" i="5" l="1"/>
  <c r="BI476" i="5" s="1"/>
  <c r="BK476" i="5" l="1"/>
  <c r="CU476" i="5"/>
  <c r="BG477" i="5"/>
  <c r="CV477" i="5" s="1"/>
  <c r="BP477" i="5" l="1"/>
  <c r="BH477" i="5"/>
  <c r="CT477" i="5" s="1"/>
  <c r="BJ477" i="5" l="1"/>
  <c r="BI477" i="5" s="1"/>
  <c r="BK477" i="5" l="1"/>
  <c r="CU477" i="5"/>
  <c r="BG478" i="5"/>
  <c r="CV478" i="5" s="1"/>
  <c r="BP478" i="5" l="1"/>
  <c r="BH478" i="5"/>
  <c r="CT478" i="5" s="1"/>
  <c r="BJ478" i="5" l="1"/>
  <c r="BI478" i="5" s="1"/>
  <c r="BK478" i="5" l="1"/>
  <c r="CU478" i="5"/>
  <c r="BG479" i="5"/>
  <c r="CV479" i="5" s="1"/>
  <c r="BP479" i="5" l="1"/>
  <c r="BH479" i="5"/>
  <c r="CT479" i="5" s="1"/>
  <c r="BJ479" i="5" l="1"/>
  <c r="BI479" i="5" s="1"/>
  <c r="BK479" i="5" l="1"/>
  <c r="CU479" i="5"/>
  <c r="BG480" i="5"/>
  <c r="CV480" i="5" s="1"/>
  <c r="BP480" i="5" l="1"/>
  <c r="BH480" i="5"/>
  <c r="CT480" i="5" s="1"/>
  <c r="BJ480" i="5" l="1"/>
  <c r="BI480" i="5" s="1"/>
  <c r="BK480" i="5" l="1"/>
  <c r="CU480" i="5"/>
  <c r="BG481" i="5"/>
  <c r="CV481" i="5" s="1"/>
  <c r="BP481" i="5" l="1"/>
  <c r="BH481" i="5"/>
  <c r="CT481" i="5" s="1"/>
  <c r="BJ481" i="5" l="1"/>
  <c r="BI481" i="5" s="1"/>
  <c r="BK481" i="5" l="1"/>
  <c r="CU481" i="5"/>
  <c r="BG482" i="5"/>
  <c r="CV482" i="5" s="1"/>
  <c r="BP482" i="5" l="1"/>
  <c r="BH482" i="5"/>
  <c r="CT482" i="5" s="1"/>
  <c r="CX42" i="5" s="1"/>
  <c r="AE50" i="24" l="1"/>
  <c r="K51" i="24"/>
  <c r="BJ482" i="5"/>
  <c r="BI482" i="5" s="1"/>
  <c r="BK482" i="5" l="1"/>
  <c r="CU482" i="5"/>
  <c r="BG483" i="5"/>
  <c r="CV483" i="5" s="1"/>
  <c r="BP483" i="5" l="1"/>
  <c r="BH483" i="5"/>
  <c r="CT483" i="5" s="1"/>
  <c r="BJ483" i="5" l="1"/>
  <c r="BI483" i="5" s="1"/>
  <c r="BK483" i="5" l="1"/>
  <c r="CU483" i="5"/>
  <c r="BG484" i="5"/>
  <c r="CV484" i="5" s="1"/>
  <c r="BP484" i="5" l="1"/>
  <c r="BH484" i="5"/>
  <c r="CT484" i="5" s="1"/>
  <c r="BJ484" i="5" l="1"/>
  <c r="BI484" i="5" s="1"/>
  <c r="BK484" i="5" l="1"/>
  <c r="CU484" i="5"/>
  <c r="BG485" i="5"/>
  <c r="CV485" i="5" s="1"/>
  <c r="BP485" i="5" l="1"/>
  <c r="BH485" i="5"/>
  <c r="CT485" i="5" s="1"/>
  <c r="BJ485" i="5" l="1"/>
  <c r="BI485" i="5" s="1"/>
  <c r="BK485" i="5" l="1"/>
  <c r="CU485" i="5"/>
  <c r="BG486" i="5"/>
  <c r="CV486" i="5" s="1"/>
  <c r="BP486" i="5" l="1"/>
  <c r="BH486" i="5"/>
  <c r="CT486" i="5" s="1"/>
  <c r="BJ486" i="5" l="1"/>
  <c r="BI486" i="5" s="1"/>
  <c r="BK486" i="5" l="1"/>
  <c r="CU486" i="5"/>
  <c r="BG487" i="5"/>
  <c r="CV487" i="5" s="1"/>
  <c r="BP487" i="5" l="1"/>
  <c r="BH487" i="5"/>
  <c r="CT487" i="5" s="1"/>
  <c r="BJ487" i="5" l="1"/>
  <c r="BI487" i="5" s="1"/>
  <c r="BK487" i="5" l="1"/>
  <c r="CU487" i="5"/>
  <c r="BG488" i="5"/>
  <c r="CV488" i="5" s="1"/>
  <c r="BP488" i="5" l="1"/>
  <c r="BH488" i="5"/>
  <c r="CT488" i="5" s="1"/>
  <c r="BJ488" i="5" l="1"/>
  <c r="BI488" i="5" s="1"/>
  <c r="BK488" i="5" l="1"/>
  <c r="CU488" i="5"/>
  <c r="BG489" i="5"/>
  <c r="CV489" i="5" s="1"/>
  <c r="BP489" i="5" l="1"/>
  <c r="BH489" i="5"/>
  <c r="CT489" i="5" s="1"/>
  <c r="BJ489" i="5" l="1"/>
  <c r="BI489" i="5" s="1"/>
  <c r="BK489" i="5" l="1"/>
  <c r="CU489" i="5"/>
  <c r="BG490" i="5"/>
  <c r="CV490" i="5" s="1"/>
  <c r="BP490" i="5" l="1"/>
  <c r="BH490" i="5"/>
  <c r="CT490" i="5" s="1"/>
  <c r="BJ490" i="5" l="1"/>
  <c r="BI490" i="5" s="1"/>
  <c r="BK490" i="5" l="1"/>
  <c r="CU490" i="5"/>
  <c r="BG491" i="5"/>
  <c r="CV491" i="5" s="1"/>
  <c r="BP491" i="5" l="1"/>
  <c r="BH491" i="5"/>
  <c r="CT491" i="5" s="1"/>
  <c r="BJ491" i="5" l="1"/>
  <c r="BI491" i="5" s="1"/>
  <c r="BK491" i="5" l="1"/>
  <c r="CU491" i="5"/>
  <c r="BG492" i="5"/>
  <c r="CV492" i="5" s="1"/>
  <c r="BP492" i="5" l="1"/>
  <c r="BH492" i="5"/>
  <c r="CT492" i="5" s="1"/>
  <c r="BJ492" i="5" l="1"/>
  <c r="BI492" i="5"/>
  <c r="BK492" i="5" l="1"/>
  <c r="CU492" i="5"/>
  <c r="BG493" i="5"/>
  <c r="CV493" i="5" s="1"/>
  <c r="BP493" i="5" l="1"/>
  <c r="BH493" i="5"/>
  <c r="CT493" i="5" s="1"/>
  <c r="BJ493" i="5" l="1"/>
  <c r="BI493" i="5" s="1"/>
  <c r="BK493" i="5" l="1"/>
  <c r="CU493" i="5"/>
  <c r="BG494" i="5"/>
  <c r="CV494" i="5" s="1"/>
  <c r="BP494" i="5" l="1"/>
  <c r="BH494" i="5"/>
  <c r="CT494" i="5" s="1"/>
  <c r="CX43" i="5" s="1"/>
  <c r="AE51" i="24" l="1"/>
  <c r="K52" i="24"/>
  <c r="BJ494" i="5"/>
  <c r="BI494" i="5" s="1"/>
  <c r="BK494" i="5" l="1"/>
  <c r="CU494" i="5"/>
  <c r="BG495" i="5"/>
  <c r="CV495" i="5" s="1"/>
  <c r="BP495" i="5" l="1"/>
  <c r="BH495" i="5"/>
  <c r="CT495" i="5" s="1"/>
  <c r="BJ495" i="5" l="1"/>
  <c r="BI495" i="5" s="1"/>
  <c r="BK495" i="5" l="1"/>
  <c r="CU495" i="5"/>
  <c r="BG496" i="5"/>
  <c r="CV496" i="5" s="1"/>
  <c r="BP496" i="5" l="1"/>
  <c r="BH496" i="5"/>
  <c r="CT496" i="5" s="1"/>
  <c r="BJ496" i="5" l="1"/>
  <c r="BI496" i="5" s="1"/>
  <c r="BK496" i="5" l="1"/>
  <c r="CU496" i="5"/>
  <c r="BG497" i="5"/>
  <c r="CV497" i="5" s="1"/>
  <c r="BP497" i="5" l="1"/>
  <c r="BH497" i="5"/>
  <c r="CT497" i="5" s="1"/>
  <c r="BJ497" i="5" l="1"/>
  <c r="BI497" i="5" s="1"/>
  <c r="BK497" i="5" l="1"/>
  <c r="CU497" i="5"/>
  <c r="BG498" i="5"/>
  <c r="CV498" i="5" s="1"/>
  <c r="BP498" i="5" l="1"/>
  <c r="BH498" i="5"/>
  <c r="CT498" i="5" s="1"/>
  <c r="BJ498" i="5" l="1"/>
  <c r="BI498" i="5" s="1"/>
  <c r="BK498" i="5" l="1"/>
  <c r="CU498" i="5"/>
  <c r="BG499" i="5"/>
  <c r="CV499" i="5" s="1"/>
  <c r="BP499" i="5" l="1"/>
  <c r="BH499" i="5"/>
  <c r="CT499" i="5" s="1"/>
  <c r="BJ499" i="5" l="1"/>
  <c r="BI499" i="5" s="1"/>
  <c r="BK499" i="5" l="1"/>
  <c r="CU499" i="5"/>
  <c r="BG500" i="5"/>
  <c r="CV500" i="5" s="1"/>
  <c r="BP500" i="5" l="1"/>
  <c r="BH500" i="5"/>
  <c r="CT500" i="5" s="1"/>
  <c r="BJ500" i="5" l="1"/>
  <c r="BI500" i="5" s="1"/>
  <c r="BK500" i="5" l="1"/>
  <c r="CU500" i="5"/>
  <c r="BG501" i="5"/>
  <c r="CV501" i="5" s="1"/>
  <c r="BP501" i="5" l="1"/>
  <c r="BH501" i="5"/>
  <c r="CT501" i="5" s="1"/>
  <c r="BJ501" i="5" l="1"/>
  <c r="BI501" i="5" s="1"/>
  <c r="BK501" i="5" l="1"/>
  <c r="CU501" i="5"/>
  <c r="BG502" i="5"/>
  <c r="CV502" i="5" s="1"/>
  <c r="BP502" i="5" l="1"/>
  <c r="BH502" i="5"/>
  <c r="CT502" i="5" s="1"/>
  <c r="BJ502" i="5" l="1"/>
  <c r="BI502" i="5" s="1"/>
  <c r="BK502" i="5" l="1"/>
  <c r="CU502" i="5"/>
  <c r="BG503" i="5"/>
  <c r="CV503" i="5" s="1"/>
  <c r="BP503" i="5" l="1"/>
  <c r="BH503" i="5"/>
  <c r="CT503" i="5" s="1"/>
  <c r="BJ503" i="5" l="1"/>
  <c r="BI503" i="5" s="1"/>
  <c r="BK503" i="5" l="1"/>
  <c r="CU503" i="5"/>
  <c r="BG504" i="5"/>
  <c r="CV504" i="5" s="1"/>
  <c r="BP504" i="5" l="1"/>
  <c r="BH504" i="5"/>
  <c r="CT504" i="5" s="1"/>
  <c r="BJ504" i="5" l="1"/>
  <c r="BI504" i="5" s="1"/>
  <c r="BK504" i="5" l="1"/>
  <c r="CU504" i="5"/>
  <c r="BG505" i="5"/>
  <c r="CV505" i="5" s="1"/>
  <c r="BP505" i="5" l="1"/>
  <c r="BH505" i="5"/>
  <c r="CT505" i="5" s="1"/>
  <c r="BJ505" i="5" l="1"/>
  <c r="BI505" i="5" s="1"/>
  <c r="BK505" i="5" l="1"/>
  <c r="CU505" i="5"/>
  <c r="BG506" i="5"/>
  <c r="CV506" i="5" s="1"/>
  <c r="BP506" i="5" l="1"/>
  <c r="BH506" i="5"/>
  <c r="CT506" i="5" s="1"/>
  <c r="CX44" i="5" s="1"/>
  <c r="AE52" i="24" l="1"/>
  <c r="K53" i="24"/>
  <c r="BJ506" i="5"/>
  <c r="BI506" i="5" s="1"/>
  <c r="BK506" i="5" l="1"/>
  <c r="CU506" i="5"/>
  <c r="BG507" i="5"/>
  <c r="CV507" i="5" s="1"/>
  <c r="BP507" i="5" l="1"/>
  <c r="BH507" i="5"/>
  <c r="CT507" i="5" s="1"/>
  <c r="BJ507" i="5" l="1"/>
  <c r="BI507" i="5" s="1"/>
  <c r="BK507" i="5" l="1"/>
  <c r="CU507" i="5"/>
  <c r="BG508" i="5"/>
  <c r="CV508" i="5" s="1"/>
  <c r="BP508" i="5" l="1"/>
  <c r="BH508" i="5"/>
  <c r="CT508" i="5" s="1"/>
  <c r="BJ508" i="5" l="1"/>
  <c r="BI508" i="5" s="1"/>
  <c r="BK508" i="5" l="1"/>
  <c r="CU508" i="5"/>
  <c r="BG509" i="5"/>
  <c r="CV509" i="5" s="1"/>
  <c r="BP509" i="5" l="1"/>
  <c r="BH509" i="5"/>
  <c r="CT509" i="5" s="1"/>
  <c r="BJ509" i="5" l="1"/>
  <c r="BI509" i="5" s="1"/>
  <c r="BK509" i="5" l="1"/>
  <c r="CU509" i="5"/>
  <c r="BG510" i="5"/>
  <c r="CV510" i="5" s="1"/>
  <c r="BP510" i="5" l="1"/>
  <c r="BH510" i="5"/>
  <c r="CT510" i="5" s="1"/>
  <c r="BJ510" i="5" l="1"/>
  <c r="BI510" i="5" s="1"/>
  <c r="BK510" i="5" l="1"/>
  <c r="CU510" i="5"/>
  <c r="BG511" i="5"/>
  <c r="CV511" i="5" s="1"/>
  <c r="BP511" i="5" l="1"/>
  <c r="BH511" i="5"/>
  <c r="CT511" i="5" s="1"/>
  <c r="BJ511" i="5" l="1"/>
  <c r="BI511" i="5" s="1"/>
  <c r="BK511" i="5" l="1"/>
  <c r="CU511" i="5"/>
  <c r="BG512" i="5"/>
  <c r="CV512" i="5" s="1"/>
  <c r="BP512" i="5" l="1"/>
  <c r="BH512" i="5"/>
  <c r="CT512" i="5" s="1"/>
  <c r="BJ512" i="5" l="1"/>
  <c r="BI512" i="5" s="1"/>
  <c r="BK512" i="5" l="1"/>
  <c r="CU512" i="5"/>
  <c r="BG513" i="5"/>
  <c r="CV513" i="5" s="1"/>
  <c r="BP513" i="5" l="1"/>
  <c r="BH513" i="5"/>
  <c r="CT513" i="5" s="1"/>
  <c r="BJ513" i="5" l="1"/>
  <c r="BI513" i="5" s="1"/>
  <c r="BK513" i="5" l="1"/>
  <c r="CU513" i="5"/>
  <c r="BG514" i="5"/>
  <c r="CV514" i="5" s="1"/>
  <c r="BP514" i="5" l="1"/>
  <c r="BH514" i="5"/>
  <c r="CT514" i="5" s="1"/>
  <c r="BJ514" i="5" l="1"/>
  <c r="BI514" i="5" s="1"/>
  <c r="BK514" i="5" l="1"/>
  <c r="CU514" i="5"/>
  <c r="BG515" i="5"/>
  <c r="CV515" i="5" s="1"/>
  <c r="BP515" i="5" l="1"/>
  <c r="BH515" i="5"/>
  <c r="CT515" i="5" s="1"/>
  <c r="BJ515" i="5" l="1"/>
  <c r="BI515" i="5" s="1"/>
  <c r="BK515" i="5" l="1"/>
  <c r="CU515" i="5"/>
  <c r="BG516" i="5"/>
  <c r="CV516" i="5" s="1"/>
  <c r="BP516" i="5" l="1"/>
  <c r="BH516" i="5"/>
  <c r="CT516" i="5" s="1"/>
  <c r="BJ516" i="5" l="1"/>
  <c r="BI516" i="5" s="1"/>
  <c r="BK516" i="5" l="1"/>
  <c r="CU516" i="5"/>
  <c r="BG517" i="5"/>
  <c r="CV517" i="5" s="1"/>
  <c r="BP517" i="5" l="1"/>
  <c r="BH517" i="5"/>
  <c r="CT517" i="5" s="1"/>
  <c r="BJ517" i="5" l="1"/>
  <c r="BI517" i="5" s="1"/>
  <c r="BK517" i="5" l="1"/>
  <c r="CU517" i="5"/>
  <c r="BG518" i="5"/>
  <c r="CV518" i="5" s="1"/>
  <c r="BP518" i="5" l="1"/>
  <c r="BH518" i="5"/>
  <c r="CT518" i="5" s="1"/>
  <c r="CX45" i="5" s="1"/>
  <c r="AE53" i="24" l="1"/>
  <c r="K54" i="24"/>
  <c r="BJ518" i="5"/>
  <c r="BI518" i="5" s="1"/>
  <c r="BK518" i="5" l="1"/>
  <c r="CU518" i="5"/>
  <c r="BG519" i="5"/>
  <c r="CV519" i="5" s="1"/>
  <c r="BP519" i="5" l="1"/>
  <c r="BH519" i="5"/>
  <c r="CT519" i="5" s="1"/>
  <c r="BJ519" i="5" l="1"/>
  <c r="BI519" i="5" s="1"/>
  <c r="BK519" i="5" l="1"/>
  <c r="CU519" i="5"/>
  <c r="BG520" i="5"/>
  <c r="CV520" i="5" s="1"/>
  <c r="BP520" i="5" l="1"/>
  <c r="BH520" i="5"/>
  <c r="CT520" i="5" s="1"/>
  <c r="BJ520" i="5" l="1"/>
  <c r="BI520" i="5" s="1"/>
  <c r="BK520" i="5" l="1"/>
  <c r="CU520" i="5"/>
  <c r="BG521" i="5"/>
  <c r="CV521" i="5" s="1"/>
  <c r="BP521" i="5" l="1"/>
  <c r="BH521" i="5"/>
  <c r="CT521" i="5" s="1"/>
  <c r="BJ521" i="5" l="1"/>
  <c r="BI521" i="5" s="1"/>
  <c r="BK521" i="5" l="1"/>
  <c r="CU521" i="5"/>
  <c r="BG522" i="5"/>
  <c r="CV522" i="5" s="1"/>
  <c r="BP522" i="5" l="1"/>
  <c r="BH522" i="5"/>
  <c r="CT522" i="5" s="1"/>
  <c r="BJ522" i="5" l="1"/>
  <c r="BI522" i="5" s="1"/>
  <c r="BK522" i="5" l="1"/>
  <c r="CU522" i="5"/>
  <c r="BG523" i="5"/>
  <c r="CV523" i="5" s="1"/>
  <c r="BP523" i="5" l="1"/>
  <c r="BH523" i="5"/>
  <c r="CT523" i="5" s="1"/>
  <c r="BJ523" i="5" l="1"/>
  <c r="BI523" i="5" s="1"/>
  <c r="BK523" i="5" l="1"/>
  <c r="CU523" i="5"/>
  <c r="BG524" i="5"/>
  <c r="CV524" i="5" s="1"/>
  <c r="BP524" i="5" l="1"/>
  <c r="BH524" i="5"/>
  <c r="CT524" i="5" s="1"/>
  <c r="BJ524" i="5" l="1"/>
  <c r="BI524" i="5" s="1"/>
  <c r="BK524" i="5" l="1"/>
  <c r="CU524" i="5"/>
  <c r="BG525" i="5"/>
  <c r="CV525" i="5" s="1"/>
  <c r="BP525" i="5" l="1"/>
  <c r="BH525" i="5"/>
  <c r="CT525" i="5" s="1"/>
  <c r="BJ525" i="5" l="1"/>
  <c r="BI525" i="5" s="1"/>
  <c r="BK525" i="5" l="1"/>
  <c r="CU525" i="5"/>
  <c r="BG526" i="5"/>
  <c r="CV526" i="5" s="1"/>
  <c r="BP526" i="5" l="1"/>
  <c r="BH526" i="5"/>
  <c r="CT526" i="5" s="1"/>
  <c r="BJ526" i="5" l="1"/>
  <c r="BI526" i="5" s="1"/>
  <c r="BK526" i="5" l="1"/>
  <c r="CU526" i="5"/>
  <c r="BG527" i="5"/>
  <c r="CV527" i="5" s="1"/>
  <c r="BP527" i="5" l="1"/>
  <c r="BH527" i="5"/>
  <c r="CT527" i="5" s="1"/>
  <c r="BJ527" i="5" l="1"/>
  <c r="BI527" i="5" s="1"/>
  <c r="BK527" i="5" l="1"/>
  <c r="CU527" i="5"/>
  <c r="BG528" i="5"/>
  <c r="CV528" i="5" s="1"/>
  <c r="BP528" i="5" l="1"/>
  <c r="BH528" i="5"/>
  <c r="CT528" i="5" s="1"/>
  <c r="BJ528" i="5" l="1"/>
  <c r="BI528" i="5" s="1"/>
  <c r="BK528" i="5" l="1"/>
  <c r="CU528" i="5"/>
  <c r="BG529" i="5"/>
  <c r="CV529" i="5" s="1"/>
  <c r="BP529" i="5" l="1"/>
  <c r="BH529" i="5"/>
  <c r="CT529" i="5" s="1"/>
  <c r="BJ529" i="5" l="1"/>
  <c r="BI529" i="5" s="1"/>
  <c r="BK529" i="5" l="1"/>
  <c r="CU529" i="5"/>
  <c r="BG530" i="5"/>
  <c r="CV530" i="5" s="1"/>
  <c r="BP530" i="5" l="1"/>
  <c r="BH530" i="5"/>
  <c r="CT530" i="5" s="1"/>
  <c r="CX46" i="5" s="1"/>
  <c r="AE54" i="24" l="1"/>
  <c r="K55" i="24"/>
  <c r="BJ530" i="5"/>
  <c r="BI530" i="5" s="1"/>
  <c r="BK530" i="5" l="1"/>
  <c r="CU530" i="5"/>
  <c r="BG531" i="5"/>
  <c r="CV531" i="5" s="1"/>
  <c r="BP531" i="5" l="1"/>
  <c r="BH531" i="5"/>
  <c r="CT531" i="5" s="1"/>
  <c r="BJ531" i="5" l="1"/>
  <c r="BI531" i="5" s="1"/>
  <c r="BK531" i="5" l="1"/>
  <c r="CU531" i="5"/>
  <c r="BG532" i="5"/>
  <c r="CV532" i="5" s="1"/>
  <c r="BP532" i="5" l="1"/>
  <c r="BH532" i="5"/>
  <c r="CT532" i="5" s="1"/>
  <c r="BJ532" i="5" l="1"/>
  <c r="BI532" i="5" s="1"/>
  <c r="BK532" i="5" l="1"/>
  <c r="CU532" i="5"/>
  <c r="BG533" i="5"/>
  <c r="CV533" i="5" s="1"/>
  <c r="BP533" i="5" l="1"/>
  <c r="BH533" i="5"/>
  <c r="CT533" i="5" s="1"/>
  <c r="BJ533" i="5" l="1"/>
  <c r="BI533" i="5" s="1"/>
  <c r="BK533" i="5" l="1"/>
  <c r="CU533" i="5"/>
  <c r="BG534" i="5"/>
  <c r="CV534" i="5" s="1"/>
  <c r="BP534" i="5" l="1"/>
  <c r="BH534" i="5"/>
  <c r="CT534" i="5" s="1"/>
  <c r="BJ534" i="5" l="1"/>
  <c r="BI534" i="5" s="1"/>
  <c r="BK534" i="5" l="1"/>
  <c r="CU534" i="5"/>
  <c r="BG535" i="5"/>
  <c r="CV535" i="5" s="1"/>
  <c r="BP535" i="5" l="1"/>
  <c r="BH535" i="5"/>
  <c r="CT535" i="5" s="1"/>
  <c r="BJ535" i="5" l="1"/>
  <c r="BI535" i="5" s="1"/>
  <c r="BK535" i="5" l="1"/>
  <c r="CU535" i="5"/>
  <c r="BG536" i="5"/>
  <c r="CV536" i="5" s="1"/>
  <c r="BP536" i="5" l="1"/>
  <c r="BH536" i="5"/>
  <c r="CT536" i="5" s="1"/>
  <c r="BJ536" i="5" l="1"/>
  <c r="BI536" i="5" s="1"/>
  <c r="BK536" i="5" l="1"/>
  <c r="CU536" i="5"/>
  <c r="BG537" i="5"/>
  <c r="CV537" i="5" s="1"/>
  <c r="BP537" i="5" l="1"/>
  <c r="BH537" i="5"/>
  <c r="CT537" i="5" s="1"/>
  <c r="BJ537" i="5" l="1"/>
  <c r="BI537" i="5" s="1"/>
  <c r="BK537" i="5" l="1"/>
  <c r="CU537" i="5"/>
  <c r="BG538" i="5"/>
  <c r="CV538" i="5" s="1"/>
  <c r="BP538" i="5" l="1"/>
  <c r="BH538" i="5"/>
  <c r="CT538" i="5" s="1"/>
  <c r="BJ538" i="5" l="1"/>
  <c r="BI538" i="5" s="1"/>
  <c r="BK538" i="5" l="1"/>
  <c r="CU538" i="5"/>
  <c r="BG539" i="5"/>
  <c r="CV539" i="5" s="1"/>
  <c r="BP539" i="5" l="1"/>
  <c r="BH539" i="5"/>
  <c r="CT539" i="5" s="1"/>
  <c r="BJ539" i="5" l="1"/>
  <c r="BI539" i="5" s="1"/>
  <c r="BK539" i="5" l="1"/>
  <c r="CU539" i="5"/>
  <c r="BG540" i="5"/>
  <c r="CV540" i="5" s="1"/>
  <c r="BP540" i="5" l="1"/>
  <c r="BH540" i="5"/>
  <c r="CT540" i="5" s="1"/>
  <c r="BJ540" i="5" l="1"/>
  <c r="BI540" i="5" s="1"/>
  <c r="BK540" i="5" l="1"/>
  <c r="CU540" i="5"/>
  <c r="BG541" i="5"/>
  <c r="CV541" i="5" s="1"/>
  <c r="BP541" i="5" l="1"/>
  <c r="BH541" i="5"/>
  <c r="CT541" i="5" s="1"/>
  <c r="BJ541" i="5" l="1"/>
  <c r="BI541" i="5" s="1"/>
  <c r="BK541" i="5" l="1"/>
  <c r="CU541" i="5"/>
  <c r="BG542" i="5"/>
  <c r="CV542" i="5" s="1"/>
  <c r="BP542" i="5" l="1"/>
  <c r="BH542" i="5"/>
  <c r="CT542" i="5" s="1"/>
  <c r="CX47" i="5" s="1"/>
  <c r="AE55" i="24" l="1"/>
  <c r="K56" i="24"/>
  <c r="BJ542" i="5"/>
  <c r="BI542" i="5" s="1"/>
  <c r="BK542" i="5" l="1"/>
  <c r="CU542" i="5"/>
  <c r="BG543" i="5"/>
  <c r="CV543" i="5" s="1"/>
  <c r="BP543" i="5" l="1"/>
  <c r="BH543" i="5"/>
  <c r="CT543" i="5" s="1"/>
  <c r="BJ543" i="5" l="1"/>
  <c r="BI543" i="5" s="1"/>
  <c r="BK543" i="5" l="1"/>
  <c r="CU543" i="5"/>
  <c r="BG544" i="5"/>
  <c r="CV544" i="5" s="1"/>
  <c r="BP544" i="5" l="1"/>
  <c r="BH544" i="5"/>
  <c r="CT544" i="5" s="1"/>
  <c r="BJ544" i="5" l="1"/>
  <c r="BI544" i="5" s="1"/>
  <c r="BK544" i="5" l="1"/>
  <c r="CU544" i="5"/>
  <c r="BG545" i="5"/>
  <c r="CV545" i="5" s="1"/>
  <c r="BP545" i="5" l="1"/>
  <c r="BH545" i="5"/>
  <c r="CT545" i="5" s="1"/>
  <c r="BJ545" i="5" l="1"/>
  <c r="BI545" i="5" s="1"/>
  <c r="BK545" i="5" l="1"/>
  <c r="CU545" i="5"/>
  <c r="BG546" i="5"/>
  <c r="CV546" i="5" s="1"/>
  <c r="BP546" i="5" l="1"/>
  <c r="BH546" i="5"/>
  <c r="CT546" i="5" s="1"/>
  <c r="BJ546" i="5" l="1"/>
  <c r="BI546" i="5" s="1"/>
  <c r="BK546" i="5" l="1"/>
  <c r="CU546" i="5"/>
  <c r="BG547" i="5"/>
  <c r="CV547" i="5" s="1"/>
  <c r="BP547" i="5" l="1"/>
  <c r="BH547" i="5"/>
  <c r="CT547" i="5" s="1"/>
  <c r="BJ547" i="5" l="1"/>
  <c r="BI547" i="5" s="1"/>
  <c r="BK547" i="5" l="1"/>
  <c r="CU547" i="5"/>
  <c r="BG548" i="5"/>
  <c r="CV548" i="5" s="1"/>
  <c r="BP548" i="5" l="1"/>
  <c r="BH548" i="5"/>
  <c r="CT548" i="5" s="1"/>
  <c r="BJ548" i="5" l="1"/>
  <c r="BI548" i="5" s="1"/>
  <c r="BK548" i="5" l="1"/>
  <c r="CU548" i="5"/>
  <c r="BG549" i="5"/>
  <c r="CV549" i="5" s="1"/>
  <c r="BP549" i="5" l="1"/>
  <c r="BH549" i="5"/>
  <c r="CT549" i="5" s="1"/>
  <c r="BJ549" i="5" l="1"/>
  <c r="BI549" i="5" s="1"/>
  <c r="BK549" i="5" l="1"/>
  <c r="CU549" i="5"/>
  <c r="BG550" i="5"/>
  <c r="CV550" i="5" s="1"/>
  <c r="BP550" i="5" l="1"/>
  <c r="BH550" i="5"/>
  <c r="CT550" i="5" s="1"/>
  <c r="BJ550" i="5" l="1"/>
  <c r="BI550" i="5" s="1"/>
  <c r="BK550" i="5" l="1"/>
  <c r="CU550" i="5"/>
  <c r="BG551" i="5"/>
  <c r="CV551" i="5" s="1"/>
  <c r="BP551" i="5" l="1"/>
  <c r="BH551" i="5"/>
  <c r="CT551" i="5" s="1"/>
  <c r="BJ551" i="5" l="1"/>
  <c r="BI551" i="5" s="1"/>
  <c r="BK551" i="5" l="1"/>
  <c r="CU551" i="5"/>
  <c r="BG552" i="5"/>
  <c r="CV552" i="5" s="1"/>
  <c r="BP552" i="5" l="1"/>
  <c r="BH552" i="5"/>
  <c r="CT552" i="5" s="1"/>
  <c r="BJ552" i="5" l="1"/>
  <c r="BI552" i="5" s="1"/>
  <c r="BK552" i="5" l="1"/>
  <c r="CU552" i="5"/>
  <c r="BG553" i="5"/>
  <c r="CV553" i="5" s="1"/>
  <c r="BP553" i="5" l="1"/>
  <c r="BH553" i="5"/>
  <c r="CT553" i="5" s="1"/>
  <c r="BJ553" i="5" l="1"/>
  <c r="BI553" i="5" s="1"/>
  <c r="BK553" i="5" l="1"/>
  <c r="CU553" i="5"/>
  <c r="BG554" i="5"/>
  <c r="CV554" i="5" s="1"/>
  <c r="BP554" i="5" l="1"/>
  <c r="BH554" i="5"/>
  <c r="CT554" i="5" s="1"/>
  <c r="CX48" i="5" s="1"/>
  <c r="AE56" i="24" l="1"/>
  <c r="K57" i="24"/>
  <c r="BJ554" i="5"/>
  <c r="BI554" i="5" s="1"/>
  <c r="BK554" i="5" l="1"/>
  <c r="CU554" i="5"/>
  <c r="BG555" i="5"/>
  <c r="CV555" i="5" s="1"/>
  <c r="BP555" i="5" l="1"/>
  <c r="BH555" i="5"/>
  <c r="CT555" i="5" s="1"/>
  <c r="BJ555" i="5" l="1"/>
  <c r="BI555" i="5" s="1"/>
  <c r="BK555" i="5" l="1"/>
  <c r="CU555" i="5"/>
  <c r="BG556" i="5"/>
  <c r="CV556" i="5" s="1"/>
  <c r="BP556" i="5" l="1"/>
  <c r="BH556" i="5"/>
  <c r="CT556" i="5" s="1"/>
  <c r="BJ556" i="5" l="1"/>
  <c r="BI556" i="5" s="1"/>
  <c r="BK556" i="5" l="1"/>
  <c r="CU556" i="5"/>
  <c r="BG557" i="5"/>
  <c r="CV557" i="5" s="1"/>
  <c r="BP557" i="5" l="1"/>
  <c r="BH557" i="5"/>
  <c r="CT557" i="5" s="1"/>
  <c r="BJ557" i="5" l="1"/>
  <c r="BI557" i="5" s="1"/>
  <c r="BK557" i="5" l="1"/>
  <c r="CU557" i="5"/>
  <c r="BG558" i="5"/>
  <c r="CV558" i="5" s="1"/>
  <c r="BP558" i="5" l="1"/>
  <c r="BH558" i="5"/>
  <c r="CT558" i="5" s="1"/>
  <c r="BJ558" i="5" l="1"/>
  <c r="BI558" i="5" s="1"/>
  <c r="BK558" i="5" l="1"/>
  <c r="CU558" i="5"/>
  <c r="BG559" i="5"/>
  <c r="CV559" i="5" s="1"/>
  <c r="BP559" i="5" l="1"/>
  <c r="BH559" i="5"/>
  <c r="CT559" i="5" s="1"/>
  <c r="BJ559" i="5" l="1"/>
  <c r="BI559" i="5" s="1"/>
  <c r="BK559" i="5" l="1"/>
  <c r="CU559" i="5"/>
  <c r="BG560" i="5"/>
  <c r="CV560" i="5" s="1"/>
  <c r="BP560" i="5" l="1"/>
  <c r="BH560" i="5"/>
  <c r="CT560" i="5" s="1"/>
  <c r="BJ560" i="5" l="1"/>
  <c r="BI560" i="5" s="1"/>
  <c r="BK560" i="5" l="1"/>
  <c r="CU560" i="5"/>
  <c r="BG561" i="5"/>
  <c r="CV561" i="5" s="1"/>
  <c r="BP561" i="5" l="1"/>
  <c r="BH561" i="5"/>
  <c r="CT561" i="5" s="1"/>
  <c r="BJ561" i="5" l="1"/>
  <c r="BI561" i="5" s="1"/>
  <c r="BK561" i="5" l="1"/>
  <c r="CU561" i="5"/>
  <c r="BG562" i="5"/>
  <c r="CV562" i="5" s="1"/>
  <c r="BP562" i="5" l="1"/>
  <c r="BH562" i="5"/>
  <c r="CT562" i="5" s="1"/>
  <c r="BJ562" i="5" l="1"/>
  <c r="BI562" i="5" s="1"/>
  <c r="BK562" i="5" l="1"/>
  <c r="CU562" i="5"/>
  <c r="BG563" i="5"/>
  <c r="CV563" i="5" s="1"/>
  <c r="BP563" i="5" l="1"/>
  <c r="BH563" i="5"/>
  <c r="CT563" i="5" s="1"/>
  <c r="BJ563" i="5" l="1"/>
  <c r="BI563" i="5" s="1"/>
  <c r="BK563" i="5" l="1"/>
  <c r="CU563" i="5"/>
  <c r="BG564" i="5"/>
  <c r="CV564" i="5" s="1"/>
  <c r="BP564" i="5" l="1"/>
  <c r="BH564" i="5"/>
  <c r="CT564" i="5" s="1"/>
  <c r="BJ564" i="5" l="1"/>
  <c r="BI564" i="5" s="1"/>
  <c r="BK564" i="5" l="1"/>
  <c r="CU564" i="5"/>
  <c r="BG565" i="5"/>
  <c r="CV565" i="5" s="1"/>
  <c r="BP565" i="5" l="1"/>
  <c r="BH565" i="5"/>
  <c r="CT565" i="5" s="1"/>
  <c r="BJ565" i="5" l="1"/>
  <c r="BI565" i="5" s="1"/>
  <c r="BK565" i="5" l="1"/>
  <c r="CU565" i="5"/>
  <c r="BG566" i="5"/>
  <c r="CV566" i="5" s="1"/>
  <c r="BP566" i="5" l="1"/>
  <c r="BH566" i="5"/>
  <c r="CT566" i="5" s="1"/>
  <c r="CX49" i="5" s="1"/>
  <c r="AE57" i="24" l="1"/>
  <c r="K58" i="24"/>
  <c r="BJ566" i="5"/>
  <c r="BI566" i="5" s="1"/>
  <c r="BK566" i="5" l="1"/>
  <c r="CU566" i="5"/>
  <c r="BG567" i="5"/>
  <c r="CV567" i="5" s="1"/>
  <c r="BP567" i="5" l="1"/>
  <c r="BH567" i="5"/>
  <c r="CT567" i="5" s="1"/>
  <c r="BJ567" i="5" l="1"/>
  <c r="BI567" i="5" s="1"/>
  <c r="BK567" i="5" l="1"/>
  <c r="CU567" i="5"/>
  <c r="BG568" i="5"/>
  <c r="CV568" i="5" s="1"/>
  <c r="BP568" i="5" l="1"/>
  <c r="BH568" i="5"/>
  <c r="CT568" i="5" s="1"/>
  <c r="BJ568" i="5" l="1"/>
  <c r="BI568" i="5" s="1"/>
  <c r="BK568" i="5" l="1"/>
  <c r="CU568" i="5"/>
  <c r="BG569" i="5"/>
  <c r="CV569" i="5" s="1"/>
  <c r="BP569" i="5" l="1"/>
  <c r="BH569" i="5"/>
  <c r="CT569" i="5" s="1"/>
  <c r="BJ569" i="5" l="1"/>
  <c r="BI569" i="5" s="1"/>
  <c r="BK569" i="5" l="1"/>
  <c r="CU569" i="5"/>
  <c r="BG570" i="5"/>
  <c r="CV570" i="5" s="1"/>
  <c r="BP570" i="5" l="1"/>
  <c r="BH570" i="5"/>
  <c r="CT570" i="5" s="1"/>
  <c r="BJ570" i="5" l="1"/>
  <c r="BI570" i="5" s="1"/>
  <c r="BK570" i="5" l="1"/>
  <c r="CU570" i="5"/>
  <c r="BG571" i="5"/>
  <c r="CV571" i="5" s="1"/>
  <c r="BP571" i="5" l="1"/>
  <c r="BH571" i="5"/>
  <c r="CT571" i="5" s="1"/>
  <c r="BJ571" i="5" l="1"/>
  <c r="BI571" i="5" s="1"/>
  <c r="BK571" i="5" l="1"/>
  <c r="CU571" i="5"/>
  <c r="BG572" i="5"/>
  <c r="CV572" i="5" s="1"/>
  <c r="BP572" i="5" l="1"/>
  <c r="BH572" i="5"/>
  <c r="CT572" i="5" s="1"/>
  <c r="BJ572" i="5" l="1"/>
  <c r="BI572" i="5" s="1"/>
  <c r="BK572" i="5" l="1"/>
  <c r="CU572" i="5"/>
  <c r="BG573" i="5"/>
  <c r="CV573" i="5" s="1"/>
  <c r="BP573" i="5" l="1"/>
  <c r="BH573" i="5"/>
  <c r="CT573" i="5" s="1"/>
  <c r="BJ573" i="5" l="1"/>
  <c r="BI573" i="5" s="1"/>
  <c r="BK573" i="5" l="1"/>
  <c r="CU573" i="5"/>
  <c r="BG574" i="5"/>
  <c r="CV574" i="5" s="1"/>
  <c r="BP574" i="5" l="1"/>
  <c r="BH574" i="5"/>
  <c r="CT574" i="5" s="1"/>
  <c r="BJ574" i="5" l="1"/>
  <c r="BI574" i="5" s="1"/>
  <c r="BK574" i="5" l="1"/>
  <c r="CU574" i="5"/>
  <c r="BG575" i="5"/>
  <c r="CV575" i="5" s="1"/>
  <c r="BP575" i="5" l="1"/>
  <c r="BH575" i="5"/>
  <c r="CT575" i="5" s="1"/>
  <c r="BJ575" i="5" l="1"/>
  <c r="BI575" i="5" s="1"/>
  <c r="BK575" i="5" l="1"/>
  <c r="CU575" i="5"/>
  <c r="BG576" i="5"/>
  <c r="CV576" i="5" s="1"/>
  <c r="BP576" i="5" l="1"/>
  <c r="BH576" i="5"/>
  <c r="CT576" i="5" s="1"/>
  <c r="BJ576" i="5" l="1"/>
  <c r="BI576" i="5" s="1"/>
  <c r="BK576" i="5" l="1"/>
  <c r="CU576" i="5"/>
  <c r="BG577" i="5"/>
  <c r="CV577" i="5" s="1"/>
  <c r="BP577" i="5" l="1"/>
  <c r="BH577" i="5"/>
  <c r="CT577" i="5" s="1"/>
  <c r="BJ577" i="5" l="1"/>
  <c r="BI577" i="5" s="1"/>
  <c r="BK577" i="5" l="1"/>
  <c r="CU577" i="5"/>
  <c r="BG578" i="5"/>
  <c r="CV578" i="5" s="1"/>
  <c r="BP578" i="5" l="1"/>
  <c r="BH578" i="5"/>
  <c r="CT578" i="5" s="1"/>
  <c r="CX50" i="5" s="1"/>
  <c r="AE58" i="24" l="1"/>
  <c r="K59" i="24"/>
  <c r="BJ578" i="5"/>
  <c r="BI578" i="5" s="1"/>
  <c r="BK578" i="5" l="1"/>
  <c r="CU578" i="5"/>
  <c r="BG579" i="5"/>
  <c r="CV579" i="5" s="1"/>
  <c r="BP579" i="5" l="1"/>
  <c r="BH579" i="5"/>
  <c r="CT579" i="5" s="1"/>
  <c r="BJ579" i="5" l="1"/>
  <c r="BI579" i="5" s="1"/>
  <c r="BK579" i="5" l="1"/>
  <c r="CU579" i="5"/>
  <c r="BG580" i="5"/>
  <c r="CV580" i="5" s="1"/>
  <c r="BP580" i="5" l="1"/>
  <c r="BH580" i="5"/>
  <c r="CT580" i="5" s="1"/>
  <c r="BJ580" i="5" l="1"/>
  <c r="BI580" i="5" s="1"/>
  <c r="BK580" i="5" l="1"/>
  <c r="CU580" i="5"/>
  <c r="BG581" i="5"/>
  <c r="CV581" i="5" s="1"/>
  <c r="BP581" i="5" l="1"/>
  <c r="BH581" i="5"/>
  <c r="CT581" i="5" s="1"/>
  <c r="BJ581" i="5" l="1"/>
  <c r="BI581" i="5" s="1"/>
  <c r="BK581" i="5" l="1"/>
  <c r="CU581" i="5"/>
  <c r="BG582" i="5"/>
  <c r="CV582" i="5" s="1"/>
  <c r="BP582" i="5" l="1"/>
  <c r="BH582" i="5"/>
  <c r="CT582" i="5" s="1"/>
  <c r="BJ582" i="5" l="1"/>
  <c r="BI582" i="5" s="1"/>
  <c r="BK582" i="5" l="1"/>
  <c r="CU582" i="5"/>
  <c r="BG583" i="5"/>
  <c r="CV583" i="5" s="1"/>
  <c r="BP583" i="5" l="1"/>
  <c r="BH583" i="5"/>
  <c r="CT583" i="5" s="1"/>
  <c r="BJ583" i="5" l="1"/>
  <c r="BI583" i="5" s="1"/>
  <c r="BK583" i="5" l="1"/>
  <c r="CU583" i="5"/>
  <c r="BG584" i="5"/>
  <c r="CV584" i="5" s="1"/>
  <c r="BP584" i="5" l="1"/>
  <c r="BH584" i="5"/>
  <c r="CT584" i="5" s="1"/>
  <c r="BJ584" i="5" l="1"/>
  <c r="BI584" i="5" s="1"/>
  <c r="BK584" i="5" l="1"/>
  <c r="CU584" i="5"/>
  <c r="BG585" i="5"/>
  <c r="CV585" i="5" s="1"/>
  <c r="BP585" i="5" l="1"/>
  <c r="BH585" i="5"/>
  <c r="CT585" i="5" s="1"/>
  <c r="BJ585" i="5" l="1"/>
  <c r="BI585" i="5" s="1"/>
  <c r="BK585" i="5" l="1"/>
  <c r="CU585" i="5"/>
  <c r="BG586" i="5"/>
  <c r="CV586" i="5" s="1"/>
  <c r="BP586" i="5" l="1"/>
  <c r="BH586" i="5"/>
  <c r="CT586" i="5" s="1"/>
  <c r="BJ586" i="5" l="1"/>
  <c r="BI586" i="5" s="1"/>
  <c r="BK586" i="5" l="1"/>
  <c r="CU586" i="5"/>
  <c r="BG587" i="5"/>
  <c r="CV587" i="5" s="1"/>
  <c r="BP587" i="5" l="1"/>
  <c r="BH587" i="5"/>
  <c r="CT587" i="5" s="1"/>
  <c r="BJ587" i="5" l="1"/>
  <c r="BI587" i="5" s="1"/>
  <c r="BK587" i="5" l="1"/>
  <c r="CU587" i="5"/>
  <c r="BG588" i="5"/>
  <c r="CV588" i="5" s="1"/>
  <c r="BP588" i="5" l="1"/>
  <c r="BH588" i="5"/>
  <c r="CT588" i="5" s="1"/>
  <c r="BJ588" i="5" l="1"/>
  <c r="BI588" i="5" s="1"/>
  <c r="BK588" i="5" l="1"/>
  <c r="CU588" i="5"/>
  <c r="BG589" i="5"/>
  <c r="CV589" i="5" s="1"/>
  <c r="BP589" i="5" l="1"/>
  <c r="BH589" i="5"/>
  <c r="CT589" i="5" s="1"/>
  <c r="BJ589" i="5" l="1"/>
  <c r="BI589" i="5" s="1"/>
  <c r="BK589" i="5" l="1"/>
  <c r="CU589" i="5"/>
  <c r="BG590" i="5"/>
  <c r="CV590" i="5" s="1"/>
  <c r="BP590" i="5" l="1"/>
  <c r="BH590" i="5"/>
  <c r="CT590" i="5" s="1"/>
  <c r="CX51" i="5" s="1"/>
  <c r="AE59" i="24" l="1"/>
  <c r="K60" i="24"/>
  <c r="BJ590" i="5"/>
  <c r="BI590" i="5" s="1"/>
  <c r="BK590" i="5" l="1"/>
  <c r="CU590" i="5"/>
  <c r="BG591" i="5"/>
  <c r="CV591" i="5" s="1"/>
  <c r="BP591" i="5" l="1"/>
  <c r="BH591" i="5"/>
  <c r="CT591" i="5" s="1"/>
  <c r="BJ591" i="5" l="1"/>
  <c r="BI591" i="5" s="1"/>
  <c r="BK591" i="5" l="1"/>
  <c r="CU591" i="5"/>
  <c r="BG592" i="5"/>
  <c r="CV592" i="5" s="1"/>
  <c r="BP592" i="5" l="1"/>
  <c r="BH592" i="5"/>
  <c r="CT592" i="5" s="1"/>
  <c r="BJ592" i="5" l="1"/>
  <c r="BI592" i="5" s="1"/>
  <c r="BK592" i="5" l="1"/>
  <c r="CU592" i="5"/>
  <c r="BG593" i="5"/>
  <c r="CV593" i="5" s="1"/>
  <c r="BP593" i="5" l="1"/>
  <c r="BH593" i="5"/>
  <c r="CT593" i="5" s="1"/>
  <c r="BJ593" i="5" l="1"/>
  <c r="BI593" i="5" s="1"/>
  <c r="BK593" i="5" l="1"/>
  <c r="CU593" i="5"/>
  <c r="BG594" i="5"/>
  <c r="CV594" i="5" s="1"/>
  <c r="BP594" i="5" l="1"/>
  <c r="BH594" i="5"/>
  <c r="CT594" i="5" s="1"/>
  <c r="BJ594" i="5" l="1"/>
  <c r="BI594" i="5" s="1"/>
  <c r="BK594" i="5" l="1"/>
  <c r="CU594" i="5"/>
  <c r="BG595" i="5"/>
  <c r="CV595" i="5" s="1"/>
  <c r="BP595" i="5" l="1"/>
  <c r="BH595" i="5"/>
  <c r="CT595" i="5" s="1"/>
  <c r="BJ595" i="5" l="1"/>
  <c r="BI595" i="5" s="1"/>
  <c r="BK595" i="5" l="1"/>
  <c r="CU595" i="5"/>
  <c r="BG596" i="5"/>
  <c r="CV596" i="5" s="1"/>
  <c r="BP596" i="5" l="1"/>
  <c r="BH596" i="5"/>
  <c r="CT596" i="5" s="1"/>
  <c r="BJ596" i="5" l="1"/>
  <c r="BI596" i="5" s="1"/>
  <c r="BK596" i="5" l="1"/>
  <c r="CU596" i="5"/>
  <c r="BG597" i="5"/>
  <c r="CV597" i="5" s="1"/>
  <c r="BP597" i="5" l="1"/>
  <c r="BH597" i="5"/>
  <c r="CT597" i="5" s="1"/>
  <c r="BJ597" i="5" l="1"/>
  <c r="BI597" i="5" s="1"/>
  <c r="BK597" i="5" l="1"/>
  <c r="CU597" i="5"/>
  <c r="BG598" i="5"/>
  <c r="CV598" i="5" s="1"/>
  <c r="BP598" i="5" l="1"/>
  <c r="BH598" i="5"/>
  <c r="CT598" i="5" s="1"/>
  <c r="BJ598" i="5" l="1"/>
  <c r="BI598" i="5" s="1"/>
  <c r="BK598" i="5" l="1"/>
  <c r="CU598" i="5"/>
  <c r="BG599" i="5"/>
  <c r="CV599" i="5" s="1"/>
  <c r="BP599" i="5" l="1"/>
  <c r="BH599" i="5"/>
  <c r="CT599" i="5" s="1"/>
  <c r="BJ599" i="5" l="1"/>
  <c r="BI599" i="5" s="1"/>
  <c r="BK599" i="5" l="1"/>
  <c r="CU599" i="5"/>
  <c r="BG600" i="5"/>
  <c r="CV600" i="5" s="1"/>
  <c r="BP600" i="5" l="1"/>
  <c r="BH600" i="5"/>
  <c r="CT600" i="5" s="1"/>
  <c r="BJ600" i="5" l="1"/>
  <c r="BI600" i="5" s="1"/>
  <c r="BK600" i="5" l="1"/>
  <c r="CU600" i="5"/>
  <c r="BG601" i="5"/>
  <c r="CV601" i="5" s="1"/>
  <c r="BP601" i="5" l="1"/>
  <c r="BH601" i="5"/>
  <c r="CT601" i="5" s="1"/>
  <c r="BJ601" i="5" l="1"/>
  <c r="BI601" i="5" s="1"/>
  <c r="BK601" i="5" l="1"/>
  <c r="CU601" i="5"/>
  <c r="BG602" i="5"/>
  <c r="CV602" i="5" s="1"/>
  <c r="BP602" i="5" l="1"/>
  <c r="BH602" i="5"/>
  <c r="CT602" i="5" s="1"/>
  <c r="CX52" i="5" s="1"/>
  <c r="AE60" i="24" l="1"/>
  <c r="K61" i="24"/>
  <c r="BJ602" i="5"/>
  <c r="BI602" i="5" s="1"/>
  <c r="BK602" i="5" l="1"/>
  <c r="CU602" i="5"/>
  <c r="BG603" i="5"/>
  <c r="CV603" i="5" s="1"/>
  <c r="BP603" i="5" l="1"/>
  <c r="BH603" i="5"/>
  <c r="CT603" i="5" s="1"/>
  <c r="BJ603" i="5" l="1"/>
  <c r="BI603" i="5" s="1"/>
  <c r="BK603" i="5" l="1"/>
  <c r="CU603" i="5"/>
  <c r="BG604" i="5"/>
  <c r="CV604" i="5" s="1"/>
  <c r="BP604" i="5" l="1"/>
  <c r="BH604" i="5"/>
  <c r="CT604" i="5" s="1"/>
  <c r="BJ604" i="5" l="1"/>
  <c r="BI604" i="5" s="1"/>
  <c r="BK604" i="5" l="1"/>
  <c r="CU604" i="5"/>
  <c r="BG605" i="5"/>
  <c r="CV605" i="5" s="1"/>
  <c r="BP605" i="5" l="1"/>
  <c r="BH605" i="5"/>
  <c r="CT605" i="5" s="1"/>
  <c r="BJ605" i="5" l="1"/>
  <c r="BI605" i="5" s="1"/>
  <c r="BK605" i="5" l="1"/>
  <c r="CU605" i="5"/>
  <c r="BG606" i="5"/>
  <c r="CV606" i="5" s="1"/>
  <c r="BP606" i="5" l="1"/>
  <c r="BH606" i="5"/>
  <c r="CT606" i="5" s="1"/>
  <c r="BJ606" i="5" l="1"/>
  <c r="BI606" i="5" s="1"/>
  <c r="BK606" i="5" l="1"/>
  <c r="CU606" i="5"/>
  <c r="BG607" i="5"/>
  <c r="CV607" i="5" s="1"/>
  <c r="BP607" i="5" l="1"/>
  <c r="BH607" i="5"/>
  <c r="CT607" i="5" s="1"/>
  <c r="BJ607" i="5" l="1"/>
  <c r="BI607" i="5" s="1"/>
  <c r="BK607" i="5" l="1"/>
  <c r="CU607" i="5"/>
  <c r="BG608" i="5"/>
  <c r="CV608" i="5" s="1"/>
  <c r="BP608" i="5" l="1"/>
  <c r="BH608" i="5"/>
  <c r="CT608" i="5" s="1"/>
  <c r="BJ608" i="5" l="1"/>
  <c r="BI608" i="5" s="1"/>
  <c r="BK608" i="5" l="1"/>
  <c r="CU608" i="5"/>
  <c r="BG609" i="5"/>
  <c r="CV609" i="5" s="1"/>
  <c r="BP609" i="5" l="1"/>
  <c r="BH609" i="5"/>
  <c r="CT609" i="5" s="1"/>
  <c r="BJ609" i="5" l="1"/>
  <c r="BI609" i="5" s="1"/>
  <c r="BK609" i="5" l="1"/>
  <c r="CU609" i="5"/>
  <c r="BG610" i="5"/>
  <c r="CV610" i="5" s="1"/>
  <c r="BP610" i="5" l="1"/>
  <c r="BH610" i="5"/>
  <c r="CT610" i="5" s="1"/>
  <c r="BJ610" i="5" l="1"/>
  <c r="BI610" i="5" s="1"/>
  <c r="BK610" i="5" l="1"/>
  <c r="CU610" i="5"/>
  <c r="BG611" i="5"/>
  <c r="CV611" i="5" s="1"/>
  <c r="BP611" i="5" l="1"/>
  <c r="BH611" i="5"/>
  <c r="CT611" i="5" s="1"/>
  <c r="BJ611" i="5" l="1"/>
  <c r="BI611" i="5" s="1"/>
  <c r="BK611" i="5" l="1"/>
  <c r="CU611" i="5"/>
  <c r="BG612" i="5"/>
  <c r="CV612" i="5" s="1"/>
  <c r="BP612" i="5" l="1"/>
  <c r="BH612" i="5"/>
  <c r="CT612" i="5" s="1"/>
  <c r="BJ612" i="5" l="1"/>
  <c r="BI612" i="5" s="1"/>
  <c r="BK612" i="5" l="1"/>
  <c r="CU612" i="5"/>
  <c r="BG613" i="5"/>
  <c r="CV613" i="5" s="1"/>
  <c r="BP613" i="5" l="1"/>
  <c r="BH613" i="5"/>
  <c r="CT613" i="5" s="1"/>
  <c r="BJ613" i="5" l="1"/>
  <c r="BI613" i="5" s="1"/>
  <c r="BK613" i="5" l="1"/>
  <c r="CU613" i="5"/>
  <c r="BG614" i="5"/>
  <c r="CV614" i="5" s="1"/>
  <c r="BP614" i="5" l="1"/>
  <c r="BH614" i="5"/>
  <c r="CT614" i="5" s="1"/>
  <c r="CX53" i="5" s="1"/>
  <c r="AE61" i="24" l="1"/>
  <c r="K62" i="24"/>
  <c r="BJ614" i="5"/>
  <c r="BI614" i="5" s="1"/>
  <c r="BK614" i="5" l="1"/>
  <c r="CU614" i="5"/>
  <c r="BG615" i="5"/>
  <c r="CV615" i="5" s="1"/>
  <c r="BP615" i="5" l="1"/>
  <c r="BH615" i="5"/>
  <c r="CT615" i="5" s="1"/>
  <c r="BJ615" i="5" l="1"/>
  <c r="BI615" i="5" s="1"/>
  <c r="BK615" i="5" l="1"/>
  <c r="CU615" i="5"/>
  <c r="BG616" i="5"/>
  <c r="CV616" i="5" s="1"/>
  <c r="BP616" i="5" l="1"/>
  <c r="BH616" i="5"/>
  <c r="CT616" i="5" s="1"/>
  <c r="BJ616" i="5" l="1"/>
  <c r="BI616" i="5" s="1"/>
  <c r="BK616" i="5" l="1"/>
  <c r="CU616" i="5"/>
  <c r="BG617" i="5"/>
  <c r="CV617" i="5" s="1"/>
  <c r="BP617" i="5" l="1"/>
  <c r="BH617" i="5"/>
  <c r="CT617" i="5" s="1"/>
  <c r="BJ617" i="5" l="1"/>
  <c r="BI617" i="5" s="1"/>
  <c r="BK617" i="5" l="1"/>
  <c r="CU617" i="5"/>
  <c r="BG618" i="5"/>
  <c r="CV618" i="5" s="1"/>
  <c r="BP618" i="5" l="1"/>
  <c r="BH618" i="5"/>
  <c r="CT618" i="5" s="1"/>
  <c r="BJ618" i="5" l="1"/>
  <c r="BI618" i="5" s="1"/>
  <c r="BK618" i="5" l="1"/>
  <c r="CU618" i="5"/>
  <c r="BG619" i="5"/>
  <c r="CV619" i="5" s="1"/>
  <c r="BP619" i="5" l="1"/>
  <c r="BH619" i="5"/>
  <c r="CT619" i="5" s="1"/>
  <c r="BJ619" i="5" l="1"/>
  <c r="BI619" i="5" s="1"/>
  <c r="BK619" i="5" l="1"/>
  <c r="CU619" i="5"/>
  <c r="BG620" i="5"/>
  <c r="CV620" i="5" s="1"/>
  <c r="BP620" i="5" l="1"/>
  <c r="BH620" i="5"/>
  <c r="CT620" i="5" s="1"/>
  <c r="BJ620" i="5" l="1"/>
  <c r="BI620" i="5" s="1"/>
  <c r="BK620" i="5" l="1"/>
  <c r="CU620" i="5"/>
  <c r="BG621" i="5"/>
  <c r="CV621" i="5" s="1"/>
  <c r="BP621" i="5" l="1"/>
  <c r="BH621" i="5"/>
  <c r="CT621" i="5" s="1"/>
  <c r="BJ621" i="5" l="1"/>
  <c r="BI621" i="5" s="1"/>
  <c r="BK621" i="5" l="1"/>
  <c r="CU621" i="5"/>
  <c r="BG622" i="5"/>
  <c r="CV622" i="5" s="1"/>
  <c r="BP622" i="5" l="1"/>
  <c r="BH622" i="5"/>
  <c r="CT622" i="5" s="1"/>
  <c r="BJ622" i="5" l="1"/>
  <c r="BI622" i="5" s="1"/>
  <c r="BK622" i="5" l="1"/>
  <c r="CU622" i="5"/>
  <c r="BG623" i="5"/>
  <c r="CV623" i="5" s="1"/>
  <c r="BP623" i="5" l="1"/>
  <c r="BH623" i="5"/>
  <c r="CT623" i="5" s="1"/>
  <c r="BJ623" i="5" l="1"/>
  <c r="BI623" i="5" s="1"/>
  <c r="BK623" i="5" l="1"/>
  <c r="CU623" i="5"/>
  <c r="BG624" i="5"/>
  <c r="CV624" i="5" s="1"/>
  <c r="BP624" i="5" l="1"/>
  <c r="BH624" i="5"/>
  <c r="CT624" i="5" s="1"/>
  <c r="BJ624" i="5" l="1"/>
  <c r="BI624" i="5" s="1"/>
  <c r="BK624" i="5" l="1"/>
  <c r="CU624" i="5"/>
  <c r="BG625" i="5"/>
  <c r="CV625" i="5" s="1"/>
  <c r="BP625" i="5" l="1"/>
  <c r="BH625" i="5"/>
  <c r="CT625" i="5" s="1"/>
  <c r="BJ625" i="5" l="1"/>
  <c r="BI625" i="5" s="1"/>
  <c r="BK625" i="5" l="1"/>
  <c r="CU625" i="5"/>
  <c r="BG626" i="5"/>
  <c r="CV626" i="5" s="1"/>
  <c r="BP626" i="5" l="1"/>
  <c r="BH626" i="5"/>
  <c r="CT626" i="5" s="1"/>
  <c r="CX54" i="5" s="1"/>
  <c r="AE62" i="24" l="1"/>
  <c r="K63" i="24"/>
  <c r="BJ626" i="5"/>
  <c r="BI626" i="5" s="1"/>
  <c r="BK626" i="5" l="1"/>
  <c r="CU626" i="5"/>
  <c r="BG627" i="5"/>
  <c r="CV627" i="5" s="1"/>
  <c r="BP627" i="5" l="1"/>
  <c r="BH627" i="5"/>
  <c r="CT627" i="5" s="1"/>
  <c r="BJ627" i="5" l="1"/>
  <c r="BI627" i="5" s="1"/>
  <c r="BK627" i="5" l="1"/>
  <c r="CU627" i="5"/>
  <c r="BG628" i="5"/>
  <c r="CV628" i="5" s="1"/>
  <c r="BP628" i="5" l="1"/>
  <c r="BH628" i="5"/>
  <c r="CT628" i="5" s="1"/>
  <c r="BJ628" i="5" l="1"/>
  <c r="BI628" i="5" s="1"/>
  <c r="BK628" i="5" l="1"/>
  <c r="CU628" i="5"/>
  <c r="BG629" i="5"/>
  <c r="CV629" i="5" s="1"/>
  <c r="BP629" i="5" l="1"/>
  <c r="BH629" i="5"/>
  <c r="CT629" i="5" s="1"/>
  <c r="BJ629" i="5" l="1"/>
  <c r="BI629" i="5" s="1"/>
  <c r="BK629" i="5" l="1"/>
  <c r="CU629" i="5"/>
  <c r="BG630" i="5"/>
  <c r="CV630" i="5" s="1"/>
  <c r="BP630" i="5" l="1"/>
  <c r="BH630" i="5"/>
  <c r="CT630" i="5" s="1"/>
  <c r="BJ630" i="5" l="1"/>
  <c r="BI630" i="5" s="1"/>
  <c r="BK630" i="5" l="1"/>
  <c r="CU630" i="5"/>
  <c r="BG631" i="5"/>
  <c r="CV631" i="5" s="1"/>
  <c r="BP631" i="5" l="1"/>
  <c r="BH631" i="5"/>
  <c r="CT631" i="5" s="1"/>
  <c r="BJ631" i="5" l="1"/>
  <c r="BI631" i="5" s="1"/>
  <c r="BK631" i="5" l="1"/>
  <c r="CU631" i="5"/>
  <c r="BG632" i="5"/>
  <c r="CV632" i="5" s="1"/>
  <c r="BP632" i="5" l="1"/>
  <c r="BH632" i="5"/>
  <c r="CT632" i="5" s="1"/>
  <c r="BJ632" i="5" l="1"/>
  <c r="BI632" i="5" s="1"/>
  <c r="BK632" i="5" l="1"/>
  <c r="CU632" i="5"/>
  <c r="BG633" i="5"/>
  <c r="CV633" i="5" s="1"/>
  <c r="BP633" i="5" l="1"/>
  <c r="BH633" i="5"/>
  <c r="CT633" i="5" s="1"/>
  <c r="BJ633" i="5" l="1"/>
  <c r="BI633" i="5" s="1"/>
  <c r="BK633" i="5" l="1"/>
  <c r="CU633" i="5"/>
  <c r="BG634" i="5"/>
  <c r="CV634" i="5" s="1"/>
  <c r="BP634" i="5" l="1"/>
  <c r="BH634" i="5"/>
  <c r="CT634" i="5" s="1"/>
  <c r="BJ634" i="5" l="1"/>
  <c r="BI634" i="5" s="1"/>
  <c r="BK634" i="5" l="1"/>
  <c r="CU634" i="5"/>
  <c r="BG635" i="5"/>
  <c r="CV635" i="5" s="1"/>
  <c r="BP635" i="5" l="1"/>
  <c r="BH635" i="5"/>
  <c r="CT635" i="5" s="1"/>
  <c r="BJ635" i="5" l="1"/>
  <c r="BI635" i="5" s="1"/>
  <c r="BK635" i="5" l="1"/>
  <c r="CU635" i="5"/>
  <c r="BG636" i="5"/>
  <c r="CV636" i="5" s="1"/>
  <c r="BP636" i="5" l="1"/>
  <c r="BH636" i="5"/>
  <c r="CT636" i="5" s="1"/>
  <c r="BJ636" i="5" l="1"/>
  <c r="BI636" i="5" s="1"/>
  <c r="BK636" i="5" l="1"/>
  <c r="CU636" i="5"/>
  <c r="BG637" i="5"/>
  <c r="CV637" i="5" s="1"/>
  <c r="BP637" i="5" l="1"/>
  <c r="BH637" i="5"/>
  <c r="CT637" i="5" s="1"/>
  <c r="BJ637" i="5" l="1"/>
  <c r="BI637" i="5" s="1"/>
  <c r="BK637" i="5" l="1"/>
  <c r="CU637" i="5"/>
  <c r="BG638" i="5"/>
  <c r="CV638" i="5" s="1"/>
  <c r="BP638" i="5" l="1"/>
  <c r="BH638" i="5"/>
  <c r="CT638" i="5" s="1"/>
  <c r="CX55" i="5" s="1"/>
  <c r="AE63" i="24" l="1"/>
  <c r="K64" i="24"/>
  <c r="BJ638" i="5"/>
  <c r="BI638" i="5" s="1"/>
  <c r="BK638" i="5" l="1"/>
  <c r="CU638" i="5"/>
  <c r="BG639" i="5"/>
  <c r="CV639" i="5" s="1"/>
  <c r="BP639" i="5" l="1"/>
  <c r="BH639" i="5"/>
  <c r="CT639" i="5" s="1"/>
  <c r="BJ639" i="5" l="1"/>
  <c r="BI639" i="5" s="1"/>
  <c r="BK639" i="5" l="1"/>
  <c r="CU639" i="5"/>
  <c r="BG640" i="5"/>
  <c r="CV640" i="5" s="1"/>
  <c r="BP640" i="5" l="1"/>
  <c r="BH640" i="5"/>
  <c r="CT640" i="5" s="1"/>
  <c r="BJ640" i="5" l="1"/>
  <c r="BI640" i="5" s="1"/>
  <c r="BK640" i="5" l="1"/>
  <c r="CU640" i="5"/>
  <c r="BG641" i="5"/>
  <c r="CV641" i="5" s="1"/>
  <c r="BP641" i="5" l="1"/>
  <c r="BH641" i="5"/>
  <c r="CT641" i="5" s="1"/>
  <c r="BJ641" i="5" l="1"/>
  <c r="BI641" i="5" s="1"/>
  <c r="BK641" i="5" l="1"/>
  <c r="CU641" i="5"/>
  <c r="BG642" i="5"/>
  <c r="CV642" i="5" s="1"/>
  <c r="BP642" i="5" l="1"/>
  <c r="BH642" i="5"/>
  <c r="CT642" i="5" s="1"/>
  <c r="BJ642" i="5" l="1"/>
  <c r="BI642" i="5" s="1"/>
  <c r="BK642" i="5" l="1"/>
  <c r="CU642" i="5"/>
  <c r="BG643" i="5"/>
  <c r="CV643" i="5" s="1"/>
  <c r="BP643" i="5" l="1"/>
  <c r="BH643" i="5"/>
  <c r="CT643" i="5" s="1"/>
  <c r="BJ643" i="5" l="1"/>
  <c r="BI643" i="5" s="1"/>
  <c r="BK643" i="5" l="1"/>
  <c r="CU643" i="5"/>
  <c r="BG644" i="5"/>
  <c r="CV644" i="5" s="1"/>
  <c r="BP644" i="5" l="1"/>
  <c r="BH644" i="5"/>
  <c r="CT644" i="5" s="1"/>
  <c r="BJ644" i="5" l="1"/>
  <c r="BI644" i="5" s="1"/>
  <c r="BK644" i="5" l="1"/>
  <c r="CU644" i="5"/>
  <c r="BG645" i="5"/>
  <c r="CV645" i="5" s="1"/>
  <c r="BP645" i="5" l="1"/>
  <c r="BH645" i="5"/>
  <c r="CT645" i="5" s="1"/>
  <c r="BJ645" i="5" l="1"/>
  <c r="BI645" i="5" s="1"/>
  <c r="BK645" i="5" l="1"/>
  <c r="CU645" i="5"/>
  <c r="BG646" i="5"/>
  <c r="CV646" i="5" s="1"/>
  <c r="BP646" i="5" l="1"/>
  <c r="BH646" i="5"/>
  <c r="CT646" i="5" s="1"/>
  <c r="BJ646" i="5" l="1"/>
  <c r="BI646" i="5" s="1"/>
  <c r="BK646" i="5" l="1"/>
  <c r="CU646" i="5"/>
  <c r="BG647" i="5"/>
  <c r="CV647" i="5" s="1"/>
  <c r="BP647" i="5" l="1"/>
  <c r="BH647" i="5"/>
  <c r="CT647" i="5" s="1"/>
  <c r="BJ647" i="5" l="1"/>
  <c r="BI647" i="5" s="1"/>
  <c r="BK647" i="5" l="1"/>
  <c r="CU647" i="5"/>
  <c r="BG648" i="5"/>
  <c r="CV648" i="5" s="1"/>
  <c r="BP648" i="5" l="1"/>
  <c r="BH648" i="5"/>
  <c r="CT648" i="5" s="1"/>
  <c r="BJ648" i="5" l="1"/>
  <c r="BI648" i="5" s="1"/>
  <c r="BK648" i="5" l="1"/>
  <c r="CU648" i="5"/>
  <c r="BG649" i="5"/>
  <c r="CV649" i="5" s="1"/>
  <c r="BP649" i="5" l="1"/>
  <c r="BH649" i="5"/>
  <c r="CT649" i="5" s="1"/>
  <c r="BJ649" i="5" l="1"/>
  <c r="BI649" i="5" s="1"/>
  <c r="BK649" i="5" l="1"/>
  <c r="CU649" i="5"/>
  <c r="BG650" i="5"/>
  <c r="CV650" i="5" s="1"/>
  <c r="BP650" i="5" l="1"/>
  <c r="BH650" i="5"/>
  <c r="CT650" i="5" s="1"/>
  <c r="CX56" i="5" s="1"/>
  <c r="AE64" i="24" l="1"/>
  <c r="K65" i="24"/>
  <c r="BJ650" i="5"/>
  <c r="BI650" i="5" s="1"/>
  <c r="BK650" i="5" l="1"/>
  <c r="CU650" i="5"/>
  <c r="BG651" i="5"/>
  <c r="CV651" i="5" s="1"/>
  <c r="BP651" i="5" l="1"/>
  <c r="BH651" i="5"/>
  <c r="CT651" i="5" s="1"/>
  <c r="BJ651" i="5" l="1"/>
  <c r="BI651" i="5" s="1"/>
  <c r="BK651" i="5" l="1"/>
  <c r="CU651" i="5"/>
  <c r="BG652" i="5"/>
  <c r="CV652" i="5" s="1"/>
  <c r="BP652" i="5" l="1"/>
  <c r="BH652" i="5"/>
  <c r="CT652" i="5" s="1"/>
  <c r="BJ652" i="5" l="1"/>
  <c r="BI652" i="5" s="1"/>
  <c r="BK652" i="5" l="1"/>
  <c r="CU652" i="5"/>
  <c r="BG653" i="5"/>
  <c r="CV653" i="5" s="1"/>
  <c r="BP653" i="5" l="1"/>
  <c r="BH653" i="5"/>
  <c r="CT653" i="5" s="1"/>
  <c r="BJ653" i="5" l="1"/>
  <c r="BI653" i="5" s="1"/>
  <c r="BK653" i="5" l="1"/>
  <c r="CU653" i="5"/>
  <c r="BG654" i="5"/>
  <c r="CV654" i="5" s="1"/>
  <c r="BP654" i="5" l="1"/>
  <c r="BH654" i="5"/>
  <c r="CT654" i="5" s="1"/>
  <c r="BJ654" i="5" l="1"/>
  <c r="BI654" i="5" s="1"/>
  <c r="BK654" i="5" l="1"/>
  <c r="CU654" i="5"/>
  <c r="BG655" i="5"/>
  <c r="CV655" i="5" s="1"/>
  <c r="BP655" i="5" l="1"/>
  <c r="BH655" i="5"/>
  <c r="CT655" i="5" s="1"/>
  <c r="BJ655" i="5" l="1"/>
  <c r="BI655" i="5" s="1"/>
  <c r="BK655" i="5" l="1"/>
  <c r="CU655" i="5"/>
  <c r="BG656" i="5"/>
  <c r="CV656" i="5" s="1"/>
  <c r="BP656" i="5" l="1"/>
  <c r="BH656" i="5"/>
  <c r="CT656" i="5" s="1"/>
  <c r="BJ656" i="5" l="1"/>
  <c r="BI656" i="5" s="1"/>
  <c r="BK656" i="5" l="1"/>
  <c r="CU656" i="5"/>
  <c r="BG657" i="5"/>
  <c r="CV657" i="5" s="1"/>
  <c r="BP657" i="5" l="1"/>
  <c r="BH657" i="5"/>
  <c r="CT657" i="5" s="1"/>
  <c r="BJ657" i="5" l="1"/>
  <c r="BI657" i="5" s="1"/>
  <c r="BK657" i="5" l="1"/>
  <c r="CU657" i="5"/>
  <c r="BG658" i="5"/>
  <c r="CV658" i="5" s="1"/>
  <c r="BP658" i="5" l="1"/>
  <c r="BH658" i="5"/>
  <c r="CT658" i="5" s="1"/>
  <c r="BJ658" i="5" l="1"/>
  <c r="BI658" i="5" s="1"/>
  <c r="BK658" i="5" l="1"/>
  <c r="CU658" i="5"/>
  <c r="BG659" i="5"/>
  <c r="CV659" i="5" s="1"/>
  <c r="BP659" i="5" l="1"/>
  <c r="BH659" i="5"/>
  <c r="CT659" i="5" s="1"/>
  <c r="BJ659" i="5" l="1"/>
  <c r="BI659" i="5" s="1"/>
  <c r="BK659" i="5" l="1"/>
  <c r="CU659" i="5"/>
  <c r="BG660" i="5"/>
  <c r="CV660" i="5" s="1"/>
  <c r="BP660" i="5" l="1"/>
  <c r="BH660" i="5"/>
  <c r="CT660" i="5" s="1"/>
  <c r="BJ660" i="5" l="1"/>
  <c r="BI660" i="5" s="1"/>
  <c r="BK660" i="5" l="1"/>
  <c r="CU660" i="5"/>
  <c r="BG661" i="5"/>
  <c r="CV661" i="5" s="1"/>
  <c r="BP661" i="5" l="1"/>
  <c r="BH661" i="5"/>
  <c r="CT661" i="5" s="1"/>
  <c r="BJ661" i="5" l="1"/>
  <c r="BI661" i="5" s="1"/>
  <c r="BK661" i="5" l="1"/>
  <c r="CU661" i="5"/>
  <c r="BG662" i="5"/>
  <c r="CV662" i="5" s="1"/>
  <c r="BP662" i="5" l="1"/>
  <c r="BH662" i="5"/>
  <c r="CT662" i="5" s="1"/>
  <c r="CX57" i="5" s="1"/>
  <c r="AE65" i="24" l="1"/>
  <c r="K66" i="24"/>
  <c r="BJ662" i="5"/>
  <c r="BI662" i="5" s="1"/>
  <c r="BK662" i="5" l="1"/>
  <c r="CU662" i="5"/>
  <c r="BG663" i="5"/>
  <c r="CV663" i="5" s="1"/>
  <c r="BP663" i="5" l="1"/>
  <c r="BH663" i="5"/>
  <c r="CT663" i="5" s="1"/>
  <c r="BJ663" i="5" l="1"/>
  <c r="BI663" i="5" s="1"/>
  <c r="BK663" i="5" l="1"/>
  <c r="CU663" i="5"/>
  <c r="BG664" i="5"/>
  <c r="CV664" i="5" s="1"/>
  <c r="BP664" i="5" l="1"/>
  <c r="BH664" i="5"/>
  <c r="CT664" i="5" s="1"/>
  <c r="BJ664" i="5" l="1"/>
  <c r="BI664" i="5" s="1"/>
  <c r="BK664" i="5" l="1"/>
  <c r="CU664" i="5"/>
  <c r="BG665" i="5"/>
  <c r="CV665" i="5" s="1"/>
  <c r="BP665" i="5" l="1"/>
  <c r="BH665" i="5"/>
  <c r="CT665" i="5" s="1"/>
  <c r="BJ665" i="5" l="1"/>
  <c r="BI665" i="5" s="1"/>
  <c r="BK665" i="5" l="1"/>
  <c r="CU665" i="5"/>
  <c r="BG666" i="5"/>
  <c r="CV666" i="5" s="1"/>
  <c r="BP666" i="5" l="1"/>
  <c r="BH666" i="5"/>
  <c r="CT666" i="5" s="1"/>
  <c r="BJ666" i="5" l="1"/>
  <c r="BI666" i="5" s="1"/>
  <c r="BK666" i="5" l="1"/>
  <c r="CU666" i="5"/>
  <c r="BG667" i="5"/>
  <c r="CV667" i="5" s="1"/>
  <c r="BP667" i="5" l="1"/>
  <c r="BH667" i="5"/>
  <c r="CT667" i="5" s="1"/>
  <c r="BJ667" i="5" l="1"/>
  <c r="BI667" i="5" s="1"/>
  <c r="BK667" i="5" l="1"/>
  <c r="CU667" i="5"/>
  <c r="BG668" i="5"/>
  <c r="CV668" i="5" s="1"/>
  <c r="BP668" i="5" l="1"/>
  <c r="BH668" i="5"/>
  <c r="CT668" i="5" s="1"/>
  <c r="BJ668" i="5" l="1"/>
  <c r="BI668" i="5" s="1"/>
  <c r="BK668" i="5" l="1"/>
  <c r="CU668" i="5"/>
  <c r="BG669" i="5"/>
  <c r="CV669" i="5" s="1"/>
  <c r="BP669" i="5" l="1"/>
  <c r="BH669" i="5"/>
  <c r="CT669" i="5" s="1"/>
  <c r="BJ669" i="5" l="1"/>
  <c r="BI669" i="5" s="1"/>
  <c r="BK669" i="5" l="1"/>
  <c r="CU669" i="5"/>
  <c r="BG670" i="5"/>
  <c r="CV670" i="5" s="1"/>
  <c r="BP670" i="5" l="1"/>
  <c r="BH670" i="5"/>
  <c r="CT670" i="5" s="1"/>
  <c r="BJ670" i="5" l="1"/>
  <c r="BI670" i="5" s="1"/>
  <c r="BK670" i="5" l="1"/>
  <c r="CU670" i="5"/>
  <c r="BG671" i="5"/>
  <c r="CV671" i="5" s="1"/>
  <c r="BP671" i="5" l="1"/>
  <c r="BH671" i="5"/>
  <c r="CT671" i="5" s="1"/>
  <c r="BJ671" i="5" l="1"/>
  <c r="BI671" i="5" s="1"/>
  <c r="BK671" i="5" l="1"/>
  <c r="CU671" i="5"/>
  <c r="BG672" i="5"/>
  <c r="CV672" i="5" s="1"/>
  <c r="BP672" i="5" l="1"/>
  <c r="BH672" i="5"/>
  <c r="CT672" i="5" s="1"/>
  <c r="BJ672" i="5" l="1"/>
  <c r="BI672" i="5" s="1"/>
  <c r="BK672" i="5" l="1"/>
  <c r="CU672" i="5"/>
  <c r="BG673" i="5"/>
  <c r="CV673" i="5" s="1"/>
  <c r="BP673" i="5" l="1"/>
  <c r="BH673" i="5"/>
  <c r="CT673" i="5" s="1"/>
  <c r="BJ673" i="5" l="1"/>
  <c r="BI673" i="5" s="1"/>
  <c r="BK673" i="5" l="1"/>
  <c r="CU673" i="5"/>
  <c r="BG674" i="5"/>
  <c r="CV674" i="5" s="1"/>
  <c r="C52" i="33" l="1"/>
  <c r="L52" i="33"/>
  <c r="F52" i="33"/>
  <c r="J52" i="33"/>
  <c r="V52" i="33"/>
  <c r="H52" i="33"/>
  <c r="Q52" i="33"/>
  <c r="X52" i="33"/>
  <c r="K52" i="33"/>
  <c r="D52" i="33"/>
  <c r="P52" i="33"/>
  <c r="T52" i="33"/>
  <c r="U52" i="33"/>
  <c r="Y52" i="33"/>
  <c r="W52" i="33"/>
  <c r="E52" i="33"/>
  <c r="I52" i="33"/>
  <c r="R52" i="33"/>
  <c r="N52" i="33"/>
  <c r="G52" i="33"/>
  <c r="M52" i="33"/>
  <c r="S52" i="33"/>
  <c r="O52" i="33"/>
  <c r="Z52" i="33"/>
  <c r="AA52" i="33"/>
  <c r="BP674" i="5"/>
  <c r="BQ2" i="5" s="1" a="1"/>
  <c r="BQ2" i="5" s="1"/>
  <c r="BH674" i="5"/>
  <c r="CT674" i="5" s="1"/>
  <c r="CX58" i="5" s="1"/>
  <c r="AE66" i="24" l="1"/>
  <c r="K67" i="24"/>
  <c r="AE67" i="24" s="1"/>
  <c r="W67" i="33"/>
  <c r="W69" i="33" s="1"/>
  <c r="J24" i="19" s="1"/>
  <c r="W54" i="33"/>
  <c r="D24" i="19" s="1"/>
  <c r="H24" i="19" s="1"/>
  <c r="S24" i="19" s="1"/>
  <c r="F67" i="33"/>
  <c r="F69" i="33" s="1"/>
  <c r="J7" i="19" s="1"/>
  <c r="F54" i="33"/>
  <c r="D7" i="19" s="1"/>
  <c r="H7" i="19" s="1"/>
  <c r="S7" i="19" s="1"/>
  <c r="Y67" i="33"/>
  <c r="Y69" i="33" s="1"/>
  <c r="J26" i="19" s="1"/>
  <c r="Y54" i="33"/>
  <c r="D26" i="19" s="1"/>
  <c r="H26" i="19" s="1"/>
  <c r="S26" i="19" s="1"/>
  <c r="L54" i="33"/>
  <c r="D13" i="19" s="1"/>
  <c r="H13" i="19" s="1"/>
  <c r="S13" i="19" s="1"/>
  <c r="L67" i="33"/>
  <c r="L69" i="33" s="1"/>
  <c r="J13" i="19" s="1"/>
  <c r="AA67" i="33"/>
  <c r="AA69" i="33" s="1"/>
  <c r="J28" i="19" s="1"/>
  <c r="AA54" i="33"/>
  <c r="D28" i="19" s="1"/>
  <c r="H28" i="19" s="1"/>
  <c r="S28" i="19" s="1"/>
  <c r="U67" i="33"/>
  <c r="U69" i="33" s="1"/>
  <c r="J22" i="19" s="1"/>
  <c r="U54" i="33"/>
  <c r="D22" i="19" s="1"/>
  <c r="H22" i="19" s="1"/>
  <c r="S22" i="19" s="1"/>
  <c r="C67" i="33"/>
  <c r="C69" i="33" s="1"/>
  <c r="J4" i="19" s="1"/>
  <c r="C54" i="33"/>
  <c r="D4" i="19" s="1"/>
  <c r="H4" i="19" s="1"/>
  <c r="S4" i="19" s="1"/>
  <c r="Z67" i="33"/>
  <c r="Z69" i="33" s="1"/>
  <c r="J27" i="19" s="1"/>
  <c r="Z54" i="33"/>
  <c r="D27" i="19" s="1"/>
  <c r="H27" i="19" s="1"/>
  <c r="S27" i="19" s="1"/>
  <c r="T67" i="33"/>
  <c r="T54" i="33"/>
  <c r="D21" i="19" s="1"/>
  <c r="H21" i="19" s="1"/>
  <c r="S21" i="19" s="1"/>
  <c r="B67" i="33"/>
  <c r="B69" i="33" s="1"/>
  <c r="J3" i="19" s="1"/>
  <c r="B54" i="33"/>
  <c r="O67" i="33"/>
  <c r="O69" i="33" s="1"/>
  <c r="J16" i="19" s="1"/>
  <c r="O54" i="33"/>
  <c r="D16" i="19" s="1"/>
  <c r="H16" i="19" s="1"/>
  <c r="S16" i="19" s="1"/>
  <c r="P67" i="33"/>
  <c r="P69" i="33" s="1"/>
  <c r="J17" i="19" s="1"/>
  <c r="P54" i="33"/>
  <c r="D17" i="19" s="1"/>
  <c r="H17" i="19" s="1"/>
  <c r="S17" i="19" s="1"/>
  <c r="J67" i="33"/>
  <c r="J69" i="33" s="1"/>
  <c r="J11" i="19" s="1"/>
  <c r="J54" i="33"/>
  <c r="D11" i="19" s="1"/>
  <c r="H11" i="19" s="1"/>
  <c r="S11" i="19" s="1"/>
  <c r="S67" i="33"/>
  <c r="S69" i="33" s="1"/>
  <c r="J20" i="19" s="1"/>
  <c r="S54" i="33"/>
  <c r="D20" i="19" s="1"/>
  <c r="H20" i="19" s="1"/>
  <c r="S20" i="19" s="1"/>
  <c r="D67" i="33"/>
  <c r="D69" i="33" s="1"/>
  <c r="J5" i="19" s="1"/>
  <c r="D54" i="33"/>
  <c r="D5" i="19" s="1"/>
  <c r="H5" i="19" s="1"/>
  <c r="S5" i="19" s="1"/>
  <c r="M67" i="33"/>
  <c r="M69" i="33" s="1"/>
  <c r="J14" i="19" s="1"/>
  <c r="M54" i="33"/>
  <c r="D14" i="19" s="1"/>
  <c r="H14" i="19" s="1"/>
  <c r="S14" i="19" s="1"/>
  <c r="K54" i="33"/>
  <c r="D12" i="19" s="1"/>
  <c r="H12" i="19" s="1"/>
  <c r="S12" i="19" s="1"/>
  <c r="K67" i="33"/>
  <c r="K69" i="33" s="1"/>
  <c r="J12" i="19" s="1"/>
  <c r="I54" i="33"/>
  <c r="D10" i="19" s="1"/>
  <c r="H10" i="19" s="1"/>
  <c r="S10" i="19" s="1"/>
  <c r="I67" i="33"/>
  <c r="I69" i="33" s="1"/>
  <c r="J10" i="19" s="1"/>
  <c r="X67" i="33"/>
  <c r="X69" i="33" s="1"/>
  <c r="J25" i="19" s="1"/>
  <c r="X54" i="33"/>
  <c r="D25" i="19" s="1"/>
  <c r="H25" i="19" s="1"/>
  <c r="S25" i="19" s="1"/>
  <c r="E54" i="33"/>
  <c r="D6" i="19" s="1"/>
  <c r="H6" i="19" s="1"/>
  <c r="S6" i="19" s="1"/>
  <c r="E67" i="33"/>
  <c r="E69" i="33" s="1"/>
  <c r="J6" i="19" s="1"/>
  <c r="N54" i="33"/>
  <c r="D15" i="19" s="1"/>
  <c r="H15" i="19" s="1"/>
  <c r="S15" i="19" s="1"/>
  <c r="N67" i="33"/>
  <c r="N69" i="33" s="1"/>
  <c r="J15" i="19" s="1"/>
  <c r="Q67" i="33"/>
  <c r="Q69" i="33" s="1"/>
  <c r="J18" i="19" s="1"/>
  <c r="Q54" i="33"/>
  <c r="D18" i="19" s="1"/>
  <c r="H18" i="19" s="1"/>
  <c r="S18" i="19" s="1"/>
  <c r="G67" i="33"/>
  <c r="G69" i="33" s="1"/>
  <c r="J8" i="19" s="1"/>
  <c r="G54" i="33"/>
  <c r="D8" i="19" s="1"/>
  <c r="H8" i="19" s="1"/>
  <c r="S8" i="19" s="1"/>
  <c r="R54" i="33"/>
  <c r="D19" i="19" s="1"/>
  <c r="H19" i="19" s="1"/>
  <c r="S19" i="19" s="1"/>
  <c r="R67" i="33"/>
  <c r="R69" i="33" s="1"/>
  <c r="J19" i="19" s="1"/>
  <c r="H67" i="33"/>
  <c r="H69" i="33" s="1"/>
  <c r="J9" i="19" s="1"/>
  <c r="H54" i="33"/>
  <c r="D9" i="19" s="1"/>
  <c r="H9" i="19" s="1"/>
  <c r="S9" i="19" s="1"/>
  <c r="V54" i="33"/>
  <c r="D23" i="19" s="1"/>
  <c r="H23" i="19" s="1"/>
  <c r="S23" i="19" s="1"/>
  <c r="V67" i="33"/>
  <c r="V69" i="33" s="1"/>
  <c r="J23" i="19" s="1"/>
  <c r="BJ674" i="5"/>
  <c r="BI674" i="5" s="1"/>
  <c r="N13" i="19" l="1"/>
  <c r="E21" i="24"/>
  <c r="N25" i="19"/>
  <c r="E33" i="24"/>
  <c r="N27" i="19"/>
  <c r="E35" i="24"/>
  <c r="E18" i="24"/>
  <c r="N10" i="19"/>
  <c r="N17" i="19"/>
  <c r="E25" i="24"/>
  <c r="N26" i="19"/>
  <c r="E34" i="24"/>
  <c r="E23" i="24"/>
  <c r="N15" i="19"/>
  <c r="N16" i="19"/>
  <c r="E24" i="24"/>
  <c r="N4" i="19"/>
  <c r="E12" i="24"/>
  <c r="E17" i="24"/>
  <c r="N9" i="19"/>
  <c r="N5" i="19"/>
  <c r="E13" i="24"/>
  <c r="N19" i="19"/>
  <c r="E27" i="24"/>
  <c r="N6" i="19"/>
  <c r="E14" i="24"/>
  <c r="N20" i="19"/>
  <c r="E28" i="24"/>
  <c r="N22" i="19"/>
  <c r="E30" i="24"/>
  <c r="N7" i="19"/>
  <c r="E15" i="24"/>
  <c r="D3" i="19"/>
  <c r="H3" i="19" s="1"/>
  <c r="S3" i="19" s="1"/>
  <c r="D6" i="24"/>
  <c r="N11" i="19"/>
  <c r="E19" i="24"/>
  <c r="E11" i="24"/>
  <c r="N3" i="19"/>
  <c r="N28" i="19"/>
  <c r="E36" i="24"/>
  <c r="N24" i="19"/>
  <c r="E32" i="24"/>
  <c r="E26" i="24"/>
  <c r="N18" i="19"/>
  <c r="N12" i="19"/>
  <c r="E20" i="24"/>
  <c r="E16" i="24"/>
  <c r="N8" i="19"/>
  <c r="N23" i="19"/>
  <c r="E31" i="24"/>
  <c r="E22" i="24"/>
  <c r="N14" i="19"/>
  <c r="AA11" i="34"/>
  <c r="T69" i="33"/>
  <c r="J21" i="19" s="1"/>
  <c r="BK674" i="5"/>
  <c r="CU674" i="5"/>
  <c r="F69" i="17" l="1"/>
  <c r="H14" i="24"/>
  <c r="F16" i="17"/>
  <c r="N21" i="19"/>
  <c r="E29" i="24"/>
  <c r="F65" i="17"/>
  <c r="F23" i="17"/>
  <c r="H15" i="24"/>
  <c r="F18" i="17"/>
  <c r="F59" i="17"/>
  <c r="F24" i="17"/>
  <c r="F17" i="17"/>
  <c r="F66" i="17"/>
  <c r="F71" i="17"/>
  <c r="F73" i="17"/>
  <c r="F27" i="17"/>
  <c r="F21" i="17"/>
  <c r="H13" i="24"/>
  <c r="F72" i="17"/>
  <c r="AA13" i="34"/>
  <c r="P15" i="34"/>
  <c r="F78" i="17"/>
  <c r="F75" i="17"/>
  <c r="F63" i="17"/>
  <c r="H12" i="24"/>
  <c r="AB12" i="24" s="1"/>
  <c r="F61" i="17"/>
  <c r="H11" i="24"/>
  <c r="F70" i="17"/>
  <c r="F68" i="17"/>
  <c r="F76" i="17"/>
  <c r="F60" i="17"/>
  <c r="F19" i="17"/>
  <c r="F26" i="17"/>
  <c r="F22" i="17"/>
  <c r="H19" i="24"/>
  <c r="H16" i="24"/>
  <c r="F77" i="17"/>
  <c r="F74" i="17"/>
  <c r="F25" i="17"/>
  <c r="F62" i="17"/>
  <c r="F64" i="17"/>
  <c r="F67" i="17"/>
  <c r="AB52" i="33"/>
  <c r="AC52" i="33"/>
  <c r="AD52" i="33"/>
  <c r="AE52" i="33"/>
  <c r="AF52" i="33"/>
  <c r="AG52" i="33"/>
  <c r="AH52" i="33"/>
  <c r="AI52" i="33"/>
  <c r="AJ52" i="33"/>
  <c r="AK52" i="33"/>
  <c r="AL52" i="33"/>
  <c r="AM52" i="33"/>
  <c r="AN52" i="33"/>
  <c r="AO52" i="33"/>
  <c r="AP52" i="33"/>
  <c r="AQ52" i="33"/>
  <c r="AR52" i="33"/>
  <c r="AS52" i="33"/>
  <c r="AT52" i="33"/>
  <c r="AU52" i="33"/>
  <c r="AV52" i="33"/>
  <c r="AW52" i="33"/>
  <c r="AX52" i="33"/>
  <c r="AY52" i="33"/>
  <c r="AZ52" i="33"/>
  <c r="BA52" i="33"/>
  <c r="BB52" i="33"/>
  <c r="BC52" i="33"/>
  <c r="BD52" i="33"/>
  <c r="BE52" i="33"/>
  <c r="BF52" i="33"/>
  <c r="E2" i="17" l="1"/>
  <c r="AB11" i="24"/>
  <c r="F20" i="17"/>
  <c r="O15" i="34"/>
  <c r="P17" i="34"/>
  <c r="AX54" i="33"/>
  <c r="D51" i="19" s="1"/>
  <c r="H51" i="19" s="1"/>
  <c r="S51" i="19" s="1"/>
  <c r="AX67" i="33"/>
  <c r="AX69" i="33" s="1"/>
  <c r="J51" i="19" s="1"/>
  <c r="BE67" i="33"/>
  <c r="BE69" i="33" s="1"/>
  <c r="J58" i="19" s="1"/>
  <c r="BE54" i="33"/>
  <c r="D58" i="19" s="1"/>
  <c r="H58" i="19" s="1"/>
  <c r="S58" i="19" s="1"/>
  <c r="BD67" i="33"/>
  <c r="BD69" i="33" s="1"/>
  <c r="J57" i="19" s="1"/>
  <c r="BD54" i="33"/>
  <c r="D57" i="19" s="1"/>
  <c r="H57" i="19" s="1"/>
  <c r="S57" i="19" s="1"/>
  <c r="AP67" i="33"/>
  <c r="AP69" i="33" s="1"/>
  <c r="J43" i="19" s="1"/>
  <c r="AP54" i="33"/>
  <c r="D43" i="19" s="1"/>
  <c r="H43" i="19" s="1"/>
  <c r="S43" i="19" s="1"/>
  <c r="AY67" i="33"/>
  <c r="AY69" i="33" s="1"/>
  <c r="J52" i="19" s="1"/>
  <c r="AY54" i="33"/>
  <c r="D52" i="19" s="1"/>
  <c r="H52" i="19" s="1"/>
  <c r="S52" i="19" s="1"/>
  <c r="AM54" i="33"/>
  <c r="D40" i="19" s="1"/>
  <c r="H40" i="19" s="1"/>
  <c r="S40" i="19" s="1"/>
  <c r="AM67" i="33"/>
  <c r="AM69" i="33" s="1"/>
  <c r="J40" i="19" s="1"/>
  <c r="AI54" i="33"/>
  <c r="D36" i="19" s="1"/>
  <c r="H36" i="19" s="1"/>
  <c r="S36" i="19" s="1"/>
  <c r="AI67" i="33"/>
  <c r="AI69" i="33" s="1"/>
  <c r="J36" i="19" s="1"/>
  <c r="AW67" i="33"/>
  <c r="AW69" i="33" s="1"/>
  <c r="J50" i="19" s="1"/>
  <c r="AW54" i="33"/>
  <c r="D50" i="19" s="1"/>
  <c r="H50" i="19" s="1"/>
  <c r="S50" i="19" s="1"/>
  <c r="AT67" i="33"/>
  <c r="AT69" i="33" s="1"/>
  <c r="J47" i="19" s="1"/>
  <c r="AT54" i="33"/>
  <c r="D47" i="19" s="1"/>
  <c r="H47" i="19" s="1"/>
  <c r="S47" i="19" s="1"/>
  <c r="AH67" i="33"/>
  <c r="AH69" i="33" s="1"/>
  <c r="J35" i="19" s="1"/>
  <c r="AH54" i="33"/>
  <c r="D35" i="19" s="1"/>
  <c r="H35" i="19" s="1"/>
  <c r="S35" i="19" s="1"/>
  <c r="AL67" i="33"/>
  <c r="AL69" i="33" s="1"/>
  <c r="J39" i="19" s="1"/>
  <c r="AL54" i="33"/>
  <c r="D39" i="19" s="1"/>
  <c r="H39" i="19" s="1"/>
  <c r="S39" i="19" s="1"/>
  <c r="AG54" i="33"/>
  <c r="D34" i="19" s="1"/>
  <c r="H34" i="19" s="1"/>
  <c r="S34" i="19" s="1"/>
  <c r="AG67" i="33"/>
  <c r="AG69" i="33" s="1"/>
  <c r="J34" i="19" s="1"/>
  <c r="AV67" i="33"/>
  <c r="AV69" i="33" s="1"/>
  <c r="J49" i="19" s="1"/>
  <c r="AV54" i="33"/>
  <c r="D49" i="19" s="1"/>
  <c r="H49" i="19" s="1"/>
  <c r="S49" i="19" s="1"/>
  <c r="AR54" i="33"/>
  <c r="D45" i="19" s="1"/>
  <c r="H45" i="19" s="1"/>
  <c r="S45" i="19" s="1"/>
  <c r="AR67" i="33"/>
  <c r="AR69" i="33" s="1"/>
  <c r="J45" i="19" s="1"/>
  <c r="AF54" i="33"/>
  <c r="D33" i="19" s="1"/>
  <c r="H33" i="19" s="1"/>
  <c r="S33" i="19" s="1"/>
  <c r="AF67" i="33"/>
  <c r="AF69" i="33" s="1"/>
  <c r="J33" i="19" s="1"/>
  <c r="AJ54" i="33"/>
  <c r="D37" i="19" s="1"/>
  <c r="H37" i="19" s="1"/>
  <c r="S37" i="19" s="1"/>
  <c r="AJ67" i="33"/>
  <c r="AJ69" i="33" s="1"/>
  <c r="J37" i="19" s="1"/>
  <c r="AQ67" i="33"/>
  <c r="AQ69" i="33" s="1"/>
  <c r="J44" i="19" s="1"/>
  <c r="AQ54" i="33"/>
  <c r="D44" i="19" s="1"/>
  <c r="H44" i="19" s="1"/>
  <c r="S44" i="19" s="1"/>
  <c r="AE67" i="33"/>
  <c r="AE69" i="33" s="1"/>
  <c r="J32" i="19" s="1"/>
  <c r="AE54" i="33"/>
  <c r="D32" i="19" s="1"/>
  <c r="H32" i="19" s="1"/>
  <c r="S32" i="19" s="1"/>
  <c r="BF67" i="33"/>
  <c r="BF69" i="33" s="1"/>
  <c r="J59" i="19" s="1"/>
  <c r="BF54" i="33"/>
  <c r="D59" i="19" s="1"/>
  <c r="H59" i="19" s="1"/>
  <c r="S59" i="19" s="1"/>
  <c r="BB67" i="33"/>
  <c r="BB69" i="33" s="1"/>
  <c r="J55" i="19" s="1"/>
  <c r="BB54" i="33"/>
  <c r="D55" i="19" s="1"/>
  <c r="H55" i="19" s="1"/>
  <c r="S55" i="19" s="1"/>
  <c r="AD54" i="33"/>
  <c r="D31" i="19" s="1"/>
  <c r="H31" i="19" s="1"/>
  <c r="S31" i="19" s="1"/>
  <c r="AD67" i="33"/>
  <c r="AD69" i="33" s="1"/>
  <c r="J31" i="19" s="1"/>
  <c r="AU67" i="33"/>
  <c r="AU69" i="33" s="1"/>
  <c r="J48" i="19" s="1"/>
  <c r="AU54" i="33"/>
  <c r="D48" i="19" s="1"/>
  <c r="H48" i="19" s="1"/>
  <c r="S48" i="19" s="1"/>
  <c r="BA67" i="33"/>
  <c r="BA69" i="33" s="1"/>
  <c r="J54" i="19" s="1"/>
  <c r="BA54" i="33"/>
  <c r="D54" i="19" s="1"/>
  <c r="H54" i="19" s="1"/>
  <c r="S54" i="19" s="1"/>
  <c r="AC67" i="33"/>
  <c r="AC69" i="33" s="1"/>
  <c r="J30" i="19" s="1"/>
  <c r="AC54" i="33"/>
  <c r="D30" i="19" s="1"/>
  <c r="H30" i="19" s="1"/>
  <c r="S30" i="19" s="1"/>
  <c r="AK54" i="33"/>
  <c r="D38" i="19" s="1"/>
  <c r="H38" i="19" s="1"/>
  <c r="S38" i="19" s="1"/>
  <c r="AK67" i="33"/>
  <c r="AK69" i="33" s="1"/>
  <c r="J38" i="19" s="1"/>
  <c r="AS67" i="33"/>
  <c r="AS69" i="33" s="1"/>
  <c r="J46" i="19" s="1"/>
  <c r="AS54" i="33"/>
  <c r="D46" i="19" s="1"/>
  <c r="H46" i="19" s="1"/>
  <c r="S46" i="19" s="1"/>
  <c r="BC67" i="33"/>
  <c r="BC69" i="33" s="1"/>
  <c r="J56" i="19" s="1"/>
  <c r="BC54" i="33"/>
  <c r="D56" i="19" s="1"/>
  <c r="H56" i="19" s="1"/>
  <c r="S56" i="19" s="1"/>
  <c r="AO67" i="33"/>
  <c r="AO69" i="33" s="1"/>
  <c r="J42" i="19" s="1"/>
  <c r="AO54" i="33"/>
  <c r="D42" i="19" s="1"/>
  <c r="H42" i="19" s="1"/>
  <c r="S42" i="19" s="1"/>
  <c r="AZ67" i="33"/>
  <c r="AZ69" i="33" s="1"/>
  <c r="J53" i="19" s="1"/>
  <c r="AZ54" i="33"/>
  <c r="D53" i="19" s="1"/>
  <c r="H53" i="19" s="1"/>
  <c r="S53" i="19" s="1"/>
  <c r="AN54" i="33"/>
  <c r="D41" i="19" s="1"/>
  <c r="H41" i="19" s="1"/>
  <c r="S41" i="19" s="1"/>
  <c r="AN67" i="33"/>
  <c r="AN69" i="33" s="1"/>
  <c r="J41" i="19" s="1"/>
  <c r="AB54" i="33"/>
  <c r="D29" i="19" s="1"/>
  <c r="H29" i="19" s="1"/>
  <c r="AB67" i="33"/>
  <c r="AB69" i="33" s="1"/>
  <c r="J29" i="19" s="1"/>
  <c r="N34" i="19" l="1"/>
  <c r="E42" i="24"/>
  <c r="N30" i="19"/>
  <c r="E38" i="24"/>
  <c r="E40" i="24"/>
  <c r="N32" i="19"/>
  <c r="N52" i="19"/>
  <c r="E60" i="24"/>
  <c r="N37" i="19"/>
  <c r="E45" i="24"/>
  <c r="N54" i="19"/>
  <c r="E62" i="24"/>
  <c r="N48" i="19"/>
  <c r="E56" i="24"/>
  <c r="E43" i="24"/>
  <c r="N35" i="19"/>
  <c r="N43" i="19"/>
  <c r="E51" i="24"/>
  <c r="E39" i="24"/>
  <c r="N31" i="19"/>
  <c r="E41" i="24"/>
  <c r="N33" i="19"/>
  <c r="N39" i="19"/>
  <c r="E47" i="24"/>
  <c r="E55" i="24"/>
  <c r="N47" i="19"/>
  <c r="N57" i="19"/>
  <c r="E65" i="24"/>
  <c r="N40" i="19"/>
  <c r="E48" i="24"/>
  <c r="N53" i="19"/>
  <c r="E61" i="24"/>
  <c r="N44" i="19"/>
  <c r="E52" i="24"/>
  <c r="E50" i="24"/>
  <c r="N42" i="19"/>
  <c r="E58" i="24"/>
  <c r="N50" i="19"/>
  <c r="N58" i="19"/>
  <c r="E66" i="24"/>
  <c r="E53" i="24"/>
  <c r="N45" i="19"/>
  <c r="E54" i="24"/>
  <c r="N46" i="19"/>
  <c r="N38" i="19"/>
  <c r="E46" i="24"/>
  <c r="E44" i="24"/>
  <c r="N36" i="19"/>
  <c r="N51" i="19"/>
  <c r="E59" i="24"/>
  <c r="N41" i="19"/>
  <c r="E49" i="24"/>
  <c r="N56" i="19"/>
  <c r="E64" i="24"/>
  <c r="E63" i="24"/>
  <c r="N55" i="19"/>
  <c r="N29" i="19"/>
  <c r="E37" i="24"/>
  <c r="M3" i="19"/>
  <c r="S29" i="19"/>
  <c r="R3" i="19"/>
  <c r="N59" i="19"/>
  <c r="E67" i="24"/>
  <c r="N49" i="19"/>
  <c r="E57" i="24"/>
  <c r="F36" i="17" l="1"/>
  <c r="F32" i="17"/>
  <c r="F37" i="17"/>
  <c r="F45" i="17"/>
  <c r="F30" i="17"/>
  <c r="F43" i="17"/>
  <c r="F39" i="17"/>
  <c r="F42" i="17"/>
  <c r="F52" i="17"/>
  <c r="F51" i="17"/>
  <c r="F31" i="17"/>
  <c r="F35" i="17"/>
  <c r="F29" i="17"/>
  <c r="F56" i="17"/>
  <c r="F34" i="17"/>
  <c r="F38" i="17"/>
  <c r="F53" i="17"/>
  <c r="F41" i="17"/>
  <c r="F54" i="17"/>
  <c r="F55" i="17"/>
  <c r="F48" i="17"/>
  <c r="F57" i="17"/>
  <c r="F47" i="17"/>
  <c r="F33" i="17"/>
  <c r="F28" i="17"/>
  <c r="F44" i="17"/>
  <c r="F40" i="17"/>
  <c r="F58" i="17"/>
  <c r="F50" i="17"/>
  <c r="F49" i="17"/>
  <c r="F46" i="17"/>
  <c r="DV29" i="50" l="1"/>
  <c r="CR13" i="50"/>
  <c r="BB22" i="50"/>
  <c r="BN22" i="50"/>
  <c r="BN26" i="50"/>
  <c r="BT26" i="50"/>
  <c r="EZ29" i="50"/>
  <c r="ET22" i="50"/>
  <c r="CR12" i="50"/>
  <c r="DD24" i="50"/>
  <c r="EZ27" i="50"/>
  <c r="DV22" i="50"/>
  <c r="EN24" i="50"/>
  <c r="DV30" i="50"/>
  <c r="DJ18" i="50"/>
  <c r="EB26" i="50"/>
  <c r="DP30" i="50"/>
  <c r="DD28" i="50"/>
  <c r="BT19" i="50"/>
  <c r="EB31" i="50"/>
  <c r="BZ28" i="50"/>
  <c r="BZ23" i="50"/>
  <c r="EH18" i="50"/>
  <c r="BZ16" i="50"/>
  <c r="CR20" i="50"/>
  <c r="EZ16" i="50"/>
  <c r="DD17" i="50"/>
  <c r="EN17" i="50"/>
  <c r="BT30" i="50"/>
  <c r="AV18" i="50"/>
  <c r="DV16" i="50"/>
  <c r="BZ20" i="50"/>
  <c r="CR14" i="50"/>
  <c r="ET17" i="50"/>
  <c r="BN16" i="50"/>
  <c r="ET18" i="50"/>
  <c r="BT16" i="50"/>
  <c r="BB29" i="50"/>
  <c r="BT31" i="50"/>
  <c r="BZ24" i="50"/>
  <c r="CX27" i="50"/>
  <c r="DJ24" i="50"/>
  <c r="BZ25" i="50"/>
  <c r="EN28" i="50"/>
  <c r="CR28" i="50"/>
  <c r="EN27" i="50"/>
  <c r="CR30" i="50"/>
  <c r="BZ31" i="50"/>
  <c r="EZ32" i="50"/>
  <c r="BN23" i="50"/>
  <c r="DP26" i="50"/>
  <c r="BZ22" i="50"/>
  <c r="CX17" i="50"/>
  <c r="AV22" i="50"/>
  <c r="EH25" i="50"/>
  <c r="ET32" i="50"/>
  <c r="AV19" i="50"/>
  <c r="ET24" i="50"/>
  <c r="EB22" i="50"/>
  <c r="EB33" i="50"/>
  <c r="BZ19" i="50"/>
  <c r="EB23" i="50"/>
  <c r="EB30" i="50"/>
  <c r="DP24" i="50"/>
  <c r="DP29" i="50"/>
  <c r="BN27" i="50"/>
  <c r="ET19" i="50"/>
  <c r="AV16" i="50"/>
  <c r="BN30" i="50"/>
  <c r="EZ25" i="50"/>
  <c r="AV32" i="50"/>
  <c r="DD19" i="50"/>
  <c r="DV20" i="50"/>
  <c r="EB28" i="50"/>
  <c r="AV30" i="50"/>
  <c r="BB33" i="50"/>
  <c r="EN30" i="50"/>
  <c r="DD29" i="50"/>
  <c r="CX29" i="50"/>
  <c r="EB17" i="50"/>
  <c r="EH33" i="50"/>
  <c r="EN16" i="50"/>
  <c r="AV27" i="50"/>
  <c r="EZ26" i="50"/>
  <c r="AV26" i="50"/>
  <c r="DV19" i="50"/>
  <c r="EH22" i="50"/>
  <c r="DD18" i="50"/>
  <c r="DP17" i="50"/>
  <c r="DJ30" i="50"/>
  <c r="BT28" i="50"/>
  <c r="EN25" i="50"/>
  <c r="DP16" i="50"/>
  <c r="CX32" i="50"/>
  <c r="EN18" i="50"/>
  <c r="BT33" i="50"/>
  <c r="EZ30" i="50"/>
  <c r="BB30" i="50"/>
  <c r="BT29" i="50"/>
  <c r="EB29" i="50"/>
  <c r="EZ19" i="50"/>
  <c r="EB32" i="50"/>
  <c r="CX33" i="50"/>
  <c r="DV25" i="50"/>
  <c r="EZ23" i="50"/>
  <c r="BB31" i="50"/>
  <c r="BZ18" i="50"/>
  <c r="ET28" i="50"/>
  <c r="DP33" i="50"/>
  <c r="EH28" i="50"/>
  <c r="DP27" i="50"/>
  <c r="EN23" i="50"/>
  <c r="EH17" i="50"/>
  <c r="BN20" i="50"/>
  <c r="CR27" i="50"/>
  <c r="BB32" i="50"/>
  <c r="EH31" i="50"/>
  <c r="CX20" i="50"/>
  <c r="DV28" i="50"/>
  <c r="BB26" i="50"/>
  <c r="DD30" i="50"/>
  <c r="BB12" i="50"/>
  <c r="BB20" i="50"/>
  <c r="DP22" i="50"/>
  <c r="BN19" i="50"/>
  <c r="BZ26" i="50"/>
  <c r="BZ33" i="50"/>
  <c r="CX31" i="50"/>
  <c r="CX22" i="50"/>
  <c r="DP31" i="50"/>
  <c r="BN33" i="50"/>
  <c r="ET31" i="50"/>
  <c r="DJ23" i="50"/>
  <c r="BB27" i="50"/>
  <c r="BT20" i="50"/>
  <c r="DP28" i="50"/>
  <c r="CR16" i="50"/>
  <c r="EH16" i="50"/>
  <c r="BB24" i="50"/>
  <c r="AV24" i="50"/>
  <c r="BN29" i="50"/>
  <c r="BT25" i="50"/>
  <c r="BT24" i="50"/>
  <c r="EZ20" i="50"/>
  <c r="EH29" i="50"/>
  <c r="DJ32" i="50"/>
  <c r="EN26" i="50"/>
  <c r="AV31" i="50"/>
  <c r="EB27" i="50"/>
  <c r="EH32" i="50"/>
  <c r="DJ33" i="50"/>
  <c r="DV31" i="50"/>
  <c r="DJ28" i="50"/>
  <c r="EH20" i="50"/>
  <c r="CR11" i="50"/>
  <c r="BB28" i="50"/>
  <c r="CX30" i="50"/>
  <c r="EZ17" i="50"/>
  <c r="EB16" i="50"/>
  <c r="DD22" i="50"/>
  <c r="BT23" i="50"/>
  <c r="DP18" i="50"/>
  <c r="DJ22" i="50"/>
  <c r="DD31" i="50"/>
  <c r="ET30" i="50"/>
  <c r="DD16" i="50"/>
  <c r="ET16" i="50"/>
  <c r="BZ17" i="50"/>
  <c r="DP20" i="50"/>
  <c r="BB19" i="50"/>
  <c r="EN32" i="50"/>
  <c r="DD27" i="50"/>
  <c r="ET25" i="50"/>
  <c r="DP25" i="50"/>
  <c r="EH27" i="50"/>
  <c r="ET20" i="50"/>
  <c r="DJ26" i="50"/>
  <c r="EZ33" i="50"/>
  <c r="EB25" i="50"/>
  <c r="EZ18" i="50"/>
  <c r="CX28" i="50"/>
  <c r="BN17" i="50"/>
  <c r="BB17" i="50"/>
  <c r="ET27" i="50"/>
  <c r="CX18" i="50"/>
  <c r="CX16" i="50"/>
  <c r="DJ25" i="50"/>
  <c r="BN24" i="50"/>
  <c r="EZ31" i="50"/>
  <c r="DV18" i="50"/>
  <c r="DP19" i="50"/>
  <c r="AV33" i="50"/>
  <c r="AV28" i="50"/>
  <c r="CR29" i="50"/>
  <c r="EB24" i="50"/>
  <c r="BN31" i="50"/>
  <c r="BB18" i="50"/>
  <c r="EB18" i="50"/>
  <c r="EN22" i="50"/>
  <c r="DJ17" i="50"/>
  <c r="EN19" i="50"/>
  <c r="DD26" i="50"/>
  <c r="AV23" i="50"/>
  <c r="BB23" i="50"/>
  <c r="DV24" i="50"/>
  <c r="EH24" i="50"/>
  <c r="BB11" i="50"/>
  <c r="DV32" i="50"/>
  <c r="DD20" i="50"/>
  <c r="CR23" i="50"/>
  <c r="CR17" i="50"/>
  <c r="CX23" i="50"/>
  <c r="BB16" i="50"/>
  <c r="DD23" i="50"/>
  <c r="CR33" i="50"/>
  <c r="DV23" i="50"/>
  <c r="DV33" i="50"/>
  <c r="DJ19" i="50"/>
  <c r="BT22" i="50"/>
  <c r="AV20" i="50"/>
  <c r="DD25" i="50"/>
  <c r="DJ29" i="50"/>
  <c r="BN32" i="50"/>
  <c r="EZ24" i="50"/>
  <c r="DJ27" i="50"/>
  <c r="BZ29" i="50"/>
  <c r="CR31" i="50"/>
  <c r="BZ30" i="50"/>
  <c r="EN29" i="50"/>
  <c r="DV26" i="50"/>
  <c r="ET29" i="50"/>
  <c r="BT32" i="50"/>
  <c r="EN20" i="50"/>
  <c r="CR18" i="50"/>
  <c r="EH23" i="50"/>
  <c r="CX26" i="50"/>
  <c r="EH26" i="50"/>
  <c r="DD33" i="50"/>
  <c r="EB19" i="50"/>
  <c r="ET23" i="50"/>
  <c r="DP32" i="50"/>
  <c r="EN33" i="50"/>
  <c r="EN31" i="50"/>
  <c r="BB25" i="50"/>
  <c r="BZ27" i="50"/>
  <c r="CR32" i="50"/>
  <c r="CR26" i="50"/>
  <c r="CR25" i="50"/>
  <c r="EH19" i="50"/>
  <c r="BN25" i="50"/>
  <c r="BN18" i="50"/>
  <c r="CR19" i="50"/>
  <c r="EZ28" i="50"/>
  <c r="DJ16" i="50"/>
  <c r="CR22" i="50"/>
  <c r="DD32" i="50"/>
  <c r="AV25" i="50"/>
  <c r="BT27" i="50"/>
  <c r="BN28" i="50"/>
  <c r="AV29" i="50"/>
  <c r="CR24" i="50"/>
  <c r="DP23" i="50"/>
  <c r="EB20" i="50"/>
  <c r="DJ31" i="50"/>
  <c r="EZ22" i="50"/>
  <c r="BT17" i="50"/>
  <c r="BB14" i="50"/>
  <c r="ET26" i="50"/>
  <c r="AV17" i="50"/>
  <c r="CX19" i="50"/>
  <c r="BB13" i="50"/>
  <c r="DV17" i="50"/>
  <c r="DV27" i="50"/>
  <c r="BT18" i="50"/>
  <c r="ET33" i="50"/>
  <c r="BZ32" i="50"/>
  <c r="CX25" i="50"/>
  <c r="DJ20" i="50"/>
  <c r="EH30" i="50"/>
  <c r="CX24" i="50"/>
  <c r="DJ21" i="50"/>
  <c r="ET21" i="50"/>
  <c r="EZ21" i="50"/>
  <c r="EN21" i="50"/>
  <c r="DJ34" i="50"/>
  <c r="ET34" i="50"/>
  <c r="EN34" i="50"/>
  <c r="EZ34" i="50"/>
  <c r="DV21" i="50" l="1"/>
  <c r="EB21" i="50"/>
  <c r="DD21" i="50"/>
  <c r="BN21" i="50"/>
  <c r="BT21" i="50"/>
  <c r="CX21" i="50"/>
  <c r="DP21" i="50"/>
  <c r="BB21" i="50"/>
  <c r="EH21" i="50"/>
  <c r="BZ21" i="50"/>
  <c r="CR21" i="50"/>
  <c r="AV21" i="50" l="1"/>
  <c r="CX34" i="50" l="1"/>
  <c r="BN34" i="50"/>
  <c r="DV34" i="50"/>
  <c r="CR34" i="50"/>
  <c r="EB34" i="50"/>
  <c r="BB34" i="50"/>
  <c r="BZ34" i="50"/>
  <c r="BT34" i="50"/>
  <c r="DP34" i="50"/>
  <c r="EH34" i="50"/>
  <c r="DD34" i="50"/>
  <c r="AV34" i="50" l="1"/>
  <c r="Z139" i="13" l="1"/>
  <c r="L6" i="24"/>
  <c r="CR35" i="50" l="1"/>
  <c r="BT35" i="50"/>
  <c r="DV35" i="50"/>
  <c r="BB35" i="50"/>
  <c r="BN35" i="50"/>
  <c r="AV35" i="50"/>
  <c r="BH35" i="50"/>
  <c r="G34" i="51" s="1"/>
  <c r="EH35" i="50"/>
  <c r="EB35" i="50"/>
  <c r="R35" i="50"/>
  <c r="C34" i="51" s="1"/>
  <c r="DD35" i="50"/>
  <c r="X35" i="50"/>
  <c r="E34" i="51" s="1"/>
  <c r="DP35" i="50"/>
  <c r="BZ35" i="50"/>
  <c r="AD35" i="50"/>
  <c r="O34" i="51" s="1"/>
  <c r="CX35" i="50"/>
  <c r="AD34" i="50"/>
  <c r="O33" i="51" s="1"/>
  <c r="R34" i="50"/>
  <c r="AD33" i="50"/>
  <c r="O32" i="51" s="1"/>
  <c r="R33" i="50"/>
  <c r="AD32" i="50"/>
  <c r="O31" i="51" s="1"/>
  <c r="R32" i="50"/>
  <c r="C31" i="51" s="1"/>
  <c r="AD31" i="50"/>
  <c r="O30" i="51" s="1"/>
  <c r="R31" i="50"/>
  <c r="C30" i="51" s="1"/>
  <c r="AD30" i="50"/>
  <c r="O29" i="51" s="1"/>
  <c r="R30" i="50"/>
  <c r="AD29" i="50"/>
  <c r="O28" i="51" s="1"/>
  <c r="R29" i="50"/>
  <c r="R28" i="50"/>
  <c r="C27" i="51" s="1"/>
  <c r="X28" i="50"/>
  <c r="E27" i="51" s="1"/>
  <c r="BH28" i="50"/>
  <c r="G27" i="51" s="1"/>
  <c r="AD28" i="50"/>
  <c r="O27" i="51" s="1"/>
  <c r="AD27" i="50"/>
  <c r="O26" i="51" s="1"/>
  <c r="R27" i="50"/>
  <c r="AD26" i="50"/>
  <c r="O25" i="51" s="1"/>
  <c r="R26" i="50"/>
  <c r="C25" i="51" s="1"/>
  <c r="R25" i="50"/>
  <c r="C24" i="51" s="1"/>
  <c r="X25" i="50"/>
  <c r="E24" i="51" s="1"/>
  <c r="BH25" i="50"/>
  <c r="G24" i="51" s="1"/>
  <c r="AD25" i="50"/>
  <c r="O24" i="51" s="1"/>
  <c r="AD24" i="50"/>
  <c r="O23" i="51" s="1"/>
  <c r="R24" i="50"/>
  <c r="C23" i="51" s="1"/>
  <c r="R23" i="50"/>
  <c r="X23" i="50"/>
  <c r="E22" i="51" s="1"/>
  <c r="BH23" i="50"/>
  <c r="G22" i="51" s="1"/>
  <c r="AD23" i="50"/>
  <c r="O22" i="51" s="1"/>
  <c r="AD22" i="50"/>
  <c r="O21" i="51" s="1"/>
  <c r="R22" i="50"/>
  <c r="C21" i="51" s="1"/>
  <c r="AD21" i="50"/>
  <c r="O20" i="51" s="1"/>
  <c r="R21" i="50"/>
  <c r="C20" i="51" s="1"/>
  <c r="R20" i="50"/>
  <c r="C19" i="51" s="1"/>
  <c r="X20" i="50"/>
  <c r="E19" i="51" s="1"/>
  <c r="BH20" i="50"/>
  <c r="G19" i="51" s="1"/>
  <c r="AD20" i="50"/>
  <c r="O19" i="51" s="1"/>
  <c r="R19" i="50"/>
  <c r="C18" i="51" s="1"/>
  <c r="X19" i="50"/>
  <c r="E18" i="51" s="1"/>
  <c r="BH19" i="50"/>
  <c r="G18" i="51" s="1"/>
  <c r="AD19" i="50"/>
  <c r="O18" i="51" s="1"/>
  <c r="R18" i="50"/>
  <c r="C17" i="51" s="1"/>
  <c r="X18" i="50"/>
  <c r="E17" i="51" s="1"/>
  <c r="BH18" i="50"/>
  <c r="G17" i="51" s="1"/>
  <c r="AD18" i="50"/>
  <c r="O17" i="51" s="1"/>
  <c r="AD17" i="50"/>
  <c r="O16" i="51" s="1"/>
  <c r="R17" i="50"/>
  <c r="C16" i="51" s="1"/>
  <c r="AD16" i="50"/>
  <c r="O15" i="51" s="1"/>
  <c r="R16" i="50"/>
  <c r="C15" i="51" s="1"/>
  <c r="CR15" i="50"/>
  <c r="BB15" i="50"/>
  <c r="C26" i="51" l="1"/>
  <c r="C22" i="51"/>
  <c r="C28" i="51"/>
  <c r="C32" i="51"/>
  <c r="C33" i="51"/>
  <c r="C29" i="51"/>
  <c r="X27" i="50"/>
  <c r="E26" i="51" s="1"/>
  <c r="X29" i="50"/>
  <c r="E28" i="51" s="1"/>
  <c r="X34" i="50"/>
  <c r="E33" i="51" s="1"/>
  <c r="X33" i="50"/>
  <c r="E32" i="51" s="1"/>
  <c r="X30" i="50"/>
  <c r="E29" i="51" s="1"/>
  <c r="BH34" i="50"/>
  <c r="G33" i="51" s="1"/>
  <c r="BH29" i="50"/>
  <c r="G28" i="51" s="1"/>
  <c r="X22" i="50"/>
  <c r="E21" i="51" s="1"/>
  <c r="X16" i="50"/>
  <c r="E15" i="51" s="1"/>
  <c r="X26" i="50"/>
  <c r="E25" i="51" s="1"/>
  <c r="BH33" i="50"/>
  <c r="G32" i="51" s="1"/>
  <c r="X31" i="50"/>
  <c r="E30" i="51" s="1"/>
  <c r="X21" i="50"/>
  <c r="E20" i="51" s="1"/>
  <c r="BH27" i="50"/>
  <c r="G26" i="51" s="1"/>
  <c r="X32" i="50"/>
  <c r="E31" i="51" s="1"/>
  <c r="X24" i="50"/>
  <c r="E23" i="51" s="1"/>
  <c r="X17" i="50"/>
  <c r="E16" i="51" s="1"/>
  <c r="BH30" i="50"/>
  <c r="G29" i="51" s="1"/>
  <c r="BH32" i="50"/>
  <c r="G31" i="51" s="1"/>
  <c r="BH17" i="50"/>
  <c r="G16" i="51" s="1"/>
  <c r="BH21" i="50"/>
  <c r="G20" i="51" s="1"/>
  <c r="BH31" i="50"/>
  <c r="G30" i="51" s="1"/>
  <c r="BH22" i="50"/>
  <c r="G21" i="51" s="1"/>
  <c r="BH26" i="50"/>
  <c r="G25" i="51" s="1"/>
  <c r="BH24" i="50"/>
  <c r="G23" i="51" s="1"/>
  <c r="BH16" i="50"/>
  <c r="G15" i="51" s="1"/>
  <c r="ET35" i="50"/>
  <c r="DJ35" i="50"/>
  <c r="EN35" i="50"/>
  <c r="EZ35" i="50"/>
  <c r="G2" i="17"/>
  <c r="F2" i="17" s="1"/>
  <c r="G11" i="24" s="1"/>
  <c r="K2" i="17" l="1"/>
  <c r="M4" i="50"/>
  <c r="L4" i="50"/>
  <c r="R2" i="29"/>
  <c r="C3" i="17"/>
  <c r="AH3" i="51" l="1"/>
  <c r="R4" i="50"/>
  <c r="B3" i="51"/>
  <c r="E3" i="17"/>
  <c r="C3" i="51" l="1"/>
  <c r="D3" i="51" s="1"/>
  <c r="X4" i="50" l="1"/>
  <c r="E3" i="51" l="1"/>
  <c r="F3" i="51" s="1"/>
  <c r="BH4" i="50" l="1"/>
  <c r="G3" i="51" l="1"/>
  <c r="H3" i="51" s="1"/>
  <c r="G4" i="17" l="1"/>
  <c r="F4" i="17"/>
  <c r="G13" i="24" s="1"/>
  <c r="L6" i="50" s="1"/>
  <c r="G6" i="17"/>
  <c r="F6" i="17" s="1"/>
  <c r="G15" i="24" s="1"/>
  <c r="L8" i="50" s="1"/>
  <c r="G7" i="17"/>
  <c r="F7" i="17" s="1"/>
  <c r="G16" i="24" s="1"/>
  <c r="G5" i="17"/>
  <c r="F5" i="17" s="1"/>
  <c r="G14" i="24" s="1"/>
  <c r="G3" i="17"/>
  <c r="F3" i="17" s="1"/>
  <c r="G12" i="24" s="1"/>
  <c r="K3" i="17" s="1"/>
  <c r="M5" i="50" l="1"/>
  <c r="B4" i="51" s="1"/>
  <c r="M7" i="50"/>
  <c r="AH6" i="51" s="1"/>
  <c r="L7" i="50"/>
  <c r="M6" i="50"/>
  <c r="AH5" i="51" s="1"/>
  <c r="M8" i="50"/>
  <c r="B7" i="51" s="1"/>
  <c r="R3" i="29"/>
  <c r="C4" i="17"/>
  <c r="M9" i="50"/>
  <c r="L9" i="50"/>
  <c r="L5" i="50"/>
  <c r="AH4" i="51" l="1"/>
  <c r="B5" i="51"/>
  <c r="B6" i="51"/>
  <c r="AH7" i="51"/>
  <c r="AH8" i="51"/>
  <c r="B8" i="51"/>
  <c r="E4" i="17"/>
  <c r="K4" i="17" s="1"/>
  <c r="R4" i="29" l="1"/>
  <c r="C5" i="17"/>
  <c r="E5" i="17" l="1"/>
  <c r="K5" i="17" s="1"/>
  <c r="R5" i="29" l="1"/>
  <c r="C6" i="17"/>
  <c r="E6" i="17" l="1"/>
  <c r="K6" i="17" s="1"/>
  <c r="R6" i="29" l="1"/>
  <c r="C7" i="17"/>
  <c r="E7" i="17" l="1"/>
  <c r="K7" i="17" s="1"/>
  <c r="R7" i="29" l="1"/>
  <c r="C8" i="17"/>
  <c r="G78" i="17" l="1"/>
  <c r="M80" i="50" s="1"/>
  <c r="R80" i="50" s="1"/>
  <c r="G74" i="17"/>
  <c r="M76" i="50" s="1"/>
  <c r="G69" i="17"/>
  <c r="M71" i="50" s="1"/>
  <c r="G60" i="17"/>
  <c r="M62" i="50" s="1"/>
  <c r="G64" i="17"/>
  <c r="L66" i="50" s="1"/>
  <c r="G72" i="17"/>
  <c r="M74" i="50" s="1"/>
  <c r="G77" i="17"/>
  <c r="L79" i="50" s="1"/>
  <c r="G65" i="17"/>
  <c r="M67" i="50" s="1"/>
  <c r="AH66" i="51" s="1"/>
  <c r="G68" i="17"/>
  <c r="L70" i="50" s="1"/>
  <c r="G70" i="17"/>
  <c r="L72" i="50" s="1"/>
  <c r="G73" i="17"/>
  <c r="G71" i="17"/>
  <c r="M73" i="50" s="1"/>
  <c r="G75" i="17"/>
  <c r="M77" i="50" s="1"/>
  <c r="R77" i="50" s="1"/>
  <c r="G76" i="17"/>
  <c r="M78" i="50" s="1"/>
  <c r="G67" i="17"/>
  <c r="M69" i="50" s="1"/>
  <c r="G66" i="17"/>
  <c r="M68" i="50" s="1"/>
  <c r="G62" i="17"/>
  <c r="M64" i="50" s="1"/>
  <c r="G54" i="17"/>
  <c r="G61" i="17"/>
  <c r="M63" i="50" s="1"/>
  <c r="G55" i="17"/>
  <c r="G57" i="17"/>
  <c r="H66" i="24" s="1"/>
  <c r="G56" i="17"/>
  <c r="H65" i="24" s="1"/>
  <c r="G33" i="17"/>
  <c r="H42" i="24" s="1"/>
  <c r="G42" i="24"/>
  <c r="G31" i="17"/>
  <c r="H40" i="24" s="1"/>
  <c r="G30" i="17"/>
  <c r="H39" i="24" s="1"/>
  <c r="G25" i="17"/>
  <c r="H34" i="24" s="1"/>
  <c r="G24" i="17"/>
  <c r="H33" i="24" s="1"/>
  <c r="G21" i="17"/>
  <c r="H30" i="24" s="1"/>
  <c r="G20" i="17"/>
  <c r="H29" i="24" s="1"/>
  <c r="G18" i="17"/>
  <c r="H27" i="24" s="1"/>
  <c r="G17" i="17"/>
  <c r="H26" i="24" s="1"/>
  <c r="G15" i="17"/>
  <c r="G28" i="17"/>
  <c r="G37" i="24" s="1"/>
  <c r="G29" i="17"/>
  <c r="G22" i="17"/>
  <c r="H31" i="24" s="1"/>
  <c r="G23" i="17"/>
  <c r="G32" i="24" s="1"/>
  <c r="G32" i="17"/>
  <c r="H41" i="24" s="1"/>
  <c r="G58" i="17"/>
  <c r="G16" i="17"/>
  <c r="G19" i="17"/>
  <c r="G28" i="24" s="1"/>
  <c r="G63" i="17"/>
  <c r="M65" i="50" s="1"/>
  <c r="AH64" i="51" s="1"/>
  <c r="G13" i="17"/>
  <c r="G12" i="17"/>
  <c r="G11" i="17"/>
  <c r="G10" i="17"/>
  <c r="F10" i="17" s="1"/>
  <c r="G19" i="24" s="1"/>
  <c r="G50" i="17"/>
  <c r="G59" i="24" s="1"/>
  <c r="G45" i="17"/>
  <c r="H54" i="24" s="1"/>
  <c r="G47" i="17"/>
  <c r="G34" i="17"/>
  <c r="H43" i="24" s="1"/>
  <c r="G49" i="17"/>
  <c r="H58" i="24" s="1"/>
  <c r="G42" i="17"/>
  <c r="H51" i="24" s="1"/>
  <c r="G44" i="17"/>
  <c r="G37" i="17"/>
  <c r="H46" i="24" s="1"/>
  <c r="G36" i="17"/>
  <c r="H45" i="24" s="1"/>
  <c r="G53" i="17"/>
  <c r="H62" i="24" s="1"/>
  <c r="G39" i="17"/>
  <c r="G40" i="17"/>
  <c r="H49" i="24" s="1"/>
  <c r="G51" i="17"/>
  <c r="H60" i="24" s="1"/>
  <c r="G52" i="17"/>
  <c r="H61" i="24" s="1"/>
  <c r="G46" i="17"/>
  <c r="G43" i="17"/>
  <c r="G48" i="17"/>
  <c r="H57" i="24" s="1"/>
  <c r="G35" i="17"/>
  <c r="G41" i="17"/>
  <c r="G38" i="17"/>
  <c r="H47" i="24" s="1"/>
  <c r="G59" i="17"/>
  <c r="L61" i="50" s="1"/>
  <c r="G27" i="17"/>
  <c r="H36" i="24" s="1"/>
  <c r="G9" i="17"/>
  <c r="G8" i="17"/>
  <c r="G26" i="17"/>
  <c r="H35" i="24" s="1"/>
  <c r="G14" i="17"/>
  <c r="H23" i="24"/>
  <c r="AC17" i="19" s="1"/>
  <c r="G27" i="24" l="1"/>
  <c r="G57" i="24"/>
  <c r="M50" i="50" s="1"/>
  <c r="B49" i="51" s="1"/>
  <c r="D49" i="51" s="1"/>
  <c r="F49" i="51" s="1"/>
  <c r="H49" i="51" s="1"/>
  <c r="G30" i="24"/>
  <c r="L69" i="50"/>
  <c r="L76" i="50"/>
  <c r="M70" i="50"/>
  <c r="AH69" i="51" s="1"/>
  <c r="F14" i="17"/>
  <c r="G23" i="24" s="1"/>
  <c r="H24" i="24"/>
  <c r="BD6" i="51" s="1"/>
  <c r="F15" i="17"/>
  <c r="G24" i="24" s="1"/>
  <c r="G47" i="24"/>
  <c r="M40" i="50" s="1"/>
  <c r="G49" i="24"/>
  <c r="M42" i="50" s="1"/>
  <c r="B41" i="51" s="1"/>
  <c r="D41" i="51" s="1"/>
  <c r="F41" i="51" s="1"/>
  <c r="H41" i="51" s="1"/>
  <c r="L78" i="50"/>
  <c r="L77" i="50"/>
  <c r="G61" i="24"/>
  <c r="L54" i="50" s="1"/>
  <c r="AI54" i="50" s="1"/>
  <c r="M61" i="50"/>
  <c r="R61" i="50" s="1"/>
  <c r="H37" i="24"/>
  <c r="BD19" i="51" s="1"/>
  <c r="G31" i="24"/>
  <c r="M24" i="50" s="1"/>
  <c r="G58" i="24"/>
  <c r="M51" i="50" s="1"/>
  <c r="B50" i="51" s="1"/>
  <c r="D50" i="51" s="1"/>
  <c r="F50" i="51" s="1"/>
  <c r="H50" i="51" s="1"/>
  <c r="H28" i="24"/>
  <c r="M21" i="50" s="1"/>
  <c r="B20" i="51" s="1"/>
  <c r="D20" i="51" s="1"/>
  <c r="F20" i="51" s="1"/>
  <c r="H20" i="51" s="1"/>
  <c r="G43" i="24"/>
  <c r="L36" i="50" s="1"/>
  <c r="AI36" i="50" s="1"/>
  <c r="G62" i="24"/>
  <c r="M55" i="50" s="1"/>
  <c r="B54" i="51" s="1"/>
  <c r="D54" i="51" s="1"/>
  <c r="F54" i="51" s="1"/>
  <c r="H54" i="51" s="1"/>
  <c r="G54" i="24"/>
  <c r="L47" i="50" s="1"/>
  <c r="L71" i="50"/>
  <c r="M72" i="50"/>
  <c r="R72" i="50" s="1"/>
  <c r="G35" i="24"/>
  <c r="L28" i="50" s="1"/>
  <c r="AI28" i="50" s="1"/>
  <c r="G46" i="24"/>
  <c r="M39" i="50" s="1"/>
  <c r="AH38" i="51" s="1"/>
  <c r="G34" i="24"/>
  <c r="L27" i="50" s="1"/>
  <c r="AI27" i="50" s="1"/>
  <c r="L68" i="50"/>
  <c r="H17" i="24"/>
  <c r="E8" i="17" s="1"/>
  <c r="F8" i="17"/>
  <c r="G17" i="24" s="1"/>
  <c r="H18" i="24"/>
  <c r="X17" i="19" s="1"/>
  <c r="F9" i="17"/>
  <c r="G18" i="24" s="1"/>
  <c r="H20" i="24"/>
  <c r="F11" i="17"/>
  <c r="G20" i="24" s="1"/>
  <c r="H21" i="24"/>
  <c r="AA17" i="19" s="1"/>
  <c r="F12" i="17"/>
  <c r="G21" i="24" s="1"/>
  <c r="H22" i="24"/>
  <c r="Y17" i="19" s="1"/>
  <c r="F13" i="17"/>
  <c r="G22" i="24" s="1"/>
  <c r="AV17" i="19"/>
  <c r="R65" i="50"/>
  <c r="B64" i="51"/>
  <c r="M20" i="50"/>
  <c r="AH19" i="51" s="1"/>
  <c r="L50" i="50"/>
  <c r="AI50" i="50" s="1"/>
  <c r="L23" i="50"/>
  <c r="AI23" i="50" s="1"/>
  <c r="BD5" i="51"/>
  <c r="AP17" i="19"/>
  <c r="BD18" i="51"/>
  <c r="G65" i="24"/>
  <c r="G45" i="24"/>
  <c r="G60" i="24"/>
  <c r="L67" i="50"/>
  <c r="H32" i="24"/>
  <c r="AL17" i="19" s="1"/>
  <c r="G40" i="24"/>
  <c r="H59" i="24"/>
  <c r="L73" i="50"/>
  <c r="M79" i="50"/>
  <c r="R79" i="50" s="1"/>
  <c r="M66" i="50"/>
  <c r="AH65" i="51" s="1"/>
  <c r="G36" i="24"/>
  <c r="L29" i="50" s="1"/>
  <c r="M23" i="50"/>
  <c r="AH22" i="51" s="1"/>
  <c r="L64" i="50"/>
  <c r="L80" i="50"/>
  <c r="AH79" i="51"/>
  <c r="G51" i="24"/>
  <c r="G33" i="24"/>
  <c r="G25" i="24"/>
  <c r="H25" i="24"/>
  <c r="L12" i="50"/>
  <c r="M12" i="50"/>
  <c r="H38" i="24"/>
  <c r="G38" i="24"/>
  <c r="G67" i="24"/>
  <c r="H67" i="24"/>
  <c r="BD15" i="51"/>
  <c r="AM17" i="19"/>
  <c r="BD22" i="51"/>
  <c r="AT17" i="19"/>
  <c r="G26" i="24"/>
  <c r="H56" i="24"/>
  <c r="G56" i="24"/>
  <c r="G41" i="24"/>
  <c r="AF17" i="19"/>
  <c r="BD8" i="51"/>
  <c r="H48" i="24"/>
  <c r="G48" i="24"/>
  <c r="H53" i="24"/>
  <c r="G53" i="24"/>
  <c r="H52" i="24"/>
  <c r="G52" i="24"/>
  <c r="CR9" i="50"/>
  <c r="H55" i="24"/>
  <c r="G55" i="24"/>
  <c r="G66" i="24"/>
  <c r="H44" i="24"/>
  <c r="BD21" i="51" s="1"/>
  <c r="G44" i="24"/>
  <c r="AO17" i="19"/>
  <c r="BD17" i="51"/>
  <c r="H63" i="24"/>
  <c r="BD45" i="51" s="1"/>
  <c r="G63" i="24"/>
  <c r="G50" i="24"/>
  <c r="H50" i="24"/>
  <c r="BD13" i="51"/>
  <c r="AK17" i="19"/>
  <c r="BD24" i="51"/>
  <c r="L20" i="50"/>
  <c r="BH17" i="19"/>
  <c r="BD36" i="51"/>
  <c r="BE17" i="19"/>
  <c r="BD33" i="51"/>
  <c r="AW17" i="19"/>
  <c r="BD25" i="51"/>
  <c r="L65" i="50"/>
  <c r="BD9" i="51"/>
  <c r="AG17" i="19"/>
  <c r="M35" i="50"/>
  <c r="H64" i="24"/>
  <c r="BD46" i="51" s="1"/>
  <c r="G64" i="24"/>
  <c r="BD28" i="51"/>
  <c r="AZ17" i="19"/>
  <c r="BO17" i="19"/>
  <c r="BD43" i="51"/>
  <c r="BC17" i="19"/>
  <c r="BD31" i="51"/>
  <c r="BD12" i="51"/>
  <c r="AJ17" i="19"/>
  <c r="BK17" i="19"/>
  <c r="BD39" i="51"/>
  <c r="BN17" i="19"/>
  <c r="BD42" i="51"/>
  <c r="BD27" i="51"/>
  <c r="AY17" i="19"/>
  <c r="BL17" i="19"/>
  <c r="BD40" i="51"/>
  <c r="L35" i="50"/>
  <c r="G29" i="24"/>
  <c r="G39" i="24"/>
  <c r="AI17" i="19"/>
  <c r="BD11" i="51"/>
  <c r="AN17" i="19"/>
  <c r="BD16" i="51"/>
  <c r="AS17" i="19"/>
  <c r="L63" i="50"/>
  <c r="B62" i="51"/>
  <c r="R63" i="50"/>
  <c r="AH62" i="51"/>
  <c r="R69" i="50"/>
  <c r="B68" i="51"/>
  <c r="AH68" i="51"/>
  <c r="R64" i="50"/>
  <c r="B63" i="51"/>
  <c r="AH63" i="51"/>
  <c r="R68" i="50"/>
  <c r="B67" i="51"/>
  <c r="AH67" i="51"/>
  <c r="L75" i="50"/>
  <c r="M75" i="50"/>
  <c r="B77" i="51"/>
  <c r="AH77" i="51"/>
  <c r="R78" i="50"/>
  <c r="B72" i="51"/>
  <c r="AH72" i="51"/>
  <c r="R73" i="50"/>
  <c r="AH76" i="51"/>
  <c r="B76" i="51"/>
  <c r="R71" i="50"/>
  <c r="AH70" i="51"/>
  <c r="B70" i="51"/>
  <c r="B73" i="51"/>
  <c r="AH73" i="51"/>
  <c r="R74" i="50"/>
  <c r="B66" i="51"/>
  <c r="R67" i="50"/>
  <c r="L74" i="50"/>
  <c r="L62" i="50"/>
  <c r="R62" i="50"/>
  <c r="B61" i="51"/>
  <c r="AH61" i="51"/>
  <c r="B75" i="51"/>
  <c r="R76" i="50"/>
  <c r="AH75" i="51"/>
  <c r="B79" i="51"/>
  <c r="B69" i="51" l="1"/>
  <c r="R70" i="50"/>
  <c r="L15" i="50"/>
  <c r="AD17" i="19"/>
  <c r="L42" i="50"/>
  <c r="AI42" i="50" s="1"/>
  <c r="L16" i="50"/>
  <c r="AI16" i="50" s="1"/>
  <c r="M16" i="50"/>
  <c r="AH15" i="51" s="1"/>
  <c r="AH41" i="51"/>
  <c r="L40" i="50"/>
  <c r="AI40" i="50" s="1"/>
  <c r="M36" i="50"/>
  <c r="B35" i="51" s="1"/>
  <c r="D35" i="51" s="1"/>
  <c r="F35" i="51" s="1"/>
  <c r="H35" i="51" s="1"/>
  <c r="L30" i="50"/>
  <c r="AI30" i="50" s="1"/>
  <c r="AH60" i="51"/>
  <c r="M54" i="50"/>
  <c r="AH53" i="51" s="1"/>
  <c r="B60" i="51"/>
  <c r="M30" i="50"/>
  <c r="AH29" i="51" s="1"/>
  <c r="L24" i="50"/>
  <c r="AI24" i="50" s="1"/>
  <c r="AQ17" i="19"/>
  <c r="AH17" i="19"/>
  <c r="L51" i="50"/>
  <c r="AI51" i="50" s="1"/>
  <c r="L21" i="50"/>
  <c r="AI21" i="50" s="1"/>
  <c r="BD10" i="51"/>
  <c r="L55" i="50"/>
  <c r="AI55" i="50" s="1"/>
  <c r="AH54" i="51"/>
  <c r="AH71" i="51"/>
  <c r="B71" i="51"/>
  <c r="M47" i="50"/>
  <c r="B46" i="51" s="1"/>
  <c r="D46" i="51" s="1"/>
  <c r="F46" i="51" s="1"/>
  <c r="H46" i="51" s="1"/>
  <c r="M28" i="50"/>
  <c r="AH27" i="51" s="1"/>
  <c r="AH49" i="51"/>
  <c r="B38" i="51"/>
  <c r="D38" i="51" s="1"/>
  <c r="F38" i="51" s="1"/>
  <c r="H38" i="51" s="1"/>
  <c r="M27" i="50"/>
  <c r="AH26" i="51" s="1"/>
  <c r="M10" i="50"/>
  <c r="AH9" i="51" s="1"/>
  <c r="AH78" i="51"/>
  <c r="B78" i="51"/>
  <c r="L39" i="50"/>
  <c r="AI39" i="50" s="1"/>
  <c r="R66" i="50"/>
  <c r="B65" i="51"/>
  <c r="B19" i="51"/>
  <c r="D19" i="51" s="1"/>
  <c r="F19" i="51" s="1"/>
  <c r="H19" i="51" s="1"/>
  <c r="L13" i="50"/>
  <c r="K8" i="17"/>
  <c r="R8" i="29" s="1"/>
  <c r="L10" i="50"/>
  <c r="M13" i="50"/>
  <c r="AH12" i="51" s="1"/>
  <c r="BD4" i="51"/>
  <c r="BD3" i="51"/>
  <c r="M15" i="50"/>
  <c r="AH14" i="51" s="1"/>
  <c r="AB17" i="19"/>
  <c r="BP17" i="19"/>
  <c r="BD44" i="51"/>
  <c r="Z17" i="19"/>
  <c r="BD2" i="51"/>
  <c r="CX5" i="50" s="1"/>
  <c r="BD29" i="51"/>
  <c r="BA17" i="19"/>
  <c r="BD23" i="51"/>
  <c r="AU17" i="19"/>
  <c r="DJ11" i="50"/>
  <c r="CX12" i="50"/>
  <c r="DP12" i="50"/>
  <c r="EN12" i="50"/>
  <c r="DP11" i="50"/>
  <c r="BZ12" i="50"/>
  <c r="BZ11" i="50"/>
  <c r="BT11" i="50"/>
  <c r="EN11" i="50"/>
  <c r="CX11" i="50"/>
  <c r="ET11" i="50"/>
  <c r="DV12" i="50"/>
  <c r="DD12" i="50"/>
  <c r="ET12" i="50"/>
  <c r="DJ12" i="50"/>
  <c r="BN11" i="50"/>
  <c r="BT12" i="50"/>
  <c r="DD11" i="50"/>
  <c r="EZ12" i="50"/>
  <c r="EH11" i="50"/>
  <c r="BN12" i="50"/>
  <c r="EB12" i="50"/>
  <c r="EZ11" i="50"/>
  <c r="EH12" i="50"/>
  <c r="EB11" i="50"/>
  <c r="DV11" i="50"/>
  <c r="AH50" i="51"/>
  <c r="L25" i="50"/>
  <c r="AI25" i="50" s="1"/>
  <c r="AV4" i="50"/>
  <c r="AH20" i="51"/>
  <c r="CR6" i="50"/>
  <c r="BB4" i="50"/>
  <c r="BB5" i="50"/>
  <c r="CR5" i="50"/>
  <c r="CR4" i="50"/>
  <c r="BB7" i="50"/>
  <c r="BB6" i="50"/>
  <c r="CR8" i="50"/>
  <c r="BB8" i="50"/>
  <c r="BB9" i="50"/>
  <c r="CR7" i="50"/>
  <c r="M29" i="50"/>
  <c r="B28" i="51" s="1"/>
  <c r="D28" i="51" s="1"/>
  <c r="F28" i="51" s="1"/>
  <c r="H28" i="51" s="1"/>
  <c r="M25" i="50"/>
  <c r="B24" i="51" s="1"/>
  <c r="D24" i="51" s="1"/>
  <c r="F24" i="51" s="1"/>
  <c r="H24" i="51" s="1"/>
  <c r="BD14" i="51"/>
  <c r="M38" i="50"/>
  <c r="L38" i="50"/>
  <c r="AI38" i="50" s="1"/>
  <c r="M26" i="50"/>
  <c r="L26" i="50"/>
  <c r="AI26" i="50" s="1"/>
  <c r="M58" i="50"/>
  <c r="L58" i="50"/>
  <c r="B22" i="51"/>
  <c r="D22" i="51" s="1"/>
  <c r="F22" i="51" s="1"/>
  <c r="H22" i="51" s="1"/>
  <c r="M44" i="50"/>
  <c r="L44" i="50"/>
  <c r="AI44" i="50" s="1"/>
  <c r="BD41" i="51"/>
  <c r="BM17" i="19"/>
  <c r="M33" i="50"/>
  <c r="L33" i="50"/>
  <c r="AI33" i="50" s="1"/>
  <c r="L52" i="50"/>
  <c r="AI52" i="50" s="1"/>
  <c r="M52" i="50"/>
  <c r="L53" i="50"/>
  <c r="AI53" i="50" s="1"/>
  <c r="M53" i="50"/>
  <c r="R75" i="50"/>
  <c r="B74" i="51"/>
  <c r="AH74" i="51"/>
  <c r="AI47" i="50"/>
  <c r="BF17" i="19"/>
  <c r="BD34" i="51"/>
  <c r="M31" i="50"/>
  <c r="L31" i="50"/>
  <c r="M32" i="50"/>
  <c r="L32" i="50"/>
  <c r="M11" i="50"/>
  <c r="L11" i="50"/>
  <c r="B11" i="51"/>
  <c r="AH11" i="51"/>
  <c r="M56" i="50"/>
  <c r="L56" i="50"/>
  <c r="C83" i="51"/>
  <c r="D83" i="51" s="1"/>
  <c r="C89" i="51"/>
  <c r="D89" i="51" s="1"/>
  <c r="C100" i="51"/>
  <c r="D100" i="51" s="1"/>
  <c r="C119" i="51"/>
  <c r="D119" i="51" s="1"/>
  <c r="C115" i="51"/>
  <c r="D115" i="51" s="1"/>
  <c r="C113" i="51"/>
  <c r="D113" i="51" s="1"/>
  <c r="C97" i="51"/>
  <c r="D97" i="51" s="1"/>
  <c r="C90" i="51"/>
  <c r="D90" i="51" s="1"/>
  <c r="C95" i="51"/>
  <c r="D95" i="51" s="1"/>
  <c r="C105" i="51"/>
  <c r="D105" i="51" s="1"/>
  <c r="C91" i="51"/>
  <c r="D91" i="51" s="1"/>
  <c r="C110" i="51"/>
  <c r="D110" i="51" s="1"/>
  <c r="C109" i="51"/>
  <c r="D109" i="51" s="1"/>
  <c r="C82" i="51"/>
  <c r="D82" i="51" s="1"/>
  <c r="C102" i="51"/>
  <c r="D102" i="51" s="1"/>
  <c r="C114" i="51"/>
  <c r="D114" i="51" s="1"/>
  <c r="C94" i="51"/>
  <c r="D94" i="51" s="1"/>
  <c r="C104" i="51"/>
  <c r="D104" i="51" s="1"/>
  <c r="C99" i="51"/>
  <c r="D99" i="51" s="1"/>
  <c r="C121" i="51"/>
  <c r="D121" i="51" s="1"/>
  <c r="C88" i="51"/>
  <c r="D88" i="51" s="1"/>
  <c r="C103" i="51"/>
  <c r="D103" i="51" s="1"/>
  <c r="C85" i="51"/>
  <c r="D85" i="51" s="1"/>
  <c r="C116" i="51"/>
  <c r="D116" i="51" s="1"/>
  <c r="C96" i="51"/>
  <c r="D96" i="51" s="1"/>
  <c r="C107" i="51"/>
  <c r="D107" i="51" s="1"/>
  <c r="C118" i="51"/>
  <c r="D118" i="51" s="1"/>
  <c r="C120" i="51"/>
  <c r="D120" i="51" s="1"/>
  <c r="C86" i="51"/>
  <c r="D86" i="51" s="1"/>
  <c r="C84" i="51"/>
  <c r="D84" i="51" s="1"/>
  <c r="C111" i="51"/>
  <c r="D111" i="51" s="1"/>
  <c r="C81" i="51"/>
  <c r="D81" i="51" s="1"/>
  <c r="C106" i="51"/>
  <c r="D106" i="51" s="1"/>
  <c r="C108" i="51"/>
  <c r="D108" i="51" s="1"/>
  <c r="C80" i="51"/>
  <c r="D80" i="51" s="1"/>
  <c r="C93" i="51"/>
  <c r="D93" i="51" s="1"/>
  <c r="C98" i="51"/>
  <c r="D98" i="51" s="1"/>
  <c r="C92" i="51"/>
  <c r="D92" i="51" s="1"/>
  <c r="C101" i="51"/>
  <c r="D101" i="51" s="1"/>
  <c r="C75" i="51"/>
  <c r="D75" i="51" s="1"/>
  <c r="C69" i="51"/>
  <c r="D69" i="51" s="1"/>
  <c r="C70" i="51"/>
  <c r="D70" i="51" s="1"/>
  <c r="C73" i="51"/>
  <c r="D73" i="51" s="1"/>
  <c r="C64" i="51"/>
  <c r="D64" i="51" s="1"/>
  <c r="C66" i="51"/>
  <c r="D66" i="51" s="1"/>
  <c r="C112" i="51"/>
  <c r="D112" i="51" s="1"/>
  <c r="C67" i="51"/>
  <c r="D67" i="51" s="1"/>
  <c r="C117" i="51"/>
  <c r="D117" i="51" s="1"/>
  <c r="C68" i="51"/>
  <c r="D68" i="51" s="1"/>
  <c r="C71" i="51"/>
  <c r="C76" i="51"/>
  <c r="D76" i="51" s="1"/>
  <c r="C74" i="51"/>
  <c r="C61" i="51"/>
  <c r="D61" i="51" s="1"/>
  <c r="C60" i="51"/>
  <c r="C72" i="51"/>
  <c r="D72" i="51" s="1"/>
  <c r="C78" i="51"/>
  <c r="C87" i="51"/>
  <c r="D87" i="51" s="1"/>
  <c r="C79" i="51"/>
  <c r="D79" i="51" s="1"/>
  <c r="C62" i="51"/>
  <c r="D62" i="51" s="1"/>
  <c r="C65" i="51"/>
  <c r="C63" i="51"/>
  <c r="D63" i="51" s="1"/>
  <c r="C77" i="51"/>
  <c r="D77" i="51" s="1"/>
  <c r="M41" i="50"/>
  <c r="L41" i="50"/>
  <c r="M19" i="50"/>
  <c r="L19" i="50"/>
  <c r="AE17" i="19"/>
  <c r="BD7" i="51"/>
  <c r="AI20" i="50"/>
  <c r="AI29" i="50"/>
  <c r="BB17" i="19"/>
  <c r="BD30" i="51"/>
  <c r="M18" i="50"/>
  <c r="L18" i="50"/>
  <c r="M45" i="50"/>
  <c r="L45" i="50"/>
  <c r="M22" i="50"/>
  <c r="L22" i="50"/>
  <c r="BD32" i="51"/>
  <c r="BD17" i="19"/>
  <c r="M57" i="50"/>
  <c r="L57" i="50"/>
  <c r="M48" i="50"/>
  <c r="L48" i="50"/>
  <c r="L34" i="50"/>
  <c r="M34" i="50"/>
  <c r="AH39" i="51"/>
  <c r="B39" i="51"/>
  <c r="D39" i="51" s="1"/>
  <c r="F39" i="51" s="1"/>
  <c r="H39" i="51" s="1"/>
  <c r="M46" i="50"/>
  <c r="L46" i="50"/>
  <c r="AI35" i="50"/>
  <c r="BG17" i="19"/>
  <c r="BD35" i="51"/>
  <c r="BI17" i="19"/>
  <c r="BD37" i="51"/>
  <c r="L14" i="50"/>
  <c r="M14" i="50"/>
  <c r="B23" i="51"/>
  <c r="D23" i="51" s="1"/>
  <c r="F23" i="51" s="1"/>
  <c r="H23" i="51" s="1"/>
  <c r="AH23" i="51"/>
  <c r="BD20" i="51"/>
  <c r="AR17" i="19"/>
  <c r="M43" i="50"/>
  <c r="L43" i="50"/>
  <c r="M60" i="50"/>
  <c r="L60" i="50"/>
  <c r="AH34" i="51"/>
  <c r="B34" i="51"/>
  <c r="D34" i="51" s="1"/>
  <c r="F34" i="51" s="1"/>
  <c r="H34" i="51" s="1"/>
  <c r="L17" i="50"/>
  <c r="M17" i="50"/>
  <c r="M49" i="50"/>
  <c r="L49" i="50"/>
  <c r="L37" i="50"/>
  <c r="M37" i="50"/>
  <c r="BD26" i="51"/>
  <c r="AX17" i="19"/>
  <c r="M59" i="50"/>
  <c r="L59" i="50"/>
  <c r="BJ17" i="19"/>
  <c r="BD38" i="51"/>
  <c r="B15" i="51" l="1"/>
  <c r="D15" i="51" s="1"/>
  <c r="F15" i="51" s="1"/>
  <c r="H15" i="51" s="1"/>
  <c r="AH35" i="51"/>
  <c r="B53" i="51"/>
  <c r="D53" i="51" s="1"/>
  <c r="F53" i="51" s="1"/>
  <c r="H53" i="51" s="1"/>
  <c r="D60" i="51"/>
  <c r="B26" i="51"/>
  <c r="D26" i="51" s="1"/>
  <c r="F26" i="51" s="1"/>
  <c r="H26" i="51" s="1"/>
  <c r="B29" i="51"/>
  <c r="D29" i="51" s="1"/>
  <c r="F29" i="51" s="1"/>
  <c r="H29" i="51" s="1"/>
  <c r="D71" i="51"/>
  <c r="B27" i="51"/>
  <c r="D27" i="51" s="1"/>
  <c r="F27" i="51" s="1"/>
  <c r="H27" i="51" s="1"/>
  <c r="B12" i="51"/>
  <c r="B9" i="51"/>
  <c r="AH46" i="51"/>
  <c r="D78" i="51"/>
  <c r="C9" i="17"/>
  <c r="E9" i="17" s="1"/>
  <c r="K9" i="17" s="1"/>
  <c r="R9" i="29" s="1"/>
  <c r="D65" i="51"/>
  <c r="EB68" i="50"/>
  <c r="DP5" i="50"/>
  <c r="DJ73" i="50"/>
  <c r="DD7" i="50"/>
  <c r="DV69" i="50"/>
  <c r="EB71" i="50"/>
  <c r="BZ6" i="50"/>
  <c r="BT8" i="50"/>
  <c r="EB75" i="50"/>
  <c r="EN80" i="50"/>
  <c r="EN8" i="50"/>
  <c r="DD61" i="50"/>
  <c r="CL23" i="50"/>
  <c r="BZ66" i="50"/>
  <c r="BN4" i="50"/>
  <c r="BT65" i="50"/>
  <c r="CL6" i="50"/>
  <c r="BN62" i="50"/>
  <c r="DJ4" i="50"/>
  <c r="DK4" i="50" s="1"/>
  <c r="S3" i="52" s="1"/>
  <c r="BZ4" i="50"/>
  <c r="BZ69" i="50"/>
  <c r="DV80" i="50"/>
  <c r="DJ75" i="50"/>
  <c r="CL55" i="50"/>
  <c r="CL51" i="50"/>
  <c r="CL42" i="50"/>
  <c r="EH64" i="50"/>
  <c r="BZ61" i="50"/>
  <c r="EB6" i="50"/>
  <c r="EB63" i="50"/>
  <c r="B14" i="51"/>
  <c r="ET61" i="50"/>
  <c r="EN61" i="50"/>
  <c r="CL41" i="50"/>
  <c r="DV8" i="50"/>
  <c r="CL65" i="50"/>
  <c r="BN65" i="50"/>
  <c r="EH70" i="50"/>
  <c r="CL40" i="50"/>
  <c r="DP62" i="50"/>
  <c r="DD67" i="50"/>
  <c r="CL36" i="50"/>
  <c r="EH6" i="50"/>
  <c r="DV61" i="50"/>
  <c r="EN70" i="50"/>
  <c r="DV64" i="50"/>
  <c r="CL32" i="50"/>
  <c r="DD80" i="50"/>
  <c r="EH5" i="50"/>
  <c r="EN79" i="50"/>
  <c r="EZ6" i="50"/>
  <c r="CL33" i="50"/>
  <c r="DV62" i="50"/>
  <c r="EH7" i="50"/>
  <c r="BZ70" i="50"/>
  <c r="EN67" i="50"/>
  <c r="EH73" i="50"/>
  <c r="CL57" i="50"/>
  <c r="BN67" i="50"/>
  <c r="DJ62" i="50"/>
  <c r="EN75" i="50"/>
  <c r="BZ64" i="50"/>
  <c r="DJ63" i="50"/>
  <c r="EZ61" i="50"/>
  <c r="DV75" i="50"/>
  <c r="CL5" i="50"/>
  <c r="DD68" i="50"/>
  <c r="DV72" i="50"/>
  <c r="CL70" i="50"/>
  <c r="CL18" i="50"/>
  <c r="DV71" i="50"/>
  <c r="EN4" i="50"/>
  <c r="EO4" i="50" s="1"/>
  <c r="EL5" i="50" s="1"/>
  <c r="DJ77" i="50"/>
  <c r="CL58" i="50"/>
  <c r="EH68" i="50"/>
  <c r="EH4" i="50"/>
  <c r="DJ69" i="50"/>
  <c r="DP71" i="50"/>
  <c r="EZ4" i="50"/>
  <c r="FA4" i="50" s="1"/>
  <c r="Z3" i="52" s="1"/>
  <c r="EH75" i="50"/>
  <c r="EH76" i="50"/>
  <c r="ET64" i="50"/>
  <c r="EN72" i="50"/>
  <c r="ET74" i="50"/>
  <c r="ET4" i="50"/>
  <c r="EU4" i="50" s="1"/>
  <c r="Y3" i="52" s="1"/>
  <c r="EN77" i="50"/>
  <c r="CL28" i="50"/>
  <c r="CL68" i="50"/>
  <c r="CL76" i="50"/>
  <c r="CX64" i="50"/>
  <c r="EH61" i="50"/>
  <c r="DJ72" i="50"/>
  <c r="DP63" i="50"/>
  <c r="DV7" i="50"/>
  <c r="BT4" i="50"/>
  <c r="EH72" i="50"/>
  <c r="CL71" i="50"/>
  <c r="DP67" i="50"/>
  <c r="CX76" i="50"/>
  <c r="CL69" i="50"/>
  <c r="BT75" i="50"/>
  <c r="DD78" i="50"/>
  <c r="EZ65" i="50"/>
  <c r="EZ78" i="50"/>
  <c r="CL16" i="50"/>
  <c r="EZ69" i="50"/>
  <c r="EZ7" i="50"/>
  <c r="CL44" i="50"/>
  <c r="DP74" i="50"/>
  <c r="DP9" i="50"/>
  <c r="EN63" i="50"/>
  <c r="DV74" i="50"/>
  <c r="EB9" i="50"/>
  <c r="CX79" i="50"/>
  <c r="BN66" i="50"/>
  <c r="ET63" i="50"/>
  <c r="CL7" i="50"/>
  <c r="DV6" i="50"/>
  <c r="ET5" i="50"/>
  <c r="CL49" i="50"/>
  <c r="EB78" i="50"/>
  <c r="BN7" i="50"/>
  <c r="DD4" i="50"/>
  <c r="BZ63" i="50"/>
  <c r="CX7" i="50"/>
  <c r="BZ74" i="50"/>
  <c r="CX65" i="50"/>
  <c r="CL31" i="50"/>
  <c r="EB64" i="50"/>
  <c r="DD76" i="50"/>
  <c r="EH78" i="50"/>
  <c r="CX69" i="50"/>
  <c r="BN64" i="50"/>
  <c r="CX66" i="50"/>
  <c r="DP72" i="50"/>
  <c r="DV9" i="50"/>
  <c r="EN62" i="50"/>
  <c r="BZ8" i="50"/>
  <c r="ET67" i="50"/>
  <c r="BZ73" i="50"/>
  <c r="CL79" i="50"/>
  <c r="DD63" i="50"/>
  <c r="DJ61" i="50"/>
  <c r="EZ66" i="50"/>
  <c r="EZ5" i="50"/>
  <c r="ET7" i="50"/>
  <c r="BZ78" i="50"/>
  <c r="BZ80" i="50"/>
  <c r="CL20" i="50"/>
  <c r="ET8" i="50"/>
  <c r="BT71" i="50"/>
  <c r="ET62" i="50"/>
  <c r="DD6" i="50"/>
  <c r="EZ77" i="50"/>
  <c r="DV79" i="50"/>
  <c r="DV67" i="50"/>
  <c r="BN76" i="50"/>
  <c r="DD5" i="50"/>
  <c r="BZ7" i="50"/>
  <c r="DP79" i="50"/>
  <c r="EZ70" i="50"/>
  <c r="ET71" i="50"/>
  <c r="BT9" i="50"/>
  <c r="ET77" i="50"/>
  <c r="CL47" i="50"/>
  <c r="DJ70" i="50"/>
  <c r="BN6" i="50"/>
  <c r="BT69" i="50"/>
  <c r="CX74" i="50"/>
  <c r="BN68" i="50"/>
  <c r="ET75" i="50"/>
  <c r="DV70" i="50"/>
  <c r="CX62" i="50"/>
  <c r="EN5" i="50"/>
  <c r="EB67" i="50"/>
  <c r="DV68" i="50"/>
  <c r="EN71" i="50"/>
  <c r="CL34" i="50"/>
  <c r="ET72" i="50"/>
  <c r="BN78" i="50"/>
  <c r="CL61" i="50"/>
  <c r="CL50" i="50"/>
  <c r="CL67" i="50"/>
  <c r="EN76" i="50"/>
  <c r="CL59" i="50"/>
  <c r="EB73" i="50"/>
  <c r="DV78" i="50"/>
  <c r="CL77" i="50"/>
  <c r="CX77" i="50"/>
  <c r="BT79" i="50"/>
  <c r="BN61" i="50"/>
  <c r="DP75" i="50"/>
  <c r="EH79" i="50"/>
  <c r="EZ79" i="50"/>
  <c r="EH67" i="50"/>
  <c r="CX61" i="50"/>
  <c r="CL52" i="50"/>
  <c r="CL37" i="50"/>
  <c r="BZ75" i="50"/>
  <c r="CL66" i="50"/>
  <c r="EZ74" i="50"/>
  <c r="CL19" i="50"/>
  <c r="BT67" i="50"/>
  <c r="BZ71" i="50"/>
  <c r="CL27" i="50"/>
  <c r="DP7" i="50"/>
  <c r="CL62" i="50"/>
  <c r="CL73" i="50"/>
  <c r="CL22" i="50"/>
  <c r="DP64" i="50"/>
  <c r="BN71" i="50"/>
  <c r="ET68" i="50"/>
  <c r="DJ65" i="50"/>
  <c r="CX71" i="50"/>
  <c r="DV65" i="50"/>
  <c r="DJ78" i="50"/>
  <c r="EN74" i="50"/>
  <c r="DP70" i="50"/>
  <c r="ET78" i="50"/>
  <c r="CX70" i="50"/>
  <c r="ET80" i="50"/>
  <c r="BT70" i="50"/>
  <c r="DV4" i="50"/>
  <c r="CL39" i="50"/>
  <c r="CL30" i="50"/>
  <c r="CL72" i="50"/>
  <c r="DD72" i="50"/>
  <c r="DJ6" i="50"/>
  <c r="CL17" i="50"/>
  <c r="BZ79" i="50"/>
  <c r="EH71" i="50"/>
  <c r="EZ80" i="50"/>
  <c r="DJ68" i="50"/>
  <c r="DP66" i="50"/>
  <c r="DD74" i="50"/>
  <c r="EZ63" i="50"/>
  <c r="DJ80" i="50"/>
  <c r="EB74" i="50"/>
  <c r="CL24" i="50"/>
  <c r="BZ76" i="50"/>
  <c r="EZ68" i="50"/>
  <c r="BT74" i="50"/>
  <c r="ET65" i="50"/>
  <c r="ET73" i="50"/>
  <c r="EB79" i="50"/>
  <c r="CL45" i="50"/>
  <c r="CL75" i="50"/>
  <c r="BN5" i="50"/>
  <c r="DJ74" i="50"/>
  <c r="DJ5" i="50"/>
  <c r="EN7" i="50"/>
  <c r="EB66" i="50"/>
  <c r="DD70" i="50"/>
  <c r="DD73" i="50"/>
  <c r="CL74" i="50"/>
  <c r="EB61" i="50"/>
  <c r="EN9" i="50"/>
  <c r="DP78" i="50"/>
  <c r="EZ64" i="50"/>
  <c r="DD65" i="50"/>
  <c r="BT66" i="50"/>
  <c r="DP73" i="50"/>
  <c r="BT61" i="50"/>
  <c r="EB76" i="50"/>
  <c r="EH80" i="50"/>
  <c r="BT6" i="50"/>
  <c r="BN70" i="50"/>
  <c r="DJ7" i="50"/>
  <c r="BN79" i="50"/>
  <c r="DP77" i="50"/>
  <c r="CL80" i="50"/>
  <c r="EB65" i="50"/>
  <c r="DV66" i="50"/>
  <c r="CL60" i="50"/>
  <c r="CX80" i="50"/>
  <c r="ET66" i="50"/>
  <c r="BZ9" i="50"/>
  <c r="BZ72" i="50"/>
  <c r="BN69" i="50"/>
  <c r="CL4" i="50"/>
  <c r="BZ65" i="50"/>
  <c r="DD71" i="50"/>
  <c r="CX4" i="50"/>
  <c r="CY4" i="50" s="1"/>
  <c r="Q3" i="52" s="1"/>
  <c r="CX78" i="50"/>
  <c r="EH69" i="50"/>
  <c r="BN74" i="50"/>
  <c r="DV77" i="50"/>
  <c r="EN68" i="50"/>
  <c r="DJ64" i="50"/>
  <c r="EN73" i="50"/>
  <c r="EH66" i="50"/>
  <c r="EZ67" i="50"/>
  <c r="BT77" i="50"/>
  <c r="EB70" i="50"/>
  <c r="DP61" i="50"/>
  <c r="BT63" i="50"/>
  <c r="BT78" i="50"/>
  <c r="DJ79" i="50"/>
  <c r="EH77" i="50"/>
  <c r="BZ5" i="50"/>
  <c r="BT73" i="50"/>
  <c r="CL35" i="50"/>
  <c r="EB72" i="50"/>
  <c r="DD66" i="50"/>
  <c r="BT76" i="50"/>
  <c r="CL46" i="50"/>
  <c r="BT62" i="50"/>
  <c r="CX63" i="50"/>
  <c r="BN77" i="50"/>
  <c r="BT5" i="50"/>
  <c r="DD77" i="50"/>
  <c r="CL64" i="50"/>
  <c r="BN9" i="50"/>
  <c r="BN63" i="50"/>
  <c r="DV76" i="50"/>
  <c r="CL29" i="50"/>
  <c r="ET6" i="50"/>
  <c r="DP65" i="50"/>
  <c r="DJ71" i="50"/>
  <c r="CL14" i="50"/>
  <c r="EH8" i="50"/>
  <c r="CL8" i="50"/>
  <c r="CX67" i="50"/>
  <c r="BT68" i="50"/>
  <c r="EZ75" i="50"/>
  <c r="CX9" i="50"/>
  <c r="BT72" i="50"/>
  <c r="DJ8" i="50"/>
  <c r="DD69" i="50"/>
  <c r="BT64" i="50"/>
  <c r="ET9" i="50"/>
  <c r="BN8" i="50"/>
  <c r="EB69" i="50"/>
  <c r="EH62" i="50"/>
  <c r="DV5" i="50"/>
  <c r="BN73" i="50"/>
  <c r="BZ68" i="50"/>
  <c r="CL38" i="50"/>
  <c r="DP69" i="50"/>
  <c r="ET69" i="50"/>
  <c r="BT7" i="50"/>
  <c r="DD64" i="50"/>
  <c r="EZ73" i="50"/>
  <c r="CL54" i="50"/>
  <c r="CL25" i="50"/>
  <c r="DP8" i="50"/>
  <c r="DD79" i="50"/>
  <c r="EN69" i="50"/>
  <c r="EB77" i="50"/>
  <c r="CL78" i="50"/>
  <c r="CL26" i="50"/>
  <c r="EH9" i="50"/>
  <c r="BZ77" i="50"/>
  <c r="EB7" i="50"/>
  <c r="DV73" i="50"/>
  <c r="DD75" i="50"/>
  <c r="EB4" i="50"/>
  <c r="CL9" i="50"/>
  <c r="DP4" i="50"/>
  <c r="DJ67" i="50"/>
  <c r="DD9" i="50"/>
  <c r="DD62" i="50"/>
  <c r="EN6" i="50"/>
  <c r="DD8" i="50"/>
  <c r="EN66" i="50"/>
  <c r="CX75" i="50"/>
  <c r="ET76" i="50"/>
  <c r="DP68" i="50"/>
  <c r="CX6" i="50"/>
  <c r="BZ67" i="50"/>
  <c r="EH63" i="50"/>
  <c r="CL11" i="50"/>
  <c r="DJ66" i="50"/>
  <c r="EB62" i="50"/>
  <c r="BN72" i="50"/>
  <c r="CL43" i="50"/>
  <c r="EB80" i="50"/>
  <c r="ET70" i="50"/>
  <c r="ET79" i="50"/>
  <c r="EZ71" i="50"/>
  <c r="CX73" i="50"/>
  <c r="BN75" i="50"/>
  <c r="EB8" i="50"/>
  <c r="CL56" i="50"/>
  <c r="DJ9" i="50"/>
  <c r="CL63" i="50"/>
  <c r="EH65" i="50"/>
  <c r="EN78" i="50"/>
  <c r="DV63" i="50"/>
  <c r="EH74" i="50"/>
  <c r="EZ76" i="50"/>
  <c r="CL48" i="50"/>
  <c r="CX68" i="50"/>
  <c r="EZ62" i="50"/>
  <c r="DP6" i="50"/>
  <c r="CL12" i="50"/>
  <c r="CL53" i="50"/>
  <c r="EZ8" i="50"/>
  <c r="DP76" i="50"/>
  <c r="EN65" i="50"/>
  <c r="BZ62" i="50"/>
  <c r="CL21" i="50"/>
  <c r="BN80" i="50"/>
  <c r="BT80" i="50"/>
  <c r="DP80" i="50"/>
  <c r="EB5" i="50"/>
  <c r="EZ9" i="50"/>
  <c r="CX8" i="50"/>
  <c r="DJ76" i="50"/>
  <c r="CX72" i="50"/>
  <c r="EN64" i="50"/>
  <c r="EZ72" i="50"/>
  <c r="BN14" i="50"/>
  <c r="DV14" i="50"/>
  <c r="BZ14" i="50"/>
  <c r="BT14" i="50"/>
  <c r="CX14" i="50"/>
  <c r="EB14" i="50"/>
  <c r="DJ14" i="50"/>
  <c r="EZ14" i="50"/>
  <c r="DP14" i="50"/>
  <c r="DD14" i="50"/>
  <c r="EH14" i="50"/>
  <c r="ET14" i="50"/>
  <c r="EN14" i="50"/>
  <c r="AH24" i="51"/>
  <c r="AH28" i="51"/>
  <c r="B52" i="51"/>
  <c r="D52" i="51" s="1"/>
  <c r="F52" i="51" s="1"/>
  <c r="H52" i="51" s="1"/>
  <c r="AH52" i="51"/>
  <c r="AH43" i="51"/>
  <c r="B43" i="51"/>
  <c r="D43" i="51" s="1"/>
  <c r="F43" i="51" s="1"/>
  <c r="H43" i="51" s="1"/>
  <c r="B32" i="51"/>
  <c r="D32" i="51" s="1"/>
  <c r="F32" i="51" s="1"/>
  <c r="H32" i="51" s="1"/>
  <c r="AH32" i="51"/>
  <c r="AI58" i="50"/>
  <c r="B57" i="51"/>
  <c r="D57" i="51" s="1"/>
  <c r="F57" i="51" s="1"/>
  <c r="H57" i="51" s="1"/>
  <c r="AH57" i="51"/>
  <c r="AH51" i="51"/>
  <c r="B51" i="51"/>
  <c r="D51" i="51" s="1"/>
  <c r="F51" i="51" s="1"/>
  <c r="H51" i="51" s="1"/>
  <c r="B25" i="51"/>
  <c r="D25" i="51" s="1"/>
  <c r="F25" i="51" s="1"/>
  <c r="H25" i="51" s="1"/>
  <c r="AH25" i="51"/>
  <c r="AH37" i="51"/>
  <c r="B37" i="51"/>
  <c r="D37" i="51" s="1"/>
  <c r="F37" i="51" s="1"/>
  <c r="H37" i="51" s="1"/>
  <c r="X67" i="50"/>
  <c r="X65" i="50"/>
  <c r="X80" i="50"/>
  <c r="X72" i="50"/>
  <c r="X69" i="50"/>
  <c r="X78" i="50"/>
  <c r="X64" i="50"/>
  <c r="X66" i="50"/>
  <c r="X75" i="50"/>
  <c r="X71" i="50"/>
  <c r="X76" i="50"/>
  <c r="X70" i="50"/>
  <c r="X62" i="50"/>
  <c r="X77" i="50"/>
  <c r="X73" i="50"/>
  <c r="X79" i="50"/>
  <c r="X63" i="50"/>
  <c r="X61" i="50"/>
  <c r="X74" i="50"/>
  <c r="X68" i="50"/>
  <c r="AI34" i="50"/>
  <c r="B17" i="51"/>
  <c r="D17" i="51" s="1"/>
  <c r="F17" i="51" s="1"/>
  <c r="H17" i="51" s="1"/>
  <c r="AH17" i="51"/>
  <c r="AH13" i="51"/>
  <c r="B13" i="51"/>
  <c r="AI48" i="50"/>
  <c r="AI60" i="50"/>
  <c r="B47" i="51"/>
  <c r="D47" i="51" s="1"/>
  <c r="F47" i="51" s="1"/>
  <c r="H47" i="51" s="1"/>
  <c r="AH47" i="51"/>
  <c r="AI56" i="50"/>
  <c r="AH10" i="51"/>
  <c r="B10" i="51"/>
  <c r="B40" i="51"/>
  <c r="D40" i="51" s="1"/>
  <c r="F40" i="51" s="1"/>
  <c r="H40" i="51" s="1"/>
  <c r="AH40" i="51"/>
  <c r="AH59" i="51"/>
  <c r="B59" i="51"/>
  <c r="D59" i="51" s="1"/>
  <c r="F59" i="51" s="1"/>
  <c r="H59" i="51" s="1"/>
  <c r="AI45" i="50"/>
  <c r="AI19" i="50"/>
  <c r="B55" i="51"/>
  <c r="D55" i="51" s="1"/>
  <c r="F55" i="51" s="1"/>
  <c r="H55" i="51" s="1"/>
  <c r="AH55" i="51"/>
  <c r="AI32" i="50"/>
  <c r="AH33" i="51"/>
  <c r="B33" i="51"/>
  <c r="D33" i="51" s="1"/>
  <c r="F33" i="51" s="1"/>
  <c r="H33" i="51" s="1"/>
  <c r="AI17" i="50"/>
  <c r="AI43" i="50"/>
  <c r="AI46" i="50"/>
  <c r="AI59" i="50"/>
  <c r="AH44" i="51"/>
  <c r="B44" i="51"/>
  <c r="D44" i="51" s="1"/>
  <c r="F44" i="51" s="1"/>
  <c r="H44" i="51" s="1"/>
  <c r="AH18" i="51"/>
  <c r="B18" i="51"/>
  <c r="D18" i="51" s="1"/>
  <c r="F18" i="51" s="1"/>
  <c r="H18" i="51" s="1"/>
  <c r="B31" i="51"/>
  <c r="D31" i="51" s="1"/>
  <c r="F31" i="51" s="1"/>
  <c r="H31" i="51" s="1"/>
  <c r="AH31" i="51"/>
  <c r="AH56" i="51"/>
  <c r="B56" i="51"/>
  <c r="D56" i="51" s="1"/>
  <c r="F56" i="51" s="1"/>
  <c r="H56" i="51" s="1"/>
  <c r="AI22" i="50"/>
  <c r="AI41" i="50"/>
  <c r="B16" i="51"/>
  <c r="D16" i="51" s="1"/>
  <c r="F16" i="51" s="1"/>
  <c r="H16" i="51" s="1"/>
  <c r="AH16" i="51"/>
  <c r="B42" i="51"/>
  <c r="D42" i="51" s="1"/>
  <c r="F42" i="51" s="1"/>
  <c r="H42" i="51" s="1"/>
  <c r="AH42" i="51"/>
  <c r="AH45" i="51"/>
  <c r="B45" i="51"/>
  <c r="D45" i="51" s="1"/>
  <c r="F45" i="51" s="1"/>
  <c r="H45" i="51" s="1"/>
  <c r="AI31" i="50"/>
  <c r="AH30" i="51"/>
  <c r="B30" i="51"/>
  <c r="D30" i="51" s="1"/>
  <c r="F30" i="51" s="1"/>
  <c r="H30" i="51" s="1"/>
  <c r="D74" i="51"/>
  <c r="AH21" i="51"/>
  <c r="B21" i="51"/>
  <c r="D21" i="51" s="1"/>
  <c r="F21" i="51" s="1"/>
  <c r="H21" i="51" s="1"/>
  <c r="AI18" i="50"/>
  <c r="AI49" i="50"/>
  <c r="AH48" i="51"/>
  <c r="B48" i="51"/>
  <c r="D48" i="51" s="1"/>
  <c r="F48" i="51" s="1"/>
  <c r="H48" i="51" s="1"/>
  <c r="B58" i="51"/>
  <c r="D58" i="51" s="1"/>
  <c r="F58" i="51" s="1"/>
  <c r="H58" i="51" s="1"/>
  <c r="AH58" i="51"/>
  <c r="AH36" i="51"/>
  <c r="B36" i="51"/>
  <c r="D36" i="51" s="1"/>
  <c r="F36" i="51" s="1"/>
  <c r="H36" i="51" s="1"/>
  <c r="AI37" i="50"/>
  <c r="AI57" i="50"/>
  <c r="EX5" i="50" l="1"/>
  <c r="FA5" i="50" s="1"/>
  <c r="Z4" i="52" s="1"/>
  <c r="C10" i="17"/>
  <c r="DH5" i="50"/>
  <c r="DK5" i="50" s="1"/>
  <c r="S4" i="52" s="1"/>
  <c r="CV5" i="50"/>
  <c r="CY5" i="50" s="1"/>
  <c r="Q4" i="52" s="1"/>
  <c r="ER5" i="50"/>
  <c r="EU5" i="50" s="1"/>
  <c r="Y4" i="52" s="1"/>
  <c r="EO5" i="50"/>
  <c r="EL6" i="50" s="1"/>
  <c r="EO6" i="50" s="1"/>
  <c r="X5" i="52" s="1"/>
  <c r="X3" i="52"/>
  <c r="E60" i="51"/>
  <c r="F60" i="51" s="1"/>
  <c r="E87" i="51"/>
  <c r="F87" i="51" s="1"/>
  <c r="E100" i="51"/>
  <c r="F100" i="51" s="1"/>
  <c r="E97" i="51"/>
  <c r="F97" i="51" s="1"/>
  <c r="E81" i="51"/>
  <c r="F81" i="51" s="1"/>
  <c r="E110" i="51"/>
  <c r="F110" i="51" s="1"/>
  <c r="E93" i="51"/>
  <c r="F93" i="51" s="1"/>
  <c r="E86" i="51"/>
  <c r="F86" i="51" s="1"/>
  <c r="E96" i="51"/>
  <c r="F96" i="51" s="1"/>
  <c r="E119" i="51"/>
  <c r="F119" i="51" s="1"/>
  <c r="E72" i="51"/>
  <c r="F72" i="51" s="1"/>
  <c r="E77" i="51"/>
  <c r="F77" i="51" s="1"/>
  <c r="E106" i="51"/>
  <c r="F106" i="51" s="1"/>
  <c r="E65" i="51"/>
  <c r="F65" i="51" s="1"/>
  <c r="E102" i="51"/>
  <c r="F102" i="51" s="1"/>
  <c r="E85" i="51"/>
  <c r="F85" i="51" s="1"/>
  <c r="E94" i="51"/>
  <c r="F94" i="51" s="1"/>
  <c r="E117" i="51"/>
  <c r="F117" i="51" s="1"/>
  <c r="E112" i="51"/>
  <c r="F112" i="51" s="1"/>
  <c r="E118" i="51"/>
  <c r="F118" i="51" s="1"/>
  <c r="E68" i="51"/>
  <c r="F68" i="51" s="1"/>
  <c r="E120" i="51"/>
  <c r="F120" i="51" s="1"/>
  <c r="E121" i="51"/>
  <c r="F121" i="51" s="1"/>
  <c r="E64" i="51"/>
  <c r="F64" i="51" s="1"/>
  <c r="E82" i="51"/>
  <c r="F82" i="51" s="1"/>
  <c r="E91" i="51"/>
  <c r="F91" i="51" s="1"/>
  <c r="E74" i="51"/>
  <c r="F74" i="51" s="1"/>
  <c r="E73" i="51"/>
  <c r="F73" i="51" s="1"/>
  <c r="E75" i="51"/>
  <c r="F75" i="51" s="1"/>
  <c r="E92" i="51"/>
  <c r="F92" i="51" s="1"/>
  <c r="E98" i="51"/>
  <c r="F98" i="51" s="1"/>
  <c r="E88" i="51"/>
  <c r="F88" i="51" s="1"/>
  <c r="E69" i="51"/>
  <c r="F69" i="51" s="1"/>
  <c r="E105" i="51"/>
  <c r="F105" i="51" s="1"/>
  <c r="E114" i="51"/>
  <c r="F114" i="51" s="1"/>
  <c r="E111" i="51"/>
  <c r="F111" i="51" s="1"/>
  <c r="E66" i="51"/>
  <c r="F66" i="51" s="1"/>
  <c r="E101" i="51"/>
  <c r="F101" i="51" s="1"/>
  <c r="E84" i="51"/>
  <c r="F84" i="51" s="1"/>
  <c r="E95" i="51"/>
  <c r="F95" i="51" s="1"/>
  <c r="E70" i="51"/>
  <c r="F70" i="51" s="1"/>
  <c r="E62" i="51"/>
  <c r="F62" i="51" s="1"/>
  <c r="E115" i="51"/>
  <c r="F115" i="51" s="1"/>
  <c r="E83" i="51"/>
  <c r="F83" i="51" s="1"/>
  <c r="E80" i="51"/>
  <c r="F80" i="51" s="1"/>
  <c r="E61" i="51"/>
  <c r="F61" i="51" s="1"/>
  <c r="E116" i="51"/>
  <c r="F116" i="51" s="1"/>
  <c r="E113" i="51"/>
  <c r="F113" i="51" s="1"/>
  <c r="E104" i="51"/>
  <c r="F104" i="51" s="1"/>
  <c r="E90" i="51"/>
  <c r="F90" i="51" s="1"/>
  <c r="E89" i="51"/>
  <c r="F89" i="51" s="1"/>
  <c r="E63" i="51"/>
  <c r="F63" i="51" s="1"/>
  <c r="E67" i="51"/>
  <c r="F67" i="51" s="1"/>
  <c r="E99" i="51"/>
  <c r="F99" i="51" s="1"/>
  <c r="E71" i="51"/>
  <c r="F71" i="51" s="1"/>
  <c r="E109" i="51"/>
  <c r="F109" i="51" s="1"/>
  <c r="E76" i="51"/>
  <c r="F76" i="51" s="1"/>
  <c r="E78" i="51"/>
  <c r="F78" i="51" s="1"/>
  <c r="E103" i="51"/>
  <c r="F103" i="51" s="1"/>
  <c r="E79" i="51"/>
  <c r="F79" i="51" s="1"/>
  <c r="E107" i="51"/>
  <c r="F107" i="51" s="1"/>
  <c r="E108" i="51"/>
  <c r="F108" i="51" s="1"/>
  <c r="E10" i="17"/>
  <c r="K10" i="17" s="1"/>
  <c r="CV6" i="50" l="1"/>
  <c r="CY6" i="50" s="1"/>
  <c r="CV7" i="50" s="1"/>
  <c r="CY7" i="50" s="1"/>
  <c r="CV8" i="50" s="1"/>
  <c r="CY8" i="50" s="1"/>
  <c r="DH6" i="50"/>
  <c r="DK6" i="50" s="1"/>
  <c r="DH7" i="50" s="1"/>
  <c r="DK7" i="50" s="1"/>
  <c r="S6" i="52" s="1"/>
  <c r="EL7" i="50"/>
  <c r="EO7" i="50" s="1"/>
  <c r="X6" i="52" s="1"/>
  <c r="EX6" i="50"/>
  <c r="FA6" i="50" s="1"/>
  <c r="Z5" i="52" s="1"/>
  <c r="X4" i="52"/>
  <c r="ER6" i="50"/>
  <c r="EU6" i="50" s="1"/>
  <c r="BH77" i="50"/>
  <c r="BH75" i="50"/>
  <c r="BH66" i="50"/>
  <c r="BH64" i="50"/>
  <c r="BH62" i="50"/>
  <c r="BH79" i="50"/>
  <c r="BH72" i="50"/>
  <c r="BH67" i="50"/>
  <c r="BH78" i="50"/>
  <c r="BH68" i="50"/>
  <c r="BH71" i="50"/>
  <c r="BH69" i="50"/>
  <c r="BH63" i="50"/>
  <c r="BH74" i="50"/>
  <c r="BH76" i="50"/>
  <c r="BH65" i="50"/>
  <c r="BH61" i="50"/>
  <c r="BH70" i="50"/>
  <c r="BH73" i="50"/>
  <c r="BH80" i="50"/>
  <c r="R10" i="29"/>
  <c r="C11" i="17"/>
  <c r="Q6" i="52" l="1"/>
  <c r="Q5" i="52"/>
  <c r="S5" i="52"/>
  <c r="DH8" i="50"/>
  <c r="DK8" i="50" s="1"/>
  <c r="DH9" i="50" s="1"/>
  <c r="DK9" i="50" s="1"/>
  <c r="EL8" i="50"/>
  <c r="EO8" i="50" s="1"/>
  <c r="EL9" i="50" s="1"/>
  <c r="EO9" i="50" s="1"/>
  <c r="EX7" i="50"/>
  <c r="FA7" i="50" s="1"/>
  <c r="EX8" i="50" s="1"/>
  <c r="FA8" i="50" s="1"/>
  <c r="EX9" i="50" s="1"/>
  <c r="FA9" i="50" s="1"/>
  <c r="Y5" i="52"/>
  <c r="ER7" i="50"/>
  <c r="EU7" i="50" s="1"/>
  <c r="G93" i="51"/>
  <c r="H93" i="51" s="1"/>
  <c r="G97" i="51"/>
  <c r="H97" i="51" s="1"/>
  <c r="G113" i="51"/>
  <c r="H113" i="51" s="1"/>
  <c r="G87" i="51"/>
  <c r="H87" i="51" s="1"/>
  <c r="G101" i="51"/>
  <c r="H101" i="51" s="1"/>
  <c r="G73" i="51"/>
  <c r="H73" i="51" s="1"/>
  <c r="G98" i="51"/>
  <c r="H98" i="51" s="1"/>
  <c r="G119" i="51"/>
  <c r="H119" i="51" s="1"/>
  <c r="G94" i="51"/>
  <c r="H94" i="51" s="1"/>
  <c r="G107" i="51"/>
  <c r="H107" i="51" s="1"/>
  <c r="G63" i="51"/>
  <c r="H63" i="51" s="1"/>
  <c r="G100" i="51"/>
  <c r="H100" i="51" s="1"/>
  <c r="G61" i="51"/>
  <c r="H61" i="51" s="1"/>
  <c r="G106" i="51"/>
  <c r="H106" i="51" s="1"/>
  <c r="G115" i="51"/>
  <c r="H115" i="51" s="1"/>
  <c r="G96" i="51"/>
  <c r="H96" i="51" s="1"/>
  <c r="G91" i="51"/>
  <c r="H91" i="51" s="1"/>
  <c r="G112" i="51"/>
  <c r="H112" i="51" s="1"/>
  <c r="G78" i="51"/>
  <c r="H78" i="51" s="1"/>
  <c r="G74" i="51"/>
  <c r="H74" i="51" s="1"/>
  <c r="G84" i="51"/>
  <c r="H84" i="51" s="1"/>
  <c r="G118" i="51"/>
  <c r="H118" i="51" s="1"/>
  <c r="G110" i="51"/>
  <c r="H110" i="51" s="1"/>
  <c r="G79" i="51"/>
  <c r="H79" i="51" s="1"/>
  <c r="G111" i="51"/>
  <c r="H111" i="51" s="1"/>
  <c r="G81" i="51"/>
  <c r="H81" i="51" s="1"/>
  <c r="G75" i="51"/>
  <c r="H75" i="51" s="1"/>
  <c r="G86" i="51"/>
  <c r="H86" i="51" s="1"/>
  <c r="G114" i="51"/>
  <c r="H114" i="51" s="1"/>
  <c r="G103" i="51"/>
  <c r="H103" i="51" s="1"/>
  <c r="G121" i="51"/>
  <c r="H121" i="51" s="1"/>
  <c r="G60" i="51"/>
  <c r="H60" i="51" s="1"/>
  <c r="G70" i="51"/>
  <c r="H70" i="51" s="1"/>
  <c r="G89" i="51"/>
  <c r="H89" i="51" s="1"/>
  <c r="G102" i="51"/>
  <c r="H102" i="51" s="1"/>
  <c r="G62" i="51"/>
  <c r="H62" i="51" s="1"/>
  <c r="G80" i="51"/>
  <c r="H80" i="51" s="1"/>
  <c r="G104" i="51"/>
  <c r="H104" i="51" s="1"/>
  <c r="G64" i="51"/>
  <c r="H64" i="51" s="1"/>
  <c r="G95" i="51"/>
  <c r="H95" i="51" s="1"/>
  <c r="G109" i="51"/>
  <c r="H109" i="51" s="1"/>
  <c r="G99" i="51"/>
  <c r="H99" i="51" s="1"/>
  <c r="G108" i="51"/>
  <c r="H108" i="51" s="1"/>
  <c r="G85" i="51"/>
  <c r="H85" i="51" s="1"/>
  <c r="G76" i="51"/>
  <c r="H76" i="51" s="1"/>
  <c r="G69" i="51"/>
  <c r="H69" i="51" s="1"/>
  <c r="G67" i="51"/>
  <c r="H67" i="51" s="1"/>
  <c r="G77" i="51"/>
  <c r="H77" i="51" s="1"/>
  <c r="G105" i="51"/>
  <c r="H105" i="51" s="1"/>
  <c r="G117" i="51"/>
  <c r="H117" i="51" s="1"/>
  <c r="G66" i="51"/>
  <c r="H66" i="51" s="1"/>
  <c r="G68" i="51"/>
  <c r="H68" i="51" s="1"/>
  <c r="G116" i="51"/>
  <c r="H116" i="51" s="1"/>
  <c r="G83" i="51"/>
  <c r="H83" i="51" s="1"/>
  <c r="G120" i="51"/>
  <c r="H120" i="51" s="1"/>
  <c r="G88" i="51"/>
  <c r="H88" i="51" s="1"/>
  <c r="G71" i="51"/>
  <c r="H71" i="51" s="1"/>
  <c r="G90" i="51"/>
  <c r="H90" i="51" s="1"/>
  <c r="G82" i="51"/>
  <c r="H82" i="51" s="1"/>
  <c r="G72" i="51"/>
  <c r="H72" i="51" s="1"/>
  <c r="G92" i="51"/>
  <c r="H92" i="51" s="1"/>
  <c r="G65" i="51"/>
  <c r="H65" i="51" s="1"/>
  <c r="E11" i="17"/>
  <c r="K11" i="17" s="1"/>
  <c r="Q7" i="52"/>
  <c r="CV9" i="50"/>
  <c r="CY9" i="50" s="1"/>
  <c r="S7" i="52" l="1"/>
  <c r="X7" i="52"/>
  <c r="Z7" i="52"/>
  <c r="Z6" i="52"/>
  <c r="Y6" i="52"/>
  <c r="ER8" i="50"/>
  <c r="EU8" i="50" s="1"/>
  <c r="AV63" i="50"/>
  <c r="AV72" i="50"/>
  <c r="AV78" i="50"/>
  <c r="AV80" i="50"/>
  <c r="AV73" i="50"/>
  <c r="AV75" i="50"/>
  <c r="AV67" i="50"/>
  <c r="AV76" i="50"/>
  <c r="AV69" i="50"/>
  <c r="AV74" i="50"/>
  <c r="AV70" i="50"/>
  <c r="AV79" i="50"/>
  <c r="AV71" i="50"/>
  <c r="AV65" i="50"/>
  <c r="AV66" i="50"/>
  <c r="AV64" i="50"/>
  <c r="AV61" i="50"/>
  <c r="AV77" i="50"/>
  <c r="AV62" i="50"/>
  <c r="AV68" i="50"/>
  <c r="R11" i="29"/>
  <c r="C12" i="17"/>
  <c r="CV10" i="50"/>
  <c r="Q8" i="52"/>
  <c r="S8" i="52"/>
  <c r="DH10" i="50"/>
  <c r="Z8" i="52"/>
  <c r="EX10" i="50"/>
  <c r="X8" i="52"/>
  <c r="EL10" i="50"/>
  <c r="Y7" i="52" l="1"/>
  <c r="ER9" i="50"/>
  <c r="EU9" i="50" s="1"/>
  <c r="DJ10" i="50"/>
  <c r="DK10" i="50" s="1"/>
  <c r="E12" i="17"/>
  <c r="K12" i="17" s="1"/>
  <c r="EN10" i="50"/>
  <c r="EO10" i="50" s="1"/>
  <c r="CX10" i="50"/>
  <c r="CY10" i="50" s="1"/>
  <c r="EZ10" i="50"/>
  <c r="FA10" i="50" s="1"/>
  <c r="Y8" i="52" l="1"/>
  <c r="ER10" i="50"/>
  <c r="ET10" i="50" s="1"/>
  <c r="EU10" i="50" s="1"/>
  <c r="Y9" i="52" s="1"/>
  <c r="Z9" i="52"/>
  <c r="EX11" i="50"/>
  <c r="FA11" i="50" s="1"/>
  <c r="S9" i="52"/>
  <c r="DH11" i="50"/>
  <c r="DK11" i="50" s="1"/>
  <c r="EL11" i="50"/>
  <c r="EO11" i="50" s="1"/>
  <c r="X9" i="52"/>
  <c r="Q9" i="52"/>
  <c r="CV11" i="50"/>
  <c r="CY11" i="50" s="1"/>
  <c r="R12" i="29"/>
  <c r="C13" i="17"/>
  <c r="ER11" i="50" l="1"/>
  <c r="EU11" i="50" s="1"/>
  <c r="Y10" i="52" s="1"/>
  <c r="X10" i="52"/>
  <c r="EL12" i="50"/>
  <c r="EO12" i="50" s="1"/>
  <c r="Z10" i="52"/>
  <c r="EX12" i="50"/>
  <c r="FA12" i="50" s="1"/>
  <c r="DH12" i="50"/>
  <c r="DK12" i="50" s="1"/>
  <c r="S10" i="52"/>
  <c r="E13" i="17"/>
  <c r="K13" i="17" s="1"/>
  <c r="Q10" i="52"/>
  <c r="CV12" i="50"/>
  <c r="CY12" i="50" s="1"/>
  <c r="ER12" i="50" l="1"/>
  <c r="EU12" i="50" s="1"/>
  <c r="Y11" i="52" s="1"/>
  <c r="S11" i="52"/>
  <c r="DH13" i="50"/>
  <c r="Z11" i="52"/>
  <c r="EX13" i="50"/>
  <c r="X11" i="52"/>
  <c r="EL13" i="50"/>
  <c r="R13" i="29"/>
  <c r="C14" i="17"/>
  <c r="CV13" i="50"/>
  <c r="Q11" i="52"/>
  <c r="ER13" i="50" l="1"/>
  <c r="CX13" i="50"/>
  <c r="CY13" i="50" s="1"/>
  <c r="Q12" i="52" s="1"/>
  <c r="EN13" i="50"/>
  <c r="EO13" i="50" s="1"/>
  <c r="EL14" i="50" s="1"/>
  <c r="EO14" i="50" s="1"/>
  <c r="ET13" i="50"/>
  <c r="EZ13" i="50"/>
  <c r="FA13" i="50" s="1"/>
  <c r="Z12" i="52" s="1"/>
  <c r="DJ13" i="50"/>
  <c r="DK13" i="50" s="1"/>
  <c r="S12" i="52" s="1"/>
  <c r="E14" i="17"/>
  <c r="K14" i="17" s="1"/>
  <c r="EU13" i="50" l="1"/>
  <c r="Y12" i="52" s="1"/>
  <c r="CV14" i="50"/>
  <c r="CY14" i="50" s="1"/>
  <c r="CV15" i="50" s="1"/>
  <c r="EX14" i="50"/>
  <c r="FA14" i="50" s="1"/>
  <c r="EX15" i="50" s="1"/>
  <c r="X12" i="52"/>
  <c r="DH14" i="50"/>
  <c r="DK14" i="50" s="1"/>
  <c r="S13" i="52" s="1"/>
  <c r="R14" i="29"/>
  <c r="C15" i="17"/>
  <c r="X13" i="52"/>
  <c r="EL15" i="50"/>
  <c r="P45" i="34" l="1"/>
  <c r="O45" i="34" s="1"/>
  <c r="ER14" i="50"/>
  <c r="EU14" i="50" s="1"/>
  <c r="Y13" i="52" s="1"/>
  <c r="Q13" i="52"/>
  <c r="Z13" i="52"/>
  <c r="DH15" i="50"/>
  <c r="EN15" i="50"/>
  <c r="EO15" i="50" s="1"/>
  <c r="X14" i="52" s="1"/>
  <c r="CX15" i="50"/>
  <c r="CY15" i="50" s="1"/>
  <c r="CV16" i="50" s="1"/>
  <c r="CY16" i="50" s="1"/>
  <c r="ET15" i="50"/>
  <c r="DJ15" i="50"/>
  <c r="EZ15" i="50"/>
  <c r="FA15" i="50" s="1"/>
  <c r="EX16" i="50" s="1"/>
  <c r="FA16" i="50" s="1"/>
  <c r="E15" i="17"/>
  <c r="K15" i="17" s="1"/>
  <c r="DK15" i="50" l="1"/>
  <c r="DH16" i="50" s="1"/>
  <c r="DK16" i="50" s="1"/>
  <c r="S15" i="52" s="1"/>
  <c r="P46" i="34"/>
  <c r="O46" i="34" s="1"/>
  <c r="ER15" i="50"/>
  <c r="EU15" i="50" s="1"/>
  <c r="Y14" i="52" s="1"/>
  <c r="EL16" i="50"/>
  <c r="EO16" i="50" s="1"/>
  <c r="X15" i="52" s="1"/>
  <c r="Z14" i="52"/>
  <c r="P47" i="34" s="1"/>
  <c r="O47" i="34" s="1"/>
  <c r="Q14" i="52"/>
  <c r="P38" i="34" s="1"/>
  <c r="O38" i="34" s="1"/>
  <c r="Z15" i="52"/>
  <c r="EX17" i="50"/>
  <c r="FA17" i="50" s="1"/>
  <c r="R15" i="29"/>
  <c r="C16" i="17"/>
  <c r="Q15" i="52"/>
  <c r="CV17" i="50"/>
  <c r="CY17" i="50" s="1"/>
  <c r="DH17" i="50" l="1"/>
  <c r="DK17" i="50" s="1"/>
  <c r="S16" i="52" s="1"/>
  <c r="S14" i="52"/>
  <c r="P40" i="34" s="1"/>
  <c r="O40" i="34" s="1"/>
  <c r="ER16" i="50"/>
  <c r="EU16" i="50" s="1"/>
  <c r="EL17" i="50"/>
  <c r="EO17" i="50" s="1"/>
  <c r="X16" i="52" s="1"/>
  <c r="Z16" i="52"/>
  <c r="EX18" i="50"/>
  <c r="FA18" i="50" s="1"/>
  <c r="E16" i="17"/>
  <c r="K16" i="17" s="1"/>
  <c r="Q16" i="52"/>
  <c r="CV18" i="50"/>
  <c r="CY18" i="50" s="1"/>
  <c r="DH18" i="50" l="1"/>
  <c r="DK18" i="50" s="1"/>
  <c r="S17" i="52" s="1"/>
  <c r="EL18" i="50"/>
  <c r="EO18" i="50" s="1"/>
  <c r="EL19" i="50" s="1"/>
  <c r="EO19" i="50" s="1"/>
  <c r="Y15" i="52"/>
  <c r="ER17" i="50"/>
  <c r="EU17" i="50" s="1"/>
  <c r="Q17" i="52"/>
  <c r="CV19" i="50"/>
  <c r="CY19" i="50" s="1"/>
  <c r="Z17" i="52"/>
  <c r="EX19" i="50"/>
  <c r="FA19" i="50" s="1"/>
  <c r="R16" i="29"/>
  <c r="C17" i="17"/>
  <c r="DH19" i="50" l="1"/>
  <c r="DK19" i="50" s="1"/>
  <c r="DH20" i="50" s="1"/>
  <c r="DK20" i="50" s="1"/>
  <c r="X17" i="52"/>
  <c r="Y16" i="52"/>
  <c r="ER18" i="50"/>
  <c r="EU18" i="50" s="1"/>
  <c r="Q18" i="52"/>
  <c r="CV20" i="50"/>
  <c r="CY20" i="50" s="1"/>
  <c r="E17" i="17"/>
  <c r="K17" i="17" s="1"/>
  <c r="X18" i="52"/>
  <c r="EL20" i="50"/>
  <c r="EO20" i="50" s="1"/>
  <c r="Z18" i="52"/>
  <c r="EX20" i="50"/>
  <c r="FA20" i="50" s="1"/>
  <c r="S18" i="52" l="1"/>
  <c r="ER19" i="50"/>
  <c r="EU19" i="50" s="1"/>
  <c r="Y17" i="52"/>
  <c r="Q19" i="52"/>
  <c r="CV21" i="50"/>
  <c r="CY21" i="50" s="1"/>
  <c r="S19" i="52"/>
  <c r="DH21" i="50"/>
  <c r="DK21" i="50" s="1"/>
  <c r="C18" i="17"/>
  <c r="R17" i="29"/>
  <c r="X19" i="52"/>
  <c r="EL21" i="50"/>
  <c r="EO21" i="50" s="1"/>
  <c r="Z19" i="52"/>
  <c r="EX21" i="50"/>
  <c r="FA21" i="50" s="1"/>
  <c r="Y18" i="52" l="1"/>
  <c r="ER20" i="50"/>
  <c r="EU20" i="50" s="1"/>
  <c r="E18" i="17"/>
  <c r="K18" i="17" s="1"/>
  <c r="Z20" i="52"/>
  <c r="EX22" i="50"/>
  <c r="FA22" i="50" s="1"/>
  <c r="S20" i="52"/>
  <c r="DH22" i="50"/>
  <c r="DK22" i="50" s="1"/>
  <c r="Q20" i="52"/>
  <c r="CV22" i="50"/>
  <c r="CY22" i="50" s="1"/>
  <c r="X20" i="52"/>
  <c r="EL22" i="50"/>
  <c r="EO22" i="50" s="1"/>
  <c r="Y19" i="52" l="1"/>
  <c r="ER21" i="50"/>
  <c r="EU21" i="50" s="1"/>
  <c r="C19" i="17"/>
  <c r="R18" i="29"/>
  <c r="Z21" i="52"/>
  <c r="EX23" i="50"/>
  <c r="FA23" i="50" s="1"/>
  <c r="EL23" i="50"/>
  <c r="EO23" i="50" s="1"/>
  <c r="X21" i="52"/>
  <c r="Q21" i="52"/>
  <c r="CV23" i="50"/>
  <c r="CY23" i="50" s="1"/>
  <c r="S21" i="52"/>
  <c r="DH23" i="50"/>
  <c r="DK23" i="50" s="1"/>
  <c r="Y20" i="52" l="1"/>
  <c r="ER22" i="50"/>
  <c r="EU22" i="50" s="1"/>
  <c r="EL24" i="50"/>
  <c r="EO24" i="50" s="1"/>
  <c r="X22" i="52"/>
  <c r="Z22" i="52"/>
  <c r="EX24" i="50"/>
  <c r="FA24" i="50" s="1"/>
  <c r="Q22" i="52"/>
  <c r="CV24" i="50"/>
  <c r="CY24" i="50" s="1"/>
  <c r="S22" i="52"/>
  <c r="DH24" i="50"/>
  <c r="DK24" i="50" s="1"/>
  <c r="E19" i="17"/>
  <c r="K19" i="17" s="1"/>
  <c r="Y21" i="52" l="1"/>
  <c r="ER23" i="50"/>
  <c r="EU23" i="50" s="1"/>
  <c r="Z23" i="52"/>
  <c r="EX25" i="50"/>
  <c r="FA25" i="50" s="1"/>
  <c r="R19" i="29"/>
  <c r="C20" i="17"/>
  <c r="Q23" i="52"/>
  <c r="CV25" i="50"/>
  <c r="CY25" i="50" s="1"/>
  <c r="EL25" i="50"/>
  <c r="EO25" i="50" s="1"/>
  <c r="X23" i="52"/>
  <c r="S23" i="52"/>
  <c r="DH25" i="50"/>
  <c r="DK25" i="50" s="1"/>
  <c r="Y22" i="52" l="1"/>
  <c r="ER24" i="50"/>
  <c r="EU24" i="50" s="1"/>
  <c r="Z24" i="52"/>
  <c r="EX26" i="50"/>
  <c r="FA26" i="50" s="1"/>
  <c r="Q24" i="52"/>
  <c r="CV26" i="50"/>
  <c r="CY26" i="50" s="1"/>
  <c r="X24" i="52"/>
  <c r="EL26" i="50"/>
  <c r="EO26" i="50" s="1"/>
  <c r="S24" i="52"/>
  <c r="DH26" i="50"/>
  <c r="DK26" i="50" s="1"/>
  <c r="E20" i="17"/>
  <c r="K20" i="17" s="1"/>
  <c r="C21" i="17" s="1"/>
  <c r="ER25" i="50" l="1"/>
  <c r="EU25" i="50" s="1"/>
  <c r="Y23" i="52"/>
  <c r="Z25" i="52"/>
  <c r="EX27" i="50"/>
  <c r="FA27" i="50" s="1"/>
  <c r="E21" i="17"/>
  <c r="K21" i="17" s="1"/>
  <c r="C22" i="17" s="1"/>
  <c r="X25" i="52"/>
  <c r="EL27" i="50"/>
  <c r="EO27" i="50" s="1"/>
  <c r="Q25" i="52"/>
  <c r="CV27" i="50"/>
  <c r="CY27" i="50" s="1"/>
  <c r="S25" i="52"/>
  <c r="DH27" i="50"/>
  <c r="DK27" i="50" s="1"/>
  <c r="Y24" i="52" l="1"/>
  <c r="ER26" i="50"/>
  <c r="EU26" i="50" s="1"/>
  <c r="E22" i="17"/>
  <c r="K22" i="17" s="1"/>
  <c r="C23" i="17" s="1"/>
  <c r="X26" i="52"/>
  <c r="EL28" i="50"/>
  <c r="EO28" i="50" s="1"/>
  <c r="Z26" i="52"/>
  <c r="EX28" i="50"/>
  <c r="FA28" i="50" s="1"/>
  <c r="S26" i="52"/>
  <c r="DH28" i="50"/>
  <c r="DK28" i="50" s="1"/>
  <c r="Q26" i="52"/>
  <c r="CV28" i="50"/>
  <c r="CY28" i="50" s="1"/>
  <c r="ER27" i="50" l="1"/>
  <c r="EU27" i="50" s="1"/>
  <c r="Y25" i="52"/>
  <c r="E23" i="17"/>
  <c r="K23" i="17" s="1"/>
  <c r="C24" i="17" s="1"/>
  <c r="Q27" i="52"/>
  <c r="CV29" i="50"/>
  <c r="CY29" i="50" s="1"/>
  <c r="Z27" i="52"/>
  <c r="EX29" i="50"/>
  <c r="FA29" i="50" s="1"/>
  <c r="S27" i="52"/>
  <c r="DH29" i="50"/>
  <c r="DK29" i="50" s="1"/>
  <c r="X27" i="52"/>
  <c r="EL29" i="50"/>
  <c r="EO29" i="50" s="1"/>
  <c r="ER28" i="50" l="1"/>
  <c r="EU28" i="50" s="1"/>
  <c r="Y26" i="52"/>
  <c r="X28" i="52"/>
  <c r="EL30" i="50"/>
  <c r="EO30" i="50" s="1"/>
  <c r="Q28" i="52"/>
  <c r="CV30" i="50"/>
  <c r="CY30" i="50" s="1"/>
  <c r="E24" i="17"/>
  <c r="K24" i="17" s="1"/>
  <c r="C25" i="17" s="1"/>
  <c r="Z28" i="52"/>
  <c r="EX30" i="50"/>
  <c r="FA30" i="50" s="1"/>
  <c r="S28" i="52"/>
  <c r="DH30" i="50"/>
  <c r="DK30" i="50" s="1"/>
  <c r="ER29" i="50" l="1"/>
  <c r="EU29" i="50" s="1"/>
  <c r="Y27" i="52"/>
  <c r="Q29" i="52"/>
  <c r="CV31" i="50"/>
  <c r="CY31" i="50" s="1"/>
  <c r="X29" i="52"/>
  <c r="EL31" i="50"/>
  <c r="EO31" i="50" s="1"/>
  <c r="E25" i="17"/>
  <c r="K25" i="17" s="1"/>
  <c r="C26" i="17" s="1"/>
  <c r="S29" i="52"/>
  <c r="DH31" i="50"/>
  <c r="DK31" i="50" s="1"/>
  <c r="Z29" i="52"/>
  <c r="EX31" i="50"/>
  <c r="FA31" i="50" s="1"/>
  <c r="Y28" i="52" l="1"/>
  <c r="ER30" i="50"/>
  <c r="EU30" i="50" s="1"/>
  <c r="CV32" i="50"/>
  <c r="CY32" i="50" s="1"/>
  <c r="Q30" i="52"/>
  <c r="Z30" i="52"/>
  <c r="EX32" i="50"/>
  <c r="FA32" i="50" s="1"/>
  <c r="X30" i="52"/>
  <c r="EL32" i="50"/>
  <c r="EO32" i="50" s="1"/>
  <c r="E26" i="17"/>
  <c r="K26" i="17" s="1"/>
  <c r="C27" i="17" s="1"/>
  <c r="S30" i="52"/>
  <c r="DH32" i="50"/>
  <c r="DK32" i="50" s="1"/>
  <c r="ER31" i="50" l="1"/>
  <c r="EU31" i="50" s="1"/>
  <c r="Y29" i="52"/>
  <c r="E27" i="17"/>
  <c r="K27" i="17" s="1"/>
  <c r="C28" i="17" s="1"/>
  <c r="X31" i="52"/>
  <c r="EL33" i="50"/>
  <c r="EO33" i="50" s="1"/>
  <c r="Q31" i="52"/>
  <c r="CV33" i="50"/>
  <c r="CY33" i="50" s="1"/>
  <c r="DH33" i="50"/>
  <c r="DK33" i="50" s="1"/>
  <c r="S31" i="52"/>
  <c r="Z31" i="52"/>
  <c r="EX33" i="50"/>
  <c r="FA33" i="50" s="1"/>
  <c r="Y30" i="52" l="1"/>
  <c r="ER32" i="50"/>
  <c r="EU32" i="50" s="1"/>
  <c r="S32" i="52"/>
  <c r="DH34" i="50"/>
  <c r="DK34" i="50" s="1"/>
  <c r="Q32" i="52"/>
  <c r="CV34" i="50"/>
  <c r="CY34" i="50" s="1"/>
  <c r="E28" i="17"/>
  <c r="K28" i="17" s="1"/>
  <c r="C29" i="17" s="1"/>
  <c r="Z32" i="52"/>
  <c r="EX34" i="50"/>
  <c r="FA34" i="50" s="1"/>
  <c r="X32" i="52"/>
  <c r="EL34" i="50"/>
  <c r="EO34" i="50" s="1"/>
  <c r="ER33" i="50" l="1"/>
  <c r="EU33" i="50" s="1"/>
  <c r="Y31" i="52"/>
  <c r="Z33" i="52"/>
  <c r="EX35" i="50"/>
  <c r="FA35" i="50" s="1"/>
  <c r="Q33" i="52"/>
  <c r="CV35" i="50"/>
  <c r="CY35" i="50" s="1"/>
  <c r="E29" i="17"/>
  <c r="K29" i="17" s="1"/>
  <c r="C30" i="17" s="1"/>
  <c r="S33" i="52"/>
  <c r="DH35" i="50"/>
  <c r="DK35" i="50" s="1"/>
  <c r="X33" i="52"/>
  <c r="EL35" i="50"/>
  <c r="EO35" i="50" s="1"/>
  <c r="Y32" i="52" l="1"/>
  <c r="ER34" i="50"/>
  <c r="EU34" i="50" s="1"/>
  <c r="E30" i="17"/>
  <c r="K30" i="17" s="1"/>
  <c r="C31" i="17" s="1"/>
  <c r="S34" i="52"/>
  <c r="DH36" i="50"/>
  <c r="DK36" i="50" s="1"/>
  <c r="Z34" i="52"/>
  <c r="EX36" i="50"/>
  <c r="FA36" i="50" s="1"/>
  <c r="X34" i="52"/>
  <c r="EL36" i="50"/>
  <c r="EO36" i="50" s="1"/>
  <c r="Q34" i="52"/>
  <c r="CV36" i="50"/>
  <c r="CY36" i="50" s="1"/>
  <c r="ER35" i="50" l="1"/>
  <c r="EU35" i="50" s="1"/>
  <c r="Y33" i="52"/>
  <c r="E31" i="17"/>
  <c r="K31" i="17" s="1"/>
  <c r="C32" i="17" s="1"/>
  <c r="S35" i="52"/>
  <c r="DH37" i="50"/>
  <c r="DK37" i="50" s="1"/>
  <c r="X35" i="52"/>
  <c r="EL37" i="50"/>
  <c r="EO37" i="50" s="1"/>
  <c r="Z35" i="52"/>
  <c r="EX37" i="50"/>
  <c r="FA37" i="50" s="1"/>
  <c r="Q35" i="52"/>
  <c r="CV37" i="50"/>
  <c r="CY37" i="50" s="1"/>
  <c r="ER36" i="50" l="1"/>
  <c r="EU36" i="50" s="1"/>
  <c r="Y34" i="52"/>
  <c r="S36" i="52"/>
  <c r="DH38" i="50"/>
  <c r="DK38" i="50" s="1"/>
  <c r="E32" i="17"/>
  <c r="K32" i="17" s="1"/>
  <c r="C33" i="17" s="1"/>
  <c r="Q36" i="52"/>
  <c r="CV38" i="50"/>
  <c r="CY38" i="50" s="1"/>
  <c r="Z36" i="52"/>
  <c r="EX38" i="50"/>
  <c r="FA38" i="50" s="1"/>
  <c r="X36" i="52"/>
  <c r="EL38" i="50"/>
  <c r="EO38" i="50" s="1"/>
  <c r="Y35" i="52" l="1"/>
  <c r="ER37" i="50"/>
  <c r="EU37" i="50" s="1"/>
  <c r="X37" i="52"/>
  <c r="EL39" i="50"/>
  <c r="EO39" i="50" s="1"/>
  <c r="E33" i="17"/>
  <c r="K33" i="17" s="1"/>
  <c r="C34" i="17" s="1"/>
  <c r="S37" i="52"/>
  <c r="DH39" i="50"/>
  <c r="DK39" i="50" s="1"/>
  <c r="Q37" i="52"/>
  <c r="CV39" i="50"/>
  <c r="CY39" i="50" s="1"/>
  <c r="Z37" i="52"/>
  <c r="EX39" i="50"/>
  <c r="FA39" i="50" s="1"/>
  <c r="Y36" i="52" l="1"/>
  <c r="ER38" i="50"/>
  <c r="EU38" i="50" s="1"/>
  <c r="E34" i="17"/>
  <c r="K34" i="17" s="1"/>
  <c r="C35" i="17" s="1"/>
  <c r="Q38" i="52"/>
  <c r="CV40" i="50"/>
  <c r="CY40" i="50" s="1"/>
  <c r="X38" i="52"/>
  <c r="EL40" i="50"/>
  <c r="EO40" i="50" s="1"/>
  <c r="Z38" i="52"/>
  <c r="EX40" i="50"/>
  <c r="FA40" i="50" s="1"/>
  <c r="S38" i="52"/>
  <c r="DH40" i="50"/>
  <c r="DK40" i="50" s="1"/>
  <c r="Y37" i="52" l="1"/>
  <c r="ER39" i="50"/>
  <c r="EU39" i="50" s="1"/>
  <c r="E35" i="17"/>
  <c r="K35" i="17" s="1"/>
  <c r="C36" i="17" s="1"/>
  <c r="Q39" i="52"/>
  <c r="CV41" i="50"/>
  <c r="CY41" i="50" s="1"/>
  <c r="Z39" i="52"/>
  <c r="EX41" i="50"/>
  <c r="FA41" i="50" s="1"/>
  <c r="X39" i="52"/>
  <c r="EL41" i="50"/>
  <c r="EO41" i="50" s="1"/>
  <c r="DH41" i="50"/>
  <c r="DK41" i="50" s="1"/>
  <c r="S39" i="52"/>
  <c r="Y38" i="52" l="1"/>
  <c r="ER40" i="50"/>
  <c r="EU40" i="50" s="1"/>
  <c r="E36" i="17"/>
  <c r="K36" i="17" s="1"/>
  <c r="C37" i="17" s="1"/>
  <c r="Q40" i="52"/>
  <c r="CV42" i="50"/>
  <c r="CY42" i="50" s="1"/>
  <c r="Z40" i="52"/>
  <c r="EX42" i="50"/>
  <c r="FA42" i="50" s="1"/>
  <c r="S40" i="52"/>
  <c r="DH42" i="50"/>
  <c r="DK42" i="50" s="1"/>
  <c r="EL42" i="50"/>
  <c r="EO42" i="50" s="1"/>
  <c r="X40" i="52"/>
  <c r="ER41" i="50" l="1"/>
  <c r="EU41" i="50" s="1"/>
  <c r="Y39" i="52"/>
  <c r="S41" i="52"/>
  <c r="DH43" i="50"/>
  <c r="DK43" i="50" s="1"/>
  <c r="X41" i="52"/>
  <c r="EL43" i="50"/>
  <c r="EO43" i="50" s="1"/>
  <c r="Q41" i="52"/>
  <c r="CV43" i="50"/>
  <c r="CY43" i="50" s="1"/>
  <c r="E37" i="17"/>
  <c r="K37" i="17" s="1"/>
  <c r="C38" i="17" s="1"/>
  <c r="Z41" i="52"/>
  <c r="EX43" i="50"/>
  <c r="FA43" i="50" s="1"/>
  <c r="ER42" i="50" l="1"/>
  <c r="EU42" i="50" s="1"/>
  <c r="Y40" i="52"/>
  <c r="E38" i="17"/>
  <c r="K38" i="17" s="1"/>
  <c r="C39" i="17" s="1"/>
  <c r="Z42" i="52"/>
  <c r="EX44" i="50"/>
  <c r="FA44" i="50" s="1"/>
  <c r="S42" i="52"/>
  <c r="DH44" i="50"/>
  <c r="DK44" i="50" s="1"/>
  <c r="Q42" i="52"/>
  <c r="CV44" i="50"/>
  <c r="CY44" i="50" s="1"/>
  <c r="X42" i="52"/>
  <c r="EL44" i="50"/>
  <c r="EO44" i="50" s="1"/>
  <c r="ER43" i="50" l="1"/>
  <c r="EU43" i="50" s="1"/>
  <c r="Y41" i="52"/>
  <c r="X43" i="52"/>
  <c r="EL45" i="50"/>
  <c r="EO45" i="50" s="1"/>
  <c r="Q43" i="52"/>
  <c r="CV45" i="50"/>
  <c r="CY45" i="50" s="1"/>
  <c r="Z43" i="52"/>
  <c r="EX45" i="50"/>
  <c r="FA45" i="50" s="1"/>
  <c r="E39" i="17"/>
  <c r="K39" i="17" s="1"/>
  <c r="C40" i="17" s="1"/>
  <c r="S43" i="52"/>
  <c r="DH45" i="50"/>
  <c r="DK45" i="50" s="1"/>
  <c r="Y42" i="52" l="1"/>
  <c r="ER44" i="50"/>
  <c r="EU44" i="50" s="1"/>
  <c r="E40" i="17"/>
  <c r="K40" i="17" s="1"/>
  <c r="C41" i="17" s="1"/>
  <c r="Q44" i="52"/>
  <c r="CV46" i="50"/>
  <c r="CY46" i="50" s="1"/>
  <c r="Z44" i="52"/>
  <c r="EX46" i="50"/>
  <c r="FA46" i="50" s="1"/>
  <c r="S44" i="52"/>
  <c r="DH46" i="50"/>
  <c r="DK46" i="50" s="1"/>
  <c r="X44" i="52"/>
  <c r="EL46" i="50"/>
  <c r="EO46" i="50" s="1"/>
  <c r="Y43" i="52" l="1"/>
  <c r="ER45" i="50"/>
  <c r="EU45" i="50" s="1"/>
  <c r="Z45" i="52"/>
  <c r="EX47" i="50"/>
  <c r="FA47" i="50" s="1"/>
  <c r="X45" i="52"/>
  <c r="EL47" i="50"/>
  <c r="EO47" i="50" s="1"/>
  <c r="Q45" i="52"/>
  <c r="CV47" i="50"/>
  <c r="CY47" i="50" s="1"/>
  <c r="E41" i="17"/>
  <c r="K41" i="17" s="1"/>
  <c r="C42" i="17" s="1"/>
  <c r="S45" i="52"/>
  <c r="DH47" i="50"/>
  <c r="DK47" i="50" s="1"/>
  <c r="ER46" i="50" l="1"/>
  <c r="EU46" i="50" s="1"/>
  <c r="Y44" i="52"/>
  <c r="E42" i="17"/>
  <c r="K42" i="17" s="1"/>
  <c r="C43" i="17" s="1"/>
  <c r="Z46" i="52"/>
  <c r="EX48" i="50"/>
  <c r="FA48" i="50" s="1"/>
  <c r="X46" i="52"/>
  <c r="EL48" i="50"/>
  <c r="EO48" i="50" s="1"/>
  <c r="Q46" i="52"/>
  <c r="CV48" i="50"/>
  <c r="CY48" i="50" s="1"/>
  <c r="S46" i="52"/>
  <c r="DH48" i="50"/>
  <c r="DK48" i="50" s="1"/>
  <c r="Y45" i="52" l="1"/>
  <c r="ER47" i="50"/>
  <c r="EU47" i="50" s="1"/>
  <c r="E43" i="17"/>
  <c r="K43" i="17" s="1"/>
  <c r="C44" i="17" s="1"/>
  <c r="Q47" i="52"/>
  <c r="CV49" i="50"/>
  <c r="CY49" i="50" s="1"/>
  <c r="Z47" i="52"/>
  <c r="EX49" i="50"/>
  <c r="FA49" i="50" s="1"/>
  <c r="X47" i="52"/>
  <c r="EL49" i="50"/>
  <c r="EO49" i="50" s="1"/>
  <c r="S47" i="52"/>
  <c r="DH49" i="50"/>
  <c r="DK49" i="50" s="1"/>
  <c r="ER48" i="50" l="1"/>
  <c r="EU48" i="50" s="1"/>
  <c r="Y46" i="52"/>
  <c r="E44" i="17"/>
  <c r="K44" i="17" s="1"/>
  <c r="C45" i="17" s="1"/>
  <c r="EX50" i="50"/>
  <c r="FA50" i="50" s="1"/>
  <c r="Z48" i="52"/>
  <c r="S48" i="52"/>
  <c r="DH50" i="50"/>
  <c r="DK50" i="50" s="1"/>
  <c r="X48" i="52"/>
  <c r="EL50" i="50"/>
  <c r="EO50" i="50" s="1"/>
  <c r="CV50" i="50"/>
  <c r="CY50" i="50" s="1"/>
  <c r="Q48" i="52"/>
  <c r="Y47" i="52" l="1"/>
  <c r="ER49" i="50"/>
  <c r="EU49" i="50" s="1"/>
  <c r="Z49" i="52"/>
  <c r="EX51" i="50"/>
  <c r="FA51" i="50" s="1"/>
  <c r="S49" i="52"/>
  <c r="DH51" i="50"/>
  <c r="DK51" i="50" s="1"/>
  <c r="E45" i="17"/>
  <c r="K45" i="17" s="1"/>
  <c r="C46" i="17" s="1"/>
  <c r="Q49" i="52"/>
  <c r="CV51" i="50"/>
  <c r="CY51" i="50" s="1"/>
  <c r="X49" i="52"/>
  <c r="EL51" i="50"/>
  <c r="EO51" i="50" s="1"/>
  <c r="ER50" i="50" l="1"/>
  <c r="EU50" i="50" s="1"/>
  <c r="Y48" i="52"/>
  <c r="E46" i="17"/>
  <c r="K46" i="17" s="1"/>
  <c r="C47" i="17" s="1"/>
  <c r="Z50" i="52"/>
  <c r="EX52" i="50"/>
  <c r="FA52" i="50" s="1"/>
  <c r="S50" i="52"/>
  <c r="DH52" i="50"/>
  <c r="DK52" i="50" s="1"/>
  <c r="CV52" i="50"/>
  <c r="CY52" i="50" s="1"/>
  <c r="Q50" i="52"/>
  <c r="X50" i="52"/>
  <c r="EL52" i="50"/>
  <c r="EO52" i="50" s="1"/>
  <c r="ER51" i="50" l="1"/>
  <c r="EU51" i="50" s="1"/>
  <c r="Y49" i="52"/>
  <c r="Q51" i="52"/>
  <c r="CV53" i="50"/>
  <c r="CY53" i="50" s="1"/>
  <c r="S51" i="52"/>
  <c r="DH53" i="50"/>
  <c r="DK53" i="50" s="1"/>
  <c r="X51" i="52"/>
  <c r="EL53" i="50"/>
  <c r="EO53" i="50" s="1"/>
  <c r="E47" i="17"/>
  <c r="K47" i="17" s="1"/>
  <c r="C48" i="17" s="1"/>
  <c r="Z51" i="52"/>
  <c r="EX53" i="50"/>
  <c r="FA53" i="50" s="1"/>
  <c r="ER52" i="50" l="1"/>
  <c r="EU52" i="50" s="1"/>
  <c r="Y50" i="52"/>
  <c r="S52" i="52"/>
  <c r="DH54" i="50"/>
  <c r="DK54" i="50" s="1"/>
  <c r="X52" i="52"/>
  <c r="EL54" i="50"/>
  <c r="EO54" i="50" s="1"/>
  <c r="E48" i="17"/>
  <c r="K48" i="17" s="1"/>
  <c r="C49" i="17" s="1"/>
  <c r="Q52" i="52"/>
  <c r="CV54" i="50"/>
  <c r="CY54" i="50" s="1"/>
  <c r="Z52" i="52"/>
  <c r="EX54" i="50"/>
  <c r="FA54" i="50" s="1"/>
  <c r="Y51" i="52" l="1"/>
  <c r="ER53" i="50"/>
  <c r="EU53" i="50" s="1"/>
  <c r="E49" i="17"/>
  <c r="K49" i="17" s="1"/>
  <c r="C50" i="17" s="1"/>
  <c r="S53" i="52"/>
  <c r="DH55" i="50"/>
  <c r="DK55" i="50" s="1"/>
  <c r="Z53" i="52"/>
  <c r="EX55" i="50"/>
  <c r="FA55" i="50" s="1"/>
  <c r="Q53" i="52"/>
  <c r="CV55" i="50"/>
  <c r="CY55" i="50" s="1"/>
  <c r="X53" i="52"/>
  <c r="EL55" i="50"/>
  <c r="EO55" i="50" s="1"/>
  <c r="Y52" i="52" l="1"/>
  <c r="ER54" i="50"/>
  <c r="EU54" i="50" s="1"/>
  <c r="X54" i="52"/>
  <c r="EL56" i="50"/>
  <c r="EO56" i="50" s="1"/>
  <c r="Z54" i="52"/>
  <c r="EX56" i="50"/>
  <c r="FA56" i="50" s="1"/>
  <c r="S54" i="52"/>
  <c r="DH56" i="50"/>
  <c r="DK56" i="50" s="1"/>
  <c r="Q54" i="52"/>
  <c r="CV56" i="50"/>
  <c r="CY56" i="50" s="1"/>
  <c r="E50" i="17"/>
  <c r="K50" i="17" s="1"/>
  <c r="C51" i="17" s="1"/>
  <c r="Y53" i="52" l="1"/>
  <c r="ER55" i="50"/>
  <c r="EU55" i="50" s="1"/>
  <c r="S55" i="52"/>
  <c r="DH57" i="50"/>
  <c r="DK57" i="50" s="1"/>
  <c r="Z55" i="52"/>
  <c r="EX57" i="50"/>
  <c r="FA57" i="50" s="1"/>
  <c r="EL57" i="50"/>
  <c r="EO57" i="50" s="1"/>
  <c r="X55" i="52"/>
  <c r="E51" i="17"/>
  <c r="K51" i="17" s="1"/>
  <c r="C52" i="17" s="1"/>
  <c r="Q55" i="52"/>
  <c r="CV57" i="50"/>
  <c r="CY57" i="50" s="1"/>
  <c r="ER56" i="50" l="1"/>
  <c r="EU56" i="50" s="1"/>
  <c r="Y54" i="52"/>
  <c r="E52" i="17"/>
  <c r="K52" i="17" s="1"/>
  <c r="C53" i="17" s="1"/>
  <c r="Z56" i="52"/>
  <c r="EX58" i="50"/>
  <c r="FA58" i="50" s="1"/>
  <c r="CV58" i="50"/>
  <c r="CY58" i="50" s="1"/>
  <c r="Q56" i="52"/>
  <c r="S56" i="52"/>
  <c r="DH58" i="50"/>
  <c r="DK58" i="50" s="1"/>
  <c r="X56" i="52"/>
  <c r="EL58" i="50"/>
  <c r="EO58" i="50" s="1"/>
  <c r="Y55" i="52" l="1"/>
  <c r="ER57" i="50"/>
  <c r="EU57" i="50" s="1"/>
  <c r="X57" i="52"/>
  <c r="EL59" i="50"/>
  <c r="EO59" i="50" s="1"/>
  <c r="Q57" i="52"/>
  <c r="CV59" i="50"/>
  <c r="CY59" i="50" s="1"/>
  <c r="S57" i="52"/>
  <c r="DH59" i="50"/>
  <c r="DK59" i="50" s="1"/>
  <c r="E53" i="17"/>
  <c r="K53" i="17" s="1"/>
  <c r="C54" i="17" s="1"/>
  <c r="Z57" i="52"/>
  <c r="EX59" i="50"/>
  <c r="FA59" i="50" s="1"/>
  <c r="Y56" i="52" l="1"/>
  <c r="ER58" i="50"/>
  <c r="EU58" i="50" s="1"/>
  <c r="E54" i="17"/>
  <c r="K54" i="17" s="1"/>
  <c r="C55" i="17" s="1"/>
  <c r="S58" i="52"/>
  <c r="DH60" i="50"/>
  <c r="DK60" i="50" s="1"/>
  <c r="Q58" i="52"/>
  <c r="CV60" i="50"/>
  <c r="CY60" i="50" s="1"/>
  <c r="EX60" i="50"/>
  <c r="FA60" i="50" s="1"/>
  <c r="Z58" i="52"/>
  <c r="X58" i="52"/>
  <c r="EL60" i="50"/>
  <c r="EO60" i="50" s="1"/>
  <c r="Y57" i="52" l="1"/>
  <c r="ER59" i="50"/>
  <c r="EU59" i="50" s="1"/>
  <c r="Q59" i="52"/>
  <c r="CV61" i="50"/>
  <c r="CY61" i="50" s="1"/>
  <c r="S59" i="52"/>
  <c r="DH61" i="50"/>
  <c r="DK61" i="50" s="1"/>
  <c r="Z59" i="52"/>
  <c r="EX61" i="50"/>
  <c r="FA61" i="50" s="1"/>
  <c r="E55" i="17"/>
  <c r="K55" i="17" s="1"/>
  <c r="C56" i="17" s="1"/>
  <c r="X59" i="52"/>
  <c r="EL61" i="50"/>
  <c r="EO61" i="50" s="1"/>
  <c r="Y58" i="52" l="1"/>
  <c r="ER60" i="50"/>
  <c r="EU60" i="50" s="1"/>
  <c r="CV62" i="50"/>
  <c r="CY62" i="50" s="1"/>
  <c r="Q60" i="52"/>
  <c r="S60" i="52"/>
  <c r="DH62" i="50"/>
  <c r="DK62" i="50" s="1"/>
  <c r="E56" i="17"/>
  <c r="K56" i="17" s="1"/>
  <c r="C57" i="17" s="1"/>
  <c r="X60" i="52"/>
  <c r="EL62" i="50"/>
  <c r="EO62" i="50" s="1"/>
  <c r="Z60" i="52"/>
  <c r="EX62" i="50"/>
  <c r="FA62" i="50" s="1"/>
  <c r="Y59" i="52" l="1"/>
  <c r="ER61" i="50"/>
  <c r="EU61" i="50" s="1"/>
  <c r="Z61" i="52"/>
  <c r="EX63" i="50"/>
  <c r="FA63" i="50" s="1"/>
  <c r="X61" i="52"/>
  <c r="EL63" i="50"/>
  <c r="EO63" i="50" s="1"/>
  <c r="S61" i="52"/>
  <c r="DH63" i="50"/>
  <c r="DK63" i="50" s="1"/>
  <c r="E57" i="17"/>
  <c r="K57" i="17" s="1"/>
  <c r="C58" i="17" s="1"/>
  <c r="Q61" i="52"/>
  <c r="CV63" i="50"/>
  <c r="CY63" i="50" s="1"/>
  <c r="ER62" i="50" l="1"/>
  <c r="EU62" i="50" s="1"/>
  <c r="Y60" i="52"/>
  <c r="E58" i="17"/>
  <c r="K58" i="17" s="1"/>
  <c r="C59" i="17" s="1"/>
  <c r="EL64" i="50"/>
  <c r="EO64" i="50" s="1"/>
  <c r="X62" i="52"/>
  <c r="S62" i="52"/>
  <c r="DH64" i="50"/>
  <c r="DK64" i="50" s="1"/>
  <c r="Z62" i="52"/>
  <c r="EX64" i="50"/>
  <c r="FA64" i="50" s="1"/>
  <c r="Q62" i="52"/>
  <c r="CV64" i="50"/>
  <c r="CY64" i="50" s="1"/>
  <c r="Y61" i="52" l="1"/>
  <c r="ER63" i="50"/>
  <c r="EU63" i="50" s="1"/>
  <c r="E59" i="17"/>
  <c r="K59" i="17" s="1"/>
  <c r="C60" i="17" s="1"/>
  <c r="Z63" i="52"/>
  <c r="EX65" i="50"/>
  <c r="FA65" i="50" s="1"/>
  <c r="X63" i="52"/>
  <c r="EL65" i="50"/>
  <c r="EO65" i="50" s="1"/>
  <c r="Q63" i="52"/>
  <c r="CV65" i="50"/>
  <c r="CY65" i="50" s="1"/>
  <c r="S63" i="52"/>
  <c r="DH65" i="50"/>
  <c r="DK65" i="50" s="1"/>
  <c r="Y62" i="52" l="1"/>
  <c r="ER64" i="50"/>
  <c r="EU64" i="50" s="1"/>
  <c r="E60" i="17"/>
  <c r="K60" i="17" s="1"/>
  <c r="C61" i="17" s="1"/>
  <c r="Q64" i="52"/>
  <c r="CV66" i="50"/>
  <c r="CY66" i="50" s="1"/>
  <c r="Z64" i="52"/>
  <c r="EX66" i="50"/>
  <c r="FA66" i="50" s="1"/>
  <c r="S64" i="52"/>
  <c r="DH66" i="50"/>
  <c r="DK66" i="50" s="1"/>
  <c r="X64" i="52"/>
  <c r="EL66" i="50"/>
  <c r="EO66" i="50" s="1"/>
  <c r="Y63" i="52" l="1"/>
  <c r="ER65" i="50"/>
  <c r="EU65" i="50" s="1"/>
  <c r="X65" i="52"/>
  <c r="EL67" i="50"/>
  <c r="EO67" i="50" s="1"/>
  <c r="Z65" i="52"/>
  <c r="EX67" i="50"/>
  <c r="FA67" i="50" s="1"/>
  <c r="DH67" i="50"/>
  <c r="DK67" i="50" s="1"/>
  <c r="S65" i="52"/>
  <c r="E61" i="17"/>
  <c r="K61" i="17" s="1"/>
  <c r="C62" i="17" s="1"/>
  <c r="Q65" i="52"/>
  <c r="CV67" i="50"/>
  <c r="CY67" i="50" s="1"/>
  <c r="Y64" i="52" l="1"/>
  <c r="ER66" i="50"/>
  <c r="EU66" i="50" s="1"/>
  <c r="X66" i="52"/>
  <c r="EL68" i="50"/>
  <c r="EO68" i="50" s="1"/>
  <c r="S66" i="52"/>
  <c r="DH68" i="50"/>
  <c r="DK68" i="50" s="1"/>
  <c r="Q66" i="52"/>
  <c r="CV68" i="50"/>
  <c r="CY68" i="50" s="1"/>
  <c r="E62" i="17"/>
  <c r="K62" i="17" s="1"/>
  <c r="C63" i="17" s="1"/>
  <c r="Z66" i="52"/>
  <c r="EX68" i="50"/>
  <c r="FA68" i="50" s="1"/>
  <c r="Y65" i="52" l="1"/>
  <c r="ER67" i="50"/>
  <c r="EU67" i="50" s="1"/>
  <c r="Z67" i="52"/>
  <c r="EX69" i="50"/>
  <c r="FA69" i="50" s="1"/>
  <c r="X67" i="52"/>
  <c r="EL69" i="50"/>
  <c r="EO69" i="50" s="1"/>
  <c r="Q67" i="52"/>
  <c r="CV69" i="50"/>
  <c r="CY69" i="50" s="1"/>
  <c r="E63" i="17"/>
  <c r="K63" i="17" s="1"/>
  <c r="C64" i="17" s="1"/>
  <c r="S67" i="52"/>
  <c r="DH69" i="50"/>
  <c r="DK69" i="50" s="1"/>
  <c r="Y66" i="52" l="1"/>
  <c r="ER68" i="50"/>
  <c r="EU68" i="50" s="1"/>
  <c r="E64" i="17"/>
  <c r="K64" i="17" s="1"/>
  <c r="C65" i="17" s="1"/>
  <c r="Z68" i="52"/>
  <c r="EX70" i="50"/>
  <c r="FA70" i="50" s="1"/>
  <c r="Q68" i="52"/>
  <c r="CV70" i="50"/>
  <c r="CY70" i="50" s="1"/>
  <c r="EL70" i="50"/>
  <c r="EO70" i="50" s="1"/>
  <c r="X68" i="52"/>
  <c r="S68" i="52"/>
  <c r="DH70" i="50"/>
  <c r="DK70" i="50" s="1"/>
  <c r="ER69" i="50" l="1"/>
  <c r="EU69" i="50" s="1"/>
  <c r="Y67" i="52"/>
  <c r="X69" i="52"/>
  <c r="EL71" i="50"/>
  <c r="EO71" i="50" s="1"/>
  <c r="E65" i="17"/>
  <c r="K65" i="17" s="1"/>
  <c r="C66" i="17" s="1"/>
  <c r="Z69" i="52"/>
  <c r="EX71" i="50"/>
  <c r="FA71" i="50" s="1"/>
  <c r="Q69" i="52"/>
  <c r="CV71" i="50"/>
  <c r="CY71" i="50" s="1"/>
  <c r="S69" i="52"/>
  <c r="DH71" i="50"/>
  <c r="DK71" i="50" s="1"/>
  <c r="Y68" i="52" l="1"/>
  <c r="ER70" i="50"/>
  <c r="EU70" i="50" s="1"/>
  <c r="E66" i="17"/>
  <c r="K66" i="17" s="1"/>
  <c r="C67" i="17" s="1"/>
  <c r="Z70" i="52"/>
  <c r="EX72" i="50"/>
  <c r="FA72" i="50" s="1"/>
  <c r="CV72" i="50"/>
  <c r="CY72" i="50" s="1"/>
  <c r="Q70" i="52"/>
  <c r="X70" i="52"/>
  <c r="EL72" i="50"/>
  <c r="EO72" i="50" s="1"/>
  <c r="S70" i="52"/>
  <c r="DH72" i="50"/>
  <c r="DK72" i="50" s="1"/>
  <c r="Y69" i="52" l="1"/>
  <c r="ER71" i="50"/>
  <c r="EU71" i="50" s="1"/>
  <c r="E67" i="17"/>
  <c r="K67" i="17" s="1"/>
  <c r="C68" i="17" s="1"/>
  <c r="S71" i="52"/>
  <c r="DH73" i="50"/>
  <c r="DK73" i="50" s="1"/>
  <c r="Q71" i="52"/>
  <c r="CV73" i="50"/>
  <c r="CY73" i="50" s="1"/>
  <c r="Z71" i="52"/>
  <c r="EX73" i="50"/>
  <c r="FA73" i="50" s="1"/>
  <c r="X71" i="52"/>
  <c r="EL73" i="50"/>
  <c r="EO73" i="50" s="1"/>
  <c r="ER72" i="50" l="1"/>
  <c r="EU72" i="50" s="1"/>
  <c r="Y70" i="52"/>
  <c r="Q72" i="52"/>
  <c r="CV74" i="50"/>
  <c r="CY74" i="50" s="1"/>
  <c r="X72" i="52"/>
  <c r="EL74" i="50"/>
  <c r="EO74" i="50" s="1"/>
  <c r="S72" i="52"/>
  <c r="DH74" i="50"/>
  <c r="DK74" i="50" s="1"/>
  <c r="Z72" i="52"/>
  <c r="EX74" i="50"/>
  <c r="FA74" i="50" s="1"/>
  <c r="E68" i="17"/>
  <c r="K68" i="17" s="1"/>
  <c r="C69" i="17" s="1"/>
  <c r="ER73" i="50" l="1"/>
  <c r="EU73" i="50" s="1"/>
  <c r="Y71" i="52"/>
  <c r="I33" i="51"/>
  <c r="J33" i="51" s="1"/>
  <c r="X73" i="52"/>
  <c r="EL75" i="50"/>
  <c r="EO75" i="50" s="1"/>
  <c r="Z73" i="52"/>
  <c r="EX75" i="50"/>
  <c r="FA75" i="50" s="1"/>
  <c r="Q73" i="52"/>
  <c r="CV75" i="50"/>
  <c r="CY75" i="50" s="1"/>
  <c r="E69" i="17"/>
  <c r="K69" i="17" s="1"/>
  <c r="C70" i="17" s="1"/>
  <c r="S73" i="52"/>
  <c r="DH75" i="50"/>
  <c r="DK75" i="50" s="1"/>
  <c r="Y72" i="52" l="1"/>
  <c r="ER74" i="50"/>
  <c r="EU74" i="50" s="1"/>
  <c r="E70" i="17"/>
  <c r="K70" i="17" s="1"/>
  <c r="C71" i="17" s="1"/>
  <c r="Q74" i="52"/>
  <c r="CV76" i="50"/>
  <c r="CY76" i="50" s="1"/>
  <c r="EX76" i="50"/>
  <c r="FA76" i="50" s="1"/>
  <c r="Z74" i="52"/>
  <c r="DH76" i="50"/>
  <c r="DK76" i="50" s="1"/>
  <c r="S74" i="52"/>
  <c r="X74" i="52"/>
  <c r="EL76" i="50"/>
  <c r="EO76" i="50" s="1"/>
  <c r="ER75" i="50" l="1"/>
  <c r="EU75" i="50" s="1"/>
  <c r="Y73" i="52"/>
  <c r="Z75" i="52"/>
  <c r="EX77" i="50"/>
  <c r="FA77" i="50" s="1"/>
  <c r="X75" i="52"/>
  <c r="EL77" i="50"/>
  <c r="EO77" i="50" s="1"/>
  <c r="Q75" i="52"/>
  <c r="CV77" i="50"/>
  <c r="CY77" i="50" s="1"/>
  <c r="S75" i="52"/>
  <c r="DH77" i="50"/>
  <c r="DK77" i="50" s="1"/>
  <c r="E71" i="17"/>
  <c r="K71" i="17" s="1"/>
  <c r="C72" i="17" s="1"/>
  <c r="ER76" i="50" l="1"/>
  <c r="EU76" i="50" s="1"/>
  <c r="Y74" i="52"/>
  <c r="E72" i="17"/>
  <c r="K72" i="17" s="1"/>
  <c r="C73" i="17" s="1"/>
  <c r="X76" i="52"/>
  <c r="EL78" i="50"/>
  <c r="EO78" i="50" s="1"/>
  <c r="EX78" i="50"/>
  <c r="FA78" i="50" s="1"/>
  <c r="Z76" i="52"/>
  <c r="CV78" i="50"/>
  <c r="CY78" i="50" s="1"/>
  <c r="Q76" i="52"/>
  <c r="DH78" i="50"/>
  <c r="DK78" i="50" s="1"/>
  <c r="S76" i="52"/>
  <c r="ER77" i="50" l="1"/>
  <c r="EU77" i="50" s="1"/>
  <c r="Y75" i="52"/>
  <c r="DH79" i="50"/>
  <c r="DK79" i="50" s="1"/>
  <c r="S77" i="52"/>
  <c r="CV79" i="50"/>
  <c r="CY79" i="50" s="1"/>
  <c r="Q77" i="52"/>
  <c r="EL79" i="50"/>
  <c r="EO79" i="50" s="1"/>
  <c r="X77" i="52"/>
  <c r="E73" i="17"/>
  <c r="K73" i="17" s="1"/>
  <c r="C74" i="17" s="1"/>
  <c r="Z77" i="52"/>
  <c r="EX79" i="50"/>
  <c r="FA79" i="50" s="1"/>
  <c r="ER78" i="50" l="1"/>
  <c r="EU78" i="50" s="1"/>
  <c r="Y76" i="52"/>
  <c r="E74" i="17"/>
  <c r="K74" i="17" s="1"/>
  <c r="C75" i="17" s="1"/>
  <c r="Q78" i="52"/>
  <c r="CV80" i="50"/>
  <c r="CY80" i="50" s="1"/>
  <c r="Q79" i="52" s="1"/>
  <c r="S78" i="52"/>
  <c r="DH80" i="50"/>
  <c r="DK80" i="50" s="1"/>
  <c r="S79" i="52" s="1"/>
  <c r="Z78" i="52"/>
  <c r="EX80" i="50"/>
  <c r="FA80" i="50" s="1"/>
  <c r="Z79" i="52" s="1"/>
  <c r="EL80" i="50"/>
  <c r="EO80" i="50" s="1"/>
  <c r="X79" i="52" s="1"/>
  <c r="X78" i="52"/>
  <c r="ER79" i="50" l="1"/>
  <c r="EU79" i="50" s="1"/>
  <c r="Y77" i="52"/>
  <c r="E75" i="17"/>
  <c r="K75" i="17" s="1"/>
  <c r="C76" i="17" s="1"/>
  <c r="Y78" i="52" l="1"/>
  <c r="ER80" i="50"/>
  <c r="EU80" i="50" s="1"/>
  <c r="Y79" i="52" s="1"/>
  <c r="E76" i="17"/>
  <c r="K76" i="17" s="1"/>
  <c r="C77" i="17" s="1"/>
  <c r="E77" i="17" l="1"/>
  <c r="K77" i="17" s="1"/>
  <c r="C78" i="17" s="1"/>
  <c r="E78" i="17" l="1"/>
  <c r="K78" i="17" s="1"/>
  <c r="I38" i="51" l="1"/>
  <c r="J38" i="51" s="1"/>
  <c r="I55" i="51" l="1"/>
  <c r="J55" i="51" s="1"/>
  <c r="I56" i="51" l="1"/>
  <c r="J56" i="51" s="1"/>
  <c r="I57" i="51" l="1"/>
  <c r="J57" i="51" s="1"/>
  <c r="I58" i="51" l="1"/>
  <c r="J58" i="51" s="1"/>
  <c r="I59" i="51" l="1"/>
  <c r="J59" i="51" s="1"/>
  <c r="I64" i="51" l="1"/>
  <c r="J64" i="51" s="1"/>
  <c r="I97" i="51"/>
  <c r="J97" i="51" s="1"/>
  <c r="I98" i="51"/>
  <c r="J98" i="51" s="1"/>
  <c r="I63" i="51"/>
  <c r="J63" i="51" s="1"/>
  <c r="I61" i="51"/>
  <c r="J61" i="51" s="1"/>
  <c r="I73" i="51"/>
  <c r="J73" i="51" s="1"/>
  <c r="I108" i="51"/>
  <c r="J108" i="51" s="1"/>
  <c r="I109" i="51"/>
  <c r="J109" i="51" s="1"/>
  <c r="I79" i="51"/>
  <c r="J79" i="51" s="1"/>
  <c r="I78" i="51"/>
  <c r="J78" i="51" s="1"/>
  <c r="I100" i="51"/>
  <c r="J100" i="51" s="1"/>
  <c r="I94" i="51"/>
  <c r="J94" i="51" s="1"/>
  <c r="I111" i="51"/>
  <c r="J111" i="51" s="1"/>
  <c r="I110" i="51"/>
  <c r="J110" i="51" s="1"/>
  <c r="I80" i="51"/>
  <c r="J80" i="51" s="1"/>
  <c r="I75" i="51"/>
  <c r="J75" i="51" s="1"/>
  <c r="I66" i="51"/>
  <c r="J66" i="51" s="1"/>
  <c r="I114" i="51"/>
  <c r="J114" i="51" s="1"/>
  <c r="I62" i="51"/>
  <c r="J62" i="51" s="1"/>
  <c r="I67" i="51"/>
  <c r="J67" i="51" s="1"/>
  <c r="I72" i="51"/>
  <c r="J72" i="51" s="1"/>
  <c r="I93" i="51"/>
  <c r="J93" i="51" s="1"/>
  <c r="I104" i="51"/>
  <c r="J104" i="51" s="1"/>
  <c r="I60" i="51"/>
  <c r="J60" i="51" s="1"/>
  <c r="I103" i="51"/>
  <c r="J103" i="51" s="1"/>
  <c r="I65" i="51"/>
  <c r="J65" i="51" s="1"/>
  <c r="I96" i="51"/>
  <c r="J96" i="51" s="1"/>
  <c r="I85" i="51"/>
  <c r="J85" i="51" s="1"/>
  <c r="I95" i="51"/>
  <c r="J95" i="51" s="1"/>
  <c r="I102" i="51"/>
  <c r="J102" i="51" s="1"/>
  <c r="I115" i="51"/>
  <c r="J115" i="51" s="1"/>
  <c r="I99" i="51"/>
  <c r="J99" i="51" s="1"/>
  <c r="I91" i="51"/>
  <c r="J91" i="51" s="1"/>
  <c r="I88" i="51"/>
  <c r="J88" i="51" s="1"/>
  <c r="I107" i="51"/>
  <c r="J107" i="51" s="1"/>
  <c r="I101" i="51"/>
  <c r="J101" i="51" s="1"/>
  <c r="I92" i="51"/>
  <c r="J92" i="51" s="1"/>
  <c r="I83" i="51"/>
  <c r="J83" i="51" s="1"/>
  <c r="I84" i="51"/>
  <c r="J84" i="51" s="1"/>
  <c r="I76" i="51"/>
  <c r="J76" i="51" s="1"/>
  <c r="I89" i="51"/>
  <c r="J89" i="51" s="1"/>
  <c r="I105" i="51"/>
  <c r="J105" i="51" s="1"/>
  <c r="I120" i="51"/>
  <c r="J120" i="51" s="1"/>
  <c r="I68" i="51"/>
  <c r="J68" i="51" s="1"/>
  <c r="I116" i="51"/>
  <c r="J116" i="51" s="1"/>
  <c r="I117" i="51"/>
  <c r="J117" i="51" s="1"/>
  <c r="I86" i="51"/>
  <c r="J86" i="51" s="1"/>
  <c r="I106" i="51"/>
  <c r="J106" i="51" s="1"/>
  <c r="I121" i="51"/>
  <c r="J121" i="51" s="1"/>
  <c r="I74" i="51"/>
  <c r="J74" i="51" s="1"/>
  <c r="I112" i="51"/>
  <c r="J112" i="51" s="1"/>
  <c r="I87" i="51"/>
  <c r="J87" i="51" s="1"/>
  <c r="I119" i="51"/>
  <c r="J119" i="51" s="1"/>
  <c r="I77" i="51"/>
  <c r="J77" i="51" s="1"/>
  <c r="I81" i="51"/>
  <c r="J81" i="51" s="1"/>
  <c r="I113" i="51"/>
  <c r="J113" i="51" s="1"/>
  <c r="I69" i="51"/>
  <c r="J69" i="51" s="1"/>
  <c r="I70" i="51"/>
  <c r="J70" i="51" s="1"/>
  <c r="I82" i="51"/>
  <c r="J82" i="51" s="1"/>
  <c r="I90" i="51"/>
  <c r="J90" i="51" s="1"/>
  <c r="I71" i="51"/>
  <c r="J71" i="51" s="1"/>
  <c r="I118" i="51"/>
  <c r="J118" i="51" s="1"/>
  <c r="I3" i="51" l="1"/>
  <c r="J3" i="51" s="1"/>
  <c r="BB10" i="50"/>
  <c r="CR10" i="50"/>
  <c r="I15" i="51"/>
  <c r="J15" i="51" s="1"/>
  <c r="I16" i="51"/>
  <c r="J16" i="51" s="1"/>
  <c r="I17" i="51"/>
  <c r="J17" i="51" s="1"/>
  <c r="I18" i="51"/>
  <c r="J18" i="51" s="1"/>
  <c r="I19" i="51"/>
  <c r="J19" i="51" s="1"/>
  <c r="I20" i="51"/>
  <c r="J20" i="51" s="1"/>
  <c r="I21" i="51"/>
  <c r="J21" i="51" s="1"/>
  <c r="I22" i="51"/>
  <c r="J22" i="51" s="1"/>
  <c r="I23" i="51"/>
  <c r="J23" i="51" s="1"/>
  <c r="I24" i="51"/>
  <c r="J24" i="51" s="1"/>
  <c r="I25" i="51"/>
  <c r="J25" i="51" s="1"/>
  <c r="I26" i="51"/>
  <c r="J26" i="51" s="1"/>
  <c r="I27" i="51"/>
  <c r="J27" i="51" s="1"/>
  <c r="I28" i="51"/>
  <c r="J28" i="51" s="1"/>
  <c r="I29" i="51"/>
  <c r="J29" i="51" s="1"/>
  <c r="I30" i="51"/>
  <c r="J30" i="51" s="1"/>
  <c r="I31" i="51"/>
  <c r="J31" i="51" s="1"/>
  <c r="I32" i="51"/>
  <c r="J32" i="51" s="1"/>
  <c r="I34" i="51"/>
  <c r="J34" i="51" s="1"/>
  <c r="I35" i="51"/>
  <c r="J35" i="51" s="1"/>
  <c r="I36" i="51"/>
  <c r="J36" i="51" s="1"/>
  <c r="I37" i="51"/>
  <c r="J37" i="51" s="1"/>
  <c r="I39" i="51"/>
  <c r="J39" i="51" s="1"/>
  <c r="I40" i="51"/>
  <c r="J40" i="51" s="1"/>
  <c r="I41" i="51"/>
  <c r="J41" i="51" s="1"/>
  <c r="I42" i="51"/>
  <c r="J42" i="51" s="1"/>
  <c r="I43" i="51"/>
  <c r="J43" i="51" s="1"/>
  <c r="I44" i="51"/>
  <c r="J44" i="51" s="1"/>
  <c r="I45" i="51"/>
  <c r="J45" i="51" s="1"/>
  <c r="I46" i="51"/>
  <c r="J46" i="51" s="1"/>
  <c r="I47" i="51"/>
  <c r="J47" i="51" s="1"/>
  <c r="I48" i="51"/>
  <c r="J48" i="51" s="1"/>
  <c r="I49" i="51"/>
  <c r="J49" i="51" s="1"/>
  <c r="I50" i="51"/>
  <c r="J50" i="51" s="1"/>
  <c r="I51" i="51"/>
  <c r="J51" i="51" s="1"/>
  <c r="I52" i="51"/>
  <c r="J52" i="51" s="1"/>
  <c r="I53" i="51"/>
  <c r="J53" i="51" s="1"/>
  <c r="I54" i="51"/>
  <c r="J54" i="51" s="1"/>
  <c r="AP4" i="50" l="1"/>
  <c r="K3" i="51" s="1"/>
  <c r="L3" i="51" s="1"/>
  <c r="AJ4" i="50" l="1"/>
  <c r="M3" i="51" l="1"/>
  <c r="N3" i="51" s="1"/>
  <c r="AD4" i="50" l="1"/>
  <c r="O3" i="51" l="1"/>
  <c r="P3" i="51" s="1"/>
  <c r="R3" i="51" s="1"/>
  <c r="T3" i="51" s="1"/>
  <c r="V3" i="51" s="1"/>
  <c r="AE3" i="51" s="1"/>
  <c r="AG3" i="51"/>
  <c r="AI3" i="51" s="1"/>
  <c r="BY4" i="50" l="1"/>
  <c r="CA4" i="50" s="1"/>
  <c r="DU4" i="50"/>
  <c r="DW4" i="50" s="1"/>
  <c r="AO4" i="50"/>
  <c r="AQ4" i="50" s="1"/>
  <c r="AU4" i="50"/>
  <c r="AW4" i="50" s="1"/>
  <c r="EA4" i="50"/>
  <c r="EC4" i="50" s="1"/>
  <c r="Q4" i="50"/>
  <c r="S4" i="50" s="1"/>
  <c r="BA4" i="50"/>
  <c r="BC4" i="50" s="1"/>
  <c r="AC4" i="50"/>
  <c r="AE4" i="50" s="1"/>
  <c r="DC4" i="50"/>
  <c r="DE4" i="50" s="1"/>
  <c r="W4" i="50"/>
  <c r="Y4" i="50" s="1"/>
  <c r="DO4" i="50"/>
  <c r="DQ4" i="50" s="1"/>
  <c r="CE4" i="50"/>
  <c r="CG4" i="50" s="1"/>
  <c r="CK4" i="50"/>
  <c r="CM4" i="50" s="1"/>
  <c r="BS4" i="50"/>
  <c r="BU4" i="50" s="1"/>
  <c r="CQ4" i="50"/>
  <c r="CS4" i="50" s="1"/>
  <c r="AI4" i="50"/>
  <c r="AK4" i="50" s="1"/>
  <c r="EG4" i="50"/>
  <c r="EI4" i="50" s="1"/>
  <c r="BG4" i="50"/>
  <c r="BI4" i="50" s="1"/>
  <c r="BM4" i="50"/>
  <c r="BO4" i="50" s="1"/>
  <c r="V5" i="50" l="1"/>
  <c r="D3" i="52"/>
  <c r="BF5" i="50"/>
  <c r="J3" i="52"/>
  <c r="CD5" i="50"/>
  <c r="N3" i="52"/>
  <c r="I3" i="52"/>
  <c r="AZ5" i="50"/>
  <c r="DZ5" i="50"/>
  <c r="V3" i="52"/>
  <c r="DB5" i="50"/>
  <c r="R3" i="52"/>
  <c r="C3" i="52"/>
  <c r="P5" i="50"/>
  <c r="R5" i="50" s="1"/>
  <c r="N4" i="50"/>
  <c r="I11" i="24" s="1"/>
  <c r="AH5" i="50"/>
  <c r="F3" i="52"/>
  <c r="AT5" i="50"/>
  <c r="H3" i="52"/>
  <c r="T3" i="52"/>
  <c r="DN5" i="50"/>
  <c r="P3" i="52"/>
  <c r="CP5" i="50"/>
  <c r="G3" i="52"/>
  <c r="AN5" i="50"/>
  <c r="AB5" i="50"/>
  <c r="E3" i="52"/>
  <c r="BR5" i="50"/>
  <c r="L3" i="52"/>
  <c r="DT5" i="50"/>
  <c r="U3" i="52"/>
  <c r="BL5" i="50"/>
  <c r="K3" i="52"/>
  <c r="EF5" i="50"/>
  <c r="W3" i="52"/>
  <c r="O3" i="52"/>
  <c r="CJ5" i="50"/>
  <c r="M3" i="52"/>
  <c r="BX5" i="50"/>
  <c r="O4" i="50"/>
  <c r="J11" i="24" s="1"/>
  <c r="AD11" i="24" s="1"/>
  <c r="C4" i="51"/>
  <c r="D4" i="51" s="1"/>
  <c r="AX3" i="52" l="1"/>
  <c r="AQ3" i="52"/>
  <c r="AW3" i="52"/>
  <c r="AL3" i="52"/>
  <c r="AI3" i="52"/>
  <c r="AP3" i="52"/>
  <c r="AH3" i="52"/>
  <c r="AS3" i="52"/>
  <c r="AJ3" i="52"/>
  <c r="AK3" i="52"/>
  <c r="AC11" i="24"/>
  <c r="L11" i="24"/>
  <c r="AU3" i="52"/>
  <c r="AV3" i="52"/>
  <c r="AO3" i="52"/>
  <c r="AM3" i="52"/>
  <c r="AG3" i="52"/>
  <c r="AF3" i="52"/>
  <c r="AN3" i="52"/>
  <c r="AE3" i="52"/>
  <c r="AD3" i="52"/>
  <c r="BA3" i="52"/>
  <c r="AZ3" i="52"/>
  <c r="AR3" i="52"/>
  <c r="AT3" i="52"/>
  <c r="AY3" i="52"/>
  <c r="X5" i="50"/>
  <c r="AB3" i="52" l="1"/>
  <c r="E4" i="51"/>
  <c r="F4" i="51" s="1"/>
  <c r="M11" i="56" l="1"/>
  <c r="M11" i="24"/>
  <c r="BH5" i="50"/>
  <c r="G4" i="51" l="1"/>
  <c r="H4" i="51" s="1"/>
  <c r="AV5" i="50" l="1"/>
  <c r="I4" i="51" l="1"/>
  <c r="J4" i="51" s="1"/>
  <c r="AP5" i="50" l="1"/>
  <c r="K4" i="51" s="1"/>
  <c r="L4" i="51" s="1"/>
  <c r="AJ5" i="50" l="1"/>
  <c r="M4" i="51" l="1"/>
  <c r="N4" i="51" s="1"/>
  <c r="AD5" i="50" l="1"/>
  <c r="O4" i="51" l="1"/>
  <c r="P4" i="51" s="1"/>
  <c r="R4" i="51" s="1"/>
  <c r="T4" i="51" s="1"/>
  <c r="V4" i="51" s="1"/>
  <c r="AE4" i="51" s="1"/>
  <c r="AG4" i="51"/>
  <c r="AI4" i="51" s="1"/>
  <c r="BM5" i="50" l="1"/>
  <c r="BO5" i="50" s="1"/>
  <c r="Q5" i="50"/>
  <c r="S5" i="50" s="1"/>
  <c r="AO5" i="50"/>
  <c r="AQ5" i="50" s="1"/>
  <c r="DO5" i="50"/>
  <c r="DQ5" i="50" s="1"/>
  <c r="AI5" i="50"/>
  <c r="AK5" i="50" s="1"/>
  <c r="AU5" i="50"/>
  <c r="AW5" i="50" s="1"/>
  <c r="DC5" i="50"/>
  <c r="DE5" i="50" s="1"/>
  <c r="BA5" i="50"/>
  <c r="BC5" i="50" s="1"/>
  <c r="BS5" i="50"/>
  <c r="BU5" i="50" s="1"/>
  <c r="BY5" i="50"/>
  <c r="CA5" i="50" s="1"/>
  <c r="CQ5" i="50"/>
  <c r="CS5" i="50" s="1"/>
  <c r="EA5" i="50"/>
  <c r="EC5" i="50" s="1"/>
  <c r="CK5" i="50"/>
  <c r="CM5" i="50" s="1"/>
  <c r="W5" i="50"/>
  <c r="Y5" i="50" s="1"/>
  <c r="CE5" i="50"/>
  <c r="CG5" i="50" s="1"/>
  <c r="BG5" i="50"/>
  <c r="BI5" i="50" s="1"/>
  <c r="EG5" i="50"/>
  <c r="EI5" i="50" s="1"/>
  <c r="DU5" i="50"/>
  <c r="DW5" i="50" s="1"/>
  <c r="AC5" i="50"/>
  <c r="AE5" i="50" s="1"/>
  <c r="BR6" i="50" l="1"/>
  <c r="L4" i="52"/>
  <c r="DT6" i="50"/>
  <c r="U4" i="52"/>
  <c r="DZ6" i="50"/>
  <c r="V4" i="52"/>
  <c r="I4" i="52"/>
  <c r="AZ6" i="50"/>
  <c r="EF6" i="50"/>
  <c r="W4" i="52"/>
  <c r="AH6" i="50"/>
  <c r="F4" i="52"/>
  <c r="CP6" i="50"/>
  <c r="P4" i="52"/>
  <c r="AB6" i="50"/>
  <c r="E4" i="52"/>
  <c r="T4" i="52"/>
  <c r="DN6" i="50"/>
  <c r="CD6" i="50"/>
  <c r="N4" i="52"/>
  <c r="AN6" i="50"/>
  <c r="G4" i="52"/>
  <c r="AT6" i="50"/>
  <c r="H4" i="52"/>
  <c r="V6" i="50"/>
  <c r="D4" i="52"/>
  <c r="P6" i="50"/>
  <c r="R6" i="50" s="1"/>
  <c r="C5" i="51" s="1"/>
  <c r="D5" i="51" s="1"/>
  <c r="N5" i="50"/>
  <c r="I12" i="24" s="1"/>
  <c r="C4" i="52"/>
  <c r="M4" i="52"/>
  <c r="O5" i="50"/>
  <c r="J12" i="24" s="1"/>
  <c r="AD12" i="24" s="1"/>
  <c r="BX6" i="50"/>
  <c r="DB6" i="50"/>
  <c r="R4" i="52"/>
  <c r="BF6" i="50"/>
  <c r="J4" i="52"/>
  <c r="CJ6" i="50"/>
  <c r="O4" i="52"/>
  <c r="K4" i="52"/>
  <c r="BL6" i="50"/>
  <c r="AX4" i="52" l="1"/>
  <c r="AS4" i="52"/>
  <c r="AK4" i="52"/>
  <c r="AI4" i="52"/>
  <c r="AG4" i="52"/>
  <c r="AU4" i="52"/>
  <c r="AF4" i="52"/>
  <c r="AH4" i="52"/>
  <c r="AO4" i="52"/>
  <c r="AJ4" i="52"/>
  <c r="AL4" i="52"/>
  <c r="AC12" i="24"/>
  <c r="L12" i="24"/>
  <c r="AB13" i="24"/>
  <c r="AV4" i="52"/>
  <c r="AN4" i="52"/>
  <c r="AW4" i="52"/>
  <c r="AZ4" i="52"/>
  <c r="AT4" i="52"/>
  <c r="AD4" i="52"/>
  <c r="BA4" i="52"/>
  <c r="AY4" i="52"/>
  <c r="AR4" i="52"/>
  <c r="AP4" i="52"/>
  <c r="AE4" i="52"/>
  <c r="AQ4" i="52"/>
  <c r="AM4" i="52"/>
  <c r="X6" i="50"/>
  <c r="AB4" i="52" l="1"/>
  <c r="E5" i="51"/>
  <c r="F5" i="51" s="1"/>
  <c r="M12" i="56" l="1"/>
  <c r="M12" i="24"/>
  <c r="BH6" i="50"/>
  <c r="G5" i="51" l="1"/>
  <c r="H5" i="51" s="1"/>
  <c r="AV6" i="50" l="1"/>
  <c r="I5" i="51" l="1"/>
  <c r="J5" i="51" s="1"/>
  <c r="AP6" i="50" l="1"/>
  <c r="K5" i="51" s="1"/>
  <c r="L5" i="51" s="1"/>
  <c r="AJ6" i="50" l="1"/>
  <c r="M5" i="51" l="1"/>
  <c r="N5" i="51" s="1"/>
  <c r="AD6" i="50" l="1"/>
  <c r="O5" i="51" l="1"/>
  <c r="P5" i="51" s="1"/>
  <c r="R5" i="51" s="1"/>
  <c r="T5" i="51" s="1"/>
  <c r="V5" i="51" s="1"/>
  <c r="AE5" i="51" s="1"/>
  <c r="AG5" i="51"/>
  <c r="AI5" i="51" s="1"/>
  <c r="BG6" i="50" l="1"/>
  <c r="BI6" i="50" s="1"/>
  <c r="Q6" i="50"/>
  <c r="S6" i="50" s="1"/>
  <c r="BS6" i="50"/>
  <c r="BU6" i="50" s="1"/>
  <c r="DU6" i="50"/>
  <c r="DW6" i="50" s="1"/>
  <c r="AC6" i="50"/>
  <c r="AE6" i="50" s="1"/>
  <c r="W6" i="50"/>
  <c r="Y6" i="50" s="1"/>
  <c r="DO6" i="50"/>
  <c r="DQ6" i="50" s="1"/>
  <c r="AO6" i="50"/>
  <c r="AQ6" i="50" s="1"/>
  <c r="CQ6" i="50"/>
  <c r="CS6" i="50" s="1"/>
  <c r="DC6" i="50"/>
  <c r="DE6" i="50" s="1"/>
  <c r="BM6" i="50"/>
  <c r="BO6" i="50" s="1"/>
  <c r="AI6" i="50"/>
  <c r="AK6" i="50" s="1"/>
  <c r="CE6" i="50"/>
  <c r="CG6" i="50" s="1"/>
  <c r="BY6" i="50"/>
  <c r="CA6" i="50" s="1"/>
  <c r="EG6" i="50"/>
  <c r="EI6" i="50" s="1"/>
  <c r="EA6" i="50"/>
  <c r="EC6" i="50" s="1"/>
  <c r="CK6" i="50"/>
  <c r="CM6" i="50" s="1"/>
  <c r="AU6" i="50"/>
  <c r="AW6" i="50" s="1"/>
  <c r="BA6" i="50"/>
  <c r="BC6" i="50" s="1"/>
  <c r="K5" i="52" l="1"/>
  <c r="BL7" i="50"/>
  <c r="G5" i="52"/>
  <c r="AN7" i="50"/>
  <c r="V5" i="52"/>
  <c r="DZ7" i="50"/>
  <c r="F5" i="52"/>
  <c r="AH7" i="50"/>
  <c r="CJ7" i="50"/>
  <c r="O5" i="52"/>
  <c r="AB7" i="50"/>
  <c r="E5" i="52"/>
  <c r="DN7" i="50"/>
  <c r="T5" i="52"/>
  <c r="DT7" i="50"/>
  <c r="U5" i="52"/>
  <c r="CP7" i="50"/>
  <c r="P5" i="52"/>
  <c r="AT7" i="50"/>
  <c r="H5" i="52"/>
  <c r="BR7" i="50"/>
  <c r="L5" i="52"/>
  <c r="M5" i="52"/>
  <c r="O6" i="50"/>
  <c r="J13" i="24" s="1"/>
  <c r="AD13" i="24" s="1"/>
  <c r="BX7" i="50"/>
  <c r="P7" i="50"/>
  <c r="R7" i="50" s="1"/>
  <c r="C6" i="51" s="1"/>
  <c r="D6" i="51" s="1"/>
  <c r="C5" i="52"/>
  <c r="N6" i="50"/>
  <c r="I13" i="24" s="1"/>
  <c r="DB7" i="50"/>
  <c r="R5" i="52"/>
  <c r="AZ7" i="50"/>
  <c r="I5" i="52"/>
  <c r="V7" i="50"/>
  <c r="D5" i="52"/>
  <c r="EF7" i="50"/>
  <c r="W5" i="52"/>
  <c r="CD7" i="50"/>
  <c r="N5" i="52"/>
  <c r="BF7" i="50"/>
  <c r="J5" i="52"/>
  <c r="AX5" i="52" l="1"/>
  <c r="AF5" i="52"/>
  <c r="AE5" i="52"/>
  <c r="AJ5" i="52"/>
  <c r="AG5" i="52"/>
  <c r="AS5" i="52"/>
  <c r="AW5" i="52"/>
  <c r="AI5" i="52"/>
  <c r="AK5" i="52"/>
  <c r="AV5" i="52"/>
  <c r="AM5" i="52"/>
  <c r="AQ5" i="52"/>
  <c r="AH5" i="52"/>
  <c r="AO5" i="52"/>
  <c r="AN5" i="52"/>
  <c r="AP5" i="52"/>
  <c r="AC13" i="24"/>
  <c r="L13" i="24"/>
  <c r="AR5" i="52"/>
  <c r="AD5" i="52"/>
  <c r="AZ5" i="52"/>
  <c r="BA5" i="52"/>
  <c r="AY5" i="52"/>
  <c r="AT5" i="52"/>
  <c r="AU5" i="52"/>
  <c r="AL5" i="52"/>
  <c r="X7" i="50"/>
  <c r="AB5" i="52" l="1"/>
  <c r="E6" i="51"/>
  <c r="F6" i="51" s="1"/>
  <c r="M13" i="24" l="1"/>
  <c r="M13" i="56"/>
  <c r="BH7" i="50"/>
  <c r="G6" i="51" l="1"/>
  <c r="H6" i="51" s="1"/>
  <c r="AV7" i="50" l="1"/>
  <c r="I6" i="51" l="1"/>
  <c r="J6" i="51" s="1"/>
  <c r="AP7" i="50" l="1"/>
  <c r="K6" i="51" s="1"/>
  <c r="L6" i="51" s="1"/>
  <c r="AJ7" i="50" l="1"/>
  <c r="M6" i="51" l="1"/>
  <c r="N6" i="51" s="1"/>
  <c r="AD7" i="50" l="1"/>
  <c r="O6" i="51" l="1"/>
  <c r="P6" i="51" s="1"/>
  <c r="R6" i="51" s="1"/>
  <c r="T6" i="51" s="1"/>
  <c r="V6" i="51" s="1"/>
  <c r="AE6" i="51" s="1"/>
  <c r="AG6" i="51"/>
  <c r="AI6" i="51" s="1"/>
  <c r="BS7" i="50" l="1"/>
  <c r="BU7" i="50" s="1"/>
  <c r="CE7" i="50"/>
  <c r="CG7" i="50" s="1"/>
  <c r="EG7" i="50"/>
  <c r="EI7" i="50" s="1"/>
  <c r="DC7" i="50"/>
  <c r="DE7" i="50" s="1"/>
  <c r="W7" i="50"/>
  <c r="Y7" i="50" s="1"/>
  <c r="DO7" i="50"/>
  <c r="DQ7" i="50" s="1"/>
  <c r="CQ7" i="50"/>
  <c r="CS7" i="50" s="1"/>
  <c r="EA7" i="50"/>
  <c r="EC7" i="50" s="1"/>
  <c r="AI7" i="50"/>
  <c r="AK7" i="50" s="1"/>
  <c r="AC7" i="50"/>
  <c r="AE7" i="50" s="1"/>
  <c r="CK7" i="50"/>
  <c r="CM7" i="50" s="1"/>
  <c r="AU7" i="50"/>
  <c r="AW7" i="50" s="1"/>
  <c r="Q7" i="50"/>
  <c r="S7" i="50" s="1"/>
  <c r="AO7" i="50"/>
  <c r="AQ7" i="50" s="1"/>
  <c r="BG7" i="50"/>
  <c r="BI7" i="50" s="1"/>
  <c r="BA7" i="50"/>
  <c r="BC7" i="50" s="1"/>
  <c r="DU7" i="50"/>
  <c r="DW7" i="50" s="1"/>
  <c r="BM7" i="50"/>
  <c r="BO7" i="50" s="1"/>
  <c r="BY7" i="50"/>
  <c r="CA7" i="50" s="1"/>
  <c r="CJ8" i="50" l="1"/>
  <c r="O6" i="52"/>
  <c r="P6" i="52"/>
  <c r="CP8" i="50"/>
  <c r="DN8" i="50"/>
  <c r="T6" i="52"/>
  <c r="AT8" i="50"/>
  <c r="H6" i="52"/>
  <c r="DT8" i="50"/>
  <c r="U6" i="52"/>
  <c r="V8" i="50"/>
  <c r="D6" i="52"/>
  <c r="V6" i="52"/>
  <c r="DZ8" i="50"/>
  <c r="DB8" i="50"/>
  <c r="R6" i="52"/>
  <c r="BL8" i="50"/>
  <c r="K6" i="52"/>
  <c r="J6" i="52"/>
  <c r="BF8" i="50"/>
  <c r="W6" i="52"/>
  <c r="EF8" i="50"/>
  <c r="BX8" i="50"/>
  <c r="M6" i="52"/>
  <c r="O7" i="50"/>
  <c r="J14" i="24" s="1"/>
  <c r="AD14" i="24" s="1"/>
  <c r="CD8" i="50"/>
  <c r="N6" i="52"/>
  <c r="AB8" i="50"/>
  <c r="E6" i="52"/>
  <c r="AH8" i="50"/>
  <c r="F6" i="52"/>
  <c r="I6" i="52"/>
  <c r="AZ8" i="50"/>
  <c r="G6" i="52"/>
  <c r="AN8" i="50"/>
  <c r="P8" i="50"/>
  <c r="R8" i="50" s="1"/>
  <c r="C7" i="51" s="1"/>
  <c r="D7" i="51" s="1"/>
  <c r="N7" i="50"/>
  <c r="I14" i="24" s="1"/>
  <c r="C6" i="52"/>
  <c r="BR8" i="50"/>
  <c r="L6" i="52"/>
  <c r="AH6" i="52" l="1"/>
  <c r="AN6" i="52"/>
  <c r="AE6" i="52"/>
  <c r="AJ6" i="52"/>
  <c r="AK6" i="52"/>
  <c r="AF6" i="52"/>
  <c r="AS6" i="52"/>
  <c r="AV6" i="52"/>
  <c r="AG6" i="52"/>
  <c r="AQ6" i="52"/>
  <c r="AI6" i="52"/>
  <c r="AL6" i="52"/>
  <c r="AU6" i="52"/>
  <c r="AM6" i="52"/>
  <c r="AO6" i="52"/>
  <c r="BA6" i="52"/>
  <c r="AT6" i="52"/>
  <c r="AR6" i="52"/>
  <c r="AY6" i="52"/>
  <c r="AD6" i="52"/>
  <c r="AZ6" i="52"/>
  <c r="AP6" i="52"/>
  <c r="AX6" i="52"/>
  <c r="L14" i="24"/>
  <c r="AC14" i="24"/>
  <c r="AB14" i="24" s="1"/>
  <c r="AW6" i="52"/>
  <c r="X8" i="50"/>
  <c r="AB6" i="52" l="1"/>
  <c r="E7" i="51"/>
  <c r="F7" i="51" s="1"/>
  <c r="M14" i="24" l="1"/>
  <c r="M14" i="56"/>
  <c r="BH8" i="50"/>
  <c r="G7" i="51" l="1"/>
  <c r="H7" i="51" s="1"/>
  <c r="AV8" i="50" l="1"/>
  <c r="I7" i="51" l="1"/>
  <c r="J7" i="51" s="1"/>
  <c r="AP8" i="50" l="1"/>
  <c r="K7" i="51" s="1"/>
  <c r="L7" i="51" s="1"/>
  <c r="AJ8" i="50" l="1"/>
  <c r="M7" i="51" l="1"/>
  <c r="N7" i="51" s="1"/>
  <c r="AD8" i="50" l="1"/>
  <c r="O7" i="51" l="1"/>
  <c r="P7" i="51" s="1"/>
  <c r="R7" i="51" s="1"/>
  <c r="T7" i="51" s="1"/>
  <c r="V7" i="51" s="1"/>
  <c r="AE7" i="51" s="1"/>
  <c r="AG7" i="51"/>
  <c r="AI7" i="51" s="1"/>
  <c r="DU8" i="50" l="1"/>
  <c r="DW8" i="50" s="1"/>
  <c r="AU8" i="50"/>
  <c r="AW8" i="50" s="1"/>
  <c r="EA8" i="50"/>
  <c r="EC8" i="50" s="1"/>
  <c r="BM8" i="50"/>
  <c r="BO8" i="50" s="1"/>
  <c r="EG8" i="50"/>
  <c r="EI8" i="50" s="1"/>
  <c r="BY8" i="50"/>
  <c r="CA8" i="50" s="1"/>
  <c r="AO8" i="50"/>
  <c r="AQ8" i="50" s="1"/>
  <c r="BG8" i="50"/>
  <c r="BI8" i="50" s="1"/>
  <c r="DC8" i="50"/>
  <c r="DE8" i="50" s="1"/>
  <c r="BA8" i="50"/>
  <c r="BC8" i="50" s="1"/>
  <c r="CE8" i="50"/>
  <c r="CG8" i="50" s="1"/>
  <c r="CQ8" i="50"/>
  <c r="CS8" i="50" s="1"/>
  <c r="BS8" i="50"/>
  <c r="BU8" i="50" s="1"/>
  <c r="W8" i="50"/>
  <c r="Y8" i="50" s="1"/>
  <c r="AI8" i="50"/>
  <c r="AK8" i="50" s="1"/>
  <c r="AC8" i="50"/>
  <c r="AE8" i="50" s="1"/>
  <c r="Q8" i="50"/>
  <c r="S8" i="50" s="1"/>
  <c r="DO8" i="50"/>
  <c r="DQ8" i="50" s="1"/>
  <c r="CK8" i="50"/>
  <c r="CM8" i="50" s="1"/>
  <c r="J7" i="52" l="1"/>
  <c r="BF9" i="50"/>
  <c r="DN9" i="50"/>
  <c r="T7" i="52"/>
  <c r="P7" i="52"/>
  <c r="CP9" i="50"/>
  <c r="DB9" i="50"/>
  <c r="R7" i="52"/>
  <c r="P9" i="50"/>
  <c r="R9" i="50" s="1"/>
  <c r="C8" i="51" s="1"/>
  <c r="D8" i="51" s="1"/>
  <c r="C7" i="52"/>
  <c r="N8" i="50"/>
  <c r="I15" i="24" s="1"/>
  <c r="EF9" i="50"/>
  <c r="W7" i="52"/>
  <c r="AZ9" i="50"/>
  <c r="I7" i="52"/>
  <c r="AB9" i="50"/>
  <c r="E7" i="52"/>
  <c r="BL9" i="50"/>
  <c r="K7" i="52"/>
  <c r="CJ9" i="50"/>
  <c r="O7" i="52"/>
  <c r="DZ9" i="50"/>
  <c r="V7" i="52"/>
  <c r="BX9" i="50"/>
  <c r="M7" i="52"/>
  <c r="O8" i="50"/>
  <c r="J15" i="24" s="1"/>
  <c r="AD15" i="24" s="1"/>
  <c r="V9" i="50"/>
  <c r="D7" i="52"/>
  <c r="AT9" i="50"/>
  <c r="H7" i="52"/>
  <c r="CD9" i="50"/>
  <c r="N7" i="52"/>
  <c r="G7" i="52"/>
  <c r="AN9" i="50"/>
  <c r="F7" i="52"/>
  <c r="AH9" i="50"/>
  <c r="BR9" i="50"/>
  <c r="L7" i="52"/>
  <c r="U7" i="52"/>
  <c r="DT9" i="50"/>
  <c r="AW7" i="52" l="1"/>
  <c r="AG7" i="52"/>
  <c r="AH7" i="52"/>
  <c r="AP7" i="52"/>
  <c r="AS7" i="52"/>
  <c r="AF7" i="52"/>
  <c r="AQ7" i="52"/>
  <c r="AY7" i="52"/>
  <c r="AZ7" i="52"/>
  <c r="BA7" i="52"/>
  <c r="AT7" i="52"/>
  <c r="AD7" i="52"/>
  <c r="AR7" i="52"/>
  <c r="AL7" i="52"/>
  <c r="AU7" i="52"/>
  <c r="AI7" i="52"/>
  <c r="AV7" i="52"/>
  <c r="AJ7" i="52"/>
  <c r="AE7" i="52"/>
  <c r="AM7" i="52"/>
  <c r="AC15" i="24"/>
  <c r="AB15" i="24" s="1"/>
  <c r="L15" i="24"/>
  <c r="AO7" i="52"/>
  <c r="AN7" i="52"/>
  <c r="AX7" i="52"/>
  <c r="AK7" i="52"/>
  <c r="X9" i="50"/>
  <c r="AB7" i="52" l="1"/>
  <c r="M15" i="56" s="1"/>
  <c r="E8" i="51"/>
  <c r="F8" i="51" s="1"/>
  <c r="M15" i="24" l="1"/>
  <c r="BH9" i="50"/>
  <c r="G8" i="51" l="1"/>
  <c r="H8" i="51" s="1"/>
  <c r="AV9" i="50" l="1"/>
  <c r="I8" i="51" l="1"/>
  <c r="J8" i="51" s="1"/>
  <c r="AP9" i="50" l="1"/>
  <c r="K8" i="51" s="1"/>
  <c r="L8" i="51" s="1"/>
  <c r="AJ9" i="50" l="1"/>
  <c r="M8" i="51" l="1"/>
  <c r="N8" i="51" s="1"/>
  <c r="AD9" i="50" l="1"/>
  <c r="O8" i="51" l="1"/>
  <c r="P8" i="51" s="1"/>
  <c r="R8" i="51" s="1"/>
  <c r="T8" i="51" s="1"/>
  <c r="V8" i="51" s="1"/>
  <c r="AE8" i="51" s="1"/>
  <c r="AG8" i="51"/>
  <c r="AI8" i="51" s="1"/>
  <c r="AI9" i="50" l="1"/>
  <c r="AK9" i="50" s="1"/>
  <c r="DU9" i="50"/>
  <c r="DW9" i="50" s="1"/>
  <c r="EG9" i="50"/>
  <c r="EI9" i="50" s="1"/>
  <c r="AU9" i="50"/>
  <c r="AW9" i="50" s="1"/>
  <c r="CK9" i="50"/>
  <c r="CM9" i="50" s="1"/>
  <c r="W9" i="50"/>
  <c r="Y9" i="50" s="1"/>
  <c r="DC9" i="50"/>
  <c r="DE9" i="50" s="1"/>
  <c r="BM9" i="50"/>
  <c r="BO9" i="50" s="1"/>
  <c r="CQ9" i="50"/>
  <c r="CS9" i="50" s="1"/>
  <c r="BY9" i="50"/>
  <c r="CA9" i="50" s="1"/>
  <c r="CE9" i="50"/>
  <c r="CG9" i="50" s="1"/>
  <c r="EA9" i="50"/>
  <c r="EC9" i="50" s="1"/>
  <c r="BG9" i="50"/>
  <c r="BI9" i="50" s="1"/>
  <c r="BS9" i="50"/>
  <c r="BU9" i="50" s="1"/>
  <c r="Q9" i="50"/>
  <c r="S9" i="50" s="1"/>
  <c r="AO9" i="50"/>
  <c r="AQ9" i="50" s="1"/>
  <c r="BA9" i="50"/>
  <c r="BC9" i="50" s="1"/>
  <c r="AC9" i="50"/>
  <c r="AE9" i="50" s="1"/>
  <c r="DO9" i="50"/>
  <c r="DQ9" i="50" s="1"/>
  <c r="CP10" i="50" l="1"/>
  <c r="P8" i="52"/>
  <c r="I8" i="52"/>
  <c r="AZ10" i="50"/>
  <c r="DZ10" i="50"/>
  <c r="EB10" i="50" s="1"/>
  <c r="V8" i="52"/>
  <c r="O8" i="52"/>
  <c r="CJ10" i="50"/>
  <c r="CL10" i="50" s="1"/>
  <c r="BX10" i="50"/>
  <c r="BZ10" i="50" s="1"/>
  <c r="M8" i="52"/>
  <c r="O9" i="50"/>
  <c r="J16" i="24" s="1"/>
  <c r="AD16" i="24" s="1"/>
  <c r="E8" i="52"/>
  <c r="AB10" i="50"/>
  <c r="AN10" i="50"/>
  <c r="G8" i="52"/>
  <c r="H8" i="52"/>
  <c r="AT10" i="50"/>
  <c r="DN10" i="50"/>
  <c r="DP10" i="50" s="1"/>
  <c r="T8" i="52"/>
  <c r="N9" i="50"/>
  <c r="I16" i="24" s="1"/>
  <c r="P10" i="50"/>
  <c r="R10" i="50" s="1"/>
  <c r="C9" i="51" s="1"/>
  <c r="D9" i="51" s="1"/>
  <c r="C8" i="52"/>
  <c r="W8" i="52"/>
  <c r="EF10" i="50"/>
  <c r="EH10" i="50" s="1"/>
  <c r="CD10" i="50"/>
  <c r="N8" i="52"/>
  <c r="BL10" i="50"/>
  <c r="BN10" i="50" s="1"/>
  <c r="K8" i="52"/>
  <c r="D8" i="52"/>
  <c r="V10" i="50"/>
  <c r="X10" i="50" s="1"/>
  <c r="E9" i="51" s="1"/>
  <c r="DT10" i="50"/>
  <c r="DV10" i="50" s="1"/>
  <c r="U8" i="52"/>
  <c r="DB10" i="50"/>
  <c r="DD10" i="50" s="1"/>
  <c r="R8" i="52"/>
  <c r="BR10" i="50"/>
  <c r="BT10" i="50" s="1"/>
  <c r="L8" i="52"/>
  <c r="BF10" i="50"/>
  <c r="J8" i="52"/>
  <c r="AH10" i="50"/>
  <c r="F8" i="52"/>
  <c r="F9" i="51" l="1"/>
  <c r="AX8" i="52"/>
  <c r="AS8" i="52"/>
  <c r="AW8" i="52"/>
  <c r="AM8" i="52"/>
  <c r="AF8" i="52"/>
  <c r="L16" i="24"/>
  <c r="AC16" i="24"/>
  <c r="AB16" i="24" s="1"/>
  <c r="AG8" i="52"/>
  <c r="AL8" i="52"/>
  <c r="AI8" i="52"/>
  <c r="AN8" i="52"/>
  <c r="AU8" i="52"/>
  <c r="AH8" i="52"/>
  <c r="AJ8" i="52"/>
  <c r="AV8" i="52"/>
  <c r="AP8" i="52"/>
  <c r="AE8" i="52"/>
  <c r="AK8" i="52"/>
  <c r="AO8" i="52"/>
  <c r="AQ8" i="52"/>
  <c r="AT8" i="52"/>
  <c r="AY8" i="52"/>
  <c r="AD8" i="52"/>
  <c r="AZ8" i="52"/>
  <c r="BA8" i="52"/>
  <c r="AR8" i="52"/>
  <c r="BH10" i="50" l="1"/>
  <c r="G9" i="51" s="1"/>
  <c r="H9" i="51" s="1"/>
  <c r="AB8" i="52"/>
  <c r="AV10" i="50" l="1"/>
  <c r="I9" i="51" s="1"/>
  <c r="J9" i="51" s="1"/>
  <c r="AP10" i="50" s="1"/>
  <c r="K9" i="51" s="1"/>
  <c r="L9" i="51" s="1"/>
  <c r="AJ10" i="50" s="1"/>
  <c r="M9" i="51" s="1"/>
  <c r="N9" i="51" s="1"/>
  <c r="M16" i="56"/>
  <c r="M16" i="24"/>
  <c r="AD10" i="50" l="1"/>
  <c r="O9" i="51" l="1"/>
  <c r="P9" i="51" s="1"/>
  <c r="R9" i="51" s="1"/>
  <c r="T9" i="51" s="1"/>
  <c r="V9" i="51" s="1"/>
  <c r="AG9" i="51"/>
  <c r="AI9" i="51" s="1"/>
  <c r="AE9" i="51" s="1"/>
  <c r="W10" i="50" l="1"/>
  <c r="Y10" i="50" s="1"/>
  <c r="CE10" i="50"/>
  <c r="CG10" i="50" s="1"/>
  <c r="AI10" i="50"/>
  <c r="AK10" i="50" s="1"/>
  <c r="BM10" i="50"/>
  <c r="BO10" i="50" s="1"/>
  <c r="AO10" i="50"/>
  <c r="AQ10" i="50" s="1"/>
  <c r="Q10" i="50"/>
  <c r="S10" i="50" s="1"/>
  <c r="AU10" i="50"/>
  <c r="AW10" i="50" s="1"/>
  <c r="BA10" i="50"/>
  <c r="BC10" i="50" s="1"/>
  <c r="AC10" i="50"/>
  <c r="AE10" i="50" s="1"/>
  <c r="BG10" i="50"/>
  <c r="BI10" i="50" s="1"/>
  <c r="EA10" i="50"/>
  <c r="EC10" i="50" s="1"/>
  <c r="BS10" i="50"/>
  <c r="BU10" i="50" s="1"/>
  <c r="CK10" i="50"/>
  <c r="CM10" i="50" s="1"/>
  <c r="CQ10" i="50"/>
  <c r="CS10" i="50" s="1"/>
  <c r="BY10" i="50"/>
  <c r="CA10" i="50" s="1"/>
  <c r="DC10" i="50"/>
  <c r="DE10" i="50" s="1"/>
  <c r="DO10" i="50"/>
  <c r="DQ10" i="50" s="1"/>
  <c r="EG10" i="50"/>
  <c r="EI10" i="50" s="1"/>
  <c r="DU10" i="50"/>
  <c r="DW10" i="50" s="1"/>
  <c r="DT11" i="50" l="1"/>
  <c r="U9" i="52"/>
  <c r="EF11" i="50"/>
  <c r="W9" i="52"/>
  <c r="DN11" i="50"/>
  <c r="T9" i="52"/>
  <c r="DB11" i="50"/>
  <c r="R9" i="52"/>
  <c r="BX11" i="50"/>
  <c r="M9" i="52"/>
  <c r="CP11" i="50"/>
  <c r="P9" i="52"/>
  <c r="CJ11" i="50"/>
  <c r="O9" i="52"/>
  <c r="BR11" i="50"/>
  <c r="L9" i="52"/>
  <c r="DZ11" i="50"/>
  <c r="V9" i="52"/>
  <c r="BF11" i="50"/>
  <c r="J9" i="52"/>
  <c r="AB11" i="50"/>
  <c r="E9" i="52"/>
  <c r="O10" i="50"/>
  <c r="J17" i="24" s="1"/>
  <c r="AD17" i="24" s="1"/>
  <c r="AZ11" i="50"/>
  <c r="I9" i="52"/>
  <c r="AT11" i="50"/>
  <c r="H9" i="52"/>
  <c r="P11" i="50"/>
  <c r="R11" i="50" s="1"/>
  <c r="C10" i="51" s="1"/>
  <c r="D10" i="51" s="1"/>
  <c r="C9" i="52"/>
  <c r="N10" i="50"/>
  <c r="I17" i="24" s="1"/>
  <c r="AN11" i="50"/>
  <c r="G9" i="52"/>
  <c r="BL11" i="50"/>
  <c r="K9" i="52"/>
  <c r="AH11" i="50"/>
  <c r="F9" i="52"/>
  <c r="CD11" i="50"/>
  <c r="N9" i="52"/>
  <c r="V11" i="50"/>
  <c r="D9" i="52"/>
  <c r="AE9" i="52" l="1"/>
  <c r="AO9" i="52"/>
  <c r="AG9" i="52"/>
  <c r="AL9" i="52"/>
  <c r="AH9" i="52"/>
  <c r="L17" i="24"/>
  <c r="AC17" i="24"/>
  <c r="AB17" i="24" s="1"/>
  <c r="AR9" i="52"/>
  <c r="AD9" i="52"/>
  <c r="AY9" i="52"/>
  <c r="AZ9" i="52"/>
  <c r="AT9" i="52"/>
  <c r="BA9" i="52"/>
  <c r="X11" i="50"/>
  <c r="AI9" i="52"/>
  <c r="AJ9" i="52"/>
  <c r="AF9" i="52"/>
  <c r="AK9" i="52"/>
  <c r="AW9" i="52"/>
  <c r="AM9" i="52"/>
  <c r="AP9" i="52"/>
  <c r="AQ9" i="52"/>
  <c r="AN9" i="52"/>
  <c r="AS9" i="52"/>
  <c r="AU9" i="52"/>
  <c r="AX9" i="52"/>
  <c r="AV9" i="52"/>
  <c r="E10" i="51" l="1"/>
  <c r="F10" i="51" s="1"/>
  <c r="AB9" i="52"/>
  <c r="M17" i="56" l="1"/>
  <c r="M17" i="24"/>
  <c r="BH11" i="50"/>
  <c r="G10" i="51" s="1"/>
  <c r="H10" i="51" s="1"/>
  <c r="AV11" i="50" s="1"/>
  <c r="I10" i="51" s="1"/>
  <c r="J10" i="51" s="1"/>
  <c r="AP11" i="50" s="1"/>
  <c r="K10" i="51" s="1"/>
  <c r="L10" i="51" s="1"/>
  <c r="AJ11" i="50" s="1"/>
  <c r="M10" i="51" l="1"/>
  <c r="N10" i="51" s="1"/>
  <c r="AD11" i="50" l="1"/>
  <c r="O10" i="51" l="1"/>
  <c r="P10" i="51" s="1"/>
  <c r="R10" i="51" s="1"/>
  <c r="T10" i="51" s="1"/>
  <c r="V10" i="51" s="1"/>
  <c r="AG10" i="51"/>
  <c r="AI10" i="51" s="1"/>
  <c r="AE10" i="51" s="1"/>
  <c r="AI11" i="50" l="1"/>
  <c r="AK11" i="50" s="1"/>
  <c r="AO11" i="50"/>
  <c r="AQ11" i="50" s="1"/>
  <c r="CE11" i="50"/>
  <c r="CG11" i="50" s="1"/>
  <c r="BA11" i="50"/>
  <c r="BC11" i="50" s="1"/>
  <c r="AC11" i="50"/>
  <c r="AE11" i="50" s="1"/>
  <c r="BS11" i="50"/>
  <c r="BU11" i="50" s="1"/>
  <c r="CQ11" i="50"/>
  <c r="CS11" i="50" s="1"/>
  <c r="Q11" i="50"/>
  <c r="S11" i="50" s="1"/>
  <c r="AU11" i="50"/>
  <c r="AW11" i="50" s="1"/>
  <c r="BG11" i="50"/>
  <c r="BI11" i="50" s="1"/>
  <c r="BM11" i="50"/>
  <c r="BO11" i="50" s="1"/>
  <c r="BY11" i="50"/>
  <c r="CA11" i="50" s="1"/>
  <c r="W11" i="50"/>
  <c r="Y11" i="50" s="1"/>
  <c r="DO11" i="50"/>
  <c r="DQ11" i="50" s="1"/>
  <c r="CK11" i="50"/>
  <c r="CM11" i="50" s="1"/>
  <c r="EG11" i="50"/>
  <c r="EI11" i="50" s="1"/>
  <c r="DC11" i="50"/>
  <c r="DE11" i="50" s="1"/>
  <c r="DU11" i="50"/>
  <c r="DW11" i="50" s="1"/>
  <c r="EA11" i="50"/>
  <c r="EC11" i="50" s="1"/>
  <c r="DZ12" i="50" l="1"/>
  <c r="V10" i="52"/>
  <c r="DT12" i="50"/>
  <c r="U10" i="52"/>
  <c r="DB12" i="50"/>
  <c r="R10" i="52"/>
  <c r="EF12" i="50"/>
  <c r="W10" i="52"/>
  <c r="CJ12" i="50"/>
  <c r="O10" i="52"/>
  <c r="DN12" i="50"/>
  <c r="T10" i="52"/>
  <c r="V12" i="50"/>
  <c r="D10" i="52"/>
  <c r="BX12" i="50"/>
  <c r="M10" i="52"/>
  <c r="BL12" i="50"/>
  <c r="K10" i="52"/>
  <c r="BF12" i="50"/>
  <c r="J10" i="52"/>
  <c r="AT12" i="50"/>
  <c r="H10" i="52"/>
  <c r="P12" i="50"/>
  <c r="R12" i="50" s="1"/>
  <c r="N11" i="50"/>
  <c r="I18" i="24" s="1"/>
  <c r="C10" i="52"/>
  <c r="CP12" i="50"/>
  <c r="P10" i="52"/>
  <c r="BR12" i="50"/>
  <c r="L10" i="52"/>
  <c r="AB12" i="50"/>
  <c r="E10" i="52"/>
  <c r="AZ12" i="50"/>
  <c r="I10" i="52"/>
  <c r="O11" i="50"/>
  <c r="J18" i="24" s="1"/>
  <c r="AD18" i="24" s="1"/>
  <c r="CD12" i="50"/>
  <c r="N10" i="52"/>
  <c r="AN12" i="50"/>
  <c r="G10" i="52"/>
  <c r="AH12" i="50"/>
  <c r="F10" i="52"/>
  <c r="AG10" i="52" l="1"/>
  <c r="AH10" i="52"/>
  <c r="AO10" i="52"/>
  <c r="AJ10" i="52"/>
  <c r="AF10" i="52"/>
  <c r="AM10" i="52"/>
  <c r="AQ10" i="52"/>
  <c r="AY10" i="52"/>
  <c r="AT10" i="52"/>
  <c r="AD10" i="52"/>
  <c r="AR10" i="52"/>
  <c r="AZ10" i="52"/>
  <c r="BA10" i="52"/>
  <c r="L18" i="24"/>
  <c r="AC18" i="24"/>
  <c r="AB18" i="24" s="1"/>
  <c r="C11" i="51"/>
  <c r="D11" i="51" s="1"/>
  <c r="AI10" i="52"/>
  <c r="AK10" i="52"/>
  <c r="AL10" i="52"/>
  <c r="AN10" i="52"/>
  <c r="AE10" i="52"/>
  <c r="AU10" i="52"/>
  <c r="AP10" i="52"/>
  <c r="AX10" i="52"/>
  <c r="AS10" i="52"/>
  <c r="AV10" i="52"/>
  <c r="AW10" i="52"/>
  <c r="X12" i="50" l="1"/>
  <c r="E11" i="51" l="1"/>
  <c r="F11" i="51" s="1"/>
  <c r="BH12" i="50" l="1"/>
  <c r="G11" i="51" s="1"/>
  <c r="H11" i="51" s="1"/>
  <c r="AV12" i="50" l="1"/>
  <c r="I11" i="51" s="1"/>
  <c r="J11" i="51" s="1"/>
  <c r="AP12" i="50" l="1"/>
  <c r="K11" i="51" s="1"/>
  <c r="L11" i="51" s="1"/>
  <c r="AJ12" i="50" s="1"/>
  <c r="M11" i="51" l="1"/>
  <c r="N11" i="51" s="1"/>
  <c r="AD12" i="50" l="1"/>
  <c r="O11" i="51" l="1"/>
  <c r="P11" i="51" s="1"/>
  <c r="R11" i="51" s="1"/>
  <c r="T11" i="51" s="1"/>
  <c r="V11" i="51" s="1"/>
  <c r="AG11" i="51"/>
  <c r="AI11" i="51" s="1"/>
  <c r="AE11" i="51" s="1"/>
  <c r="AI12" i="50" l="1"/>
  <c r="AK12" i="50" s="1"/>
  <c r="AO12" i="50"/>
  <c r="AQ12" i="50" s="1"/>
  <c r="CE12" i="50"/>
  <c r="CG12" i="50" s="1"/>
  <c r="Q12" i="50"/>
  <c r="S12" i="50" s="1"/>
  <c r="AU12" i="50"/>
  <c r="AW12" i="50" s="1"/>
  <c r="W12" i="50"/>
  <c r="Y12" i="50" s="1"/>
  <c r="BG12" i="50"/>
  <c r="BI12" i="50" s="1"/>
  <c r="CQ12" i="50"/>
  <c r="CS12" i="50" s="1"/>
  <c r="AC12" i="50"/>
  <c r="AE12" i="50" s="1"/>
  <c r="BA12" i="50"/>
  <c r="BC12" i="50" s="1"/>
  <c r="BY12" i="50"/>
  <c r="CA12" i="50" s="1"/>
  <c r="BM12" i="50"/>
  <c r="BO12" i="50" s="1"/>
  <c r="EA12" i="50"/>
  <c r="EC12" i="50" s="1"/>
  <c r="BS12" i="50"/>
  <c r="BU12" i="50" s="1"/>
  <c r="DU12" i="50"/>
  <c r="DW12" i="50" s="1"/>
  <c r="DO12" i="50"/>
  <c r="DQ12" i="50" s="1"/>
  <c r="DC12" i="50"/>
  <c r="DE12" i="50" s="1"/>
  <c r="CK12" i="50"/>
  <c r="CM12" i="50" s="1"/>
  <c r="EG12" i="50"/>
  <c r="EI12" i="50" s="1"/>
  <c r="EF13" i="50" l="1"/>
  <c r="EH13" i="50" s="1"/>
  <c r="W11" i="52"/>
  <c r="CJ13" i="50"/>
  <c r="CL13" i="50" s="1"/>
  <c r="O11" i="52"/>
  <c r="DB13" i="50"/>
  <c r="DD13" i="50" s="1"/>
  <c r="R11" i="52"/>
  <c r="DN13" i="50"/>
  <c r="DP13" i="50" s="1"/>
  <c r="T11" i="52"/>
  <c r="DT13" i="50"/>
  <c r="DV13" i="50" s="1"/>
  <c r="U11" i="52"/>
  <c r="BR13" i="50"/>
  <c r="BT13" i="50" s="1"/>
  <c r="L11" i="52"/>
  <c r="DZ13" i="50"/>
  <c r="EB13" i="50" s="1"/>
  <c r="V11" i="52"/>
  <c r="BL13" i="50"/>
  <c r="BN13" i="50" s="1"/>
  <c r="K11" i="52"/>
  <c r="BX13" i="50"/>
  <c r="BZ13" i="50" s="1"/>
  <c r="M11" i="52"/>
  <c r="AZ13" i="50"/>
  <c r="I11" i="52"/>
  <c r="O12" i="50"/>
  <c r="J19" i="24" s="1"/>
  <c r="AD19" i="24" s="1"/>
  <c r="AB13" i="50"/>
  <c r="E11" i="52"/>
  <c r="CP13" i="50"/>
  <c r="P11" i="52"/>
  <c r="BF13" i="50"/>
  <c r="J11" i="52"/>
  <c r="V13" i="50"/>
  <c r="D11" i="52"/>
  <c r="AT13" i="50"/>
  <c r="H11" i="52"/>
  <c r="P13" i="50"/>
  <c r="R13" i="50" s="1"/>
  <c r="C11" i="52"/>
  <c r="N12" i="50"/>
  <c r="I19" i="24" s="1"/>
  <c r="CD13" i="50"/>
  <c r="N11" i="52"/>
  <c r="AN13" i="50"/>
  <c r="G11" i="52"/>
  <c r="AH13" i="50"/>
  <c r="F11" i="52"/>
  <c r="AG11" i="52" l="1"/>
  <c r="AH11" i="52"/>
  <c r="AO11" i="52"/>
  <c r="L19" i="24"/>
  <c r="AC19" i="24"/>
  <c r="AB19" i="24" s="1"/>
  <c r="BA11" i="52"/>
  <c r="AT11" i="52"/>
  <c r="AY11" i="52"/>
  <c r="AR11" i="52"/>
  <c r="AD11" i="52"/>
  <c r="AZ11" i="52"/>
  <c r="C12" i="51"/>
  <c r="D12" i="51" s="1"/>
  <c r="AI11" i="52"/>
  <c r="AE11" i="52"/>
  <c r="AK11" i="52"/>
  <c r="AQ11" i="52"/>
  <c r="AF11" i="52"/>
  <c r="AJ11" i="52"/>
  <c r="AN11" i="52"/>
  <c r="AL11" i="52"/>
  <c r="AW11" i="52"/>
  <c r="AM11" i="52"/>
  <c r="AV11" i="52"/>
  <c r="AU11" i="52"/>
  <c r="AS11" i="52"/>
  <c r="AP11" i="52"/>
  <c r="AX11" i="52"/>
  <c r="X13" i="50" l="1"/>
  <c r="E12" i="51" l="1"/>
  <c r="F12" i="51" s="1"/>
  <c r="BH13" i="50" l="1"/>
  <c r="G12" i="51" s="1"/>
  <c r="H12" i="51" s="1"/>
  <c r="AV13" i="50" l="1"/>
  <c r="I12" i="51" s="1"/>
  <c r="J12" i="51" s="1"/>
  <c r="AP13" i="50" s="1"/>
  <c r="K12" i="51" s="1"/>
  <c r="L12" i="51" s="1"/>
  <c r="AJ13" i="50" s="1"/>
  <c r="M12" i="51" l="1"/>
  <c r="N12" i="51" s="1"/>
  <c r="AD13" i="50" l="1"/>
  <c r="O12" i="51" l="1"/>
  <c r="P12" i="51" s="1"/>
  <c r="R12" i="51" s="1"/>
  <c r="T12" i="51" s="1"/>
  <c r="V12" i="51" s="1"/>
  <c r="AG12" i="51"/>
  <c r="AI12" i="51" s="1"/>
  <c r="AE12" i="51" s="1"/>
  <c r="AI13" i="50" l="1"/>
  <c r="AK13" i="50" s="1"/>
  <c r="AO13" i="50"/>
  <c r="AQ13" i="50" s="1"/>
  <c r="CE13" i="50"/>
  <c r="CG13" i="50" s="1"/>
  <c r="BA13" i="50"/>
  <c r="BC13" i="50" s="1"/>
  <c r="AC13" i="50"/>
  <c r="AE13" i="50" s="1"/>
  <c r="W13" i="50"/>
  <c r="Y13" i="50" s="1"/>
  <c r="Q13" i="50"/>
  <c r="S13" i="50" s="1"/>
  <c r="AU13" i="50"/>
  <c r="AW13" i="50" s="1"/>
  <c r="BG13" i="50"/>
  <c r="BI13" i="50" s="1"/>
  <c r="BS13" i="50"/>
  <c r="BU13" i="50" s="1"/>
  <c r="CQ13" i="50"/>
  <c r="CS13" i="50" s="1"/>
  <c r="BY13" i="50"/>
  <c r="CA13" i="50" s="1"/>
  <c r="CK13" i="50"/>
  <c r="CM13" i="50" s="1"/>
  <c r="DC13" i="50"/>
  <c r="DE13" i="50" s="1"/>
  <c r="BM13" i="50"/>
  <c r="BO13" i="50" s="1"/>
  <c r="EA13" i="50"/>
  <c r="EC13" i="50" s="1"/>
  <c r="DO13" i="50"/>
  <c r="DQ13" i="50" s="1"/>
  <c r="DU13" i="50"/>
  <c r="DW13" i="50" s="1"/>
  <c r="EG13" i="50"/>
  <c r="EI13" i="50" s="1"/>
  <c r="EF14" i="50" l="1"/>
  <c r="W12" i="52"/>
  <c r="DT14" i="50"/>
  <c r="U12" i="52"/>
  <c r="DN14" i="50"/>
  <c r="T12" i="52"/>
  <c r="DZ14" i="50"/>
  <c r="V12" i="52"/>
  <c r="BL14" i="50"/>
  <c r="K12" i="52"/>
  <c r="DB14" i="50"/>
  <c r="R12" i="52"/>
  <c r="CJ14" i="50"/>
  <c r="O12" i="52"/>
  <c r="BX14" i="50"/>
  <c r="M12" i="52"/>
  <c r="CP14" i="50"/>
  <c r="P12" i="52"/>
  <c r="BR14" i="50"/>
  <c r="L12" i="52"/>
  <c r="BF14" i="50"/>
  <c r="J12" i="52"/>
  <c r="AT14" i="50"/>
  <c r="H12" i="52"/>
  <c r="P14" i="50"/>
  <c r="R14" i="50" s="1"/>
  <c r="N13" i="50"/>
  <c r="I20" i="24" s="1"/>
  <c r="C12" i="52"/>
  <c r="V14" i="50"/>
  <c r="D12" i="52"/>
  <c r="AB14" i="50"/>
  <c r="E12" i="52"/>
  <c r="AZ14" i="50"/>
  <c r="I12" i="52"/>
  <c r="O13" i="50"/>
  <c r="J20" i="24" s="1"/>
  <c r="AD20" i="24" s="1"/>
  <c r="CD14" i="50"/>
  <c r="N12" i="52"/>
  <c r="AN14" i="50"/>
  <c r="G12" i="52"/>
  <c r="AH14" i="50"/>
  <c r="F12" i="52"/>
  <c r="AG12" i="52" l="1"/>
  <c r="AH12" i="52"/>
  <c r="AO12" i="52"/>
  <c r="AJ12" i="52"/>
  <c r="AF12" i="52"/>
  <c r="AE12" i="52"/>
  <c r="AR12" i="52"/>
  <c r="AT12" i="52"/>
  <c r="AY12" i="52"/>
  <c r="AZ12" i="52"/>
  <c r="BA12" i="52"/>
  <c r="AD12" i="52"/>
  <c r="L20" i="24"/>
  <c r="AC20" i="24"/>
  <c r="AB20" i="24" s="1"/>
  <c r="C13" i="51"/>
  <c r="D13" i="51" s="1"/>
  <c r="AI12" i="52"/>
  <c r="AK12" i="52"/>
  <c r="AM12" i="52"/>
  <c r="AQ12" i="52"/>
  <c r="AN12" i="52"/>
  <c r="AP12" i="52"/>
  <c r="AS12" i="52"/>
  <c r="AL12" i="52"/>
  <c r="AW12" i="52"/>
  <c r="AU12" i="52"/>
  <c r="AV12" i="52"/>
  <c r="AX12" i="52"/>
  <c r="X14" i="50" l="1"/>
  <c r="E13" i="51" l="1"/>
  <c r="F13" i="51" s="1"/>
  <c r="BH14" i="50" l="1"/>
  <c r="G13" i="51" s="1"/>
  <c r="H13" i="51" s="1"/>
  <c r="AV14" i="50" s="1"/>
  <c r="I13" i="51" s="1"/>
  <c r="J13" i="51" s="1"/>
  <c r="AP14" i="50" s="1"/>
  <c r="K13" i="51" s="1"/>
  <c r="L13" i="51" s="1"/>
  <c r="AJ14" i="50" s="1"/>
  <c r="M13" i="51" l="1"/>
  <c r="N13" i="51" s="1"/>
  <c r="AD14" i="50" l="1"/>
  <c r="O13" i="51" l="1"/>
  <c r="P13" i="51" s="1"/>
  <c r="R13" i="51" s="1"/>
  <c r="T13" i="51" s="1"/>
  <c r="V13" i="51" s="1"/>
  <c r="AG13" i="51"/>
  <c r="AI13" i="51" s="1"/>
  <c r="AE13" i="51" s="1"/>
  <c r="AI14" i="50" l="1"/>
  <c r="AK14" i="50" s="1"/>
  <c r="AO14" i="50"/>
  <c r="AQ14" i="50" s="1"/>
  <c r="W14" i="50"/>
  <c r="Y14" i="50" s="1"/>
  <c r="CE14" i="50"/>
  <c r="CG14" i="50" s="1"/>
  <c r="Q14" i="50"/>
  <c r="S14" i="50" s="1"/>
  <c r="AC14" i="50"/>
  <c r="AE14" i="50" s="1"/>
  <c r="BA14" i="50"/>
  <c r="BC14" i="50" s="1"/>
  <c r="AU14" i="50"/>
  <c r="AW14" i="50" s="1"/>
  <c r="BG14" i="50"/>
  <c r="BI14" i="50" s="1"/>
  <c r="EA14" i="50"/>
  <c r="EC14" i="50" s="1"/>
  <c r="BS14" i="50"/>
  <c r="BU14" i="50" s="1"/>
  <c r="CK14" i="50"/>
  <c r="CM14" i="50" s="1"/>
  <c r="CQ14" i="50"/>
  <c r="CS14" i="50" s="1"/>
  <c r="BY14" i="50"/>
  <c r="CA14" i="50" s="1"/>
  <c r="DC14" i="50"/>
  <c r="DE14" i="50" s="1"/>
  <c r="DU14" i="50"/>
  <c r="DW14" i="50" s="1"/>
  <c r="EG14" i="50"/>
  <c r="EI14" i="50" s="1"/>
  <c r="BM14" i="50"/>
  <c r="BO14" i="50" s="1"/>
  <c r="DO14" i="50"/>
  <c r="DQ14" i="50" s="1"/>
  <c r="DN15" i="50" l="1"/>
  <c r="DP15" i="50" s="1"/>
  <c r="T13" i="52"/>
  <c r="BL15" i="50"/>
  <c r="BN15" i="50" s="1"/>
  <c r="K13" i="52"/>
  <c r="EF15" i="50"/>
  <c r="EH15" i="50" s="1"/>
  <c r="W13" i="52"/>
  <c r="DT15" i="50"/>
  <c r="DV15" i="50" s="1"/>
  <c r="U13" i="52"/>
  <c r="DB15" i="50"/>
  <c r="DD15" i="50" s="1"/>
  <c r="R13" i="52"/>
  <c r="BX15" i="50"/>
  <c r="BZ15" i="50" s="1"/>
  <c r="M13" i="52"/>
  <c r="CP15" i="50"/>
  <c r="P13" i="52"/>
  <c r="CJ15" i="50"/>
  <c r="CL15" i="50" s="1"/>
  <c r="O13" i="52"/>
  <c r="BR15" i="50"/>
  <c r="BT15" i="50" s="1"/>
  <c r="L13" i="52"/>
  <c r="DZ15" i="50"/>
  <c r="EB15" i="50" s="1"/>
  <c r="V13" i="52"/>
  <c r="BF15" i="50"/>
  <c r="BH15" i="50" s="1"/>
  <c r="G14" i="51" s="1"/>
  <c r="J13" i="52"/>
  <c r="AT15" i="50"/>
  <c r="AV15" i="50" s="1"/>
  <c r="I14" i="51" s="1"/>
  <c r="H13" i="52"/>
  <c r="O14" i="50"/>
  <c r="J21" i="24" s="1"/>
  <c r="AD21" i="24" s="1"/>
  <c r="AZ15" i="50"/>
  <c r="I13" i="52"/>
  <c r="AB15" i="50"/>
  <c r="AD15" i="50" s="1"/>
  <c r="O14" i="51" s="1"/>
  <c r="E13" i="52"/>
  <c r="P15" i="50"/>
  <c r="R15" i="50" s="1"/>
  <c r="C13" i="52"/>
  <c r="N14" i="50"/>
  <c r="I21" i="24" s="1"/>
  <c r="CD15" i="50"/>
  <c r="N13" i="52"/>
  <c r="V15" i="50"/>
  <c r="X15" i="50" s="1"/>
  <c r="E14" i="51" s="1"/>
  <c r="D13" i="52"/>
  <c r="AN15" i="50"/>
  <c r="G13" i="52"/>
  <c r="AH15" i="50"/>
  <c r="F13" i="52"/>
  <c r="AG13" i="52" l="1"/>
  <c r="AH13" i="52"/>
  <c r="AE13" i="52"/>
  <c r="AO13" i="52"/>
  <c r="L21" i="24"/>
  <c r="AC21" i="24"/>
  <c r="AB21" i="24" s="1"/>
  <c r="AY13" i="52"/>
  <c r="AD13" i="52"/>
  <c r="AR13" i="52"/>
  <c r="BA13" i="52"/>
  <c r="AZ13" i="52"/>
  <c r="AT13" i="52"/>
  <c r="C14" i="51"/>
  <c r="D14" i="51" s="1"/>
  <c r="F14" i="51" s="1"/>
  <c r="H14" i="51" s="1"/>
  <c r="J14" i="51" s="1"/>
  <c r="AP15" i="50" s="1"/>
  <c r="K14" i="51" s="1"/>
  <c r="L14" i="51" s="1"/>
  <c r="AJ15" i="50" s="1"/>
  <c r="AF13" i="52"/>
  <c r="AJ13" i="52"/>
  <c r="AI13" i="52"/>
  <c r="AK13" i="52"/>
  <c r="AW13" i="52"/>
  <c r="AM13" i="52"/>
  <c r="AP13" i="52"/>
  <c r="AQ13" i="52"/>
  <c r="AN13" i="52"/>
  <c r="AS13" i="52"/>
  <c r="AV13" i="52"/>
  <c r="AX13" i="52"/>
  <c r="AL13" i="52"/>
  <c r="AU13" i="52"/>
  <c r="M14" i="51" l="1"/>
  <c r="N14" i="51" s="1"/>
  <c r="P14" i="51" s="1"/>
  <c r="R14" i="51" s="1"/>
  <c r="T14" i="51" s="1"/>
  <c r="V14" i="51" s="1"/>
  <c r="AG14" i="51"/>
  <c r="AI14" i="51" s="1"/>
  <c r="AE14" i="51" s="1"/>
  <c r="AI15" i="50" l="1"/>
  <c r="AK15" i="50" s="1"/>
  <c r="AO15" i="50"/>
  <c r="AQ15" i="50" s="1"/>
  <c r="CE15" i="50"/>
  <c r="CG15" i="50" s="1"/>
  <c r="W15" i="50"/>
  <c r="Y15" i="50" s="1"/>
  <c r="Q15" i="50"/>
  <c r="S15" i="50" s="1"/>
  <c r="BS15" i="50"/>
  <c r="BU15" i="50" s="1"/>
  <c r="CQ15" i="50"/>
  <c r="CS15" i="50" s="1"/>
  <c r="AC15" i="50"/>
  <c r="AE15" i="50" s="1"/>
  <c r="BA15" i="50"/>
  <c r="BC15" i="50" s="1"/>
  <c r="AU15" i="50"/>
  <c r="AW15" i="50" s="1"/>
  <c r="BG15" i="50"/>
  <c r="BI15" i="50" s="1"/>
  <c r="CK15" i="50"/>
  <c r="CM15" i="50" s="1"/>
  <c r="DU15" i="50"/>
  <c r="DW15" i="50" s="1"/>
  <c r="DC15" i="50"/>
  <c r="DE15" i="50" s="1"/>
  <c r="BY15" i="50"/>
  <c r="CA15" i="50" s="1"/>
  <c r="EG15" i="50"/>
  <c r="EI15" i="50" s="1"/>
  <c r="EA15" i="50"/>
  <c r="EC15" i="50" s="1"/>
  <c r="BM15" i="50"/>
  <c r="BO15" i="50" s="1"/>
  <c r="DO15" i="50"/>
  <c r="DQ15" i="50" s="1"/>
  <c r="DN16" i="50" l="1"/>
  <c r="T14" i="52"/>
  <c r="P41" i="34" s="1"/>
  <c r="O41" i="34" s="1"/>
  <c r="BL16" i="50"/>
  <c r="K14" i="52"/>
  <c r="P32" i="34" s="1"/>
  <c r="O32" i="34" s="1"/>
  <c r="DZ16" i="50"/>
  <c r="V14" i="52"/>
  <c r="P43" i="34" s="1"/>
  <c r="O43" i="34" s="1"/>
  <c r="EF16" i="50"/>
  <c r="W14" i="52"/>
  <c r="P44" i="34" s="1"/>
  <c r="O44" i="34" s="1"/>
  <c r="BX16" i="50"/>
  <c r="M14" i="52"/>
  <c r="P34" i="34" s="1"/>
  <c r="O34" i="34" s="1"/>
  <c r="DB16" i="50"/>
  <c r="R14" i="52"/>
  <c r="P39" i="34" s="1"/>
  <c r="O39" i="34" s="1"/>
  <c r="DT16" i="50"/>
  <c r="U14" i="52"/>
  <c r="P42" i="34" s="1"/>
  <c r="O42" i="34" s="1"/>
  <c r="CJ16" i="50"/>
  <c r="O14" i="52"/>
  <c r="P36" i="34" s="1"/>
  <c r="O36" i="34" s="1"/>
  <c r="BF16" i="50"/>
  <c r="J14" i="52"/>
  <c r="P31" i="34" s="1"/>
  <c r="O31" i="34" s="1"/>
  <c r="AT16" i="50"/>
  <c r="H14" i="52"/>
  <c r="P29" i="34" s="1"/>
  <c r="O29" i="34" s="1"/>
  <c r="AZ16" i="50"/>
  <c r="I14" i="52"/>
  <c r="P30" i="34" s="1"/>
  <c r="O30" i="34" s="1"/>
  <c r="O15" i="50"/>
  <c r="J22" i="24" s="1"/>
  <c r="AD22" i="24" s="1"/>
  <c r="AB16" i="50"/>
  <c r="E14" i="52"/>
  <c r="P26" i="34" s="1"/>
  <c r="O26" i="34" s="1"/>
  <c r="CP16" i="50"/>
  <c r="P14" i="52"/>
  <c r="P37" i="34" s="1"/>
  <c r="O37" i="34" s="1"/>
  <c r="BR16" i="50"/>
  <c r="L14" i="52"/>
  <c r="P33" i="34" s="1"/>
  <c r="O33" i="34" s="1"/>
  <c r="P16" i="50"/>
  <c r="C14" i="52"/>
  <c r="P24" i="34" s="1"/>
  <c r="N15" i="50"/>
  <c r="I22" i="24" s="1"/>
  <c r="V16" i="50"/>
  <c r="D14" i="52"/>
  <c r="P25" i="34" s="1"/>
  <c r="O25" i="34" s="1"/>
  <c r="CD16" i="50"/>
  <c r="N14" i="52"/>
  <c r="P35" i="34" s="1"/>
  <c r="O35" i="34" s="1"/>
  <c r="AN16" i="50"/>
  <c r="AP16" i="50" s="1"/>
  <c r="K15" i="51" s="1"/>
  <c r="L15" i="51" s="1"/>
  <c r="G14" i="52"/>
  <c r="P28" i="34" s="1"/>
  <c r="O28" i="34" s="1"/>
  <c r="AH16" i="50"/>
  <c r="F14" i="52"/>
  <c r="P27" i="34" s="1"/>
  <c r="O27" i="34" s="1"/>
  <c r="O24" i="34" l="1"/>
  <c r="P48" i="34"/>
  <c r="AG14" i="52"/>
  <c r="AJ16" i="50"/>
  <c r="AK16" i="50" s="1"/>
  <c r="AH14" i="52"/>
  <c r="AO14" i="52"/>
  <c r="AE14" i="52"/>
  <c r="L22" i="24"/>
  <c r="AC22" i="24"/>
  <c r="AB22" i="24" s="1"/>
  <c r="BA14" i="52"/>
  <c r="AR14" i="52"/>
  <c r="AY14" i="52"/>
  <c r="AT14" i="52"/>
  <c r="AZ14" i="52"/>
  <c r="AD14" i="52"/>
  <c r="AM14" i="52"/>
  <c r="AQ14" i="52"/>
  <c r="AF14" i="52"/>
  <c r="AJ14" i="52"/>
  <c r="AI14" i="52"/>
  <c r="AK14" i="52"/>
  <c r="AP14" i="52"/>
  <c r="AV14" i="52"/>
  <c r="AS14" i="52"/>
  <c r="AN14" i="52"/>
  <c r="AX14" i="52"/>
  <c r="AW14" i="52"/>
  <c r="AL14" i="52"/>
  <c r="AU14" i="52"/>
  <c r="AH17" i="50" l="1"/>
  <c r="F15" i="52"/>
  <c r="M15" i="51"/>
  <c r="N15" i="51" s="1"/>
  <c r="P15" i="51" s="1"/>
  <c r="R15" i="51" s="1"/>
  <c r="T15" i="51" s="1"/>
  <c r="V15" i="51" s="1"/>
  <c r="AG15" i="51"/>
  <c r="AI15" i="51" s="1"/>
  <c r="AE15" i="51" s="1"/>
  <c r="AO16" i="50"/>
  <c r="AQ16" i="50" s="1"/>
  <c r="AN17" i="50" l="1"/>
  <c r="AP17" i="50" s="1"/>
  <c r="K16" i="51" s="1"/>
  <c r="L16" i="51" s="1"/>
  <c r="G15" i="52"/>
  <c r="W16" i="50"/>
  <c r="Y16" i="50" s="1"/>
  <c r="CE16" i="50"/>
  <c r="CG16" i="50" s="1"/>
  <c r="BA16" i="50"/>
  <c r="BC16" i="50" s="1"/>
  <c r="Q16" i="50"/>
  <c r="S16" i="50" s="1"/>
  <c r="AU16" i="50"/>
  <c r="AW16" i="50" s="1"/>
  <c r="AC16" i="50"/>
  <c r="AE16" i="50" s="1"/>
  <c r="BM16" i="50"/>
  <c r="BO16" i="50" s="1"/>
  <c r="BG16" i="50"/>
  <c r="BI16" i="50" s="1"/>
  <c r="EA16" i="50"/>
  <c r="EC16" i="50" s="1"/>
  <c r="BS16" i="50"/>
  <c r="BU16" i="50" s="1"/>
  <c r="DO16" i="50"/>
  <c r="DQ16" i="50" s="1"/>
  <c r="DC16" i="50"/>
  <c r="DE16" i="50" s="1"/>
  <c r="BY16" i="50"/>
  <c r="CA16" i="50" s="1"/>
  <c r="CQ16" i="50"/>
  <c r="CS16" i="50" s="1"/>
  <c r="DU16" i="50"/>
  <c r="DW16" i="50" s="1"/>
  <c r="EG16" i="50"/>
  <c r="EI16" i="50" s="1"/>
  <c r="CK16" i="50"/>
  <c r="CM16" i="50" s="1"/>
  <c r="AJ17" i="50"/>
  <c r="AK17" i="50" s="1"/>
  <c r="AH18" i="50" l="1"/>
  <c r="F16" i="52"/>
  <c r="M16" i="51"/>
  <c r="N16" i="51" s="1"/>
  <c r="P16" i="51" s="1"/>
  <c r="R16" i="51" s="1"/>
  <c r="T16" i="51" s="1"/>
  <c r="V16" i="51" s="1"/>
  <c r="AO17" i="50"/>
  <c r="AQ17" i="50" s="1"/>
  <c r="AG16" i="51"/>
  <c r="AI16" i="51" s="1"/>
  <c r="AE16" i="51" s="1"/>
  <c r="CJ17" i="50"/>
  <c r="O15" i="52"/>
  <c r="EF17" i="50"/>
  <c r="W15" i="52"/>
  <c r="DT17" i="50"/>
  <c r="U15" i="52"/>
  <c r="CP17" i="50"/>
  <c r="P15" i="52"/>
  <c r="BX17" i="50"/>
  <c r="M15" i="52"/>
  <c r="DB17" i="50"/>
  <c r="R15" i="52"/>
  <c r="DN17" i="50"/>
  <c r="T15" i="52"/>
  <c r="BR17" i="50"/>
  <c r="L15" i="52"/>
  <c r="DZ17" i="50"/>
  <c r="V15" i="52"/>
  <c r="BF17" i="50"/>
  <c r="J15" i="52"/>
  <c r="BL17" i="50"/>
  <c r="K15" i="52"/>
  <c r="AB17" i="50"/>
  <c r="E15" i="52"/>
  <c r="AT17" i="50"/>
  <c r="H15" i="52"/>
  <c r="P17" i="50"/>
  <c r="C15" i="52"/>
  <c r="N16" i="50"/>
  <c r="I23" i="24" s="1"/>
  <c r="AZ17" i="50"/>
  <c r="I15" i="52"/>
  <c r="O16" i="50"/>
  <c r="J23" i="24" s="1"/>
  <c r="AD23" i="24" s="1"/>
  <c r="CD17" i="50"/>
  <c r="N15" i="52"/>
  <c r="V17" i="50"/>
  <c r="D15" i="52"/>
  <c r="AH15" i="52" l="1"/>
  <c r="AE15" i="52"/>
  <c r="AO15" i="52"/>
  <c r="AJ15" i="52"/>
  <c r="L23" i="24"/>
  <c r="AC23" i="24"/>
  <c r="AB23" i="24" s="1"/>
  <c r="AT15" i="52"/>
  <c r="AD15" i="52"/>
  <c r="AY15" i="52"/>
  <c r="AR15" i="52"/>
  <c r="BA15" i="52"/>
  <c r="AZ15" i="52"/>
  <c r="AG15" i="52"/>
  <c r="AI15" i="52"/>
  <c r="AF15" i="52"/>
  <c r="AL15" i="52"/>
  <c r="AK15" i="52"/>
  <c r="AW15" i="52"/>
  <c r="AM15" i="52"/>
  <c r="AU15" i="52"/>
  <c r="AS15" i="52"/>
  <c r="AN15" i="52"/>
  <c r="AQ15" i="52"/>
  <c r="AV15" i="52"/>
  <c r="AX15" i="52"/>
  <c r="AP15" i="52"/>
  <c r="CE17" i="50"/>
  <c r="CG17" i="50" s="1"/>
  <c r="Q17" i="50"/>
  <c r="S17" i="50" s="1"/>
  <c r="AU17" i="50"/>
  <c r="AW17" i="50" s="1"/>
  <c r="BG17" i="50"/>
  <c r="BI17" i="50" s="1"/>
  <c r="BS17" i="50"/>
  <c r="BU17" i="50" s="1"/>
  <c r="CQ17" i="50"/>
  <c r="CS17" i="50" s="1"/>
  <c r="W17" i="50"/>
  <c r="Y17" i="50" s="1"/>
  <c r="BY17" i="50"/>
  <c r="CA17" i="50" s="1"/>
  <c r="BM17" i="50"/>
  <c r="BO17" i="50" s="1"/>
  <c r="AC17" i="50"/>
  <c r="AE17" i="50" s="1"/>
  <c r="BA17" i="50"/>
  <c r="BC17" i="50" s="1"/>
  <c r="CK17" i="50"/>
  <c r="CM17" i="50" s="1"/>
  <c r="EA17" i="50"/>
  <c r="EC17" i="50" s="1"/>
  <c r="DO17" i="50"/>
  <c r="DQ17" i="50" s="1"/>
  <c r="DC17" i="50"/>
  <c r="DE17" i="50" s="1"/>
  <c r="DU17" i="50"/>
  <c r="DW17" i="50" s="1"/>
  <c r="EG17" i="50"/>
  <c r="EI17" i="50" s="1"/>
  <c r="AN18" i="50"/>
  <c r="AP18" i="50" s="1"/>
  <c r="K17" i="51" s="1"/>
  <c r="L17" i="51" s="1"/>
  <c r="G16" i="52"/>
  <c r="AJ18" i="50"/>
  <c r="AK18" i="50" s="1"/>
  <c r="AH19" i="50" l="1"/>
  <c r="F17" i="52"/>
  <c r="M17" i="51"/>
  <c r="N17" i="51" s="1"/>
  <c r="P17" i="51" s="1"/>
  <c r="R17" i="51" s="1"/>
  <c r="T17" i="51" s="1"/>
  <c r="V17" i="51" s="1"/>
  <c r="AG17" i="51"/>
  <c r="AI17" i="51" s="1"/>
  <c r="AE17" i="51" s="1"/>
  <c r="AO18" i="50"/>
  <c r="AQ18" i="50" s="1"/>
  <c r="EF18" i="50"/>
  <c r="W16" i="52"/>
  <c r="DT18" i="50"/>
  <c r="U16" i="52"/>
  <c r="DB18" i="50"/>
  <c r="R16" i="52"/>
  <c r="DN18" i="50"/>
  <c r="T16" i="52"/>
  <c r="DZ18" i="50"/>
  <c r="V16" i="52"/>
  <c r="CJ18" i="50"/>
  <c r="O16" i="52"/>
  <c r="AZ18" i="50"/>
  <c r="I16" i="52"/>
  <c r="O17" i="50"/>
  <c r="J24" i="24" s="1"/>
  <c r="AD24" i="24" s="1"/>
  <c r="AB18" i="50"/>
  <c r="E16" i="52"/>
  <c r="BL18" i="50"/>
  <c r="K16" i="52"/>
  <c r="BX18" i="50"/>
  <c r="M16" i="52"/>
  <c r="V18" i="50"/>
  <c r="D16" i="52"/>
  <c r="CP18" i="50"/>
  <c r="P16" i="52"/>
  <c r="BR18" i="50"/>
  <c r="L16" i="52"/>
  <c r="BF18" i="50"/>
  <c r="J16" i="52"/>
  <c r="AT18" i="50"/>
  <c r="H16" i="52"/>
  <c r="P18" i="50"/>
  <c r="N17" i="50"/>
  <c r="I24" i="24" s="1"/>
  <c r="C16" i="52"/>
  <c r="CD18" i="50"/>
  <c r="N16" i="52"/>
  <c r="AO16" i="52" l="1"/>
  <c r="AR16" i="52"/>
  <c r="AY16" i="52"/>
  <c r="AZ16" i="52"/>
  <c r="BA16" i="52"/>
  <c r="AD16" i="52"/>
  <c r="AT16" i="52"/>
  <c r="AG16" i="52"/>
  <c r="AH16" i="52"/>
  <c r="L24" i="24"/>
  <c r="AC24" i="24"/>
  <c r="AB24" i="24" s="1"/>
  <c r="AI16" i="52"/>
  <c r="AK16" i="52"/>
  <c r="AM16" i="52"/>
  <c r="AQ16" i="52"/>
  <c r="AE16" i="52"/>
  <c r="AN16" i="52"/>
  <c r="AL16" i="52"/>
  <c r="AF16" i="52"/>
  <c r="AJ16" i="52"/>
  <c r="AP16" i="52"/>
  <c r="AW16" i="52"/>
  <c r="AU16" i="52"/>
  <c r="AS16" i="52"/>
  <c r="AV16" i="52"/>
  <c r="AX16" i="52"/>
  <c r="AN19" i="50"/>
  <c r="AP19" i="50" s="1"/>
  <c r="K18" i="51" s="1"/>
  <c r="L18" i="51" s="1"/>
  <c r="G17" i="52"/>
  <c r="W18" i="50"/>
  <c r="Y18" i="50" s="1"/>
  <c r="CE18" i="50"/>
  <c r="CG18" i="50" s="1"/>
  <c r="Q18" i="50"/>
  <c r="S18" i="50" s="1"/>
  <c r="AU18" i="50"/>
  <c r="AW18" i="50" s="1"/>
  <c r="BG18" i="50"/>
  <c r="BI18" i="50" s="1"/>
  <c r="BA18" i="50"/>
  <c r="BC18" i="50" s="1"/>
  <c r="BY18" i="50"/>
  <c r="CA18" i="50" s="1"/>
  <c r="EA18" i="50"/>
  <c r="EC18" i="50" s="1"/>
  <c r="CK18" i="50"/>
  <c r="CM18" i="50" s="1"/>
  <c r="CQ18" i="50"/>
  <c r="CS18" i="50" s="1"/>
  <c r="BM18" i="50"/>
  <c r="BO18" i="50" s="1"/>
  <c r="AC18" i="50"/>
  <c r="AE18" i="50" s="1"/>
  <c r="BS18" i="50"/>
  <c r="BU18" i="50" s="1"/>
  <c r="DC18" i="50"/>
  <c r="DE18" i="50" s="1"/>
  <c r="DU18" i="50"/>
  <c r="DW18" i="50" s="1"/>
  <c r="DO18" i="50"/>
  <c r="DQ18" i="50" s="1"/>
  <c r="EG18" i="50"/>
  <c r="EI18" i="50" s="1"/>
  <c r="AJ19" i="50"/>
  <c r="AK19" i="50" s="1"/>
  <c r="AH20" i="50" l="1"/>
  <c r="F18" i="52"/>
  <c r="M18" i="51"/>
  <c r="N18" i="51" s="1"/>
  <c r="P18" i="51" s="1"/>
  <c r="R18" i="51" s="1"/>
  <c r="T18" i="51" s="1"/>
  <c r="V18" i="51" s="1"/>
  <c r="AO19" i="50"/>
  <c r="AQ19" i="50" s="1"/>
  <c r="AG18" i="51"/>
  <c r="AI18" i="51" s="1"/>
  <c r="AE18" i="51" s="1"/>
  <c r="EF19" i="50"/>
  <c r="W17" i="52"/>
  <c r="DN19" i="50"/>
  <c r="T17" i="52"/>
  <c r="DT19" i="50"/>
  <c r="U17" i="52"/>
  <c r="DB19" i="50"/>
  <c r="R17" i="52"/>
  <c r="BR19" i="50"/>
  <c r="L17" i="52"/>
  <c r="AB19" i="50"/>
  <c r="E17" i="52"/>
  <c r="BL19" i="50"/>
  <c r="K17" i="52"/>
  <c r="CP19" i="50"/>
  <c r="P17" i="52"/>
  <c r="CJ19" i="50"/>
  <c r="O17" i="52"/>
  <c r="DZ19" i="50"/>
  <c r="V17" i="52"/>
  <c r="BX19" i="50"/>
  <c r="M17" i="52"/>
  <c r="AZ19" i="50"/>
  <c r="I17" i="52"/>
  <c r="O18" i="50"/>
  <c r="J25" i="24" s="1"/>
  <c r="AD25" i="24" s="1"/>
  <c r="BF19" i="50"/>
  <c r="J17" i="52"/>
  <c r="AT19" i="50"/>
  <c r="H17" i="52"/>
  <c r="P19" i="50"/>
  <c r="N18" i="50"/>
  <c r="I25" i="24" s="1"/>
  <c r="C17" i="52"/>
  <c r="CD19" i="50"/>
  <c r="N17" i="52"/>
  <c r="V19" i="50"/>
  <c r="D17" i="52"/>
  <c r="AH17" i="52" l="1"/>
  <c r="AE17" i="52"/>
  <c r="AO17" i="52"/>
  <c r="AY17" i="52"/>
  <c r="BA17" i="52"/>
  <c r="AT17" i="52"/>
  <c r="AR17" i="52"/>
  <c r="AD17" i="52"/>
  <c r="AZ17" i="52"/>
  <c r="AG17" i="52"/>
  <c r="L25" i="24"/>
  <c r="AC25" i="24"/>
  <c r="AB25" i="24" s="1"/>
  <c r="AI17" i="52"/>
  <c r="AK17" i="52"/>
  <c r="AJ17" i="52"/>
  <c r="AN17" i="52"/>
  <c r="AW17" i="52"/>
  <c r="AP17" i="52"/>
  <c r="AQ17" i="52"/>
  <c r="AL17" i="52"/>
  <c r="AF17" i="52"/>
  <c r="AM17" i="52"/>
  <c r="AS17" i="52"/>
  <c r="AV17" i="52"/>
  <c r="AU17" i="52"/>
  <c r="AX17" i="52"/>
  <c r="CE19" i="50"/>
  <c r="CG19" i="50" s="1"/>
  <c r="Q19" i="50"/>
  <c r="S19" i="50" s="1"/>
  <c r="BS19" i="50"/>
  <c r="BU19" i="50" s="1"/>
  <c r="CQ19" i="50"/>
  <c r="CS19" i="50" s="1"/>
  <c r="BA19" i="50"/>
  <c r="BC19" i="50" s="1"/>
  <c r="BG19" i="50"/>
  <c r="BI19" i="50" s="1"/>
  <c r="AC19" i="50"/>
  <c r="AE19" i="50" s="1"/>
  <c r="W19" i="50"/>
  <c r="Y19" i="50" s="1"/>
  <c r="AU19" i="50"/>
  <c r="AW19" i="50" s="1"/>
  <c r="CK19" i="50"/>
  <c r="CM19" i="50" s="1"/>
  <c r="BY19" i="50"/>
  <c r="CA19" i="50" s="1"/>
  <c r="BM19" i="50"/>
  <c r="BO19" i="50" s="1"/>
  <c r="DC19" i="50"/>
  <c r="DE19" i="50" s="1"/>
  <c r="DO19" i="50"/>
  <c r="DQ19" i="50" s="1"/>
  <c r="EG19" i="50"/>
  <c r="EI19" i="50" s="1"/>
  <c r="EA19" i="50"/>
  <c r="EC19" i="50" s="1"/>
  <c r="DU19" i="50"/>
  <c r="DW19" i="50" s="1"/>
  <c r="AN20" i="50"/>
  <c r="AP20" i="50" s="1"/>
  <c r="K19" i="51" s="1"/>
  <c r="L19" i="51" s="1"/>
  <c r="G18" i="52"/>
  <c r="AJ20" i="50"/>
  <c r="AK20" i="50" s="1"/>
  <c r="AH21" i="50" l="1"/>
  <c r="F19" i="52"/>
  <c r="M19" i="51"/>
  <c r="N19" i="51" s="1"/>
  <c r="P19" i="51" s="1"/>
  <c r="R19" i="51" s="1"/>
  <c r="T19" i="51" s="1"/>
  <c r="V19" i="51" s="1"/>
  <c r="AG19" i="51"/>
  <c r="AI19" i="51" s="1"/>
  <c r="AE19" i="51" s="1"/>
  <c r="AO20" i="50"/>
  <c r="AQ20" i="50" s="1"/>
  <c r="DT20" i="50"/>
  <c r="U18" i="52"/>
  <c r="DZ20" i="50"/>
  <c r="V18" i="52"/>
  <c r="EF20" i="50"/>
  <c r="W18" i="52"/>
  <c r="DN20" i="50"/>
  <c r="T18" i="52"/>
  <c r="DB20" i="50"/>
  <c r="R18" i="52"/>
  <c r="BL20" i="50"/>
  <c r="K18" i="52"/>
  <c r="BX20" i="50"/>
  <c r="M18" i="52"/>
  <c r="CJ20" i="50"/>
  <c r="O18" i="52"/>
  <c r="AT20" i="50"/>
  <c r="H18" i="52"/>
  <c r="V20" i="50"/>
  <c r="D18" i="52"/>
  <c r="AB20" i="50"/>
  <c r="E18" i="52"/>
  <c r="BF20" i="50"/>
  <c r="J18" i="52"/>
  <c r="AZ20" i="50"/>
  <c r="I18" i="52"/>
  <c r="O19" i="50"/>
  <c r="J26" i="24" s="1"/>
  <c r="AD26" i="24" s="1"/>
  <c r="P18" i="52"/>
  <c r="CP20" i="50"/>
  <c r="BR20" i="50"/>
  <c r="L18" i="52"/>
  <c r="P20" i="50"/>
  <c r="N19" i="50"/>
  <c r="I26" i="24" s="1"/>
  <c r="C18" i="52"/>
  <c r="CD20" i="50"/>
  <c r="N18" i="52"/>
  <c r="AO18" i="52" l="1"/>
  <c r="AZ18" i="52"/>
  <c r="AY18" i="52"/>
  <c r="AR18" i="52"/>
  <c r="BA18" i="52"/>
  <c r="AT18" i="52"/>
  <c r="AD18" i="52"/>
  <c r="AG18" i="52"/>
  <c r="AH18" i="52"/>
  <c r="L26" i="24"/>
  <c r="AC26" i="24"/>
  <c r="AB26" i="24" s="1"/>
  <c r="AM18" i="52"/>
  <c r="AQ18" i="52"/>
  <c r="AJ18" i="52"/>
  <c r="AK18" i="52"/>
  <c r="AF18" i="52"/>
  <c r="AE18" i="52"/>
  <c r="AI18" i="52"/>
  <c r="AP18" i="52"/>
  <c r="AN18" i="52"/>
  <c r="AL18" i="52"/>
  <c r="AS18" i="52"/>
  <c r="AU18" i="52"/>
  <c r="AX18" i="52"/>
  <c r="AW18" i="52"/>
  <c r="AV18" i="52"/>
  <c r="AN21" i="50"/>
  <c r="AP21" i="50" s="1"/>
  <c r="K20" i="51" s="1"/>
  <c r="L20" i="51" s="1"/>
  <c r="G19" i="52"/>
  <c r="CE20" i="50"/>
  <c r="CG20" i="50" s="1"/>
  <c r="AC20" i="50"/>
  <c r="AE20" i="50" s="1"/>
  <c r="W20" i="50"/>
  <c r="Y20" i="50" s="1"/>
  <c r="BA20" i="50"/>
  <c r="BC20" i="50" s="1"/>
  <c r="BG20" i="50"/>
  <c r="BI20" i="50" s="1"/>
  <c r="BM20" i="50"/>
  <c r="BO20" i="50" s="1"/>
  <c r="AU20" i="50"/>
  <c r="AW20" i="50" s="1"/>
  <c r="BS20" i="50"/>
  <c r="BU20" i="50" s="1"/>
  <c r="EA20" i="50"/>
  <c r="EC20" i="50" s="1"/>
  <c r="CK20" i="50"/>
  <c r="CM20" i="50" s="1"/>
  <c r="DO20" i="50"/>
  <c r="DQ20" i="50" s="1"/>
  <c r="EG20" i="50"/>
  <c r="EI20" i="50" s="1"/>
  <c r="Q20" i="50"/>
  <c r="S20" i="50" s="1"/>
  <c r="DC20" i="50"/>
  <c r="DE20" i="50" s="1"/>
  <c r="DU20" i="50"/>
  <c r="DW20" i="50" s="1"/>
  <c r="BY20" i="50"/>
  <c r="CA20" i="50" s="1"/>
  <c r="CQ20" i="50"/>
  <c r="CS20" i="50" s="1"/>
  <c r="AJ21" i="50"/>
  <c r="AK21" i="50" s="1"/>
  <c r="AH22" i="50" l="1"/>
  <c r="F20" i="52"/>
  <c r="M20" i="51"/>
  <c r="N20" i="51" s="1"/>
  <c r="P20" i="51" s="1"/>
  <c r="R20" i="51" s="1"/>
  <c r="T20" i="51" s="1"/>
  <c r="V20" i="51" s="1"/>
  <c r="AG20" i="51"/>
  <c r="AI20" i="51" s="1"/>
  <c r="AE20" i="51" s="1"/>
  <c r="AO21" i="50"/>
  <c r="AQ21" i="50" s="1"/>
  <c r="CP21" i="50"/>
  <c r="P19" i="52"/>
  <c r="BX21" i="50"/>
  <c r="M19" i="52"/>
  <c r="DT21" i="50"/>
  <c r="U19" i="52"/>
  <c r="DB21" i="50"/>
  <c r="R19" i="52"/>
  <c r="P21" i="50"/>
  <c r="C19" i="52"/>
  <c r="N20" i="50"/>
  <c r="I27" i="24" s="1"/>
  <c r="EF21" i="50"/>
  <c r="W19" i="52"/>
  <c r="DN21" i="50"/>
  <c r="T19" i="52"/>
  <c r="CJ21" i="50"/>
  <c r="O19" i="52"/>
  <c r="DZ21" i="50"/>
  <c r="V19" i="52"/>
  <c r="BR21" i="50"/>
  <c r="L19" i="52"/>
  <c r="AT21" i="50"/>
  <c r="H19" i="52"/>
  <c r="BL21" i="50"/>
  <c r="K19" i="52"/>
  <c r="BF21" i="50"/>
  <c r="J19" i="52"/>
  <c r="AZ21" i="50"/>
  <c r="I19" i="52"/>
  <c r="O20" i="50"/>
  <c r="J27" i="24" s="1"/>
  <c r="AD27" i="24" s="1"/>
  <c r="V21" i="50"/>
  <c r="D19" i="52"/>
  <c r="AB21" i="50"/>
  <c r="E19" i="52"/>
  <c r="CD21" i="50"/>
  <c r="N19" i="52"/>
  <c r="AH19" i="52" l="1"/>
  <c r="AO19" i="52"/>
  <c r="AF19" i="52"/>
  <c r="AE19" i="52"/>
  <c r="AJ19" i="52"/>
  <c r="AK19" i="52"/>
  <c r="AL19" i="52"/>
  <c r="AI19" i="52"/>
  <c r="AM19" i="52"/>
  <c r="AW19" i="52"/>
  <c r="AP19" i="52"/>
  <c r="AU19" i="52"/>
  <c r="AX19" i="52"/>
  <c r="L27" i="24"/>
  <c r="AC27" i="24"/>
  <c r="AB27" i="24" s="1"/>
  <c r="BA19" i="52"/>
  <c r="AZ19" i="52"/>
  <c r="AD19" i="52"/>
  <c r="AR19" i="52"/>
  <c r="AY19" i="52"/>
  <c r="AT19" i="52"/>
  <c r="AG19" i="52"/>
  <c r="AS19" i="52"/>
  <c r="AV19" i="52"/>
  <c r="AN19" i="52"/>
  <c r="AQ19" i="52"/>
  <c r="AN22" i="50"/>
  <c r="AP22" i="50" s="1"/>
  <c r="K21" i="51" s="1"/>
  <c r="L21" i="51" s="1"/>
  <c r="G20" i="52"/>
  <c r="CE21" i="50"/>
  <c r="CG21" i="50" s="1"/>
  <c r="Q21" i="50"/>
  <c r="S21" i="50" s="1"/>
  <c r="W21" i="50"/>
  <c r="Y21" i="50" s="1"/>
  <c r="BA21" i="50"/>
  <c r="BC21" i="50" s="1"/>
  <c r="AU21" i="50"/>
  <c r="AW21" i="50" s="1"/>
  <c r="AC21" i="50"/>
  <c r="AE21" i="50" s="1"/>
  <c r="BS21" i="50"/>
  <c r="BU21" i="50" s="1"/>
  <c r="CQ21" i="50"/>
  <c r="CS21" i="50" s="1"/>
  <c r="BG21" i="50"/>
  <c r="BI21" i="50" s="1"/>
  <c r="BY21" i="50"/>
  <c r="CA21" i="50" s="1"/>
  <c r="DU21" i="50"/>
  <c r="DW21" i="50" s="1"/>
  <c r="CK21" i="50"/>
  <c r="CM21" i="50" s="1"/>
  <c r="DO21" i="50"/>
  <c r="DQ21" i="50" s="1"/>
  <c r="DC21" i="50"/>
  <c r="DE21" i="50" s="1"/>
  <c r="EG21" i="50"/>
  <c r="EI21" i="50" s="1"/>
  <c r="BM21" i="50"/>
  <c r="BO21" i="50" s="1"/>
  <c r="EA21" i="50"/>
  <c r="EC21" i="50" s="1"/>
  <c r="AJ22" i="50"/>
  <c r="AK22" i="50" s="1"/>
  <c r="AH23" i="50" l="1"/>
  <c r="F21" i="52"/>
  <c r="M21" i="51"/>
  <c r="N21" i="51" s="1"/>
  <c r="P21" i="51" s="1"/>
  <c r="R21" i="51" s="1"/>
  <c r="T21" i="51" s="1"/>
  <c r="V21" i="51" s="1"/>
  <c r="AG21" i="51"/>
  <c r="AI21" i="51" s="1"/>
  <c r="AE21" i="51" s="1"/>
  <c r="AO22" i="50"/>
  <c r="AQ22" i="50" s="1"/>
  <c r="DZ22" i="50"/>
  <c r="V20" i="52"/>
  <c r="BL22" i="50"/>
  <c r="K20" i="52"/>
  <c r="EF22" i="50"/>
  <c r="W20" i="52"/>
  <c r="DB22" i="50"/>
  <c r="R20" i="52"/>
  <c r="DN22" i="50"/>
  <c r="T20" i="52"/>
  <c r="CJ22" i="50"/>
  <c r="O20" i="52"/>
  <c r="DT22" i="50"/>
  <c r="U20" i="52"/>
  <c r="BX22" i="50"/>
  <c r="M20" i="52"/>
  <c r="BF22" i="50"/>
  <c r="J20" i="52"/>
  <c r="CP22" i="50"/>
  <c r="P20" i="52"/>
  <c r="BR22" i="50"/>
  <c r="L20" i="52"/>
  <c r="AB22" i="50"/>
  <c r="E20" i="52"/>
  <c r="AT22" i="50"/>
  <c r="H20" i="52"/>
  <c r="O21" i="50"/>
  <c r="J28" i="24" s="1"/>
  <c r="AD28" i="24" s="1"/>
  <c r="AZ22" i="50"/>
  <c r="I20" i="52"/>
  <c r="V22" i="50"/>
  <c r="D20" i="52"/>
  <c r="P22" i="50"/>
  <c r="C20" i="52"/>
  <c r="N21" i="50"/>
  <c r="I28" i="24" s="1"/>
  <c r="CD22" i="50"/>
  <c r="N20" i="52"/>
  <c r="AH20" i="52" l="1"/>
  <c r="AO20" i="52"/>
  <c r="L28" i="24"/>
  <c r="AC28" i="24"/>
  <c r="AB28" i="24" s="1"/>
  <c r="AD20" i="52"/>
  <c r="AZ20" i="52"/>
  <c r="BA20" i="52"/>
  <c r="AR20" i="52"/>
  <c r="AT20" i="52"/>
  <c r="AY20" i="52"/>
  <c r="AG20" i="52"/>
  <c r="AE20" i="52"/>
  <c r="AJ20" i="52"/>
  <c r="AI20" i="52"/>
  <c r="AF20" i="52"/>
  <c r="AM20" i="52"/>
  <c r="AQ20" i="52"/>
  <c r="AK20" i="52"/>
  <c r="AN20" i="52"/>
  <c r="AV20" i="52"/>
  <c r="AP20" i="52"/>
  <c r="AU20" i="52"/>
  <c r="AS20" i="52"/>
  <c r="AX20" i="52"/>
  <c r="AL20" i="52"/>
  <c r="AW20" i="52"/>
  <c r="AN23" i="50"/>
  <c r="AP23" i="50" s="1"/>
  <c r="K22" i="51" s="1"/>
  <c r="L22" i="51" s="1"/>
  <c r="G21" i="52"/>
  <c r="W22" i="50"/>
  <c r="Y22" i="50" s="1"/>
  <c r="CE22" i="50"/>
  <c r="CG22" i="50" s="1"/>
  <c r="Q22" i="50"/>
  <c r="S22" i="50" s="1"/>
  <c r="AU22" i="50"/>
  <c r="AW22" i="50" s="1"/>
  <c r="AC22" i="50"/>
  <c r="AE22" i="50" s="1"/>
  <c r="BG22" i="50"/>
  <c r="BI22" i="50" s="1"/>
  <c r="BA22" i="50"/>
  <c r="BC22" i="50" s="1"/>
  <c r="BY22" i="50"/>
  <c r="CA22" i="50" s="1"/>
  <c r="BS22" i="50"/>
  <c r="BU22" i="50" s="1"/>
  <c r="CK22" i="50"/>
  <c r="CM22" i="50" s="1"/>
  <c r="EA22" i="50"/>
  <c r="EC22" i="50" s="1"/>
  <c r="CQ22" i="50"/>
  <c r="CS22" i="50" s="1"/>
  <c r="BM22" i="50"/>
  <c r="BO22" i="50" s="1"/>
  <c r="DO22" i="50"/>
  <c r="DQ22" i="50" s="1"/>
  <c r="DU22" i="50"/>
  <c r="DW22" i="50" s="1"/>
  <c r="DC22" i="50"/>
  <c r="DE22" i="50" s="1"/>
  <c r="EG22" i="50"/>
  <c r="EI22" i="50" s="1"/>
  <c r="AJ23" i="50"/>
  <c r="AK23" i="50" s="1"/>
  <c r="AH24" i="50" l="1"/>
  <c r="F22" i="52"/>
  <c r="M22" i="51"/>
  <c r="N22" i="51" s="1"/>
  <c r="P22" i="51" s="1"/>
  <c r="R22" i="51" s="1"/>
  <c r="T22" i="51" s="1"/>
  <c r="V22" i="51" s="1"/>
  <c r="AG22" i="51"/>
  <c r="AI22" i="51" s="1"/>
  <c r="AE22" i="51" s="1"/>
  <c r="AO23" i="50"/>
  <c r="AQ23" i="50" s="1"/>
  <c r="EF23" i="50"/>
  <c r="W21" i="52"/>
  <c r="DB23" i="50"/>
  <c r="R21" i="52"/>
  <c r="DT23" i="50"/>
  <c r="U21" i="52"/>
  <c r="DN23" i="50"/>
  <c r="T21" i="52"/>
  <c r="BL23" i="50"/>
  <c r="K21" i="52"/>
  <c r="CP23" i="50"/>
  <c r="P21" i="52"/>
  <c r="DZ23" i="50"/>
  <c r="V21" i="52"/>
  <c r="CJ23" i="50"/>
  <c r="O21" i="52"/>
  <c r="BR23" i="50"/>
  <c r="L21" i="52"/>
  <c r="BX23" i="50"/>
  <c r="M21" i="52"/>
  <c r="AZ23" i="50"/>
  <c r="I21" i="52"/>
  <c r="O22" i="50"/>
  <c r="J29" i="24" s="1"/>
  <c r="AD29" i="24" s="1"/>
  <c r="BF23" i="50"/>
  <c r="J21" i="52"/>
  <c r="AB23" i="50"/>
  <c r="E21" i="52"/>
  <c r="AT23" i="50"/>
  <c r="H21" i="52"/>
  <c r="P23" i="50"/>
  <c r="N22" i="50"/>
  <c r="I29" i="24" s="1"/>
  <c r="C21" i="52"/>
  <c r="CD23" i="50"/>
  <c r="N21" i="52"/>
  <c r="V23" i="50"/>
  <c r="D21" i="52"/>
  <c r="AH21" i="52" l="1"/>
  <c r="AE21" i="52"/>
  <c r="AO21" i="52"/>
  <c r="AZ21" i="52"/>
  <c r="AY21" i="52"/>
  <c r="AT21" i="52"/>
  <c r="AR21" i="52"/>
  <c r="BA21" i="52"/>
  <c r="AD21" i="52"/>
  <c r="AG21" i="52"/>
  <c r="L29" i="24"/>
  <c r="AC29" i="24"/>
  <c r="AB29" i="24" s="1"/>
  <c r="AI21" i="52"/>
  <c r="AF21" i="52"/>
  <c r="AK21" i="52"/>
  <c r="AJ21" i="52"/>
  <c r="AN21" i="52"/>
  <c r="AM21" i="52"/>
  <c r="AP21" i="52"/>
  <c r="AW21" i="52"/>
  <c r="AQ21" i="52"/>
  <c r="AL21" i="52"/>
  <c r="AU21" i="52"/>
  <c r="AV21" i="52"/>
  <c r="AS21" i="52"/>
  <c r="AX21" i="52"/>
  <c r="AN24" i="50"/>
  <c r="AP24" i="50" s="1"/>
  <c r="K23" i="51" s="1"/>
  <c r="L23" i="51" s="1"/>
  <c r="G22" i="52"/>
  <c r="CE23" i="50"/>
  <c r="CG23" i="50" s="1"/>
  <c r="Q23" i="50"/>
  <c r="S23" i="50" s="1"/>
  <c r="BS23" i="50"/>
  <c r="BU23" i="50" s="1"/>
  <c r="CQ23" i="50"/>
  <c r="CS23" i="50" s="1"/>
  <c r="W23" i="50"/>
  <c r="Y23" i="50" s="1"/>
  <c r="AU23" i="50"/>
  <c r="AW23" i="50" s="1"/>
  <c r="AC23" i="50"/>
  <c r="AE23" i="50" s="1"/>
  <c r="BA23" i="50"/>
  <c r="BC23" i="50" s="1"/>
  <c r="BM23" i="50"/>
  <c r="BO23" i="50" s="1"/>
  <c r="BY23" i="50"/>
  <c r="CA23" i="50" s="1"/>
  <c r="CK23" i="50"/>
  <c r="CM23" i="50" s="1"/>
  <c r="EG23" i="50"/>
  <c r="EI23" i="50" s="1"/>
  <c r="DO23" i="50"/>
  <c r="DQ23" i="50" s="1"/>
  <c r="DU23" i="50"/>
  <c r="DW23" i="50" s="1"/>
  <c r="DC23" i="50"/>
  <c r="DE23" i="50" s="1"/>
  <c r="BG23" i="50"/>
  <c r="BI23" i="50" s="1"/>
  <c r="EA23" i="50"/>
  <c r="EC23" i="50" s="1"/>
  <c r="AJ24" i="50"/>
  <c r="AK24" i="50" s="1"/>
  <c r="AH25" i="50" l="1"/>
  <c r="F23" i="52"/>
  <c r="M23" i="51"/>
  <c r="N23" i="51" s="1"/>
  <c r="P23" i="51" s="1"/>
  <c r="R23" i="51" s="1"/>
  <c r="T23" i="51" s="1"/>
  <c r="V23" i="51" s="1"/>
  <c r="AG23" i="51"/>
  <c r="AI23" i="51" s="1"/>
  <c r="AE23" i="51" s="1"/>
  <c r="AO24" i="50"/>
  <c r="AQ24" i="50" s="1"/>
  <c r="DZ24" i="50"/>
  <c r="V22" i="52"/>
  <c r="BF24" i="50"/>
  <c r="J22" i="52"/>
  <c r="DB24" i="50"/>
  <c r="R22" i="52"/>
  <c r="DT24" i="50"/>
  <c r="U22" i="52"/>
  <c r="DN24" i="50"/>
  <c r="T22" i="52"/>
  <c r="EF24" i="50"/>
  <c r="W22" i="52"/>
  <c r="CJ24" i="50"/>
  <c r="O22" i="52"/>
  <c r="BX24" i="50"/>
  <c r="M22" i="52"/>
  <c r="BL24" i="50"/>
  <c r="K22" i="52"/>
  <c r="AZ24" i="50"/>
  <c r="I22" i="52"/>
  <c r="O23" i="50"/>
  <c r="J30" i="24" s="1"/>
  <c r="AD30" i="24" s="1"/>
  <c r="AB24" i="50"/>
  <c r="E22" i="52"/>
  <c r="AT24" i="50"/>
  <c r="H22" i="52"/>
  <c r="V24" i="50"/>
  <c r="D22" i="52"/>
  <c r="CP24" i="50"/>
  <c r="P22" i="52"/>
  <c r="BR24" i="50"/>
  <c r="L22" i="52"/>
  <c r="P24" i="50"/>
  <c r="C22" i="52"/>
  <c r="N23" i="50"/>
  <c r="I30" i="24" s="1"/>
  <c r="CD24" i="50"/>
  <c r="N22" i="52"/>
  <c r="AH22" i="52" l="1"/>
  <c r="AO22" i="52"/>
  <c r="L30" i="24"/>
  <c r="AC30" i="24"/>
  <c r="AB30" i="24" s="1"/>
  <c r="AR22" i="52"/>
  <c r="AY22" i="52"/>
  <c r="AZ22" i="52"/>
  <c r="BA22" i="52"/>
  <c r="AT22" i="52"/>
  <c r="AD22" i="52"/>
  <c r="AG22" i="52"/>
  <c r="AM22" i="52"/>
  <c r="AQ22" i="52"/>
  <c r="AE22" i="52"/>
  <c r="AI22" i="52"/>
  <c r="AF22" i="52"/>
  <c r="AJ22" i="52"/>
  <c r="AL22" i="52"/>
  <c r="AN22" i="52"/>
  <c r="AP22" i="52"/>
  <c r="AX22" i="52"/>
  <c r="AU22" i="52"/>
  <c r="AV22" i="52"/>
  <c r="AS22" i="52"/>
  <c r="AK22" i="52"/>
  <c r="AW22" i="52"/>
  <c r="AN25" i="50"/>
  <c r="AP25" i="50" s="1"/>
  <c r="K24" i="51" s="1"/>
  <c r="L24" i="51" s="1"/>
  <c r="G23" i="52"/>
  <c r="CE24" i="50"/>
  <c r="CG24" i="50" s="1"/>
  <c r="Q24" i="50"/>
  <c r="S24" i="50" s="1"/>
  <c r="W24" i="50"/>
  <c r="Y24" i="50" s="1"/>
  <c r="AU24" i="50"/>
  <c r="AW24" i="50" s="1"/>
  <c r="BM24" i="50"/>
  <c r="BO24" i="50" s="1"/>
  <c r="AC24" i="50"/>
  <c r="AE24" i="50" s="1"/>
  <c r="BY24" i="50"/>
  <c r="CA24" i="50" s="1"/>
  <c r="CK24" i="50"/>
  <c r="CM24" i="50" s="1"/>
  <c r="CQ24" i="50"/>
  <c r="CS24" i="50" s="1"/>
  <c r="EA24" i="50"/>
  <c r="EC24" i="50" s="1"/>
  <c r="BG24" i="50"/>
  <c r="BI24" i="50" s="1"/>
  <c r="DO24" i="50"/>
  <c r="DQ24" i="50" s="1"/>
  <c r="BS24" i="50"/>
  <c r="BU24" i="50" s="1"/>
  <c r="DC24" i="50"/>
  <c r="DE24" i="50" s="1"/>
  <c r="BA24" i="50"/>
  <c r="BC24" i="50" s="1"/>
  <c r="EG24" i="50"/>
  <c r="EI24" i="50" s="1"/>
  <c r="DU24" i="50"/>
  <c r="DW24" i="50" s="1"/>
  <c r="AJ25" i="50"/>
  <c r="AK25" i="50" s="1"/>
  <c r="AH26" i="50" l="1"/>
  <c r="F24" i="52"/>
  <c r="M24" i="51"/>
  <c r="N24" i="51" s="1"/>
  <c r="P24" i="51" s="1"/>
  <c r="R24" i="51" s="1"/>
  <c r="T24" i="51" s="1"/>
  <c r="V24" i="51" s="1"/>
  <c r="AG24" i="51"/>
  <c r="AI24" i="51" s="1"/>
  <c r="AE24" i="51" s="1"/>
  <c r="AO25" i="50"/>
  <c r="AQ25" i="50" s="1"/>
  <c r="DT25" i="50"/>
  <c r="U23" i="52"/>
  <c r="EF25" i="50"/>
  <c r="W23" i="52"/>
  <c r="O24" i="50"/>
  <c r="J31" i="24" s="1"/>
  <c r="AD31" i="24" s="1"/>
  <c r="AZ25" i="50"/>
  <c r="I23" i="52"/>
  <c r="DB25" i="50"/>
  <c r="R23" i="52"/>
  <c r="BR25" i="50"/>
  <c r="L23" i="52"/>
  <c r="DN25" i="50"/>
  <c r="T23" i="52"/>
  <c r="BF25" i="50"/>
  <c r="J23" i="52"/>
  <c r="DZ25" i="50"/>
  <c r="V23" i="52"/>
  <c r="CP25" i="50"/>
  <c r="P23" i="52"/>
  <c r="CJ25" i="50"/>
  <c r="O23" i="52"/>
  <c r="BX25" i="50"/>
  <c r="M23" i="52"/>
  <c r="AB25" i="50"/>
  <c r="E23" i="52"/>
  <c r="BL25" i="50"/>
  <c r="K23" i="52"/>
  <c r="AT25" i="50"/>
  <c r="H23" i="52"/>
  <c r="V25" i="50"/>
  <c r="D23" i="52"/>
  <c r="P25" i="50"/>
  <c r="C23" i="52"/>
  <c r="N24" i="50"/>
  <c r="I31" i="24" s="1"/>
  <c r="CD25" i="50"/>
  <c r="N23" i="52"/>
  <c r="AH23" i="52" l="1"/>
  <c r="AO23" i="52"/>
  <c r="L31" i="24"/>
  <c r="AC31" i="24"/>
  <c r="AB31" i="24" s="1"/>
  <c r="AY23" i="52"/>
  <c r="BA23" i="52"/>
  <c r="AZ23" i="52"/>
  <c r="AD23" i="52"/>
  <c r="AT23" i="52"/>
  <c r="AR23" i="52"/>
  <c r="AG23" i="52"/>
  <c r="AE23" i="52"/>
  <c r="AI23" i="52"/>
  <c r="AL23" i="52"/>
  <c r="AF23" i="52"/>
  <c r="AN23" i="52"/>
  <c r="AP23" i="52"/>
  <c r="AQ23" i="52"/>
  <c r="AW23" i="52"/>
  <c r="AK23" i="52"/>
  <c r="AU23" i="52"/>
  <c r="AM23" i="52"/>
  <c r="AS23" i="52"/>
  <c r="AJ23" i="52"/>
  <c r="AX23" i="52"/>
  <c r="AV23" i="52"/>
  <c r="AN26" i="50"/>
  <c r="AP26" i="50" s="1"/>
  <c r="K25" i="51" s="1"/>
  <c r="L25" i="51" s="1"/>
  <c r="G24" i="52"/>
  <c r="CE25" i="50"/>
  <c r="CG25" i="50" s="1"/>
  <c r="AC25" i="50"/>
  <c r="AE25" i="50" s="1"/>
  <c r="Q25" i="50"/>
  <c r="S25" i="50" s="1"/>
  <c r="BA25" i="50"/>
  <c r="BC25" i="50" s="1"/>
  <c r="BS25" i="50"/>
  <c r="BU25" i="50" s="1"/>
  <c r="BM25" i="50"/>
  <c r="BO25" i="50" s="1"/>
  <c r="W25" i="50"/>
  <c r="Y25" i="50" s="1"/>
  <c r="AU25" i="50"/>
  <c r="AW25" i="50" s="1"/>
  <c r="BY25" i="50"/>
  <c r="CA25" i="50" s="1"/>
  <c r="BG25" i="50"/>
  <c r="BI25" i="50" s="1"/>
  <c r="DC25" i="50"/>
  <c r="DE25" i="50" s="1"/>
  <c r="DO25" i="50"/>
  <c r="DQ25" i="50" s="1"/>
  <c r="CQ25" i="50"/>
  <c r="CS25" i="50" s="1"/>
  <c r="DU25" i="50"/>
  <c r="DW25" i="50" s="1"/>
  <c r="EA25" i="50"/>
  <c r="EC25" i="50" s="1"/>
  <c r="EG25" i="50"/>
  <c r="EI25" i="50" s="1"/>
  <c r="CK25" i="50"/>
  <c r="CM25" i="50" s="1"/>
  <c r="AJ26" i="50"/>
  <c r="AK26" i="50" s="1"/>
  <c r="AH27" i="50" l="1"/>
  <c r="F25" i="52"/>
  <c r="M25" i="51"/>
  <c r="N25" i="51" s="1"/>
  <c r="P25" i="51" s="1"/>
  <c r="R25" i="51" s="1"/>
  <c r="T25" i="51" s="1"/>
  <c r="V25" i="51" s="1"/>
  <c r="AG25" i="51"/>
  <c r="AI25" i="51" s="1"/>
  <c r="AE25" i="51" s="1"/>
  <c r="AO26" i="50"/>
  <c r="AQ26" i="50" s="1"/>
  <c r="CJ26" i="50"/>
  <c r="O24" i="52"/>
  <c r="EF26" i="50"/>
  <c r="W24" i="52"/>
  <c r="DZ26" i="50"/>
  <c r="V24" i="52"/>
  <c r="DT26" i="50"/>
  <c r="U24" i="52"/>
  <c r="CP26" i="50"/>
  <c r="P24" i="52"/>
  <c r="DN26" i="50"/>
  <c r="T24" i="52"/>
  <c r="DB26" i="50"/>
  <c r="R24" i="52"/>
  <c r="BF26" i="50"/>
  <c r="J24" i="52"/>
  <c r="BX26" i="50"/>
  <c r="M24" i="52"/>
  <c r="AT26" i="50"/>
  <c r="H24" i="52"/>
  <c r="V26" i="50"/>
  <c r="D24" i="52"/>
  <c r="BL26" i="50"/>
  <c r="K24" i="52"/>
  <c r="BR26" i="50"/>
  <c r="L24" i="52"/>
  <c r="AZ26" i="50"/>
  <c r="I24" i="52"/>
  <c r="O25" i="50"/>
  <c r="J32" i="24" s="1"/>
  <c r="AD32" i="24" s="1"/>
  <c r="P26" i="50"/>
  <c r="N25" i="50"/>
  <c r="I32" i="24" s="1"/>
  <c r="C24" i="52"/>
  <c r="AB26" i="50"/>
  <c r="E24" i="52"/>
  <c r="CD26" i="50"/>
  <c r="N24" i="52"/>
  <c r="AH24" i="52" l="1"/>
  <c r="AO24" i="52"/>
  <c r="AF24" i="52"/>
  <c r="AT24" i="52"/>
  <c r="AR24" i="52"/>
  <c r="AD24" i="52"/>
  <c r="AZ24" i="52"/>
  <c r="BA24" i="52"/>
  <c r="AY24" i="52"/>
  <c r="AG24" i="52"/>
  <c r="L32" i="24"/>
  <c r="AC32" i="24"/>
  <c r="AB32" i="24" s="1"/>
  <c r="AJ24" i="52"/>
  <c r="AM24" i="52"/>
  <c r="AL24" i="52"/>
  <c r="AE24" i="52"/>
  <c r="AI24" i="52"/>
  <c r="AN24" i="52"/>
  <c r="AK24" i="52"/>
  <c r="AS24" i="52"/>
  <c r="AU24" i="52"/>
  <c r="AQ24" i="52"/>
  <c r="AV24" i="52"/>
  <c r="AW24" i="52"/>
  <c r="AX24" i="52"/>
  <c r="AP24" i="52"/>
  <c r="AN27" i="50"/>
  <c r="AP27" i="50" s="1"/>
  <c r="K26" i="51" s="1"/>
  <c r="L26" i="51" s="1"/>
  <c r="G25" i="52"/>
  <c r="W26" i="50"/>
  <c r="Y26" i="50" s="1"/>
  <c r="CE26" i="50"/>
  <c r="CG26" i="50" s="1"/>
  <c r="Q26" i="50"/>
  <c r="S26" i="50" s="1"/>
  <c r="AU26" i="50"/>
  <c r="AW26" i="50" s="1"/>
  <c r="BA26" i="50"/>
  <c r="BC26" i="50" s="1"/>
  <c r="BG26" i="50"/>
  <c r="BI26" i="50" s="1"/>
  <c r="BS26" i="50"/>
  <c r="BU26" i="50" s="1"/>
  <c r="AC26" i="50"/>
  <c r="AE26" i="50" s="1"/>
  <c r="BM26" i="50"/>
  <c r="BO26" i="50" s="1"/>
  <c r="CQ26" i="50"/>
  <c r="CS26" i="50" s="1"/>
  <c r="EA26" i="50"/>
  <c r="EC26" i="50" s="1"/>
  <c r="BY26" i="50"/>
  <c r="CA26" i="50" s="1"/>
  <c r="DU26" i="50"/>
  <c r="DW26" i="50" s="1"/>
  <c r="DC26" i="50"/>
  <c r="DE26" i="50" s="1"/>
  <c r="CK26" i="50"/>
  <c r="CM26" i="50" s="1"/>
  <c r="DO26" i="50"/>
  <c r="DQ26" i="50" s="1"/>
  <c r="EG26" i="50"/>
  <c r="EI26" i="50" s="1"/>
  <c r="AJ27" i="50"/>
  <c r="AK27" i="50" s="1"/>
  <c r="AH28" i="50" l="1"/>
  <c r="F26" i="52"/>
  <c r="M26" i="51"/>
  <c r="N26" i="51" s="1"/>
  <c r="P26" i="51" s="1"/>
  <c r="R26" i="51" s="1"/>
  <c r="T26" i="51" s="1"/>
  <c r="V26" i="51" s="1"/>
  <c r="AO27" i="50"/>
  <c r="AQ27" i="50" s="1"/>
  <c r="AG26" i="51"/>
  <c r="AI26" i="51" s="1"/>
  <c r="AE26" i="51" s="1"/>
  <c r="EF27" i="50"/>
  <c r="W25" i="52"/>
  <c r="DN27" i="50"/>
  <c r="T25" i="52"/>
  <c r="CJ27" i="50"/>
  <c r="O25" i="52"/>
  <c r="DB27" i="50"/>
  <c r="R25" i="52"/>
  <c r="DT27" i="50"/>
  <c r="U25" i="52"/>
  <c r="BX27" i="50"/>
  <c r="M25" i="52"/>
  <c r="DZ27" i="50"/>
  <c r="V25" i="52"/>
  <c r="CP27" i="50"/>
  <c r="P25" i="52"/>
  <c r="BL27" i="50"/>
  <c r="K25" i="52"/>
  <c r="AB27" i="50"/>
  <c r="E25" i="52"/>
  <c r="BR27" i="50"/>
  <c r="L25" i="52"/>
  <c r="BF27" i="50"/>
  <c r="J25" i="52"/>
  <c r="AZ27" i="50"/>
  <c r="I25" i="52"/>
  <c r="O26" i="50"/>
  <c r="J33" i="24" s="1"/>
  <c r="AD33" i="24" s="1"/>
  <c r="AT27" i="50"/>
  <c r="H25" i="52"/>
  <c r="P27" i="50"/>
  <c r="C25" i="52"/>
  <c r="N26" i="50"/>
  <c r="I33" i="24" s="1"/>
  <c r="CD27" i="50"/>
  <c r="N25" i="52"/>
  <c r="V27" i="50"/>
  <c r="D25" i="52"/>
  <c r="AH25" i="52" l="1"/>
  <c r="AE25" i="52"/>
  <c r="AO25" i="52"/>
  <c r="L33" i="24"/>
  <c r="AC33" i="24"/>
  <c r="AB33" i="24" s="1"/>
  <c r="BA25" i="52"/>
  <c r="AY25" i="52"/>
  <c r="AR25" i="52"/>
  <c r="AD25" i="52"/>
  <c r="AZ25" i="52"/>
  <c r="AT25" i="52"/>
  <c r="AG25" i="52"/>
  <c r="AI25" i="52"/>
  <c r="AJ25" i="52"/>
  <c r="AK25" i="52"/>
  <c r="AM25" i="52"/>
  <c r="AF25" i="52"/>
  <c r="AL25" i="52"/>
  <c r="AQ25" i="52"/>
  <c r="AW25" i="52"/>
  <c r="AN25" i="52"/>
  <c r="AV25" i="52"/>
  <c r="AS25" i="52"/>
  <c r="AP25" i="52"/>
  <c r="AU25" i="52"/>
  <c r="AX25" i="52"/>
  <c r="CE27" i="50"/>
  <c r="CG27" i="50" s="1"/>
  <c r="Q27" i="50"/>
  <c r="S27" i="50" s="1"/>
  <c r="W27" i="50"/>
  <c r="Y27" i="50" s="1"/>
  <c r="AC27" i="50"/>
  <c r="AE27" i="50" s="1"/>
  <c r="BS27" i="50"/>
  <c r="BU27" i="50" s="1"/>
  <c r="CQ27" i="50"/>
  <c r="CS27" i="50" s="1"/>
  <c r="BA27" i="50"/>
  <c r="BC27" i="50" s="1"/>
  <c r="BG27" i="50"/>
  <c r="BI27" i="50" s="1"/>
  <c r="AU27" i="50"/>
  <c r="AW27" i="50" s="1"/>
  <c r="CK27" i="50"/>
  <c r="CM27" i="50" s="1"/>
  <c r="BM27" i="50"/>
  <c r="BO27" i="50" s="1"/>
  <c r="EA27" i="50"/>
  <c r="EC27" i="50" s="1"/>
  <c r="BY27" i="50"/>
  <c r="CA27" i="50" s="1"/>
  <c r="DU27" i="50"/>
  <c r="DW27" i="50" s="1"/>
  <c r="EG27" i="50"/>
  <c r="EI27" i="50" s="1"/>
  <c r="DC27" i="50"/>
  <c r="DE27" i="50" s="1"/>
  <c r="DO27" i="50"/>
  <c r="DQ27" i="50" s="1"/>
  <c r="AN28" i="50"/>
  <c r="AP28" i="50" s="1"/>
  <c r="K27" i="51" s="1"/>
  <c r="L27" i="51" s="1"/>
  <c r="G26" i="52"/>
  <c r="AJ28" i="50"/>
  <c r="AK28" i="50" s="1"/>
  <c r="AH29" i="50" l="1"/>
  <c r="F27" i="52"/>
  <c r="M27" i="51"/>
  <c r="N27" i="51" s="1"/>
  <c r="P27" i="51" s="1"/>
  <c r="R27" i="51" s="1"/>
  <c r="T27" i="51" s="1"/>
  <c r="V27" i="51" s="1"/>
  <c r="AG27" i="51"/>
  <c r="AI27" i="51" s="1"/>
  <c r="AE27" i="51" s="1"/>
  <c r="AO28" i="50"/>
  <c r="AQ28" i="50" s="1"/>
  <c r="DN28" i="50"/>
  <c r="T26" i="52"/>
  <c r="DB28" i="50"/>
  <c r="R26" i="52"/>
  <c r="EF28" i="50"/>
  <c r="W26" i="52"/>
  <c r="DT28" i="50"/>
  <c r="U26" i="52"/>
  <c r="BX28" i="50"/>
  <c r="M26" i="52"/>
  <c r="DZ28" i="50"/>
  <c r="V26" i="52"/>
  <c r="BL28" i="50"/>
  <c r="K26" i="52"/>
  <c r="CJ28" i="50"/>
  <c r="O26" i="52"/>
  <c r="AT28" i="50"/>
  <c r="H26" i="52"/>
  <c r="BF28" i="50"/>
  <c r="J26" i="52"/>
  <c r="AZ28" i="50"/>
  <c r="I26" i="52"/>
  <c r="O27" i="50"/>
  <c r="J34" i="24" s="1"/>
  <c r="AD34" i="24" s="1"/>
  <c r="CP28" i="50"/>
  <c r="P26" i="52"/>
  <c r="BR28" i="50"/>
  <c r="L26" i="52"/>
  <c r="AB28" i="50"/>
  <c r="E26" i="52"/>
  <c r="V28" i="50"/>
  <c r="D26" i="52"/>
  <c r="P28" i="50"/>
  <c r="N27" i="50"/>
  <c r="I34" i="24" s="1"/>
  <c r="C26" i="52"/>
  <c r="CD28" i="50"/>
  <c r="N26" i="52"/>
  <c r="AO26" i="52" l="1"/>
  <c r="BA26" i="52"/>
  <c r="AT26" i="52"/>
  <c r="AD26" i="52"/>
  <c r="AR26" i="52"/>
  <c r="AY26" i="52"/>
  <c r="AZ26" i="52"/>
  <c r="AG26" i="52"/>
  <c r="AH26" i="52"/>
  <c r="L34" i="24"/>
  <c r="AC34" i="24"/>
  <c r="AB34" i="24" s="1"/>
  <c r="AE26" i="52"/>
  <c r="AF26" i="52"/>
  <c r="AM26" i="52"/>
  <c r="AQ26" i="52"/>
  <c r="AJ26" i="52"/>
  <c r="AK26" i="52"/>
  <c r="AI26" i="52"/>
  <c r="AP26" i="52"/>
  <c r="AL26" i="52"/>
  <c r="AW26" i="52"/>
  <c r="AN26" i="52"/>
  <c r="AV26" i="52"/>
  <c r="AX26" i="52"/>
  <c r="AS26" i="52"/>
  <c r="AU26" i="52"/>
  <c r="AN29" i="50"/>
  <c r="AP29" i="50" s="1"/>
  <c r="K28" i="51" s="1"/>
  <c r="L28" i="51" s="1"/>
  <c r="G27" i="52"/>
  <c r="W28" i="50"/>
  <c r="Y28" i="50" s="1"/>
  <c r="Q28" i="50"/>
  <c r="S28" i="50" s="1"/>
  <c r="AC28" i="50"/>
  <c r="AE28" i="50" s="1"/>
  <c r="AU28" i="50"/>
  <c r="AW28" i="50" s="1"/>
  <c r="CE28" i="50"/>
  <c r="CG28" i="50" s="1"/>
  <c r="BG28" i="50"/>
  <c r="BI28" i="50" s="1"/>
  <c r="CK28" i="50"/>
  <c r="CM28" i="50" s="1"/>
  <c r="CQ28" i="50"/>
  <c r="CS28" i="50" s="1"/>
  <c r="EA28" i="50"/>
  <c r="EC28" i="50" s="1"/>
  <c r="BS28" i="50"/>
  <c r="BU28" i="50" s="1"/>
  <c r="BM28" i="50"/>
  <c r="BO28" i="50" s="1"/>
  <c r="BY28" i="50"/>
  <c r="CA28" i="50" s="1"/>
  <c r="EG28" i="50"/>
  <c r="EI28" i="50" s="1"/>
  <c r="DC28" i="50"/>
  <c r="DE28" i="50" s="1"/>
  <c r="DO28" i="50"/>
  <c r="DQ28" i="50" s="1"/>
  <c r="BA28" i="50"/>
  <c r="BC28" i="50" s="1"/>
  <c r="DU28" i="50"/>
  <c r="DW28" i="50" s="1"/>
  <c r="AJ29" i="50"/>
  <c r="AK29" i="50" s="1"/>
  <c r="AH30" i="50" l="1"/>
  <c r="AJ30" i="50" s="1"/>
  <c r="F28" i="52"/>
  <c r="M28" i="51"/>
  <c r="N28" i="51" s="1"/>
  <c r="P28" i="51" s="1"/>
  <c r="R28" i="51" s="1"/>
  <c r="T28" i="51" s="1"/>
  <c r="V28" i="51" s="1"/>
  <c r="AO29" i="50"/>
  <c r="AQ29" i="50" s="1"/>
  <c r="AG28" i="51"/>
  <c r="AI28" i="51" s="1"/>
  <c r="AE28" i="51" s="1"/>
  <c r="DT29" i="50"/>
  <c r="U27" i="52"/>
  <c r="O28" i="50"/>
  <c r="J35" i="24" s="1"/>
  <c r="AD35" i="24" s="1"/>
  <c r="AZ29" i="50"/>
  <c r="I27" i="52"/>
  <c r="DN29" i="50"/>
  <c r="T27" i="52"/>
  <c r="DB29" i="50"/>
  <c r="R27" i="52"/>
  <c r="EF29" i="50"/>
  <c r="W27" i="52"/>
  <c r="BX29" i="50"/>
  <c r="M27" i="52"/>
  <c r="BL29" i="50"/>
  <c r="K27" i="52"/>
  <c r="BR29" i="50"/>
  <c r="L27" i="52"/>
  <c r="DZ29" i="50"/>
  <c r="V27" i="52"/>
  <c r="CP29" i="50"/>
  <c r="P27" i="52"/>
  <c r="CJ29" i="50"/>
  <c r="O27" i="52"/>
  <c r="BF29" i="50"/>
  <c r="J27" i="52"/>
  <c r="CD29" i="50"/>
  <c r="N27" i="52"/>
  <c r="AT29" i="50"/>
  <c r="H27" i="52"/>
  <c r="AB29" i="50"/>
  <c r="E27" i="52"/>
  <c r="P29" i="50"/>
  <c r="C27" i="52"/>
  <c r="N28" i="50"/>
  <c r="I35" i="24" s="1"/>
  <c r="V29" i="50"/>
  <c r="D27" i="52"/>
  <c r="AH27" i="52" l="1"/>
  <c r="AE27" i="52"/>
  <c r="L35" i="24"/>
  <c r="AC35" i="24"/>
  <c r="AB35" i="24" s="1"/>
  <c r="AR27" i="52"/>
  <c r="AD27" i="52"/>
  <c r="AZ27" i="52"/>
  <c r="BA27" i="52"/>
  <c r="AT27" i="52"/>
  <c r="AY27" i="52"/>
  <c r="AG27" i="52"/>
  <c r="AF27" i="52"/>
  <c r="AI27" i="52"/>
  <c r="AO27" i="52"/>
  <c r="AK27" i="52"/>
  <c r="AP27" i="52"/>
  <c r="AQ27" i="52"/>
  <c r="AW27" i="52"/>
  <c r="AM27" i="52"/>
  <c r="AL27" i="52"/>
  <c r="AN27" i="52"/>
  <c r="AX27" i="52"/>
  <c r="AS27" i="52"/>
  <c r="AU27" i="52"/>
  <c r="AJ27" i="52"/>
  <c r="AV27" i="52"/>
  <c r="CE29" i="50"/>
  <c r="CG29" i="50" s="1"/>
  <c r="W29" i="50"/>
  <c r="Y29" i="50" s="1"/>
  <c r="BG29" i="50"/>
  <c r="BI29" i="50" s="1"/>
  <c r="Q29" i="50"/>
  <c r="S29" i="50" s="1"/>
  <c r="AC29" i="50"/>
  <c r="AE29" i="50" s="1"/>
  <c r="AU29" i="50"/>
  <c r="AW29" i="50" s="1"/>
  <c r="BS29" i="50"/>
  <c r="BU29" i="50" s="1"/>
  <c r="BM29" i="50"/>
  <c r="BO29" i="50" s="1"/>
  <c r="BY29" i="50"/>
  <c r="CA29" i="50" s="1"/>
  <c r="CK29" i="50"/>
  <c r="CM29" i="50" s="1"/>
  <c r="BA29" i="50"/>
  <c r="BC29" i="50" s="1"/>
  <c r="DO29" i="50"/>
  <c r="DQ29" i="50" s="1"/>
  <c r="EG29" i="50"/>
  <c r="EI29" i="50" s="1"/>
  <c r="EA29" i="50"/>
  <c r="EC29" i="50" s="1"/>
  <c r="DC29" i="50"/>
  <c r="DE29" i="50" s="1"/>
  <c r="CQ29" i="50"/>
  <c r="CS29" i="50" s="1"/>
  <c r="DU29" i="50"/>
  <c r="DW29" i="50" s="1"/>
  <c r="AN30" i="50"/>
  <c r="AP30" i="50" s="1"/>
  <c r="K29" i="51" s="1"/>
  <c r="L29" i="51" s="1"/>
  <c r="G28" i="52"/>
  <c r="AK30" i="50"/>
  <c r="M29" i="51"/>
  <c r="AO30" i="50"/>
  <c r="AG29" i="51" l="1"/>
  <c r="AI29" i="51" s="1"/>
  <c r="AE29" i="51" s="1"/>
  <c r="CE30" i="50" s="1"/>
  <c r="N29" i="51"/>
  <c r="P29" i="51" s="1"/>
  <c r="R29" i="51" s="1"/>
  <c r="T29" i="51" s="1"/>
  <c r="V29" i="51" s="1"/>
  <c r="AQ30" i="50"/>
  <c r="AN31" i="50" s="1"/>
  <c r="AP31" i="50" s="1"/>
  <c r="K30" i="51" s="1"/>
  <c r="L30" i="51" s="1"/>
  <c r="BA30" i="50"/>
  <c r="Q30" i="50"/>
  <c r="AU30" i="50"/>
  <c r="BM30" i="50"/>
  <c r="BG30" i="50"/>
  <c r="BS30" i="50"/>
  <c r="EA30" i="50"/>
  <c r="BY30" i="50"/>
  <c r="DC30" i="50"/>
  <c r="EG30" i="50"/>
  <c r="DU30" i="50"/>
  <c r="AH31" i="50"/>
  <c r="AJ31" i="50" s="1"/>
  <c r="F29" i="52"/>
  <c r="DT30" i="50"/>
  <c r="U28" i="52"/>
  <c r="CP30" i="50"/>
  <c r="P28" i="52"/>
  <c r="DB30" i="50"/>
  <c r="R28" i="52"/>
  <c r="DZ30" i="50"/>
  <c r="V28" i="52"/>
  <c r="EF30" i="50"/>
  <c r="W28" i="52"/>
  <c r="DN30" i="50"/>
  <c r="T28" i="52"/>
  <c r="O29" i="50"/>
  <c r="J36" i="24" s="1"/>
  <c r="AD36" i="24" s="1"/>
  <c r="AZ30" i="50"/>
  <c r="I28" i="52"/>
  <c r="CJ30" i="50"/>
  <c r="O28" i="52"/>
  <c r="BX30" i="50"/>
  <c r="M28" i="52"/>
  <c r="BL30" i="50"/>
  <c r="K28" i="52"/>
  <c r="BR30" i="50"/>
  <c r="L28" i="52"/>
  <c r="AT30" i="50"/>
  <c r="H28" i="52"/>
  <c r="AB30" i="50"/>
  <c r="E28" i="52"/>
  <c r="P30" i="50"/>
  <c r="N29" i="50"/>
  <c r="I36" i="24" s="1"/>
  <c r="C28" i="52"/>
  <c r="BF30" i="50"/>
  <c r="J28" i="52"/>
  <c r="V30" i="50"/>
  <c r="D28" i="52"/>
  <c r="CD30" i="50"/>
  <c r="N28" i="52"/>
  <c r="W30" i="50" l="1"/>
  <c r="DO30" i="50"/>
  <c r="DQ30" i="50" s="1"/>
  <c r="DN31" i="50" s="1"/>
  <c r="AC30" i="50"/>
  <c r="AE30" i="50" s="1"/>
  <c r="E29" i="52" s="1"/>
  <c r="CK30" i="50"/>
  <c r="CM30" i="50" s="1"/>
  <c r="CJ31" i="50" s="1"/>
  <c r="CA30" i="50"/>
  <c r="BX31" i="50" s="1"/>
  <c r="CQ30" i="50"/>
  <c r="CS30" i="50" s="1"/>
  <c r="P29" i="52" s="1"/>
  <c r="CG30" i="50"/>
  <c r="N29" i="52" s="1"/>
  <c r="AW30" i="50"/>
  <c r="AT31" i="50" s="1"/>
  <c r="DW30" i="50"/>
  <c r="DT31" i="50" s="1"/>
  <c r="G29" i="52"/>
  <c r="Y30" i="50"/>
  <c r="V31" i="50" s="1"/>
  <c r="BC30" i="50"/>
  <c r="I29" i="52" s="1"/>
  <c r="BU30" i="50"/>
  <c r="BR31" i="50" s="1"/>
  <c r="EC30" i="50"/>
  <c r="DZ31" i="50" s="1"/>
  <c r="BI30" i="50"/>
  <c r="BF31" i="50" s="1"/>
  <c r="DE30" i="50"/>
  <c r="R29" i="52" s="1"/>
  <c r="AO28" i="52"/>
  <c r="EI30" i="50"/>
  <c r="EF31" i="50" s="1"/>
  <c r="BO30" i="50"/>
  <c r="K29" i="52" s="1"/>
  <c r="S30" i="50"/>
  <c r="C29" i="52" s="1"/>
  <c r="AE28" i="52"/>
  <c r="AK28" i="52"/>
  <c r="AD28" i="52"/>
  <c r="AY28" i="52"/>
  <c r="BA28" i="52"/>
  <c r="AZ28" i="52"/>
  <c r="AT28" i="52"/>
  <c r="AR28" i="52"/>
  <c r="AG28" i="52"/>
  <c r="AH28" i="52"/>
  <c r="L36" i="24"/>
  <c r="AC36" i="24"/>
  <c r="AB36" i="24" s="1"/>
  <c r="AF28" i="52"/>
  <c r="AI28" i="52"/>
  <c r="AM28" i="52"/>
  <c r="AL28" i="52"/>
  <c r="AN28" i="52"/>
  <c r="AP28" i="52"/>
  <c r="AJ28" i="52"/>
  <c r="AU28" i="52"/>
  <c r="AX28" i="52"/>
  <c r="AW28" i="52"/>
  <c r="AS28" i="52"/>
  <c r="AQ28" i="52"/>
  <c r="AV28" i="52"/>
  <c r="AK31" i="50"/>
  <c r="M30" i="51"/>
  <c r="N30" i="51" s="1"/>
  <c r="P30" i="51" s="1"/>
  <c r="R30" i="51" s="1"/>
  <c r="T30" i="51" s="1"/>
  <c r="V30" i="51" s="1"/>
  <c r="AO31" i="50"/>
  <c r="AQ31" i="50" s="1"/>
  <c r="AG30" i="51"/>
  <c r="AI30" i="51" s="1"/>
  <c r="AE30" i="51" s="1"/>
  <c r="M29" i="52" l="1"/>
  <c r="D29" i="52"/>
  <c r="CD31" i="50"/>
  <c r="O29" i="52"/>
  <c r="H29" i="52"/>
  <c r="U29" i="52"/>
  <c r="AB31" i="50"/>
  <c r="CP31" i="50"/>
  <c r="T29" i="52"/>
  <c r="AZ31" i="50"/>
  <c r="J29" i="52"/>
  <c r="V29" i="52"/>
  <c r="W29" i="52"/>
  <c r="L29" i="52"/>
  <c r="O30" i="50"/>
  <c r="J37" i="24" s="1"/>
  <c r="AD37" i="24" s="1"/>
  <c r="N30" i="50"/>
  <c r="I37" i="24" s="1"/>
  <c r="BL31" i="50"/>
  <c r="P31" i="50"/>
  <c r="DB31" i="50"/>
  <c r="CE31" i="50"/>
  <c r="CG31" i="50" s="1"/>
  <c r="Q31" i="50"/>
  <c r="W31" i="50"/>
  <c r="Y31" i="50" s="1"/>
  <c r="AU31" i="50"/>
  <c r="AW31" i="50" s="1"/>
  <c r="BS31" i="50"/>
  <c r="BU31" i="50" s="1"/>
  <c r="CQ31" i="50"/>
  <c r="BA31" i="50"/>
  <c r="BG31" i="50"/>
  <c r="BI31" i="50" s="1"/>
  <c r="AC31" i="50"/>
  <c r="BM31" i="50"/>
  <c r="CK31" i="50"/>
  <c r="CM31" i="50" s="1"/>
  <c r="DC31" i="50"/>
  <c r="DU31" i="50"/>
  <c r="DW31" i="50" s="1"/>
  <c r="DO31" i="50"/>
  <c r="DQ31" i="50" s="1"/>
  <c r="EA31" i="50"/>
  <c r="EC31" i="50" s="1"/>
  <c r="EG31" i="50"/>
  <c r="EI31" i="50" s="1"/>
  <c r="BY31" i="50"/>
  <c r="CA31" i="50" s="1"/>
  <c r="AN32" i="50"/>
  <c r="AP32" i="50" s="1"/>
  <c r="K31" i="51" s="1"/>
  <c r="L31" i="51" s="1"/>
  <c r="G30" i="52"/>
  <c r="AH32" i="50"/>
  <c r="AJ32" i="50" s="1"/>
  <c r="F30" i="52"/>
  <c r="CS31" i="50" l="1"/>
  <c r="CP32" i="50" s="1"/>
  <c r="AE31" i="50"/>
  <c r="AB32" i="50" s="1"/>
  <c r="BC31" i="50"/>
  <c r="AZ32" i="50" s="1"/>
  <c r="AD29" i="52"/>
  <c r="AS29" i="52"/>
  <c r="AV29" i="52"/>
  <c r="AX29" i="52"/>
  <c r="AW29" i="52"/>
  <c r="AK29" i="52"/>
  <c r="AT29" i="52"/>
  <c r="AR29" i="52"/>
  <c r="AQ29" i="52"/>
  <c r="BA29" i="52"/>
  <c r="AY29" i="52"/>
  <c r="L37" i="24"/>
  <c r="AI29" i="52"/>
  <c r="BO31" i="50"/>
  <c r="BL32" i="50" s="1"/>
  <c r="AH29" i="52"/>
  <c r="AF29" i="52"/>
  <c r="AM29" i="52"/>
  <c r="AP29" i="52"/>
  <c r="AJ29" i="52"/>
  <c r="AO29" i="52"/>
  <c r="AL29" i="52"/>
  <c r="AE29" i="52"/>
  <c r="AN29" i="52"/>
  <c r="AZ29" i="52"/>
  <c r="DE31" i="50"/>
  <c r="DB32" i="50" s="1"/>
  <c r="AU29" i="52"/>
  <c r="AC37" i="24"/>
  <c r="AB37" i="24" s="1"/>
  <c r="S31" i="50"/>
  <c r="P32" i="50" s="1"/>
  <c r="AG29" i="52"/>
  <c r="AK32" i="50"/>
  <c r="M31" i="51"/>
  <c r="N31" i="51" s="1"/>
  <c r="P31" i="51" s="1"/>
  <c r="R31" i="51" s="1"/>
  <c r="T31" i="51" s="1"/>
  <c r="V31" i="51" s="1"/>
  <c r="AG31" i="51"/>
  <c r="AI31" i="51" s="1"/>
  <c r="AE31" i="51" s="1"/>
  <c r="AO32" i="50"/>
  <c r="AQ32" i="50" s="1"/>
  <c r="BX32" i="50"/>
  <c r="M30" i="52"/>
  <c r="EF32" i="50"/>
  <c r="W30" i="52"/>
  <c r="DZ32" i="50"/>
  <c r="V30" i="52"/>
  <c r="DN32" i="50"/>
  <c r="T30" i="52"/>
  <c r="DT32" i="50"/>
  <c r="U30" i="52"/>
  <c r="CJ32" i="50"/>
  <c r="O30" i="52"/>
  <c r="BF32" i="50"/>
  <c r="J30" i="52"/>
  <c r="BR32" i="50"/>
  <c r="L30" i="52"/>
  <c r="AT32" i="50"/>
  <c r="H30" i="52"/>
  <c r="V32" i="50"/>
  <c r="D30" i="52"/>
  <c r="CD32" i="50"/>
  <c r="N30" i="52"/>
  <c r="P30" i="52" l="1"/>
  <c r="I30" i="52"/>
  <c r="E30" i="52"/>
  <c r="K30" i="52"/>
  <c r="O31" i="50"/>
  <c r="J38" i="24" s="1"/>
  <c r="AD38" i="24" s="1"/>
  <c r="C30" i="52"/>
  <c r="R30" i="52"/>
  <c r="N31" i="50"/>
  <c r="I38" i="24" s="1"/>
  <c r="AC38" i="24" s="1"/>
  <c r="AB38" i="24" s="1"/>
  <c r="AN33" i="50"/>
  <c r="AP33" i="50" s="1"/>
  <c r="K32" i="51" s="1"/>
  <c r="L32" i="51" s="1"/>
  <c r="G31" i="52"/>
  <c r="Q32" i="50"/>
  <c r="S32" i="50" s="1"/>
  <c r="W32" i="50"/>
  <c r="Y32" i="50" s="1"/>
  <c r="CE32" i="50"/>
  <c r="CG32" i="50" s="1"/>
  <c r="BA32" i="50"/>
  <c r="BC32" i="50" s="1"/>
  <c r="AU32" i="50"/>
  <c r="AW32" i="50" s="1"/>
  <c r="CK32" i="50"/>
  <c r="CM32" i="50" s="1"/>
  <c r="BG32" i="50"/>
  <c r="BI32" i="50" s="1"/>
  <c r="BS32" i="50"/>
  <c r="BU32" i="50" s="1"/>
  <c r="BM32" i="50"/>
  <c r="BO32" i="50" s="1"/>
  <c r="CQ32" i="50"/>
  <c r="CS32" i="50" s="1"/>
  <c r="EA32" i="50"/>
  <c r="EC32" i="50" s="1"/>
  <c r="DU32" i="50"/>
  <c r="DW32" i="50" s="1"/>
  <c r="DC32" i="50"/>
  <c r="DE32" i="50" s="1"/>
  <c r="AC32" i="50"/>
  <c r="AE32" i="50" s="1"/>
  <c r="EG32" i="50"/>
  <c r="EI32" i="50" s="1"/>
  <c r="BY32" i="50"/>
  <c r="CA32" i="50" s="1"/>
  <c r="DO32" i="50"/>
  <c r="DQ32" i="50" s="1"/>
  <c r="AH33" i="50"/>
  <c r="AJ33" i="50" s="1"/>
  <c r="F31" i="52"/>
  <c r="AI30" i="52" l="1"/>
  <c r="AP30" i="52"/>
  <c r="AG30" i="52"/>
  <c r="AR30" i="52"/>
  <c r="AT30" i="52"/>
  <c r="AZ30" i="52"/>
  <c r="AY30" i="52"/>
  <c r="AV30" i="52"/>
  <c r="AW30" i="52"/>
  <c r="BA30" i="52"/>
  <c r="AN30" i="52"/>
  <c r="AS30" i="52"/>
  <c r="AL30" i="52"/>
  <c r="AM30" i="52"/>
  <c r="AK30" i="52"/>
  <c r="AU30" i="52"/>
  <c r="AF30" i="52"/>
  <c r="AD30" i="52"/>
  <c r="AJ30" i="52"/>
  <c r="AQ30" i="52"/>
  <c r="AO30" i="52"/>
  <c r="AX30" i="52"/>
  <c r="AE30" i="52"/>
  <c r="AH30" i="52"/>
  <c r="L38" i="24"/>
  <c r="AK33" i="50"/>
  <c r="M32" i="51"/>
  <c r="N32" i="51" s="1"/>
  <c r="P32" i="51" s="1"/>
  <c r="R32" i="51" s="1"/>
  <c r="T32" i="51" s="1"/>
  <c r="V32" i="51" s="1"/>
  <c r="AO33" i="50"/>
  <c r="AQ33" i="50" s="1"/>
  <c r="AG32" i="51"/>
  <c r="AI32" i="51" s="1"/>
  <c r="AE32" i="51" s="1"/>
  <c r="DN33" i="50"/>
  <c r="T31" i="52"/>
  <c r="BX33" i="50"/>
  <c r="M31" i="52"/>
  <c r="EF33" i="50"/>
  <c r="W31" i="52"/>
  <c r="AB33" i="50"/>
  <c r="E31" i="52"/>
  <c r="DB33" i="50"/>
  <c r="R31" i="52"/>
  <c r="DT33" i="50"/>
  <c r="U31" i="52"/>
  <c r="DZ33" i="50"/>
  <c r="V31" i="52"/>
  <c r="CP33" i="50"/>
  <c r="P31" i="52"/>
  <c r="BL33" i="50"/>
  <c r="K31" i="52"/>
  <c r="BR33" i="50"/>
  <c r="L31" i="52"/>
  <c r="BF33" i="50"/>
  <c r="J31" i="52"/>
  <c r="CJ33" i="50"/>
  <c r="O31" i="52"/>
  <c r="AT33" i="50"/>
  <c r="H31" i="52"/>
  <c r="O32" i="50"/>
  <c r="J39" i="24" s="1"/>
  <c r="AD39" i="24" s="1"/>
  <c r="AZ33" i="50"/>
  <c r="I31" i="52"/>
  <c r="CD33" i="50"/>
  <c r="N31" i="52"/>
  <c r="V33" i="50"/>
  <c r="D31" i="52"/>
  <c r="P33" i="50"/>
  <c r="N32" i="50"/>
  <c r="I39" i="24" s="1"/>
  <c r="C31" i="52"/>
  <c r="AH31" i="52" l="1"/>
  <c r="BA31" i="52"/>
  <c r="AZ31" i="52"/>
  <c r="AR31" i="52"/>
  <c r="AD31" i="52"/>
  <c r="AT31" i="52"/>
  <c r="AY31" i="52"/>
  <c r="AG31" i="52"/>
  <c r="L39" i="24"/>
  <c r="AC39" i="24"/>
  <c r="AB39" i="24" s="1"/>
  <c r="AE31" i="52"/>
  <c r="AO31" i="52"/>
  <c r="AJ31" i="52"/>
  <c r="AI31" i="52"/>
  <c r="AP31" i="52"/>
  <c r="AK31" i="52"/>
  <c r="AM31" i="52"/>
  <c r="AL31" i="52"/>
  <c r="AQ31" i="52"/>
  <c r="AW31" i="52"/>
  <c r="AV31" i="52"/>
  <c r="AS31" i="52"/>
  <c r="AF31" i="52"/>
  <c r="AX31" i="52"/>
  <c r="AN31" i="52"/>
  <c r="AU31" i="52"/>
  <c r="CE33" i="50"/>
  <c r="CG33" i="50" s="1"/>
  <c r="W33" i="50"/>
  <c r="Y33" i="50" s="1"/>
  <c r="Q33" i="50"/>
  <c r="S33" i="50" s="1"/>
  <c r="AU33" i="50"/>
  <c r="AW33" i="50" s="1"/>
  <c r="BA33" i="50"/>
  <c r="BC33" i="50" s="1"/>
  <c r="BS33" i="50"/>
  <c r="BU33" i="50" s="1"/>
  <c r="CK33" i="50"/>
  <c r="CM33" i="50" s="1"/>
  <c r="BG33" i="50"/>
  <c r="BI33" i="50" s="1"/>
  <c r="BM33" i="50"/>
  <c r="BO33" i="50" s="1"/>
  <c r="CQ33" i="50"/>
  <c r="CS33" i="50" s="1"/>
  <c r="BY33" i="50"/>
  <c r="CA33" i="50" s="1"/>
  <c r="EG33" i="50"/>
  <c r="EI33" i="50" s="1"/>
  <c r="DU33" i="50"/>
  <c r="DW33" i="50" s="1"/>
  <c r="DC33" i="50"/>
  <c r="DE33" i="50" s="1"/>
  <c r="AC33" i="50"/>
  <c r="AE33" i="50" s="1"/>
  <c r="EA33" i="50"/>
  <c r="EC33" i="50" s="1"/>
  <c r="DO33" i="50"/>
  <c r="DQ33" i="50" s="1"/>
  <c r="AN34" i="50"/>
  <c r="AP34" i="50" s="1"/>
  <c r="K33" i="51" s="1"/>
  <c r="L33" i="51" s="1"/>
  <c r="G32" i="52"/>
  <c r="AH34" i="50"/>
  <c r="F32" i="52"/>
  <c r="U38" i="51"/>
  <c r="O38" i="51"/>
  <c r="Q38" i="51"/>
  <c r="S38" i="51"/>
  <c r="AJ34" i="50" l="1"/>
  <c r="AK34" i="50" s="1"/>
  <c r="DN34" i="50"/>
  <c r="T32" i="52"/>
  <c r="DZ34" i="50"/>
  <c r="V32" i="52"/>
  <c r="AB34" i="50"/>
  <c r="E32" i="52"/>
  <c r="DB34" i="50"/>
  <c r="R32" i="52"/>
  <c r="DT34" i="50"/>
  <c r="U32" i="52"/>
  <c r="EF34" i="50"/>
  <c r="W32" i="52"/>
  <c r="BX34" i="50"/>
  <c r="M32" i="52"/>
  <c r="CP34" i="50"/>
  <c r="P32" i="52"/>
  <c r="BL34" i="50"/>
  <c r="K32" i="52"/>
  <c r="BF34" i="50"/>
  <c r="J32" i="52"/>
  <c r="CJ34" i="50"/>
  <c r="O32" i="52"/>
  <c r="BR34" i="50"/>
  <c r="L32" i="52"/>
  <c r="AZ34" i="50"/>
  <c r="I32" i="52"/>
  <c r="O33" i="50"/>
  <c r="J40" i="24" s="1"/>
  <c r="AD40" i="24" s="1"/>
  <c r="AT34" i="50"/>
  <c r="H32" i="52"/>
  <c r="P34" i="50"/>
  <c r="N33" i="50"/>
  <c r="I40" i="24" s="1"/>
  <c r="C32" i="52"/>
  <c r="V34" i="50"/>
  <c r="D32" i="52"/>
  <c r="CD34" i="50"/>
  <c r="N32" i="52"/>
  <c r="AO32" i="52" l="1"/>
  <c r="AE32" i="52"/>
  <c r="AR32" i="52"/>
  <c r="AT32" i="52"/>
  <c r="AD32" i="52"/>
  <c r="AZ32" i="52"/>
  <c r="AY32" i="52"/>
  <c r="BA32" i="52"/>
  <c r="AG32" i="52"/>
  <c r="AH32" i="52"/>
  <c r="L40" i="24"/>
  <c r="AC40" i="24"/>
  <c r="AB40" i="24" s="1"/>
  <c r="AI32" i="52"/>
  <c r="AJ32" i="52"/>
  <c r="AM32" i="52"/>
  <c r="AP32" i="52"/>
  <c r="AK32" i="52"/>
  <c r="AL32" i="52"/>
  <c r="AQ32" i="52"/>
  <c r="AN32" i="52"/>
  <c r="AX32" i="52"/>
  <c r="AV32" i="52"/>
  <c r="AS32" i="52"/>
  <c r="AF32" i="52"/>
  <c r="AW32" i="52"/>
  <c r="AU32" i="52"/>
  <c r="AH35" i="50"/>
  <c r="AJ35" i="50" s="1"/>
  <c r="F33" i="52"/>
  <c r="M33" i="51"/>
  <c r="N33" i="51" s="1"/>
  <c r="P33" i="51" s="1"/>
  <c r="R33" i="51" s="1"/>
  <c r="T33" i="51" s="1"/>
  <c r="V33" i="51" s="1"/>
  <c r="AO34" i="50"/>
  <c r="AQ34" i="50" s="1"/>
  <c r="AG33" i="51"/>
  <c r="AI33" i="51" s="1"/>
  <c r="AE33" i="51" s="1"/>
  <c r="Q34" i="50" l="1"/>
  <c r="S34" i="50" s="1"/>
  <c r="AC34" i="50"/>
  <c r="AE34" i="50" s="1"/>
  <c r="AU34" i="50"/>
  <c r="AW34" i="50" s="1"/>
  <c r="CE34" i="50"/>
  <c r="CG34" i="50" s="1"/>
  <c r="BG34" i="50"/>
  <c r="BI34" i="50" s="1"/>
  <c r="BA34" i="50"/>
  <c r="BC34" i="50" s="1"/>
  <c r="BY34" i="50"/>
  <c r="CA34" i="50" s="1"/>
  <c r="EA34" i="50"/>
  <c r="EC34" i="50" s="1"/>
  <c r="W34" i="50"/>
  <c r="Y34" i="50" s="1"/>
  <c r="CK34" i="50"/>
  <c r="CM34" i="50" s="1"/>
  <c r="CQ34" i="50"/>
  <c r="CS34" i="50" s="1"/>
  <c r="EG34" i="50"/>
  <c r="EI34" i="50" s="1"/>
  <c r="DU34" i="50"/>
  <c r="DW34" i="50" s="1"/>
  <c r="DO34" i="50"/>
  <c r="DQ34" i="50" s="1"/>
  <c r="BM34" i="50"/>
  <c r="BO34" i="50" s="1"/>
  <c r="DC34" i="50"/>
  <c r="DE34" i="50" s="1"/>
  <c r="BS34" i="50"/>
  <c r="BU34" i="50" s="1"/>
  <c r="G33" i="52"/>
  <c r="AN35" i="50"/>
  <c r="AP35" i="50" s="1"/>
  <c r="K34" i="51" s="1"/>
  <c r="L34" i="51" s="1"/>
  <c r="AK35" i="50"/>
  <c r="M34" i="51"/>
  <c r="AO35" i="50"/>
  <c r="AG34" i="51" l="1"/>
  <c r="AI34" i="51" s="1"/>
  <c r="AE34" i="51" s="1"/>
  <c r="CE35" i="50" s="1"/>
  <c r="N34" i="51"/>
  <c r="P34" i="51" s="1"/>
  <c r="R34" i="51" s="1"/>
  <c r="T34" i="51" s="1"/>
  <c r="V34" i="51" s="1"/>
  <c r="AQ35" i="50"/>
  <c r="G34" i="52" s="1"/>
  <c r="EA35" i="50"/>
  <c r="AH36" i="50"/>
  <c r="AJ36" i="50" s="1"/>
  <c r="F34" i="52"/>
  <c r="BR35" i="50"/>
  <c r="L33" i="52"/>
  <c r="DB35" i="50"/>
  <c r="R33" i="52"/>
  <c r="BL35" i="50"/>
  <c r="K33" i="52"/>
  <c r="DN35" i="50"/>
  <c r="T33" i="52"/>
  <c r="DT35" i="50"/>
  <c r="U33" i="52"/>
  <c r="EF35" i="50"/>
  <c r="W33" i="52"/>
  <c r="CP35" i="50"/>
  <c r="P33" i="52"/>
  <c r="CJ35" i="50"/>
  <c r="O33" i="52"/>
  <c r="V35" i="50"/>
  <c r="D33" i="52"/>
  <c r="DZ35" i="50"/>
  <c r="V33" i="52"/>
  <c r="BX35" i="50"/>
  <c r="M33" i="52"/>
  <c r="O34" i="50"/>
  <c r="J41" i="24" s="1"/>
  <c r="AD41" i="24" s="1"/>
  <c r="AZ35" i="50"/>
  <c r="I33" i="52"/>
  <c r="BF35" i="50"/>
  <c r="J33" i="52"/>
  <c r="CD35" i="50"/>
  <c r="N33" i="52"/>
  <c r="AT35" i="50"/>
  <c r="H33" i="52"/>
  <c r="AB35" i="50"/>
  <c r="E33" i="52"/>
  <c r="P35" i="50"/>
  <c r="N34" i="50"/>
  <c r="I41" i="24" s="1"/>
  <c r="C33" i="52"/>
  <c r="BY35" i="50" l="1"/>
  <c r="DU35" i="50"/>
  <c r="DW35" i="50" s="1"/>
  <c r="CK35" i="50"/>
  <c r="DO35" i="50"/>
  <c r="DQ35" i="50" s="1"/>
  <c r="DC35" i="50"/>
  <c r="DE35" i="50" s="1"/>
  <c r="Q35" i="50"/>
  <c r="S35" i="50" s="1"/>
  <c r="BM35" i="50"/>
  <c r="BO35" i="50" s="1"/>
  <c r="BG35" i="50"/>
  <c r="BI35" i="50" s="1"/>
  <c r="W35" i="50"/>
  <c r="Y35" i="50" s="1"/>
  <c r="AU35" i="50"/>
  <c r="AW35" i="50" s="1"/>
  <c r="AN36" i="50"/>
  <c r="AP36" i="50" s="1"/>
  <c r="K35" i="51" s="1"/>
  <c r="L35" i="51" s="1"/>
  <c r="AC35" i="50"/>
  <c r="AE35" i="50" s="1"/>
  <c r="CQ35" i="50"/>
  <c r="CS35" i="50" s="1"/>
  <c r="EG35" i="50"/>
  <c r="EI35" i="50" s="1"/>
  <c r="BS35" i="50"/>
  <c r="BU35" i="50" s="1"/>
  <c r="BA35" i="50"/>
  <c r="BC35" i="50" s="1"/>
  <c r="AD33" i="52"/>
  <c r="AR33" i="52"/>
  <c r="AY33" i="52"/>
  <c r="AZ33" i="52"/>
  <c r="AT33" i="52"/>
  <c r="BA33" i="52"/>
  <c r="AG33" i="52"/>
  <c r="AH33" i="52"/>
  <c r="L41" i="24"/>
  <c r="AC41" i="24"/>
  <c r="AB41" i="24" s="1"/>
  <c r="AF33" i="52"/>
  <c r="AI33" i="52"/>
  <c r="AO33" i="52"/>
  <c r="AK33" i="52"/>
  <c r="AJ33" i="52"/>
  <c r="AN33" i="52"/>
  <c r="AW33" i="52"/>
  <c r="AE33" i="52"/>
  <c r="AP33" i="52"/>
  <c r="AQ33" i="52"/>
  <c r="AX33" i="52"/>
  <c r="AV33" i="52"/>
  <c r="AU33" i="52"/>
  <c r="AL33" i="52"/>
  <c r="AS33" i="52"/>
  <c r="AM33" i="52"/>
  <c r="AK36" i="50"/>
  <c r="M35" i="51"/>
  <c r="AO36" i="50"/>
  <c r="EC35" i="50"/>
  <c r="CM35" i="50"/>
  <c r="CA35" i="50"/>
  <c r="CG35" i="50"/>
  <c r="N35" i="51" l="1"/>
  <c r="P35" i="51" s="1"/>
  <c r="R35" i="51" s="1"/>
  <c r="T35" i="51" s="1"/>
  <c r="V35" i="51" s="1"/>
  <c r="AQ36" i="50"/>
  <c r="AN37" i="50" s="1"/>
  <c r="AP37" i="50" s="1"/>
  <c r="K36" i="51" s="1"/>
  <c r="L36" i="51" s="1"/>
  <c r="AG35" i="51"/>
  <c r="AI35" i="51" s="1"/>
  <c r="AE35" i="51" s="1"/>
  <c r="BY36" i="50" s="1"/>
  <c r="CD36" i="50"/>
  <c r="N34" i="52"/>
  <c r="V36" i="50"/>
  <c r="D34" i="52"/>
  <c r="AZ36" i="50"/>
  <c r="I34" i="52"/>
  <c r="O35" i="50"/>
  <c r="J42" i="24" s="1"/>
  <c r="AD42" i="24" s="1"/>
  <c r="BR36" i="50"/>
  <c r="L34" i="52"/>
  <c r="CP36" i="50"/>
  <c r="P34" i="52"/>
  <c r="AB36" i="50"/>
  <c r="E34" i="52"/>
  <c r="BF36" i="50"/>
  <c r="J34" i="52"/>
  <c r="AT36" i="50"/>
  <c r="H34" i="52"/>
  <c r="BL36" i="50"/>
  <c r="K34" i="52"/>
  <c r="P36" i="50"/>
  <c r="N35" i="50"/>
  <c r="I42" i="24" s="1"/>
  <c r="C34" i="52"/>
  <c r="BX36" i="50"/>
  <c r="M34" i="52"/>
  <c r="DB36" i="50"/>
  <c r="R34" i="52"/>
  <c r="DN36" i="50"/>
  <c r="T34" i="52"/>
  <c r="CJ36" i="50"/>
  <c r="O34" i="52"/>
  <c r="DZ36" i="50"/>
  <c r="V34" i="52"/>
  <c r="EF36" i="50"/>
  <c r="W34" i="52"/>
  <c r="DT36" i="50"/>
  <c r="U34" i="52"/>
  <c r="AH37" i="50"/>
  <c r="AJ37" i="50" s="1"/>
  <c r="F35" i="52"/>
  <c r="DC36" i="50" l="1"/>
  <c r="DE36" i="50" s="1"/>
  <c r="DB37" i="50" s="1"/>
  <c r="BM36" i="50"/>
  <c r="BO36" i="50" s="1"/>
  <c r="BL37" i="50" s="1"/>
  <c r="CQ36" i="50"/>
  <c r="CS36" i="50" s="1"/>
  <c r="P35" i="52" s="1"/>
  <c r="EA36" i="50"/>
  <c r="EC36" i="50" s="1"/>
  <c r="V35" i="52" s="1"/>
  <c r="BS36" i="50"/>
  <c r="BU36" i="50" s="1"/>
  <c r="BR37" i="50" s="1"/>
  <c r="BA36" i="50"/>
  <c r="BC36" i="50" s="1"/>
  <c r="BG36" i="50"/>
  <c r="BI36" i="50" s="1"/>
  <c r="BF37" i="50" s="1"/>
  <c r="W36" i="50"/>
  <c r="Y36" i="50" s="1"/>
  <c r="V37" i="50" s="1"/>
  <c r="CE36" i="50"/>
  <c r="CG36" i="50" s="1"/>
  <c r="G35" i="52"/>
  <c r="EG36" i="50"/>
  <c r="EI36" i="50" s="1"/>
  <c r="W35" i="52" s="1"/>
  <c r="CK36" i="50"/>
  <c r="CM36" i="50" s="1"/>
  <c r="CJ37" i="50" s="1"/>
  <c r="DO36" i="50"/>
  <c r="DQ36" i="50" s="1"/>
  <c r="DN37" i="50" s="1"/>
  <c r="DU36" i="50"/>
  <c r="DW36" i="50" s="1"/>
  <c r="DT37" i="50" s="1"/>
  <c r="AU36" i="50"/>
  <c r="AW36" i="50" s="1"/>
  <c r="AT37" i="50" s="1"/>
  <c r="AC36" i="50"/>
  <c r="AE36" i="50" s="1"/>
  <c r="E35" i="52" s="1"/>
  <c r="Q36" i="50"/>
  <c r="S36" i="50" s="1"/>
  <c r="P37" i="50" s="1"/>
  <c r="CA36" i="50"/>
  <c r="M35" i="52" s="1"/>
  <c r="AV34" i="52"/>
  <c r="AK37" i="50"/>
  <c r="M36" i="51"/>
  <c r="N36" i="51" s="1"/>
  <c r="P36" i="51" s="1"/>
  <c r="R36" i="51" s="1"/>
  <c r="T36" i="51" s="1"/>
  <c r="V36" i="51" s="1"/>
  <c r="AO37" i="50"/>
  <c r="AQ37" i="50" s="1"/>
  <c r="AG36" i="51"/>
  <c r="AI36" i="51" s="1"/>
  <c r="AE36" i="51" s="1"/>
  <c r="R35" i="52"/>
  <c r="AX34" i="52"/>
  <c r="AW34" i="52"/>
  <c r="AP34" i="52"/>
  <c r="AU34" i="52"/>
  <c r="AS34" i="52"/>
  <c r="AN34" i="52"/>
  <c r="AT34" i="52"/>
  <c r="AZ34" i="52"/>
  <c r="AR34" i="52"/>
  <c r="AY34" i="52"/>
  <c r="AD34" i="52"/>
  <c r="BA34" i="52"/>
  <c r="AG34" i="52"/>
  <c r="AH34" i="52"/>
  <c r="L42" i="24"/>
  <c r="AC42" i="24"/>
  <c r="AB42" i="24" s="1"/>
  <c r="AL34" i="52"/>
  <c r="AI34" i="52"/>
  <c r="AK34" i="52"/>
  <c r="AF34" i="52"/>
  <c r="AQ34" i="52"/>
  <c r="AM34" i="52"/>
  <c r="AJ34" i="52"/>
  <c r="AE34" i="52"/>
  <c r="AO34" i="52"/>
  <c r="AZ37" i="50" l="1"/>
  <c r="I35" i="52"/>
  <c r="D35" i="52"/>
  <c r="T35" i="52"/>
  <c r="L35" i="52"/>
  <c r="H35" i="52"/>
  <c r="O35" i="52"/>
  <c r="CP37" i="50"/>
  <c r="K35" i="52"/>
  <c r="DZ37" i="50"/>
  <c r="J35" i="52"/>
  <c r="BX37" i="50"/>
  <c r="EF37" i="50"/>
  <c r="N36" i="50"/>
  <c r="I43" i="24" s="1"/>
  <c r="AC43" i="24" s="1"/>
  <c r="AB43" i="24" s="1"/>
  <c r="AB37" i="50"/>
  <c r="U35" i="52"/>
  <c r="C35" i="52"/>
  <c r="CD37" i="50"/>
  <c r="N35" i="52"/>
  <c r="O36" i="50"/>
  <c r="J43" i="24" s="1"/>
  <c r="AD43" i="24" s="1"/>
  <c r="CE37" i="50"/>
  <c r="W37" i="50"/>
  <c r="Y37" i="50" s="1"/>
  <c r="BA37" i="50"/>
  <c r="BC37" i="50" s="1"/>
  <c r="AC37" i="50"/>
  <c r="BS37" i="50"/>
  <c r="BU37" i="50" s="1"/>
  <c r="Q37" i="50"/>
  <c r="S37" i="50" s="1"/>
  <c r="BG37" i="50"/>
  <c r="BI37" i="50" s="1"/>
  <c r="BY37" i="50"/>
  <c r="BM37" i="50"/>
  <c r="BO37" i="50" s="1"/>
  <c r="CK37" i="50"/>
  <c r="CM37" i="50" s="1"/>
  <c r="CQ37" i="50"/>
  <c r="DC37" i="50"/>
  <c r="DE37" i="50" s="1"/>
  <c r="DU37" i="50"/>
  <c r="DW37" i="50" s="1"/>
  <c r="AU37" i="50"/>
  <c r="AW37" i="50" s="1"/>
  <c r="DO37" i="50"/>
  <c r="DQ37" i="50" s="1"/>
  <c r="EA37" i="50"/>
  <c r="EC37" i="50" s="1"/>
  <c r="EG37" i="50"/>
  <c r="EI37" i="50" s="1"/>
  <c r="AN38" i="50"/>
  <c r="AP38" i="50" s="1"/>
  <c r="K37" i="51" s="1"/>
  <c r="L37" i="51" s="1"/>
  <c r="G36" i="52"/>
  <c r="AH38" i="50"/>
  <c r="F36" i="52"/>
  <c r="CS37" i="50" l="1"/>
  <c r="CA37" i="50"/>
  <c r="BX38" i="50" s="1"/>
  <c r="AE37" i="50"/>
  <c r="AZ35" i="52"/>
  <c r="BA35" i="52"/>
  <c r="AT35" i="52"/>
  <c r="AO35" i="52"/>
  <c r="AJ35" i="52"/>
  <c r="AM35" i="52"/>
  <c r="AN35" i="52"/>
  <c r="AQ35" i="52"/>
  <c r="AL35" i="52"/>
  <c r="AW35" i="52"/>
  <c r="L43" i="24"/>
  <c r="AV35" i="52"/>
  <c r="AD35" i="52"/>
  <c r="AK35" i="52"/>
  <c r="AE35" i="52"/>
  <c r="AG35" i="52"/>
  <c r="AX35" i="52"/>
  <c r="AI35" i="52"/>
  <c r="AP35" i="52"/>
  <c r="AR35" i="52"/>
  <c r="AU35" i="52"/>
  <c r="AY35" i="52"/>
  <c r="AF35" i="52"/>
  <c r="AH35" i="52"/>
  <c r="AS35" i="52"/>
  <c r="CG37" i="50"/>
  <c r="CD38" i="50" s="1"/>
  <c r="AJ38" i="50"/>
  <c r="AK38" i="50" s="1"/>
  <c r="EF38" i="50"/>
  <c r="W36" i="52"/>
  <c r="DZ38" i="50"/>
  <c r="V36" i="52"/>
  <c r="DN38" i="50"/>
  <c r="T36" i="52"/>
  <c r="AT38" i="50"/>
  <c r="H36" i="52"/>
  <c r="DT38" i="50"/>
  <c r="U36" i="52"/>
  <c r="R36" i="52"/>
  <c r="DB38" i="50"/>
  <c r="CP38" i="50"/>
  <c r="P36" i="52"/>
  <c r="CJ38" i="50"/>
  <c r="O36" i="52"/>
  <c r="BL38" i="50"/>
  <c r="K36" i="52"/>
  <c r="BF38" i="50"/>
  <c r="J36" i="52"/>
  <c r="P38" i="50"/>
  <c r="C36" i="52"/>
  <c r="BR38" i="50"/>
  <c r="L36" i="52"/>
  <c r="AZ38" i="50"/>
  <c r="I36" i="52"/>
  <c r="V38" i="50"/>
  <c r="D36" i="52"/>
  <c r="M36" i="52" l="1"/>
  <c r="N37" i="50"/>
  <c r="I44" i="24" s="1"/>
  <c r="AC44" i="24" s="1"/>
  <c r="AB44" i="24" s="1"/>
  <c r="E36" i="52"/>
  <c r="AB38" i="50"/>
  <c r="O37" i="50"/>
  <c r="J44" i="24" s="1"/>
  <c r="AD44" i="24" s="1"/>
  <c r="N36" i="52"/>
  <c r="AH39" i="50"/>
  <c r="AJ39" i="50" s="1"/>
  <c r="F37" i="52"/>
  <c r="M37" i="51"/>
  <c r="N37" i="51" s="1"/>
  <c r="P37" i="51" s="1"/>
  <c r="R37" i="51" s="1"/>
  <c r="T37" i="51" s="1"/>
  <c r="V37" i="51" s="1"/>
  <c r="AG37" i="51"/>
  <c r="AI37" i="51" s="1"/>
  <c r="AE37" i="51" s="1"/>
  <c r="AO38" i="50"/>
  <c r="AQ38" i="50" s="1"/>
  <c r="AO36" i="52" l="1"/>
  <c r="AQ36" i="52"/>
  <c r="AN36" i="52"/>
  <c r="AK36" i="52"/>
  <c r="AG36" i="52"/>
  <c r="AX36" i="52"/>
  <c r="AD36" i="52"/>
  <c r="AW36" i="52"/>
  <c r="AR36" i="52"/>
  <c r="AU36" i="52"/>
  <c r="AZ36" i="52"/>
  <c r="AL36" i="52"/>
  <c r="AI36" i="52"/>
  <c r="BA36" i="52"/>
  <c r="AV36" i="52"/>
  <c r="AT36" i="52"/>
  <c r="AS36" i="52"/>
  <c r="AP36" i="52"/>
  <c r="AM36" i="52"/>
  <c r="AY36" i="52"/>
  <c r="AJ36" i="52"/>
  <c r="AF36" i="52"/>
  <c r="AH36" i="52"/>
  <c r="AE36" i="52"/>
  <c r="L44" i="24"/>
  <c r="AN39" i="50"/>
  <c r="AP39" i="50" s="1"/>
  <c r="K38" i="51" s="1"/>
  <c r="L38" i="51" s="1"/>
  <c r="G37" i="52"/>
  <c r="W38" i="50"/>
  <c r="Y38" i="50" s="1"/>
  <c r="BG38" i="50"/>
  <c r="BI38" i="50" s="1"/>
  <c r="BA38" i="50"/>
  <c r="BC38" i="50" s="1"/>
  <c r="CE38" i="50"/>
  <c r="CG38" i="50" s="1"/>
  <c r="AC38" i="50"/>
  <c r="AE38" i="50" s="1"/>
  <c r="AU38" i="50"/>
  <c r="AW38" i="50" s="1"/>
  <c r="Q38" i="50"/>
  <c r="S38" i="50" s="1"/>
  <c r="EA38" i="50"/>
  <c r="EC38" i="50" s="1"/>
  <c r="BM38" i="50"/>
  <c r="BO38" i="50" s="1"/>
  <c r="BS38" i="50"/>
  <c r="BU38" i="50" s="1"/>
  <c r="CK38" i="50"/>
  <c r="CM38" i="50" s="1"/>
  <c r="BY38" i="50"/>
  <c r="CA38" i="50" s="1"/>
  <c r="EG38" i="50"/>
  <c r="EI38" i="50" s="1"/>
  <c r="DU38" i="50"/>
  <c r="DW38" i="50" s="1"/>
  <c r="CQ38" i="50"/>
  <c r="CS38" i="50" s="1"/>
  <c r="DO38" i="50"/>
  <c r="DQ38" i="50" s="1"/>
  <c r="DC38" i="50"/>
  <c r="DE38" i="50" s="1"/>
  <c r="AK39" i="50"/>
  <c r="AO39" i="50"/>
  <c r="M38" i="51"/>
  <c r="AG38" i="51" l="1"/>
  <c r="AI38" i="51" s="1"/>
  <c r="AE38" i="51" s="1"/>
  <c r="BY39" i="50" s="1"/>
  <c r="AQ39" i="50"/>
  <c r="AN40" i="50" s="1"/>
  <c r="AP40" i="50" s="1"/>
  <c r="K39" i="51" s="1"/>
  <c r="L39" i="51" s="1"/>
  <c r="N38" i="51"/>
  <c r="P38" i="51" s="1"/>
  <c r="R38" i="51" s="1"/>
  <c r="T38" i="51" s="1"/>
  <c r="V38" i="51" s="1"/>
  <c r="AH40" i="50"/>
  <c r="F38" i="52"/>
  <c r="DB39" i="50"/>
  <c r="R37" i="52"/>
  <c r="DN39" i="50"/>
  <c r="T37" i="52"/>
  <c r="CP39" i="50"/>
  <c r="P37" i="52"/>
  <c r="DT39" i="50"/>
  <c r="U37" i="52"/>
  <c r="EF39" i="50"/>
  <c r="W37" i="52"/>
  <c r="BX39" i="50"/>
  <c r="M37" i="52"/>
  <c r="CJ39" i="50"/>
  <c r="O37" i="52"/>
  <c r="BR39" i="50"/>
  <c r="L37" i="52"/>
  <c r="BL39" i="50"/>
  <c r="K37" i="52"/>
  <c r="DZ39" i="50"/>
  <c r="V37" i="52"/>
  <c r="P39" i="50"/>
  <c r="N38" i="50"/>
  <c r="I45" i="24" s="1"/>
  <c r="C37" i="52"/>
  <c r="AT39" i="50"/>
  <c r="H37" i="52"/>
  <c r="AB39" i="50"/>
  <c r="E37" i="52"/>
  <c r="CD39" i="50"/>
  <c r="N37" i="52"/>
  <c r="O38" i="50"/>
  <c r="J45" i="24" s="1"/>
  <c r="AD45" i="24" s="1"/>
  <c r="AZ39" i="50"/>
  <c r="I37" i="52"/>
  <c r="BF39" i="50"/>
  <c r="J37" i="52"/>
  <c r="V39" i="50"/>
  <c r="D37" i="52"/>
  <c r="CK39" i="50" l="1"/>
  <c r="BA39" i="50"/>
  <c r="BM39" i="50"/>
  <c r="BG39" i="50"/>
  <c r="BI39" i="50" s="1"/>
  <c r="CQ39" i="50"/>
  <c r="CS39" i="50" s="1"/>
  <c r="BS39" i="50"/>
  <c r="BU39" i="50" s="1"/>
  <c r="DU39" i="50"/>
  <c r="DW39" i="50" s="1"/>
  <c r="Q39" i="50"/>
  <c r="S39" i="50" s="1"/>
  <c r="AC39" i="50"/>
  <c r="AE39" i="50" s="1"/>
  <c r="AU39" i="50"/>
  <c r="AW39" i="50" s="1"/>
  <c r="DO39" i="50"/>
  <c r="DQ39" i="50" s="1"/>
  <c r="EG39" i="50"/>
  <c r="EI39" i="50" s="1"/>
  <c r="W39" i="50"/>
  <c r="Y39" i="50" s="1"/>
  <c r="EA39" i="50"/>
  <c r="EC39" i="50" s="1"/>
  <c r="DC39" i="50"/>
  <c r="DE39" i="50" s="1"/>
  <c r="CE39" i="50"/>
  <c r="CG39" i="50" s="1"/>
  <c r="G38" i="52"/>
  <c r="AH37" i="52"/>
  <c r="AE37" i="52"/>
  <c r="AK37" i="52"/>
  <c r="AJ37" i="52"/>
  <c r="AO37" i="52"/>
  <c r="AF37" i="52"/>
  <c r="AI37" i="52"/>
  <c r="AD37" i="52"/>
  <c r="AR37" i="52"/>
  <c r="BA37" i="52"/>
  <c r="AT37" i="52"/>
  <c r="AY37" i="52"/>
  <c r="AZ37" i="52"/>
  <c r="AG37" i="52"/>
  <c r="L45" i="24"/>
  <c r="AC45" i="24"/>
  <c r="AB45" i="24" s="1"/>
  <c r="AW37" i="52"/>
  <c r="AL37" i="52"/>
  <c r="AM37" i="52"/>
  <c r="AP37" i="52"/>
  <c r="AN37" i="52"/>
  <c r="AX37" i="52"/>
  <c r="AV37" i="52"/>
  <c r="AQ37" i="52"/>
  <c r="AU37" i="52"/>
  <c r="AS37" i="52"/>
  <c r="AJ40" i="50"/>
  <c r="AK40" i="50" s="1"/>
  <c r="CA39" i="50"/>
  <c r="CM39" i="50"/>
  <c r="BO39" i="50"/>
  <c r="BC39" i="50"/>
  <c r="CD40" i="50" l="1"/>
  <c r="N38" i="52"/>
  <c r="V40" i="50"/>
  <c r="D38" i="52"/>
  <c r="P40" i="50"/>
  <c r="N39" i="50"/>
  <c r="I46" i="24" s="1"/>
  <c r="C38" i="52"/>
  <c r="BR40" i="50"/>
  <c r="L38" i="52"/>
  <c r="CP40" i="50"/>
  <c r="P38" i="52"/>
  <c r="AT40" i="50"/>
  <c r="H38" i="52"/>
  <c r="BF40" i="50"/>
  <c r="J38" i="52"/>
  <c r="AB40" i="50"/>
  <c r="AF39" i="50"/>
  <c r="E38" i="52"/>
  <c r="AZ40" i="50"/>
  <c r="I38" i="52"/>
  <c r="O39" i="50"/>
  <c r="J46" i="24" s="1"/>
  <c r="AD46" i="24" s="1"/>
  <c r="BL40" i="50"/>
  <c r="K38" i="52"/>
  <c r="O38" i="52"/>
  <c r="CJ40" i="50"/>
  <c r="BX40" i="50"/>
  <c r="M38" i="52"/>
  <c r="DB40" i="50"/>
  <c r="R38" i="52"/>
  <c r="EF40" i="50"/>
  <c r="W38" i="52"/>
  <c r="DT40" i="50"/>
  <c r="U38" i="52"/>
  <c r="DN40" i="50"/>
  <c r="T38" i="52"/>
  <c r="DZ40" i="50"/>
  <c r="V38" i="52"/>
  <c r="AH41" i="50"/>
  <c r="F39" i="52"/>
  <c r="M39" i="51"/>
  <c r="N39" i="51" s="1"/>
  <c r="P39" i="51" s="1"/>
  <c r="R39" i="51" s="1"/>
  <c r="T39" i="51" s="1"/>
  <c r="V39" i="51" s="1"/>
  <c r="AO40" i="50"/>
  <c r="AQ40" i="50" s="1"/>
  <c r="AG39" i="51"/>
  <c r="AI39" i="51" s="1"/>
  <c r="AE39" i="51" s="1"/>
  <c r="AW38" i="52" l="1"/>
  <c r="CE40" i="50"/>
  <c r="CG40" i="50" s="1"/>
  <c r="Q40" i="50"/>
  <c r="S40" i="50" s="1"/>
  <c r="BA40" i="50"/>
  <c r="BC40" i="50" s="1"/>
  <c r="W40" i="50"/>
  <c r="Y40" i="50" s="1"/>
  <c r="AU40" i="50"/>
  <c r="AW40" i="50" s="1"/>
  <c r="BG40" i="50"/>
  <c r="BI40" i="50" s="1"/>
  <c r="AC40" i="50"/>
  <c r="AE40" i="50" s="1"/>
  <c r="BY40" i="50"/>
  <c r="CA40" i="50" s="1"/>
  <c r="CQ40" i="50"/>
  <c r="CS40" i="50" s="1"/>
  <c r="EA40" i="50"/>
  <c r="EC40" i="50" s="1"/>
  <c r="BM40" i="50"/>
  <c r="BO40" i="50" s="1"/>
  <c r="CK40" i="50"/>
  <c r="CM40" i="50" s="1"/>
  <c r="DC40" i="50"/>
  <c r="DE40" i="50" s="1"/>
  <c r="BS40" i="50"/>
  <c r="BU40" i="50" s="1"/>
  <c r="DO40" i="50"/>
  <c r="DQ40" i="50" s="1"/>
  <c r="DU40" i="50"/>
  <c r="DW40" i="50" s="1"/>
  <c r="EG40" i="50"/>
  <c r="EI40" i="50" s="1"/>
  <c r="AN41" i="50"/>
  <c r="AP41" i="50" s="1"/>
  <c r="K40" i="51" s="1"/>
  <c r="L40" i="51" s="1"/>
  <c r="G39" i="52"/>
  <c r="AJ41" i="50"/>
  <c r="AK41" i="50" s="1"/>
  <c r="AU38" i="52"/>
  <c r="AV38" i="52"/>
  <c r="AX38" i="52"/>
  <c r="AS38" i="52"/>
  <c r="AN38" i="52"/>
  <c r="AP38" i="52"/>
  <c r="AL38" i="52"/>
  <c r="AJ38" i="52"/>
  <c r="AF38" i="52"/>
  <c r="AK38" i="52"/>
  <c r="AI38" i="52"/>
  <c r="AQ38" i="52"/>
  <c r="AM38" i="52"/>
  <c r="AY38" i="52"/>
  <c r="AD38" i="52"/>
  <c r="AZ38" i="52"/>
  <c r="BA38" i="52"/>
  <c r="AR38" i="52"/>
  <c r="AT38" i="52"/>
  <c r="AG38" i="52"/>
  <c r="AH38" i="52"/>
  <c r="L46" i="24"/>
  <c r="AC46" i="24"/>
  <c r="AB46" i="24" s="1"/>
  <c r="AE38" i="52"/>
  <c r="AO38" i="52"/>
  <c r="AT41" i="50" l="1"/>
  <c r="H39" i="52"/>
  <c r="EF41" i="50"/>
  <c r="W39" i="52"/>
  <c r="AH42" i="50"/>
  <c r="F40" i="52"/>
  <c r="M40" i="51"/>
  <c r="N40" i="51" s="1"/>
  <c r="P40" i="51" s="1"/>
  <c r="R40" i="51" s="1"/>
  <c r="T40" i="51" s="1"/>
  <c r="V40" i="51" s="1"/>
  <c r="AO41" i="50"/>
  <c r="AQ41" i="50" s="1"/>
  <c r="AG40" i="51"/>
  <c r="AI40" i="51" s="1"/>
  <c r="AE40" i="51" s="1"/>
  <c r="DT41" i="50"/>
  <c r="U39" i="52"/>
  <c r="DN41" i="50"/>
  <c r="T39" i="52"/>
  <c r="BR41" i="50"/>
  <c r="L39" i="52"/>
  <c r="DB41" i="50"/>
  <c r="R39" i="52"/>
  <c r="CJ41" i="50"/>
  <c r="O39" i="52"/>
  <c r="BL41" i="50"/>
  <c r="K39" i="52"/>
  <c r="DZ41" i="50"/>
  <c r="V39" i="52"/>
  <c r="CP41" i="50"/>
  <c r="P39" i="52"/>
  <c r="BX41" i="50"/>
  <c r="M39" i="52"/>
  <c r="AB41" i="50"/>
  <c r="E39" i="52"/>
  <c r="BF41" i="50"/>
  <c r="J39" i="52"/>
  <c r="V41" i="50"/>
  <c r="D39" i="52"/>
  <c r="O40" i="50"/>
  <c r="J47" i="24" s="1"/>
  <c r="AD47" i="24" s="1"/>
  <c r="AZ41" i="50"/>
  <c r="I39" i="52"/>
  <c r="P41" i="50"/>
  <c r="C39" i="52"/>
  <c r="N40" i="50"/>
  <c r="I47" i="24" s="1"/>
  <c r="CD41" i="50"/>
  <c r="N39" i="52"/>
  <c r="AO39" i="52" l="1"/>
  <c r="L47" i="24"/>
  <c r="AC47" i="24"/>
  <c r="AB47" i="24" s="1"/>
  <c r="BA39" i="52"/>
  <c r="AR39" i="52"/>
  <c r="AD39" i="52"/>
  <c r="AT39" i="52"/>
  <c r="AZ39" i="52"/>
  <c r="AY39" i="52"/>
  <c r="AG39" i="52"/>
  <c r="AH39" i="52"/>
  <c r="AJ39" i="52"/>
  <c r="AE39" i="52"/>
  <c r="AK39" i="52"/>
  <c r="AF39" i="52"/>
  <c r="AN39" i="52"/>
  <c r="AQ39" i="52"/>
  <c r="AW39" i="52"/>
  <c r="AL39" i="52"/>
  <c r="AP39" i="52"/>
  <c r="AS39" i="52"/>
  <c r="AM39" i="52"/>
  <c r="AU39" i="52"/>
  <c r="AV39" i="52"/>
  <c r="W41" i="50"/>
  <c r="Y41" i="50" s="1"/>
  <c r="AC41" i="50"/>
  <c r="AE41" i="50" s="1"/>
  <c r="AU41" i="50"/>
  <c r="AW41" i="50" s="1"/>
  <c r="Q41" i="50"/>
  <c r="S41" i="50" s="1"/>
  <c r="BS41" i="50"/>
  <c r="BU41" i="50" s="1"/>
  <c r="BG41" i="50"/>
  <c r="BI41" i="50" s="1"/>
  <c r="BY41" i="50"/>
  <c r="CA41" i="50" s="1"/>
  <c r="CE41" i="50"/>
  <c r="CG41" i="50" s="1"/>
  <c r="BA41" i="50"/>
  <c r="BC41" i="50" s="1"/>
  <c r="CQ41" i="50"/>
  <c r="CS41" i="50" s="1"/>
  <c r="BM41" i="50"/>
  <c r="BO41" i="50" s="1"/>
  <c r="CK41" i="50"/>
  <c r="CM41" i="50" s="1"/>
  <c r="DC41" i="50"/>
  <c r="DE41" i="50" s="1"/>
  <c r="EA41" i="50"/>
  <c r="EC41" i="50" s="1"/>
  <c r="DO41" i="50"/>
  <c r="DQ41" i="50" s="1"/>
  <c r="EG41" i="50"/>
  <c r="EI41" i="50" s="1"/>
  <c r="DU41" i="50"/>
  <c r="DW41" i="50" s="1"/>
  <c r="AN42" i="50"/>
  <c r="AP42" i="50" s="1"/>
  <c r="K41" i="51" s="1"/>
  <c r="L41" i="51" s="1"/>
  <c r="G40" i="52"/>
  <c r="AJ42" i="50"/>
  <c r="AK42" i="50" s="1"/>
  <c r="AX39" i="52"/>
  <c r="AI39" i="52"/>
  <c r="AH43" i="50" l="1"/>
  <c r="F41" i="52"/>
  <c r="M41" i="51"/>
  <c r="N41" i="51" s="1"/>
  <c r="P41" i="51" s="1"/>
  <c r="R41" i="51" s="1"/>
  <c r="T41" i="51" s="1"/>
  <c r="V41" i="51" s="1"/>
  <c r="AG41" i="51"/>
  <c r="AI41" i="51" s="1"/>
  <c r="AE41" i="51" s="1"/>
  <c r="AO42" i="50"/>
  <c r="AQ42" i="50" s="1"/>
  <c r="DT42" i="50"/>
  <c r="U40" i="52"/>
  <c r="EF42" i="50"/>
  <c r="W40" i="52"/>
  <c r="DN42" i="50"/>
  <c r="T40" i="52"/>
  <c r="DZ42" i="50"/>
  <c r="V40" i="52"/>
  <c r="DB42" i="50"/>
  <c r="R40" i="52"/>
  <c r="CJ42" i="50"/>
  <c r="O40" i="52"/>
  <c r="BL42" i="50"/>
  <c r="K40" i="52"/>
  <c r="CP42" i="50"/>
  <c r="P40" i="52"/>
  <c r="O41" i="50"/>
  <c r="J48" i="24" s="1"/>
  <c r="AD48" i="24" s="1"/>
  <c r="AZ42" i="50"/>
  <c r="I40" i="52"/>
  <c r="CD42" i="50"/>
  <c r="N40" i="52"/>
  <c r="BX42" i="50"/>
  <c r="M40" i="52"/>
  <c r="BF42" i="50"/>
  <c r="J40" i="52"/>
  <c r="BR42" i="50"/>
  <c r="L40" i="52"/>
  <c r="P42" i="50"/>
  <c r="N41" i="50"/>
  <c r="I48" i="24" s="1"/>
  <c r="C40" i="52"/>
  <c r="AT42" i="50"/>
  <c r="H40" i="52"/>
  <c r="AB42" i="50"/>
  <c r="E40" i="52"/>
  <c r="V42" i="50"/>
  <c r="D40" i="52"/>
  <c r="AE40" i="52" l="1"/>
  <c r="AF40" i="52"/>
  <c r="AI40" i="52"/>
  <c r="AR40" i="52"/>
  <c r="AZ40" i="52"/>
  <c r="BA40" i="52"/>
  <c r="AD40" i="52"/>
  <c r="AY40" i="52"/>
  <c r="AT40" i="52"/>
  <c r="AG40" i="52"/>
  <c r="AH40" i="52"/>
  <c r="L48" i="24"/>
  <c r="AC48" i="24"/>
  <c r="AB48" i="24" s="1"/>
  <c r="AM40" i="52"/>
  <c r="AK40" i="52"/>
  <c r="AN40" i="52"/>
  <c r="AO40" i="52"/>
  <c r="AJ40" i="52"/>
  <c r="AQ40" i="52"/>
  <c r="AL40" i="52"/>
  <c r="AP40" i="52"/>
  <c r="AS40" i="52"/>
  <c r="AW40" i="52"/>
  <c r="AU40" i="52"/>
  <c r="AX40" i="52"/>
  <c r="AV40" i="52"/>
  <c r="AN43" i="50"/>
  <c r="AP43" i="50" s="1"/>
  <c r="K42" i="51" s="1"/>
  <c r="L42" i="51" s="1"/>
  <c r="G41" i="52"/>
  <c r="Q42" i="50"/>
  <c r="S42" i="50" s="1"/>
  <c r="CE42" i="50"/>
  <c r="CG42" i="50" s="1"/>
  <c r="BA42" i="50"/>
  <c r="BC42" i="50" s="1"/>
  <c r="AC42" i="50"/>
  <c r="AE42" i="50" s="1"/>
  <c r="AU42" i="50"/>
  <c r="AW42" i="50" s="1"/>
  <c r="W42" i="50"/>
  <c r="Y42" i="50" s="1"/>
  <c r="BG42" i="50"/>
  <c r="BI42" i="50" s="1"/>
  <c r="BY42" i="50"/>
  <c r="CA42" i="50" s="1"/>
  <c r="BS42" i="50"/>
  <c r="BU42" i="50" s="1"/>
  <c r="EA42" i="50"/>
  <c r="EC42" i="50" s="1"/>
  <c r="CK42" i="50"/>
  <c r="CM42" i="50" s="1"/>
  <c r="CQ42" i="50"/>
  <c r="CS42" i="50" s="1"/>
  <c r="EG42" i="50"/>
  <c r="EI42" i="50" s="1"/>
  <c r="BM42" i="50"/>
  <c r="BO42" i="50" s="1"/>
  <c r="DC42" i="50"/>
  <c r="DE42" i="50" s="1"/>
  <c r="DO42" i="50"/>
  <c r="DQ42" i="50" s="1"/>
  <c r="DU42" i="50"/>
  <c r="DW42" i="50" s="1"/>
  <c r="AJ43" i="50"/>
  <c r="AK43" i="50" s="1"/>
  <c r="AH44" i="50" l="1"/>
  <c r="AJ44" i="50" s="1"/>
  <c r="F42" i="52"/>
  <c r="M42" i="51"/>
  <c r="N42" i="51" s="1"/>
  <c r="P42" i="51" s="1"/>
  <c r="R42" i="51" s="1"/>
  <c r="T42" i="51" s="1"/>
  <c r="V42" i="51" s="1"/>
  <c r="AO43" i="50"/>
  <c r="AQ43" i="50" s="1"/>
  <c r="AG42" i="51"/>
  <c r="AI42" i="51" s="1"/>
  <c r="AE42" i="51" s="1"/>
  <c r="DT43" i="50"/>
  <c r="U41" i="52"/>
  <c r="DN43" i="50"/>
  <c r="T41" i="52"/>
  <c r="DB43" i="50"/>
  <c r="R41" i="52"/>
  <c r="BL43" i="50"/>
  <c r="K41" i="52"/>
  <c r="EF43" i="50"/>
  <c r="W41" i="52"/>
  <c r="CP43" i="50"/>
  <c r="P41" i="52"/>
  <c r="CJ43" i="50"/>
  <c r="O41" i="52"/>
  <c r="DZ43" i="50"/>
  <c r="V41" i="52"/>
  <c r="BR43" i="50"/>
  <c r="L41" i="52"/>
  <c r="BX43" i="50"/>
  <c r="M41" i="52"/>
  <c r="BF43" i="50"/>
  <c r="J41" i="52"/>
  <c r="V43" i="50"/>
  <c r="D41" i="52"/>
  <c r="AT43" i="50"/>
  <c r="H41" i="52"/>
  <c r="AB43" i="50"/>
  <c r="E41" i="52"/>
  <c r="O42" i="50"/>
  <c r="J49" i="24" s="1"/>
  <c r="AD49" i="24" s="1"/>
  <c r="AZ43" i="50"/>
  <c r="I41" i="52"/>
  <c r="CD43" i="50"/>
  <c r="N41" i="52"/>
  <c r="P43" i="50"/>
  <c r="N42" i="50"/>
  <c r="I49" i="24" s="1"/>
  <c r="C41" i="52"/>
  <c r="AH41" i="52" l="1"/>
  <c r="AR41" i="52"/>
  <c r="AY41" i="52"/>
  <c r="AT41" i="52"/>
  <c r="AZ41" i="52"/>
  <c r="AD41" i="52"/>
  <c r="BA41" i="52"/>
  <c r="AG41" i="52"/>
  <c r="L49" i="24"/>
  <c r="AC49" i="24"/>
  <c r="AB49" i="24" s="1"/>
  <c r="AO41" i="52"/>
  <c r="AJ41" i="52"/>
  <c r="AF41" i="52"/>
  <c r="AI41" i="52"/>
  <c r="AE41" i="52"/>
  <c r="AK41" i="52"/>
  <c r="AN41" i="52"/>
  <c r="AM41" i="52"/>
  <c r="AW41" i="52"/>
  <c r="AP41" i="52"/>
  <c r="AQ41" i="52"/>
  <c r="AX41" i="52"/>
  <c r="AL41" i="52"/>
  <c r="AS41" i="52"/>
  <c r="AU41" i="52"/>
  <c r="AV41" i="52"/>
  <c r="CE43" i="50"/>
  <c r="CG43" i="50" s="1"/>
  <c r="W43" i="50"/>
  <c r="Y43" i="50" s="1"/>
  <c r="AC43" i="50"/>
  <c r="AE43" i="50" s="1"/>
  <c r="BS43" i="50"/>
  <c r="BU43" i="50" s="1"/>
  <c r="CQ43" i="50"/>
  <c r="CS43" i="50" s="1"/>
  <c r="Q43" i="50"/>
  <c r="S43" i="50" s="1"/>
  <c r="BA43" i="50"/>
  <c r="BC43" i="50" s="1"/>
  <c r="AU43" i="50"/>
  <c r="AW43" i="50" s="1"/>
  <c r="BG43" i="50"/>
  <c r="BI43" i="50" s="1"/>
  <c r="BM43" i="50"/>
  <c r="BO43" i="50" s="1"/>
  <c r="CK43" i="50"/>
  <c r="CM43" i="50" s="1"/>
  <c r="BY43" i="50"/>
  <c r="CA43" i="50" s="1"/>
  <c r="DO43" i="50"/>
  <c r="DQ43" i="50" s="1"/>
  <c r="DU43" i="50"/>
  <c r="DW43" i="50" s="1"/>
  <c r="DC43" i="50"/>
  <c r="DE43" i="50" s="1"/>
  <c r="EG43" i="50"/>
  <c r="EI43" i="50" s="1"/>
  <c r="EA43" i="50"/>
  <c r="EC43" i="50" s="1"/>
  <c r="AN44" i="50"/>
  <c r="AP44" i="50" s="1"/>
  <c r="K43" i="51" s="1"/>
  <c r="L43" i="51" s="1"/>
  <c r="G42" i="52"/>
  <c r="AK44" i="50"/>
  <c r="M43" i="51"/>
  <c r="AO44" i="50"/>
  <c r="AQ44" i="50" l="1"/>
  <c r="G43" i="52" s="1"/>
  <c r="N43" i="51"/>
  <c r="P43" i="51" s="1"/>
  <c r="R43" i="51" s="1"/>
  <c r="T43" i="51" s="1"/>
  <c r="V43" i="51" s="1"/>
  <c r="AG43" i="51"/>
  <c r="AI43" i="51" s="1"/>
  <c r="AE43" i="51" s="1"/>
  <c r="BS44" i="50" s="1"/>
  <c r="AH45" i="50"/>
  <c r="AJ45" i="50" s="1"/>
  <c r="F43" i="52"/>
  <c r="DZ44" i="50"/>
  <c r="V42" i="52"/>
  <c r="EF44" i="50"/>
  <c r="W42" i="52"/>
  <c r="DB44" i="50"/>
  <c r="R42" i="52"/>
  <c r="DT44" i="50"/>
  <c r="U42" i="52"/>
  <c r="DN44" i="50"/>
  <c r="T42" i="52"/>
  <c r="BX44" i="50"/>
  <c r="M42" i="52"/>
  <c r="CJ44" i="50"/>
  <c r="O42" i="52"/>
  <c r="BL44" i="50"/>
  <c r="K42" i="52"/>
  <c r="BF44" i="50"/>
  <c r="J42" i="52"/>
  <c r="AT44" i="50"/>
  <c r="H42" i="52"/>
  <c r="AZ44" i="50"/>
  <c r="I42" i="52"/>
  <c r="O43" i="50"/>
  <c r="J50" i="24" s="1"/>
  <c r="AD50" i="24" s="1"/>
  <c r="P44" i="50"/>
  <c r="N43" i="50"/>
  <c r="I50" i="24" s="1"/>
  <c r="C42" i="52"/>
  <c r="CP44" i="50"/>
  <c r="P42" i="52"/>
  <c r="BR44" i="50"/>
  <c r="L42" i="52"/>
  <c r="AB44" i="50"/>
  <c r="E42" i="52"/>
  <c r="V44" i="50"/>
  <c r="D42" i="52"/>
  <c r="CD44" i="50"/>
  <c r="N42" i="52"/>
  <c r="DC44" i="50" l="1"/>
  <c r="AN45" i="50"/>
  <c r="AP45" i="50" s="1"/>
  <c r="K44" i="51" s="1"/>
  <c r="L44" i="51" s="1"/>
  <c r="BA44" i="50"/>
  <c r="BC44" i="50" s="1"/>
  <c r="W44" i="50"/>
  <c r="Y44" i="50" s="1"/>
  <c r="CQ44" i="50"/>
  <c r="CS44" i="50" s="1"/>
  <c r="BG44" i="50"/>
  <c r="BI44" i="50" s="1"/>
  <c r="AU44" i="50"/>
  <c r="AW44" i="50" s="1"/>
  <c r="AC44" i="50"/>
  <c r="AE44" i="50" s="1"/>
  <c r="CE44" i="50"/>
  <c r="CG44" i="50" s="1"/>
  <c r="Q44" i="50"/>
  <c r="S44" i="50" s="1"/>
  <c r="BM44" i="50"/>
  <c r="BO44" i="50" s="1"/>
  <c r="EG44" i="50"/>
  <c r="EI44" i="50" s="1"/>
  <c r="DU44" i="50"/>
  <c r="DW44" i="50" s="1"/>
  <c r="BY44" i="50"/>
  <c r="CA44" i="50" s="1"/>
  <c r="CK44" i="50"/>
  <c r="CM44" i="50" s="1"/>
  <c r="DO44" i="50"/>
  <c r="DQ44" i="50" s="1"/>
  <c r="EA44" i="50"/>
  <c r="EC44" i="50" s="1"/>
  <c r="AO42" i="52"/>
  <c r="AE42" i="52"/>
  <c r="AF42" i="52"/>
  <c r="AM42" i="52"/>
  <c r="AQ42" i="52"/>
  <c r="AT42" i="52"/>
  <c r="BA42" i="52"/>
  <c r="AY42" i="52"/>
  <c r="AR42" i="52"/>
  <c r="AZ42" i="52"/>
  <c r="AD42" i="52"/>
  <c r="AG42" i="52"/>
  <c r="AH42" i="52"/>
  <c r="L50" i="24"/>
  <c r="AC50" i="24"/>
  <c r="AB50" i="24" s="1"/>
  <c r="AJ42" i="52"/>
  <c r="AI42" i="52"/>
  <c r="AK42" i="52"/>
  <c r="AL42" i="52"/>
  <c r="AP42" i="52"/>
  <c r="AN42" i="52"/>
  <c r="AU42" i="52"/>
  <c r="AV42" i="52"/>
  <c r="AS42" i="52"/>
  <c r="AX42" i="52"/>
  <c r="AW42" i="52"/>
  <c r="AK45" i="50"/>
  <c r="M44" i="51"/>
  <c r="AO45" i="50"/>
  <c r="DE44" i="50"/>
  <c r="BU44" i="50"/>
  <c r="AG44" i="51" l="1"/>
  <c r="AI44" i="51" s="1"/>
  <c r="AE44" i="51" s="1"/>
  <c r="W45" i="50" s="1"/>
  <c r="AQ45" i="50"/>
  <c r="AN46" i="50" s="1"/>
  <c r="AP46" i="50" s="1"/>
  <c r="K45" i="51" s="1"/>
  <c r="L45" i="51" s="1"/>
  <c r="N44" i="51"/>
  <c r="P44" i="51" s="1"/>
  <c r="R44" i="51" s="1"/>
  <c r="T44" i="51" s="1"/>
  <c r="V44" i="51" s="1"/>
  <c r="CD45" i="50"/>
  <c r="N43" i="52"/>
  <c r="P45" i="50"/>
  <c r="N44" i="50"/>
  <c r="I51" i="24" s="1"/>
  <c r="C43" i="52"/>
  <c r="V45" i="50"/>
  <c r="D43" i="52"/>
  <c r="AT45" i="50"/>
  <c r="H43" i="52"/>
  <c r="AB45" i="50"/>
  <c r="E43" i="52"/>
  <c r="AZ45" i="50"/>
  <c r="I43" i="52"/>
  <c r="O44" i="50"/>
  <c r="J51" i="24" s="1"/>
  <c r="AD51" i="24" s="1"/>
  <c r="CP45" i="50"/>
  <c r="P43" i="52"/>
  <c r="BL45" i="50"/>
  <c r="K43" i="52"/>
  <c r="BF45" i="50"/>
  <c r="J43" i="52"/>
  <c r="BR45" i="50"/>
  <c r="L43" i="52"/>
  <c r="DZ45" i="50"/>
  <c r="V43" i="52"/>
  <c r="DN45" i="50"/>
  <c r="T43" i="52"/>
  <c r="CJ45" i="50"/>
  <c r="O43" i="52"/>
  <c r="BX45" i="50"/>
  <c r="M43" i="52"/>
  <c r="DT45" i="50"/>
  <c r="U43" i="52"/>
  <c r="DB45" i="50"/>
  <c r="R43" i="52"/>
  <c r="EF45" i="50"/>
  <c r="W43" i="52"/>
  <c r="BA45" i="50"/>
  <c r="CE45" i="50"/>
  <c r="AU45" i="50"/>
  <c r="BS45" i="50"/>
  <c r="AC45" i="50"/>
  <c r="BY45" i="50"/>
  <c r="BM45" i="50"/>
  <c r="CQ45" i="50"/>
  <c r="BG45" i="50"/>
  <c r="DU45" i="50"/>
  <c r="DC45" i="50"/>
  <c r="EG45" i="50"/>
  <c r="AH46" i="50"/>
  <c r="AJ46" i="50" s="1"/>
  <c r="F44" i="52"/>
  <c r="Q45" i="50" l="1"/>
  <c r="EA45" i="50"/>
  <c r="CK45" i="50"/>
  <c r="CM45" i="50" s="1"/>
  <c r="CJ46" i="50" s="1"/>
  <c r="DO45" i="50"/>
  <c r="DQ45" i="50" s="1"/>
  <c r="CG45" i="50"/>
  <c r="N44" i="52" s="1"/>
  <c r="S45" i="50"/>
  <c r="P46" i="50" s="1"/>
  <c r="G44" i="52"/>
  <c r="CA45" i="50"/>
  <c r="BX46" i="50" s="1"/>
  <c r="BO45" i="50"/>
  <c r="BL46" i="50" s="1"/>
  <c r="CS45" i="50"/>
  <c r="CP46" i="50" s="1"/>
  <c r="AX43" i="52"/>
  <c r="AE45" i="50"/>
  <c r="AB46" i="50" s="1"/>
  <c r="BU45" i="50"/>
  <c r="BR46" i="50" s="1"/>
  <c r="EI45" i="50"/>
  <c r="EF46" i="50" s="1"/>
  <c r="AW45" i="50"/>
  <c r="AT46" i="50" s="1"/>
  <c r="DE45" i="50"/>
  <c r="DB46" i="50" s="1"/>
  <c r="EC45" i="50"/>
  <c r="DZ46" i="50" s="1"/>
  <c r="BC45" i="50"/>
  <c r="AZ46" i="50" s="1"/>
  <c r="Y45" i="50"/>
  <c r="V46" i="50" s="1"/>
  <c r="DW45" i="50"/>
  <c r="DT46" i="50" s="1"/>
  <c r="BI45" i="50"/>
  <c r="BF46" i="50" s="1"/>
  <c r="AK46" i="50"/>
  <c r="M45" i="51"/>
  <c r="N45" i="51" s="1"/>
  <c r="P45" i="51" s="1"/>
  <c r="R45" i="51" s="1"/>
  <c r="T45" i="51" s="1"/>
  <c r="V45" i="51" s="1"/>
  <c r="AG45" i="51"/>
  <c r="AI45" i="51" s="1"/>
  <c r="AE45" i="51" s="1"/>
  <c r="AO46" i="50"/>
  <c r="AQ46" i="50" s="1"/>
  <c r="AS43" i="52"/>
  <c r="AV43" i="52"/>
  <c r="AN43" i="52"/>
  <c r="AP43" i="52"/>
  <c r="AU43" i="52"/>
  <c r="AW43" i="52"/>
  <c r="AM43" i="52"/>
  <c r="AK43" i="52"/>
  <c r="AL43" i="52"/>
  <c r="AQ43" i="52"/>
  <c r="AJ43" i="52"/>
  <c r="AF43" i="52"/>
  <c r="AI43" i="52"/>
  <c r="AE43" i="52"/>
  <c r="BA43" i="52"/>
  <c r="AT43" i="52"/>
  <c r="AR43" i="52"/>
  <c r="AD43" i="52"/>
  <c r="AY43" i="52"/>
  <c r="AZ43" i="52"/>
  <c r="AG43" i="52"/>
  <c r="AH43" i="52"/>
  <c r="L51" i="24"/>
  <c r="AC51" i="24"/>
  <c r="AB51" i="24" s="1"/>
  <c r="AO43" i="52"/>
  <c r="O44" i="52" l="1"/>
  <c r="C44" i="52"/>
  <c r="CD46" i="50"/>
  <c r="DN46" i="50"/>
  <c r="T44" i="52"/>
  <c r="M44" i="52"/>
  <c r="P44" i="52"/>
  <c r="K44" i="52"/>
  <c r="L44" i="52"/>
  <c r="E44" i="52"/>
  <c r="H44" i="52"/>
  <c r="W44" i="52"/>
  <c r="R44" i="52"/>
  <c r="N45" i="50"/>
  <c r="I52" i="24" s="1"/>
  <c r="AC52" i="24" s="1"/>
  <c r="AB52" i="24" s="1"/>
  <c r="O45" i="50"/>
  <c r="J52" i="24" s="1"/>
  <c r="AD52" i="24" s="1"/>
  <c r="V44" i="52"/>
  <c r="I44" i="52"/>
  <c r="J44" i="52"/>
  <c r="D44" i="52"/>
  <c r="U44" i="52"/>
  <c r="AN47" i="50"/>
  <c r="AP47" i="50" s="1"/>
  <c r="K46" i="51" s="1"/>
  <c r="L46" i="51" s="1"/>
  <c r="G45" i="52"/>
  <c r="CE46" i="50"/>
  <c r="CG46" i="50" s="1"/>
  <c r="Q46" i="50"/>
  <c r="S46" i="50" s="1"/>
  <c r="AC46" i="50"/>
  <c r="AE46" i="50" s="1"/>
  <c r="W46" i="50"/>
  <c r="Y46" i="50" s="1"/>
  <c r="AU46" i="50"/>
  <c r="AW46" i="50" s="1"/>
  <c r="BA46" i="50"/>
  <c r="BC46" i="50" s="1"/>
  <c r="BY46" i="50"/>
  <c r="CA46" i="50" s="1"/>
  <c r="BS46" i="50"/>
  <c r="BU46" i="50" s="1"/>
  <c r="CK46" i="50"/>
  <c r="CM46" i="50" s="1"/>
  <c r="EA46" i="50"/>
  <c r="EC46" i="50" s="1"/>
  <c r="BM46" i="50"/>
  <c r="BO46" i="50" s="1"/>
  <c r="DC46" i="50"/>
  <c r="DE46" i="50" s="1"/>
  <c r="CQ46" i="50"/>
  <c r="CS46" i="50" s="1"/>
  <c r="BG46" i="50"/>
  <c r="BI46" i="50" s="1"/>
  <c r="DO46" i="50"/>
  <c r="DU46" i="50"/>
  <c r="DW46" i="50" s="1"/>
  <c r="EG46" i="50"/>
  <c r="EI46" i="50" s="1"/>
  <c r="AH47" i="50"/>
  <c r="F45" i="52"/>
  <c r="DQ46" i="50" l="1"/>
  <c r="BA44" i="52"/>
  <c r="AT44" i="52"/>
  <c r="AI44" i="52"/>
  <c r="AZ44" i="52"/>
  <c r="AR44" i="52"/>
  <c r="AK44" i="52"/>
  <c r="AP44" i="52"/>
  <c r="AD44" i="52"/>
  <c r="AU44" i="52"/>
  <c r="AV44" i="52"/>
  <c r="AQ44" i="52"/>
  <c r="AL44" i="52"/>
  <c r="AY44" i="52"/>
  <c r="AF44" i="52"/>
  <c r="AN44" i="52"/>
  <c r="AM44" i="52"/>
  <c r="L52" i="24"/>
  <c r="AG44" i="52"/>
  <c r="AX44" i="52"/>
  <c r="AE44" i="52"/>
  <c r="AS44" i="52"/>
  <c r="AO44" i="52"/>
  <c r="AW44" i="52"/>
  <c r="AJ44" i="52"/>
  <c r="AH44" i="52"/>
  <c r="AJ47" i="50"/>
  <c r="AK47" i="50" s="1"/>
  <c r="EF47" i="50"/>
  <c r="W45" i="52"/>
  <c r="DT47" i="50"/>
  <c r="U45" i="52"/>
  <c r="DN47" i="50"/>
  <c r="T45" i="52"/>
  <c r="BF47" i="50"/>
  <c r="J45" i="52"/>
  <c r="CP47" i="50"/>
  <c r="P45" i="52"/>
  <c r="DB47" i="50"/>
  <c r="R45" i="52"/>
  <c r="BL47" i="50"/>
  <c r="K45" i="52"/>
  <c r="DZ47" i="50"/>
  <c r="V45" i="52"/>
  <c r="CJ47" i="50"/>
  <c r="O45" i="52"/>
  <c r="BR47" i="50"/>
  <c r="L45" i="52"/>
  <c r="BX47" i="50"/>
  <c r="M45" i="52"/>
  <c r="AZ47" i="50"/>
  <c r="I45" i="52"/>
  <c r="O46" i="50"/>
  <c r="J53" i="24" s="1"/>
  <c r="AD53" i="24" s="1"/>
  <c r="AT47" i="50"/>
  <c r="H45" i="52"/>
  <c r="V47" i="50"/>
  <c r="D45" i="52"/>
  <c r="AB47" i="50"/>
  <c r="E45" i="52"/>
  <c r="P47" i="50"/>
  <c r="N46" i="50"/>
  <c r="I53" i="24" s="1"/>
  <c r="C45" i="52"/>
  <c r="CD47" i="50"/>
  <c r="N45" i="52"/>
  <c r="AH45" i="52" l="1"/>
  <c r="AO45" i="52"/>
  <c r="AZ45" i="52"/>
  <c r="AD45" i="52"/>
  <c r="AY45" i="52"/>
  <c r="AT45" i="52"/>
  <c r="AR45" i="52"/>
  <c r="BA45" i="52"/>
  <c r="AG45" i="52"/>
  <c r="L53" i="24"/>
  <c r="AC53" i="24"/>
  <c r="AB53" i="24" s="1"/>
  <c r="AF45" i="52"/>
  <c r="AE45" i="52"/>
  <c r="AI45" i="52"/>
  <c r="AJ45" i="52"/>
  <c r="AN45" i="52"/>
  <c r="AM45" i="52"/>
  <c r="AP45" i="52"/>
  <c r="AW45" i="52"/>
  <c r="AL45" i="52"/>
  <c r="AS45" i="52"/>
  <c r="AQ45" i="52"/>
  <c r="AK45" i="52"/>
  <c r="AU45" i="52"/>
  <c r="AV45" i="52"/>
  <c r="AX45" i="52"/>
  <c r="AH48" i="50"/>
  <c r="AJ48" i="50" s="1"/>
  <c r="F46" i="52"/>
  <c r="M46" i="51"/>
  <c r="N46" i="51" s="1"/>
  <c r="P46" i="51" s="1"/>
  <c r="R46" i="51" s="1"/>
  <c r="T46" i="51" s="1"/>
  <c r="V46" i="51" s="1"/>
  <c r="AO47" i="50"/>
  <c r="AQ47" i="50" s="1"/>
  <c r="AG46" i="51"/>
  <c r="AI46" i="51" s="1"/>
  <c r="AE46" i="51" s="1"/>
  <c r="CE47" i="50" l="1"/>
  <c r="CG47" i="50" s="1"/>
  <c r="W47" i="50"/>
  <c r="Y47" i="50" s="1"/>
  <c r="BS47" i="50"/>
  <c r="BU47" i="50" s="1"/>
  <c r="CQ47" i="50"/>
  <c r="CS47" i="50" s="1"/>
  <c r="AU47" i="50"/>
  <c r="AW47" i="50" s="1"/>
  <c r="Q47" i="50"/>
  <c r="S47" i="50" s="1"/>
  <c r="BG47" i="50"/>
  <c r="BI47" i="50" s="1"/>
  <c r="BA47" i="50"/>
  <c r="BC47" i="50" s="1"/>
  <c r="AC47" i="50"/>
  <c r="AE47" i="50" s="1"/>
  <c r="CK47" i="50"/>
  <c r="CM47" i="50" s="1"/>
  <c r="BY47" i="50"/>
  <c r="CA47" i="50" s="1"/>
  <c r="DC47" i="50"/>
  <c r="DE47" i="50" s="1"/>
  <c r="BM47" i="50"/>
  <c r="BO47" i="50" s="1"/>
  <c r="EG47" i="50"/>
  <c r="EI47" i="50" s="1"/>
  <c r="EA47" i="50"/>
  <c r="EC47" i="50" s="1"/>
  <c r="DO47" i="50"/>
  <c r="DQ47" i="50" s="1"/>
  <c r="DU47" i="50"/>
  <c r="DW47" i="50" s="1"/>
  <c r="AN48" i="50"/>
  <c r="AP48" i="50" s="1"/>
  <c r="K47" i="51" s="1"/>
  <c r="L47" i="51" s="1"/>
  <c r="G46" i="52"/>
  <c r="AK48" i="50"/>
  <c r="M47" i="51"/>
  <c r="AO48" i="50"/>
  <c r="AG47" i="51" l="1"/>
  <c r="AI47" i="51" s="1"/>
  <c r="AE47" i="51" s="1"/>
  <c r="W48" i="50" s="1"/>
  <c r="AQ48" i="50"/>
  <c r="AN49" i="50" s="1"/>
  <c r="AP49" i="50" s="1"/>
  <c r="K48" i="51" s="1"/>
  <c r="L48" i="51" s="1"/>
  <c r="N47" i="51"/>
  <c r="P47" i="51" s="1"/>
  <c r="R47" i="51" s="1"/>
  <c r="T47" i="51" s="1"/>
  <c r="V47" i="51" s="1"/>
  <c r="AH49" i="50"/>
  <c r="AJ49" i="50" s="1"/>
  <c r="F47" i="52"/>
  <c r="DT48" i="50"/>
  <c r="U46" i="52"/>
  <c r="T46" i="52"/>
  <c r="DN48" i="50"/>
  <c r="DZ48" i="50"/>
  <c r="V46" i="52"/>
  <c r="EF48" i="50"/>
  <c r="W46" i="52"/>
  <c r="BL48" i="50"/>
  <c r="K46" i="52"/>
  <c r="DB48" i="50"/>
  <c r="R46" i="52"/>
  <c r="BX48" i="50"/>
  <c r="M46" i="52"/>
  <c r="CJ48" i="50"/>
  <c r="O46" i="52"/>
  <c r="AB48" i="50"/>
  <c r="E46" i="52"/>
  <c r="O47" i="50"/>
  <c r="J54" i="24" s="1"/>
  <c r="AD54" i="24" s="1"/>
  <c r="AZ48" i="50"/>
  <c r="I46" i="52"/>
  <c r="BF48" i="50"/>
  <c r="J46" i="52"/>
  <c r="P48" i="50"/>
  <c r="C46" i="52"/>
  <c r="N47" i="50"/>
  <c r="I54" i="24" s="1"/>
  <c r="AT48" i="50"/>
  <c r="H46" i="52"/>
  <c r="P46" i="52"/>
  <c r="CP48" i="50"/>
  <c r="BR48" i="50"/>
  <c r="L46" i="52"/>
  <c r="V48" i="50"/>
  <c r="D46" i="52"/>
  <c r="CD48" i="50"/>
  <c r="N46" i="52"/>
  <c r="DO48" i="50" l="1"/>
  <c r="EA48" i="50"/>
  <c r="EC48" i="50" s="1"/>
  <c r="CK48" i="50"/>
  <c r="CM48" i="50" s="1"/>
  <c r="BY48" i="50"/>
  <c r="CA48" i="50" s="1"/>
  <c r="BS48" i="50"/>
  <c r="BU48" i="50" s="1"/>
  <c r="CQ48" i="50"/>
  <c r="CS48" i="50" s="1"/>
  <c r="BG48" i="50"/>
  <c r="BI48" i="50" s="1"/>
  <c r="DU48" i="50"/>
  <c r="DW48" i="50" s="1"/>
  <c r="BM48" i="50"/>
  <c r="BO48" i="50" s="1"/>
  <c r="AC48" i="50"/>
  <c r="AE48" i="50" s="1"/>
  <c r="DC48" i="50"/>
  <c r="DE48" i="50" s="1"/>
  <c r="BA48" i="50"/>
  <c r="BC48" i="50" s="1"/>
  <c r="EG48" i="50"/>
  <c r="Q48" i="50"/>
  <c r="S48" i="50" s="1"/>
  <c r="AU48" i="50"/>
  <c r="AW48" i="50" s="1"/>
  <c r="CE48" i="50"/>
  <c r="CG48" i="50" s="1"/>
  <c r="G47" i="52"/>
  <c r="AO46" i="52"/>
  <c r="AE46" i="52"/>
  <c r="AM46" i="52"/>
  <c r="AQ46" i="52"/>
  <c r="AI46" i="52"/>
  <c r="L54" i="24"/>
  <c r="AC54" i="24"/>
  <c r="AB54" i="24" s="1"/>
  <c r="AT46" i="52"/>
  <c r="AD46" i="52"/>
  <c r="AZ46" i="52"/>
  <c r="AR46" i="52"/>
  <c r="BA46" i="52"/>
  <c r="AY46" i="52"/>
  <c r="AG46" i="52"/>
  <c r="AH46" i="52"/>
  <c r="AK46" i="52"/>
  <c r="AJ46" i="52"/>
  <c r="AF46" i="52"/>
  <c r="AP46" i="52"/>
  <c r="AN46" i="52"/>
  <c r="AS46" i="52"/>
  <c r="AL46" i="52"/>
  <c r="AX46" i="52"/>
  <c r="AW46" i="52"/>
  <c r="AU46" i="52"/>
  <c r="AV46" i="52"/>
  <c r="AK49" i="50"/>
  <c r="M48" i="51"/>
  <c r="N48" i="51" s="1"/>
  <c r="P48" i="51" s="1"/>
  <c r="R48" i="51" s="1"/>
  <c r="T48" i="51" s="1"/>
  <c r="V48" i="51" s="1"/>
  <c r="AG48" i="51"/>
  <c r="AI48" i="51" s="1"/>
  <c r="AE48" i="51" s="1"/>
  <c r="AO49" i="50"/>
  <c r="AQ49" i="50" s="1"/>
  <c r="EI48" i="50"/>
  <c r="DQ48" i="50"/>
  <c r="Y48" i="50"/>
  <c r="V49" i="50" l="1"/>
  <c r="D47" i="52"/>
  <c r="CD49" i="50"/>
  <c r="N47" i="52"/>
  <c r="P49" i="50"/>
  <c r="C47" i="52"/>
  <c r="N48" i="50"/>
  <c r="I55" i="24" s="1"/>
  <c r="AZ49" i="50"/>
  <c r="I47" i="52"/>
  <c r="O48" i="50"/>
  <c r="J55" i="24" s="1"/>
  <c r="AD55" i="24" s="1"/>
  <c r="BL49" i="50"/>
  <c r="K47" i="52"/>
  <c r="BF49" i="50"/>
  <c r="J47" i="52"/>
  <c r="CP49" i="50"/>
  <c r="P47" i="52"/>
  <c r="BR49" i="50"/>
  <c r="L47" i="52"/>
  <c r="AB49" i="50"/>
  <c r="E47" i="52"/>
  <c r="BX49" i="50"/>
  <c r="M47" i="52"/>
  <c r="CJ49" i="50"/>
  <c r="O47" i="52"/>
  <c r="DZ49" i="50"/>
  <c r="V47" i="52"/>
  <c r="DN49" i="50"/>
  <c r="T47" i="52"/>
  <c r="AT49" i="50"/>
  <c r="H47" i="52"/>
  <c r="EF49" i="50"/>
  <c r="W47" i="52"/>
  <c r="DB49" i="50"/>
  <c r="R47" i="52"/>
  <c r="DT49" i="50"/>
  <c r="U47" i="52"/>
  <c r="AN50" i="50"/>
  <c r="AP50" i="50" s="1"/>
  <c r="K49" i="51" s="1"/>
  <c r="L49" i="51" s="1"/>
  <c r="G48" i="52"/>
  <c r="W49" i="50"/>
  <c r="Y49" i="50" s="1"/>
  <c r="Q49" i="50"/>
  <c r="AC49" i="50"/>
  <c r="BA49" i="50"/>
  <c r="CE49" i="50"/>
  <c r="CG49" i="50" s="1"/>
  <c r="BS49" i="50"/>
  <c r="BU49" i="50" s="1"/>
  <c r="BG49" i="50"/>
  <c r="BI49" i="50" s="1"/>
  <c r="BM49" i="50"/>
  <c r="AU49" i="50"/>
  <c r="AW49" i="50" s="1"/>
  <c r="CQ49" i="50"/>
  <c r="CS49" i="50" s="1"/>
  <c r="DO49" i="50"/>
  <c r="DQ49" i="50" s="1"/>
  <c r="DU49" i="50"/>
  <c r="EG49" i="50"/>
  <c r="BY49" i="50"/>
  <c r="CK49" i="50"/>
  <c r="DC49" i="50"/>
  <c r="EA49" i="50"/>
  <c r="EC49" i="50" s="1"/>
  <c r="AH50" i="50"/>
  <c r="F48" i="52"/>
  <c r="AV47" i="52" l="1"/>
  <c r="BC49" i="50"/>
  <c r="AZ50" i="50" s="1"/>
  <c r="AE49" i="50"/>
  <c r="AB50" i="50" s="1"/>
  <c r="S49" i="50"/>
  <c r="P50" i="50" s="1"/>
  <c r="EI49" i="50"/>
  <c r="EF50" i="50" s="1"/>
  <c r="DW49" i="50"/>
  <c r="DT50" i="50" s="1"/>
  <c r="BO49" i="50"/>
  <c r="BL50" i="50" s="1"/>
  <c r="DE49" i="50"/>
  <c r="DB50" i="50" s="1"/>
  <c r="CM49" i="50"/>
  <c r="CJ50" i="50" s="1"/>
  <c r="CA49" i="50"/>
  <c r="BX50" i="50" s="1"/>
  <c r="AJ50" i="50"/>
  <c r="AK50" i="50" s="1"/>
  <c r="DZ50" i="50"/>
  <c r="V48" i="52"/>
  <c r="DN50" i="50"/>
  <c r="T48" i="52"/>
  <c r="CP50" i="50"/>
  <c r="P48" i="52"/>
  <c r="AT50" i="50"/>
  <c r="H48" i="52"/>
  <c r="BF50" i="50"/>
  <c r="J48" i="52"/>
  <c r="BR50" i="50"/>
  <c r="L48" i="52"/>
  <c r="CD50" i="50"/>
  <c r="N48" i="52"/>
  <c r="V50" i="50"/>
  <c r="D48" i="52"/>
  <c r="AS47" i="52"/>
  <c r="AX47" i="52"/>
  <c r="AI47" i="52"/>
  <c r="AU47" i="52"/>
  <c r="AW47" i="52"/>
  <c r="AP47" i="52"/>
  <c r="AN47" i="52"/>
  <c r="AF47" i="52"/>
  <c r="AM47" i="52"/>
  <c r="AQ47" i="52"/>
  <c r="AK47" i="52"/>
  <c r="AL47" i="52"/>
  <c r="AJ47" i="52"/>
  <c r="L55" i="24"/>
  <c r="AC55" i="24"/>
  <c r="AB55" i="24" s="1"/>
  <c r="BA47" i="52"/>
  <c r="AZ47" i="52"/>
  <c r="AD47" i="52"/>
  <c r="AT47" i="52"/>
  <c r="AY47" i="52"/>
  <c r="AR47" i="52"/>
  <c r="AG47" i="52"/>
  <c r="AH47" i="52"/>
  <c r="AO47" i="52"/>
  <c r="AE47" i="52"/>
  <c r="C48" i="52" l="1"/>
  <c r="E48" i="52"/>
  <c r="N49" i="50"/>
  <c r="I56" i="24" s="1"/>
  <c r="AC56" i="24" s="1"/>
  <c r="AB56" i="24" s="1"/>
  <c r="I48" i="52"/>
  <c r="K48" i="52"/>
  <c r="U48" i="52"/>
  <c r="W48" i="52"/>
  <c r="M48" i="52"/>
  <c r="O48" i="52"/>
  <c r="R48" i="52"/>
  <c r="O49" i="50"/>
  <c r="J56" i="24" s="1"/>
  <c r="AD56" i="24" s="1"/>
  <c r="AH51" i="50"/>
  <c r="F49" i="52"/>
  <c r="M49" i="51"/>
  <c r="N49" i="51" s="1"/>
  <c r="P49" i="51" s="1"/>
  <c r="R49" i="51" s="1"/>
  <c r="T49" i="51" s="1"/>
  <c r="V49" i="51" s="1"/>
  <c r="AG49" i="51"/>
  <c r="AI49" i="51" s="1"/>
  <c r="AE49" i="51" s="1"/>
  <c r="AO50" i="50"/>
  <c r="AQ50" i="50" s="1"/>
  <c r="AZ48" i="52" l="1"/>
  <c r="AD48" i="52"/>
  <c r="AY48" i="52"/>
  <c r="AR48" i="52"/>
  <c r="AQ48" i="52"/>
  <c r="AL48" i="52"/>
  <c r="AX48" i="52"/>
  <c r="AV48" i="52"/>
  <c r="AW48" i="52"/>
  <c r="AN48" i="52"/>
  <c r="BA48" i="52"/>
  <c r="AE48" i="52"/>
  <c r="AG48" i="52"/>
  <c r="AU48" i="52"/>
  <c r="AI48" i="52"/>
  <c r="AT48" i="52"/>
  <c r="AK48" i="52"/>
  <c r="AF48" i="52"/>
  <c r="AM48" i="52"/>
  <c r="AO48" i="52"/>
  <c r="AS48" i="52"/>
  <c r="AJ48" i="52"/>
  <c r="AP48" i="52"/>
  <c r="AH48" i="52"/>
  <c r="L56" i="24"/>
  <c r="AN51" i="50"/>
  <c r="AP51" i="50" s="1"/>
  <c r="K50" i="51" s="1"/>
  <c r="L50" i="51" s="1"/>
  <c r="G49" i="52"/>
  <c r="CE50" i="50"/>
  <c r="CG50" i="50" s="1"/>
  <c r="AU50" i="50"/>
  <c r="AW50" i="50" s="1"/>
  <c r="AC50" i="50"/>
  <c r="AE50" i="50" s="1"/>
  <c r="BA50" i="50"/>
  <c r="BC50" i="50" s="1"/>
  <c r="BS50" i="50"/>
  <c r="BU50" i="50" s="1"/>
  <c r="Q50" i="50"/>
  <c r="S50" i="50" s="1"/>
  <c r="BM50" i="50"/>
  <c r="BO50" i="50" s="1"/>
  <c r="EA50" i="50"/>
  <c r="EC50" i="50" s="1"/>
  <c r="W50" i="50"/>
  <c r="Y50" i="50" s="1"/>
  <c r="CQ50" i="50"/>
  <c r="CS50" i="50" s="1"/>
  <c r="BG50" i="50"/>
  <c r="BI50" i="50" s="1"/>
  <c r="BY50" i="50"/>
  <c r="CA50" i="50" s="1"/>
  <c r="DU50" i="50"/>
  <c r="DW50" i="50" s="1"/>
  <c r="CK50" i="50"/>
  <c r="CM50" i="50" s="1"/>
  <c r="DC50" i="50"/>
  <c r="DE50" i="50" s="1"/>
  <c r="EG50" i="50"/>
  <c r="EI50" i="50" s="1"/>
  <c r="DO50" i="50"/>
  <c r="DQ50" i="50" s="1"/>
  <c r="AJ51" i="50"/>
  <c r="AK51" i="50" s="1"/>
  <c r="AH52" i="50" l="1"/>
  <c r="F50" i="52"/>
  <c r="M50" i="51"/>
  <c r="N50" i="51" s="1"/>
  <c r="P50" i="51" s="1"/>
  <c r="R50" i="51" s="1"/>
  <c r="T50" i="51" s="1"/>
  <c r="V50" i="51" s="1"/>
  <c r="AO51" i="50"/>
  <c r="AQ51" i="50" s="1"/>
  <c r="AG50" i="51"/>
  <c r="AI50" i="51" s="1"/>
  <c r="AE50" i="51" s="1"/>
  <c r="DN51" i="50"/>
  <c r="T49" i="52"/>
  <c r="EF51" i="50"/>
  <c r="W49" i="52"/>
  <c r="DB51" i="50"/>
  <c r="R49" i="52"/>
  <c r="CJ51" i="50"/>
  <c r="O49" i="52"/>
  <c r="DT51" i="50"/>
  <c r="U49" i="52"/>
  <c r="BX51" i="50"/>
  <c r="M49" i="52"/>
  <c r="BF51" i="50"/>
  <c r="J49" i="52"/>
  <c r="P49" i="52"/>
  <c r="CP51" i="50"/>
  <c r="V51" i="50"/>
  <c r="D49" i="52"/>
  <c r="DZ51" i="50"/>
  <c r="V49" i="52"/>
  <c r="BL51" i="50"/>
  <c r="K49" i="52"/>
  <c r="P51" i="50"/>
  <c r="C49" i="52"/>
  <c r="N50" i="50"/>
  <c r="I57" i="24" s="1"/>
  <c r="BR51" i="50"/>
  <c r="L49" i="52"/>
  <c r="AZ51" i="50"/>
  <c r="I49" i="52"/>
  <c r="O50" i="50"/>
  <c r="J57" i="24" s="1"/>
  <c r="AD57" i="24" s="1"/>
  <c r="AB51" i="50"/>
  <c r="E49" i="52"/>
  <c r="AT51" i="50"/>
  <c r="H49" i="52"/>
  <c r="CD51" i="50"/>
  <c r="N49" i="52"/>
  <c r="AH49" i="52" l="1"/>
  <c r="AO49" i="52"/>
  <c r="AI49" i="52"/>
  <c r="AF49" i="52"/>
  <c r="AJ49" i="52"/>
  <c r="AM49" i="52"/>
  <c r="L57" i="24"/>
  <c r="AC57" i="24"/>
  <c r="AB57" i="24" s="1"/>
  <c r="AY49" i="52"/>
  <c r="AR49" i="52"/>
  <c r="AD49" i="52"/>
  <c r="AT49" i="52"/>
  <c r="BA49" i="52"/>
  <c r="AZ49" i="52"/>
  <c r="AG49" i="52"/>
  <c r="AL49" i="52"/>
  <c r="AW49" i="52"/>
  <c r="AE49" i="52"/>
  <c r="AQ49" i="52"/>
  <c r="AK49" i="52"/>
  <c r="AN49" i="52"/>
  <c r="AV49" i="52"/>
  <c r="AP49" i="52"/>
  <c r="AS49" i="52"/>
  <c r="AX49" i="52"/>
  <c r="AU49" i="52"/>
  <c r="CE51" i="50"/>
  <c r="CG51" i="50" s="1"/>
  <c r="W51" i="50"/>
  <c r="Y51" i="50" s="1"/>
  <c r="AC51" i="50"/>
  <c r="AE51" i="50" s="1"/>
  <c r="BG51" i="50"/>
  <c r="BI51" i="50" s="1"/>
  <c r="BS51" i="50"/>
  <c r="BU51" i="50" s="1"/>
  <c r="CQ51" i="50"/>
  <c r="CS51" i="50" s="1"/>
  <c r="AU51" i="50"/>
  <c r="AW51" i="50" s="1"/>
  <c r="BA51" i="50"/>
  <c r="BC51" i="50" s="1"/>
  <c r="BY51" i="50"/>
  <c r="CA51" i="50" s="1"/>
  <c r="CK51" i="50"/>
  <c r="CM51" i="50" s="1"/>
  <c r="Q51" i="50"/>
  <c r="S51" i="50" s="1"/>
  <c r="BM51" i="50"/>
  <c r="BO51" i="50" s="1"/>
  <c r="DC51" i="50"/>
  <c r="DE51" i="50" s="1"/>
  <c r="DO51" i="50"/>
  <c r="DQ51" i="50" s="1"/>
  <c r="EA51" i="50"/>
  <c r="EC51" i="50" s="1"/>
  <c r="DU51" i="50"/>
  <c r="DW51" i="50" s="1"/>
  <c r="EG51" i="50"/>
  <c r="EI51" i="50" s="1"/>
  <c r="AN52" i="50"/>
  <c r="AP52" i="50" s="1"/>
  <c r="K51" i="51" s="1"/>
  <c r="L51" i="51" s="1"/>
  <c r="G50" i="52"/>
  <c r="AJ52" i="50"/>
  <c r="AK52" i="50" s="1"/>
  <c r="AH53" i="50" l="1"/>
  <c r="AJ53" i="50" s="1"/>
  <c r="F51" i="52"/>
  <c r="M51" i="51"/>
  <c r="N51" i="51" s="1"/>
  <c r="P51" i="51" s="1"/>
  <c r="R51" i="51" s="1"/>
  <c r="T51" i="51" s="1"/>
  <c r="V51" i="51" s="1"/>
  <c r="AO52" i="50"/>
  <c r="AQ52" i="50" s="1"/>
  <c r="AG51" i="51"/>
  <c r="AI51" i="51" s="1"/>
  <c r="AE51" i="51" s="1"/>
  <c r="EF52" i="50"/>
  <c r="W50" i="52"/>
  <c r="DT52" i="50"/>
  <c r="U50" i="52"/>
  <c r="DZ52" i="50"/>
  <c r="V50" i="52"/>
  <c r="DN52" i="50"/>
  <c r="T50" i="52"/>
  <c r="DB52" i="50"/>
  <c r="R50" i="52"/>
  <c r="BL52" i="50"/>
  <c r="K50" i="52"/>
  <c r="P52" i="50"/>
  <c r="N51" i="50"/>
  <c r="I58" i="24" s="1"/>
  <c r="C50" i="52"/>
  <c r="CJ52" i="50"/>
  <c r="O50" i="52"/>
  <c r="BX52" i="50"/>
  <c r="M50" i="52"/>
  <c r="AZ52" i="50"/>
  <c r="I50" i="52"/>
  <c r="O51" i="50"/>
  <c r="J58" i="24" s="1"/>
  <c r="AD58" i="24" s="1"/>
  <c r="AT52" i="50"/>
  <c r="H50" i="52"/>
  <c r="CP52" i="50"/>
  <c r="P50" i="52"/>
  <c r="BR52" i="50"/>
  <c r="L50" i="52"/>
  <c r="BF52" i="50"/>
  <c r="J50" i="52"/>
  <c r="AB52" i="50"/>
  <c r="E50" i="52"/>
  <c r="V52" i="50"/>
  <c r="D50" i="52"/>
  <c r="CD52" i="50"/>
  <c r="N50" i="52"/>
  <c r="AO50" i="52" l="1"/>
  <c r="AE50" i="52"/>
  <c r="AF50" i="52"/>
  <c r="AK50" i="52"/>
  <c r="AM50" i="52"/>
  <c r="AQ50" i="52"/>
  <c r="AI50" i="52"/>
  <c r="AJ50" i="52"/>
  <c r="AN50" i="52"/>
  <c r="AP50" i="52"/>
  <c r="AR50" i="52"/>
  <c r="AD50" i="52"/>
  <c r="AY50" i="52"/>
  <c r="BA50" i="52"/>
  <c r="AZ50" i="52"/>
  <c r="AT50" i="52"/>
  <c r="AG50" i="52"/>
  <c r="AH50" i="52"/>
  <c r="L58" i="24"/>
  <c r="AC58" i="24"/>
  <c r="AB58" i="24" s="1"/>
  <c r="AL50" i="52"/>
  <c r="AS50" i="52"/>
  <c r="AU50" i="52"/>
  <c r="AW50" i="52"/>
  <c r="AV50" i="52"/>
  <c r="AX50" i="52"/>
  <c r="Q52" i="50"/>
  <c r="S52" i="50" s="1"/>
  <c r="BG52" i="50"/>
  <c r="BI52" i="50" s="1"/>
  <c r="CE52" i="50"/>
  <c r="CG52" i="50" s="1"/>
  <c r="AU52" i="50"/>
  <c r="AW52" i="50" s="1"/>
  <c r="AC52" i="50"/>
  <c r="AE52" i="50" s="1"/>
  <c r="W52" i="50"/>
  <c r="Y52" i="50" s="1"/>
  <c r="BY52" i="50"/>
  <c r="CA52" i="50" s="1"/>
  <c r="CK52" i="50"/>
  <c r="CM52" i="50" s="1"/>
  <c r="BA52" i="50"/>
  <c r="BC52" i="50" s="1"/>
  <c r="BM52" i="50"/>
  <c r="BO52" i="50" s="1"/>
  <c r="EA52" i="50"/>
  <c r="EC52" i="50" s="1"/>
  <c r="BS52" i="50"/>
  <c r="BU52" i="50" s="1"/>
  <c r="CQ52" i="50"/>
  <c r="CS52" i="50" s="1"/>
  <c r="DC52" i="50"/>
  <c r="DE52" i="50" s="1"/>
  <c r="EG52" i="50"/>
  <c r="EI52" i="50" s="1"/>
  <c r="DO52" i="50"/>
  <c r="DQ52" i="50" s="1"/>
  <c r="DU52" i="50"/>
  <c r="DW52" i="50" s="1"/>
  <c r="AN53" i="50"/>
  <c r="AP53" i="50" s="1"/>
  <c r="K52" i="51" s="1"/>
  <c r="L52" i="51" s="1"/>
  <c r="G51" i="52"/>
  <c r="AK53" i="50"/>
  <c r="M52" i="51"/>
  <c r="AO53" i="50"/>
  <c r="AQ53" i="50" l="1"/>
  <c r="AN54" i="50" s="1"/>
  <c r="AP54" i="50" s="1"/>
  <c r="K53" i="51" s="1"/>
  <c r="L53" i="51" s="1"/>
  <c r="N52" i="51"/>
  <c r="P52" i="51" s="1"/>
  <c r="R52" i="51" s="1"/>
  <c r="T52" i="51" s="1"/>
  <c r="V52" i="51" s="1"/>
  <c r="AG52" i="51"/>
  <c r="AI52" i="51" s="1"/>
  <c r="AE52" i="51" s="1"/>
  <c r="W53" i="50" s="1"/>
  <c r="AH54" i="50"/>
  <c r="F52" i="52"/>
  <c r="DT53" i="50"/>
  <c r="U51" i="52"/>
  <c r="DN53" i="50"/>
  <c r="T51" i="52"/>
  <c r="EF53" i="50"/>
  <c r="W51" i="52"/>
  <c r="DB53" i="50"/>
  <c r="R51" i="52"/>
  <c r="CP53" i="50"/>
  <c r="P51" i="52"/>
  <c r="BR53" i="50"/>
  <c r="L51" i="52"/>
  <c r="DZ53" i="50"/>
  <c r="V51" i="52"/>
  <c r="BL53" i="50"/>
  <c r="K51" i="52"/>
  <c r="O52" i="50"/>
  <c r="J59" i="24" s="1"/>
  <c r="AD59" i="24" s="1"/>
  <c r="AZ53" i="50"/>
  <c r="I51" i="52"/>
  <c r="CJ53" i="50"/>
  <c r="O51" i="52"/>
  <c r="BX53" i="50"/>
  <c r="M51" i="52"/>
  <c r="V53" i="50"/>
  <c r="D51" i="52"/>
  <c r="AB53" i="50"/>
  <c r="E51" i="52"/>
  <c r="AT53" i="50"/>
  <c r="H51" i="52"/>
  <c r="CD53" i="50"/>
  <c r="N51" i="52"/>
  <c r="BF53" i="50"/>
  <c r="J51" i="52"/>
  <c r="P53" i="50"/>
  <c r="N52" i="50"/>
  <c r="I59" i="24" s="1"/>
  <c r="C51" i="52"/>
  <c r="DU53" i="50" l="1"/>
  <c r="EA53" i="50"/>
  <c r="EC53" i="50" s="1"/>
  <c r="CQ53" i="50"/>
  <c r="CS53" i="50" s="1"/>
  <c r="BS53" i="50"/>
  <c r="BU53" i="50" s="1"/>
  <c r="BY53" i="50"/>
  <c r="CA53" i="50" s="1"/>
  <c r="BM53" i="50"/>
  <c r="BO53" i="50" s="1"/>
  <c r="BG53" i="50"/>
  <c r="BI53" i="50" s="1"/>
  <c r="BA53" i="50"/>
  <c r="BC53" i="50" s="1"/>
  <c r="AU53" i="50"/>
  <c r="AW53" i="50" s="1"/>
  <c r="EG53" i="50"/>
  <c r="EI53" i="50" s="1"/>
  <c r="G52" i="52"/>
  <c r="AC53" i="50"/>
  <c r="AE53" i="50" s="1"/>
  <c r="Q53" i="50"/>
  <c r="S53" i="50" s="1"/>
  <c r="CK53" i="50"/>
  <c r="CM53" i="50" s="1"/>
  <c r="DC53" i="50"/>
  <c r="DE53" i="50" s="1"/>
  <c r="CE53" i="50"/>
  <c r="CG53" i="50" s="1"/>
  <c r="DO53" i="50"/>
  <c r="DQ53" i="50" s="1"/>
  <c r="AZ51" i="52"/>
  <c r="AR51" i="52"/>
  <c r="AD51" i="52"/>
  <c r="BA51" i="52"/>
  <c r="AT51" i="52"/>
  <c r="AY51" i="52"/>
  <c r="AG51" i="52"/>
  <c r="AH51" i="52"/>
  <c r="L59" i="24"/>
  <c r="AC59" i="24"/>
  <c r="AB59" i="24" s="1"/>
  <c r="AK51" i="52"/>
  <c r="AO51" i="52"/>
  <c r="AI51" i="52"/>
  <c r="AF51" i="52"/>
  <c r="AE51" i="52"/>
  <c r="AN51" i="52"/>
  <c r="AP51" i="52"/>
  <c r="AJ51" i="52"/>
  <c r="AL51" i="52"/>
  <c r="AW51" i="52"/>
  <c r="AM51" i="52"/>
  <c r="AQ51" i="52"/>
  <c r="AS51" i="52"/>
  <c r="AX51" i="52"/>
  <c r="AU51" i="52"/>
  <c r="AV51" i="52"/>
  <c r="AJ54" i="50"/>
  <c r="AK54" i="50" s="1"/>
  <c r="DW53" i="50"/>
  <c r="Y53" i="50"/>
  <c r="V54" i="50" l="1"/>
  <c r="D52" i="52"/>
  <c r="CD54" i="50"/>
  <c r="N52" i="52"/>
  <c r="P54" i="50"/>
  <c r="C52" i="52"/>
  <c r="N53" i="50"/>
  <c r="I60" i="24" s="1"/>
  <c r="AB54" i="50"/>
  <c r="E52" i="52"/>
  <c r="O53" i="50"/>
  <c r="J60" i="24" s="1"/>
  <c r="AD60" i="24" s="1"/>
  <c r="AZ54" i="50"/>
  <c r="I52" i="52"/>
  <c r="AT54" i="50"/>
  <c r="H52" i="52"/>
  <c r="BF54" i="50"/>
  <c r="J52" i="52"/>
  <c r="BR54" i="50"/>
  <c r="L52" i="52"/>
  <c r="BL54" i="50"/>
  <c r="K52" i="52"/>
  <c r="CP54" i="50"/>
  <c r="P52" i="52"/>
  <c r="BX54" i="50"/>
  <c r="M52" i="52"/>
  <c r="CJ54" i="50"/>
  <c r="O52" i="52"/>
  <c r="DN54" i="50"/>
  <c r="T52" i="52"/>
  <c r="DB54" i="50"/>
  <c r="R52" i="52"/>
  <c r="EF54" i="50"/>
  <c r="W52" i="52"/>
  <c r="U52" i="52"/>
  <c r="DT54" i="50"/>
  <c r="DZ54" i="50"/>
  <c r="V52" i="52"/>
  <c r="AH55" i="50"/>
  <c r="F53" i="52"/>
  <c r="M53" i="51"/>
  <c r="N53" i="51" s="1"/>
  <c r="P53" i="51" s="1"/>
  <c r="R53" i="51" s="1"/>
  <c r="T53" i="51" s="1"/>
  <c r="V53" i="51" s="1"/>
  <c r="AO54" i="50"/>
  <c r="AQ54" i="50" s="1"/>
  <c r="AG53" i="51"/>
  <c r="AI53" i="51" s="1"/>
  <c r="AE53" i="51" s="1"/>
  <c r="AW52" i="52" l="1"/>
  <c r="CE54" i="50"/>
  <c r="CG54" i="50" s="1"/>
  <c r="W54" i="50"/>
  <c r="Y54" i="50" s="1"/>
  <c r="Q54" i="50"/>
  <c r="S54" i="50" s="1"/>
  <c r="BA54" i="50"/>
  <c r="BC54" i="50" s="1"/>
  <c r="AC54" i="50"/>
  <c r="AE54" i="50" s="1"/>
  <c r="AU54" i="50"/>
  <c r="AW54" i="50" s="1"/>
  <c r="BG54" i="50"/>
  <c r="BI54" i="50" s="1"/>
  <c r="BM54" i="50"/>
  <c r="BO54" i="50" s="1"/>
  <c r="EA54" i="50"/>
  <c r="EC54" i="50" s="1"/>
  <c r="BS54" i="50"/>
  <c r="BU54" i="50" s="1"/>
  <c r="CQ54" i="50"/>
  <c r="CS54" i="50" s="1"/>
  <c r="BY54" i="50"/>
  <c r="CA54" i="50" s="1"/>
  <c r="CK54" i="50"/>
  <c r="CM54" i="50" s="1"/>
  <c r="DO54" i="50"/>
  <c r="DQ54" i="50" s="1"/>
  <c r="DU54" i="50"/>
  <c r="DW54" i="50" s="1"/>
  <c r="DC54" i="50"/>
  <c r="DE54" i="50" s="1"/>
  <c r="EG54" i="50"/>
  <c r="EI54" i="50" s="1"/>
  <c r="AN55" i="50"/>
  <c r="AP55" i="50" s="1"/>
  <c r="K54" i="51" s="1"/>
  <c r="L54" i="51" s="1"/>
  <c r="G53" i="52"/>
  <c r="AJ55" i="50"/>
  <c r="AK55" i="50" s="1"/>
  <c r="AV52" i="52"/>
  <c r="AX52" i="52"/>
  <c r="AS52" i="52"/>
  <c r="AU52" i="52"/>
  <c r="AP52" i="52"/>
  <c r="AN52" i="52"/>
  <c r="AQ52" i="52"/>
  <c r="AL52" i="52"/>
  <c r="AM52" i="52"/>
  <c r="AK52" i="52"/>
  <c r="AI52" i="52"/>
  <c r="AJ52" i="52"/>
  <c r="AF52" i="52"/>
  <c r="L60" i="24"/>
  <c r="AC60" i="24"/>
  <c r="AB60" i="24" s="1"/>
  <c r="AR52" i="52"/>
  <c r="AD52" i="52"/>
  <c r="BA52" i="52"/>
  <c r="AT52" i="52"/>
  <c r="AZ52" i="52"/>
  <c r="AY52" i="52"/>
  <c r="AG52" i="52"/>
  <c r="AH52" i="52"/>
  <c r="AO52" i="52"/>
  <c r="AE52" i="52"/>
  <c r="AH56" i="50" l="1"/>
  <c r="F54" i="52"/>
  <c r="M54" i="51"/>
  <c r="N54" i="51" s="1"/>
  <c r="P54" i="51" s="1"/>
  <c r="R54" i="51" s="1"/>
  <c r="T54" i="51" s="1"/>
  <c r="V54" i="51" s="1"/>
  <c r="AG54" i="51"/>
  <c r="AI54" i="51" s="1"/>
  <c r="AE54" i="51" s="1"/>
  <c r="AO55" i="50"/>
  <c r="AQ55" i="50" s="1"/>
  <c r="W53" i="52"/>
  <c r="EF55" i="50"/>
  <c r="DB55" i="50"/>
  <c r="R53" i="52"/>
  <c r="DT55" i="50"/>
  <c r="U53" i="52"/>
  <c r="DN55" i="50"/>
  <c r="T53" i="52"/>
  <c r="CJ55" i="50"/>
  <c r="O53" i="52"/>
  <c r="BX55" i="50"/>
  <c r="M53" i="52"/>
  <c r="CP55" i="50"/>
  <c r="P53" i="52"/>
  <c r="BR55" i="50"/>
  <c r="L53" i="52"/>
  <c r="DZ55" i="50"/>
  <c r="V53" i="52"/>
  <c r="BL55" i="50"/>
  <c r="K53" i="52"/>
  <c r="BF55" i="50"/>
  <c r="J53" i="52"/>
  <c r="AT55" i="50"/>
  <c r="H53" i="52"/>
  <c r="AB55" i="50"/>
  <c r="E53" i="52"/>
  <c r="AZ55" i="50"/>
  <c r="I53" i="52"/>
  <c r="O54" i="50"/>
  <c r="J61" i="24" s="1"/>
  <c r="AD61" i="24" s="1"/>
  <c r="P55" i="50"/>
  <c r="N54" i="50"/>
  <c r="I61" i="24" s="1"/>
  <c r="C53" i="52"/>
  <c r="V55" i="50"/>
  <c r="D53" i="52"/>
  <c r="CD55" i="50"/>
  <c r="N53" i="52"/>
  <c r="AO53" i="52" l="1"/>
  <c r="AE53" i="52"/>
  <c r="AD53" i="52"/>
  <c r="AT53" i="52"/>
  <c r="AY53" i="52"/>
  <c r="BA53" i="52"/>
  <c r="AR53" i="52"/>
  <c r="AZ53" i="52"/>
  <c r="AG53" i="52"/>
  <c r="AH53" i="52"/>
  <c r="L61" i="24"/>
  <c r="AC61" i="24"/>
  <c r="AB61" i="24" s="1"/>
  <c r="AJ53" i="52"/>
  <c r="AF53" i="52"/>
  <c r="AI53" i="52"/>
  <c r="AK53" i="52"/>
  <c r="AL53" i="52"/>
  <c r="AW53" i="52"/>
  <c r="AM53" i="52"/>
  <c r="AQ53" i="52"/>
  <c r="AN53" i="52"/>
  <c r="AP53" i="52"/>
  <c r="AU53" i="52"/>
  <c r="AV53" i="52"/>
  <c r="AS53" i="52"/>
  <c r="AX53" i="52"/>
  <c r="AN56" i="50"/>
  <c r="AP56" i="50" s="1"/>
  <c r="K55" i="51" s="1"/>
  <c r="L55" i="51" s="1"/>
  <c r="G54" i="52"/>
  <c r="CE55" i="50"/>
  <c r="CG55" i="50" s="1"/>
  <c r="Q55" i="50"/>
  <c r="S55" i="50" s="1"/>
  <c r="W55" i="50"/>
  <c r="Y55" i="50" s="1"/>
  <c r="AU55" i="50"/>
  <c r="AW55" i="50" s="1"/>
  <c r="BS55" i="50"/>
  <c r="BU55" i="50" s="1"/>
  <c r="CQ55" i="50"/>
  <c r="CS55" i="50" s="1"/>
  <c r="AC55" i="50"/>
  <c r="AE55" i="50" s="1"/>
  <c r="BA55" i="50"/>
  <c r="BC55" i="50" s="1"/>
  <c r="BM55" i="50"/>
  <c r="BO55" i="50" s="1"/>
  <c r="BG55" i="50"/>
  <c r="BI55" i="50" s="1"/>
  <c r="EG55" i="50"/>
  <c r="EI55" i="50" s="1"/>
  <c r="CK55" i="50"/>
  <c r="CM55" i="50" s="1"/>
  <c r="DU55" i="50"/>
  <c r="DW55" i="50" s="1"/>
  <c r="BY55" i="50"/>
  <c r="CA55" i="50" s="1"/>
  <c r="EA55" i="50"/>
  <c r="EC55" i="50" s="1"/>
  <c r="DC55" i="50"/>
  <c r="DE55" i="50" s="1"/>
  <c r="DO55" i="50"/>
  <c r="DQ55" i="50" s="1"/>
  <c r="AJ56" i="50"/>
  <c r="AK56" i="50" s="1"/>
  <c r="AH57" i="50" l="1"/>
  <c r="F55" i="52"/>
  <c r="M55" i="51"/>
  <c r="N55" i="51" s="1"/>
  <c r="P55" i="51" s="1"/>
  <c r="R55" i="51" s="1"/>
  <c r="T55" i="51" s="1"/>
  <c r="V55" i="51" s="1"/>
  <c r="AO56" i="50"/>
  <c r="AQ56" i="50" s="1"/>
  <c r="AG55" i="51"/>
  <c r="AI55" i="51" s="1"/>
  <c r="AE55" i="51" s="1"/>
  <c r="DN56" i="50"/>
  <c r="T54" i="52"/>
  <c r="DB56" i="50"/>
  <c r="R54" i="52"/>
  <c r="DZ56" i="50"/>
  <c r="V54" i="52"/>
  <c r="BX56" i="50"/>
  <c r="M54" i="52"/>
  <c r="DT56" i="50"/>
  <c r="U54" i="52"/>
  <c r="CJ56" i="50"/>
  <c r="O54" i="52"/>
  <c r="EF56" i="50"/>
  <c r="W54" i="52"/>
  <c r="BF56" i="50"/>
  <c r="J54" i="52"/>
  <c r="BL56" i="50"/>
  <c r="K54" i="52"/>
  <c r="AZ56" i="50"/>
  <c r="I54" i="52"/>
  <c r="O55" i="50"/>
  <c r="J62" i="24" s="1"/>
  <c r="AD62" i="24" s="1"/>
  <c r="AB56" i="50"/>
  <c r="E54" i="52"/>
  <c r="CP56" i="50"/>
  <c r="P54" i="52"/>
  <c r="BR56" i="50"/>
  <c r="L54" i="52"/>
  <c r="AT56" i="50"/>
  <c r="H54" i="52"/>
  <c r="V56" i="50"/>
  <c r="D54" i="52"/>
  <c r="P56" i="50"/>
  <c r="C54" i="52"/>
  <c r="N55" i="50"/>
  <c r="I62" i="24" s="1"/>
  <c r="CD56" i="50"/>
  <c r="N54" i="52"/>
  <c r="AH54" i="52" l="1"/>
  <c r="AO54" i="52"/>
  <c r="L62" i="24"/>
  <c r="AC62" i="24"/>
  <c r="AB62" i="24" s="1"/>
  <c r="AZ54" i="52"/>
  <c r="AR54" i="52"/>
  <c r="BA54" i="52"/>
  <c r="AD54" i="52"/>
  <c r="AY54" i="52"/>
  <c r="AT54" i="52"/>
  <c r="AG54" i="52"/>
  <c r="AE54" i="52"/>
  <c r="AI54" i="52"/>
  <c r="AM54" i="52"/>
  <c r="AQ54" i="52"/>
  <c r="AF54" i="52"/>
  <c r="AJ54" i="52"/>
  <c r="AL54" i="52"/>
  <c r="AK54" i="52"/>
  <c r="AX54" i="52"/>
  <c r="AP54" i="52"/>
  <c r="AV54" i="52"/>
  <c r="AN54" i="52"/>
  <c r="AW54" i="52"/>
  <c r="AS54" i="52"/>
  <c r="AU54" i="52"/>
  <c r="CE56" i="50"/>
  <c r="CG56" i="50" s="1"/>
  <c r="AC56" i="50"/>
  <c r="AE56" i="50" s="1"/>
  <c r="AU56" i="50"/>
  <c r="AW56" i="50" s="1"/>
  <c r="Q56" i="50"/>
  <c r="S56" i="50" s="1"/>
  <c r="W56" i="50"/>
  <c r="Y56" i="50" s="1"/>
  <c r="BM56" i="50"/>
  <c r="BO56" i="50" s="1"/>
  <c r="CK56" i="50"/>
  <c r="CM56" i="50" s="1"/>
  <c r="BS56" i="50"/>
  <c r="BU56" i="50" s="1"/>
  <c r="EA56" i="50"/>
  <c r="EC56" i="50" s="1"/>
  <c r="BA56" i="50"/>
  <c r="BC56" i="50" s="1"/>
  <c r="BG56" i="50"/>
  <c r="BI56" i="50" s="1"/>
  <c r="DC56" i="50"/>
  <c r="DE56" i="50" s="1"/>
  <c r="CQ56" i="50"/>
  <c r="CS56" i="50" s="1"/>
  <c r="BY56" i="50"/>
  <c r="CA56" i="50" s="1"/>
  <c r="DU56" i="50"/>
  <c r="DW56" i="50" s="1"/>
  <c r="DO56" i="50"/>
  <c r="DQ56" i="50" s="1"/>
  <c r="EG56" i="50"/>
  <c r="EI56" i="50" s="1"/>
  <c r="AN57" i="50"/>
  <c r="AP57" i="50" s="1"/>
  <c r="K56" i="51" s="1"/>
  <c r="L56" i="51" s="1"/>
  <c r="G55" i="52"/>
  <c r="AJ57" i="50"/>
  <c r="AK57" i="50" s="1"/>
  <c r="AH58" i="50" l="1"/>
  <c r="F56" i="52"/>
  <c r="M56" i="51"/>
  <c r="N56" i="51" s="1"/>
  <c r="P56" i="51" s="1"/>
  <c r="R56" i="51" s="1"/>
  <c r="T56" i="51" s="1"/>
  <c r="V56" i="51" s="1"/>
  <c r="AO57" i="50"/>
  <c r="AQ57" i="50" s="1"/>
  <c r="AG56" i="51"/>
  <c r="AI56" i="51" s="1"/>
  <c r="AE56" i="51" s="1"/>
  <c r="EF57" i="50"/>
  <c r="W55" i="52"/>
  <c r="DN57" i="50"/>
  <c r="T55" i="52"/>
  <c r="DT57" i="50"/>
  <c r="U55" i="52"/>
  <c r="BX57" i="50"/>
  <c r="M55" i="52"/>
  <c r="CP57" i="50"/>
  <c r="P55" i="52"/>
  <c r="DB57" i="50"/>
  <c r="R55" i="52"/>
  <c r="BF57" i="50"/>
  <c r="J55" i="52"/>
  <c r="AZ57" i="50"/>
  <c r="I55" i="52"/>
  <c r="O56" i="50"/>
  <c r="J63" i="24" s="1"/>
  <c r="AD63" i="24" s="1"/>
  <c r="DZ57" i="50"/>
  <c r="V55" i="52"/>
  <c r="BR57" i="50"/>
  <c r="L55" i="52"/>
  <c r="CJ57" i="50"/>
  <c r="O55" i="52"/>
  <c r="BL57" i="50"/>
  <c r="K55" i="52"/>
  <c r="V57" i="50"/>
  <c r="D55" i="52"/>
  <c r="P57" i="50"/>
  <c r="N56" i="50"/>
  <c r="I63" i="24" s="1"/>
  <c r="C55" i="52"/>
  <c r="AT57" i="50"/>
  <c r="H55" i="52"/>
  <c r="AB57" i="50"/>
  <c r="E55" i="52"/>
  <c r="CD57" i="50"/>
  <c r="N55" i="52"/>
  <c r="AO55" i="52" l="1"/>
  <c r="AF55" i="52"/>
  <c r="AI55" i="52"/>
  <c r="BA55" i="52"/>
  <c r="AT55" i="52"/>
  <c r="AD55" i="52"/>
  <c r="AR55" i="52"/>
  <c r="AY55" i="52"/>
  <c r="AZ55" i="52"/>
  <c r="AG55" i="52"/>
  <c r="AH55" i="52"/>
  <c r="L63" i="24"/>
  <c r="AC63" i="24"/>
  <c r="AB63" i="24" s="1"/>
  <c r="AE55" i="52"/>
  <c r="AL55" i="52"/>
  <c r="AP55" i="52"/>
  <c r="AM55" i="52"/>
  <c r="AW55" i="52"/>
  <c r="AJ55" i="52"/>
  <c r="AK55" i="52"/>
  <c r="AS55" i="52"/>
  <c r="AQ55" i="52"/>
  <c r="AN55" i="52"/>
  <c r="AV55" i="52"/>
  <c r="AU55" i="52"/>
  <c r="AX55" i="52"/>
  <c r="CE57" i="50"/>
  <c r="CG57" i="50" s="1"/>
  <c r="Q57" i="50"/>
  <c r="S57" i="50" s="1"/>
  <c r="W57" i="50"/>
  <c r="Y57" i="50" s="1"/>
  <c r="AU57" i="50"/>
  <c r="AW57" i="50" s="1"/>
  <c r="AC57" i="50"/>
  <c r="AE57" i="50" s="1"/>
  <c r="BS57" i="50"/>
  <c r="BU57" i="50" s="1"/>
  <c r="BA57" i="50"/>
  <c r="BC57" i="50" s="1"/>
  <c r="BY57" i="50"/>
  <c r="CA57" i="50" s="1"/>
  <c r="CQ57" i="50"/>
  <c r="CS57" i="50" s="1"/>
  <c r="BM57" i="50"/>
  <c r="BO57" i="50" s="1"/>
  <c r="CK57" i="50"/>
  <c r="CM57" i="50" s="1"/>
  <c r="DC57" i="50"/>
  <c r="DE57" i="50" s="1"/>
  <c r="BG57" i="50"/>
  <c r="BI57" i="50" s="1"/>
  <c r="EG57" i="50"/>
  <c r="EI57" i="50" s="1"/>
  <c r="EA57" i="50"/>
  <c r="EC57" i="50" s="1"/>
  <c r="DU57" i="50"/>
  <c r="DW57" i="50" s="1"/>
  <c r="DO57" i="50"/>
  <c r="DQ57" i="50" s="1"/>
  <c r="AN58" i="50"/>
  <c r="AP58" i="50" s="1"/>
  <c r="K57" i="51" s="1"/>
  <c r="L57" i="51" s="1"/>
  <c r="G56" i="52"/>
  <c r="AJ58" i="50"/>
  <c r="AK58" i="50" s="1"/>
  <c r="AH59" i="50" l="1"/>
  <c r="F57" i="52"/>
  <c r="M57" i="51"/>
  <c r="N57" i="51" s="1"/>
  <c r="P57" i="51" s="1"/>
  <c r="R57" i="51" s="1"/>
  <c r="T57" i="51" s="1"/>
  <c r="V57" i="51" s="1"/>
  <c r="AO58" i="50"/>
  <c r="AQ58" i="50" s="1"/>
  <c r="AG57" i="51"/>
  <c r="AI57" i="51" s="1"/>
  <c r="AE57" i="51" s="1"/>
  <c r="DN58" i="50"/>
  <c r="T56" i="52"/>
  <c r="U56" i="52"/>
  <c r="DT58" i="50"/>
  <c r="DZ58" i="50"/>
  <c r="V56" i="52"/>
  <c r="EF58" i="50"/>
  <c r="W56" i="52"/>
  <c r="BF58" i="50"/>
  <c r="J56" i="52"/>
  <c r="DB58" i="50"/>
  <c r="R56" i="52"/>
  <c r="CJ58" i="50"/>
  <c r="O56" i="52"/>
  <c r="BL58" i="50"/>
  <c r="K56" i="52"/>
  <c r="CP58" i="50"/>
  <c r="P56" i="52"/>
  <c r="BX58" i="50"/>
  <c r="M56" i="52"/>
  <c r="O57" i="50"/>
  <c r="J64" i="24" s="1"/>
  <c r="AD64" i="24" s="1"/>
  <c r="AZ58" i="50"/>
  <c r="I56" i="52"/>
  <c r="BR58" i="50"/>
  <c r="L56" i="52"/>
  <c r="AB58" i="50"/>
  <c r="E56" i="52"/>
  <c r="AT58" i="50"/>
  <c r="H56" i="52"/>
  <c r="V58" i="50"/>
  <c r="D56" i="52"/>
  <c r="P58" i="50"/>
  <c r="N57" i="50"/>
  <c r="I64" i="24" s="1"/>
  <c r="C56" i="52"/>
  <c r="CD58" i="50"/>
  <c r="N56" i="52"/>
  <c r="AO56" i="52" l="1"/>
  <c r="AD56" i="52"/>
  <c r="AT56" i="52"/>
  <c r="AR56" i="52"/>
  <c r="AZ56" i="52"/>
  <c r="AY56" i="52"/>
  <c r="BA56" i="52"/>
  <c r="AG56" i="52"/>
  <c r="AH56" i="52"/>
  <c r="L64" i="24"/>
  <c r="AC64" i="24"/>
  <c r="AB64" i="24" s="1"/>
  <c r="AE56" i="52"/>
  <c r="AI56" i="52"/>
  <c r="AF56" i="52"/>
  <c r="AM56" i="52"/>
  <c r="AJ56" i="52"/>
  <c r="AN56" i="52"/>
  <c r="AQ56" i="52"/>
  <c r="AL56" i="52"/>
  <c r="AP56" i="52"/>
  <c r="AS56" i="52"/>
  <c r="AK56" i="52"/>
  <c r="AX56" i="52"/>
  <c r="AW56" i="52"/>
  <c r="AV56" i="52"/>
  <c r="AU56" i="52"/>
  <c r="CE58" i="50"/>
  <c r="CG58" i="50" s="1"/>
  <c r="Q58" i="50"/>
  <c r="S58" i="50" s="1"/>
  <c r="BA58" i="50"/>
  <c r="BC58" i="50" s="1"/>
  <c r="AU58" i="50"/>
  <c r="AW58" i="50" s="1"/>
  <c r="AC58" i="50"/>
  <c r="AE58" i="50" s="1"/>
  <c r="W58" i="50"/>
  <c r="Y58" i="50" s="1"/>
  <c r="EA58" i="50"/>
  <c r="EC58" i="50" s="1"/>
  <c r="BY58" i="50"/>
  <c r="CA58" i="50" s="1"/>
  <c r="CQ58" i="50"/>
  <c r="CS58" i="50" s="1"/>
  <c r="BM58" i="50"/>
  <c r="BO58" i="50" s="1"/>
  <c r="CK58" i="50"/>
  <c r="CM58" i="50" s="1"/>
  <c r="BG58" i="50"/>
  <c r="BI58" i="50" s="1"/>
  <c r="BS58" i="50"/>
  <c r="BU58" i="50" s="1"/>
  <c r="DO58" i="50"/>
  <c r="DQ58" i="50" s="1"/>
  <c r="DC58" i="50"/>
  <c r="DE58" i="50" s="1"/>
  <c r="EG58" i="50"/>
  <c r="EI58" i="50" s="1"/>
  <c r="DU58" i="50"/>
  <c r="DW58" i="50" s="1"/>
  <c r="AN59" i="50"/>
  <c r="AP59" i="50" s="1"/>
  <c r="G57" i="52"/>
  <c r="AJ59" i="50"/>
  <c r="M58" i="51" l="1"/>
  <c r="AO59" i="50"/>
  <c r="AQ59" i="50" s="1"/>
  <c r="AG58" i="51"/>
  <c r="AI58" i="51" s="1"/>
  <c r="AE58" i="51" s="1"/>
  <c r="AK59" i="50"/>
  <c r="K58" i="51"/>
  <c r="L58" i="51" s="1"/>
  <c r="N58" i="51" s="1"/>
  <c r="P58" i="51" s="1"/>
  <c r="R58" i="51" s="1"/>
  <c r="T58" i="51" s="1"/>
  <c r="V58" i="51" s="1"/>
  <c r="U57" i="52"/>
  <c r="DT59" i="50"/>
  <c r="W57" i="52"/>
  <c r="EF59" i="50"/>
  <c r="DB59" i="50"/>
  <c r="R57" i="52"/>
  <c r="DN59" i="50"/>
  <c r="T57" i="52"/>
  <c r="BR59" i="50"/>
  <c r="L57" i="52"/>
  <c r="BF59" i="50"/>
  <c r="J57" i="52"/>
  <c r="CJ59" i="50"/>
  <c r="O57" i="52"/>
  <c r="BL59" i="50"/>
  <c r="K57" i="52"/>
  <c r="CP59" i="50"/>
  <c r="P57" i="52"/>
  <c r="BX59" i="50"/>
  <c r="M57" i="52"/>
  <c r="V57" i="52"/>
  <c r="DZ59" i="50"/>
  <c r="V59" i="50"/>
  <c r="D57" i="52"/>
  <c r="AB59" i="50"/>
  <c r="E57" i="52"/>
  <c r="AT59" i="50"/>
  <c r="H57" i="52"/>
  <c r="O58" i="50"/>
  <c r="J65" i="24" s="1"/>
  <c r="AD65" i="24" s="1"/>
  <c r="AZ59" i="50"/>
  <c r="I57" i="52"/>
  <c r="P59" i="50"/>
  <c r="N58" i="50"/>
  <c r="I65" i="24" s="1"/>
  <c r="C57" i="52"/>
  <c r="CD59" i="50"/>
  <c r="N57" i="52"/>
  <c r="AO57" i="52" l="1"/>
  <c r="AR57" i="52"/>
  <c r="AZ57" i="52"/>
  <c r="BA57" i="52"/>
  <c r="AT57" i="52"/>
  <c r="AD57" i="52"/>
  <c r="AY57" i="52"/>
  <c r="AG57" i="52"/>
  <c r="AH57" i="52"/>
  <c r="L65" i="24"/>
  <c r="AC65" i="24"/>
  <c r="AB65" i="24" s="1"/>
  <c r="AJ57" i="52"/>
  <c r="AI57" i="52"/>
  <c r="AF57" i="52"/>
  <c r="AE57" i="52"/>
  <c r="AW57" i="52"/>
  <c r="AN57" i="52"/>
  <c r="AQ57" i="52"/>
  <c r="AL57" i="52"/>
  <c r="AP57" i="52"/>
  <c r="AK57" i="52"/>
  <c r="AM57" i="52"/>
  <c r="AU57" i="52"/>
  <c r="AS57" i="52"/>
  <c r="AX57" i="52"/>
  <c r="AV57" i="52"/>
  <c r="AN60" i="50"/>
  <c r="AP60" i="50" s="1"/>
  <c r="G58" i="52"/>
  <c r="AH60" i="50"/>
  <c r="F58" i="52"/>
  <c r="CE59" i="50"/>
  <c r="CG59" i="50" s="1"/>
  <c r="W59" i="50"/>
  <c r="Y59" i="50" s="1"/>
  <c r="BA59" i="50"/>
  <c r="BC59" i="50" s="1"/>
  <c r="Q59" i="50"/>
  <c r="S59" i="50" s="1"/>
  <c r="BS59" i="50"/>
  <c r="BU59" i="50" s="1"/>
  <c r="CQ59" i="50"/>
  <c r="CS59" i="50" s="1"/>
  <c r="BG59" i="50"/>
  <c r="BI59" i="50" s="1"/>
  <c r="AU59" i="50"/>
  <c r="AW59" i="50" s="1"/>
  <c r="BM59" i="50"/>
  <c r="BO59" i="50" s="1"/>
  <c r="AC59" i="50"/>
  <c r="AE59" i="50" s="1"/>
  <c r="BY59" i="50"/>
  <c r="CA59" i="50" s="1"/>
  <c r="DO59" i="50"/>
  <c r="DQ59" i="50" s="1"/>
  <c r="EG59" i="50"/>
  <c r="EI59" i="50" s="1"/>
  <c r="CK59" i="50"/>
  <c r="CM59" i="50" s="1"/>
  <c r="DC59" i="50"/>
  <c r="DE59" i="50" s="1"/>
  <c r="DU59" i="50"/>
  <c r="DW59" i="50" s="1"/>
  <c r="EA59" i="50"/>
  <c r="EC59" i="50" s="1"/>
  <c r="V58" i="52" l="1"/>
  <c r="DZ60" i="50"/>
  <c r="DT60" i="50"/>
  <c r="U58" i="52"/>
  <c r="R58" i="52"/>
  <c r="DB60" i="50"/>
  <c r="CJ60" i="50"/>
  <c r="O58" i="52"/>
  <c r="W58" i="52"/>
  <c r="EF60" i="50"/>
  <c r="DN60" i="50"/>
  <c r="T58" i="52"/>
  <c r="BX60" i="50"/>
  <c r="M58" i="52"/>
  <c r="AB60" i="50"/>
  <c r="E58" i="52"/>
  <c r="BL60" i="50"/>
  <c r="K58" i="52"/>
  <c r="AT60" i="50"/>
  <c r="H58" i="52"/>
  <c r="BF60" i="50"/>
  <c r="J58" i="52"/>
  <c r="CP60" i="50"/>
  <c r="P58" i="52"/>
  <c r="BR60" i="50"/>
  <c r="L58" i="52"/>
  <c r="P60" i="50"/>
  <c r="C58" i="52"/>
  <c r="N59" i="50"/>
  <c r="I66" i="24" s="1"/>
  <c r="AZ60" i="50"/>
  <c r="I58" i="52"/>
  <c r="O59" i="50"/>
  <c r="J66" i="24" s="1"/>
  <c r="AD66" i="24" s="1"/>
  <c r="V60" i="50"/>
  <c r="D58" i="52"/>
  <c r="CD60" i="50"/>
  <c r="N58" i="52"/>
  <c r="AJ60" i="50"/>
  <c r="K59" i="51"/>
  <c r="L59" i="51" s="1"/>
  <c r="AO58" i="52" l="1"/>
  <c r="M59" i="51"/>
  <c r="N59" i="51" s="1"/>
  <c r="P59" i="51" s="1"/>
  <c r="R59" i="51" s="1"/>
  <c r="T59" i="51" s="1"/>
  <c r="V59" i="51" s="1"/>
  <c r="AO60" i="50"/>
  <c r="AQ60" i="50" s="1"/>
  <c r="AG59" i="51"/>
  <c r="AI59" i="51" s="1"/>
  <c r="AE59" i="51" s="1"/>
  <c r="AK60" i="50"/>
  <c r="AE58" i="52"/>
  <c r="AJ58" i="52"/>
  <c r="L66" i="24"/>
  <c r="AC66" i="24"/>
  <c r="AB66" i="24" s="1"/>
  <c r="AR58" i="52"/>
  <c r="AD58" i="52"/>
  <c r="AY58" i="52"/>
  <c r="BA58" i="52"/>
  <c r="AZ58" i="52"/>
  <c r="AT58" i="52"/>
  <c r="AG58" i="52"/>
  <c r="AH58" i="52"/>
  <c r="AM58" i="52"/>
  <c r="AQ58" i="52"/>
  <c r="AK58" i="52"/>
  <c r="AI58" i="52"/>
  <c r="AL58" i="52"/>
  <c r="AF58" i="52"/>
  <c r="AN58" i="52"/>
  <c r="AU58" i="52"/>
  <c r="AX58" i="52"/>
  <c r="AP58" i="52"/>
  <c r="AS58" i="52"/>
  <c r="AV58" i="52"/>
  <c r="AW58" i="52"/>
  <c r="AB58" i="52" l="1"/>
  <c r="AH61" i="50"/>
  <c r="F59" i="52"/>
  <c r="CE60" i="50"/>
  <c r="CG60" i="50" s="1"/>
  <c r="AU60" i="50"/>
  <c r="AW60" i="50" s="1"/>
  <c r="W60" i="50"/>
  <c r="Y60" i="50" s="1"/>
  <c r="Q60" i="50"/>
  <c r="S60" i="50" s="1"/>
  <c r="BA60" i="50"/>
  <c r="BC60" i="50" s="1"/>
  <c r="BS60" i="50"/>
  <c r="BU60" i="50" s="1"/>
  <c r="AC60" i="50"/>
  <c r="AE60" i="50" s="1"/>
  <c r="EA60" i="50"/>
  <c r="EC60" i="50" s="1"/>
  <c r="DU60" i="50"/>
  <c r="DW60" i="50" s="1"/>
  <c r="BG60" i="50"/>
  <c r="BI60" i="50" s="1"/>
  <c r="BM60" i="50"/>
  <c r="BO60" i="50" s="1"/>
  <c r="CQ60" i="50"/>
  <c r="CS60" i="50" s="1"/>
  <c r="DO60" i="50"/>
  <c r="DQ60" i="50" s="1"/>
  <c r="CK60" i="50"/>
  <c r="CM60" i="50" s="1"/>
  <c r="BY60" i="50"/>
  <c r="CA60" i="50" s="1"/>
  <c r="DC60" i="50"/>
  <c r="DE60" i="50" s="1"/>
  <c r="EG60" i="50"/>
  <c r="EI60" i="50" s="1"/>
  <c r="AN61" i="50"/>
  <c r="AP61" i="50" s="1"/>
  <c r="G59" i="52"/>
  <c r="K60" i="51" l="1"/>
  <c r="L60" i="51" s="1"/>
  <c r="K68" i="51"/>
  <c r="L68" i="51" s="1"/>
  <c r="K93" i="51"/>
  <c r="L93" i="51" s="1"/>
  <c r="K104" i="51"/>
  <c r="L104" i="51" s="1"/>
  <c r="K86" i="51"/>
  <c r="L86" i="51" s="1"/>
  <c r="K106" i="51"/>
  <c r="L106" i="51" s="1"/>
  <c r="K91" i="51"/>
  <c r="L91" i="51" s="1"/>
  <c r="K85" i="51"/>
  <c r="L85" i="51" s="1"/>
  <c r="K90" i="51"/>
  <c r="L90" i="51" s="1"/>
  <c r="K105" i="51"/>
  <c r="L105" i="51" s="1"/>
  <c r="K95" i="51"/>
  <c r="L95" i="51" s="1"/>
  <c r="K62" i="51"/>
  <c r="L62" i="51" s="1"/>
  <c r="K65" i="51"/>
  <c r="L65" i="51" s="1"/>
  <c r="K119" i="51"/>
  <c r="L119" i="51" s="1"/>
  <c r="K69" i="51"/>
  <c r="L69" i="51" s="1"/>
  <c r="K79" i="51"/>
  <c r="L79" i="51" s="1"/>
  <c r="K99" i="51"/>
  <c r="L99" i="51" s="1"/>
  <c r="K77" i="51"/>
  <c r="L77" i="51" s="1"/>
  <c r="K111" i="51"/>
  <c r="L111" i="51" s="1"/>
  <c r="K101" i="51"/>
  <c r="L101" i="51" s="1"/>
  <c r="K70" i="51"/>
  <c r="L70" i="51" s="1"/>
  <c r="K92" i="51"/>
  <c r="L92" i="51" s="1"/>
  <c r="K114" i="51"/>
  <c r="L114" i="51" s="1"/>
  <c r="K118" i="51"/>
  <c r="L118" i="51" s="1"/>
  <c r="K115" i="51"/>
  <c r="L115" i="51" s="1"/>
  <c r="K113" i="51"/>
  <c r="L113" i="51" s="1"/>
  <c r="K88" i="51"/>
  <c r="L88" i="51" s="1"/>
  <c r="K102" i="51"/>
  <c r="L102" i="51" s="1"/>
  <c r="K64" i="51"/>
  <c r="L64" i="51" s="1"/>
  <c r="K87" i="51"/>
  <c r="L87" i="51" s="1"/>
  <c r="K74" i="51"/>
  <c r="L74" i="51" s="1"/>
  <c r="K63" i="51"/>
  <c r="L63" i="51" s="1"/>
  <c r="K112" i="51"/>
  <c r="L112" i="51" s="1"/>
  <c r="K75" i="51"/>
  <c r="L75" i="51" s="1"/>
  <c r="K121" i="51"/>
  <c r="L121" i="51" s="1"/>
  <c r="K71" i="51"/>
  <c r="L71" i="51" s="1"/>
  <c r="K117" i="51"/>
  <c r="L117" i="51" s="1"/>
  <c r="K73" i="51"/>
  <c r="L73" i="51" s="1"/>
  <c r="K94" i="51"/>
  <c r="L94" i="51" s="1"/>
  <c r="K110" i="51"/>
  <c r="L110" i="51" s="1"/>
  <c r="K120" i="51"/>
  <c r="L120" i="51" s="1"/>
  <c r="K83" i="51"/>
  <c r="L83" i="51" s="1"/>
  <c r="K108" i="51"/>
  <c r="L108" i="51" s="1"/>
  <c r="K80" i="51"/>
  <c r="L80" i="51" s="1"/>
  <c r="K89" i="51"/>
  <c r="L89" i="51" s="1"/>
  <c r="K66" i="51"/>
  <c r="L66" i="51" s="1"/>
  <c r="K78" i="51"/>
  <c r="L78" i="51" s="1"/>
  <c r="K107" i="51"/>
  <c r="L107" i="51" s="1"/>
  <c r="K109" i="51"/>
  <c r="L109" i="51" s="1"/>
  <c r="K81" i="51"/>
  <c r="L81" i="51" s="1"/>
  <c r="K84" i="51"/>
  <c r="L84" i="51" s="1"/>
  <c r="K96" i="51"/>
  <c r="L96" i="51" s="1"/>
  <c r="K100" i="51"/>
  <c r="L100" i="51" s="1"/>
  <c r="K72" i="51"/>
  <c r="L72" i="51" s="1"/>
  <c r="K103" i="51"/>
  <c r="L103" i="51" s="1"/>
  <c r="K76" i="51"/>
  <c r="L76" i="51" s="1"/>
  <c r="K97" i="51"/>
  <c r="L97" i="51" s="1"/>
  <c r="K98" i="51"/>
  <c r="L98" i="51" s="1"/>
  <c r="K61" i="51"/>
  <c r="L61" i="51" s="1"/>
  <c r="K82" i="51"/>
  <c r="L82" i="51" s="1"/>
  <c r="K67" i="51"/>
  <c r="L67" i="51" s="1"/>
  <c r="K116" i="51"/>
  <c r="L116" i="51" s="1"/>
  <c r="EF61" i="50"/>
  <c r="W59" i="52"/>
  <c r="DB61" i="50"/>
  <c r="R59" i="52"/>
  <c r="BX61" i="50"/>
  <c r="M59" i="52"/>
  <c r="CJ61" i="50"/>
  <c r="O59" i="52"/>
  <c r="DN61" i="50"/>
  <c r="T59" i="52"/>
  <c r="CP61" i="50"/>
  <c r="CR61" i="50" s="1"/>
  <c r="P59" i="52"/>
  <c r="BL61" i="50"/>
  <c r="K59" i="52"/>
  <c r="BF61" i="50"/>
  <c r="J59" i="52"/>
  <c r="DT61" i="50"/>
  <c r="U59" i="52"/>
  <c r="DZ61" i="50"/>
  <c r="V59" i="52"/>
  <c r="AB61" i="50"/>
  <c r="E59" i="52"/>
  <c r="BR61" i="50"/>
  <c r="L59" i="52"/>
  <c r="O60" i="50"/>
  <c r="J67" i="24" s="1"/>
  <c r="AD67" i="24" s="1"/>
  <c r="AZ61" i="50"/>
  <c r="BB61" i="50" s="1"/>
  <c r="I59" i="52"/>
  <c r="P61" i="50"/>
  <c r="N60" i="50"/>
  <c r="I67" i="24" s="1"/>
  <c r="C59" i="52"/>
  <c r="V61" i="50"/>
  <c r="D59" i="52"/>
  <c r="AT61" i="50"/>
  <c r="H59" i="52"/>
  <c r="CD61" i="50"/>
  <c r="N59" i="52"/>
  <c r="M66" i="56"/>
  <c r="M66" i="24"/>
  <c r="AG59" i="52" l="1"/>
  <c r="AO59" i="52"/>
  <c r="CF61" i="50"/>
  <c r="AI59" i="52"/>
  <c r="AE59" i="52"/>
  <c r="BA59" i="52"/>
  <c r="AZ59" i="52"/>
  <c r="AY59" i="52"/>
  <c r="AD59" i="52"/>
  <c r="AR59" i="52"/>
  <c r="AT59" i="52"/>
  <c r="AH59" i="52"/>
  <c r="L67" i="24"/>
  <c r="AC67" i="24"/>
  <c r="AB67" i="24" s="1"/>
  <c r="AJ59" i="52"/>
  <c r="AM59" i="52"/>
  <c r="AF59" i="52"/>
  <c r="AW59" i="52"/>
  <c r="AV59" i="52"/>
  <c r="AK59" i="52"/>
  <c r="AL59" i="52"/>
  <c r="AQ59" i="52"/>
  <c r="AU59" i="52"/>
  <c r="AP59" i="52"/>
  <c r="AN59" i="52"/>
  <c r="AS59" i="52"/>
  <c r="AX59" i="52"/>
  <c r="AJ68" i="50"/>
  <c r="AJ62" i="50"/>
  <c r="AJ71" i="50"/>
  <c r="AJ61" i="50"/>
  <c r="AJ69" i="50"/>
  <c r="AJ64" i="50"/>
  <c r="AJ73" i="50"/>
  <c r="AJ74" i="50"/>
  <c r="AJ77" i="50"/>
  <c r="AJ65" i="50"/>
  <c r="AJ76" i="50"/>
  <c r="AJ79" i="50"/>
  <c r="AJ80" i="50"/>
  <c r="AJ63" i="50"/>
  <c r="AJ78" i="50"/>
  <c r="AJ72" i="50"/>
  <c r="AJ75" i="50"/>
  <c r="AJ67" i="50"/>
  <c r="AJ70" i="50"/>
  <c r="AJ66" i="50"/>
  <c r="M92" i="51" l="1"/>
  <c r="N92" i="51" s="1"/>
  <c r="P92" i="51" s="1"/>
  <c r="R92" i="51" s="1"/>
  <c r="T92" i="51" s="1"/>
  <c r="V92" i="51" s="1"/>
  <c r="AE92" i="51" s="1"/>
  <c r="M95" i="51"/>
  <c r="N95" i="51" s="1"/>
  <c r="P95" i="51" s="1"/>
  <c r="R95" i="51" s="1"/>
  <c r="T95" i="51" s="1"/>
  <c r="V95" i="51" s="1"/>
  <c r="AE95" i="51" s="1"/>
  <c r="M105" i="51"/>
  <c r="N105" i="51" s="1"/>
  <c r="P105" i="51" s="1"/>
  <c r="R105" i="51" s="1"/>
  <c r="T105" i="51" s="1"/>
  <c r="V105" i="51" s="1"/>
  <c r="M88" i="51"/>
  <c r="N88" i="51" s="1"/>
  <c r="P88" i="51" s="1"/>
  <c r="R88" i="51" s="1"/>
  <c r="T88" i="51" s="1"/>
  <c r="V88" i="51" s="1"/>
  <c r="AE88" i="51" s="1"/>
  <c r="M118" i="51"/>
  <c r="N118" i="51" s="1"/>
  <c r="P118" i="51" s="1"/>
  <c r="R118" i="51" s="1"/>
  <c r="T118" i="51" s="1"/>
  <c r="V118" i="51" s="1"/>
  <c r="M104" i="51"/>
  <c r="N104" i="51" s="1"/>
  <c r="P104" i="51" s="1"/>
  <c r="R104" i="51" s="1"/>
  <c r="T104" i="51" s="1"/>
  <c r="V104" i="51" s="1"/>
  <c r="M64" i="51"/>
  <c r="N64" i="51" s="1"/>
  <c r="P64" i="51" s="1"/>
  <c r="R64" i="51" s="1"/>
  <c r="T64" i="51" s="1"/>
  <c r="V64" i="51" s="1"/>
  <c r="AE64" i="51" s="1"/>
  <c r="M66" i="51"/>
  <c r="N66" i="51" s="1"/>
  <c r="P66" i="51" s="1"/>
  <c r="R66" i="51" s="1"/>
  <c r="T66" i="51" s="1"/>
  <c r="V66" i="51" s="1"/>
  <c r="AE66" i="51" s="1"/>
  <c r="M120" i="51"/>
  <c r="N120" i="51" s="1"/>
  <c r="P120" i="51" s="1"/>
  <c r="R120" i="51" s="1"/>
  <c r="T120" i="51" s="1"/>
  <c r="V120" i="51" s="1"/>
  <c r="M74" i="51"/>
  <c r="N74" i="51" s="1"/>
  <c r="P74" i="51" s="1"/>
  <c r="R74" i="51" s="1"/>
  <c r="T74" i="51" s="1"/>
  <c r="V74" i="51" s="1"/>
  <c r="AE74" i="51" s="1"/>
  <c r="M80" i="51"/>
  <c r="N80" i="51" s="1"/>
  <c r="P80" i="51" s="1"/>
  <c r="R80" i="51" s="1"/>
  <c r="T80" i="51" s="1"/>
  <c r="V80" i="51" s="1"/>
  <c r="AE80" i="51" s="1"/>
  <c r="M76" i="51"/>
  <c r="N76" i="51" s="1"/>
  <c r="P76" i="51" s="1"/>
  <c r="R76" i="51" s="1"/>
  <c r="T76" i="51" s="1"/>
  <c r="V76" i="51" s="1"/>
  <c r="AE76" i="51" s="1"/>
  <c r="M117" i="51"/>
  <c r="N117" i="51" s="1"/>
  <c r="P117" i="51" s="1"/>
  <c r="R117" i="51" s="1"/>
  <c r="T117" i="51" s="1"/>
  <c r="V117" i="51" s="1"/>
  <c r="M63" i="51"/>
  <c r="N63" i="51" s="1"/>
  <c r="P63" i="51" s="1"/>
  <c r="R63" i="51" s="1"/>
  <c r="T63" i="51" s="1"/>
  <c r="V63" i="51" s="1"/>
  <c r="AE63" i="51" s="1"/>
  <c r="M89" i="51"/>
  <c r="N89" i="51" s="1"/>
  <c r="P89" i="51" s="1"/>
  <c r="R89" i="51" s="1"/>
  <c r="T89" i="51" s="1"/>
  <c r="V89" i="51" s="1"/>
  <c r="AE89" i="51" s="1"/>
  <c r="M75" i="51"/>
  <c r="N75" i="51" s="1"/>
  <c r="P75" i="51" s="1"/>
  <c r="R75" i="51" s="1"/>
  <c r="T75" i="51" s="1"/>
  <c r="V75" i="51" s="1"/>
  <c r="AE75" i="51" s="1"/>
  <c r="M119" i="51"/>
  <c r="N119" i="51" s="1"/>
  <c r="P119" i="51" s="1"/>
  <c r="R119" i="51" s="1"/>
  <c r="T119" i="51" s="1"/>
  <c r="V119" i="51" s="1"/>
  <c r="M107" i="51"/>
  <c r="N107" i="51" s="1"/>
  <c r="P107" i="51" s="1"/>
  <c r="R107" i="51" s="1"/>
  <c r="T107" i="51" s="1"/>
  <c r="V107" i="51" s="1"/>
  <c r="M103" i="51"/>
  <c r="N103" i="51" s="1"/>
  <c r="P103" i="51" s="1"/>
  <c r="R103" i="51" s="1"/>
  <c r="T103" i="51" s="1"/>
  <c r="V103" i="51" s="1"/>
  <c r="M110" i="51"/>
  <c r="N110" i="51" s="1"/>
  <c r="P110" i="51" s="1"/>
  <c r="R110" i="51" s="1"/>
  <c r="T110" i="51" s="1"/>
  <c r="V110" i="51" s="1"/>
  <c r="M98" i="51"/>
  <c r="N98" i="51" s="1"/>
  <c r="P98" i="51" s="1"/>
  <c r="R98" i="51" s="1"/>
  <c r="T98" i="51" s="1"/>
  <c r="V98" i="51" s="1"/>
  <c r="AE98" i="51" s="1"/>
  <c r="M87" i="51"/>
  <c r="N87" i="51" s="1"/>
  <c r="P87" i="51" s="1"/>
  <c r="R87" i="51" s="1"/>
  <c r="T87" i="51" s="1"/>
  <c r="V87" i="51" s="1"/>
  <c r="AE87" i="51" s="1"/>
  <c r="M65" i="51"/>
  <c r="N65" i="51" s="1"/>
  <c r="P65" i="51" s="1"/>
  <c r="R65" i="51" s="1"/>
  <c r="T65" i="51" s="1"/>
  <c r="V65" i="51" s="1"/>
  <c r="AE65" i="51" s="1"/>
  <c r="M94" i="51"/>
  <c r="N94" i="51" s="1"/>
  <c r="P94" i="51" s="1"/>
  <c r="R94" i="51" s="1"/>
  <c r="T94" i="51" s="1"/>
  <c r="V94" i="51" s="1"/>
  <c r="AE94" i="51" s="1"/>
  <c r="M109" i="51"/>
  <c r="N109" i="51" s="1"/>
  <c r="P109" i="51" s="1"/>
  <c r="R109" i="51" s="1"/>
  <c r="T109" i="51" s="1"/>
  <c r="V109" i="51" s="1"/>
  <c r="M116" i="51"/>
  <c r="N116" i="51" s="1"/>
  <c r="P116" i="51" s="1"/>
  <c r="R116" i="51" s="1"/>
  <c r="T116" i="51" s="1"/>
  <c r="V116" i="51" s="1"/>
  <c r="M67" i="51"/>
  <c r="N67" i="51" s="1"/>
  <c r="P67" i="51" s="1"/>
  <c r="R67" i="51" s="1"/>
  <c r="T67" i="51" s="1"/>
  <c r="V67" i="51" s="1"/>
  <c r="AE67" i="51" s="1"/>
  <c r="M108" i="51"/>
  <c r="N108" i="51" s="1"/>
  <c r="P108" i="51" s="1"/>
  <c r="R108" i="51" s="1"/>
  <c r="T108" i="51" s="1"/>
  <c r="V108" i="51" s="1"/>
  <c r="M100" i="51"/>
  <c r="N100" i="51" s="1"/>
  <c r="P100" i="51" s="1"/>
  <c r="R100" i="51" s="1"/>
  <c r="T100" i="51" s="1"/>
  <c r="V100" i="51" s="1"/>
  <c r="AE100" i="51" s="1"/>
  <c r="M97" i="51"/>
  <c r="N97" i="51" s="1"/>
  <c r="P97" i="51" s="1"/>
  <c r="R97" i="51" s="1"/>
  <c r="T97" i="51" s="1"/>
  <c r="V97" i="51" s="1"/>
  <c r="AE97" i="51" s="1"/>
  <c r="M86" i="51"/>
  <c r="N86" i="51" s="1"/>
  <c r="P86" i="51" s="1"/>
  <c r="R86" i="51" s="1"/>
  <c r="T86" i="51" s="1"/>
  <c r="V86" i="51" s="1"/>
  <c r="AE86" i="51" s="1"/>
  <c r="M114" i="51"/>
  <c r="N114" i="51" s="1"/>
  <c r="P114" i="51" s="1"/>
  <c r="R114" i="51" s="1"/>
  <c r="T114" i="51" s="1"/>
  <c r="V114" i="51" s="1"/>
  <c r="M115" i="51"/>
  <c r="N115" i="51" s="1"/>
  <c r="P115" i="51" s="1"/>
  <c r="R115" i="51" s="1"/>
  <c r="T115" i="51" s="1"/>
  <c r="V115" i="51" s="1"/>
  <c r="M69" i="51"/>
  <c r="N69" i="51" s="1"/>
  <c r="P69" i="51" s="1"/>
  <c r="R69" i="51" s="1"/>
  <c r="T69" i="51" s="1"/>
  <c r="V69" i="51" s="1"/>
  <c r="AE69" i="51" s="1"/>
  <c r="M82" i="51"/>
  <c r="N82" i="51" s="1"/>
  <c r="P82" i="51" s="1"/>
  <c r="R82" i="51" s="1"/>
  <c r="T82" i="51" s="1"/>
  <c r="V82" i="51" s="1"/>
  <c r="AE82" i="51" s="1"/>
  <c r="M113" i="51"/>
  <c r="N113" i="51" s="1"/>
  <c r="P113" i="51" s="1"/>
  <c r="R113" i="51" s="1"/>
  <c r="T113" i="51" s="1"/>
  <c r="V113" i="51" s="1"/>
  <c r="M60" i="51"/>
  <c r="N60" i="51" s="1"/>
  <c r="P60" i="51" s="1"/>
  <c r="R60" i="51" s="1"/>
  <c r="T60" i="51" s="1"/>
  <c r="V60" i="51" s="1"/>
  <c r="AE60" i="51" s="1"/>
  <c r="M90" i="51"/>
  <c r="N90" i="51" s="1"/>
  <c r="P90" i="51" s="1"/>
  <c r="R90" i="51" s="1"/>
  <c r="T90" i="51" s="1"/>
  <c r="V90" i="51" s="1"/>
  <c r="AE90" i="51" s="1"/>
  <c r="M93" i="51"/>
  <c r="N93" i="51" s="1"/>
  <c r="P93" i="51" s="1"/>
  <c r="R93" i="51" s="1"/>
  <c r="T93" i="51" s="1"/>
  <c r="V93" i="51" s="1"/>
  <c r="AE93" i="51" s="1"/>
  <c r="M91" i="51"/>
  <c r="N91" i="51" s="1"/>
  <c r="P91" i="51" s="1"/>
  <c r="R91" i="51" s="1"/>
  <c r="T91" i="51" s="1"/>
  <c r="V91" i="51" s="1"/>
  <c r="AE91" i="51" s="1"/>
  <c r="M102" i="51"/>
  <c r="N102" i="51" s="1"/>
  <c r="P102" i="51" s="1"/>
  <c r="R102" i="51" s="1"/>
  <c r="T102" i="51" s="1"/>
  <c r="V102" i="51" s="1"/>
  <c r="M72" i="51"/>
  <c r="N72" i="51" s="1"/>
  <c r="P72" i="51" s="1"/>
  <c r="R72" i="51" s="1"/>
  <c r="T72" i="51" s="1"/>
  <c r="V72" i="51" s="1"/>
  <c r="AE72" i="51" s="1"/>
  <c r="M73" i="51"/>
  <c r="N73" i="51" s="1"/>
  <c r="P73" i="51" s="1"/>
  <c r="R73" i="51" s="1"/>
  <c r="T73" i="51" s="1"/>
  <c r="V73" i="51" s="1"/>
  <c r="AE73" i="51" s="1"/>
  <c r="M85" i="51"/>
  <c r="N85" i="51" s="1"/>
  <c r="P85" i="51" s="1"/>
  <c r="R85" i="51" s="1"/>
  <c r="T85" i="51" s="1"/>
  <c r="V85" i="51" s="1"/>
  <c r="AE85" i="51" s="1"/>
  <c r="M101" i="51"/>
  <c r="N101" i="51" s="1"/>
  <c r="P101" i="51" s="1"/>
  <c r="R101" i="51" s="1"/>
  <c r="T101" i="51" s="1"/>
  <c r="V101" i="51" s="1"/>
  <c r="M68" i="51"/>
  <c r="N68" i="51" s="1"/>
  <c r="P68" i="51" s="1"/>
  <c r="R68" i="51" s="1"/>
  <c r="T68" i="51" s="1"/>
  <c r="V68" i="51" s="1"/>
  <c r="AE68" i="51" s="1"/>
  <c r="M121" i="51"/>
  <c r="N121" i="51" s="1"/>
  <c r="P121" i="51" s="1"/>
  <c r="R121" i="51" s="1"/>
  <c r="T121" i="51" s="1"/>
  <c r="V121" i="51" s="1"/>
  <c r="M77" i="51"/>
  <c r="N77" i="51" s="1"/>
  <c r="P77" i="51" s="1"/>
  <c r="R77" i="51" s="1"/>
  <c r="T77" i="51" s="1"/>
  <c r="V77" i="51" s="1"/>
  <c r="AE77" i="51" s="1"/>
  <c r="M71" i="51"/>
  <c r="N71" i="51" s="1"/>
  <c r="P71" i="51" s="1"/>
  <c r="R71" i="51" s="1"/>
  <c r="T71" i="51" s="1"/>
  <c r="V71" i="51" s="1"/>
  <c r="AE71" i="51" s="1"/>
  <c r="M79" i="51"/>
  <c r="N79" i="51" s="1"/>
  <c r="P79" i="51" s="1"/>
  <c r="R79" i="51" s="1"/>
  <c r="T79" i="51" s="1"/>
  <c r="V79" i="51" s="1"/>
  <c r="AE79" i="51" s="1"/>
  <c r="M61" i="51"/>
  <c r="N61" i="51" s="1"/>
  <c r="P61" i="51" s="1"/>
  <c r="R61" i="51" s="1"/>
  <c r="T61" i="51" s="1"/>
  <c r="V61" i="51" s="1"/>
  <c r="AE61" i="51" s="1"/>
  <c r="M78" i="51"/>
  <c r="N78" i="51" s="1"/>
  <c r="P78" i="51" s="1"/>
  <c r="R78" i="51" s="1"/>
  <c r="T78" i="51" s="1"/>
  <c r="V78" i="51" s="1"/>
  <c r="AE78" i="51" s="1"/>
  <c r="M62" i="51"/>
  <c r="N62" i="51" s="1"/>
  <c r="P62" i="51" s="1"/>
  <c r="R62" i="51" s="1"/>
  <c r="T62" i="51" s="1"/>
  <c r="V62" i="51" s="1"/>
  <c r="AE62" i="51" s="1"/>
  <c r="M111" i="51"/>
  <c r="N111" i="51" s="1"/>
  <c r="P111" i="51" s="1"/>
  <c r="R111" i="51" s="1"/>
  <c r="T111" i="51" s="1"/>
  <c r="V111" i="51" s="1"/>
  <c r="M84" i="51"/>
  <c r="N84" i="51" s="1"/>
  <c r="P84" i="51" s="1"/>
  <c r="R84" i="51" s="1"/>
  <c r="T84" i="51" s="1"/>
  <c r="V84" i="51" s="1"/>
  <c r="AE84" i="51" s="1"/>
  <c r="M81" i="51"/>
  <c r="N81" i="51" s="1"/>
  <c r="P81" i="51" s="1"/>
  <c r="R81" i="51" s="1"/>
  <c r="T81" i="51" s="1"/>
  <c r="V81" i="51" s="1"/>
  <c r="AE81" i="51" s="1"/>
  <c r="M96" i="51"/>
  <c r="N96" i="51" s="1"/>
  <c r="P96" i="51" s="1"/>
  <c r="R96" i="51" s="1"/>
  <c r="T96" i="51" s="1"/>
  <c r="V96" i="51" s="1"/>
  <c r="AE96" i="51" s="1"/>
  <c r="M106" i="51"/>
  <c r="N106" i="51" s="1"/>
  <c r="P106" i="51" s="1"/>
  <c r="R106" i="51" s="1"/>
  <c r="T106" i="51" s="1"/>
  <c r="V106" i="51" s="1"/>
  <c r="M99" i="51"/>
  <c r="N99" i="51" s="1"/>
  <c r="P99" i="51" s="1"/>
  <c r="R99" i="51" s="1"/>
  <c r="T99" i="51" s="1"/>
  <c r="V99" i="51" s="1"/>
  <c r="AE99" i="51" s="1"/>
  <c r="M70" i="51"/>
  <c r="N70" i="51" s="1"/>
  <c r="P70" i="51" s="1"/>
  <c r="R70" i="51" s="1"/>
  <c r="T70" i="51" s="1"/>
  <c r="V70" i="51" s="1"/>
  <c r="AE70" i="51" s="1"/>
  <c r="M112" i="51"/>
  <c r="N112" i="51" s="1"/>
  <c r="P112" i="51" s="1"/>
  <c r="R112" i="51" s="1"/>
  <c r="T112" i="51" s="1"/>
  <c r="V112" i="51" s="1"/>
  <c r="M83" i="51"/>
  <c r="N83" i="51" s="1"/>
  <c r="P83" i="51" s="1"/>
  <c r="R83" i="51" s="1"/>
  <c r="T83" i="51" s="1"/>
  <c r="V83" i="51" s="1"/>
  <c r="AE83" i="51" s="1"/>
  <c r="AG60" i="51"/>
  <c r="AI60" i="51" s="1"/>
  <c r="CE61" i="50" l="1"/>
  <c r="CG61" i="50" s="1"/>
  <c r="CE64" i="50"/>
  <c r="CE67" i="50"/>
  <c r="CE70" i="50"/>
  <c r="CE73" i="50"/>
  <c r="CE76" i="50"/>
  <c r="CE79" i="50"/>
  <c r="CE71" i="50"/>
  <c r="Q66" i="50"/>
  <c r="Q79" i="50"/>
  <c r="W61" i="50"/>
  <c r="Y61" i="50" s="1"/>
  <c r="W65" i="50"/>
  <c r="W69" i="50"/>
  <c r="W73" i="50"/>
  <c r="W77" i="50"/>
  <c r="AO80" i="50"/>
  <c r="AQ80" i="50" s="1"/>
  <c r="G79" i="52" s="1"/>
  <c r="CE75" i="50"/>
  <c r="CE68" i="50"/>
  <c r="Q71" i="50"/>
  <c r="CE72" i="50"/>
  <c r="CE69" i="50"/>
  <c r="CE62" i="50"/>
  <c r="CE80" i="50"/>
  <c r="Q68" i="50"/>
  <c r="W63" i="50"/>
  <c r="W67" i="50"/>
  <c r="W71" i="50"/>
  <c r="W75" i="50"/>
  <c r="W79" i="50"/>
  <c r="BA61" i="50"/>
  <c r="BC61" i="50" s="1"/>
  <c r="BA64" i="50"/>
  <c r="BA67" i="50"/>
  <c r="BA70" i="50"/>
  <c r="BA73" i="50"/>
  <c r="BA76" i="50"/>
  <c r="BA79" i="50"/>
  <c r="CE63" i="50"/>
  <c r="Q69" i="50"/>
  <c r="Q75" i="50"/>
  <c r="W64" i="50"/>
  <c r="W80" i="50"/>
  <c r="AC75" i="50"/>
  <c r="AC80" i="50"/>
  <c r="AI65" i="50"/>
  <c r="AI70" i="50"/>
  <c r="AU74" i="50"/>
  <c r="AU79" i="50"/>
  <c r="BA63" i="50"/>
  <c r="Q64" i="50"/>
  <c r="W70" i="50"/>
  <c r="AC61" i="50"/>
  <c r="AE61" i="50" s="1"/>
  <c r="AC66" i="50"/>
  <c r="AI75" i="50"/>
  <c r="AI80" i="50"/>
  <c r="AU65" i="50"/>
  <c r="CE65" i="50"/>
  <c r="W76" i="50"/>
  <c r="CE66" i="50"/>
  <c r="Q72" i="50"/>
  <c r="Q78" i="50"/>
  <c r="CE78" i="50"/>
  <c r="Q63" i="50"/>
  <c r="AC78" i="50"/>
  <c r="AI71" i="50"/>
  <c r="AU73" i="50"/>
  <c r="BA78" i="50"/>
  <c r="BG64" i="50"/>
  <c r="BG77" i="50"/>
  <c r="BS63" i="50"/>
  <c r="BS67" i="50"/>
  <c r="BS71" i="50"/>
  <c r="BS75" i="50"/>
  <c r="BS79" i="50"/>
  <c r="Q74" i="50"/>
  <c r="W62" i="50"/>
  <c r="W78" i="50"/>
  <c r="AC67" i="50"/>
  <c r="AI66" i="50"/>
  <c r="AI77" i="50"/>
  <c r="AU62" i="50"/>
  <c r="Q65" i="50"/>
  <c r="AC62" i="50"/>
  <c r="AC73" i="50"/>
  <c r="AI72" i="50"/>
  <c r="AU68" i="50"/>
  <c r="AU80" i="50"/>
  <c r="BA71" i="50"/>
  <c r="BA75" i="50"/>
  <c r="Q67" i="50"/>
  <c r="Q76" i="50"/>
  <c r="AC68" i="50"/>
  <c r="AC79" i="50"/>
  <c r="AI61" i="50"/>
  <c r="AK61" i="50" s="1"/>
  <c r="AI78" i="50"/>
  <c r="AU63" i="50"/>
  <c r="AU75" i="50"/>
  <c r="BG65" i="50"/>
  <c r="BG74" i="50"/>
  <c r="Q77" i="50"/>
  <c r="W72" i="50"/>
  <c r="AC74" i="50"/>
  <c r="AI67" i="50"/>
  <c r="AU69" i="50"/>
  <c r="AC63" i="50"/>
  <c r="AI62" i="50"/>
  <c r="AI73" i="50"/>
  <c r="AU70" i="50"/>
  <c r="BA68" i="50"/>
  <c r="BA72" i="50"/>
  <c r="AC69" i="50"/>
  <c r="AI68" i="50"/>
  <c r="AI79" i="50"/>
  <c r="AU64" i="50"/>
  <c r="AU76" i="50"/>
  <c r="BG62" i="50"/>
  <c r="BG75" i="50"/>
  <c r="BS61" i="50"/>
  <c r="BU61" i="50" s="1"/>
  <c r="BS65" i="50"/>
  <c r="BS69" i="50"/>
  <c r="BS73" i="50"/>
  <c r="BS77" i="50"/>
  <c r="Q62" i="50"/>
  <c r="W74" i="50"/>
  <c r="CE74" i="50"/>
  <c r="AU67" i="50"/>
  <c r="BG70" i="50"/>
  <c r="AC70" i="50"/>
  <c r="AI74" i="50"/>
  <c r="AU71" i="50"/>
  <c r="BA69" i="50"/>
  <c r="BG76" i="50"/>
  <c r="Q70" i="50"/>
  <c r="AC71" i="50"/>
  <c r="BA77" i="50"/>
  <c r="BG71" i="50"/>
  <c r="BM78" i="50"/>
  <c r="BS74" i="50"/>
  <c r="BY65" i="50"/>
  <c r="BY70" i="50"/>
  <c r="CE77" i="50"/>
  <c r="AC72" i="50"/>
  <c r="AI63" i="50"/>
  <c r="AI76" i="50"/>
  <c r="AU72" i="50"/>
  <c r="Q73" i="50"/>
  <c r="W66" i="50"/>
  <c r="AC76" i="50"/>
  <c r="BA62" i="50"/>
  <c r="BG72" i="50"/>
  <c r="BG78" i="50"/>
  <c r="BM74" i="50"/>
  <c r="BM79" i="50"/>
  <c r="BS70" i="50"/>
  <c r="BY61" i="50"/>
  <c r="CA61" i="50" s="1"/>
  <c r="BY66" i="50"/>
  <c r="W68" i="50"/>
  <c r="AC77" i="50"/>
  <c r="BG61" i="50"/>
  <c r="BI61" i="50" s="1"/>
  <c r="BG69" i="50"/>
  <c r="BM67" i="50"/>
  <c r="BY74" i="50"/>
  <c r="BY79" i="50"/>
  <c r="CK70" i="50"/>
  <c r="CK75" i="50"/>
  <c r="CQ64" i="50"/>
  <c r="CQ77" i="50"/>
  <c r="CQ80" i="50"/>
  <c r="EA62" i="50"/>
  <c r="EA66" i="50"/>
  <c r="AU78" i="50"/>
  <c r="BG80" i="50"/>
  <c r="BM73" i="50"/>
  <c r="BY63" i="50"/>
  <c r="CK61" i="50"/>
  <c r="CM61" i="50" s="1"/>
  <c r="CK80" i="50"/>
  <c r="CQ61" i="50"/>
  <c r="CS61" i="50" s="1"/>
  <c r="CQ74" i="50"/>
  <c r="BA66" i="50"/>
  <c r="BM62" i="50"/>
  <c r="BS66" i="50"/>
  <c r="BY69" i="50"/>
  <c r="BY75" i="50"/>
  <c r="BY80" i="50"/>
  <c r="CK66" i="50"/>
  <c r="CK71" i="50"/>
  <c r="CQ71" i="50"/>
  <c r="AI64" i="50"/>
  <c r="BG73" i="50"/>
  <c r="BM68" i="50"/>
  <c r="BM80" i="50"/>
  <c r="BS72" i="50"/>
  <c r="BY64" i="50"/>
  <c r="CK76" i="50"/>
  <c r="AU61" i="50"/>
  <c r="AW61" i="50" s="1"/>
  <c r="BG63" i="50"/>
  <c r="BM63" i="50"/>
  <c r="BM69" i="50"/>
  <c r="BM75" i="50"/>
  <c r="BS78" i="50"/>
  <c r="BY76" i="50"/>
  <c r="CK62" i="50"/>
  <c r="CK67" i="50"/>
  <c r="CQ65" i="50"/>
  <c r="Q61" i="50"/>
  <c r="S61" i="50" s="1"/>
  <c r="BY71" i="50"/>
  <c r="CK72" i="50"/>
  <c r="CK77" i="50"/>
  <c r="CQ62" i="50"/>
  <c r="CQ72" i="50"/>
  <c r="AC64" i="50"/>
  <c r="BG66" i="50"/>
  <c r="BM64" i="50"/>
  <c r="BM70" i="50"/>
  <c r="BS62" i="50"/>
  <c r="CK63" i="50"/>
  <c r="CQ69" i="50"/>
  <c r="EA64" i="50"/>
  <c r="EA68" i="50"/>
  <c r="EA72" i="50"/>
  <c r="EA76" i="50"/>
  <c r="EA80" i="50"/>
  <c r="BM66" i="50"/>
  <c r="BS64" i="50"/>
  <c r="CK74" i="50"/>
  <c r="CQ79" i="50"/>
  <c r="DO72" i="50"/>
  <c r="DO77" i="50"/>
  <c r="AC65" i="50"/>
  <c r="BS68" i="50"/>
  <c r="BY78" i="50"/>
  <c r="CK64" i="50"/>
  <c r="CQ63" i="50"/>
  <c r="CQ75" i="50"/>
  <c r="DC67" i="50"/>
  <c r="DC72" i="50"/>
  <c r="BM71" i="50"/>
  <c r="DC62" i="50"/>
  <c r="DO68" i="50"/>
  <c r="AU66" i="50"/>
  <c r="BG79" i="50"/>
  <c r="BY67" i="50"/>
  <c r="CK65" i="50"/>
  <c r="CK78" i="50"/>
  <c r="CQ70" i="50"/>
  <c r="DC73" i="50"/>
  <c r="DO78" i="50"/>
  <c r="DU69" i="50"/>
  <c r="DU74" i="50"/>
  <c r="EA65" i="50"/>
  <c r="EA74" i="50"/>
  <c r="EG63" i="50"/>
  <c r="EG67" i="50"/>
  <c r="EG71" i="50"/>
  <c r="EG75" i="50"/>
  <c r="EG79" i="50"/>
  <c r="AO79" i="50"/>
  <c r="AQ79" i="50" s="1"/>
  <c r="AI69" i="50"/>
  <c r="BA65" i="50"/>
  <c r="CK68" i="50"/>
  <c r="CQ76" i="50"/>
  <c r="DC63" i="50"/>
  <c r="DC68" i="50"/>
  <c r="DC78" i="50"/>
  <c r="DO64" i="50"/>
  <c r="DO69" i="50"/>
  <c r="DU79" i="50"/>
  <c r="AU77" i="50"/>
  <c r="BA74" i="50"/>
  <c r="BM72" i="50"/>
  <c r="BY68" i="50"/>
  <c r="CK79" i="50"/>
  <c r="CQ66" i="50"/>
  <c r="BG67" i="50"/>
  <c r="BM76" i="50"/>
  <c r="BY72" i="50"/>
  <c r="CK69" i="50"/>
  <c r="DC74" i="50"/>
  <c r="DC79" i="50"/>
  <c r="CQ73" i="50"/>
  <c r="DC64" i="50"/>
  <c r="DO79" i="50"/>
  <c r="DU66" i="50"/>
  <c r="DU77" i="50"/>
  <c r="EG65" i="50"/>
  <c r="EG78" i="50"/>
  <c r="AO78" i="50"/>
  <c r="AQ78" i="50" s="1"/>
  <c r="AO74" i="50"/>
  <c r="AQ74" i="50" s="1"/>
  <c r="AO70" i="50"/>
  <c r="AQ70" i="50" s="1"/>
  <c r="AO66" i="50"/>
  <c r="AQ66" i="50" s="1"/>
  <c r="DC65" i="50"/>
  <c r="DC75" i="50"/>
  <c r="DU72" i="50"/>
  <c r="EA61" i="50"/>
  <c r="EC61" i="50" s="1"/>
  <c r="EA71" i="50"/>
  <c r="EG61" i="50"/>
  <c r="EI61" i="50" s="1"/>
  <c r="EG74" i="50"/>
  <c r="BS76" i="50"/>
  <c r="BY73" i="50"/>
  <c r="DO66" i="50"/>
  <c r="DO73" i="50"/>
  <c r="DU61" i="50"/>
  <c r="DW61" i="50" s="1"/>
  <c r="DU78" i="50"/>
  <c r="EG70" i="50"/>
  <c r="Q80" i="50"/>
  <c r="BS80" i="50"/>
  <c r="DO74" i="50"/>
  <c r="DO80" i="50"/>
  <c r="DU67" i="50"/>
  <c r="EA67" i="50"/>
  <c r="EG66" i="50"/>
  <c r="BG68" i="50"/>
  <c r="BY77" i="50"/>
  <c r="DC66" i="50"/>
  <c r="DC76" i="50"/>
  <c r="DO67" i="50"/>
  <c r="DU62" i="50"/>
  <c r="DU73" i="50"/>
  <c r="EA77" i="50"/>
  <c r="EG62" i="50"/>
  <c r="CQ78" i="50"/>
  <c r="DC69" i="50"/>
  <c r="DC77" i="50"/>
  <c r="DO61" i="50"/>
  <c r="DQ61" i="50" s="1"/>
  <c r="DO75" i="50"/>
  <c r="DU68" i="50"/>
  <c r="DU80" i="50"/>
  <c r="BA80" i="50"/>
  <c r="BM61" i="50"/>
  <c r="BO61" i="50" s="1"/>
  <c r="EA63" i="50"/>
  <c r="EA73" i="50"/>
  <c r="EG76" i="50"/>
  <c r="AO72" i="50"/>
  <c r="AQ72" i="50" s="1"/>
  <c r="AO68" i="50"/>
  <c r="AQ68" i="50" s="1"/>
  <c r="AO64" i="50"/>
  <c r="AQ64" i="50" s="1"/>
  <c r="DC70" i="50"/>
  <c r="DO71" i="50"/>
  <c r="EA78" i="50"/>
  <c r="EG80" i="50"/>
  <c r="AO65" i="50"/>
  <c r="AQ65" i="50" s="1"/>
  <c r="AO62" i="50"/>
  <c r="AQ62" i="50" s="1"/>
  <c r="DU71" i="50"/>
  <c r="EG72" i="50"/>
  <c r="AO63" i="50"/>
  <c r="AQ63" i="50" s="1"/>
  <c r="DC71" i="50"/>
  <c r="DU75" i="50"/>
  <c r="EA79" i="50"/>
  <c r="DO76" i="50"/>
  <c r="EA69" i="50"/>
  <c r="EG64" i="50"/>
  <c r="BM65" i="50"/>
  <c r="BY62" i="50"/>
  <c r="CK73" i="50"/>
  <c r="DU63" i="50"/>
  <c r="DU76" i="50"/>
  <c r="EG73" i="50"/>
  <c r="AO76" i="50"/>
  <c r="AQ76" i="50" s="1"/>
  <c r="DO62" i="50"/>
  <c r="EA70" i="50"/>
  <c r="AO77" i="50"/>
  <c r="AQ77" i="50" s="1"/>
  <c r="AO67" i="50"/>
  <c r="AQ67" i="50" s="1"/>
  <c r="CQ67" i="50"/>
  <c r="DO63" i="50"/>
  <c r="DU64" i="50"/>
  <c r="DU70" i="50"/>
  <c r="AO75" i="50"/>
  <c r="AQ75" i="50" s="1"/>
  <c r="EG69" i="50"/>
  <c r="CQ68" i="50"/>
  <c r="DC61" i="50"/>
  <c r="DE61" i="50" s="1"/>
  <c r="EG77" i="50"/>
  <c r="DC80" i="50"/>
  <c r="AO61" i="50"/>
  <c r="AQ61" i="50" s="1"/>
  <c r="BM77" i="50"/>
  <c r="DO70" i="50"/>
  <c r="AO69" i="50"/>
  <c r="AQ69" i="50" s="1"/>
  <c r="DU65" i="50"/>
  <c r="EG68" i="50"/>
  <c r="AO73" i="50"/>
  <c r="AQ73" i="50" s="1"/>
  <c r="AO71" i="50"/>
  <c r="AQ71" i="50" s="1"/>
  <c r="EA75" i="50"/>
  <c r="DO65" i="50"/>
  <c r="AN72" i="50" l="1"/>
  <c r="AP72" i="50" s="1"/>
  <c r="G70" i="52"/>
  <c r="AN74" i="50"/>
  <c r="AP74" i="50" s="1"/>
  <c r="G72" i="52"/>
  <c r="AN70" i="50"/>
  <c r="AP70" i="50" s="1"/>
  <c r="G68" i="52"/>
  <c r="G60" i="52"/>
  <c r="AN62" i="50"/>
  <c r="AP62" i="50" s="1"/>
  <c r="DB62" i="50"/>
  <c r="DE62" i="50" s="1"/>
  <c r="R60" i="52"/>
  <c r="AN76" i="50"/>
  <c r="AP76" i="50" s="1"/>
  <c r="G74" i="52"/>
  <c r="G66" i="52"/>
  <c r="AN68" i="50"/>
  <c r="AP68" i="50" s="1"/>
  <c r="AN78" i="50"/>
  <c r="AP78" i="50" s="1"/>
  <c r="G76" i="52"/>
  <c r="AN77" i="50"/>
  <c r="AP77" i="50" s="1"/>
  <c r="G75" i="52"/>
  <c r="AN64" i="50"/>
  <c r="AP64" i="50" s="1"/>
  <c r="G62" i="52"/>
  <c r="G61" i="52"/>
  <c r="AN63" i="50"/>
  <c r="AP63" i="50" s="1"/>
  <c r="G64" i="52"/>
  <c r="AN66" i="50"/>
  <c r="AP66" i="50" s="1"/>
  <c r="AN65" i="50"/>
  <c r="AP65" i="50" s="1"/>
  <c r="G63" i="52"/>
  <c r="G67" i="52"/>
  <c r="AN69" i="50"/>
  <c r="AP69" i="50" s="1"/>
  <c r="AN73" i="50"/>
  <c r="AP73" i="50" s="1"/>
  <c r="G71" i="52"/>
  <c r="BL62" i="50"/>
  <c r="BO62" i="50" s="1"/>
  <c r="K60" i="52"/>
  <c r="DN62" i="50"/>
  <c r="DQ62" i="50" s="1"/>
  <c r="T60" i="52"/>
  <c r="DT62" i="50"/>
  <c r="DW62" i="50" s="1"/>
  <c r="U60" i="52"/>
  <c r="EF62" i="50"/>
  <c r="EI62" i="50" s="1"/>
  <c r="W60" i="52"/>
  <c r="V60" i="52"/>
  <c r="DZ62" i="50"/>
  <c r="EC62" i="50" s="1"/>
  <c r="G65" i="52"/>
  <c r="AN67" i="50"/>
  <c r="AP67" i="50" s="1"/>
  <c r="AN71" i="50"/>
  <c r="AP71" i="50" s="1"/>
  <c r="G69" i="52"/>
  <c r="G73" i="52"/>
  <c r="AN75" i="50"/>
  <c r="AP75" i="50" s="1"/>
  <c r="AN79" i="50"/>
  <c r="AP79" i="50" s="1"/>
  <c r="G77" i="52"/>
  <c r="AN80" i="50"/>
  <c r="AP80" i="50" s="1"/>
  <c r="G78" i="52"/>
  <c r="P62" i="50"/>
  <c r="S62" i="50" s="1"/>
  <c r="C60" i="52"/>
  <c r="N61" i="50"/>
  <c r="AT62" i="50"/>
  <c r="AW62" i="50" s="1"/>
  <c r="H60" i="52"/>
  <c r="CP62" i="50"/>
  <c r="CR62" i="50" s="1"/>
  <c r="CS62" i="50" s="1"/>
  <c r="P60" i="52"/>
  <c r="CJ62" i="50"/>
  <c r="CM62" i="50" s="1"/>
  <c r="O60" i="52"/>
  <c r="BF62" i="50"/>
  <c r="BI62" i="50" s="1"/>
  <c r="J60" i="52"/>
  <c r="BX62" i="50"/>
  <c r="CA62" i="50" s="1"/>
  <c r="M60" i="52"/>
  <c r="BR62" i="50"/>
  <c r="BU62" i="50" s="1"/>
  <c r="L60" i="52"/>
  <c r="AH62" i="50"/>
  <c r="AK62" i="50" s="1"/>
  <c r="F60" i="52"/>
  <c r="AB62" i="50"/>
  <c r="AE62" i="50" s="1"/>
  <c r="E60" i="52"/>
  <c r="AZ62" i="50"/>
  <c r="I60" i="52"/>
  <c r="O61" i="50"/>
  <c r="V62" i="50"/>
  <c r="Y62" i="50" s="1"/>
  <c r="D60" i="52"/>
  <c r="CD62" i="50"/>
  <c r="CF62" i="50" s="1"/>
  <c r="CG62" i="50" s="1"/>
  <c r="N60" i="52"/>
  <c r="AO60" i="52" s="1"/>
  <c r="AP60" i="52" l="1"/>
  <c r="AF60" i="52"/>
  <c r="AQ60" i="52"/>
  <c r="AG60" i="52"/>
  <c r="AJ60" i="52"/>
  <c r="AI60" i="52"/>
  <c r="AM60" i="52"/>
  <c r="AK60" i="52"/>
  <c r="AN60" i="52"/>
  <c r="AE60" i="52"/>
  <c r="CD63" i="50"/>
  <c r="CF63" i="50" s="1"/>
  <c r="CG63" i="50" s="1"/>
  <c r="N61" i="52"/>
  <c r="V63" i="50"/>
  <c r="Y63" i="50" s="1"/>
  <c r="D61" i="52"/>
  <c r="BB62" i="50"/>
  <c r="AG61" i="51" s="1"/>
  <c r="AI61" i="51" s="1"/>
  <c r="AB63" i="50"/>
  <c r="AE63" i="50" s="1"/>
  <c r="E61" i="52"/>
  <c r="AH63" i="50"/>
  <c r="AK63" i="50" s="1"/>
  <c r="F61" i="52"/>
  <c r="BR63" i="50"/>
  <c r="BU63" i="50" s="1"/>
  <c r="L61" i="52"/>
  <c r="BX63" i="50"/>
  <c r="CA63" i="50" s="1"/>
  <c r="M61" i="52"/>
  <c r="BF63" i="50"/>
  <c r="BI63" i="50" s="1"/>
  <c r="J61" i="52"/>
  <c r="CJ63" i="50"/>
  <c r="CM63" i="50" s="1"/>
  <c r="O61" i="52"/>
  <c r="CP63" i="50"/>
  <c r="CR63" i="50" s="1"/>
  <c r="CS63" i="50" s="1"/>
  <c r="P61" i="52"/>
  <c r="AT63" i="50"/>
  <c r="AW63" i="50" s="1"/>
  <c r="H61" i="52"/>
  <c r="AR60" i="52"/>
  <c r="AY60" i="52"/>
  <c r="BA60" i="52"/>
  <c r="AZ60" i="52"/>
  <c r="AD60" i="52"/>
  <c r="AT60" i="52"/>
  <c r="P63" i="50"/>
  <c r="S63" i="50" s="1"/>
  <c r="N62" i="50"/>
  <c r="C61" i="52"/>
  <c r="DZ63" i="50"/>
  <c r="EC63" i="50" s="1"/>
  <c r="V61" i="52"/>
  <c r="AW60" i="52"/>
  <c r="AX60" i="52"/>
  <c r="EF63" i="50"/>
  <c r="EI63" i="50" s="1"/>
  <c r="W61" i="52"/>
  <c r="AV60" i="52"/>
  <c r="DT63" i="50"/>
  <c r="DW63" i="50" s="1"/>
  <c r="U61" i="52"/>
  <c r="AU60" i="52"/>
  <c r="DN63" i="50"/>
  <c r="DQ63" i="50" s="1"/>
  <c r="T61" i="52"/>
  <c r="AL60" i="52"/>
  <c r="BL63" i="50"/>
  <c r="BO63" i="50" s="1"/>
  <c r="K61" i="52"/>
  <c r="AS60" i="52"/>
  <c r="DB63" i="50"/>
  <c r="DE63" i="50" s="1"/>
  <c r="R61" i="52"/>
  <c r="AH60" i="52"/>
  <c r="AU61" i="52" l="1"/>
  <c r="AW61" i="52"/>
  <c r="AL61" i="52"/>
  <c r="AV61" i="52"/>
  <c r="BC62" i="50"/>
  <c r="O62" i="50" s="1"/>
  <c r="AS61" i="52"/>
  <c r="AX61" i="52"/>
  <c r="DB64" i="50"/>
  <c r="DE64" i="50" s="1"/>
  <c r="R62" i="52"/>
  <c r="BL64" i="50"/>
  <c r="BO64" i="50" s="1"/>
  <c r="K62" i="52"/>
  <c r="DN64" i="50"/>
  <c r="DQ64" i="50" s="1"/>
  <c r="T62" i="52"/>
  <c r="U62" i="52"/>
  <c r="DT64" i="50"/>
  <c r="DW64" i="50" s="1"/>
  <c r="EF64" i="50"/>
  <c r="EI64" i="50" s="1"/>
  <c r="W62" i="52"/>
  <c r="V62" i="52"/>
  <c r="DZ64" i="50"/>
  <c r="EC64" i="50" s="1"/>
  <c r="AH61" i="52"/>
  <c r="AZ61" i="52"/>
  <c r="BA61" i="52"/>
  <c r="AD61" i="52"/>
  <c r="AY61" i="52"/>
  <c r="AT61" i="52"/>
  <c r="AR61" i="52"/>
  <c r="P64" i="50"/>
  <c r="S64" i="50" s="1"/>
  <c r="N63" i="50"/>
  <c r="C62" i="52"/>
  <c r="AI61" i="52"/>
  <c r="AT64" i="50"/>
  <c r="AW64" i="50" s="1"/>
  <c r="H62" i="52"/>
  <c r="AQ61" i="52"/>
  <c r="CP64" i="50"/>
  <c r="CR64" i="50" s="1"/>
  <c r="CS64" i="50" s="1"/>
  <c r="P63" i="52" s="1"/>
  <c r="P62" i="52"/>
  <c r="AP61" i="52"/>
  <c r="CJ64" i="50"/>
  <c r="CM64" i="50" s="1"/>
  <c r="O62" i="52"/>
  <c r="AK61" i="52"/>
  <c r="BF64" i="50"/>
  <c r="BI64" i="50" s="1"/>
  <c r="J62" i="52"/>
  <c r="AN61" i="52"/>
  <c r="BX64" i="50"/>
  <c r="CA64" i="50" s="1"/>
  <c r="M62" i="52"/>
  <c r="AM61" i="52"/>
  <c r="L62" i="52"/>
  <c r="BR64" i="50"/>
  <c r="BU64" i="50" s="1"/>
  <c r="AG61" i="52"/>
  <c r="AH64" i="50"/>
  <c r="AK64" i="50" s="1"/>
  <c r="F62" i="52"/>
  <c r="AF61" i="52"/>
  <c r="AB64" i="50"/>
  <c r="AE64" i="50" s="1"/>
  <c r="E62" i="52"/>
  <c r="AE61" i="52"/>
  <c r="V64" i="50"/>
  <c r="Y64" i="50" s="1"/>
  <c r="D62" i="52"/>
  <c r="AO61" i="52"/>
  <c r="CD64" i="50"/>
  <c r="CF64" i="50" s="1"/>
  <c r="CG64" i="50" s="1"/>
  <c r="CD65" i="50" s="1"/>
  <c r="N62" i="52"/>
  <c r="AO62" i="52" l="1"/>
  <c r="AF62" i="52"/>
  <c r="AG62" i="52"/>
  <c r="AP62" i="52"/>
  <c r="AE62" i="52"/>
  <c r="AM62" i="52"/>
  <c r="AQ62" i="52"/>
  <c r="AN62" i="52"/>
  <c r="AI62" i="52"/>
  <c r="I61" i="52"/>
  <c r="AJ61" i="52" s="1"/>
  <c r="AZ63" i="50"/>
  <c r="BB63" i="50" s="1"/>
  <c r="AG62" i="51" s="1"/>
  <c r="AI62" i="51" s="1"/>
  <c r="CP65" i="50"/>
  <c r="AK62" i="52"/>
  <c r="N63" i="52"/>
  <c r="V65" i="50"/>
  <c r="Y65" i="50" s="1"/>
  <c r="D63" i="52"/>
  <c r="AB65" i="50"/>
  <c r="AE65" i="50" s="1"/>
  <c r="E63" i="52"/>
  <c r="AH65" i="50"/>
  <c r="AK65" i="50" s="1"/>
  <c r="F63" i="52"/>
  <c r="BR65" i="50"/>
  <c r="BU65" i="50" s="1"/>
  <c r="L63" i="52"/>
  <c r="BX65" i="50"/>
  <c r="CA65" i="50" s="1"/>
  <c r="M63" i="52"/>
  <c r="BF65" i="50"/>
  <c r="BI65" i="50" s="1"/>
  <c r="J63" i="52"/>
  <c r="CJ65" i="50"/>
  <c r="CM65" i="50" s="1"/>
  <c r="O63" i="52"/>
  <c r="AT65" i="50"/>
  <c r="AW65" i="50" s="1"/>
  <c r="H63" i="52"/>
  <c r="AD62" i="52"/>
  <c r="AY62" i="52"/>
  <c r="AZ62" i="52"/>
  <c r="AR62" i="52"/>
  <c r="AT62" i="52"/>
  <c r="BA62" i="52"/>
  <c r="AH62" i="52"/>
  <c r="P65" i="50"/>
  <c r="S65" i="50" s="1"/>
  <c r="N64" i="50"/>
  <c r="C63" i="52"/>
  <c r="V63" i="52"/>
  <c r="DZ65" i="50"/>
  <c r="EC65" i="50" s="1"/>
  <c r="AW62" i="52"/>
  <c r="AX62" i="52"/>
  <c r="W63" i="52"/>
  <c r="EF65" i="50"/>
  <c r="EI65" i="50" s="1"/>
  <c r="DT65" i="50"/>
  <c r="DW65" i="50" s="1"/>
  <c r="U63" i="52"/>
  <c r="AV62" i="52"/>
  <c r="AU62" i="52"/>
  <c r="DN65" i="50"/>
  <c r="DQ65" i="50" s="1"/>
  <c r="T63" i="52"/>
  <c r="AL62" i="52"/>
  <c r="BL65" i="50"/>
  <c r="BO65" i="50" s="1"/>
  <c r="K63" i="52"/>
  <c r="AS62" i="52"/>
  <c r="DB65" i="50"/>
  <c r="DE65" i="50" s="1"/>
  <c r="R63" i="52"/>
  <c r="CF65" i="50"/>
  <c r="CG65" i="50" s="1"/>
  <c r="CR65" i="50"/>
  <c r="CS65" i="50" s="1"/>
  <c r="AW63" i="52" l="1"/>
  <c r="AL63" i="52"/>
  <c r="AX63" i="52"/>
  <c r="AU63" i="52"/>
  <c r="BC63" i="50"/>
  <c r="I62" i="52" s="1"/>
  <c r="AJ62" i="52" s="1"/>
  <c r="AB62" i="52" s="1"/>
  <c r="M70" i="56" s="1"/>
  <c r="AS63" i="52"/>
  <c r="AV63" i="52"/>
  <c r="DB66" i="50"/>
  <c r="DE66" i="50" s="1"/>
  <c r="R64" i="52"/>
  <c r="BL66" i="50"/>
  <c r="BO66" i="50" s="1"/>
  <c r="K64" i="52"/>
  <c r="DN66" i="50"/>
  <c r="DQ66" i="50" s="1"/>
  <c r="T64" i="52"/>
  <c r="U64" i="52"/>
  <c r="DT66" i="50"/>
  <c r="DW66" i="50" s="1"/>
  <c r="EF66" i="50"/>
  <c r="EI66" i="50" s="1"/>
  <c r="W64" i="52"/>
  <c r="DZ66" i="50"/>
  <c r="EC66" i="50" s="1"/>
  <c r="V64" i="52"/>
  <c r="BA63" i="52"/>
  <c r="AY63" i="52"/>
  <c r="AR63" i="52"/>
  <c r="AZ63" i="52"/>
  <c r="AD63" i="52"/>
  <c r="AT63" i="52"/>
  <c r="AH63" i="52"/>
  <c r="AO63" i="52"/>
  <c r="AQ63" i="52"/>
  <c r="P66" i="50"/>
  <c r="S66" i="50" s="1"/>
  <c r="N65" i="50"/>
  <c r="C64" i="52"/>
  <c r="AI63" i="52"/>
  <c r="AT66" i="50"/>
  <c r="AW66" i="50" s="1"/>
  <c r="H64" i="52"/>
  <c r="AP63" i="52"/>
  <c r="CJ66" i="50"/>
  <c r="CM66" i="50" s="1"/>
  <c r="O64" i="52"/>
  <c r="AK63" i="52"/>
  <c r="BF66" i="50"/>
  <c r="BI66" i="50" s="1"/>
  <c r="J64" i="52"/>
  <c r="AN63" i="52"/>
  <c r="BX66" i="50"/>
  <c r="CA66" i="50" s="1"/>
  <c r="M64" i="52"/>
  <c r="AM63" i="52"/>
  <c r="BR66" i="50"/>
  <c r="BU66" i="50" s="1"/>
  <c r="L64" i="52"/>
  <c r="AG63" i="52"/>
  <c r="AH66" i="50"/>
  <c r="AK66" i="50" s="1"/>
  <c r="F64" i="52"/>
  <c r="AF63" i="52"/>
  <c r="AB66" i="50"/>
  <c r="AE66" i="50" s="1"/>
  <c r="E64" i="52"/>
  <c r="AE63" i="52"/>
  <c r="V66" i="50"/>
  <c r="Y66" i="50" s="1"/>
  <c r="D64" i="52"/>
  <c r="CD66" i="50"/>
  <c r="N64" i="52"/>
  <c r="CP66" i="50"/>
  <c r="P64" i="52"/>
  <c r="AM64" i="52" l="1"/>
  <c r="AI64" i="52"/>
  <c r="AO64" i="52"/>
  <c r="AE64" i="52"/>
  <c r="AN64" i="52"/>
  <c r="AZ64" i="50"/>
  <c r="BB64" i="50" s="1"/>
  <c r="AG63" i="51" s="1"/>
  <c r="AI63" i="51" s="1"/>
  <c r="O63" i="50"/>
  <c r="AQ64" i="52"/>
  <c r="AG64" i="52"/>
  <c r="AP64" i="52"/>
  <c r="AF64" i="52"/>
  <c r="AK64" i="52"/>
  <c r="V67" i="50"/>
  <c r="Y67" i="50" s="1"/>
  <c r="D65" i="52"/>
  <c r="AB67" i="50"/>
  <c r="AE67" i="50" s="1"/>
  <c r="E65" i="52"/>
  <c r="AH67" i="50"/>
  <c r="AK67" i="50" s="1"/>
  <c r="F65" i="52"/>
  <c r="BR67" i="50"/>
  <c r="BU67" i="50" s="1"/>
  <c r="L65" i="52"/>
  <c r="BX67" i="50"/>
  <c r="CA67" i="50" s="1"/>
  <c r="M65" i="52"/>
  <c r="BF67" i="50"/>
  <c r="BI67" i="50" s="1"/>
  <c r="J65" i="52"/>
  <c r="CJ67" i="50"/>
  <c r="CM67" i="50" s="1"/>
  <c r="O65" i="52"/>
  <c r="AT67" i="50"/>
  <c r="AW67" i="50" s="1"/>
  <c r="H65" i="52"/>
  <c r="AD64" i="52"/>
  <c r="AT64" i="52"/>
  <c r="AY64" i="52"/>
  <c r="AZ64" i="52"/>
  <c r="AR64" i="52"/>
  <c r="BA64" i="52"/>
  <c r="AH64" i="52"/>
  <c r="P67" i="50"/>
  <c r="S67" i="50" s="1"/>
  <c r="C65" i="52"/>
  <c r="N66" i="50"/>
  <c r="AW64" i="52"/>
  <c r="DZ67" i="50"/>
  <c r="EC67" i="50" s="1"/>
  <c r="V65" i="52"/>
  <c r="AX64" i="52"/>
  <c r="EF67" i="50"/>
  <c r="EI67" i="50" s="1"/>
  <c r="W65" i="52"/>
  <c r="DT67" i="50"/>
  <c r="DW67" i="50" s="1"/>
  <c r="U65" i="52"/>
  <c r="AV64" i="52"/>
  <c r="AU64" i="52"/>
  <c r="DN67" i="50"/>
  <c r="DQ67" i="50" s="1"/>
  <c r="T65" i="52"/>
  <c r="AL64" i="52"/>
  <c r="BL67" i="50"/>
  <c r="BO67" i="50" s="1"/>
  <c r="K65" i="52"/>
  <c r="AS64" i="52"/>
  <c r="DB67" i="50"/>
  <c r="DE67" i="50" s="1"/>
  <c r="R65" i="52"/>
  <c r="CR66" i="50"/>
  <c r="CS66" i="50" s="1"/>
  <c r="CF66" i="50"/>
  <c r="CG66" i="50" s="1"/>
  <c r="AU65" i="52" l="1"/>
  <c r="AL65" i="52"/>
  <c r="AW65" i="52"/>
  <c r="AS65" i="52"/>
  <c r="AX65" i="52"/>
  <c r="AV65" i="52"/>
  <c r="BC64" i="50"/>
  <c r="I63" i="52" s="1"/>
  <c r="AJ63" i="52" s="1"/>
  <c r="AB63" i="52" s="1"/>
  <c r="M71" i="56" s="1"/>
  <c r="DB68" i="50"/>
  <c r="DE68" i="50" s="1"/>
  <c r="R66" i="52"/>
  <c r="BL68" i="50"/>
  <c r="BO68" i="50" s="1"/>
  <c r="K66" i="52"/>
  <c r="DN68" i="50"/>
  <c r="DQ68" i="50" s="1"/>
  <c r="T66" i="52"/>
  <c r="DT68" i="50"/>
  <c r="DW68" i="50" s="1"/>
  <c r="U66" i="52"/>
  <c r="W66" i="52"/>
  <c r="EF68" i="50"/>
  <c r="EI68" i="50" s="1"/>
  <c r="V66" i="52"/>
  <c r="DZ68" i="50"/>
  <c r="EC68" i="50" s="1"/>
  <c r="AR65" i="52"/>
  <c r="AY65" i="52"/>
  <c r="AT65" i="52"/>
  <c r="AD65" i="52"/>
  <c r="AZ65" i="52"/>
  <c r="BA65" i="52"/>
  <c r="AH65" i="52"/>
  <c r="P68" i="50"/>
  <c r="S68" i="50" s="1"/>
  <c r="N67" i="50"/>
  <c r="C66" i="52"/>
  <c r="AI65" i="52"/>
  <c r="AT68" i="50"/>
  <c r="AW68" i="50" s="1"/>
  <c r="H66" i="52"/>
  <c r="AP65" i="52"/>
  <c r="CJ68" i="50"/>
  <c r="CM68" i="50" s="1"/>
  <c r="O66" i="52"/>
  <c r="AK65" i="52"/>
  <c r="BF68" i="50"/>
  <c r="BI68" i="50" s="1"/>
  <c r="J66" i="52"/>
  <c r="AN65" i="52"/>
  <c r="BX68" i="50"/>
  <c r="CA68" i="50" s="1"/>
  <c r="M66" i="52"/>
  <c r="AM65" i="52"/>
  <c r="BR68" i="50"/>
  <c r="BU68" i="50" s="1"/>
  <c r="L66" i="52"/>
  <c r="AG65" i="52"/>
  <c r="AH68" i="50"/>
  <c r="AK68" i="50" s="1"/>
  <c r="F66" i="52"/>
  <c r="AF65" i="52"/>
  <c r="AB68" i="50"/>
  <c r="AE68" i="50" s="1"/>
  <c r="E66" i="52"/>
  <c r="AE65" i="52"/>
  <c r="V68" i="50"/>
  <c r="Y68" i="50" s="1"/>
  <c r="D66" i="52"/>
  <c r="CP67" i="50"/>
  <c r="P65" i="52"/>
  <c r="AQ65" i="52" s="1"/>
  <c r="CD67" i="50"/>
  <c r="N65" i="52"/>
  <c r="AO65" i="52" s="1"/>
  <c r="AN66" i="52" l="1"/>
  <c r="O64" i="50"/>
  <c r="AZ65" i="50"/>
  <c r="BB65" i="50" s="1"/>
  <c r="AG64" i="51" s="1"/>
  <c r="AI64" i="51" s="1"/>
  <c r="AF66" i="52"/>
  <c r="AK66" i="52"/>
  <c r="AG66" i="52"/>
  <c r="AP66" i="52"/>
  <c r="AE66" i="52"/>
  <c r="AM66" i="52"/>
  <c r="AI66" i="52"/>
  <c r="V69" i="50"/>
  <c r="Y69" i="50" s="1"/>
  <c r="D67" i="52"/>
  <c r="AB69" i="50"/>
  <c r="AE69" i="50" s="1"/>
  <c r="E67" i="52"/>
  <c r="AH69" i="50"/>
  <c r="AK69" i="50" s="1"/>
  <c r="F67" i="52"/>
  <c r="BR69" i="50"/>
  <c r="BU69" i="50" s="1"/>
  <c r="L67" i="52"/>
  <c r="BX69" i="50"/>
  <c r="CA69" i="50" s="1"/>
  <c r="M67" i="52"/>
  <c r="BF69" i="50"/>
  <c r="BI69" i="50" s="1"/>
  <c r="J67" i="52"/>
  <c r="CJ69" i="50"/>
  <c r="CM69" i="50" s="1"/>
  <c r="O67" i="52"/>
  <c r="AT69" i="50"/>
  <c r="AW69" i="50" s="1"/>
  <c r="H67" i="52"/>
  <c r="BA66" i="52"/>
  <c r="AR66" i="52"/>
  <c r="AT66" i="52"/>
  <c r="AD66" i="52"/>
  <c r="AY66" i="52"/>
  <c r="AZ66" i="52"/>
  <c r="AH66" i="52"/>
  <c r="P69" i="50"/>
  <c r="S69" i="50" s="1"/>
  <c r="C67" i="52"/>
  <c r="N68" i="50"/>
  <c r="DZ69" i="50"/>
  <c r="EC69" i="50" s="1"/>
  <c r="V67" i="52"/>
  <c r="AW66" i="52"/>
  <c r="EF69" i="50"/>
  <c r="EI69" i="50" s="1"/>
  <c r="W67" i="52"/>
  <c r="AX66" i="52"/>
  <c r="AV66" i="52"/>
  <c r="U67" i="52"/>
  <c r="DT69" i="50"/>
  <c r="DW69" i="50" s="1"/>
  <c r="AU66" i="52"/>
  <c r="DN69" i="50"/>
  <c r="DQ69" i="50" s="1"/>
  <c r="T67" i="52"/>
  <c r="AL66" i="52"/>
  <c r="BL69" i="50"/>
  <c r="BO69" i="50" s="1"/>
  <c r="K67" i="52"/>
  <c r="AS66" i="52"/>
  <c r="DB69" i="50"/>
  <c r="DE69" i="50" s="1"/>
  <c r="R67" i="52"/>
  <c r="CF67" i="50"/>
  <c r="CG67" i="50" s="1"/>
  <c r="CR67" i="50"/>
  <c r="CS67" i="50" s="1"/>
  <c r="AU67" i="52" l="1"/>
  <c r="BC65" i="50"/>
  <c r="O65" i="50" s="1"/>
  <c r="AW67" i="52"/>
  <c r="AV67" i="52"/>
  <c r="AS67" i="52"/>
  <c r="AX67" i="52"/>
  <c r="AL67" i="52"/>
  <c r="DB70" i="50"/>
  <c r="DE70" i="50" s="1"/>
  <c r="R68" i="52"/>
  <c r="BL70" i="50"/>
  <c r="BO70" i="50" s="1"/>
  <c r="K68" i="52"/>
  <c r="T68" i="52"/>
  <c r="DN70" i="50"/>
  <c r="DQ70" i="50" s="1"/>
  <c r="DT70" i="50"/>
  <c r="DW70" i="50" s="1"/>
  <c r="U68" i="52"/>
  <c r="EF70" i="50"/>
  <c r="EI70" i="50" s="1"/>
  <c r="W68" i="52"/>
  <c r="DZ70" i="50"/>
  <c r="EC70" i="50" s="1"/>
  <c r="V68" i="52"/>
  <c r="AD67" i="52"/>
  <c r="AR67" i="52"/>
  <c r="BA67" i="52"/>
  <c r="AT67" i="52"/>
  <c r="AY67" i="52"/>
  <c r="AZ67" i="52"/>
  <c r="AH67" i="52"/>
  <c r="P70" i="50"/>
  <c r="S70" i="50" s="1"/>
  <c r="C68" i="52"/>
  <c r="N69" i="50"/>
  <c r="AI67" i="52"/>
  <c r="AT70" i="50"/>
  <c r="AW70" i="50" s="1"/>
  <c r="H68" i="52"/>
  <c r="AP67" i="52"/>
  <c r="CJ70" i="50"/>
  <c r="CM70" i="50" s="1"/>
  <c r="O68" i="52"/>
  <c r="AK67" i="52"/>
  <c r="BF70" i="50"/>
  <c r="BI70" i="50" s="1"/>
  <c r="J68" i="52"/>
  <c r="AN67" i="52"/>
  <c r="BX70" i="50"/>
  <c r="CA70" i="50" s="1"/>
  <c r="M68" i="52"/>
  <c r="AM67" i="52"/>
  <c r="BR70" i="50"/>
  <c r="BU70" i="50" s="1"/>
  <c r="L68" i="52"/>
  <c r="AG67" i="52"/>
  <c r="AH70" i="50"/>
  <c r="AK70" i="50" s="1"/>
  <c r="F68" i="52"/>
  <c r="AF67" i="52"/>
  <c r="AB70" i="50"/>
  <c r="AE70" i="50" s="1"/>
  <c r="E68" i="52"/>
  <c r="AE67" i="52"/>
  <c r="V70" i="50"/>
  <c r="Y70" i="50" s="1"/>
  <c r="D68" i="52"/>
  <c r="CD68" i="50"/>
  <c r="N66" i="52"/>
  <c r="AO66" i="52" s="1"/>
  <c r="CP68" i="50"/>
  <c r="P66" i="52"/>
  <c r="AQ66" i="52" s="1"/>
  <c r="AM68" i="52" l="1"/>
  <c r="AI68" i="52"/>
  <c r="AE68" i="52"/>
  <c r="AN68" i="52"/>
  <c r="AZ66" i="50"/>
  <c r="BB66" i="50" s="1"/>
  <c r="AG65" i="51" s="1"/>
  <c r="AI65" i="51" s="1"/>
  <c r="I64" i="52"/>
  <c r="AJ64" i="52" s="1"/>
  <c r="AB64" i="52" s="1"/>
  <c r="M72" i="56" s="1"/>
  <c r="AG68" i="52"/>
  <c r="AP68" i="52"/>
  <c r="AF68" i="52"/>
  <c r="AK68" i="52"/>
  <c r="V71" i="50"/>
  <c r="Y71" i="50" s="1"/>
  <c r="D69" i="52"/>
  <c r="AB71" i="50"/>
  <c r="AE71" i="50" s="1"/>
  <c r="E69" i="52"/>
  <c r="AH71" i="50"/>
  <c r="AK71" i="50" s="1"/>
  <c r="F69" i="52"/>
  <c r="BR71" i="50"/>
  <c r="BU71" i="50" s="1"/>
  <c r="L69" i="52"/>
  <c r="BX71" i="50"/>
  <c r="CA71" i="50" s="1"/>
  <c r="M69" i="52"/>
  <c r="BF71" i="50"/>
  <c r="BI71" i="50" s="1"/>
  <c r="J69" i="52"/>
  <c r="CJ71" i="50"/>
  <c r="CM71" i="50" s="1"/>
  <c r="O69" i="52"/>
  <c r="AT71" i="50"/>
  <c r="AW71" i="50" s="1"/>
  <c r="H69" i="52"/>
  <c r="AT68" i="52"/>
  <c r="AD68" i="52"/>
  <c r="AR68" i="52"/>
  <c r="BA68" i="52"/>
  <c r="AY68" i="52"/>
  <c r="AZ68" i="52"/>
  <c r="AH68" i="52"/>
  <c r="P71" i="50"/>
  <c r="S71" i="50" s="1"/>
  <c r="N70" i="50"/>
  <c r="C69" i="52"/>
  <c r="AW68" i="52"/>
  <c r="DZ71" i="50"/>
  <c r="EC71" i="50" s="1"/>
  <c r="V69" i="52"/>
  <c r="AX68" i="52"/>
  <c r="EF71" i="50"/>
  <c r="EI71" i="50" s="1"/>
  <c r="W69" i="52"/>
  <c r="AV68" i="52"/>
  <c r="DT71" i="50"/>
  <c r="DW71" i="50" s="1"/>
  <c r="U69" i="52"/>
  <c r="DN71" i="50"/>
  <c r="DQ71" i="50" s="1"/>
  <c r="T69" i="52"/>
  <c r="AU68" i="52"/>
  <c r="AL68" i="52"/>
  <c r="BL71" i="50"/>
  <c r="BO71" i="50" s="1"/>
  <c r="K69" i="52"/>
  <c r="AS68" i="52"/>
  <c r="DB71" i="50"/>
  <c r="DE71" i="50" s="1"/>
  <c r="R69" i="52"/>
  <c r="CR68" i="50"/>
  <c r="CS68" i="50" s="1"/>
  <c r="CF68" i="50"/>
  <c r="CG68" i="50" s="1"/>
  <c r="AL69" i="52" l="1"/>
  <c r="AW69" i="52"/>
  <c r="BC66" i="50"/>
  <c r="O66" i="50" s="1"/>
  <c r="AS69" i="52"/>
  <c r="AX69" i="52"/>
  <c r="AV69" i="52"/>
  <c r="AU69" i="52"/>
  <c r="DB72" i="50"/>
  <c r="DE72" i="50" s="1"/>
  <c r="R70" i="52"/>
  <c r="BL72" i="50"/>
  <c r="BO72" i="50" s="1"/>
  <c r="K70" i="52"/>
  <c r="DN72" i="50"/>
  <c r="DQ72" i="50" s="1"/>
  <c r="T70" i="52"/>
  <c r="DT72" i="50"/>
  <c r="DW72" i="50" s="1"/>
  <c r="U70" i="52"/>
  <c r="EF72" i="50"/>
  <c r="EI72" i="50" s="1"/>
  <c r="W70" i="52"/>
  <c r="DZ72" i="50"/>
  <c r="EC72" i="50" s="1"/>
  <c r="V70" i="52"/>
  <c r="BA69" i="52"/>
  <c r="AD69" i="52"/>
  <c r="AR69" i="52"/>
  <c r="AT69" i="52"/>
  <c r="AY69" i="52"/>
  <c r="AZ69" i="52"/>
  <c r="AH69" i="52"/>
  <c r="P72" i="50"/>
  <c r="S72" i="50" s="1"/>
  <c r="C70" i="52"/>
  <c r="N71" i="50"/>
  <c r="AI69" i="52"/>
  <c r="AT72" i="50"/>
  <c r="AW72" i="50" s="1"/>
  <c r="H70" i="52"/>
  <c r="AP69" i="52"/>
  <c r="CJ72" i="50"/>
  <c r="CM72" i="50" s="1"/>
  <c r="O70" i="52"/>
  <c r="AK69" i="52"/>
  <c r="BF72" i="50"/>
  <c r="BI72" i="50" s="1"/>
  <c r="J70" i="52"/>
  <c r="AN69" i="52"/>
  <c r="BX72" i="50"/>
  <c r="CA72" i="50" s="1"/>
  <c r="M70" i="52"/>
  <c r="AM69" i="52"/>
  <c r="BR72" i="50"/>
  <c r="BU72" i="50" s="1"/>
  <c r="L70" i="52"/>
  <c r="AG69" i="52"/>
  <c r="AH72" i="50"/>
  <c r="AK72" i="50" s="1"/>
  <c r="F70" i="52"/>
  <c r="AF69" i="52"/>
  <c r="AB72" i="50"/>
  <c r="AE72" i="50" s="1"/>
  <c r="E70" i="52"/>
  <c r="AE69" i="52"/>
  <c r="V72" i="50"/>
  <c r="Y72" i="50" s="1"/>
  <c r="D70" i="52"/>
  <c r="P67" i="52"/>
  <c r="AQ67" i="52" s="1"/>
  <c r="CP69" i="50"/>
  <c r="CD69" i="50"/>
  <c r="N67" i="52"/>
  <c r="AO67" i="52" s="1"/>
  <c r="AZ67" i="50"/>
  <c r="AE70" i="52" l="1"/>
  <c r="I65" i="52"/>
  <c r="AJ65" i="52" s="1"/>
  <c r="AB65" i="52" s="1"/>
  <c r="M73" i="56" s="1"/>
  <c r="AN70" i="52"/>
  <c r="AF70" i="52"/>
  <c r="AK70" i="52"/>
  <c r="AG70" i="52"/>
  <c r="AP70" i="52"/>
  <c r="AM70" i="52"/>
  <c r="AI70" i="52"/>
  <c r="V73" i="50"/>
  <c r="Y73" i="50" s="1"/>
  <c r="D71" i="52"/>
  <c r="AB73" i="50"/>
  <c r="AE73" i="50" s="1"/>
  <c r="E71" i="52"/>
  <c r="AH73" i="50"/>
  <c r="AK73" i="50" s="1"/>
  <c r="F71" i="52"/>
  <c r="BR73" i="50"/>
  <c r="BU73" i="50" s="1"/>
  <c r="L71" i="52"/>
  <c r="BX73" i="50"/>
  <c r="CA73" i="50" s="1"/>
  <c r="M71" i="52"/>
  <c r="BF73" i="50"/>
  <c r="BI73" i="50" s="1"/>
  <c r="J71" i="52"/>
  <c r="CJ73" i="50"/>
  <c r="CM73" i="50" s="1"/>
  <c r="O71" i="52"/>
  <c r="AT73" i="50"/>
  <c r="AW73" i="50" s="1"/>
  <c r="H71" i="52"/>
  <c r="AD70" i="52"/>
  <c r="AY70" i="52"/>
  <c r="AZ70" i="52"/>
  <c r="AR70" i="52"/>
  <c r="BA70" i="52"/>
  <c r="AT70" i="52"/>
  <c r="AH70" i="52"/>
  <c r="P73" i="50"/>
  <c r="S73" i="50" s="1"/>
  <c r="N72" i="50"/>
  <c r="C71" i="52"/>
  <c r="AW70" i="52"/>
  <c r="V71" i="52"/>
  <c r="DZ73" i="50"/>
  <c r="EC73" i="50" s="1"/>
  <c r="AX70" i="52"/>
  <c r="EF73" i="50"/>
  <c r="EI73" i="50" s="1"/>
  <c r="W71" i="52"/>
  <c r="AV70" i="52"/>
  <c r="DT73" i="50"/>
  <c r="DW73" i="50" s="1"/>
  <c r="U71" i="52"/>
  <c r="AU70" i="52"/>
  <c r="DN73" i="50"/>
  <c r="DQ73" i="50" s="1"/>
  <c r="T71" i="52"/>
  <c r="AL70" i="52"/>
  <c r="BL73" i="50"/>
  <c r="BO73" i="50" s="1"/>
  <c r="K71" i="52"/>
  <c r="AS70" i="52"/>
  <c r="DB73" i="50"/>
  <c r="DE73" i="50" s="1"/>
  <c r="R71" i="52"/>
  <c r="CF69" i="50"/>
  <c r="CG69" i="50" s="1"/>
  <c r="CR69" i="50"/>
  <c r="CS69" i="50" s="1"/>
  <c r="BB67" i="50"/>
  <c r="AG66" i="51" s="1"/>
  <c r="AI66" i="51" s="1"/>
  <c r="AU71" i="52" l="1"/>
  <c r="AW71" i="52"/>
  <c r="AL71" i="52"/>
  <c r="AV71" i="52"/>
  <c r="AS71" i="52"/>
  <c r="AX71" i="52"/>
  <c r="R72" i="52"/>
  <c r="DB74" i="50"/>
  <c r="DE74" i="50" s="1"/>
  <c r="BL74" i="50"/>
  <c r="BO74" i="50" s="1"/>
  <c r="K72" i="52"/>
  <c r="DN74" i="50"/>
  <c r="DQ74" i="50" s="1"/>
  <c r="T72" i="52"/>
  <c r="DT74" i="50"/>
  <c r="DW74" i="50" s="1"/>
  <c r="U72" i="52"/>
  <c r="EF74" i="50"/>
  <c r="EI74" i="50" s="1"/>
  <c r="W72" i="52"/>
  <c r="DZ74" i="50"/>
  <c r="EC74" i="50" s="1"/>
  <c r="V72" i="52"/>
  <c r="BA71" i="52"/>
  <c r="AY71" i="52"/>
  <c r="AR71" i="52"/>
  <c r="AT71" i="52"/>
  <c r="AZ71" i="52"/>
  <c r="AD71" i="52"/>
  <c r="AH71" i="52"/>
  <c r="P74" i="50"/>
  <c r="S74" i="50" s="1"/>
  <c r="N73" i="50"/>
  <c r="C72" i="52"/>
  <c r="AI71" i="52"/>
  <c r="AT74" i="50"/>
  <c r="AW74" i="50" s="1"/>
  <c r="H72" i="52"/>
  <c r="AP71" i="52"/>
  <c r="CJ74" i="50"/>
  <c r="CM74" i="50" s="1"/>
  <c r="O72" i="52"/>
  <c r="AK71" i="52"/>
  <c r="BF74" i="50"/>
  <c r="BI74" i="50" s="1"/>
  <c r="J72" i="52"/>
  <c r="AN71" i="52"/>
  <c r="BX74" i="50"/>
  <c r="CA74" i="50" s="1"/>
  <c r="M72" i="52"/>
  <c r="AM71" i="52"/>
  <c r="BR74" i="50"/>
  <c r="BU74" i="50" s="1"/>
  <c r="L72" i="52"/>
  <c r="AG71" i="52"/>
  <c r="AH74" i="50"/>
  <c r="AK74" i="50" s="1"/>
  <c r="F72" i="52"/>
  <c r="AF71" i="52"/>
  <c r="AB74" i="50"/>
  <c r="AE74" i="50" s="1"/>
  <c r="E72" i="52"/>
  <c r="AE71" i="52"/>
  <c r="V74" i="50"/>
  <c r="Y74" i="50" s="1"/>
  <c r="D72" i="52"/>
  <c r="CP70" i="50"/>
  <c r="P68" i="52"/>
  <c r="AQ68" i="52" s="1"/>
  <c r="BC67" i="50"/>
  <c r="O67" i="50" s="1"/>
  <c r="CD70" i="50"/>
  <c r="N68" i="52"/>
  <c r="AO68" i="52" s="1"/>
  <c r="AG72" i="52" l="1"/>
  <c r="AP72" i="52"/>
  <c r="AE72" i="52"/>
  <c r="AF72" i="52"/>
  <c r="AK72" i="52"/>
  <c r="AM72" i="52"/>
  <c r="AI72" i="52"/>
  <c r="AN72" i="52"/>
  <c r="V75" i="50"/>
  <c r="Y75" i="50" s="1"/>
  <c r="D73" i="52"/>
  <c r="AB75" i="50"/>
  <c r="AE75" i="50" s="1"/>
  <c r="E73" i="52"/>
  <c r="AH75" i="50"/>
  <c r="AK75" i="50" s="1"/>
  <c r="F73" i="52"/>
  <c r="BR75" i="50"/>
  <c r="BU75" i="50" s="1"/>
  <c r="L73" i="52"/>
  <c r="BX75" i="50"/>
  <c r="CA75" i="50" s="1"/>
  <c r="M73" i="52"/>
  <c r="BF75" i="50"/>
  <c r="BI75" i="50" s="1"/>
  <c r="J73" i="52"/>
  <c r="CJ75" i="50"/>
  <c r="CM75" i="50" s="1"/>
  <c r="O73" i="52"/>
  <c r="AT75" i="50"/>
  <c r="AW75" i="50" s="1"/>
  <c r="H73" i="52"/>
  <c r="AD72" i="52"/>
  <c r="AZ72" i="52"/>
  <c r="AR72" i="52"/>
  <c r="BA72" i="52"/>
  <c r="AT72" i="52"/>
  <c r="AY72" i="52"/>
  <c r="AH72" i="52"/>
  <c r="P75" i="50"/>
  <c r="S75" i="50" s="1"/>
  <c r="N74" i="50"/>
  <c r="C73" i="52"/>
  <c r="AW72" i="52"/>
  <c r="V73" i="52"/>
  <c r="DZ75" i="50"/>
  <c r="EC75" i="50" s="1"/>
  <c r="AX72" i="52"/>
  <c r="EF75" i="50"/>
  <c r="EI75" i="50" s="1"/>
  <c r="W73" i="52"/>
  <c r="AV72" i="52"/>
  <c r="U73" i="52"/>
  <c r="DT75" i="50"/>
  <c r="DW75" i="50" s="1"/>
  <c r="AU72" i="52"/>
  <c r="DN75" i="50"/>
  <c r="DQ75" i="50" s="1"/>
  <c r="T73" i="52"/>
  <c r="AL72" i="52"/>
  <c r="BL75" i="50"/>
  <c r="BO75" i="50" s="1"/>
  <c r="K73" i="52"/>
  <c r="DB75" i="50"/>
  <c r="DE75" i="50" s="1"/>
  <c r="R73" i="52"/>
  <c r="AS72" i="52"/>
  <c r="AZ68" i="50"/>
  <c r="I66" i="52"/>
  <c r="AJ66" i="52" s="1"/>
  <c r="AB66" i="52" s="1"/>
  <c r="M74" i="56" s="1"/>
  <c r="CF70" i="50"/>
  <c r="CG70" i="50" s="1"/>
  <c r="CR70" i="50"/>
  <c r="CS70" i="50" s="1"/>
  <c r="AL73" i="52" l="1"/>
  <c r="AS73" i="52"/>
  <c r="AU73" i="52"/>
  <c r="AX73" i="52"/>
  <c r="AW73" i="52"/>
  <c r="AV73" i="52"/>
  <c r="DB76" i="50"/>
  <c r="DE76" i="50" s="1"/>
  <c r="R74" i="52"/>
  <c r="BL76" i="50"/>
  <c r="BO76" i="50" s="1"/>
  <c r="K74" i="52"/>
  <c r="DN76" i="50"/>
  <c r="DQ76" i="50" s="1"/>
  <c r="T74" i="52"/>
  <c r="U74" i="52"/>
  <c r="DT76" i="50"/>
  <c r="DW76" i="50" s="1"/>
  <c r="W74" i="52"/>
  <c r="EF76" i="50"/>
  <c r="EI76" i="50" s="1"/>
  <c r="DZ76" i="50"/>
  <c r="EC76" i="50" s="1"/>
  <c r="V74" i="52"/>
  <c r="BA73" i="52"/>
  <c r="AT73" i="52"/>
  <c r="AD73" i="52"/>
  <c r="AR73" i="52"/>
  <c r="AY73" i="52"/>
  <c r="AZ73" i="52"/>
  <c r="AH73" i="52"/>
  <c r="P76" i="50"/>
  <c r="S76" i="50" s="1"/>
  <c r="C74" i="52"/>
  <c r="N75" i="50"/>
  <c r="AI73" i="52"/>
  <c r="AT76" i="50"/>
  <c r="AW76" i="50" s="1"/>
  <c r="H74" i="52"/>
  <c r="AP73" i="52"/>
  <c r="CJ76" i="50"/>
  <c r="CM76" i="50" s="1"/>
  <c r="O74" i="52"/>
  <c r="AK73" i="52"/>
  <c r="BF76" i="50"/>
  <c r="BI76" i="50" s="1"/>
  <c r="J74" i="52"/>
  <c r="AN73" i="52"/>
  <c r="BX76" i="50"/>
  <c r="CA76" i="50" s="1"/>
  <c r="M74" i="52"/>
  <c r="AM73" i="52"/>
  <c r="BR76" i="50"/>
  <c r="BU76" i="50" s="1"/>
  <c r="L74" i="52"/>
  <c r="AG73" i="52"/>
  <c r="AH76" i="50"/>
  <c r="AK76" i="50" s="1"/>
  <c r="F74" i="52"/>
  <c r="AF73" i="52"/>
  <c r="AB76" i="50"/>
  <c r="AE76" i="50" s="1"/>
  <c r="E74" i="52"/>
  <c r="AE73" i="52"/>
  <c r="V76" i="50"/>
  <c r="Y76" i="50" s="1"/>
  <c r="D74" i="52"/>
  <c r="CD71" i="50"/>
  <c r="N69" i="52"/>
  <c r="AO69" i="52" s="1"/>
  <c r="CP71" i="50"/>
  <c r="P69" i="52"/>
  <c r="AQ69" i="52" s="1"/>
  <c r="BB68" i="50"/>
  <c r="AG67" i="51" s="1"/>
  <c r="AI67" i="51" s="1"/>
  <c r="AE74" i="52" l="1"/>
  <c r="AN74" i="52"/>
  <c r="AF74" i="52"/>
  <c r="AK74" i="52"/>
  <c r="AG74" i="52"/>
  <c r="AP74" i="52"/>
  <c r="AM74" i="52"/>
  <c r="AI74" i="52"/>
  <c r="V77" i="50"/>
  <c r="Y77" i="50" s="1"/>
  <c r="D75" i="52"/>
  <c r="AB77" i="50"/>
  <c r="AE77" i="50" s="1"/>
  <c r="E75" i="52"/>
  <c r="AH77" i="50"/>
  <c r="AK77" i="50" s="1"/>
  <c r="F75" i="52"/>
  <c r="BR77" i="50"/>
  <c r="BU77" i="50" s="1"/>
  <c r="L75" i="52"/>
  <c r="BX77" i="50"/>
  <c r="CA77" i="50" s="1"/>
  <c r="M75" i="52"/>
  <c r="BF77" i="50"/>
  <c r="BI77" i="50" s="1"/>
  <c r="J75" i="52"/>
  <c r="CJ77" i="50"/>
  <c r="CM77" i="50" s="1"/>
  <c r="O75" i="52"/>
  <c r="AT77" i="50"/>
  <c r="AW77" i="50" s="1"/>
  <c r="H75" i="52"/>
  <c r="AD74" i="52"/>
  <c r="AY74" i="52"/>
  <c r="AZ74" i="52"/>
  <c r="BA74" i="52"/>
  <c r="AT74" i="52"/>
  <c r="AR74" i="52"/>
  <c r="AH74" i="52"/>
  <c r="P77" i="50"/>
  <c r="S77" i="50" s="1"/>
  <c r="C75" i="52"/>
  <c r="N76" i="50"/>
  <c r="AW74" i="52"/>
  <c r="V75" i="52"/>
  <c r="DZ77" i="50"/>
  <c r="EC77" i="50" s="1"/>
  <c r="W75" i="52"/>
  <c r="EF77" i="50"/>
  <c r="EI77" i="50" s="1"/>
  <c r="AX74" i="52"/>
  <c r="U75" i="52"/>
  <c r="DT77" i="50"/>
  <c r="DW77" i="50" s="1"/>
  <c r="AV74" i="52"/>
  <c r="AU74" i="52"/>
  <c r="DN77" i="50"/>
  <c r="DQ77" i="50" s="1"/>
  <c r="T75" i="52"/>
  <c r="AL74" i="52"/>
  <c r="K75" i="52"/>
  <c r="BL77" i="50"/>
  <c r="BO77" i="50" s="1"/>
  <c r="AS74" i="52"/>
  <c r="DB77" i="50"/>
  <c r="DE77" i="50" s="1"/>
  <c r="R75" i="52"/>
  <c r="BC68" i="50"/>
  <c r="O68" i="50" s="1"/>
  <c r="CR71" i="50"/>
  <c r="CS71" i="50" s="1"/>
  <c r="CF71" i="50"/>
  <c r="CG71" i="50" s="1"/>
  <c r="AU75" i="52" l="1"/>
  <c r="AL75" i="52"/>
  <c r="AW75" i="52"/>
  <c r="AX75" i="52"/>
  <c r="AV75" i="52"/>
  <c r="AS75" i="52"/>
  <c r="DB78" i="50"/>
  <c r="DE78" i="50" s="1"/>
  <c r="R76" i="52"/>
  <c r="BL78" i="50"/>
  <c r="BO78" i="50" s="1"/>
  <c r="K76" i="52"/>
  <c r="DN78" i="50"/>
  <c r="DQ78" i="50" s="1"/>
  <c r="T76" i="52"/>
  <c r="U76" i="52"/>
  <c r="DT78" i="50"/>
  <c r="DW78" i="50" s="1"/>
  <c r="W76" i="52"/>
  <c r="EF78" i="50"/>
  <c r="EI78" i="50" s="1"/>
  <c r="V76" i="52"/>
  <c r="DZ78" i="50"/>
  <c r="EC78" i="50" s="1"/>
  <c r="AY75" i="52"/>
  <c r="AD75" i="52"/>
  <c r="BA75" i="52"/>
  <c r="AZ75" i="52"/>
  <c r="AR75" i="52"/>
  <c r="AT75" i="52"/>
  <c r="AH75" i="52"/>
  <c r="P78" i="50"/>
  <c r="S78" i="50" s="1"/>
  <c r="C76" i="52"/>
  <c r="N77" i="50"/>
  <c r="AI75" i="52"/>
  <c r="AT78" i="50"/>
  <c r="AW78" i="50" s="1"/>
  <c r="H76" i="52"/>
  <c r="AP75" i="52"/>
  <c r="CJ78" i="50"/>
  <c r="CM78" i="50" s="1"/>
  <c r="O76" i="52"/>
  <c r="AK75" i="52"/>
  <c r="BF78" i="50"/>
  <c r="BI78" i="50" s="1"/>
  <c r="J76" i="52"/>
  <c r="AN75" i="52"/>
  <c r="BX78" i="50"/>
  <c r="CA78" i="50" s="1"/>
  <c r="M76" i="52"/>
  <c r="AM75" i="52"/>
  <c r="BR78" i="50"/>
  <c r="BU78" i="50" s="1"/>
  <c r="L76" i="52"/>
  <c r="AG75" i="52"/>
  <c r="AH78" i="50"/>
  <c r="AK78" i="50" s="1"/>
  <c r="F76" i="52"/>
  <c r="AF75" i="52"/>
  <c r="AB78" i="50"/>
  <c r="AE78" i="50" s="1"/>
  <c r="E76" i="52"/>
  <c r="AE75" i="52"/>
  <c r="V78" i="50"/>
  <c r="Y78" i="50" s="1"/>
  <c r="D76" i="52"/>
  <c r="CD72" i="50"/>
  <c r="N70" i="52"/>
  <c r="AO70" i="52" s="1"/>
  <c r="CP72" i="50"/>
  <c r="P70" i="52"/>
  <c r="AQ70" i="52" s="1"/>
  <c r="AZ69" i="50"/>
  <c r="I67" i="52"/>
  <c r="AJ67" i="52" s="1"/>
  <c r="AB67" i="52" s="1"/>
  <c r="M75" i="56" s="1"/>
  <c r="AE76" i="52" l="1"/>
  <c r="AN76" i="52"/>
  <c r="AG76" i="52"/>
  <c r="AP76" i="52"/>
  <c r="AM76" i="52"/>
  <c r="AI76" i="52"/>
  <c r="AF76" i="52"/>
  <c r="AK76" i="52"/>
  <c r="V79" i="50"/>
  <c r="Y79" i="50" s="1"/>
  <c r="D77" i="52"/>
  <c r="AB79" i="50"/>
  <c r="AE79" i="50" s="1"/>
  <c r="E77" i="52"/>
  <c r="AH79" i="50"/>
  <c r="AK79" i="50" s="1"/>
  <c r="F77" i="52"/>
  <c r="BR79" i="50"/>
  <c r="BU79" i="50" s="1"/>
  <c r="L77" i="52"/>
  <c r="BX79" i="50"/>
  <c r="CA79" i="50" s="1"/>
  <c r="M77" i="52"/>
  <c r="BF79" i="50"/>
  <c r="BI79" i="50" s="1"/>
  <c r="J77" i="52"/>
  <c r="CJ79" i="50"/>
  <c r="CM79" i="50" s="1"/>
  <c r="O77" i="52"/>
  <c r="AT79" i="50"/>
  <c r="AW79" i="50" s="1"/>
  <c r="H77" i="52"/>
  <c r="AR76" i="52"/>
  <c r="AZ76" i="52"/>
  <c r="AY76" i="52"/>
  <c r="BA76" i="52"/>
  <c r="AD76" i="52"/>
  <c r="AT76" i="52"/>
  <c r="AH76" i="52"/>
  <c r="P79" i="50"/>
  <c r="S79" i="50" s="1"/>
  <c r="N78" i="50"/>
  <c r="C77" i="52"/>
  <c r="V77" i="52"/>
  <c r="DZ79" i="50"/>
  <c r="EC79" i="50" s="1"/>
  <c r="AW76" i="52"/>
  <c r="EF79" i="50"/>
  <c r="EI79" i="50" s="1"/>
  <c r="W77" i="52"/>
  <c r="AX76" i="52"/>
  <c r="DT79" i="50"/>
  <c r="DW79" i="50" s="1"/>
  <c r="U77" i="52"/>
  <c r="AV76" i="52"/>
  <c r="AU76" i="52"/>
  <c r="DN79" i="50"/>
  <c r="DQ79" i="50" s="1"/>
  <c r="T77" i="52"/>
  <c r="AL76" i="52"/>
  <c r="BL79" i="50"/>
  <c r="BO79" i="50" s="1"/>
  <c r="K77" i="52"/>
  <c r="AS76" i="52"/>
  <c r="DB79" i="50"/>
  <c r="DE79" i="50" s="1"/>
  <c r="R77" i="52"/>
  <c r="BB69" i="50"/>
  <c r="AG68" i="51" s="1"/>
  <c r="AI68" i="51" s="1"/>
  <c r="CR72" i="50"/>
  <c r="CS72" i="50" s="1"/>
  <c r="CF72" i="50"/>
  <c r="CG72" i="50" s="1"/>
  <c r="AU77" i="52" l="1"/>
  <c r="AW77" i="52"/>
  <c r="AL77" i="52"/>
  <c r="AV77" i="52"/>
  <c r="AS77" i="52"/>
  <c r="AX77" i="52"/>
  <c r="DB80" i="50"/>
  <c r="DE80" i="50" s="1"/>
  <c r="R79" i="52" s="1"/>
  <c r="R78" i="52"/>
  <c r="BL80" i="50"/>
  <c r="BO80" i="50" s="1"/>
  <c r="K79" i="52" s="1"/>
  <c r="K78" i="52"/>
  <c r="T78" i="52"/>
  <c r="DN80" i="50"/>
  <c r="DQ80" i="50" s="1"/>
  <c r="T79" i="52" s="1"/>
  <c r="U78" i="52"/>
  <c r="DT80" i="50"/>
  <c r="DW80" i="50" s="1"/>
  <c r="U79" i="52" s="1"/>
  <c r="EF80" i="50"/>
  <c r="EI80" i="50" s="1"/>
  <c r="W79" i="52" s="1"/>
  <c r="W78" i="52"/>
  <c r="V78" i="52"/>
  <c r="DZ80" i="50"/>
  <c r="EC80" i="50" s="1"/>
  <c r="V79" i="52" s="1"/>
  <c r="AD77" i="52"/>
  <c r="AY77" i="52"/>
  <c r="AZ77" i="52"/>
  <c r="BA77" i="52"/>
  <c r="AT77" i="52"/>
  <c r="AR77" i="52"/>
  <c r="AH77" i="52"/>
  <c r="P80" i="50"/>
  <c r="S80" i="50" s="1"/>
  <c r="N79" i="50"/>
  <c r="C78" i="52"/>
  <c r="AI77" i="52"/>
  <c r="AT80" i="50"/>
  <c r="AW80" i="50" s="1"/>
  <c r="H79" i="52" s="1"/>
  <c r="H78" i="52"/>
  <c r="AI78" i="52" s="1"/>
  <c r="AP77" i="52"/>
  <c r="CJ80" i="50"/>
  <c r="CM80" i="50" s="1"/>
  <c r="O79" i="52" s="1"/>
  <c r="O78" i="52"/>
  <c r="AK77" i="52"/>
  <c r="BF80" i="50"/>
  <c r="BI80" i="50" s="1"/>
  <c r="J79" i="52" s="1"/>
  <c r="J78" i="52"/>
  <c r="AN77" i="52"/>
  <c r="BX80" i="50"/>
  <c r="CA80" i="50" s="1"/>
  <c r="M79" i="52" s="1"/>
  <c r="M78" i="52"/>
  <c r="AM77" i="52"/>
  <c r="BR80" i="50"/>
  <c r="BU80" i="50" s="1"/>
  <c r="L79" i="52" s="1"/>
  <c r="L78" i="52"/>
  <c r="AM78" i="52" s="1"/>
  <c r="AG77" i="52"/>
  <c r="AH80" i="50"/>
  <c r="AK80" i="50" s="1"/>
  <c r="F79" i="52" s="1"/>
  <c r="F78" i="52"/>
  <c r="AF77" i="52"/>
  <c r="AB80" i="50"/>
  <c r="AE80" i="50" s="1"/>
  <c r="E79" i="52" s="1"/>
  <c r="E78" i="52"/>
  <c r="AE77" i="52"/>
  <c r="V80" i="50"/>
  <c r="Y80" i="50" s="1"/>
  <c r="D79" i="52" s="1"/>
  <c r="D78" i="52"/>
  <c r="AE78" i="52" s="1"/>
  <c r="BC69" i="50"/>
  <c r="O69" i="50" s="1"/>
  <c r="CD73" i="50"/>
  <c r="N71" i="52"/>
  <c r="AO71" i="52" s="1"/>
  <c r="P71" i="52"/>
  <c r="AQ71" i="52" s="1"/>
  <c r="CP73" i="50"/>
  <c r="AG78" i="52" l="1"/>
  <c r="AP78" i="52"/>
  <c r="AN78" i="52"/>
  <c r="AF78" i="52"/>
  <c r="AK78" i="52"/>
  <c r="I68" i="52"/>
  <c r="AJ68" i="52" s="1"/>
  <c r="AB68" i="52" s="1"/>
  <c r="M76" i="56" s="1"/>
  <c r="AZ70" i="50"/>
  <c r="BA78" i="52"/>
  <c r="AY78" i="52"/>
  <c r="AZ78" i="52"/>
  <c r="AR78" i="52"/>
  <c r="AT78" i="52"/>
  <c r="AD78" i="52"/>
  <c r="AH78" i="52"/>
  <c r="C79" i="52"/>
  <c r="AX79" i="52" s="1"/>
  <c r="N80" i="50"/>
  <c r="AW78" i="52"/>
  <c r="AX78" i="52"/>
  <c r="AV78" i="52"/>
  <c r="AU78" i="52"/>
  <c r="AL78" i="52"/>
  <c r="AS78" i="52"/>
  <c r="BB70" i="50"/>
  <c r="AG69" i="51" s="1"/>
  <c r="AI69" i="51" s="1"/>
  <c r="CR73" i="50"/>
  <c r="CS73" i="50" s="1"/>
  <c r="CF73" i="50"/>
  <c r="CG73" i="50" s="1"/>
  <c r="AW79" i="52" l="1"/>
  <c r="AL79" i="52"/>
  <c r="AV79" i="52"/>
  <c r="AU79" i="52"/>
  <c r="AS79" i="52"/>
  <c r="AD79" i="52"/>
  <c r="AT79" i="52"/>
  <c r="AR79" i="52"/>
  <c r="AY79" i="52"/>
  <c r="AZ79" i="52"/>
  <c r="BA79" i="52"/>
  <c r="AH79" i="52"/>
  <c r="AE79" i="52"/>
  <c r="AF79" i="52"/>
  <c r="AG79" i="52"/>
  <c r="AM79" i="52"/>
  <c r="AN79" i="52"/>
  <c r="AK79" i="52"/>
  <c r="AP79" i="52"/>
  <c r="AI79" i="52"/>
  <c r="CD74" i="50"/>
  <c r="N72" i="52"/>
  <c r="AO72" i="52" s="1"/>
  <c r="CP74" i="50"/>
  <c r="P72" i="52"/>
  <c r="AQ72" i="52" s="1"/>
  <c r="BC70" i="50"/>
  <c r="O70" i="50" s="1"/>
  <c r="AZ71" i="50" l="1"/>
  <c r="I69" i="52"/>
  <c r="AJ69" i="52" s="1"/>
  <c r="AB69" i="52" s="1"/>
  <c r="M77" i="56" s="1"/>
  <c r="CR74" i="50"/>
  <c r="CS74" i="50" s="1"/>
  <c r="CF74" i="50"/>
  <c r="CG74" i="50" s="1"/>
  <c r="CD75" i="50" l="1"/>
  <c r="N73" i="52"/>
  <c r="AO73" i="52" s="1"/>
  <c r="CP75" i="50"/>
  <c r="P73" i="52"/>
  <c r="AQ73" i="52" s="1"/>
  <c r="BB71" i="50"/>
  <c r="AG70" i="51" s="1"/>
  <c r="AI70" i="51" s="1"/>
  <c r="BC71" i="50" l="1"/>
  <c r="O71" i="50" s="1"/>
  <c r="CR75" i="50"/>
  <c r="CS75" i="50" s="1"/>
  <c r="CF75" i="50"/>
  <c r="CG75" i="50" s="1"/>
  <c r="CD76" i="50" l="1"/>
  <c r="N74" i="52"/>
  <c r="AO74" i="52" s="1"/>
  <c r="CP76" i="50"/>
  <c r="P74" i="52"/>
  <c r="AQ74" i="52" s="1"/>
  <c r="AZ72" i="50"/>
  <c r="I70" i="52"/>
  <c r="AJ70" i="52" s="1"/>
  <c r="AB70" i="52" s="1"/>
  <c r="M78" i="56" s="1"/>
  <c r="BB72" i="50" l="1"/>
  <c r="AG71" i="51" s="1"/>
  <c r="AI71" i="51" s="1"/>
  <c r="CR76" i="50"/>
  <c r="CS76" i="50" s="1"/>
  <c r="CF76" i="50"/>
  <c r="CG76" i="50" s="1"/>
  <c r="CD77" i="50" l="1"/>
  <c r="N75" i="52"/>
  <c r="AO75" i="52" s="1"/>
  <c r="CP77" i="50"/>
  <c r="P75" i="52"/>
  <c r="AQ75" i="52" s="1"/>
  <c r="BC72" i="50"/>
  <c r="O72" i="50" s="1"/>
  <c r="AZ73" i="50" l="1"/>
  <c r="I71" i="52"/>
  <c r="AJ71" i="52" s="1"/>
  <c r="AB71" i="52" s="1"/>
  <c r="M79" i="56" s="1"/>
  <c r="CR77" i="50"/>
  <c r="CS77" i="50" s="1"/>
  <c r="CF77" i="50"/>
  <c r="CG77" i="50" s="1"/>
  <c r="CD78" i="50" l="1"/>
  <c r="N76" i="52"/>
  <c r="AO76" i="52" s="1"/>
  <c r="CP78" i="50"/>
  <c r="P76" i="52"/>
  <c r="AQ76" i="52" s="1"/>
  <c r="BB73" i="50"/>
  <c r="AG72" i="51" s="1"/>
  <c r="AI72" i="51" s="1"/>
  <c r="BC73" i="50" l="1"/>
  <c r="O73" i="50" s="1"/>
  <c r="CR78" i="50"/>
  <c r="CS78" i="50" s="1"/>
  <c r="CF78" i="50"/>
  <c r="CG78" i="50" s="1"/>
  <c r="CD79" i="50" l="1"/>
  <c r="N77" i="52"/>
  <c r="AO77" i="52" s="1"/>
  <c r="CP79" i="50"/>
  <c r="P77" i="52"/>
  <c r="AQ77" i="52" s="1"/>
  <c r="AZ74" i="50"/>
  <c r="I72" i="52"/>
  <c r="AJ72" i="52" s="1"/>
  <c r="AB72" i="52" s="1"/>
  <c r="M80" i="56" s="1"/>
  <c r="BB74" i="50" l="1"/>
  <c r="AG73" i="51" s="1"/>
  <c r="AI73" i="51" s="1"/>
  <c r="CR79" i="50"/>
  <c r="CS79" i="50" s="1"/>
  <c r="CF79" i="50"/>
  <c r="CG79" i="50" s="1"/>
  <c r="CD80" i="50" l="1"/>
  <c r="N78" i="52"/>
  <c r="AO78" i="52" s="1"/>
  <c r="CP80" i="50"/>
  <c r="P78" i="52"/>
  <c r="AQ78" i="52" s="1"/>
  <c r="BC74" i="50"/>
  <c r="O74" i="50" s="1"/>
  <c r="AZ75" i="50" l="1"/>
  <c r="I73" i="52"/>
  <c r="AJ73" i="52" s="1"/>
  <c r="AB73" i="52" s="1"/>
  <c r="M81" i="56" s="1"/>
  <c r="CR80" i="50"/>
  <c r="CS80" i="50" s="1"/>
  <c r="P79" i="52" s="1"/>
  <c r="AQ79" i="52" s="1"/>
  <c r="CF80" i="50"/>
  <c r="CG80" i="50" s="1"/>
  <c r="N79" i="52" s="1"/>
  <c r="AO79" i="52" s="1"/>
  <c r="BB75" i="50" l="1"/>
  <c r="AG74" i="51" s="1"/>
  <c r="AI74" i="51" s="1"/>
  <c r="BC75" i="50" l="1"/>
  <c r="O75" i="50" s="1"/>
  <c r="AZ76" i="50" l="1"/>
  <c r="I74" i="52"/>
  <c r="AJ74" i="52" s="1"/>
  <c r="AB74" i="52" s="1"/>
  <c r="M82" i="56" s="1"/>
  <c r="BB76" i="50" l="1"/>
  <c r="AG75" i="51" s="1"/>
  <c r="AI75" i="51" s="1"/>
  <c r="BC76" i="50" l="1"/>
  <c r="O76" i="50" s="1"/>
  <c r="AZ77" i="50" l="1"/>
  <c r="I75" i="52"/>
  <c r="AJ75" i="52" s="1"/>
  <c r="AB75" i="52" s="1"/>
  <c r="M83" i="56" s="1"/>
  <c r="BB77" i="50" l="1"/>
  <c r="AG76" i="51" s="1"/>
  <c r="AI76" i="51" s="1"/>
  <c r="BC77" i="50" l="1"/>
  <c r="O77" i="50" s="1"/>
  <c r="AZ78" i="50" l="1"/>
  <c r="I76" i="52"/>
  <c r="AJ76" i="52" s="1"/>
  <c r="AB76" i="52" s="1"/>
  <c r="M84" i="56" s="1"/>
  <c r="BB78" i="50" l="1"/>
  <c r="AG77" i="51" s="1"/>
  <c r="AI77" i="51" s="1"/>
  <c r="BC78" i="50" l="1"/>
  <c r="O78" i="50" s="1"/>
  <c r="AZ79" i="50" l="1"/>
  <c r="I77" i="52"/>
  <c r="AJ77" i="52" s="1"/>
  <c r="AB77" i="52" s="1"/>
  <c r="M85" i="56" s="1"/>
  <c r="BB79" i="50" l="1"/>
  <c r="AG78" i="51" s="1"/>
  <c r="AI78" i="51" s="1"/>
  <c r="BC79" i="50" l="1"/>
  <c r="O79" i="50" s="1"/>
  <c r="AZ80" i="50" l="1"/>
  <c r="I78" i="52"/>
  <c r="AJ78" i="52" s="1"/>
  <c r="AB78" i="52" s="1"/>
  <c r="M86" i="56" s="1"/>
  <c r="BB80" i="50" l="1"/>
  <c r="AG79" i="51" s="1"/>
  <c r="AI79" i="51" s="1"/>
  <c r="BC80" i="50" l="1"/>
  <c r="I79" i="52" l="1"/>
  <c r="AJ79" i="52" s="1"/>
  <c r="AB79" i="52" s="1"/>
  <c r="M87" i="56" s="1"/>
  <c r="O80" i="50"/>
  <c r="AB10" i="52"/>
  <c r="M18" i="24" s="1"/>
  <c r="AB11" i="52"/>
  <c r="M19" i="24" s="1"/>
  <c r="AB12" i="52"/>
  <c r="M20" i="24" s="1"/>
  <c r="AB13" i="52"/>
  <c r="M21" i="56" s="1"/>
  <c r="AB14" i="52"/>
  <c r="M22" i="56" s="1"/>
  <c r="AB15" i="52"/>
  <c r="M23" i="56" s="1"/>
  <c r="AB16" i="52"/>
  <c r="M24" i="24" s="1"/>
  <c r="AB17" i="52"/>
  <c r="M25" i="56" s="1"/>
  <c r="AB18" i="52"/>
  <c r="M26" i="56" s="1"/>
  <c r="AB19" i="52"/>
  <c r="M27" i="24" s="1"/>
  <c r="AB20" i="52"/>
  <c r="M28" i="56" s="1"/>
  <c r="AB21" i="52"/>
  <c r="M29" i="24" s="1"/>
  <c r="AB22" i="52"/>
  <c r="M30" i="24" s="1"/>
  <c r="AB23" i="52"/>
  <c r="M31" i="24" s="1"/>
  <c r="AB24" i="52"/>
  <c r="M32" i="24" s="1"/>
  <c r="AB25" i="52"/>
  <c r="M33" i="56" s="1"/>
  <c r="AB26" i="52"/>
  <c r="M34" i="56" s="1"/>
  <c r="AB27" i="52"/>
  <c r="M35" i="56" s="1"/>
  <c r="AB28" i="52"/>
  <c r="M36" i="56" s="1"/>
  <c r="AB29" i="52"/>
  <c r="M37" i="56" s="1"/>
  <c r="AB30" i="52"/>
  <c r="M38" i="56" s="1"/>
  <c r="AB31" i="52"/>
  <c r="M39" i="24" s="1"/>
  <c r="AB32" i="52"/>
  <c r="M40" i="24" s="1"/>
  <c r="AB33" i="52"/>
  <c r="M41" i="56" s="1"/>
  <c r="AB34" i="52"/>
  <c r="M42" i="56" s="1"/>
  <c r="AB35" i="52"/>
  <c r="M43" i="24" s="1"/>
  <c r="AB36" i="52"/>
  <c r="M44" i="56" s="1"/>
  <c r="AB37" i="52"/>
  <c r="M45" i="24" s="1"/>
  <c r="AB38" i="52"/>
  <c r="M46" i="24" s="1"/>
  <c r="AB39" i="52"/>
  <c r="M47" i="24" s="1"/>
  <c r="AB40" i="52"/>
  <c r="M48" i="56" s="1"/>
  <c r="AB41" i="52"/>
  <c r="M49" i="24" s="1"/>
  <c r="AB42" i="52"/>
  <c r="M50" i="56" s="1"/>
  <c r="AB43" i="52"/>
  <c r="M51" i="56" s="1"/>
  <c r="AB44" i="52"/>
  <c r="M52" i="56" s="1"/>
  <c r="AB45" i="52"/>
  <c r="M53" i="24" s="1"/>
  <c r="AB46" i="52"/>
  <c r="M54" i="56" s="1"/>
  <c r="AB47" i="52"/>
  <c r="M55" i="56" s="1"/>
  <c r="AB48" i="52"/>
  <c r="M56" i="56" s="1"/>
  <c r="AB49" i="52"/>
  <c r="M57" i="24" s="1"/>
  <c r="AB50" i="52"/>
  <c r="M58" i="24" s="1"/>
  <c r="AB51" i="52"/>
  <c r="M59" i="56" s="1"/>
  <c r="AB52" i="52"/>
  <c r="M60" i="56" s="1"/>
  <c r="AB53" i="52"/>
  <c r="M61" i="24" s="1"/>
  <c r="AB54" i="52"/>
  <c r="M62" i="56" s="1"/>
  <c r="AB55" i="52"/>
  <c r="M63" i="24" s="1"/>
  <c r="AB56" i="52"/>
  <c r="M64" i="24" s="1"/>
  <c r="AB57" i="52"/>
  <c r="M65" i="56" s="1"/>
  <c r="AB59" i="52"/>
  <c r="M67" i="24" s="1"/>
  <c r="AB60" i="52"/>
  <c r="M68" i="56" s="1"/>
  <c r="AB61" i="52"/>
  <c r="M69" i="56" s="1"/>
  <c r="M43" i="56" l="1"/>
  <c r="M34" i="24"/>
  <c r="M20" i="56"/>
  <c r="M60" i="24"/>
  <c r="M59" i="24"/>
  <c r="M51" i="24"/>
  <c r="M39" i="56"/>
  <c r="M67" i="56"/>
  <c r="M36" i="24"/>
  <c r="M52" i="24"/>
  <c r="M19" i="56"/>
  <c r="M27" i="56"/>
  <c r="M46" i="56"/>
  <c r="M38" i="24"/>
  <c r="M30" i="56"/>
  <c r="M22" i="24"/>
  <c r="M44" i="24"/>
  <c r="M24" i="56"/>
  <c r="M56" i="24"/>
  <c r="M62" i="24"/>
  <c r="M58" i="56"/>
  <c r="M50" i="24"/>
  <c r="M18" i="56"/>
  <c r="M42" i="24"/>
  <c r="M23" i="24"/>
  <c r="M35" i="24"/>
  <c r="M28" i="24"/>
  <c r="M40" i="56"/>
  <c r="M63" i="56"/>
  <c r="M47" i="56"/>
  <c r="M32" i="56"/>
  <c r="M26" i="24"/>
  <c r="M48" i="24"/>
  <c r="M54" i="24"/>
  <c r="M64" i="56"/>
  <c r="M55" i="24"/>
  <c r="M31" i="56"/>
  <c r="M65" i="24"/>
  <c r="M61" i="56"/>
  <c r="M57" i="56"/>
  <c r="M53" i="56"/>
  <c r="M49" i="56"/>
  <c r="M45" i="56"/>
  <c r="M41" i="24"/>
  <c r="M37" i="24"/>
  <c r="M33" i="24"/>
  <c r="M29" i="56"/>
  <c r="M25" i="24"/>
  <c r="M21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Prachi Poddar</author>
  </authors>
  <commentList>
    <comment ref="D6" authorId="0" shapeId="0" xr:uid="{6C019BC9-9205-43A9-845E-47A2C9911AEE}">
      <text>
        <r>
          <rPr>
            <sz val="11"/>
            <color theme="1"/>
            <rFont val="Calibri"/>
            <family val="2"/>
            <scheme val="minor"/>
          </rPr>
          <t>Prachi Poddar:
Zerodha- 2.17 Lac</t>
        </r>
      </text>
    </comment>
    <comment ref="D7" authorId="0" shapeId="0" xr:uid="{AC7BD38A-7264-4B98-971F-8C3850D38A67}">
      <text>
        <r>
          <rPr>
            <sz val="11"/>
            <color theme="1"/>
            <rFont val="Calibri"/>
            <family val="2"/>
            <scheme val="minor"/>
          </rPr>
          <t>Prachi Poddar:
Zerodha- 17.9 Lac</t>
        </r>
      </text>
    </comment>
    <comment ref="D9" authorId="0" shapeId="0" xr:uid="{D613070B-6EEC-490B-8A11-177259103E7B}">
      <text>
        <r>
          <rPr>
            <sz val="11"/>
            <color theme="1"/>
            <rFont val="Calibri"/>
            <family val="2"/>
            <scheme val="minor"/>
          </rPr>
          <t>Prachi Poddar:
Zerodha- 21K</t>
        </r>
      </text>
    </comment>
    <comment ref="D10" authorId="0" shapeId="0" xr:uid="{80EA176A-0C3A-4B65-9B0C-38F7BE8D25CD}">
      <text>
        <r>
          <rPr>
            <sz val="11"/>
            <color theme="1"/>
            <rFont val="Calibri"/>
            <family val="2"/>
            <scheme val="minor"/>
          </rPr>
          <t>Prachi Poddar:
Zerodha- 18.78 Lac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C4" authorId="0" shapeId="0" xr:uid="{5DFC3282-D99D-4F03-BEE3-A5814642D6F7}">
      <text>
        <r>
          <rPr>
            <b/>
            <sz val="9"/>
            <color indexed="81"/>
            <rFont val="Tahoma"/>
            <family val="2"/>
          </rPr>
          <t>Please Enter Family Members Name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<sst xmlns="http://schemas.openxmlformats.org/spreadsheetml/2006/main" count="989" uniqueCount="516">
  <si>
    <t>CLIENT DETAILS</t>
  </si>
  <si>
    <t>Client</t>
  </si>
  <si>
    <t>Spouse</t>
  </si>
  <si>
    <t>NAME</t>
  </si>
  <si>
    <t>Pan number</t>
  </si>
  <si>
    <t>Aadhar Number:</t>
  </si>
  <si>
    <t>Current Job Title:</t>
  </si>
  <si>
    <t>Global Process manager Trading Settlements and accounting</t>
  </si>
  <si>
    <t>Freelancer</t>
  </si>
  <si>
    <t>Current Employer name:</t>
  </si>
  <si>
    <t>Shell Shared services center</t>
  </si>
  <si>
    <t>Years of Experience</t>
  </si>
  <si>
    <t>25+</t>
  </si>
  <si>
    <t>10+</t>
  </si>
  <si>
    <t>Main source of income:</t>
  </si>
  <si>
    <t>Training</t>
  </si>
  <si>
    <t>Residence Address</t>
  </si>
  <si>
    <t>Flat no e2, cee dee yes avenue apartments, 10 vandikaran street, velachery, chennai 42</t>
  </si>
  <si>
    <t>DOB</t>
  </si>
  <si>
    <t>15/04/1976</t>
  </si>
  <si>
    <t>30/07/1981</t>
  </si>
  <si>
    <t>City of Birth</t>
  </si>
  <si>
    <t>Chennai</t>
  </si>
  <si>
    <t>Spicnagar, Turicorin</t>
  </si>
  <si>
    <t>Purpose</t>
  </si>
  <si>
    <t>Financial Stability, Maintain standard of living, Accelerate what i have built-in &amp; Have enough for retirement</t>
  </si>
  <si>
    <t>Dependents</t>
  </si>
  <si>
    <t>Name</t>
  </si>
  <si>
    <t>D.O.B</t>
  </si>
  <si>
    <t>Child 1</t>
  </si>
  <si>
    <t>29th March 2012</t>
  </si>
  <si>
    <t>Child 2</t>
  </si>
  <si>
    <t>Child 3</t>
  </si>
  <si>
    <t>Father</t>
  </si>
  <si>
    <t>Mother</t>
  </si>
  <si>
    <t>3rd june 1944</t>
  </si>
  <si>
    <t>Other Dependents</t>
  </si>
  <si>
    <t>9th may 1953</t>
  </si>
  <si>
    <t>📌 Economic Assumptions</t>
  </si>
  <si>
    <r>
      <t>Inflation Rate</t>
    </r>
    <r>
      <rPr>
        <sz val="11"/>
        <color theme="1"/>
        <rFont val="Calibri"/>
        <family val="2"/>
        <scheme val="minor"/>
      </rPr>
      <t xml:space="preserve"> 📈</t>
    </r>
  </si>
  <si>
    <r>
      <t xml:space="preserve">Income Growth Rate </t>
    </r>
    <r>
      <rPr>
        <sz val="11"/>
        <color theme="1"/>
        <rFont val="Calibri"/>
        <family val="2"/>
        <scheme val="minor"/>
      </rPr>
      <t>💰</t>
    </r>
  </si>
  <si>
    <r>
      <t>Life Expectancy</t>
    </r>
    <r>
      <rPr>
        <sz val="11"/>
        <color theme="1"/>
        <rFont val="Calibri"/>
        <family val="2"/>
        <scheme val="minor"/>
      </rPr>
      <t>⏳</t>
    </r>
  </si>
  <si>
    <t>100 Years</t>
  </si>
  <si>
    <t>📊 Expected Returns on Asset Classes (Post-Tax)</t>
  </si>
  <si>
    <r>
      <t xml:space="preserve">📈 </t>
    </r>
    <r>
      <rPr>
        <b/>
        <sz val="11"/>
        <color theme="1"/>
        <rFont val="Calibri"/>
        <family val="2"/>
        <scheme val="minor"/>
      </rPr>
      <t>Indian Equity</t>
    </r>
  </si>
  <si>
    <r>
      <t xml:space="preserve">🌍 </t>
    </r>
    <r>
      <rPr>
        <b/>
        <sz val="11"/>
        <color theme="1"/>
        <rFont val="Calibri"/>
        <family val="2"/>
        <scheme val="minor"/>
      </rPr>
      <t>International Equity</t>
    </r>
  </si>
  <si>
    <r>
      <t xml:space="preserve">💵 </t>
    </r>
    <r>
      <rPr>
        <b/>
        <sz val="11"/>
        <color theme="1"/>
        <rFont val="Calibri"/>
        <family val="2"/>
        <scheme val="minor"/>
      </rPr>
      <t>Debt</t>
    </r>
  </si>
  <si>
    <r>
      <t xml:space="preserve">🏠 </t>
    </r>
    <r>
      <rPr>
        <b/>
        <sz val="11"/>
        <color theme="1"/>
        <rFont val="Calibri"/>
        <family val="2"/>
        <scheme val="minor"/>
      </rPr>
      <t>Real Estate</t>
    </r>
  </si>
  <si>
    <r>
      <t xml:space="preserve">🏢 </t>
    </r>
    <r>
      <rPr>
        <b/>
        <sz val="11"/>
        <color theme="1"/>
        <rFont val="Calibri"/>
        <family val="2"/>
        <scheme val="minor"/>
      </rPr>
      <t>REITs/InvITs</t>
    </r>
  </si>
  <si>
    <r>
      <t xml:space="preserve">🏆 </t>
    </r>
    <r>
      <rPr>
        <b/>
        <sz val="11"/>
        <color theme="1"/>
        <rFont val="Calibri"/>
        <family val="2"/>
        <scheme val="minor"/>
      </rPr>
      <t>Gold</t>
    </r>
  </si>
  <si>
    <r>
      <t xml:space="preserve">🏅 </t>
    </r>
    <r>
      <rPr>
        <b/>
        <sz val="11"/>
        <color theme="1"/>
        <rFont val="Calibri"/>
        <family val="2"/>
        <scheme val="minor"/>
      </rPr>
      <t>Sovereign Gold Bonds (SGBs)</t>
    </r>
  </si>
  <si>
    <t>SG</t>
  </si>
  <si>
    <t>Joint</t>
  </si>
  <si>
    <t>Total</t>
  </si>
  <si>
    <t>Inside the Bucket- Oct 2025</t>
  </si>
  <si>
    <t>Cash In Hand / Bank</t>
  </si>
  <si>
    <t>Fixed Deposit</t>
  </si>
  <si>
    <t>Equity Stocks</t>
  </si>
  <si>
    <t>Equity Mutual Funds</t>
  </si>
  <si>
    <t>Equity PMS</t>
  </si>
  <si>
    <t>Debt Mutual Funds</t>
  </si>
  <si>
    <t>Hybrid</t>
  </si>
  <si>
    <t>Commodities Inv Physical (Gold / Silver)</t>
  </si>
  <si>
    <t>SGBs</t>
  </si>
  <si>
    <t>Gold/Silver ETFs</t>
  </si>
  <si>
    <t>ESOPs ( vested)</t>
  </si>
  <si>
    <t>International Equities</t>
  </si>
  <si>
    <t>Total Realisable Assets</t>
  </si>
  <si>
    <t>Outside the Bucket- Oct 2025</t>
  </si>
  <si>
    <t>Residential Property</t>
  </si>
  <si>
    <t>Commercial Property</t>
  </si>
  <si>
    <t>Land- Chennai</t>
  </si>
  <si>
    <t>Government Schemes- SSA</t>
  </si>
  <si>
    <t>Structure Products</t>
  </si>
  <si>
    <t>Start-Ups</t>
  </si>
  <si>
    <t>NSC</t>
  </si>
  <si>
    <t>Life Insurance / ULIPs</t>
  </si>
  <si>
    <t>ESOPs (to be vested)</t>
  </si>
  <si>
    <t>PPF</t>
  </si>
  <si>
    <t>EPF</t>
  </si>
  <si>
    <t>NPS</t>
  </si>
  <si>
    <t>Total Unrealisable Assets</t>
  </si>
  <si>
    <t>Total Assets</t>
  </si>
  <si>
    <t>Liabilities</t>
  </si>
  <si>
    <t>Home Loan</t>
  </si>
  <si>
    <t>Car Loan</t>
  </si>
  <si>
    <t>Education Loan</t>
  </si>
  <si>
    <t>Total Liabilities</t>
  </si>
  <si>
    <t>Networth</t>
  </si>
  <si>
    <t>Term</t>
  </si>
  <si>
    <t>Date</t>
  </si>
  <si>
    <t>BAL O/s</t>
  </si>
  <si>
    <t>EMI</t>
  </si>
  <si>
    <t>INT</t>
  </si>
  <si>
    <t>Prin</t>
  </si>
  <si>
    <t>Rate</t>
  </si>
  <si>
    <t>Total Bal O/s</t>
  </si>
  <si>
    <t>Total EMI</t>
  </si>
  <si>
    <t>Bal o/s for NWGC</t>
  </si>
  <si>
    <t>Loan Ends</t>
  </si>
  <si>
    <t>House</t>
  </si>
  <si>
    <t>House2</t>
  </si>
  <si>
    <t>Land</t>
  </si>
  <si>
    <t>Car</t>
  </si>
  <si>
    <t>Weighted Average Return (WAR)</t>
  </si>
  <si>
    <t>Asset Class</t>
  </si>
  <si>
    <t>Investments</t>
  </si>
  <si>
    <t>Amount</t>
  </si>
  <si>
    <t>Weight %</t>
  </si>
  <si>
    <t>Wegith% of Asset</t>
  </si>
  <si>
    <t>ERR</t>
  </si>
  <si>
    <t>WAR</t>
  </si>
  <si>
    <t>Invested</t>
  </si>
  <si>
    <t>Equity</t>
  </si>
  <si>
    <t xml:space="preserve">  Indian Equity stocks</t>
  </si>
  <si>
    <t xml:space="preserve">  International Equity</t>
  </si>
  <si>
    <t>Debt</t>
  </si>
  <si>
    <t xml:space="preserve">  ESOPs</t>
  </si>
  <si>
    <t>Real Estate</t>
  </si>
  <si>
    <t xml:space="preserve">  Equity Mutual Funds</t>
  </si>
  <si>
    <t>Commodities</t>
  </si>
  <si>
    <t xml:space="preserve">  Equity PMS</t>
  </si>
  <si>
    <t>Startups</t>
  </si>
  <si>
    <t xml:space="preserve">  NPS</t>
  </si>
  <si>
    <t xml:space="preserve">  Other Equity- Hybrid</t>
  </si>
  <si>
    <t>Total Equity</t>
  </si>
  <si>
    <t xml:space="preserve">  Bank Balance</t>
  </si>
  <si>
    <t xml:space="preserve">  Fixed Deposits</t>
  </si>
  <si>
    <t xml:space="preserve">  Debt Mutual Funds</t>
  </si>
  <si>
    <t xml:space="preserve">  NSC</t>
  </si>
  <si>
    <t xml:space="preserve">  LICs / ULIPs</t>
  </si>
  <si>
    <t xml:space="preserve">  EPF</t>
  </si>
  <si>
    <t xml:space="preserve">  PPF</t>
  </si>
  <si>
    <t xml:space="preserve">  Other Govt Schemes</t>
  </si>
  <si>
    <t xml:space="preserve">  Structured Products - Debt</t>
  </si>
  <si>
    <t xml:space="preserve"> </t>
  </si>
  <si>
    <t>Total Debt</t>
  </si>
  <si>
    <t xml:space="preserve">  Residential Property</t>
  </si>
  <si>
    <t xml:space="preserve">  Commercial Property</t>
  </si>
  <si>
    <t xml:space="preserve">  Land</t>
  </si>
  <si>
    <t xml:space="preserve">  ReiTs/InviTs</t>
  </si>
  <si>
    <t>Total Real Estate</t>
  </si>
  <si>
    <t xml:space="preserve">  Commodities Inv</t>
  </si>
  <si>
    <t xml:space="preserve">  Gold ETFs / Funds</t>
  </si>
  <si>
    <t xml:space="preserve">  SGBs</t>
  </si>
  <si>
    <t>Total Commodities</t>
  </si>
  <si>
    <t xml:space="preserve"> Startups</t>
  </si>
  <si>
    <t>Assets</t>
  </si>
  <si>
    <t>Values</t>
  </si>
  <si>
    <t>Returns</t>
  </si>
  <si>
    <t>Weight</t>
  </si>
  <si>
    <t>SIP Allocation</t>
  </si>
  <si>
    <t xml:space="preserve">  Strategy 2</t>
  </si>
  <si>
    <t xml:space="preserve">  Other Equity</t>
  </si>
  <si>
    <t xml:space="preserve">  Debt Hybrid Funds</t>
  </si>
  <si>
    <t xml:space="preserve">  Bonds</t>
  </si>
  <si>
    <t xml:space="preserve">  Physical Gold</t>
  </si>
  <si>
    <t xml:space="preserve">  Startups</t>
  </si>
  <si>
    <t xml:space="preserve">  Cryptos</t>
  </si>
  <si>
    <t xml:space="preserve">  Others</t>
  </si>
  <si>
    <t>EPF - Annual Inv</t>
  </si>
  <si>
    <t>ULIPs / LIC</t>
  </si>
  <si>
    <t>PPF - Annual Inv</t>
  </si>
  <si>
    <t>SSY</t>
  </si>
  <si>
    <t xml:space="preserve">Model Portfolio - Annual Inv </t>
  </si>
  <si>
    <t>Withdrawals</t>
  </si>
  <si>
    <t>Value</t>
  </si>
  <si>
    <t>Key Life Events</t>
  </si>
  <si>
    <t>Year</t>
  </si>
  <si>
    <t>SR NO</t>
  </si>
  <si>
    <t>AMOUNT</t>
  </si>
  <si>
    <t>One time / Recurring</t>
  </si>
  <si>
    <t>How many years will it continue</t>
  </si>
  <si>
    <t>Inflation Rate</t>
  </si>
  <si>
    <t>Asset Name</t>
  </si>
  <si>
    <t>Inflation adj Value</t>
  </si>
  <si>
    <t>Downpayment %</t>
  </si>
  <si>
    <t>Downpayment Value</t>
  </si>
  <si>
    <t>Loan Value</t>
  </si>
  <si>
    <t>Loan Term</t>
  </si>
  <si>
    <t>Loan Start Month</t>
  </si>
  <si>
    <t>COMMENTS/REASONS</t>
  </si>
  <si>
    <t>W/O INFLATION</t>
  </si>
  <si>
    <t>Till Year</t>
  </si>
  <si>
    <t>Recurring</t>
  </si>
  <si>
    <t>has deep passion for math and allied subjects. So, want to support her in that space</t>
  </si>
  <si>
    <t>Onetime</t>
  </si>
  <si>
    <t>SG's 60th birthday rituals</t>
  </si>
  <si>
    <t>Organized in vedapatashala as a closed gathering with rituals done b y veda pandits</t>
  </si>
  <si>
    <t>Retirment House</t>
  </si>
  <si>
    <t>we expect 50 % to be funded from current house</t>
  </si>
  <si>
    <t>WITH INFLATION</t>
  </si>
  <si>
    <t>Equity MF</t>
  </si>
  <si>
    <t>Bank Bal</t>
  </si>
  <si>
    <t>Debt MF</t>
  </si>
  <si>
    <t>FDs</t>
  </si>
  <si>
    <t>Gold</t>
  </si>
  <si>
    <t>Nandi Hills</t>
  </si>
  <si>
    <t>Purva Graces</t>
  </si>
  <si>
    <t>Goals</t>
  </si>
  <si>
    <t>Start</t>
  </si>
  <si>
    <t>Inv</t>
  </si>
  <si>
    <t>Withdrawal</t>
  </si>
  <si>
    <t>End</t>
  </si>
  <si>
    <t>Age</t>
  </si>
  <si>
    <t>NW At End of Year</t>
  </si>
  <si>
    <t>Loan o/s Bal</t>
  </si>
  <si>
    <t>Adding to the Bucket</t>
  </si>
  <si>
    <t>Retirement</t>
  </si>
  <si>
    <t>Specific Year</t>
  </si>
  <si>
    <t>INCOME SOURCES</t>
  </si>
  <si>
    <t>Amount as per today's value</t>
  </si>
  <si>
    <t>From Year</t>
  </si>
  <si>
    <t>Till __ Year / Retirement</t>
  </si>
  <si>
    <t>Increase Rate</t>
  </si>
  <si>
    <t>Weights</t>
  </si>
  <si>
    <t>SG OFFICE</t>
  </si>
  <si>
    <t>SG HDFC Life Annuity Plan</t>
  </si>
  <si>
    <t>SG Jeevan Tarang</t>
  </si>
  <si>
    <t>SG EPF</t>
  </si>
  <si>
    <t>SG Post Ret Income</t>
  </si>
  <si>
    <t>Net INCOME</t>
  </si>
  <si>
    <t>Taking out of the Bucket</t>
  </si>
  <si>
    <t>Current Expenses</t>
  </si>
  <si>
    <t>Future Expenses (Without Inflation)</t>
  </si>
  <si>
    <t>Current Lifestyle</t>
  </si>
  <si>
    <t>At Retirement</t>
  </si>
  <si>
    <t>Post Age 75/80</t>
  </si>
  <si>
    <t>UTILITIES</t>
  </si>
  <si>
    <t>OTTs/Cable TV</t>
  </si>
  <si>
    <t>Cook</t>
  </si>
  <si>
    <t>Clothes Ironing and Laundry</t>
  </si>
  <si>
    <t>Cooking Gas</t>
  </si>
  <si>
    <t>Newspaper</t>
  </si>
  <si>
    <t>Phone / Mobile</t>
  </si>
  <si>
    <t>Electricity</t>
  </si>
  <si>
    <t>House Maid/ Servants Expenses</t>
  </si>
  <si>
    <t>Internet Service</t>
  </si>
  <si>
    <t>Utility Others - White Goods Maintenance/ Repair / AMC's / Refurbishing Home, Professional Fees &amp; Other Utilities</t>
  </si>
  <si>
    <t xml:space="preserve">Furnishings </t>
  </si>
  <si>
    <t>Digital storage (cloud space/apple icolud)</t>
  </si>
  <si>
    <t>Miscellaneous-bonus for helper,cook &amp; staff of building</t>
  </si>
  <si>
    <t>Total UTILITIES</t>
  </si>
  <si>
    <t>PERSONAL CARE</t>
  </si>
  <si>
    <t xml:space="preserve">Clothing  for self </t>
  </si>
  <si>
    <t>Clothing for family</t>
  </si>
  <si>
    <t>Purchase of Gadgets (T.V., Mobiles, Laptop etc.)</t>
  </si>
  <si>
    <t>Self Learning (Purchasing Books, Online Contents, etc.)</t>
  </si>
  <si>
    <t>Personal Other - Beauty Parlours, Salons, SPA's etc.</t>
  </si>
  <si>
    <t>Total PERSONAL CARE</t>
  </si>
  <si>
    <t>HOUSING</t>
  </si>
  <si>
    <t>Rent</t>
  </si>
  <si>
    <t>Property Tax</t>
  </si>
  <si>
    <t>House(Society) Maintenance Expenses</t>
  </si>
  <si>
    <t>Refurbishing</t>
  </si>
  <si>
    <t>Total HOUSING</t>
  </si>
  <si>
    <t>FOOD</t>
  </si>
  <si>
    <t>Milk</t>
  </si>
  <si>
    <t>Grocery</t>
  </si>
  <si>
    <t>Fruits /  Vegetables / Meat</t>
  </si>
  <si>
    <t>Office Lunch</t>
  </si>
  <si>
    <t>School / College Lunch</t>
  </si>
  <si>
    <t>Food Other (like Snacks etc.)</t>
  </si>
  <si>
    <t>Total FOOD</t>
  </si>
  <si>
    <t>HEALTH</t>
  </si>
  <si>
    <t>Doctor / Dentist</t>
  </si>
  <si>
    <t>Medicine / Drugs</t>
  </si>
  <si>
    <t>Fitness Club Dues / Gym</t>
  </si>
  <si>
    <t>Fitness Equipment</t>
  </si>
  <si>
    <t>Pet Care</t>
  </si>
  <si>
    <t>Other-annual blood work</t>
  </si>
  <si>
    <t>Total HEALTH</t>
  </si>
  <si>
    <t>FAMILY CARE &amp; DONATIONS</t>
  </si>
  <si>
    <t>Parent care</t>
  </si>
  <si>
    <t xml:space="preserve">Children Education </t>
  </si>
  <si>
    <t>Children Care</t>
  </si>
  <si>
    <t>Extended family support</t>
  </si>
  <si>
    <t>Visit Family</t>
  </si>
  <si>
    <t>Donations/Charity</t>
  </si>
  <si>
    <t>Other</t>
  </si>
  <si>
    <t>Total FAMILY CARE &amp; DONATIONS</t>
  </si>
  <si>
    <t>TRANSPORTATION</t>
  </si>
  <si>
    <t>Car Wash</t>
  </si>
  <si>
    <t>Petrol/Diesel</t>
  </si>
  <si>
    <t>Vehicle Maintenance &amp; Repair</t>
  </si>
  <si>
    <t>Commuting Expenses</t>
  </si>
  <si>
    <t>Driver's Salary</t>
  </si>
  <si>
    <t>Travel to hometown</t>
  </si>
  <si>
    <t>Car Replacement</t>
  </si>
  <si>
    <t>Total TRANSPORTATION</t>
  </si>
  <si>
    <t>RECREATION &amp; ENTERTAINMENT</t>
  </si>
  <si>
    <t>Vacation / Travel</t>
  </si>
  <si>
    <t>Magazines</t>
  </si>
  <si>
    <t>Hobbies</t>
  </si>
  <si>
    <t>Recreation &amp; Entertainment, Party Expenses</t>
  </si>
  <si>
    <t>Movies / Theater</t>
  </si>
  <si>
    <t>Sporting Events</t>
  </si>
  <si>
    <t>Dining / Eating Out</t>
  </si>
  <si>
    <t>Total RECREATION &amp; ENTERTAINMENT</t>
  </si>
  <si>
    <t>PREMIUMS &amp; FEES</t>
  </si>
  <si>
    <t>Life Insurance Premium</t>
  </si>
  <si>
    <t>Health Insurance Premium</t>
  </si>
  <si>
    <t>Critical Illness insurances</t>
  </si>
  <si>
    <t>Disability insurances</t>
  </si>
  <si>
    <t>Car insurances</t>
  </si>
  <si>
    <t>Home / Content insurances</t>
  </si>
  <si>
    <t>Legal Expenses</t>
  </si>
  <si>
    <t>Financial Planner Fees</t>
  </si>
  <si>
    <t>Total PREMIUMS &amp; FEES</t>
  </si>
  <si>
    <t>LOAN EMIs</t>
  </si>
  <si>
    <t>Housing EMI</t>
  </si>
  <si>
    <t>Car EMI</t>
  </si>
  <si>
    <t>Education Loan EMI</t>
  </si>
  <si>
    <t>Personal Loan EMI</t>
  </si>
  <si>
    <t>Total LOAN EMIs</t>
  </si>
  <si>
    <t>Overall Summary</t>
  </si>
  <si>
    <t>Utilities</t>
  </si>
  <si>
    <t>Personal Care</t>
  </si>
  <si>
    <t>Housing</t>
  </si>
  <si>
    <t>Food</t>
  </si>
  <si>
    <t>Health</t>
  </si>
  <si>
    <t>Family Care &amp; Donations</t>
  </si>
  <si>
    <t>Transportation</t>
  </si>
  <si>
    <t>Recreation &amp; Entertainment</t>
  </si>
  <si>
    <t>Premiums &amp; Fees</t>
  </si>
  <si>
    <t>Loan EMIs</t>
  </si>
  <si>
    <t>Regular Investments</t>
  </si>
  <si>
    <t xml:space="preserve">Mutual Funds </t>
  </si>
  <si>
    <t>across funds</t>
  </si>
  <si>
    <t>Direct Indian Equity (Stocks)</t>
  </si>
  <si>
    <t>This was One time Lumpsum Invt (2025)</t>
  </si>
  <si>
    <t>Direct from Salary</t>
  </si>
  <si>
    <t>from salary + self contribution</t>
  </si>
  <si>
    <t>(25K via SIP &amp; 44K directly via salary deduction)</t>
  </si>
  <si>
    <t>SSA</t>
  </si>
  <si>
    <t>Others- US + Shell shares</t>
  </si>
  <si>
    <t>US + Shell Share</t>
  </si>
  <si>
    <t>Total Regular Investments</t>
  </si>
  <si>
    <t>Surplus / Deficit</t>
  </si>
  <si>
    <t>Income</t>
  </si>
  <si>
    <t>Total Income</t>
  </si>
  <si>
    <t>Income - Adjusted to Inflation</t>
  </si>
  <si>
    <t>Expenses</t>
  </si>
  <si>
    <t>Life Events</t>
  </si>
  <si>
    <t>Total Expenses</t>
  </si>
  <si>
    <t>Expenses (Adj. to Inflation)</t>
  </si>
  <si>
    <t>Expenses - Insurance</t>
  </si>
  <si>
    <t>W/o Inflation</t>
  </si>
  <si>
    <t>With Inflation</t>
  </si>
  <si>
    <t>CHART</t>
  </si>
  <si>
    <t>Retirement Years</t>
  </si>
  <si>
    <t>Cash Inflow</t>
  </si>
  <si>
    <t>Cash Outflow</t>
  </si>
  <si>
    <t>max</t>
  </si>
  <si>
    <t>Networth Withdrawals</t>
  </si>
  <si>
    <t>Age Meter</t>
  </si>
  <si>
    <t>Expenses (adjusted to Inflation)</t>
  </si>
  <si>
    <t>Realisable / Unrealisable</t>
  </si>
  <si>
    <t>Regular Inv (Unavoidable)</t>
  </si>
  <si>
    <t>Allocation</t>
  </si>
  <si>
    <t>Withdrawals Ranking</t>
  </si>
  <si>
    <t>Maturity Year</t>
  </si>
  <si>
    <t>Year End Values - Realisable Assets</t>
  </si>
  <si>
    <t>Year End Values - Un-Realisable Assets</t>
  </si>
  <si>
    <t>Start Value</t>
  </si>
  <si>
    <t>End Value</t>
  </si>
  <si>
    <t>Realisable</t>
  </si>
  <si>
    <t>Unrealisable</t>
  </si>
  <si>
    <t>Model Portfolio</t>
  </si>
  <si>
    <t>Net Inv</t>
  </si>
  <si>
    <t>Total Withdrawals</t>
  </si>
  <si>
    <t>Withdrawals Needed</t>
  </si>
  <si>
    <t>Balance to be iNvested in Ret Bucket</t>
  </si>
  <si>
    <t>Ret Age</t>
  </si>
  <si>
    <t>Sum of 3 Years</t>
  </si>
  <si>
    <t>Commodities (Gold / Silver)</t>
  </si>
  <si>
    <t>Cryptos</t>
  </si>
  <si>
    <t>Others (Realisable)</t>
  </si>
  <si>
    <t>Government Schemes</t>
  </si>
  <si>
    <t>ESOPs</t>
  </si>
  <si>
    <t>Networth Growth Chart</t>
  </si>
  <si>
    <t>Wealth in 2025</t>
  </si>
  <si>
    <t>Purpose Statement</t>
  </si>
  <si>
    <t>Growth Rate of Wealth</t>
  </si>
  <si>
    <t>Income in 2025</t>
  </si>
  <si>
    <t>Income Increase Rate</t>
  </si>
  <si>
    <t>Expenses in 2025</t>
  </si>
  <si>
    <t>Expense Increase Rate</t>
  </si>
  <si>
    <t>Retirement Age</t>
  </si>
  <si>
    <t>Life Expectancy</t>
  </si>
  <si>
    <t>Realisable Assets</t>
  </si>
  <si>
    <t>Un-Realisable Assets</t>
  </si>
  <si>
    <t>Total Networth</t>
  </si>
  <si>
    <t>Yoy War</t>
  </si>
  <si>
    <t>Net worth at the end of the year (Realisable)</t>
  </si>
  <si>
    <t>Net worth at the end of the year (Un-Realisable)</t>
  </si>
  <si>
    <t>NW at Beg</t>
  </si>
  <si>
    <t>Purpose Statement - Financial Stability, Maintain standard of living, Accelerate what i have built-in &amp; Have enough for retirement</t>
  </si>
  <si>
    <t>Networth at the beginning</t>
  </si>
  <si>
    <t>YoY%</t>
  </si>
  <si>
    <t>Inv(Inc-Exp)</t>
  </si>
  <si>
    <t>Ongoing Investments</t>
  </si>
  <si>
    <t>Additional Inv</t>
  </si>
  <si>
    <t>Networth at the end</t>
  </si>
  <si>
    <t>Loan o/s</t>
  </si>
  <si>
    <t>AS IT IS</t>
  </si>
  <si>
    <t>Wealth in 2022</t>
  </si>
  <si>
    <t>Income in 2022</t>
  </si>
  <si>
    <t>Expenses in 2022</t>
  </si>
  <si>
    <t>Scenarios</t>
  </si>
  <si>
    <t>Catastrophe Planning</t>
  </si>
  <si>
    <t>Exisiting Coverage</t>
  </si>
  <si>
    <t>% of the expenses required</t>
  </si>
  <si>
    <t xml:space="preserve">Inflation </t>
  </si>
  <si>
    <t>Additional Insurance Required</t>
  </si>
  <si>
    <t>Net Assets to liquidate</t>
  </si>
  <si>
    <t>O/S Liabilities</t>
  </si>
  <si>
    <t>NW at the beg</t>
  </si>
  <si>
    <t>NW at the end of year</t>
  </si>
  <si>
    <t>Health Risk Assessment</t>
  </si>
  <si>
    <t>Family Member's Name:</t>
  </si>
  <si>
    <t>Rishub</t>
  </si>
  <si>
    <t>Age :</t>
  </si>
  <si>
    <t>Age group</t>
  </si>
  <si>
    <t>0-35</t>
  </si>
  <si>
    <t>36-45</t>
  </si>
  <si>
    <t>46-55</t>
  </si>
  <si>
    <t>56-65</t>
  </si>
  <si>
    <t>Sub Score</t>
  </si>
  <si>
    <t>SCORE</t>
  </si>
  <si>
    <t>Field will generate automatically</t>
  </si>
  <si>
    <t>Yes</t>
  </si>
  <si>
    <t>Location</t>
  </si>
  <si>
    <t>Metro</t>
  </si>
  <si>
    <r>
      <t>(Select</t>
    </r>
    <r>
      <rPr>
        <sz val="10"/>
        <color indexed="8"/>
        <rFont val="Calibri"/>
        <family val="2"/>
        <scheme val="minor"/>
      </rPr>
      <t xml:space="preserve"> your respective location)</t>
    </r>
  </si>
  <si>
    <t>Health History</t>
  </si>
  <si>
    <r>
      <t>(Select "</t>
    </r>
    <r>
      <rPr>
        <b/>
        <sz val="10"/>
        <color indexed="8"/>
        <rFont val="Calibri"/>
        <family val="2"/>
        <scheme val="minor"/>
      </rPr>
      <t>Yes</t>
    </r>
    <r>
      <rPr>
        <sz val="10"/>
        <color indexed="8"/>
        <rFont val="Calibri"/>
        <family val="2"/>
        <scheme val="minor"/>
      </rPr>
      <t>" or "</t>
    </r>
    <r>
      <rPr>
        <b/>
        <sz val="10"/>
        <color indexed="8"/>
        <rFont val="Calibri"/>
        <family val="2"/>
        <scheme val="minor"/>
      </rPr>
      <t>No</t>
    </r>
    <r>
      <rPr>
        <sz val="10"/>
        <color indexed="8"/>
        <rFont val="Calibri"/>
        <family val="2"/>
        <scheme val="minor"/>
      </rPr>
      <t>" for your Health History)</t>
    </r>
  </si>
  <si>
    <t>Family Health History (BP,Diabetes,Stroke,Cancer)</t>
  </si>
  <si>
    <r>
      <t>(Select "</t>
    </r>
    <r>
      <rPr>
        <b/>
        <sz val="10"/>
        <color indexed="8"/>
        <rFont val="Calibri"/>
        <family val="2"/>
        <scheme val="minor"/>
      </rPr>
      <t>Yes</t>
    </r>
    <r>
      <rPr>
        <sz val="10"/>
        <color indexed="8"/>
        <rFont val="Calibri"/>
        <family val="2"/>
        <scheme val="minor"/>
      </rPr>
      <t>" or "</t>
    </r>
    <r>
      <rPr>
        <b/>
        <sz val="10"/>
        <color indexed="8"/>
        <rFont val="Calibri"/>
        <family val="2"/>
        <scheme val="minor"/>
      </rPr>
      <t>No</t>
    </r>
    <r>
      <rPr>
        <sz val="10"/>
        <color indexed="8"/>
        <rFont val="Calibri"/>
        <family val="2"/>
        <scheme val="minor"/>
      </rPr>
      <t>" for Family Health History of your Parents)</t>
    </r>
  </si>
  <si>
    <t xml:space="preserve">No </t>
  </si>
  <si>
    <r>
      <rPr>
        <b/>
        <sz val="11"/>
        <color theme="1"/>
        <rFont val="Aharoni"/>
        <charset val="177"/>
      </rPr>
      <t xml:space="preserve">
Lifestyle Habits</t>
    </r>
    <r>
      <rPr>
        <b/>
        <sz val="11"/>
        <color theme="5" tint="-0.249977111117893"/>
        <rFont val="Aharoni"/>
        <charset val="177"/>
      </rPr>
      <t xml:space="preserve">
</t>
    </r>
    <r>
      <rPr>
        <sz val="10"/>
        <color theme="1"/>
        <rFont val="Aharoni"/>
        <charset val="177"/>
      </rPr>
      <t/>
    </r>
  </si>
  <si>
    <t>Travel a lot</t>
  </si>
  <si>
    <t>Irregular eating habits</t>
  </si>
  <si>
    <t>Stressful working Environment</t>
  </si>
  <si>
    <t>Smoke / Drink</t>
  </si>
  <si>
    <r>
      <t>(Select "</t>
    </r>
    <r>
      <rPr>
        <b/>
        <sz val="10"/>
        <color indexed="8"/>
        <rFont val="Calibri"/>
        <family val="2"/>
        <scheme val="minor"/>
      </rPr>
      <t xml:space="preserve">Yes" </t>
    </r>
    <r>
      <rPr>
        <sz val="10"/>
        <color indexed="8"/>
        <rFont val="Calibri"/>
        <family val="2"/>
        <scheme val="minor"/>
      </rPr>
      <t>or</t>
    </r>
    <r>
      <rPr>
        <b/>
        <sz val="10"/>
        <color indexed="8"/>
        <rFont val="Calibri"/>
        <family val="2"/>
        <scheme val="minor"/>
      </rPr>
      <t xml:space="preserve"> "No"</t>
    </r>
    <r>
      <rPr>
        <sz val="10"/>
        <color indexed="8"/>
        <rFont val="Calibri"/>
        <family val="2"/>
        <scheme val="minor"/>
      </rPr>
      <t xml:space="preserve"> if it is any of yours Lifestyle Habit)</t>
    </r>
  </si>
  <si>
    <t>Non-Metro</t>
  </si>
  <si>
    <t>Final Score</t>
  </si>
  <si>
    <t>No</t>
  </si>
  <si>
    <t>Category</t>
  </si>
  <si>
    <t>Non - Metro</t>
  </si>
  <si>
    <t>Health Insurance :</t>
  </si>
  <si>
    <t>Base Cover</t>
  </si>
  <si>
    <t>Top Up Cover</t>
  </si>
  <si>
    <t>Critical Illness :</t>
  </si>
  <si>
    <r>
      <t xml:space="preserve">Cover required would be equal to </t>
    </r>
    <r>
      <rPr>
        <b/>
        <i/>
        <sz val="12"/>
        <color indexed="8"/>
        <rFont val="Calibri"/>
        <family val="2"/>
      </rPr>
      <t>One year</t>
    </r>
    <r>
      <rPr>
        <i/>
        <sz val="12"/>
        <color indexed="8"/>
        <rFont val="Calibri"/>
        <family val="2"/>
      </rPr>
      <t xml:space="preserve"> of the Annual Expenses</t>
    </r>
  </si>
  <si>
    <t>Accidental Insurance :</t>
  </si>
  <si>
    <r>
      <t xml:space="preserve">Cover required would be equal to </t>
    </r>
    <r>
      <rPr>
        <b/>
        <i/>
        <sz val="12"/>
        <color indexed="8"/>
        <rFont val="Calibri"/>
        <family val="2"/>
      </rPr>
      <t>Two years</t>
    </r>
    <r>
      <rPr>
        <i/>
        <sz val="12"/>
        <color indexed="8"/>
        <rFont val="Calibri"/>
        <family val="2"/>
      </rPr>
      <t xml:space="preserve"> of the Annual Income.</t>
    </r>
  </si>
  <si>
    <t>RISK</t>
  </si>
  <si>
    <t>Scores</t>
  </si>
  <si>
    <t>max Score</t>
  </si>
  <si>
    <t>Life cover</t>
  </si>
  <si>
    <t>Total of all Sum Insured in Life insurance for primary earning member / HLV</t>
  </si>
  <si>
    <t>&gt;100% − 10, 80−100% − 8, 60−80% − 6, 40−60% − 4, 20−40% − 2, &lt;20% − 0</t>
  </si>
  <si>
    <t>Will the Money Last</t>
  </si>
  <si>
    <t>Health insurance</t>
  </si>
  <si>
    <t>(Total Base + Total Top Up) / Total Health Insurance required</t>
  </si>
  <si>
    <t>Asset Growth</t>
  </si>
  <si>
    <t>Accidental</t>
  </si>
  <si>
    <t>Sum Insured / (Annual Expenses * 2)</t>
  </si>
  <si>
    <t>Cashflow Scores</t>
  </si>
  <si>
    <t>Critical</t>
  </si>
  <si>
    <t>Sum Insured / (Annual Expenses * 1)</t>
  </si>
  <si>
    <t>Succession Readiness</t>
  </si>
  <si>
    <t>Asset Value at Risk</t>
  </si>
  <si>
    <t>CASHFLOW</t>
  </si>
  <si>
    <t>Risk Cover</t>
  </si>
  <si>
    <t>Surplus</t>
  </si>
  <si>
    <t xml:space="preserve">Surplus / Total Income </t>
  </si>
  <si>
    <t>80−100% − 10, 60−80% − 8, 40−60% − 6, 20−40% − 4, &lt;20% − 0</t>
  </si>
  <si>
    <t>EMI / Total Income</t>
  </si>
  <si>
    <t>&gt;100% − 0, 80−100% − 0, 60−80% −2 , 40−60% − 5, 20−40% − 7, &lt;20% − 9, 0%-10</t>
  </si>
  <si>
    <t>Investment / Total Income</t>
  </si>
  <si>
    <t>Emergency</t>
  </si>
  <si>
    <t>Emergency Funds / (6 months of Annual Exp)</t>
  </si>
  <si>
    <t>&gt;100% − 10, 80−100% − 8, 60−80% − 6, 40−60% − 4, 20−40% − 2, &lt;20% − 3</t>
  </si>
  <si>
    <t>ASSET GROWTH</t>
  </si>
  <si>
    <t>WAR SHEET</t>
  </si>
  <si>
    <t>&gt;12% - 10, 11%-12% - 8, 10% - 11% - 6, 9%-10% - 4, 8%-9% - 2, &lt;8% - 0</t>
  </si>
  <si>
    <t>done</t>
  </si>
  <si>
    <t>Liquidity Risk - Realisable / Total Assets</t>
  </si>
  <si>
    <t>&gt;80% - 10, 60% - 80% - 6, 40% - 60% - 4, 20% - 40% - 2, &lt;20% - 0</t>
  </si>
  <si>
    <t>Done</t>
  </si>
  <si>
    <t>if we measuring riskiest asset as 10 in this Set then this particular should be opposite?</t>
  </si>
  <si>
    <t>Value at Risk (Sensitivity Analysis - 1 year probability)</t>
  </si>
  <si>
    <r>
      <t xml:space="preserve">0% - 10, 0-10% - 8, 10% - 20% - 6, 20% - 40% - 4, 40% - 60% - 2, &gt;60% - 0 
</t>
    </r>
    <r>
      <rPr>
        <sz val="11"/>
        <color rgb="FFFF0000"/>
        <rFont val="Calibri"/>
        <family val="2"/>
      </rPr>
      <t>100% - 10, 80 - 100% - 3, 60 - 80% - 5, 40 - 60%, 7, 20 - 40%, 8, &lt;20% - 9</t>
    </r>
  </si>
  <si>
    <t>panding</t>
  </si>
  <si>
    <t>what values should we take for sensitivity analysis &amp; 1 yr prob</t>
  </si>
  <si>
    <t>Concentration  Risk - Any one asset item &gt; 20% of the portfolio</t>
  </si>
  <si>
    <r>
      <t xml:space="preserve">If yes, 10
</t>
    </r>
    <r>
      <rPr>
        <sz val="11"/>
        <color rgb="FFFF0000"/>
        <rFont val="Calibri"/>
        <family val="2"/>
      </rPr>
      <t>if none of the assets weigh more than 20% then the portfolio is less riskier hence, 10</t>
    </r>
  </si>
  <si>
    <t>Inflation Risk - Real Return Formula</t>
  </si>
  <si>
    <r>
      <t xml:space="preserve">&gt;2 - 10, 1-2 - 7, </t>
    </r>
    <r>
      <rPr>
        <sz val="11"/>
        <color rgb="FFFF0000"/>
        <rFont val="Calibri"/>
        <family val="2"/>
      </rPr>
      <t>0.5 - 1,4, &lt;0.5</t>
    </r>
    <r>
      <rPr>
        <sz val="11"/>
        <color rgb="FF000000"/>
        <rFont val="Calibri"/>
        <family val="2"/>
      </rPr>
      <t xml:space="preserve"> - 0</t>
    </r>
  </si>
  <si>
    <t>Will the money last?</t>
  </si>
  <si>
    <t>Money runs out by age / 100</t>
  </si>
  <si>
    <r>
      <t xml:space="preserve">100 - 10, 90-8, 80-6, 70-5, 60-4, &lt;60-0
</t>
    </r>
    <r>
      <rPr>
        <sz val="11"/>
        <color rgb="FFFF0000"/>
        <rFont val="Calibri"/>
        <family val="2"/>
      </rPr>
      <t>100 - 10, 95 TO 100 - 9, 90 TO 95 - 8, 85 TO 90 - 7, 80 TO 85 - 6, 75 TO 80 - 4, 70 TO 76 - 3, 60 TO 70 - 2, &lt;60 - 0</t>
    </r>
  </si>
  <si>
    <t>Nominations, Email id / phone number updated, Availability of Will</t>
  </si>
  <si>
    <t>HS</t>
  </si>
  <si>
    <t>GS</t>
  </si>
  <si>
    <t>MH</t>
  </si>
  <si>
    <t>SH</t>
  </si>
  <si>
    <t>NS</t>
  </si>
  <si>
    <t>NS's college</t>
  </si>
  <si>
    <t>NS's marriage</t>
  </si>
  <si>
    <t>HS FREELANCING</t>
  </si>
  <si>
    <t>HS Jeevan Anand</t>
  </si>
  <si>
    <t>NS Jeevan Tarang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</si>
</sst>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₹&quot;\ #,##0;[Red]&quot;₹&quot;\ \-#,##0"/>
    <numFmt numFmtId="43" formatCode="_ * #,##0.00_ ;_ * \-#,##0.00_ ;_ * &quot;-&quot;??_ ;_ @_ "/>
    <numFmt numFmtId="164" formatCode="_ * #,##0_ ;_ * \-#,##0_ ;_ * &quot;-&quot;??_ ;_ @_ "/>
    <numFmt numFmtId="165" formatCode="#,##0_ ;[Red]\-#,##0\ "/>
    <numFmt numFmtId="166" formatCode="#,##0_ ;\-#,##0\ "/>
    <numFmt numFmtId="167" formatCode="0.0%"/>
    <numFmt numFmtId="168" formatCode="0_ ;\-0\ "/>
    <numFmt numFmtId="169" formatCode="0;\-0;;@\,"/>
    <numFmt numFmtId="170" formatCode="0;\-0;;@"/>
    <numFmt numFmtId="171" formatCode="0.0000000000000000%"/>
    <numFmt numFmtId="172" formatCode="mm/dd/yy;@"/>
  </numFmts>
  <fonts count="8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indexed="8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3"/>
      <color theme="1"/>
      <name val="Calibri"/>
      <family val="2"/>
    </font>
    <font>
      <b/>
      <sz val="13"/>
      <color indexed="8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sz val="11"/>
      <color indexed="8"/>
      <name val="Calibri"/>
      <family val="2"/>
    </font>
    <font>
      <b/>
      <sz val="15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i/>
      <sz val="11"/>
      <color indexed="8"/>
      <name val="Calibri"/>
      <family val="2"/>
    </font>
    <font>
      <i/>
      <sz val="12"/>
      <color theme="1"/>
      <name val="Calibri"/>
      <family val="2"/>
      <scheme val="minor"/>
    </font>
    <font>
      <sz val="26"/>
      <color theme="1"/>
      <name val="Calibri"/>
      <family val="2"/>
    </font>
    <font>
      <sz val="26"/>
      <color theme="0"/>
      <name val="Calibri"/>
      <family val="2"/>
    </font>
    <font>
      <b/>
      <sz val="20"/>
      <color theme="1"/>
      <name val="Calibri"/>
      <family val="2"/>
    </font>
    <font>
      <b/>
      <sz val="13"/>
      <color theme="0"/>
      <name val="Calibri"/>
      <family val="2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</font>
    <font>
      <b/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rgb="FFFFFFFF"/>
      <name val="Calibri"/>
      <family val="2"/>
    </font>
    <font>
      <b/>
      <sz val="14"/>
      <color rgb="FF000000"/>
      <name val="Calibri"/>
      <family val="2"/>
    </font>
    <font>
      <sz val="13"/>
      <color rgb="FF000000"/>
      <name val="Calibri"/>
      <family val="2"/>
    </font>
    <font>
      <b/>
      <sz val="12"/>
      <color indexed="8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b/>
      <i/>
      <sz val="16"/>
      <color indexed="8"/>
      <name val="Calibri"/>
      <family val="2"/>
    </font>
    <font>
      <b/>
      <i/>
      <sz val="10"/>
      <color indexed="30"/>
      <name val="Calibri"/>
      <family val="2"/>
    </font>
    <font>
      <b/>
      <i/>
      <sz val="13"/>
      <color theme="4" tint="-0.249977111117893"/>
      <name val="Calibri"/>
      <family val="2"/>
    </font>
    <font>
      <b/>
      <i/>
      <sz val="13"/>
      <color indexed="8"/>
      <name val="Calibri"/>
      <family val="2"/>
    </font>
    <font>
      <b/>
      <i/>
      <sz val="13"/>
      <color indexed="30"/>
      <name val="Calibri"/>
      <family val="2"/>
    </font>
    <font>
      <b/>
      <i/>
      <sz val="11"/>
      <color rgb="FFFF0000"/>
      <name val="Calibri"/>
      <family val="2"/>
    </font>
    <font>
      <b/>
      <sz val="11"/>
      <color theme="1"/>
      <name val="Aharoni"/>
      <charset val="177"/>
    </font>
    <font>
      <sz val="10"/>
      <color indexed="8"/>
      <name val="Calibri"/>
      <family val="2"/>
    </font>
    <font>
      <b/>
      <sz val="11"/>
      <color indexed="8"/>
      <name val="Aharoni"/>
      <charset val="177"/>
    </font>
    <font>
      <sz val="11"/>
      <color indexed="9"/>
      <name val="Calibri"/>
      <family val="2"/>
    </font>
    <font>
      <sz val="10"/>
      <color indexed="8"/>
      <name val="Calibri"/>
      <family val="2"/>
      <scheme val="minor"/>
    </font>
    <font>
      <b/>
      <sz val="11"/>
      <color indexed="9"/>
      <name val="Aharoni"/>
      <charset val="177"/>
    </font>
    <font>
      <b/>
      <sz val="10"/>
      <color indexed="8"/>
      <name val="Calibri"/>
      <family val="2"/>
      <scheme val="minor"/>
    </font>
    <font>
      <b/>
      <sz val="11"/>
      <color theme="5" tint="-0.249977111117893"/>
      <name val="Aharoni"/>
      <charset val="177"/>
    </font>
    <font>
      <sz val="10"/>
      <color theme="1"/>
      <name val="Aharoni"/>
      <charset val="177"/>
    </font>
    <font>
      <b/>
      <sz val="10"/>
      <color indexed="8"/>
      <name val="Calibri"/>
      <family val="2"/>
    </font>
    <font>
      <sz val="16"/>
      <color theme="0"/>
      <name val="Arial Rounded MT Bold"/>
      <family val="2"/>
    </font>
    <font>
      <sz val="11"/>
      <color indexed="39"/>
      <name val="Calibri"/>
      <family val="2"/>
    </font>
    <font>
      <sz val="16"/>
      <color indexed="8"/>
      <name val="Arial Rounded MT Bold"/>
      <family val="2"/>
    </font>
    <font>
      <b/>
      <i/>
      <sz val="16"/>
      <color theme="1"/>
      <name val="Calibri"/>
      <family val="2"/>
      <scheme val="minor"/>
    </font>
    <font>
      <i/>
      <sz val="12"/>
      <color indexed="8"/>
      <name val="Calibri"/>
      <family val="2"/>
    </font>
    <font>
      <b/>
      <i/>
      <sz val="12"/>
      <color indexed="8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4"/>
      <color theme="0"/>
      <name val="Calibri"/>
      <family val="2"/>
    </font>
    <font>
      <sz val="14"/>
      <color indexed="8"/>
      <name val="Calibri"/>
      <family val="2"/>
    </font>
    <font>
      <b/>
      <sz val="11"/>
      <color theme="1"/>
      <name val="Calibri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6"/>
      <color theme="9" tint="-0.499984740745262"/>
      <name val="Calibri"/>
      <family val="2"/>
      <scheme val="minor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b/>
      <u/>
      <sz val="13.5"/>
      <color theme="1"/>
      <name val="Calibri"/>
      <family val="2"/>
      <scheme val="minor"/>
    </font>
    <font>
      <sz val="14"/>
      <color theme="0"/>
      <name val="Calibri"/>
      <family val="2"/>
    </font>
    <font>
      <b/>
      <u/>
      <sz val="11"/>
      <color rgb="FFFF0000"/>
      <name val="Calibri"/>
      <family val="2"/>
      <scheme val="minor"/>
    </font>
    <font>
      <sz val="32"/>
      <color theme="1"/>
      <name val="Calibri"/>
      <family val="2"/>
    </font>
    <font>
      <b/>
      <sz val="11"/>
      <color theme="2" tint="-0.749992370372631"/>
      <name val="Calibri"/>
      <family val="2"/>
    </font>
    <font>
      <sz val="11"/>
      <color theme="2" tint="-0.749992370372631"/>
      <name val="Calibri"/>
      <family val="2"/>
      <scheme val="minor"/>
    </font>
    <font>
      <sz val="11"/>
      <color rgb="FF242424"/>
      <name val="Aptos Narrow"/>
      <charset val="1"/>
    </font>
  </fonts>
  <fills count="31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FDE9D9"/>
        <bgColor rgb="FFFDE9D9"/>
      </patternFill>
    </fill>
    <fill>
      <patternFill patternType="solid">
        <fgColor rgb="FFFFFF00"/>
        <bgColor rgb="FFFFFF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rgb="FF00B050"/>
      </patternFill>
    </fill>
    <fill>
      <patternFill patternType="solid">
        <fgColor theme="5" tint="0.39997558519241921"/>
        <bgColor theme="0"/>
      </patternFill>
    </fill>
    <fill>
      <patternFill patternType="solid">
        <fgColor theme="5" tint="0.39997558519241921"/>
        <bgColor rgb="FF31859B"/>
      </patternFill>
    </fill>
    <fill>
      <patternFill patternType="solid">
        <fgColor theme="5" tint="0.39997558519241921"/>
        <bgColor theme="9"/>
      </patternFill>
    </fill>
    <fill>
      <patternFill patternType="solid">
        <fgColor theme="5" tint="0.79998168889431442"/>
        <bgColor rgb="FFDAEEF3"/>
      </patternFill>
    </fill>
    <fill>
      <patternFill patternType="solid">
        <fgColor theme="5" tint="0.79998168889431442"/>
        <bgColor rgb="FFDBDBDB"/>
      </patternFill>
    </fill>
  </fills>
  <borders count="183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theme="1"/>
      </right>
      <top style="medium">
        <color rgb="FF000000"/>
      </top>
      <bottom/>
      <diagonal/>
    </border>
    <border>
      <left style="medium">
        <color rgb="FF000000"/>
      </left>
      <right style="medium">
        <color theme="1"/>
      </right>
      <top/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theme="1"/>
      </right>
      <top/>
      <bottom style="medium">
        <color rgb="FF000000"/>
      </bottom>
      <diagonal/>
    </border>
    <border>
      <left style="medium">
        <color rgb="FF000000"/>
      </left>
      <right style="medium">
        <color theme="1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thick">
        <color theme="1"/>
      </bottom>
      <diagonal/>
    </border>
    <border>
      <left style="thin">
        <color indexed="64"/>
      </left>
      <right/>
      <top style="thick">
        <color theme="4" tint="-0.499984740745262"/>
      </top>
      <bottom style="thin">
        <color indexed="64"/>
      </bottom>
      <diagonal/>
    </border>
    <border>
      <left/>
      <right style="thin">
        <color indexed="64"/>
      </right>
      <top style="thick">
        <color theme="4" tint="-0.49998474074526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theme="4" tint="-0.499984740745262"/>
      </top>
      <bottom style="thin">
        <color indexed="64"/>
      </bottom>
      <diagonal/>
    </border>
    <border>
      <left/>
      <right/>
      <top/>
      <bottom style="thick">
        <color theme="5" tint="-0.249977111117893"/>
      </bottom>
      <diagonal/>
    </border>
    <border>
      <left/>
      <right/>
      <top style="thin">
        <color indexed="64"/>
      </top>
      <bottom style="thick">
        <color theme="5" tint="-0.249977111117893"/>
      </bottom>
      <diagonal/>
    </border>
    <border>
      <left style="thick">
        <color theme="5" tint="-0.249977111117893"/>
      </left>
      <right style="thin">
        <color theme="5" tint="0.39997558519241921"/>
      </right>
      <top style="thick">
        <color theme="5" tint="-0.249977111117893"/>
      </top>
      <bottom style="thin">
        <color theme="5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ck">
        <color theme="5" tint="-0.249977111117893"/>
      </top>
      <bottom style="thin">
        <color theme="5" tint="0.39997558519241921"/>
      </bottom>
      <diagonal/>
    </border>
    <border>
      <left/>
      <right/>
      <top style="thick">
        <color theme="5" tint="-0.249977111117893"/>
      </top>
      <bottom style="thin">
        <color theme="5" tint="0.39997558519241921"/>
      </bottom>
      <diagonal/>
    </border>
    <border>
      <left style="thick">
        <color theme="5" tint="-0.249977111117893"/>
      </left>
      <right style="thick">
        <color theme="5" tint="-0.249977111117893"/>
      </right>
      <top style="thick">
        <color theme="5" tint="-0.249977111117893"/>
      </top>
      <bottom style="thin">
        <color theme="5" tint="0.39997558519241921"/>
      </bottom>
      <diagonal/>
    </border>
    <border>
      <left/>
      <right style="thick">
        <color theme="5" tint="-0.249977111117893"/>
      </right>
      <top style="thick">
        <color theme="5" tint="-0.249977111117893"/>
      </top>
      <bottom style="thin">
        <color theme="5" tint="0.39997558519241921"/>
      </bottom>
      <diagonal/>
    </border>
    <border>
      <left style="thick">
        <color theme="5" tint="-0.249977111117893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 style="thick">
        <color theme="5" tint="-0.249977111117893"/>
      </left>
      <right style="thick">
        <color theme="5" tint="-0.249977111117893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 style="thick">
        <color theme="5" tint="-0.249977111117893"/>
      </right>
      <top style="thin">
        <color theme="5" tint="0.39997558519241921"/>
      </top>
      <bottom style="thin">
        <color theme="5" tint="0.39997558519241921"/>
      </bottom>
      <diagonal/>
    </border>
    <border>
      <left style="thick">
        <color theme="5" tint="-0.249977111117893"/>
      </left>
      <right style="thin">
        <color theme="5" tint="0.39997558519241921"/>
      </right>
      <top style="thin">
        <color theme="5" tint="0.39997558519241921"/>
      </top>
      <bottom style="thick">
        <color theme="5" tint="-0.249977111117893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ck">
        <color theme="5" tint="-0.249977111117893"/>
      </bottom>
      <diagonal/>
    </border>
    <border>
      <left/>
      <right/>
      <top style="thin">
        <color theme="5" tint="0.39997558519241921"/>
      </top>
      <bottom/>
      <diagonal/>
    </border>
    <border>
      <left/>
      <right style="thick">
        <color theme="5" tint="-0.249977111117893"/>
      </right>
      <top style="thin">
        <color theme="5" tint="0.39997558519241921"/>
      </top>
      <bottom/>
      <diagonal/>
    </border>
    <border>
      <left/>
      <right style="thick">
        <color theme="5" tint="-0.249977111117893"/>
      </right>
      <top/>
      <bottom style="thick">
        <color theme="5" tint="-0.249977111117893"/>
      </bottom>
      <diagonal/>
    </border>
    <border>
      <left style="thick">
        <color theme="5" tint="-0.249977111117893"/>
      </left>
      <right style="thick">
        <color theme="5" tint="-0.249977111117893"/>
      </right>
      <top/>
      <bottom style="thick">
        <color theme="5" tint="-0.249977111117893"/>
      </bottom>
      <diagonal/>
    </border>
    <border>
      <left style="thick">
        <color theme="5" tint="-0.249977111117893"/>
      </left>
      <right/>
      <top/>
      <bottom style="thin">
        <color theme="5" tint="0.59999389629810485"/>
      </bottom>
      <diagonal/>
    </border>
    <border>
      <left style="thin">
        <color theme="5" tint="0.59999389629810485"/>
      </left>
      <right style="thin">
        <color theme="5" tint="0.59999389629810485"/>
      </right>
      <top style="thick">
        <color theme="5" tint="-0.249977111117893"/>
      </top>
      <bottom/>
      <diagonal/>
    </border>
    <border>
      <left style="thin">
        <color theme="5" tint="0.59999389629810485"/>
      </left>
      <right/>
      <top/>
      <bottom/>
      <diagonal/>
    </border>
    <border>
      <left/>
      <right style="thick">
        <color theme="5" tint="-0.249977111117893"/>
      </right>
      <top/>
      <bottom/>
      <diagonal/>
    </border>
    <border>
      <left style="thick">
        <color theme="5" tint="-0.249977111117893"/>
      </left>
      <right style="thick">
        <color theme="5" tint="-0.249977111117893"/>
      </right>
      <top style="thick">
        <color theme="5" tint="-0.249977111117893"/>
      </top>
      <bottom/>
      <diagonal/>
    </border>
    <border>
      <left style="thick">
        <color theme="5" tint="-0.249977111117893"/>
      </left>
      <right/>
      <top style="thin">
        <color theme="5" tint="0.59999389629810485"/>
      </top>
      <bottom style="thin">
        <color theme="5" tint="0.59999389629810485"/>
      </bottom>
      <diagonal/>
    </border>
    <border>
      <left style="thin">
        <color theme="5" tint="0.59999389629810485"/>
      </left>
      <right style="thin">
        <color theme="5" tint="0.59999389629810485"/>
      </right>
      <top/>
      <bottom style="thin">
        <color theme="5" tint="0.59999389629810485"/>
      </bottom>
      <diagonal/>
    </border>
    <border>
      <left style="thick">
        <color theme="5" tint="-0.249977111117893"/>
      </left>
      <right style="thick">
        <color theme="5" tint="-0.249977111117893"/>
      </right>
      <top/>
      <bottom style="thin">
        <color theme="5" tint="0.39997558519241921"/>
      </bottom>
      <diagonal/>
    </border>
    <border>
      <left style="thick">
        <color theme="5" tint="-0.249977111117893"/>
      </left>
      <right/>
      <top/>
      <bottom style="thick">
        <color theme="5" tint="-0.249977111117893"/>
      </bottom>
      <diagonal/>
    </border>
    <border>
      <left style="thick">
        <color theme="5" tint="-0.249977111117893"/>
      </left>
      <right style="thick">
        <color theme="5" tint="-0.249977111117893"/>
      </right>
      <top style="thin">
        <color theme="5" tint="0.39997558519241921"/>
      </top>
      <bottom style="thick">
        <color theme="5" tint="-0.249977111117893"/>
      </bottom>
      <diagonal/>
    </border>
    <border>
      <left style="thick">
        <color theme="5" tint="-0.249977111117893"/>
      </left>
      <right style="thin">
        <color theme="5" tint="0.39997558519241921"/>
      </right>
      <top/>
      <bottom style="thin">
        <color theme="5" tint="0.39997558519241921"/>
      </bottom>
      <diagonal/>
    </border>
    <border>
      <left style="thin">
        <color theme="5" tint="0.39997558519241921"/>
      </left>
      <right style="thin">
        <color theme="5" tint="0.59999389629810485"/>
      </right>
      <top style="thick">
        <color theme="5" tint="-0.249977111117893"/>
      </top>
      <bottom/>
      <diagonal/>
    </border>
    <border>
      <left style="thick">
        <color theme="5" tint="-0.249977111117893"/>
      </left>
      <right style="thick">
        <color theme="5" tint="-0.249977111117893"/>
      </right>
      <top/>
      <bottom/>
      <diagonal/>
    </border>
    <border>
      <left style="thick">
        <color theme="5" tint="-0.249977111117893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59999389629810485"/>
      </right>
      <top/>
      <bottom style="thin">
        <color theme="5" tint="0.59999389629810485"/>
      </bottom>
      <diagonal/>
    </border>
    <border>
      <left style="thick">
        <color theme="5" tint="-0.249977111117893"/>
      </left>
      <right style="thick">
        <color theme="5" tint="-0.249977111117893"/>
      </right>
      <top/>
      <bottom style="thin">
        <color theme="5" tint="0.59999389629810485"/>
      </bottom>
      <diagonal/>
    </border>
    <border>
      <left style="thick">
        <color theme="5" tint="-0.249977111117893"/>
      </left>
      <right/>
      <top style="thin">
        <color theme="5" tint="0.59999389629810485"/>
      </top>
      <bottom style="thick">
        <color theme="5" tint="-0.249977111117893"/>
      </bottom>
      <diagonal/>
    </border>
    <border>
      <left style="thin">
        <color theme="5" tint="0.39997558519241921"/>
      </left>
      <right style="thin">
        <color theme="5" tint="0.39997558519241921"/>
      </right>
      <top/>
      <bottom style="thin">
        <color theme="5" tint="0.39997558519241921"/>
      </bottom>
      <diagonal/>
    </border>
    <border>
      <left style="thin">
        <color theme="5" tint="0.39997558519241921"/>
      </left>
      <right style="thin">
        <color theme="5" tint="0.59999389629810485"/>
      </right>
      <top/>
      <bottom style="thin">
        <color theme="5" tint="0.39997558519241921"/>
      </bottom>
      <diagonal/>
    </border>
    <border>
      <left style="thin">
        <color theme="5" tint="0.39997558519241921"/>
      </left>
      <right style="thin">
        <color theme="5" tint="0.59999389629810485"/>
      </right>
      <top style="thin">
        <color theme="5" tint="0.39997558519241921"/>
      </top>
      <bottom style="thin">
        <color theme="5" tint="0.39997558519241921"/>
      </bottom>
      <diagonal/>
    </border>
    <border>
      <left style="thick">
        <color theme="5" tint="-0.249977111117893"/>
      </left>
      <right style="thin">
        <color theme="5" tint="0.39997558519241921"/>
      </right>
      <top style="thin">
        <color theme="5" tint="0.59999389629810485"/>
      </top>
      <bottom style="thick">
        <color theme="5" tint="-0.249977111117893"/>
      </bottom>
      <diagonal/>
    </border>
    <border>
      <left/>
      <right/>
      <top style="thin">
        <color theme="5" tint="0.39997558519241921"/>
      </top>
      <bottom style="thick">
        <color theme="5" tint="-0.249977111117893"/>
      </bottom>
      <diagonal/>
    </border>
    <border>
      <left style="thick">
        <color theme="5" tint="-0.249977111117893"/>
      </left>
      <right style="thin">
        <color theme="5" tint="0.39997558519241921"/>
      </right>
      <top/>
      <bottom/>
      <diagonal/>
    </border>
    <border>
      <left style="thin">
        <color theme="5" tint="0.39997558519241921"/>
      </left>
      <right style="thin">
        <color theme="5" tint="0.39997558519241921"/>
      </right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ck">
        <color theme="5" tint="-0.249977111117893"/>
      </bottom>
      <diagonal/>
    </border>
    <border>
      <left/>
      <right style="thick">
        <color theme="5" tint="-0.249977111117893"/>
      </right>
      <top style="thin">
        <color theme="5" tint="0.39997558519241921"/>
      </top>
      <bottom style="thick">
        <color theme="5" tint="-0.249977111117893"/>
      </bottom>
      <diagonal/>
    </border>
    <border>
      <left/>
      <right/>
      <top style="thick">
        <color theme="5" tint="-0.249977111117893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 style="medium">
        <color theme="9" tint="-0.499984740745262"/>
      </right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1"/>
      </left>
      <right style="medium">
        <color theme="9" tint="-0.499984740745262"/>
      </right>
      <top style="medium">
        <color theme="1"/>
      </top>
      <bottom style="medium">
        <color theme="1"/>
      </bottom>
      <diagonal/>
    </border>
    <border>
      <left style="medium">
        <color theme="9" tint="-0.499984740745262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theme="1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theme="1"/>
      </right>
      <top/>
      <bottom style="medium">
        <color rgb="FF000000"/>
      </bottom>
      <diagonal/>
    </border>
  </borders>
  <cellStyleXfs count="5">
    <xf numFmtId="0" fontId="0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69" fillId="0" borderId="0" applyNumberFormat="0" applyFill="0" applyBorder="0" applyAlignment="0" applyProtection="0"/>
  </cellStyleXfs>
  <cellXfs count="737">
    <xf numFmtId="0" fontId="0" fillId="0" borderId="0" xfId="0"/>
    <xf numFmtId="0" fontId="0" fillId="3" borderId="0" xfId="0" applyFill="1"/>
    <xf numFmtId="49" fontId="3" fillId="0" borderId="5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 wrapText="1"/>
    </xf>
    <xf numFmtId="49" fontId="3" fillId="2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3" borderId="2" xfId="0" applyFill="1" applyBorder="1" applyAlignment="1">
      <alignment horizontal="right" vertical="center"/>
    </xf>
    <xf numFmtId="3" fontId="0" fillId="0" borderId="9" xfId="0" applyNumberFormat="1" applyBorder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0" xfId="0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0" fontId="0" fillId="0" borderId="16" xfId="0" applyBorder="1" applyAlignment="1">
      <alignment horizontal="left" vertical="center"/>
    </xf>
    <xf numFmtId="10" fontId="0" fillId="0" borderId="18" xfId="1" applyNumberFormat="1" applyFont="1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10" fontId="0" fillId="0" borderId="19" xfId="1" applyNumberFormat="1" applyFont="1" applyBorder="1" applyAlignment="1">
      <alignment vertical="center"/>
    </xf>
    <xf numFmtId="0" fontId="0" fillId="3" borderId="20" xfId="0" applyFill="1" applyBorder="1" applyAlignment="1">
      <alignment vertical="center"/>
    </xf>
    <xf numFmtId="0" fontId="0" fillId="0" borderId="20" xfId="0" applyBorder="1" applyAlignment="1">
      <alignment vertical="center"/>
    </xf>
    <xf numFmtId="3" fontId="0" fillId="0" borderId="20" xfId="0" applyNumberFormat="1" applyBorder="1" applyAlignment="1">
      <alignment vertical="center"/>
    </xf>
    <xf numFmtId="10" fontId="0" fillId="0" borderId="20" xfId="1" applyNumberFormat="1" applyFont="1" applyBorder="1" applyAlignment="1">
      <alignment vertical="center"/>
    </xf>
    <xf numFmtId="10" fontId="0" fillId="0" borderId="18" xfId="0" applyNumberFormat="1" applyBorder="1" applyAlignment="1">
      <alignment vertical="center"/>
    </xf>
    <xf numFmtId="0" fontId="0" fillId="0" borderId="22" xfId="0" applyBorder="1" applyAlignment="1">
      <alignment vertical="center"/>
    </xf>
    <xf numFmtId="10" fontId="0" fillId="0" borderId="22" xfId="1" applyNumberFormat="1" applyFont="1" applyBorder="1" applyAlignment="1">
      <alignment vertical="center"/>
    </xf>
    <xf numFmtId="10" fontId="0" fillId="0" borderId="23" xfId="1" applyNumberFormat="1" applyFont="1" applyBorder="1" applyAlignment="1">
      <alignment vertical="center"/>
    </xf>
    <xf numFmtId="10" fontId="0" fillId="0" borderId="24" xfId="1" applyNumberFormat="1" applyFont="1" applyBorder="1" applyAlignment="1">
      <alignment vertical="center"/>
    </xf>
    <xf numFmtId="0" fontId="0" fillId="0" borderId="25" xfId="0" applyBorder="1" applyAlignment="1">
      <alignment vertical="center"/>
    </xf>
    <xf numFmtId="3" fontId="0" fillId="0" borderId="25" xfId="0" applyNumberFormat="1" applyBorder="1" applyAlignment="1">
      <alignment vertical="center"/>
    </xf>
    <xf numFmtId="10" fontId="0" fillId="0" borderId="25" xfId="1" applyNumberFormat="1" applyFont="1" applyBorder="1" applyAlignment="1">
      <alignment vertical="center"/>
    </xf>
    <xf numFmtId="10" fontId="0" fillId="0" borderId="26" xfId="0" applyNumberFormat="1" applyBorder="1" applyAlignment="1">
      <alignment vertical="center"/>
    </xf>
    <xf numFmtId="0" fontId="0" fillId="0" borderId="26" xfId="0" applyBorder="1" applyAlignment="1">
      <alignment vertical="center"/>
    </xf>
    <xf numFmtId="10" fontId="0" fillId="0" borderId="26" xfId="1" applyNumberFormat="1" applyFont="1" applyBorder="1" applyAlignment="1">
      <alignment vertical="center"/>
    </xf>
    <xf numFmtId="10" fontId="0" fillId="0" borderId="23" xfId="0" applyNumberFormat="1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9" xfId="0" applyBorder="1" applyAlignment="1">
      <alignment vertical="center"/>
    </xf>
    <xf numFmtId="10" fontId="0" fillId="0" borderId="29" xfId="1" applyNumberFormat="1" applyFont="1" applyBorder="1" applyAlignment="1">
      <alignment vertical="center"/>
    </xf>
    <xf numFmtId="10" fontId="0" fillId="0" borderId="30" xfId="1" applyNumberFormat="1" applyFont="1" applyBorder="1" applyAlignment="1">
      <alignment vertical="center"/>
    </xf>
    <xf numFmtId="0" fontId="5" fillId="5" borderId="28" xfId="0" applyFont="1" applyFill="1" applyBorder="1" applyAlignment="1">
      <alignment vertical="center"/>
    </xf>
    <xf numFmtId="0" fontId="5" fillId="3" borderId="11" xfId="0" applyFont="1" applyFill="1" applyBorder="1" applyAlignment="1">
      <alignment horizontal="center" vertical="center"/>
    </xf>
    <xf numFmtId="10" fontId="5" fillId="3" borderId="11" xfId="1" applyNumberFormat="1" applyFont="1" applyFill="1" applyBorder="1" applyAlignment="1">
      <alignment vertical="center"/>
    </xf>
    <xf numFmtId="10" fontId="5" fillId="3" borderId="28" xfId="1" applyNumberFormat="1" applyFont="1" applyFill="1" applyBorder="1" applyAlignment="1">
      <alignment vertical="center"/>
    </xf>
    <xf numFmtId="10" fontId="5" fillId="3" borderId="27" xfId="1" applyNumberFormat="1" applyFont="1" applyFill="1" applyBorder="1" applyAlignment="1">
      <alignment vertical="center"/>
    </xf>
    <xf numFmtId="0" fontId="0" fillId="3" borderId="32" xfId="0" applyFill="1" applyBorder="1" applyAlignment="1">
      <alignment horizontal="center" vertical="center"/>
    </xf>
    <xf numFmtId="0" fontId="0" fillId="3" borderId="14" xfId="0" applyFill="1" applyBorder="1" applyAlignment="1">
      <alignment vertical="center"/>
    </xf>
    <xf numFmtId="4" fontId="0" fillId="3" borderId="14" xfId="0" applyNumberFormat="1" applyFill="1" applyBorder="1" applyAlignment="1">
      <alignment vertical="center"/>
    </xf>
    <xf numFmtId="10" fontId="0" fillId="0" borderId="14" xfId="1" applyNumberFormat="1" applyFont="1" applyBorder="1" applyAlignment="1">
      <alignment vertical="center"/>
    </xf>
    <xf numFmtId="10" fontId="0" fillId="3" borderId="14" xfId="1" applyNumberFormat="1" applyFont="1" applyFill="1" applyBorder="1" applyAlignment="1">
      <alignment vertical="center"/>
    </xf>
    <xf numFmtId="10" fontId="0" fillId="0" borderId="12" xfId="1" applyNumberFormat="1" applyFont="1" applyBorder="1" applyAlignment="1">
      <alignment vertical="center"/>
    </xf>
    <xf numFmtId="10" fontId="0" fillId="0" borderId="33" xfId="1" applyNumberFormat="1" applyFont="1" applyBorder="1" applyAlignment="1">
      <alignment vertical="center"/>
    </xf>
    <xf numFmtId="0" fontId="0" fillId="0" borderId="28" xfId="0" applyBorder="1" applyAlignment="1">
      <alignment vertical="center"/>
    </xf>
    <xf numFmtId="10" fontId="0" fillId="0" borderId="28" xfId="1" applyNumberFormat="1" applyFont="1" applyBorder="1" applyAlignment="1">
      <alignment vertical="center"/>
    </xf>
    <xf numFmtId="10" fontId="0" fillId="0" borderId="31" xfId="1" applyNumberFormat="1" applyFont="1" applyBorder="1" applyAlignment="1">
      <alignment vertical="center"/>
    </xf>
    <xf numFmtId="10" fontId="0" fillId="0" borderId="17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10" fontId="0" fillId="3" borderId="12" xfId="1" applyNumberFormat="1" applyFont="1" applyFill="1" applyBorder="1" applyAlignment="1">
      <alignment vertical="center"/>
    </xf>
    <xf numFmtId="0" fontId="9" fillId="5" borderId="27" xfId="0" applyFont="1" applyFill="1" applyBorder="1" applyAlignment="1">
      <alignment horizontal="center" vertical="center"/>
    </xf>
    <xf numFmtId="10" fontId="5" fillId="0" borderId="11" xfId="1" applyNumberFormat="1" applyFont="1" applyBorder="1" applyAlignment="1">
      <alignment vertical="center"/>
    </xf>
    <xf numFmtId="164" fontId="0" fillId="0" borderId="0" xfId="2" applyNumberFormat="1" applyFont="1"/>
    <xf numFmtId="49" fontId="5" fillId="5" borderId="38" xfId="0" applyNumberFormat="1" applyFont="1" applyFill="1" applyBorder="1" applyAlignment="1">
      <alignment horizontal="center" vertical="center" wrapText="1"/>
    </xf>
    <xf numFmtId="0" fontId="0" fillId="3" borderId="20" xfId="0" applyFill="1" applyBorder="1"/>
    <xf numFmtId="0" fontId="10" fillId="3" borderId="16" xfId="0" applyFont="1" applyFill="1" applyBorder="1" applyAlignment="1">
      <alignment vertical="center"/>
    </xf>
    <xf numFmtId="164" fontId="10" fillId="3" borderId="19" xfId="2" applyNumberFormat="1" applyFont="1" applyFill="1" applyBorder="1" applyAlignment="1">
      <alignment vertical="center"/>
    </xf>
    <xf numFmtId="0" fontId="10" fillId="3" borderId="26" xfId="0" applyFont="1" applyFill="1" applyBorder="1" applyAlignment="1">
      <alignment vertical="center"/>
    </xf>
    <xf numFmtId="164" fontId="10" fillId="3" borderId="25" xfId="2" applyNumberFormat="1" applyFont="1" applyFill="1" applyBorder="1" applyAlignment="1">
      <alignment vertical="center"/>
    </xf>
    <xf numFmtId="164" fontId="10" fillId="3" borderId="30" xfId="2" applyNumberFormat="1" applyFont="1" applyFill="1" applyBorder="1" applyAlignment="1">
      <alignment vertical="center"/>
    </xf>
    <xf numFmtId="0" fontId="13" fillId="3" borderId="32" xfId="0" applyFont="1" applyFill="1" applyBorder="1" applyAlignment="1">
      <alignment vertical="center"/>
    </xf>
    <xf numFmtId="0" fontId="13" fillId="3" borderId="40" xfId="0" applyFont="1" applyFill="1" applyBorder="1" applyAlignment="1">
      <alignment vertical="center"/>
    </xf>
    <xf numFmtId="0" fontId="16" fillId="3" borderId="27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vertical="center"/>
    </xf>
    <xf numFmtId="0" fontId="17" fillId="3" borderId="12" xfId="0" applyFont="1" applyFill="1" applyBorder="1" applyAlignment="1">
      <alignment vertical="center"/>
    </xf>
    <xf numFmtId="0" fontId="15" fillId="3" borderId="14" xfId="0" applyFont="1" applyFill="1" applyBorder="1" applyAlignment="1">
      <alignment horizontal="center" vertical="center"/>
    </xf>
    <xf numFmtId="0" fontId="0" fillId="3" borderId="21" xfId="0" applyFill="1" applyBorder="1"/>
    <xf numFmtId="0" fontId="15" fillId="3" borderId="12" xfId="0" applyFont="1" applyFill="1" applyBorder="1" applyAlignment="1">
      <alignment horizontal="center" vertical="center"/>
    </xf>
    <xf numFmtId="0" fontId="18" fillId="9" borderId="32" xfId="0" applyFont="1" applyFill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164" fontId="10" fillId="3" borderId="39" xfId="2" applyNumberFormat="1" applyFont="1" applyFill="1" applyBorder="1" applyAlignment="1">
      <alignment vertical="center"/>
    </xf>
    <xf numFmtId="0" fontId="10" fillId="3" borderId="22" xfId="0" applyFont="1" applyFill="1" applyBorder="1" applyAlignment="1">
      <alignment vertical="center"/>
    </xf>
    <xf numFmtId="0" fontId="11" fillId="3" borderId="20" xfId="0" applyFont="1" applyFill="1" applyBorder="1" applyAlignment="1">
      <alignment vertical="center"/>
    </xf>
    <xf numFmtId="164" fontId="11" fillId="3" borderId="39" xfId="2" applyNumberFormat="1" applyFont="1" applyFill="1" applyBorder="1" applyAlignment="1">
      <alignment vertical="center"/>
    </xf>
    <xf numFmtId="0" fontId="11" fillId="3" borderId="18" xfId="0" applyFont="1" applyFill="1" applyBorder="1" applyAlignment="1">
      <alignment vertical="center"/>
    </xf>
    <xf numFmtId="0" fontId="11" fillId="3" borderId="26" xfId="0" applyFont="1" applyFill="1" applyBorder="1" applyAlignment="1">
      <alignment vertical="center"/>
    </xf>
    <xf numFmtId="0" fontId="0" fillId="3" borderId="2" xfId="0" applyFill="1" applyBorder="1"/>
    <xf numFmtId="0" fontId="0" fillId="3" borderId="0" xfId="0" applyFill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5" fillId="5" borderId="43" xfId="0" applyNumberFormat="1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0" xfId="2" applyNumberFormat="1" applyFont="1" applyBorder="1" applyAlignment="1">
      <alignment horizontal="right" vertical="center"/>
    </xf>
    <xf numFmtId="10" fontId="5" fillId="5" borderId="44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5" fillId="5" borderId="45" xfId="0" applyFont="1" applyFill="1" applyBorder="1" applyAlignment="1">
      <alignment horizontal="right" vertical="center"/>
    </xf>
    <xf numFmtId="3" fontId="0" fillId="0" borderId="0" xfId="0" applyNumberFormat="1" applyAlignment="1">
      <alignment vertical="center"/>
    </xf>
    <xf numFmtId="0" fontId="9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4" fontId="11" fillId="3" borderId="40" xfId="2" applyNumberFormat="1" applyFont="1" applyFill="1" applyBorder="1" applyAlignment="1">
      <alignment vertical="center"/>
    </xf>
    <xf numFmtId="164" fontId="0" fillId="0" borderId="7" xfId="2" applyNumberFormat="1" applyFont="1" applyBorder="1" applyAlignment="1">
      <alignment horizontal="right" vertical="center"/>
    </xf>
    <xf numFmtId="49" fontId="5" fillId="5" borderId="46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64" fontId="0" fillId="3" borderId="0" xfId="2" applyNumberFormat="1" applyFont="1" applyFill="1"/>
    <xf numFmtId="0" fontId="0" fillId="3" borderId="47" xfId="0" applyFill="1" applyBorder="1"/>
    <xf numFmtId="0" fontId="0" fillId="3" borderId="0" xfId="0" applyFill="1" applyAlignment="1">
      <alignment horizontal="center"/>
    </xf>
    <xf numFmtId="164" fontId="0" fillId="3" borderId="47" xfId="2" applyNumberFormat="1" applyFont="1" applyFill="1" applyBorder="1"/>
    <xf numFmtId="0" fontId="21" fillId="0" borderId="0" xfId="0" applyFont="1" applyAlignment="1">
      <alignment horizontal="center" vertical="center"/>
    </xf>
    <xf numFmtId="164" fontId="0" fillId="0" borderId="0" xfId="2" applyNumberFormat="1" applyFont="1" applyAlignment="1">
      <alignment vertical="center"/>
    </xf>
    <xf numFmtId="0" fontId="0" fillId="3" borderId="35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36" xfId="0" applyFill="1" applyBorder="1"/>
    <xf numFmtId="0" fontId="0" fillId="3" borderId="26" xfId="0" applyFill="1" applyBorder="1" applyAlignment="1">
      <alignment vertical="center"/>
    </xf>
    <xf numFmtId="164" fontId="0" fillId="11" borderId="47" xfId="2" applyNumberFormat="1" applyFont="1" applyFill="1" applyBorder="1"/>
    <xf numFmtId="0" fontId="26" fillId="3" borderId="0" xfId="0" applyFont="1" applyFill="1"/>
    <xf numFmtId="0" fontId="0" fillId="3" borderId="0" xfId="0" applyFill="1" applyAlignment="1">
      <alignment horizontal="left" vertical="center"/>
    </xf>
    <xf numFmtId="0" fontId="13" fillId="3" borderId="48" xfId="0" applyFont="1" applyFill="1" applyBorder="1" applyAlignment="1">
      <alignment vertical="center"/>
    </xf>
    <xf numFmtId="0" fontId="0" fillId="3" borderId="11" xfId="0" applyFill="1" applyBorder="1"/>
    <xf numFmtId="0" fontId="4" fillId="3" borderId="11" xfId="0" applyFont="1" applyFill="1" applyBorder="1" applyAlignment="1">
      <alignment horizontal="center" vertical="center"/>
    </xf>
    <xf numFmtId="164" fontId="10" fillId="3" borderId="24" xfId="2" applyNumberFormat="1" applyFont="1" applyFill="1" applyBorder="1" applyAlignment="1">
      <alignment vertical="center"/>
    </xf>
    <xf numFmtId="164" fontId="15" fillId="3" borderId="11" xfId="2" applyNumberFormat="1" applyFont="1" applyFill="1" applyBorder="1" applyAlignment="1">
      <alignment horizontal="center" vertical="center"/>
    </xf>
    <xf numFmtId="164" fontId="11" fillId="3" borderId="8" xfId="2" applyNumberFormat="1" applyFont="1" applyFill="1" applyBorder="1" applyAlignment="1">
      <alignment vertical="center"/>
    </xf>
    <xf numFmtId="164" fontId="11" fillId="3" borderId="20" xfId="2" applyNumberFormat="1" applyFont="1" applyFill="1" applyBorder="1" applyAlignment="1">
      <alignment vertical="center"/>
    </xf>
    <xf numFmtId="164" fontId="15" fillId="3" borderId="27" xfId="2" applyNumberFormat="1" applyFont="1" applyFill="1" applyBorder="1" applyAlignment="1">
      <alignment horizontal="center" vertical="center"/>
    </xf>
    <xf numFmtId="164" fontId="18" fillId="9" borderId="11" xfId="2" applyNumberFormat="1" applyFont="1" applyFill="1" applyBorder="1" applyAlignment="1">
      <alignment horizontal="center" vertical="center"/>
    </xf>
    <xf numFmtId="164" fontId="11" fillId="3" borderId="26" xfId="2" applyNumberFormat="1" applyFont="1" applyFill="1" applyBorder="1" applyAlignment="1">
      <alignment vertical="center"/>
    </xf>
    <xf numFmtId="164" fontId="10" fillId="3" borderId="20" xfId="2" applyNumberFormat="1" applyFont="1" applyFill="1" applyBorder="1" applyAlignment="1">
      <alignment vertical="center"/>
    </xf>
    <xf numFmtId="164" fontId="16" fillId="3" borderId="11" xfId="2" applyNumberFormat="1" applyFont="1" applyFill="1" applyBorder="1" applyAlignment="1">
      <alignment vertical="center"/>
    </xf>
    <xf numFmtId="164" fontId="10" fillId="3" borderId="11" xfId="2" applyNumberFormat="1" applyFont="1" applyFill="1" applyBorder="1" applyAlignment="1">
      <alignment vertical="center"/>
    </xf>
    <xf numFmtId="164" fontId="10" fillId="3" borderId="11" xfId="2" applyNumberFormat="1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10" fontId="19" fillId="3" borderId="0" xfId="0" applyNumberFormat="1" applyFont="1" applyFill="1"/>
    <xf numFmtId="0" fontId="19" fillId="3" borderId="0" xfId="0" applyFont="1" applyFill="1"/>
    <xf numFmtId="0" fontId="3" fillId="3" borderId="47" xfId="0" applyFont="1" applyFill="1" applyBorder="1" applyAlignment="1">
      <alignment horizontal="center" vertical="center"/>
    </xf>
    <xf numFmtId="17" fontId="0" fillId="3" borderId="47" xfId="0" applyNumberFormat="1" applyFill="1" applyBorder="1"/>
    <xf numFmtId="164" fontId="26" fillId="3" borderId="0" xfId="2" applyNumberFormat="1" applyFont="1" applyFill="1"/>
    <xf numFmtId="14" fontId="0" fillId="3" borderId="0" xfId="0" applyNumberFormat="1" applyFill="1"/>
    <xf numFmtId="10" fontId="0" fillId="3" borderId="0" xfId="1" applyNumberFormat="1" applyFont="1" applyFill="1"/>
    <xf numFmtId="0" fontId="8" fillId="3" borderId="16" xfId="0" applyFont="1" applyFill="1" applyBorder="1" applyAlignment="1">
      <alignment vertical="center"/>
    </xf>
    <xf numFmtId="164" fontId="8" fillId="3" borderId="16" xfId="2" applyNumberFormat="1" applyFont="1" applyFill="1" applyBorder="1" applyAlignment="1">
      <alignment vertical="center"/>
    </xf>
    <xf numFmtId="164" fontId="8" fillId="3" borderId="0" xfId="2" applyNumberFormat="1" applyFont="1" applyFill="1" applyBorder="1"/>
    <xf numFmtId="9" fontId="8" fillId="3" borderId="16" xfId="0" applyNumberFormat="1" applyFont="1" applyFill="1" applyBorder="1" applyAlignment="1">
      <alignment vertical="center"/>
    </xf>
    <xf numFmtId="0" fontId="8" fillId="3" borderId="0" xfId="0" applyFont="1" applyFill="1"/>
    <xf numFmtId="0" fontId="8" fillId="3" borderId="28" xfId="0" applyFont="1" applyFill="1" applyBorder="1" applyAlignment="1">
      <alignment vertical="center"/>
    </xf>
    <xf numFmtId="164" fontId="8" fillId="3" borderId="28" xfId="2" applyNumberFormat="1" applyFont="1" applyFill="1" applyBorder="1" applyAlignment="1">
      <alignment vertical="center"/>
    </xf>
    <xf numFmtId="49" fontId="0" fillId="3" borderId="47" xfId="0" applyNumberFormat="1" applyFill="1" applyBorder="1"/>
    <xf numFmtId="3" fontId="9" fillId="3" borderId="47" xfId="0" applyNumberFormat="1" applyFont="1" applyFill="1" applyBorder="1"/>
    <xf numFmtId="49" fontId="28" fillId="3" borderId="47" xfId="0" applyNumberFormat="1" applyFont="1" applyFill="1" applyBorder="1" applyAlignment="1">
      <alignment horizontal="center" vertical="center"/>
    </xf>
    <xf numFmtId="164" fontId="9" fillId="3" borderId="47" xfId="0" applyNumberFormat="1" applyFont="1" applyFill="1" applyBorder="1"/>
    <xf numFmtId="3" fontId="0" fillId="3" borderId="47" xfId="0" applyNumberFormat="1" applyFill="1" applyBorder="1"/>
    <xf numFmtId="164" fontId="7" fillId="3" borderId="47" xfId="2" applyNumberFormat="1" applyFont="1" applyFill="1" applyBorder="1"/>
    <xf numFmtId="164" fontId="5" fillId="3" borderId="0" xfId="0" applyNumberFormat="1" applyFont="1" applyFill="1"/>
    <xf numFmtId="0" fontId="28" fillId="3" borderId="0" xfId="0" applyFont="1" applyFill="1" applyAlignment="1">
      <alignment vertical="center"/>
    </xf>
    <xf numFmtId="166" fontId="28" fillId="3" borderId="0" xfId="2" applyNumberFormat="1" applyFont="1" applyFill="1" applyAlignment="1">
      <alignment horizontal="left" vertical="center"/>
    </xf>
    <xf numFmtId="164" fontId="0" fillId="3" borderId="47" xfId="2" applyNumberFormat="1" applyFont="1" applyFill="1" applyBorder="1" applyAlignment="1">
      <alignment vertical="center"/>
    </xf>
    <xf numFmtId="164" fontId="9" fillId="3" borderId="47" xfId="2" applyNumberFormat="1" applyFont="1" applyFill="1" applyBorder="1" applyAlignment="1">
      <alignment vertical="center"/>
    </xf>
    <xf numFmtId="164" fontId="9" fillId="3" borderId="0" xfId="2" applyNumberFormat="1" applyFont="1" applyFill="1"/>
    <xf numFmtId="164" fontId="0" fillId="12" borderId="0" xfId="2" applyNumberFormat="1" applyFont="1" applyFill="1"/>
    <xf numFmtId="164" fontId="8" fillId="3" borderId="19" xfId="2" applyNumberFormat="1" applyFont="1" applyFill="1" applyBorder="1" applyAlignment="1">
      <alignment vertical="center"/>
    </xf>
    <xf numFmtId="164" fontId="8" fillId="3" borderId="25" xfId="2" applyNumberFormat="1" applyFont="1" applyFill="1" applyBorder="1" applyAlignment="1">
      <alignment vertical="center"/>
    </xf>
    <xf numFmtId="164" fontId="8" fillId="3" borderId="30" xfId="2" applyNumberFormat="1" applyFont="1" applyFill="1" applyBorder="1" applyAlignment="1">
      <alignment vertical="center"/>
    </xf>
    <xf numFmtId="164" fontId="28" fillId="3" borderId="27" xfId="0" applyNumberFormat="1" applyFont="1" applyFill="1" applyBorder="1" applyAlignment="1">
      <alignment vertical="center"/>
    </xf>
    <xf numFmtId="0" fontId="28" fillId="3" borderId="28" xfId="0" applyFont="1" applyFill="1" applyBorder="1" applyAlignment="1">
      <alignment vertical="center"/>
    </xf>
    <xf numFmtId="164" fontId="8" fillId="3" borderId="0" xfId="0" applyNumberFormat="1" applyFont="1" applyFill="1"/>
    <xf numFmtId="164" fontId="0" fillId="3" borderId="0" xfId="0" applyNumberFormat="1" applyFill="1" applyAlignment="1">
      <alignment horizontal="right" vertical="center"/>
    </xf>
    <xf numFmtId="0" fontId="5" fillId="3" borderId="0" xfId="0" applyFont="1" applyFill="1"/>
    <xf numFmtId="164" fontId="10" fillId="0" borderId="19" xfId="2" applyNumberFormat="1" applyFont="1" applyFill="1" applyBorder="1" applyAlignment="1">
      <alignment vertical="center"/>
    </xf>
    <xf numFmtId="164" fontId="0" fillId="3" borderId="47" xfId="0" applyNumberFormat="1" applyFill="1" applyBorder="1"/>
    <xf numFmtId="0" fontId="0" fillId="3" borderId="47" xfId="0" applyFill="1" applyBorder="1" applyAlignment="1">
      <alignment horizontal="center" vertical="center"/>
    </xf>
    <xf numFmtId="0" fontId="0" fillId="10" borderId="47" xfId="0" applyFill="1" applyBorder="1"/>
    <xf numFmtId="164" fontId="0" fillId="10" borderId="47" xfId="2" applyNumberFormat="1" applyFont="1" applyFill="1" applyBorder="1" applyAlignment="1">
      <alignment vertical="center"/>
    </xf>
    <xf numFmtId="164" fontId="7" fillId="10" borderId="47" xfId="2" applyNumberFormat="1" applyFont="1" applyFill="1" applyBorder="1"/>
    <xf numFmtId="0" fontId="9" fillId="5" borderId="32" xfId="0" applyFont="1" applyFill="1" applyBorder="1" applyAlignment="1">
      <alignment horizontal="left" vertical="center"/>
    </xf>
    <xf numFmtId="164" fontId="10" fillId="3" borderId="27" xfId="2" applyNumberFormat="1" applyFont="1" applyFill="1" applyBorder="1" applyAlignment="1">
      <alignment horizontal="center" vertical="center"/>
    </xf>
    <xf numFmtId="164" fontId="0" fillId="0" borderId="47" xfId="2" applyNumberFormat="1" applyFont="1" applyBorder="1"/>
    <xf numFmtId="3" fontId="0" fillId="6" borderId="17" xfId="0" applyNumberFormat="1" applyFill="1" applyBorder="1" applyAlignment="1" applyProtection="1">
      <alignment vertical="center"/>
      <protection locked="0"/>
    </xf>
    <xf numFmtId="3" fontId="0" fillId="6" borderId="0" xfId="0" applyNumberFormat="1" applyFill="1" applyAlignment="1" applyProtection="1">
      <alignment vertical="center"/>
      <protection locked="0"/>
    </xf>
    <xf numFmtId="3" fontId="0" fillId="6" borderId="8" xfId="0" applyNumberFormat="1" applyFill="1" applyBorder="1" applyAlignment="1" applyProtection="1">
      <alignment vertical="center"/>
      <protection locked="0"/>
    </xf>
    <xf numFmtId="3" fontId="5" fillId="3" borderId="11" xfId="0" applyNumberFormat="1" applyFont="1" applyFill="1" applyBorder="1" applyAlignment="1">
      <alignment vertical="center"/>
    </xf>
    <xf numFmtId="3" fontId="0" fillId="6" borderId="26" xfId="0" applyNumberFormat="1" applyFill="1" applyBorder="1" applyAlignment="1" applyProtection="1">
      <alignment vertical="center"/>
      <protection locked="0"/>
    </xf>
    <xf numFmtId="3" fontId="0" fillId="6" borderId="13" xfId="0" applyNumberFormat="1" applyFill="1" applyBorder="1" applyAlignment="1" applyProtection="1">
      <alignment vertical="center"/>
      <protection locked="0"/>
    </xf>
    <xf numFmtId="3" fontId="5" fillId="3" borderId="0" xfId="0" applyNumberFormat="1" applyFont="1" applyFill="1" applyAlignment="1">
      <alignment vertical="center"/>
    </xf>
    <xf numFmtId="0" fontId="0" fillId="0" borderId="23" xfId="0" applyBorder="1" applyAlignment="1">
      <alignment horizontal="left" vertical="center"/>
    </xf>
    <xf numFmtId="3" fontId="0" fillId="6" borderId="33" xfId="0" applyNumberFormat="1" applyFill="1" applyBorder="1" applyAlignment="1" applyProtection="1">
      <alignment vertical="center"/>
      <protection locked="0"/>
    </xf>
    <xf numFmtId="0" fontId="9" fillId="5" borderId="31" xfId="0" applyFont="1" applyFill="1" applyBorder="1" applyAlignment="1">
      <alignment horizontal="center" vertical="center"/>
    </xf>
    <xf numFmtId="0" fontId="9" fillId="5" borderId="28" xfId="0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horizontal="center"/>
    </xf>
    <xf numFmtId="0" fontId="9" fillId="4" borderId="14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49" fontId="28" fillId="3" borderId="0" xfId="0" applyNumberFormat="1" applyFont="1" applyFill="1" applyAlignment="1">
      <alignment horizontal="center" vertical="center"/>
    </xf>
    <xf numFmtId="3" fontId="9" fillId="3" borderId="0" xfId="0" applyNumberFormat="1" applyFont="1" applyFill="1"/>
    <xf numFmtId="49" fontId="0" fillId="3" borderId="47" xfId="0" applyNumberFormat="1" applyFill="1" applyBorder="1" applyAlignment="1">
      <alignment horizontal="left" vertical="center"/>
    </xf>
    <xf numFmtId="49" fontId="9" fillId="3" borderId="47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83" xfId="0" applyFill="1" applyBorder="1"/>
    <xf numFmtId="10" fontId="0" fillId="0" borderId="0" xfId="1" applyNumberFormat="1" applyFont="1" applyAlignment="1">
      <alignment vertical="center"/>
    </xf>
    <xf numFmtId="10" fontId="5" fillId="5" borderId="84" xfId="0" applyNumberFormat="1" applyFont="1" applyFill="1" applyBorder="1" applyAlignment="1">
      <alignment vertical="center"/>
    </xf>
    <xf numFmtId="164" fontId="5" fillId="5" borderId="86" xfId="2" applyNumberFormat="1" applyFont="1" applyFill="1" applyBorder="1" applyAlignment="1">
      <alignment vertical="center"/>
    </xf>
    <xf numFmtId="164" fontId="5" fillId="5" borderId="25" xfId="2" applyNumberFormat="1" applyFont="1" applyFill="1" applyBorder="1" applyAlignment="1">
      <alignment horizontal="right" vertical="center"/>
    </xf>
    <xf numFmtId="164" fontId="5" fillId="5" borderId="85" xfId="2" applyNumberFormat="1" applyFont="1" applyFill="1" applyBorder="1" applyAlignment="1">
      <alignment vertical="center"/>
    </xf>
    <xf numFmtId="10" fontId="5" fillId="5" borderId="87" xfId="0" applyNumberFormat="1" applyFont="1" applyFill="1" applyBorder="1" applyAlignment="1">
      <alignment vertical="center"/>
    </xf>
    <xf numFmtId="10" fontId="0" fillId="0" borderId="0" xfId="1" applyNumberFormat="1" applyFont="1"/>
    <xf numFmtId="9" fontId="0" fillId="0" borderId="0" xfId="0" applyNumberFormat="1"/>
    <xf numFmtId="10" fontId="0" fillId="11" borderId="0" xfId="1" applyNumberFormat="1" applyFont="1" applyFill="1"/>
    <xf numFmtId="164" fontId="8" fillId="3" borderId="47" xfId="0" applyNumberFormat="1" applyFont="1" applyFill="1" applyBorder="1"/>
    <xf numFmtId="0" fontId="5" fillId="3" borderId="47" xfId="0" applyFont="1" applyFill="1" applyBorder="1"/>
    <xf numFmtId="9" fontId="8" fillId="3" borderId="16" xfId="0" applyNumberFormat="1" applyFont="1" applyFill="1" applyBorder="1" applyAlignment="1">
      <alignment horizontal="center" vertical="center"/>
    </xf>
    <xf numFmtId="9" fontId="8" fillId="3" borderId="28" xfId="0" applyNumberFormat="1" applyFont="1" applyFill="1" applyBorder="1" applyAlignment="1">
      <alignment horizontal="center" vertical="center"/>
    </xf>
    <xf numFmtId="0" fontId="0" fillId="3" borderId="48" xfId="0" applyFill="1" applyBorder="1"/>
    <xf numFmtId="0" fontId="0" fillId="13" borderId="0" xfId="0" applyFill="1" applyProtection="1">
      <protection locked="0"/>
    </xf>
    <xf numFmtId="0" fontId="0" fillId="3" borderId="0" xfId="0" applyFill="1" applyProtection="1">
      <protection locked="0"/>
    </xf>
    <xf numFmtId="0" fontId="26" fillId="13" borderId="0" xfId="0" applyFont="1" applyFill="1" applyProtection="1">
      <protection locked="0"/>
    </xf>
    <xf numFmtId="49" fontId="13" fillId="13" borderId="0" xfId="0" applyNumberFormat="1" applyFont="1" applyFill="1" applyAlignment="1" applyProtection="1">
      <alignment horizontal="center" vertical="center"/>
      <protection locked="0"/>
    </xf>
    <xf numFmtId="49" fontId="23" fillId="13" borderId="0" xfId="0" applyNumberFormat="1" applyFont="1" applyFill="1" applyAlignment="1" applyProtection="1">
      <alignment horizontal="center" vertical="center" wrapText="1"/>
      <protection locked="0"/>
    </xf>
    <xf numFmtId="0" fontId="0" fillId="13" borderId="54" xfId="0" applyFill="1" applyBorder="1" applyProtection="1">
      <protection locked="0"/>
    </xf>
    <xf numFmtId="0" fontId="0" fillId="13" borderId="56" xfId="0" applyFill="1" applyBorder="1" applyProtection="1">
      <protection locked="0"/>
    </xf>
    <xf numFmtId="3" fontId="13" fillId="13" borderId="0" xfId="0" applyNumberFormat="1" applyFont="1" applyFill="1" applyAlignment="1" applyProtection="1">
      <alignment horizontal="center"/>
      <protection locked="0"/>
    </xf>
    <xf numFmtId="3" fontId="13" fillId="13" borderId="64" xfId="0" applyNumberFormat="1" applyFont="1" applyFill="1" applyBorder="1" applyAlignment="1" applyProtection="1">
      <alignment horizontal="center"/>
      <protection locked="0"/>
    </xf>
    <xf numFmtId="0" fontId="8" fillId="13" borderId="23" xfId="0" applyFont="1" applyFill="1" applyBorder="1" applyAlignment="1" applyProtection="1">
      <alignment horizontal="center" vertical="center"/>
      <protection locked="0"/>
    </xf>
    <xf numFmtId="0" fontId="8" fillId="13" borderId="18" xfId="0" applyFont="1" applyFill="1" applyBorder="1" applyAlignment="1" applyProtection="1">
      <alignment horizontal="center" vertical="center"/>
      <protection locked="0"/>
    </xf>
    <xf numFmtId="49" fontId="10" fillId="0" borderId="59" xfId="0" applyNumberFormat="1" applyFont="1" applyBorder="1" applyAlignment="1" applyProtection="1">
      <alignment horizontal="left" vertical="center"/>
      <protection locked="0"/>
    </xf>
    <xf numFmtId="49" fontId="10" fillId="0" borderId="60" xfId="0" applyNumberFormat="1" applyFont="1" applyBorder="1" applyAlignment="1" applyProtection="1">
      <alignment horizontal="left" vertical="center"/>
      <protection locked="0"/>
    </xf>
    <xf numFmtId="0" fontId="8" fillId="13" borderId="23" xfId="0" applyFont="1" applyFill="1" applyBorder="1" applyProtection="1">
      <protection locked="0"/>
    </xf>
    <xf numFmtId="0" fontId="8" fillId="13" borderId="28" xfId="0" applyFont="1" applyFill="1" applyBorder="1" applyAlignment="1" applyProtection="1">
      <alignment horizontal="center" vertical="center"/>
      <protection locked="0"/>
    </xf>
    <xf numFmtId="0" fontId="8" fillId="13" borderId="28" xfId="0" applyFont="1" applyFill="1" applyBorder="1" applyProtection="1">
      <protection locked="0"/>
    </xf>
    <xf numFmtId="49" fontId="13" fillId="13" borderId="55" xfId="0" applyNumberFormat="1" applyFont="1" applyFill="1" applyBorder="1" applyAlignment="1" applyProtection="1">
      <alignment horizontal="center" vertical="center"/>
      <protection locked="0"/>
    </xf>
    <xf numFmtId="3" fontId="13" fillId="13" borderId="61" xfId="0" applyNumberFormat="1" applyFont="1" applyFill="1" applyBorder="1" applyAlignment="1" applyProtection="1">
      <alignment vertical="center"/>
      <protection locked="0"/>
    </xf>
    <xf numFmtId="49" fontId="24" fillId="13" borderId="0" xfId="0" applyNumberFormat="1" applyFont="1" applyFill="1" applyAlignment="1" applyProtection="1">
      <alignment horizontal="center" vertical="center" wrapText="1"/>
      <protection locked="0"/>
    </xf>
    <xf numFmtId="49" fontId="30" fillId="13" borderId="0" xfId="0" applyNumberFormat="1" applyFont="1" applyFill="1" applyAlignment="1" applyProtection="1">
      <alignment horizontal="center" vertical="center" wrapText="1"/>
      <protection locked="0"/>
    </xf>
    <xf numFmtId="49" fontId="27" fillId="13" borderId="0" xfId="0" applyNumberFormat="1" applyFont="1" applyFill="1" applyAlignment="1" applyProtection="1">
      <alignment horizontal="center" vertical="center" wrapText="1"/>
      <protection locked="0"/>
    </xf>
    <xf numFmtId="0" fontId="25" fillId="13" borderId="56" xfId="0" applyFont="1" applyFill="1" applyBorder="1" applyAlignment="1" applyProtection="1">
      <alignment horizontal="center" vertical="center"/>
      <protection locked="0"/>
    </xf>
    <xf numFmtId="0" fontId="0" fillId="13" borderId="49" xfId="0" applyFill="1" applyBorder="1" applyProtection="1">
      <protection locked="0"/>
    </xf>
    <xf numFmtId="0" fontId="0" fillId="13" borderId="63" xfId="0" applyFill="1" applyBorder="1" applyProtection="1">
      <protection locked="0"/>
    </xf>
    <xf numFmtId="0" fontId="13" fillId="13" borderId="64" xfId="0" applyFont="1" applyFill="1" applyBorder="1" applyAlignment="1" applyProtection="1">
      <alignment horizontal="center" vertical="center" wrapText="1"/>
      <protection locked="0"/>
    </xf>
    <xf numFmtId="0" fontId="0" fillId="13" borderId="53" xfId="0" applyFill="1" applyBorder="1" applyProtection="1">
      <protection locked="0"/>
    </xf>
    <xf numFmtId="0" fontId="25" fillId="13" borderId="0" xfId="0" applyFont="1" applyFill="1" applyAlignment="1" applyProtection="1">
      <alignment horizontal="center" vertical="center"/>
      <protection locked="0"/>
    </xf>
    <xf numFmtId="0" fontId="25" fillId="13" borderId="53" xfId="0" applyFont="1" applyFill="1" applyBorder="1" applyAlignment="1" applyProtection="1">
      <alignment horizontal="center" vertical="center"/>
      <protection locked="0"/>
    </xf>
    <xf numFmtId="0" fontId="13" fillId="0" borderId="55" xfId="0" applyFont="1" applyBorder="1" applyAlignment="1" applyProtection="1">
      <alignment horizontal="center" vertical="center" wrapText="1"/>
      <protection locked="0"/>
    </xf>
    <xf numFmtId="0" fontId="13" fillId="13" borderId="56" xfId="0" applyFont="1" applyFill="1" applyBorder="1" applyAlignment="1" applyProtection="1">
      <alignment horizontal="center" vertical="center" wrapText="1"/>
      <protection locked="0"/>
    </xf>
    <xf numFmtId="3" fontId="13" fillId="0" borderId="71" xfId="0" applyNumberFormat="1" applyFont="1" applyBorder="1" applyAlignment="1" applyProtection="1">
      <alignment vertical="center"/>
      <protection locked="0"/>
    </xf>
    <xf numFmtId="3" fontId="13" fillId="13" borderId="54" xfId="0" applyNumberFormat="1" applyFont="1" applyFill="1" applyBorder="1" applyAlignment="1" applyProtection="1">
      <alignment vertical="center"/>
      <protection locked="0"/>
    </xf>
    <xf numFmtId="3" fontId="13" fillId="13" borderId="56" xfId="0" applyNumberFormat="1" applyFont="1" applyFill="1" applyBorder="1" applyAlignment="1" applyProtection="1">
      <alignment vertical="center"/>
      <protection locked="0"/>
    </xf>
    <xf numFmtId="0" fontId="13" fillId="0" borderId="72" xfId="0" applyFont="1" applyBorder="1" applyAlignment="1" applyProtection="1">
      <alignment horizontal="center" vertical="center" wrapText="1"/>
      <protection locked="0"/>
    </xf>
    <xf numFmtId="3" fontId="13" fillId="13" borderId="0" xfId="0" applyNumberFormat="1" applyFont="1" applyFill="1" applyAlignment="1" applyProtection="1">
      <alignment vertical="center"/>
      <protection locked="0"/>
    </xf>
    <xf numFmtId="3" fontId="13" fillId="0" borderId="74" xfId="0" applyNumberFormat="1" applyFont="1" applyBorder="1" applyAlignment="1" applyProtection="1">
      <alignment horizontal="right" vertical="center"/>
      <protection locked="0"/>
    </xf>
    <xf numFmtId="3" fontId="13" fillId="13" borderId="56" xfId="0" applyNumberFormat="1" applyFont="1" applyFill="1" applyBorder="1" applyAlignment="1" applyProtection="1">
      <alignment horizontal="right" vertical="center"/>
      <protection locked="0"/>
    </xf>
    <xf numFmtId="3" fontId="13" fillId="13" borderId="0" xfId="0" applyNumberFormat="1" applyFont="1" applyFill="1" applyAlignment="1" applyProtection="1">
      <alignment horizontal="right" vertical="center"/>
      <protection locked="0"/>
    </xf>
    <xf numFmtId="3" fontId="13" fillId="0" borderId="71" xfId="0" applyNumberFormat="1" applyFont="1" applyBorder="1" applyAlignment="1" applyProtection="1">
      <alignment horizontal="right" vertical="center"/>
      <protection locked="0"/>
    </xf>
    <xf numFmtId="3" fontId="13" fillId="13" borderId="54" xfId="0" applyNumberFormat="1" applyFont="1" applyFill="1" applyBorder="1" applyAlignment="1" applyProtection="1">
      <alignment horizontal="right" vertical="center"/>
      <protection locked="0"/>
    </xf>
    <xf numFmtId="3" fontId="13" fillId="0" borderId="74" xfId="0" applyNumberFormat="1" applyFont="1" applyBorder="1" applyAlignment="1" applyProtection="1">
      <alignment vertical="center"/>
      <protection locked="0"/>
    </xf>
    <xf numFmtId="3" fontId="13" fillId="0" borderId="53" xfId="0" applyNumberFormat="1" applyFont="1" applyBorder="1" applyAlignment="1" applyProtection="1">
      <alignment vertical="center"/>
      <protection locked="0"/>
    </xf>
    <xf numFmtId="3" fontId="13" fillId="0" borderId="61" xfId="0" applyNumberFormat="1" applyFont="1" applyBorder="1" applyAlignment="1" applyProtection="1">
      <alignment vertical="center"/>
      <protection locked="0"/>
    </xf>
    <xf numFmtId="3" fontId="13" fillId="13" borderId="80" xfId="0" applyNumberFormat="1" applyFont="1" applyFill="1" applyBorder="1" applyAlignment="1" applyProtection="1">
      <alignment vertical="center"/>
      <protection locked="0"/>
    </xf>
    <xf numFmtId="49" fontId="0" fillId="14" borderId="73" xfId="0" applyNumberFormat="1" applyFill="1" applyBorder="1" applyAlignment="1" applyProtection="1">
      <alignment vertical="center" wrapText="1"/>
      <protection locked="0"/>
    </xf>
    <xf numFmtId="49" fontId="0" fillId="14" borderId="68" xfId="0" applyNumberFormat="1" applyFill="1" applyBorder="1" applyAlignment="1" applyProtection="1">
      <alignment vertical="center" wrapText="1"/>
      <protection locked="0"/>
    </xf>
    <xf numFmtId="49" fontId="0" fillId="14" borderId="54" xfId="0" applyNumberFormat="1" applyFill="1" applyBorder="1" applyAlignment="1" applyProtection="1">
      <alignment vertical="center" wrapText="1"/>
      <protection locked="0"/>
    </xf>
    <xf numFmtId="49" fontId="0" fillId="14" borderId="78" xfId="0" applyNumberFormat="1" applyFill="1" applyBorder="1" applyAlignment="1" applyProtection="1">
      <alignment vertical="center" wrapText="1"/>
      <protection locked="0"/>
    </xf>
    <xf numFmtId="3" fontId="13" fillId="0" borderId="70" xfId="0" applyNumberFormat="1" applyFont="1" applyBorder="1" applyAlignment="1" applyProtection="1">
      <alignment vertical="center"/>
      <protection locked="0"/>
    </xf>
    <xf numFmtId="0" fontId="0" fillId="13" borderId="74" xfId="0" applyFill="1" applyBorder="1" applyProtection="1"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3" fillId="13" borderId="0" xfId="0" applyFont="1" applyFill="1" applyAlignment="1" applyProtection="1">
      <alignment horizontal="center" vertical="center" wrapText="1"/>
      <protection locked="0"/>
    </xf>
    <xf numFmtId="3" fontId="13" fillId="0" borderId="0" xfId="0" applyNumberFormat="1" applyFont="1" applyAlignment="1" applyProtection="1">
      <alignment vertical="center"/>
      <protection locked="0"/>
    </xf>
    <xf numFmtId="0" fontId="15" fillId="13" borderId="55" xfId="0" applyFont="1" applyFill="1" applyBorder="1" applyAlignment="1" applyProtection="1">
      <alignment horizontal="center" vertical="center"/>
      <protection locked="0"/>
    </xf>
    <xf numFmtId="0" fontId="16" fillId="13" borderId="62" xfId="0" applyFont="1" applyFill="1" applyBorder="1" applyAlignment="1" applyProtection="1">
      <alignment horizontal="center" vertical="center" wrapText="1"/>
      <protection locked="0"/>
    </xf>
    <xf numFmtId="0" fontId="16" fillId="13" borderId="64" xfId="0" applyFont="1" applyFill="1" applyBorder="1" applyAlignment="1" applyProtection="1">
      <alignment horizontal="center" vertical="center" wrapText="1"/>
      <protection locked="0"/>
    </xf>
    <xf numFmtId="0" fontId="16" fillId="13" borderId="55" xfId="0" applyFont="1" applyFill="1" applyBorder="1" applyAlignment="1" applyProtection="1">
      <alignment horizontal="center" vertical="center" wrapText="1"/>
      <protection locked="0"/>
    </xf>
    <xf numFmtId="0" fontId="16" fillId="13" borderId="0" xfId="0" applyFont="1" applyFill="1" applyAlignment="1" applyProtection="1">
      <alignment horizontal="center" vertical="center" wrapText="1"/>
      <protection locked="0"/>
    </xf>
    <xf numFmtId="0" fontId="16" fillId="13" borderId="49" xfId="0" applyFont="1" applyFill="1" applyBorder="1" applyAlignment="1" applyProtection="1">
      <alignment horizontal="center" vertical="center" wrapText="1"/>
      <protection locked="0"/>
    </xf>
    <xf numFmtId="0" fontId="0" fillId="13" borderId="57" xfId="0" applyFill="1" applyBorder="1" applyProtection="1">
      <protection locked="0"/>
    </xf>
    <xf numFmtId="3" fontId="0" fillId="13" borderId="65" xfId="0" applyNumberFormat="1" applyFill="1" applyBorder="1" applyProtection="1">
      <protection locked="0"/>
    </xf>
    <xf numFmtId="3" fontId="0" fillId="13" borderId="0" xfId="0" applyNumberFormat="1" applyFill="1" applyProtection="1">
      <protection locked="0"/>
    </xf>
    <xf numFmtId="0" fontId="0" fillId="13" borderId="59" xfId="0" applyFill="1" applyBorder="1" applyProtection="1">
      <protection locked="0"/>
    </xf>
    <xf numFmtId="3" fontId="0" fillId="13" borderId="59" xfId="0" applyNumberFormat="1" applyFill="1" applyBorder="1" applyProtection="1">
      <protection locked="0"/>
    </xf>
    <xf numFmtId="0" fontId="0" fillId="13" borderId="60" xfId="0" applyFill="1" applyBorder="1" applyProtection="1">
      <protection locked="0"/>
    </xf>
    <xf numFmtId="3" fontId="0" fillId="13" borderId="60" xfId="0" applyNumberFormat="1" applyFill="1" applyBorder="1" applyProtection="1">
      <protection locked="0"/>
    </xf>
    <xf numFmtId="3" fontId="0" fillId="13" borderId="78" xfId="0" applyNumberFormat="1" applyFill="1" applyBorder="1" applyProtection="1">
      <protection locked="0"/>
    </xf>
    <xf numFmtId="0" fontId="15" fillId="13" borderId="55" xfId="0" applyFont="1" applyFill="1" applyBorder="1" applyAlignment="1" applyProtection="1">
      <alignment horizontal="center"/>
      <protection locked="0"/>
    </xf>
    <xf numFmtId="3" fontId="13" fillId="13" borderId="55" xfId="0" applyNumberFormat="1" applyFont="1" applyFill="1" applyBorder="1" applyProtection="1">
      <protection locked="0"/>
    </xf>
    <xf numFmtId="3" fontId="13" fillId="13" borderId="0" xfId="0" applyNumberFormat="1" applyFont="1" applyFill="1" applyProtection="1">
      <protection locked="0"/>
    </xf>
    <xf numFmtId="3" fontId="13" fillId="13" borderId="61" xfId="0" applyNumberFormat="1" applyFont="1" applyFill="1" applyBorder="1" applyProtection="1">
      <protection locked="0"/>
    </xf>
    <xf numFmtId="0" fontId="31" fillId="16" borderId="55" xfId="0" applyFont="1" applyFill="1" applyBorder="1" applyAlignment="1" applyProtection="1">
      <alignment horizontal="center" vertical="center"/>
      <protection locked="0"/>
    </xf>
    <xf numFmtId="165" fontId="32" fillId="13" borderId="55" xfId="0" applyNumberFormat="1" applyFont="1" applyFill="1" applyBorder="1" applyAlignment="1" applyProtection="1">
      <alignment horizontal="right" vertical="center"/>
      <protection locked="0"/>
    </xf>
    <xf numFmtId="165" fontId="32" fillId="13" borderId="56" xfId="0" applyNumberFormat="1" applyFont="1" applyFill="1" applyBorder="1" applyAlignment="1" applyProtection="1">
      <alignment horizontal="right" vertical="center"/>
      <protection locked="0"/>
    </xf>
    <xf numFmtId="0" fontId="0" fillId="0" borderId="0" xfId="0" applyProtection="1">
      <protection locked="0"/>
    </xf>
    <xf numFmtId="0" fontId="0" fillId="13" borderId="0" xfId="0" applyFill="1"/>
    <xf numFmtId="0" fontId="26" fillId="13" borderId="0" xfId="0" applyFont="1" applyFill="1"/>
    <xf numFmtId="3" fontId="0" fillId="6" borderId="29" xfId="0" applyNumberFormat="1" applyFill="1" applyBorder="1" applyAlignment="1" applyProtection="1">
      <alignment vertical="center"/>
      <protection locked="0"/>
    </xf>
    <xf numFmtId="0" fontId="0" fillId="2" borderId="0" xfId="0" applyFill="1" applyAlignment="1">
      <alignment vertical="center"/>
    </xf>
    <xf numFmtId="49" fontId="10" fillId="0" borderId="57" xfId="0" applyNumberFormat="1" applyFont="1" applyBorder="1" applyAlignment="1" applyProtection="1">
      <alignment horizontal="left" vertical="center"/>
      <protection locked="0"/>
    </xf>
    <xf numFmtId="10" fontId="5" fillId="5" borderId="27" xfId="0" applyNumberFormat="1" applyFont="1" applyFill="1" applyBorder="1" applyAlignment="1">
      <alignment vertical="center"/>
    </xf>
    <xf numFmtId="10" fontId="0" fillId="0" borderId="0" xfId="1" applyNumberFormat="1" applyFont="1" applyFill="1"/>
    <xf numFmtId="164" fontId="5" fillId="5" borderId="92" xfId="2" applyNumberFormat="1" applyFont="1" applyFill="1" applyBorder="1" applyAlignment="1">
      <alignment horizontal="right" vertical="center"/>
    </xf>
    <xf numFmtId="164" fontId="5" fillId="5" borderId="92" xfId="2" applyNumberFormat="1" applyFont="1" applyFill="1" applyBorder="1" applyAlignment="1">
      <alignment vertical="center"/>
    </xf>
    <xf numFmtId="164" fontId="5" fillId="5" borderId="95" xfId="2" applyNumberFormat="1" applyFont="1" applyFill="1" applyBorder="1" applyAlignment="1">
      <alignment vertical="center"/>
    </xf>
    <xf numFmtId="3" fontId="5" fillId="5" borderId="96" xfId="0" applyNumberFormat="1" applyFont="1" applyFill="1" applyBorder="1" applyAlignment="1">
      <alignment horizontal="right" vertical="center"/>
    </xf>
    <xf numFmtId="0" fontId="6" fillId="5" borderId="90" xfId="0" applyFont="1" applyFill="1" applyBorder="1" applyAlignment="1">
      <alignment horizontal="center" vertical="center" wrapText="1"/>
    </xf>
    <xf numFmtId="10" fontId="5" fillId="5" borderId="52" xfId="1" applyNumberFormat="1" applyFont="1" applyFill="1" applyBorder="1" applyAlignment="1">
      <alignment vertical="center"/>
    </xf>
    <xf numFmtId="10" fontId="5" fillId="5" borderId="92" xfId="0" applyNumberFormat="1" applyFont="1" applyFill="1" applyBorder="1" applyAlignment="1">
      <alignment horizontal="right" vertical="center"/>
    </xf>
    <xf numFmtId="49" fontId="5" fillId="5" borderId="93" xfId="0" applyNumberFormat="1" applyFont="1" applyFill="1" applyBorder="1" applyAlignment="1">
      <alignment horizontal="center" vertical="center" wrapText="1"/>
    </xf>
    <xf numFmtId="0" fontId="5" fillId="5" borderId="95" xfId="0" applyFont="1" applyFill="1" applyBorder="1" applyAlignment="1">
      <alignment horizontal="right" vertical="center"/>
    </xf>
    <xf numFmtId="49" fontId="6" fillId="0" borderId="98" xfId="0" applyNumberFormat="1" applyFont="1" applyBorder="1"/>
    <xf numFmtId="0" fontId="35" fillId="0" borderId="98" xfId="0" applyFont="1" applyBorder="1"/>
    <xf numFmtId="49" fontId="35" fillId="0" borderId="98" xfId="0" applyNumberFormat="1" applyFont="1" applyBorder="1"/>
    <xf numFmtId="167" fontId="35" fillId="0" borderId="98" xfId="0" applyNumberFormat="1" applyFont="1" applyBorder="1"/>
    <xf numFmtId="49" fontId="35" fillId="14" borderId="98" xfId="0" applyNumberFormat="1" applyFont="1" applyFill="1" applyBorder="1" applyAlignment="1">
      <alignment horizontal="left" vertical="center"/>
    </xf>
    <xf numFmtId="0" fontId="6" fillId="14" borderId="98" xfId="0" applyFont="1" applyFill="1" applyBorder="1" applyAlignment="1">
      <alignment horizontal="left" vertical="center"/>
    </xf>
    <xf numFmtId="0" fontId="35" fillId="14" borderId="98" xfId="0" applyFont="1" applyFill="1" applyBorder="1" applyAlignment="1">
      <alignment wrapText="1"/>
    </xf>
    <xf numFmtId="49" fontId="6" fillId="14" borderId="98" xfId="0" applyNumberFormat="1" applyFont="1" applyFill="1" applyBorder="1" applyAlignment="1">
      <alignment horizontal="left" vertical="center"/>
    </xf>
    <xf numFmtId="49" fontId="35" fillId="14" borderId="98" xfId="0" applyNumberFormat="1" applyFont="1" applyFill="1" applyBorder="1" applyAlignment="1">
      <alignment horizontal="left" vertical="center" wrapText="1"/>
    </xf>
    <xf numFmtId="49" fontId="35" fillId="0" borderId="98" xfId="0" applyNumberFormat="1" applyFont="1" applyBorder="1" applyAlignment="1">
      <alignment horizontal="left" vertical="center"/>
    </xf>
    <xf numFmtId="0" fontId="35" fillId="14" borderId="98" xfId="0" applyFont="1" applyFill="1" applyBorder="1" applyAlignment="1">
      <alignment horizontal="left" vertical="center" wrapText="1"/>
    </xf>
    <xf numFmtId="0" fontId="35" fillId="0" borderId="98" xfId="0" applyFont="1" applyBorder="1" applyAlignment="1">
      <alignment horizontal="left" vertical="center"/>
    </xf>
    <xf numFmtId="9" fontId="35" fillId="0" borderId="98" xfId="0" applyNumberFormat="1" applyFont="1" applyBorder="1"/>
    <xf numFmtId="49" fontId="35" fillId="14" borderId="98" xfId="0" applyNumberFormat="1" applyFont="1" applyFill="1" applyBorder="1" applyAlignment="1">
      <alignment wrapText="1"/>
    </xf>
    <xf numFmtId="10" fontId="0" fillId="0" borderId="0" xfId="0" applyNumberFormat="1"/>
    <xf numFmtId="49" fontId="35" fillId="11" borderId="98" xfId="0" applyNumberFormat="1" applyFont="1" applyFill="1" applyBorder="1"/>
    <xf numFmtId="49" fontId="6" fillId="18" borderId="98" xfId="0" applyNumberFormat="1" applyFont="1" applyFill="1" applyBorder="1" applyAlignment="1">
      <alignment horizontal="left" vertical="center"/>
    </xf>
    <xf numFmtId="49" fontId="35" fillId="18" borderId="98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49" fontId="35" fillId="0" borderId="98" xfId="0" applyNumberFormat="1" applyFont="1" applyBorder="1" applyAlignment="1">
      <alignment horizontal="left" vertical="center" wrapText="1"/>
    </xf>
    <xf numFmtId="0" fontId="5" fillId="0" borderId="0" xfId="0" applyFont="1"/>
    <xf numFmtId="49" fontId="38" fillId="2" borderId="0" xfId="0" applyNumberFormat="1" applyFont="1" applyFill="1" applyAlignment="1">
      <alignment horizontal="left" indent="1"/>
    </xf>
    <xf numFmtId="49" fontId="39" fillId="2" borderId="0" xfId="0" applyNumberFormat="1" applyFont="1" applyFill="1" applyAlignment="1">
      <alignment horizontal="left" vertical="center"/>
    </xf>
    <xf numFmtId="49" fontId="41" fillId="2" borderId="0" xfId="0" applyNumberFormat="1" applyFont="1" applyFill="1"/>
    <xf numFmtId="49" fontId="39" fillId="3" borderId="102" xfId="0" applyNumberFormat="1" applyFont="1" applyFill="1" applyBorder="1" applyAlignment="1">
      <alignment horizontal="center"/>
    </xf>
    <xf numFmtId="0" fontId="0" fillId="3" borderId="104" xfId="0" applyFill="1" applyBorder="1"/>
    <xf numFmtId="0" fontId="0" fillId="3" borderId="105" xfId="0" applyFill="1" applyBorder="1"/>
    <xf numFmtId="49" fontId="4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49" fontId="33" fillId="3" borderId="109" xfId="0" applyNumberFormat="1" applyFont="1" applyFill="1" applyBorder="1" applyAlignment="1">
      <alignment horizontal="center" vertical="center" wrapText="1"/>
    </xf>
    <xf numFmtId="49" fontId="33" fillId="3" borderId="109" xfId="0" applyNumberFormat="1" applyFont="1" applyFill="1" applyBorder="1" applyAlignment="1">
      <alignment horizontal="center" vertical="center"/>
    </xf>
    <xf numFmtId="49" fontId="33" fillId="3" borderId="110" xfId="0" applyNumberFormat="1" applyFont="1" applyFill="1" applyBorder="1" applyAlignment="1">
      <alignment horizontal="center" vertical="center"/>
    </xf>
    <xf numFmtId="49" fontId="44" fillId="3" borderId="111" xfId="0" applyNumberFormat="1" applyFont="1" applyFill="1" applyBorder="1" applyAlignment="1">
      <alignment horizontal="center" vertical="center"/>
    </xf>
    <xf numFmtId="0" fontId="0" fillId="10" borderId="112" xfId="0" applyFill="1" applyBorder="1" applyAlignment="1">
      <alignment vertical="center"/>
    </xf>
    <xf numFmtId="0" fontId="0" fillId="10" borderId="113" xfId="0" applyFill="1" applyBorder="1" applyAlignment="1">
      <alignment vertical="center"/>
    </xf>
    <xf numFmtId="0" fontId="0" fillId="6" borderId="114" xfId="0" applyFill="1" applyBorder="1" applyAlignment="1">
      <alignment horizontal="right" vertical="center"/>
    </xf>
    <xf numFmtId="9" fontId="0" fillId="6" borderId="114" xfId="0" applyNumberFormat="1" applyFill="1" applyBorder="1" applyAlignment="1">
      <alignment horizontal="right" vertical="center"/>
    </xf>
    <xf numFmtId="0" fontId="0" fillId="6" borderId="115" xfId="0" applyFill="1" applyBorder="1" applyAlignment="1">
      <alignment horizontal="right" vertical="center"/>
    </xf>
    <xf numFmtId="0" fontId="45" fillId="2" borderId="116" xfId="0" applyFont="1" applyFill="1" applyBorder="1" applyAlignment="1">
      <alignment horizontal="center" vertical="center"/>
    </xf>
    <xf numFmtId="49" fontId="46" fillId="2" borderId="117" xfId="0" applyNumberFormat="1" applyFont="1" applyFill="1" applyBorder="1" applyAlignment="1">
      <alignment horizontal="center" vertical="center"/>
    </xf>
    <xf numFmtId="49" fontId="46" fillId="2" borderId="118" xfId="0" applyNumberFormat="1" applyFont="1" applyFill="1" applyBorder="1" applyAlignment="1">
      <alignment horizontal="center" vertical="center"/>
    </xf>
    <xf numFmtId="49" fontId="46" fillId="2" borderId="119" xfId="0" applyNumberFormat="1" applyFont="1" applyFill="1" applyBorder="1" applyAlignment="1">
      <alignment horizontal="center" vertical="center"/>
    </xf>
    <xf numFmtId="0" fontId="0" fillId="2" borderId="120" xfId="0" applyFill="1" applyBorder="1" applyAlignment="1">
      <alignment horizontal="right" vertical="center"/>
    </xf>
    <xf numFmtId="9" fontId="0" fillId="2" borderId="121" xfId="0" applyNumberFormat="1" applyFill="1" applyBorder="1" applyAlignment="1">
      <alignment horizontal="right" vertical="center"/>
    </xf>
    <xf numFmtId="49" fontId="43" fillId="2" borderId="122" xfId="0" applyNumberFormat="1" applyFont="1" applyFill="1" applyBorder="1" applyAlignment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0" fontId="0" fillId="2" borderId="125" xfId="0" applyFill="1" applyBorder="1" applyAlignment="1">
      <alignment vertical="center"/>
    </xf>
    <xf numFmtId="0" fontId="47" fillId="2" borderId="127" xfId="0" applyFont="1" applyFill="1" applyBorder="1" applyAlignment="1">
      <alignment horizontal="center" vertical="center"/>
    </xf>
    <xf numFmtId="0" fontId="0" fillId="2" borderId="124" xfId="0" applyFill="1" applyBorder="1" applyAlignment="1">
      <alignment vertical="center"/>
    </xf>
    <xf numFmtId="0" fontId="45" fillId="2" borderId="130" xfId="0" applyFont="1" applyFill="1" applyBorder="1" applyAlignment="1">
      <alignment horizontal="center" vertical="center"/>
    </xf>
    <xf numFmtId="49" fontId="48" fillId="2" borderId="104" xfId="0" applyNumberFormat="1" applyFont="1" applyFill="1" applyBorder="1" applyAlignment="1">
      <alignment horizontal="center" vertical="center"/>
    </xf>
    <xf numFmtId="0" fontId="45" fillId="2" borderId="0" xfId="0" applyFont="1" applyFill="1" applyAlignment="1">
      <alignment horizontal="center" vertical="center"/>
    </xf>
    <xf numFmtId="0" fontId="45" fillId="2" borderId="125" xfId="0" applyFont="1" applyFill="1" applyBorder="1" applyAlignment="1">
      <alignment horizontal="center" vertical="center"/>
    </xf>
    <xf numFmtId="0" fontId="45" fillId="2" borderId="119" xfId="0" applyFont="1" applyFill="1" applyBorder="1" applyAlignment="1">
      <alignment horizontal="right" vertical="center"/>
    </xf>
    <xf numFmtId="9" fontId="0" fillId="2" borderId="131" xfId="0" applyNumberFormat="1" applyFill="1" applyBorder="1" applyAlignment="1">
      <alignment horizontal="right" vertical="center"/>
    </xf>
    <xf numFmtId="0" fontId="45" fillId="2" borderId="131" xfId="0" applyFont="1" applyFill="1" applyBorder="1" applyAlignment="1">
      <alignment horizontal="right" vertical="center"/>
    </xf>
    <xf numFmtId="49" fontId="43" fillId="2" borderId="132" xfId="0" applyNumberFormat="1" applyFont="1" applyFill="1" applyBorder="1" applyAlignment="1">
      <alignment horizontal="center" vertical="center"/>
    </xf>
    <xf numFmtId="0" fontId="47" fillId="2" borderId="135" xfId="0" applyFont="1" applyFill="1" applyBorder="1" applyAlignment="1">
      <alignment horizontal="center" vertical="center"/>
    </xf>
    <xf numFmtId="0" fontId="0" fillId="3" borderId="138" xfId="0" applyFill="1" applyBorder="1"/>
    <xf numFmtId="49" fontId="46" fillId="2" borderId="104" xfId="0" applyNumberFormat="1" applyFont="1" applyFill="1" applyBorder="1" applyAlignment="1">
      <alignment horizontal="center" vertical="center"/>
    </xf>
    <xf numFmtId="49" fontId="46" fillId="2" borderId="0" xfId="0" applyNumberFormat="1" applyFont="1" applyFill="1" applyAlignment="1">
      <alignment horizontal="center" vertical="center"/>
    </xf>
    <xf numFmtId="49" fontId="43" fillId="2" borderId="106" xfId="0" applyNumberFormat="1" applyFont="1" applyFill="1" applyBorder="1" applyAlignment="1">
      <alignment horizontal="center" vertical="center" wrapText="1"/>
    </xf>
    <xf numFmtId="49" fontId="3" fillId="2" borderId="139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0" fillId="2" borderId="125" xfId="0" applyFill="1" applyBorder="1" applyAlignment="1">
      <alignment horizontal="center" vertical="center"/>
    </xf>
    <xf numFmtId="49" fontId="0" fillId="2" borderId="112" xfId="0" applyNumberFormat="1" applyFill="1" applyBorder="1" applyAlignment="1" applyProtection="1">
      <alignment horizontal="center" vertical="center"/>
      <protection locked="0"/>
    </xf>
    <xf numFmtId="49" fontId="0" fillId="2" borderId="141" xfId="0" applyNumberFormat="1" applyFill="1" applyBorder="1" applyAlignment="1" applyProtection="1">
      <alignment horizontal="center" vertical="center"/>
      <protection locked="0"/>
    </xf>
    <xf numFmtId="0" fontId="45" fillId="2" borderId="142" xfId="0" applyFont="1" applyFill="1" applyBorder="1" applyAlignment="1">
      <alignment horizontal="center" vertical="center"/>
    </xf>
    <xf numFmtId="49" fontId="48" fillId="2" borderId="143" xfId="0" applyNumberFormat="1" applyFont="1" applyFill="1" applyBorder="1" applyAlignment="1">
      <alignment vertical="center"/>
    </xf>
    <xf numFmtId="49" fontId="48" fillId="2" borderId="104" xfId="0" applyNumberFormat="1" applyFont="1" applyFill="1" applyBorder="1" applyAlignment="1">
      <alignment vertical="center"/>
    </xf>
    <xf numFmtId="49" fontId="48" fillId="2" borderId="120" xfId="0" applyNumberFormat="1" applyFont="1" applyFill="1" applyBorder="1" applyAlignment="1">
      <alignment vertical="center"/>
    </xf>
    <xf numFmtId="0" fontId="45" fillId="2" borderId="120" xfId="0" applyFont="1" applyFill="1" applyBorder="1" applyAlignment="1">
      <alignment horizontal="right" vertical="center"/>
    </xf>
    <xf numFmtId="0" fontId="0" fillId="2" borderId="121" xfId="0" applyFill="1" applyBorder="1" applyAlignment="1">
      <alignment horizontal="right" vertical="center"/>
    </xf>
    <xf numFmtId="49" fontId="50" fillId="2" borderId="144" xfId="0" applyNumberFormat="1" applyFont="1" applyFill="1" applyBorder="1" applyAlignment="1">
      <alignment horizontal="center" vertical="center" wrapText="1"/>
    </xf>
    <xf numFmtId="49" fontId="52" fillId="2" borderId="145" xfId="0" applyNumberFormat="1" applyFont="1" applyFill="1" applyBorder="1" applyAlignment="1">
      <alignment horizontal="center" vertical="center" wrapText="1"/>
    </xf>
    <xf numFmtId="49" fontId="52" fillId="2" borderId="0" xfId="0" applyNumberFormat="1" applyFont="1" applyFill="1" applyAlignment="1">
      <alignment horizontal="center" vertical="center" wrapText="1"/>
    </xf>
    <xf numFmtId="0" fontId="47" fillId="2" borderId="135" xfId="0" applyFont="1" applyFill="1" applyBorder="1" applyAlignment="1">
      <alignment horizontal="center" vertical="center" wrapText="1"/>
    </xf>
    <xf numFmtId="0" fontId="0" fillId="2" borderId="143" xfId="0" applyFill="1" applyBorder="1" applyAlignment="1" applyProtection="1">
      <alignment horizontal="center" vertical="center" wrapText="1"/>
      <protection locked="0"/>
    </xf>
    <xf numFmtId="0" fontId="0" fillId="2" borderId="146" xfId="0" applyFill="1" applyBorder="1" applyAlignment="1" applyProtection="1">
      <alignment horizontal="center" vertical="center" wrapText="1"/>
      <protection locked="0"/>
    </xf>
    <xf numFmtId="0" fontId="0" fillId="2" borderId="147" xfId="0" applyFill="1" applyBorder="1" applyAlignment="1" applyProtection="1">
      <alignment horizontal="center" vertical="center" wrapText="1"/>
      <protection locked="0"/>
    </xf>
    <xf numFmtId="0" fontId="0" fillId="2" borderId="148" xfId="0" applyFill="1" applyBorder="1"/>
    <xf numFmtId="49" fontId="45" fillId="3" borderId="0" xfId="0" applyNumberFormat="1" applyFont="1" applyFill="1" applyAlignment="1">
      <alignment horizontal="left" vertical="center" wrapText="1"/>
    </xf>
    <xf numFmtId="0" fontId="9" fillId="6" borderId="0" xfId="0" applyFont="1" applyFill="1" applyAlignment="1">
      <alignment horizontal="center" vertical="center"/>
    </xf>
    <xf numFmtId="49" fontId="45" fillId="3" borderId="0" xfId="0" applyNumberFormat="1" applyFont="1" applyFill="1" applyAlignment="1">
      <alignment horizontal="left" vertical="center"/>
    </xf>
    <xf numFmtId="0" fontId="45" fillId="2" borderId="0" xfId="0" applyFont="1" applyFill="1" applyAlignment="1">
      <alignment horizontal="left" vertical="center"/>
    </xf>
    <xf numFmtId="0" fontId="55" fillId="2" borderId="0" xfId="0" applyFont="1" applyFill="1" applyAlignment="1">
      <alignment horizontal="left" vertical="center"/>
    </xf>
    <xf numFmtId="0" fontId="46" fillId="2" borderId="0" xfId="0" applyFont="1" applyFill="1" applyAlignment="1">
      <alignment horizontal="center"/>
    </xf>
    <xf numFmtId="49" fontId="57" fillId="2" borderId="0" xfId="0" applyNumberFormat="1" applyFont="1" applyFill="1"/>
    <xf numFmtId="49" fontId="56" fillId="20" borderId="0" xfId="0" applyNumberFormat="1" applyFont="1" applyFill="1" applyAlignment="1">
      <alignment horizontal="center" vertical="center"/>
    </xf>
    <xf numFmtId="0" fontId="0" fillId="3" borderId="150" xfId="0" applyFill="1" applyBorder="1"/>
    <xf numFmtId="0" fontId="62" fillId="3" borderId="150" xfId="0" applyFont="1" applyFill="1" applyBorder="1"/>
    <xf numFmtId="0" fontId="62" fillId="3" borderId="0" xfId="0" applyFont="1" applyFill="1"/>
    <xf numFmtId="0" fontId="17" fillId="0" borderId="47" xfId="0" applyFont="1" applyBorder="1" applyAlignment="1">
      <alignment horizontal="left" vertical="center"/>
    </xf>
    <xf numFmtId="49" fontId="17" fillId="2" borderId="153" xfId="0" applyNumberFormat="1" applyFont="1" applyFill="1" applyBorder="1"/>
    <xf numFmtId="0" fontId="17" fillId="3" borderId="157" xfId="0" applyFont="1" applyFill="1" applyBorder="1"/>
    <xf numFmtId="0" fontId="17" fillId="3" borderId="81" xfId="0" applyFont="1" applyFill="1" applyBorder="1"/>
    <xf numFmtId="0" fontId="17" fillId="3" borderId="158" xfId="0" applyFont="1" applyFill="1" applyBorder="1"/>
    <xf numFmtId="0" fontId="33" fillId="3" borderId="47" xfId="0" applyFont="1" applyFill="1" applyBorder="1" applyAlignment="1">
      <alignment vertical="center"/>
    </xf>
    <xf numFmtId="0" fontId="17" fillId="3" borderId="159" xfId="0" applyFont="1" applyFill="1" applyBorder="1"/>
    <xf numFmtId="49" fontId="17" fillId="3" borderId="7" xfId="0" applyNumberFormat="1" applyFont="1" applyFill="1" applyBorder="1"/>
    <xf numFmtId="49" fontId="17" fillId="3" borderId="91" xfId="0" applyNumberFormat="1" applyFont="1" applyFill="1" applyBorder="1"/>
    <xf numFmtId="49" fontId="17" fillId="2" borderId="160" xfId="0" applyNumberFormat="1" applyFont="1" applyFill="1" applyBorder="1"/>
    <xf numFmtId="49" fontId="17" fillId="2" borderId="161" xfId="0" applyNumberFormat="1" applyFont="1" applyFill="1" applyBorder="1"/>
    <xf numFmtId="0" fontId="17" fillId="2" borderId="153" xfId="0" applyFont="1" applyFill="1" applyBorder="1"/>
    <xf numFmtId="0" fontId="17" fillId="2" borderId="155" xfId="0" applyFont="1" applyFill="1" applyBorder="1"/>
    <xf numFmtId="0" fontId="64" fillId="3" borderId="81" xfId="0" applyFont="1" applyFill="1" applyBorder="1"/>
    <xf numFmtId="0" fontId="65" fillId="3" borderId="81" xfId="0" applyFont="1" applyFill="1" applyBorder="1"/>
    <xf numFmtId="0" fontId="64" fillId="3" borderId="0" xfId="0" applyFont="1" applyFill="1"/>
    <xf numFmtId="49" fontId="17" fillId="2" borderId="47" xfId="0" applyNumberFormat="1" applyFont="1" applyFill="1" applyBorder="1" applyAlignment="1">
      <alignment horizontal="left" wrapText="1"/>
    </xf>
    <xf numFmtId="49" fontId="17" fillId="2" borderId="47" xfId="0" applyNumberFormat="1" applyFont="1" applyFill="1" applyBorder="1"/>
    <xf numFmtId="0" fontId="15" fillId="22" borderId="47" xfId="0" applyFont="1" applyFill="1" applyBorder="1" applyAlignment="1">
      <alignment horizontal="left" wrapText="1"/>
    </xf>
    <xf numFmtId="49" fontId="15" fillId="22" borderId="47" xfId="0" applyNumberFormat="1" applyFont="1" applyFill="1" applyBorder="1" applyAlignment="1">
      <alignment horizontal="center" vertical="center"/>
    </xf>
    <xf numFmtId="49" fontId="15" fillId="22" borderId="151" xfId="0" applyNumberFormat="1" applyFont="1" applyFill="1" applyBorder="1" applyAlignment="1">
      <alignment horizontal="left" vertical="center" wrapText="1"/>
    </xf>
    <xf numFmtId="49" fontId="15" fillId="22" borderId="151" xfId="0" applyNumberFormat="1" applyFont="1" applyFill="1" applyBorder="1" applyAlignment="1">
      <alignment horizontal="center" vertical="center"/>
    </xf>
    <xf numFmtId="49" fontId="15" fillId="22" borderId="152" xfId="0" applyNumberFormat="1" applyFont="1" applyFill="1" applyBorder="1" applyAlignment="1">
      <alignment horizontal="center" vertical="center"/>
    </xf>
    <xf numFmtId="49" fontId="63" fillId="8" borderId="47" xfId="0" applyNumberFormat="1" applyFont="1" applyFill="1" applyBorder="1"/>
    <xf numFmtId="49" fontId="0" fillId="3" borderId="0" xfId="0" applyNumberFormat="1" applyFill="1"/>
    <xf numFmtId="1" fontId="42" fillId="6" borderId="103" xfId="0" applyNumberFormat="1" applyFont="1" applyFill="1" applyBorder="1" applyAlignment="1">
      <alignment horizontal="center" vertical="center"/>
    </xf>
    <xf numFmtId="49" fontId="54" fillId="2" borderId="0" xfId="0" applyNumberFormat="1" applyFont="1" applyFill="1" applyAlignment="1">
      <alignment horizontal="left" vertical="center" wrapText="1"/>
    </xf>
    <xf numFmtId="0" fontId="5" fillId="2" borderId="162" xfId="0" applyFont="1" applyFill="1" applyBorder="1" applyAlignment="1">
      <alignment horizontal="center" vertical="center"/>
    </xf>
    <xf numFmtId="0" fontId="63" fillId="2" borderId="166" xfId="0" applyFont="1" applyFill="1" applyBorder="1" applyAlignment="1">
      <alignment horizontal="center" vertical="center"/>
    </xf>
    <xf numFmtId="3" fontId="5" fillId="2" borderId="165" xfId="0" applyNumberFormat="1" applyFont="1" applyFill="1" applyBorder="1" applyAlignment="1">
      <alignment horizontal="center" vertical="center"/>
    </xf>
    <xf numFmtId="3" fontId="63" fillId="2" borderId="163" xfId="0" applyNumberFormat="1" applyFont="1" applyFill="1" applyBorder="1" applyAlignment="1">
      <alignment horizontal="center" vertical="center"/>
    </xf>
    <xf numFmtId="49" fontId="29" fillId="7" borderId="149" xfId="0" applyNumberFormat="1" applyFont="1" applyFill="1" applyBorder="1" applyAlignment="1">
      <alignment horizontal="center" vertical="center"/>
    </xf>
    <xf numFmtId="43" fontId="26" fillId="3" borderId="21" xfId="0" applyNumberFormat="1" applyFont="1" applyFill="1" applyBorder="1"/>
    <xf numFmtId="164" fontId="0" fillId="3" borderId="0" xfId="2" applyNumberFormat="1" applyFont="1" applyFill="1" applyAlignment="1" applyProtection="1">
      <alignment horizontal="center" vertical="center"/>
      <protection hidden="1"/>
    </xf>
    <xf numFmtId="3" fontId="0" fillId="3" borderId="0" xfId="0" applyNumberFormat="1" applyFill="1" applyAlignment="1" applyProtection="1">
      <alignment horizontal="right" vertical="center"/>
      <protection hidden="1"/>
    </xf>
    <xf numFmtId="49" fontId="63" fillId="3" borderId="0" xfId="0" applyNumberFormat="1" applyFont="1" applyFill="1" applyAlignment="1">
      <alignment horizontal="center" vertical="center"/>
    </xf>
    <xf numFmtId="49" fontId="27" fillId="13" borderId="53" xfId="0" applyNumberFormat="1" applyFont="1" applyFill="1" applyBorder="1" applyAlignment="1" applyProtection="1">
      <alignment horizontal="center" vertical="center" wrapText="1"/>
      <protection locked="0"/>
    </xf>
    <xf numFmtId="10" fontId="0" fillId="3" borderId="29" xfId="1" applyNumberFormat="1" applyFont="1" applyFill="1" applyBorder="1" applyAlignment="1">
      <alignment vertical="center"/>
    </xf>
    <xf numFmtId="0" fontId="33" fillId="3" borderId="0" xfId="0" applyFont="1" applyFill="1" applyAlignment="1">
      <alignment vertical="center"/>
    </xf>
    <xf numFmtId="0" fontId="3" fillId="3" borderId="0" xfId="0" applyFont="1" applyFill="1"/>
    <xf numFmtId="3" fontId="0" fillId="6" borderId="34" xfId="0" applyNumberFormat="1" applyFill="1" applyBorder="1" applyAlignment="1" applyProtection="1">
      <alignment vertical="center"/>
      <protection locked="0"/>
    </xf>
    <xf numFmtId="49" fontId="0" fillId="0" borderId="73" xfId="0" applyNumberFormat="1" applyBorder="1" applyAlignment="1" applyProtection="1">
      <alignment vertical="center" wrapText="1"/>
      <protection locked="0"/>
    </xf>
    <xf numFmtId="0" fontId="5" fillId="3" borderId="47" xfId="0" applyFont="1" applyFill="1" applyBorder="1" applyAlignment="1">
      <alignment horizontal="center" vertical="center"/>
    </xf>
    <xf numFmtId="0" fontId="8" fillId="13" borderId="23" xfId="0" applyFont="1" applyFill="1" applyBorder="1" applyAlignment="1" applyProtection="1">
      <alignment horizontal="center"/>
      <protection locked="0"/>
    </xf>
    <xf numFmtId="164" fontId="10" fillId="0" borderId="24" xfId="2" applyNumberFormat="1" applyFont="1" applyFill="1" applyBorder="1" applyAlignment="1">
      <alignment vertical="center"/>
    </xf>
    <xf numFmtId="164" fontId="10" fillId="3" borderId="22" xfId="2" applyNumberFormat="1" applyFont="1" applyFill="1" applyBorder="1" applyAlignment="1">
      <alignment vertical="center"/>
    </xf>
    <xf numFmtId="164" fontId="10" fillId="3" borderId="26" xfId="2" applyNumberFormat="1" applyFont="1" applyFill="1" applyBorder="1" applyAlignment="1">
      <alignment vertical="center"/>
    </xf>
    <xf numFmtId="0" fontId="16" fillId="3" borderId="11" xfId="0" applyFont="1" applyFill="1" applyBorder="1" applyAlignment="1">
      <alignment horizontal="center" vertical="center"/>
    </xf>
    <xf numFmtId="164" fontId="10" fillId="3" borderId="29" xfId="2" applyNumberFormat="1" applyFont="1" applyFill="1" applyBorder="1" applyAlignment="1">
      <alignment vertical="center"/>
    </xf>
    <xf numFmtId="164" fontId="15" fillId="9" borderId="32" xfId="2" applyNumberFormat="1" applyFont="1" applyFill="1" applyBorder="1" applyAlignment="1">
      <alignment horizontal="center" vertical="center"/>
    </xf>
    <xf numFmtId="3" fontId="13" fillId="0" borderId="169" xfId="0" applyNumberFormat="1" applyFont="1" applyBorder="1" applyAlignment="1" applyProtection="1">
      <alignment vertical="center"/>
      <protection locked="0"/>
    </xf>
    <xf numFmtId="3" fontId="13" fillId="0" borderId="170" xfId="0" applyNumberFormat="1" applyFont="1" applyBorder="1" applyAlignment="1" applyProtection="1">
      <alignment vertical="center"/>
      <protection locked="0"/>
    </xf>
    <xf numFmtId="3" fontId="13" fillId="13" borderId="21" xfId="0" applyNumberFormat="1" applyFont="1" applyFill="1" applyBorder="1" applyAlignment="1" applyProtection="1">
      <alignment vertical="center"/>
      <protection locked="0"/>
    </xf>
    <xf numFmtId="3" fontId="13" fillId="0" borderId="171" xfId="0" applyNumberFormat="1" applyFont="1" applyBorder="1" applyAlignment="1" applyProtection="1">
      <alignment vertical="center"/>
      <protection locked="0"/>
    </xf>
    <xf numFmtId="164" fontId="7" fillId="0" borderId="47" xfId="2" applyNumberFormat="1" applyFont="1" applyFill="1" applyBorder="1"/>
    <xf numFmtId="3" fontId="0" fillId="0" borderId="47" xfId="0" applyNumberFormat="1" applyBorder="1"/>
    <xf numFmtId="0" fontId="0" fillId="11" borderId="0" xfId="0" applyFill="1"/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168" fontId="0" fillId="0" borderId="0" xfId="2" applyNumberFormat="1" applyFont="1"/>
    <xf numFmtId="169" fontId="8" fillId="3" borderId="16" xfId="0" applyNumberFormat="1" applyFont="1" applyFill="1" applyBorder="1" applyAlignment="1">
      <alignment vertical="center"/>
    </xf>
    <xf numFmtId="169" fontId="8" fillId="3" borderId="26" xfId="0" applyNumberFormat="1" applyFont="1" applyFill="1" applyBorder="1" applyAlignment="1">
      <alignment vertical="center"/>
    </xf>
    <xf numFmtId="169" fontId="8" fillId="3" borderId="29" xfId="0" applyNumberFormat="1" applyFont="1" applyFill="1" applyBorder="1" applyAlignment="1">
      <alignment vertical="center"/>
    </xf>
    <xf numFmtId="0" fontId="5" fillId="3" borderId="35" xfId="0" applyFont="1" applyFill="1" applyBorder="1"/>
    <xf numFmtId="0" fontId="5" fillId="3" borderId="36" xfId="0" applyFont="1" applyFill="1" applyBorder="1"/>
    <xf numFmtId="0" fontId="0" fillId="3" borderId="3" xfId="0" applyFill="1" applyBorder="1"/>
    <xf numFmtId="0" fontId="5" fillId="3" borderId="83" xfId="0" applyFont="1" applyFill="1" applyBorder="1"/>
    <xf numFmtId="164" fontId="10" fillId="0" borderId="39" xfId="2" applyNumberFormat="1" applyFont="1" applyFill="1" applyBorder="1" applyAlignment="1">
      <alignment vertical="center"/>
    </xf>
    <xf numFmtId="164" fontId="10" fillId="0" borderId="25" xfId="2" applyNumberFormat="1" applyFont="1" applyFill="1" applyBorder="1" applyAlignment="1">
      <alignment vertical="center"/>
    </xf>
    <xf numFmtId="164" fontId="10" fillId="0" borderId="30" xfId="2" applyNumberFormat="1" applyFont="1" applyFill="1" applyBorder="1" applyAlignment="1">
      <alignment vertical="center"/>
    </xf>
    <xf numFmtId="170" fontId="0" fillId="3" borderId="47" xfId="0" applyNumberFormat="1" applyFill="1" applyBorder="1"/>
    <xf numFmtId="164" fontId="5" fillId="3" borderId="47" xfId="0" applyNumberFormat="1" applyFont="1" applyFill="1" applyBorder="1"/>
    <xf numFmtId="49" fontId="67" fillId="2" borderId="4" xfId="0" applyNumberFormat="1" applyFont="1" applyFill="1" applyBorder="1" applyAlignment="1">
      <alignment horizontal="center" vertical="center" wrapText="1"/>
    </xf>
    <xf numFmtId="3" fontId="68" fillId="0" borderId="9" xfId="0" applyNumberFormat="1" applyFont="1" applyBorder="1" applyAlignment="1">
      <alignment horizontal="right" vertical="center"/>
    </xf>
    <xf numFmtId="164" fontId="5" fillId="0" borderId="0" xfId="0" applyNumberFormat="1" applyFont="1"/>
    <xf numFmtId="164" fontId="0" fillId="0" borderId="9" xfId="2" applyNumberFormat="1" applyFont="1" applyBorder="1" applyAlignment="1">
      <alignment horizontal="right" vertical="center"/>
    </xf>
    <xf numFmtId="164" fontId="0" fillId="0" borderId="174" xfId="2" applyNumberFormat="1" applyFont="1" applyBorder="1" applyAlignment="1">
      <alignment horizontal="right" vertical="center"/>
    </xf>
    <xf numFmtId="164" fontId="0" fillId="0" borderId="0" xfId="2" applyNumberFormat="1" applyFont="1" applyFill="1"/>
    <xf numFmtId="3" fontId="0" fillId="0" borderId="30" xfId="0" applyNumberFormat="1" applyBorder="1" applyAlignment="1">
      <alignment vertical="center"/>
    </xf>
    <xf numFmtId="10" fontId="0" fillId="0" borderId="29" xfId="0" applyNumberFormat="1" applyBorder="1" applyAlignment="1">
      <alignment vertical="center"/>
    </xf>
    <xf numFmtId="10" fontId="0" fillId="0" borderId="48" xfId="1" applyNumberFormat="1" applyFont="1" applyBorder="1" applyAlignment="1">
      <alignment vertical="center"/>
    </xf>
    <xf numFmtId="10" fontId="5" fillId="0" borderId="28" xfId="1" applyNumberFormat="1" applyFont="1" applyBorder="1" applyAlignment="1">
      <alignment vertical="center"/>
    </xf>
    <xf numFmtId="171" fontId="0" fillId="3" borderId="0" xfId="0" applyNumberFormat="1" applyFill="1" applyAlignment="1">
      <alignment vertical="center"/>
    </xf>
    <xf numFmtId="0" fontId="9" fillId="12" borderId="11" xfId="0" applyFont="1" applyFill="1" applyBorder="1" applyAlignment="1">
      <alignment horizontal="center"/>
    </xf>
    <xf numFmtId="10" fontId="8" fillId="13" borderId="18" xfId="1" applyNumberFormat="1" applyFont="1" applyFill="1" applyBorder="1" applyAlignment="1" applyProtection="1">
      <alignment horizontal="center" vertical="center"/>
      <protection locked="0"/>
    </xf>
    <xf numFmtId="10" fontId="8" fillId="13" borderId="23" xfId="1" applyNumberFormat="1" applyFont="1" applyFill="1" applyBorder="1" applyAlignment="1" applyProtection="1">
      <alignment horizontal="center" vertical="center"/>
      <protection locked="0"/>
    </xf>
    <xf numFmtId="10" fontId="8" fillId="13" borderId="23" xfId="1" applyNumberFormat="1" applyFont="1" applyFill="1" applyBorder="1" applyAlignment="1" applyProtection="1">
      <alignment horizontal="center"/>
      <protection locked="0"/>
    </xf>
    <xf numFmtId="10" fontId="8" fillId="13" borderId="23" xfId="1" applyNumberFormat="1" applyFont="1" applyFill="1" applyBorder="1" applyProtection="1">
      <protection locked="0"/>
    </xf>
    <xf numFmtId="10" fontId="8" fillId="13" borderId="28" xfId="1" applyNumberFormat="1" applyFont="1" applyFill="1" applyBorder="1" applyProtection="1">
      <protection locked="0"/>
    </xf>
    <xf numFmtId="0" fontId="16" fillId="13" borderId="169" xfId="0" applyFont="1" applyFill="1" applyBorder="1" applyAlignment="1" applyProtection="1">
      <alignment horizontal="center" vertical="center" wrapText="1"/>
      <protection locked="0"/>
    </xf>
    <xf numFmtId="10" fontId="0" fillId="13" borderId="65" xfId="1" applyNumberFormat="1" applyFont="1" applyFill="1" applyBorder="1" applyProtection="1">
      <protection locked="0"/>
    </xf>
    <xf numFmtId="10" fontId="0" fillId="13" borderId="59" xfId="1" applyNumberFormat="1" applyFont="1" applyFill="1" applyBorder="1" applyProtection="1">
      <protection locked="0"/>
    </xf>
    <xf numFmtId="10" fontId="0" fillId="13" borderId="78" xfId="1" applyNumberFormat="1" applyFont="1" applyFill="1" applyBorder="1" applyProtection="1">
      <protection locked="0"/>
    </xf>
    <xf numFmtId="3" fontId="68" fillId="0" borderId="174" xfId="0" applyNumberFormat="1" applyFont="1" applyBorder="1" applyAlignment="1">
      <alignment horizontal="right" vertical="center"/>
    </xf>
    <xf numFmtId="3" fontId="0" fillId="0" borderId="174" xfId="0" applyNumberFormat="1" applyBorder="1" applyAlignment="1">
      <alignment horizontal="right" vertical="center"/>
    </xf>
    <xf numFmtId="0" fontId="5" fillId="11" borderId="47" xfId="0" applyFont="1" applyFill="1" applyBorder="1"/>
    <xf numFmtId="3" fontId="0" fillId="3" borderId="0" xfId="0" applyNumberFormat="1" applyFill="1" applyAlignment="1">
      <alignment horizontal="right" vertical="center"/>
    </xf>
    <xf numFmtId="10" fontId="0" fillId="3" borderId="0" xfId="1" applyNumberFormat="1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 wrapText="1"/>
    </xf>
    <xf numFmtId="0" fontId="5" fillId="5" borderId="38" xfId="4" applyFont="1" applyFill="1" applyBorder="1" applyAlignment="1">
      <alignment horizontal="center" vertical="center" wrapText="1"/>
    </xf>
    <xf numFmtId="49" fontId="3" fillId="0" borderId="178" xfId="0" applyNumberFormat="1" applyFont="1" applyBorder="1" applyAlignment="1">
      <alignment horizontal="center" vertical="center"/>
    </xf>
    <xf numFmtId="49" fontId="3" fillId="0" borderId="178" xfId="0" applyNumberFormat="1" applyFont="1" applyBorder="1" applyAlignment="1">
      <alignment horizontal="center" vertical="center" wrapText="1"/>
    </xf>
    <xf numFmtId="0" fontId="5" fillId="0" borderId="178" xfId="0" applyFont="1" applyBorder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 wrapText="1"/>
    </xf>
    <xf numFmtId="49" fontId="3" fillId="0" borderId="179" xfId="0" applyNumberFormat="1" applyFont="1" applyBorder="1" applyAlignment="1">
      <alignment horizontal="center" vertical="center"/>
    </xf>
    <xf numFmtId="0" fontId="0" fillId="0" borderId="174" xfId="0" applyBorder="1" applyAlignment="1">
      <alignment horizontal="center" vertical="center"/>
    </xf>
    <xf numFmtId="49" fontId="3" fillId="0" borderId="6" xfId="0" applyNumberFormat="1" applyFont="1" applyBorder="1" applyAlignment="1">
      <alignment horizontal="center" vertical="center"/>
    </xf>
    <xf numFmtId="0" fontId="17" fillId="0" borderId="178" xfId="0" applyFont="1" applyBorder="1" applyAlignment="1">
      <alignment horizontal="center" vertical="center"/>
    </xf>
    <xf numFmtId="0" fontId="0" fillId="3" borderId="4" xfId="0" applyFill="1" applyBorder="1"/>
    <xf numFmtId="10" fontId="0" fillId="13" borderId="0" xfId="1" applyNumberFormat="1" applyFont="1" applyFill="1" applyProtection="1">
      <protection locked="0"/>
    </xf>
    <xf numFmtId="171" fontId="0" fillId="13" borderId="0" xfId="0" applyNumberFormat="1" applyFill="1" applyProtection="1">
      <protection locked="0"/>
    </xf>
    <xf numFmtId="0" fontId="5" fillId="13" borderId="0" xfId="0" applyFont="1" applyFill="1" applyProtection="1">
      <protection locked="0"/>
    </xf>
    <xf numFmtId="10" fontId="5" fillId="13" borderId="0" xfId="1" applyNumberFormat="1" applyFont="1" applyFill="1" applyProtection="1">
      <protection locked="0"/>
    </xf>
    <xf numFmtId="10" fontId="0" fillId="3" borderId="0" xfId="1" applyNumberFormat="1" applyFont="1" applyFill="1" applyProtection="1">
      <protection locked="0"/>
    </xf>
    <xf numFmtId="10" fontId="5" fillId="3" borderId="0" xfId="1" applyNumberFormat="1" applyFont="1" applyFill="1" applyProtection="1">
      <protection locked="0"/>
    </xf>
    <xf numFmtId="49" fontId="5" fillId="5" borderId="43" xfId="4" applyNumberFormat="1" applyFont="1" applyFill="1" applyBorder="1" applyAlignment="1">
      <alignment horizontal="center" vertical="center" wrapText="1"/>
    </xf>
    <xf numFmtId="49" fontId="5" fillId="5" borderId="38" xfId="4" applyNumberFormat="1" applyFont="1" applyFill="1" applyBorder="1" applyAlignment="1">
      <alignment horizontal="center" vertical="center" wrapText="1"/>
    </xf>
    <xf numFmtId="164" fontId="71" fillId="23" borderId="85" xfId="2" applyNumberFormat="1" applyFont="1" applyFill="1" applyBorder="1" applyAlignment="1">
      <alignment vertical="center"/>
    </xf>
    <xf numFmtId="1" fontId="0" fillId="3" borderId="0" xfId="0" applyNumberFormat="1" applyFill="1" applyAlignment="1">
      <alignment horizontal="left"/>
    </xf>
    <xf numFmtId="0" fontId="72" fillId="0" borderId="0" xfId="0" applyFont="1" applyAlignment="1">
      <alignment vertical="center"/>
    </xf>
    <xf numFmtId="0" fontId="73" fillId="0" borderId="0" xfId="0" applyFont="1" applyAlignment="1">
      <alignment horizontal="left" vertical="center"/>
    </xf>
    <xf numFmtId="0" fontId="0" fillId="3" borderId="0" xfId="0" applyFill="1" applyAlignment="1">
      <alignment vertical="center" wrapText="1"/>
    </xf>
    <xf numFmtId="10" fontId="5" fillId="3" borderId="0" xfId="0" applyNumberFormat="1" applyFont="1" applyFill="1" applyAlignment="1">
      <alignment vertical="center" wrapText="1"/>
    </xf>
    <xf numFmtId="0" fontId="5" fillId="3" borderId="0" xfId="0" applyFont="1" applyFill="1" applyAlignment="1">
      <alignment horizontal="left" vertical="center" indent="1"/>
    </xf>
    <xf numFmtId="10" fontId="5" fillId="3" borderId="0" xfId="0" applyNumberFormat="1" applyFont="1" applyFill="1" applyAlignment="1">
      <alignment horizontal="right" vertical="center" wrapText="1"/>
    </xf>
    <xf numFmtId="17" fontId="0" fillId="3" borderId="0" xfId="0" applyNumberFormat="1" applyFill="1"/>
    <xf numFmtId="0" fontId="5" fillId="3" borderId="0" xfId="0" applyFont="1" applyFill="1" applyAlignment="1" applyProtection="1">
      <alignment horizontal="center" vertical="center"/>
      <protection hidden="1"/>
    </xf>
    <xf numFmtId="49" fontId="26" fillId="3" borderId="0" xfId="0" applyNumberFormat="1" applyFont="1" applyFill="1"/>
    <xf numFmtId="0" fontId="74" fillId="3" borderId="0" xfId="0" applyFont="1" applyFill="1"/>
    <xf numFmtId="0" fontId="10" fillId="3" borderId="29" xfId="0" applyFont="1" applyFill="1" applyBorder="1" applyAlignment="1">
      <alignment vertical="center"/>
    </xf>
    <xf numFmtId="3" fontId="0" fillId="6" borderId="81" xfId="0" applyNumberFormat="1" applyFill="1" applyBorder="1" applyAlignment="1" applyProtection="1">
      <alignment vertical="center"/>
      <protection locked="0"/>
    </xf>
    <xf numFmtId="3" fontId="5" fillId="6" borderId="13" xfId="0" applyNumberFormat="1" applyFont="1" applyFill="1" applyBorder="1" applyAlignment="1" applyProtection="1">
      <alignment vertical="center"/>
      <protection locked="0"/>
    </xf>
    <xf numFmtId="0" fontId="0" fillId="3" borderId="21" xfId="0" applyFill="1" applyBorder="1" applyAlignment="1">
      <alignment vertical="center"/>
    </xf>
    <xf numFmtId="0" fontId="3" fillId="7" borderId="47" xfId="0" applyFont="1" applyFill="1" applyBorder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10" fontId="19" fillId="7" borderId="0" xfId="0" applyNumberFormat="1" applyFont="1" applyFill="1"/>
    <xf numFmtId="0" fontId="19" fillId="7" borderId="0" xfId="0" applyFont="1" applyFill="1"/>
    <xf numFmtId="0" fontId="0" fillId="7" borderId="47" xfId="0" applyFill="1" applyBorder="1"/>
    <xf numFmtId="17" fontId="0" fillId="7" borderId="47" xfId="0" applyNumberFormat="1" applyFill="1" applyBorder="1"/>
    <xf numFmtId="164" fontId="0" fillId="7" borderId="47" xfId="2" applyNumberFormat="1" applyFont="1" applyFill="1" applyBorder="1"/>
    <xf numFmtId="0" fontId="5" fillId="7" borderId="0" xfId="0" applyFont="1" applyFill="1"/>
    <xf numFmtId="17" fontId="0" fillId="7" borderId="0" xfId="0" applyNumberFormat="1" applyFill="1"/>
    <xf numFmtId="0" fontId="0" fillId="7" borderId="0" xfId="0" applyFill="1"/>
    <xf numFmtId="1" fontId="0" fillId="7" borderId="0" xfId="0" applyNumberFormat="1" applyFill="1"/>
    <xf numFmtId="0" fontId="75" fillId="7" borderId="0" xfId="0" applyFont="1" applyFill="1"/>
    <xf numFmtId="49" fontId="15" fillId="7" borderId="47" xfId="0" applyNumberFormat="1" applyFont="1" applyFill="1" applyBorder="1" applyAlignment="1">
      <alignment horizontal="center" vertical="center" wrapText="1"/>
    </xf>
    <xf numFmtId="0" fontId="15" fillId="7" borderId="47" xfId="0" applyFont="1" applyFill="1" applyBorder="1" applyAlignment="1">
      <alignment horizontal="center" vertical="center"/>
    </xf>
    <xf numFmtId="49" fontId="15" fillId="7" borderId="37" xfId="0" applyNumberFormat="1" applyFont="1" applyFill="1" applyBorder="1" applyAlignment="1">
      <alignment horizontal="center" vertical="center" wrapText="1"/>
    </xf>
    <xf numFmtId="49" fontId="15" fillId="6" borderId="47" xfId="0" applyNumberFormat="1" applyFont="1" applyFill="1" applyBorder="1" applyAlignment="1">
      <alignment horizontal="center" vertical="center" wrapText="1"/>
    </xf>
    <xf numFmtId="49" fontId="13" fillId="25" borderId="55" xfId="0" applyNumberFormat="1" applyFont="1" applyFill="1" applyBorder="1" applyAlignment="1" applyProtection="1">
      <alignment horizontal="center" vertical="center"/>
      <protection locked="0"/>
    </xf>
    <xf numFmtId="3" fontId="13" fillId="25" borderId="55" xfId="0" applyNumberFormat="1" applyFont="1" applyFill="1" applyBorder="1" applyAlignment="1" applyProtection="1">
      <alignment horizontal="center" vertical="center" wrapText="1"/>
      <protection locked="0"/>
    </xf>
    <xf numFmtId="0" fontId="28" fillId="26" borderId="11" xfId="0" applyFont="1" applyFill="1" applyBorder="1" applyAlignment="1" applyProtection="1">
      <alignment horizontal="center" vertical="center"/>
      <protection locked="0"/>
    </xf>
    <xf numFmtId="0" fontId="28" fillId="4" borderId="11" xfId="0" applyFont="1" applyFill="1" applyBorder="1" applyAlignment="1" applyProtection="1">
      <alignment horizontal="center" vertical="center" wrapText="1"/>
      <protection locked="0"/>
    </xf>
    <xf numFmtId="0" fontId="28" fillId="26" borderId="18" xfId="0" applyFont="1" applyFill="1" applyBorder="1" applyAlignment="1" applyProtection="1">
      <alignment horizontal="center" vertical="center" wrapText="1"/>
      <protection locked="0"/>
    </xf>
    <xf numFmtId="0" fontId="26" fillId="26" borderId="0" xfId="0" applyFont="1" applyFill="1"/>
    <xf numFmtId="0" fontId="13" fillId="27" borderId="62" xfId="0" applyFont="1" applyFill="1" applyBorder="1" applyAlignment="1" applyProtection="1">
      <alignment horizontal="center" vertical="center" wrapText="1"/>
      <protection locked="0"/>
    </xf>
    <xf numFmtId="49" fontId="13" fillId="27" borderId="55" xfId="0" applyNumberFormat="1" applyFont="1" applyFill="1" applyBorder="1" applyAlignment="1" applyProtection="1">
      <alignment horizontal="center" vertical="center" wrapText="1"/>
      <protection locked="0"/>
    </xf>
    <xf numFmtId="0" fontId="13" fillId="27" borderId="55" xfId="0" applyFont="1" applyFill="1" applyBorder="1" applyAlignment="1" applyProtection="1">
      <alignment horizontal="center" vertical="center" wrapText="1"/>
      <protection locked="0"/>
    </xf>
    <xf numFmtId="0" fontId="13" fillId="27" borderId="72" xfId="0" applyFont="1" applyFill="1" applyBorder="1" applyAlignment="1" applyProtection="1">
      <alignment horizontal="center" vertical="center" wrapText="1"/>
      <protection locked="0"/>
    </xf>
    <xf numFmtId="0" fontId="13" fillId="28" borderId="72" xfId="0" applyFont="1" applyFill="1" applyBorder="1" applyAlignment="1" applyProtection="1">
      <alignment horizontal="center" vertical="center" wrapText="1"/>
      <protection locked="0"/>
    </xf>
    <xf numFmtId="3" fontId="10" fillId="30" borderId="58" xfId="0" applyNumberFormat="1" applyFont="1" applyFill="1" applyBorder="1" applyProtection="1">
      <protection locked="0"/>
    </xf>
    <xf numFmtId="3" fontId="10" fillId="30" borderId="56" xfId="0" applyNumberFormat="1" applyFont="1" applyFill="1" applyBorder="1" applyProtection="1">
      <protection locked="0"/>
    </xf>
    <xf numFmtId="3" fontId="10" fillId="30" borderId="61" xfId="0" applyNumberFormat="1" applyFont="1" applyFill="1" applyBorder="1" applyProtection="1">
      <protection locked="0"/>
    </xf>
    <xf numFmtId="0" fontId="4" fillId="5" borderId="47" xfId="0" applyFont="1" applyFill="1" applyBorder="1" applyAlignment="1">
      <alignment horizontal="center" vertical="center"/>
    </xf>
    <xf numFmtId="0" fontId="4" fillId="5" borderId="82" xfId="0" applyFont="1" applyFill="1" applyBorder="1" applyAlignment="1">
      <alignment horizontal="center" vertical="center"/>
    </xf>
    <xf numFmtId="0" fontId="28" fillId="7" borderId="47" xfId="0" applyFont="1" applyFill="1" applyBorder="1" applyAlignment="1">
      <alignment horizontal="center" vertical="center"/>
    </xf>
    <xf numFmtId="0" fontId="28" fillId="7" borderId="82" xfId="0" applyFont="1" applyFill="1" applyBorder="1" applyAlignment="1">
      <alignment horizontal="center" vertical="center"/>
    </xf>
    <xf numFmtId="3" fontId="13" fillId="0" borderId="181" xfId="0" applyNumberFormat="1" applyFont="1" applyBorder="1" applyAlignment="1" applyProtection="1">
      <alignment horizontal="right" vertical="center"/>
      <protection locked="0"/>
    </xf>
    <xf numFmtId="3" fontId="13" fillId="0" borderId="182" xfId="0" applyNumberFormat="1" applyFont="1" applyBorder="1" applyAlignment="1" applyProtection="1">
      <alignment horizontal="right" vertical="center"/>
      <protection locked="0"/>
    </xf>
    <xf numFmtId="3" fontId="13" fillId="0" borderId="181" xfId="0" applyNumberFormat="1" applyFont="1" applyBorder="1" applyAlignment="1" applyProtection="1">
      <alignment vertical="center"/>
      <protection locked="0"/>
    </xf>
    <xf numFmtId="3" fontId="13" fillId="0" borderId="182" xfId="0" applyNumberFormat="1" applyFont="1" applyBorder="1" applyAlignment="1" applyProtection="1">
      <alignment vertical="center"/>
      <protection locked="0"/>
    </xf>
    <xf numFmtId="10" fontId="0" fillId="13" borderId="0" xfId="0" applyNumberFormat="1" applyFill="1" applyProtection="1">
      <protection locked="0"/>
    </xf>
    <xf numFmtId="164" fontId="0" fillId="11" borderId="0" xfId="2" applyNumberFormat="1" applyFont="1" applyFill="1"/>
    <xf numFmtId="10" fontId="0" fillId="11" borderId="0" xfId="0" applyNumberFormat="1" applyFill="1"/>
    <xf numFmtId="9" fontId="0" fillId="11" borderId="0" xfId="0" applyNumberFormat="1" applyFill="1"/>
    <xf numFmtId="168" fontId="0" fillId="11" borderId="0" xfId="2" applyNumberFormat="1" applyFont="1" applyFill="1"/>
    <xf numFmtId="3" fontId="0" fillId="11" borderId="0" xfId="0" applyNumberFormat="1" applyFill="1"/>
    <xf numFmtId="164" fontId="0" fillId="11" borderId="0" xfId="0" applyNumberFormat="1" applyFill="1"/>
    <xf numFmtId="3" fontId="5" fillId="5" borderId="27" xfId="0" applyNumberFormat="1" applyFont="1" applyFill="1" applyBorder="1" applyAlignment="1">
      <alignment vertical="center"/>
    </xf>
    <xf numFmtId="10" fontId="5" fillId="5" borderId="27" xfId="1" applyNumberFormat="1" applyFont="1" applyFill="1" applyBorder="1" applyAlignment="1">
      <alignment vertical="center"/>
    </xf>
    <xf numFmtId="49" fontId="77" fillId="2" borderId="4" xfId="0" applyNumberFormat="1" applyFont="1" applyFill="1" applyBorder="1" applyAlignment="1">
      <alignment horizontal="center" vertical="center" wrapText="1"/>
    </xf>
    <xf numFmtId="3" fontId="78" fillId="0" borderId="174" xfId="0" applyNumberFormat="1" applyFont="1" applyBorder="1" applyAlignment="1">
      <alignment horizontal="right" vertical="center"/>
    </xf>
    <xf numFmtId="3" fontId="78" fillId="0" borderId="9" xfId="0" applyNumberFormat="1" applyFont="1" applyBorder="1" applyAlignment="1">
      <alignment horizontal="right" vertical="center"/>
    </xf>
    <xf numFmtId="172" fontId="2" fillId="8" borderId="154" xfId="0" applyNumberFormat="1" applyFont="1" applyFill="1" applyBorder="1"/>
    <xf numFmtId="0" fontId="79" fillId="0" borderId="0" xfId="0" applyFont="1"/>
    <xf numFmtId="0" fontId="2" fillId="8" borderId="47" xfId="0" applyFont="1" applyFill="1" applyBorder="1"/>
    <xf numFmtId="14" fontId="2" fillId="8" borderId="47" xfId="0" applyNumberFormat="1" applyFont="1" applyFill="1" applyBorder="1"/>
    <xf numFmtId="0" fontId="2" fillId="8" borderId="153" xfId="0" applyFont="1" applyFill="1" applyBorder="1"/>
    <xf numFmtId="0" fontId="2" fillId="2" borderId="155" xfId="0" applyFont="1" applyFill="1" applyBorder="1"/>
    <xf numFmtId="0" fontId="2" fillId="2" borderId="156" xfId="0" applyFont="1" applyFill="1" applyBorder="1"/>
    <xf numFmtId="0" fontId="2" fillId="3" borderId="81" xfId="0" applyFont="1" applyFill="1" applyBorder="1"/>
    <xf numFmtId="0" fontId="2" fillId="0" borderId="47" xfId="0" applyFont="1" applyBorder="1"/>
    <xf numFmtId="3" fontId="2" fillId="0" borderId="47" xfId="0" applyNumberFormat="1" applyFont="1" applyBorder="1"/>
    <xf numFmtId="9" fontId="2" fillId="0" borderId="47" xfId="0" applyNumberFormat="1" applyFont="1" applyBorder="1"/>
    <xf numFmtId="9" fontId="2" fillId="0" borderId="47" xfId="1" applyFont="1" applyBorder="1"/>
    <xf numFmtId="3" fontId="2" fillId="24" borderId="47" xfId="1" applyNumberFormat="1" applyFont="1" applyFill="1" applyBorder="1"/>
    <xf numFmtId="17" fontId="2" fillId="0" borderId="47" xfId="1" applyNumberFormat="1" applyFont="1" applyBorder="1"/>
    <xf numFmtId="0" fontId="2" fillId="2" borderId="47" xfId="0" applyFont="1" applyFill="1" applyBorder="1"/>
    <xf numFmtId="0" fontId="2" fillId="3" borderId="47" xfId="0" applyFont="1" applyFill="1" applyBorder="1"/>
    <xf numFmtId="49" fontId="2" fillId="0" borderId="37" xfId="0" applyNumberFormat="1" applyFont="1" applyBorder="1"/>
    <xf numFmtId="3" fontId="2" fillId="0" borderId="47" xfId="1" applyNumberFormat="1" applyFont="1" applyBorder="1"/>
    <xf numFmtId="10" fontId="2" fillId="0" borderId="47" xfId="1" applyNumberFormat="1" applyFont="1" applyBorder="1"/>
    <xf numFmtId="49" fontId="2" fillId="2" borderId="37" xfId="0" applyNumberFormat="1" applyFont="1" applyFill="1" applyBorder="1"/>
    <xf numFmtId="3" fontId="2" fillId="2" borderId="47" xfId="0" applyNumberFormat="1" applyFont="1" applyFill="1" applyBorder="1"/>
    <xf numFmtId="10" fontId="2" fillId="2" borderId="47" xfId="1" applyNumberFormat="1" applyFont="1" applyFill="1" applyBorder="1"/>
    <xf numFmtId="9" fontId="2" fillId="2" borderId="47" xfId="1" applyFont="1" applyFill="1" applyBorder="1"/>
    <xf numFmtId="3" fontId="2" fillId="2" borderId="47" xfId="1" applyNumberFormat="1" applyFont="1" applyFill="1" applyBorder="1"/>
    <xf numFmtId="0" fontId="2" fillId="2" borderId="37" xfId="0" applyFont="1" applyFill="1" applyBorder="1"/>
    <xf numFmtId="0" fontId="2" fillId="3" borderId="0" xfId="0" applyFont="1" applyFill="1"/>
    <xf numFmtId="49" fontId="2" fillId="13" borderId="0" xfId="0" applyNumberFormat="1" applyFont="1" applyFill="1" applyAlignment="1" applyProtection="1">
      <alignment horizontal="center" vertical="center" wrapText="1"/>
      <protection locked="0"/>
    </xf>
    <xf numFmtId="0" fontId="2" fillId="0" borderId="65" xfId="0" applyFont="1" applyBorder="1" applyAlignment="1" applyProtection="1">
      <alignment vertical="center" wrapText="1"/>
      <protection locked="0"/>
    </xf>
    <xf numFmtId="0" fontId="2" fillId="13" borderId="56" xfId="0" applyFont="1" applyFill="1" applyBorder="1" applyAlignment="1" applyProtection="1">
      <alignment vertical="center" wrapText="1"/>
      <protection locked="0"/>
    </xf>
    <xf numFmtId="3" fontId="2" fillId="29" borderId="66" xfId="0" applyNumberFormat="1" applyFont="1" applyFill="1" applyBorder="1" applyAlignment="1" applyProtection="1">
      <alignment vertical="center"/>
      <protection locked="0"/>
    </xf>
    <xf numFmtId="3" fontId="2" fillId="13" borderId="54" xfId="0" applyNumberFormat="1" applyFont="1" applyFill="1" applyBorder="1" applyAlignment="1" applyProtection="1">
      <alignment vertical="center"/>
      <protection locked="0"/>
    </xf>
    <xf numFmtId="0" fontId="2" fillId="0" borderId="54" xfId="0" applyFont="1" applyBorder="1" applyAlignment="1" applyProtection="1">
      <alignment vertical="center" wrapText="1"/>
      <protection locked="0"/>
    </xf>
    <xf numFmtId="3" fontId="2" fillId="29" borderId="67" xfId="0" applyNumberFormat="1" applyFont="1" applyFill="1" applyBorder="1" applyAlignment="1" applyProtection="1">
      <alignment vertical="center"/>
      <protection locked="0"/>
    </xf>
    <xf numFmtId="0" fontId="2" fillId="0" borderId="68" xfId="0" applyFont="1" applyBorder="1" applyAlignment="1" applyProtection="1">
      <alignment vertical="center" wrapText="1"/>
      <protection locked="0"/>
    </xf>
    <xf numFmtId="3" fontId="2" fillId="13" borderId="56" xfId="0" applyNumberFormat="1" applyFont="1" applyFill="1" applyBorder="1" applyAlignment="1" applyProtection="1">
      <alignment vertical="center"/>
      <protection locked="0"/>
    </xf>
    <xf numFmtId="0" fontId="2" fillId="0" borderId="180" xfId="0" applyFont="1" applyBorder="1" applyAlignment="1" applyProtection="1">
      <alignment vertical="center" wrapText="1"/>
      <protection locked="0"/>
    </xf>
    <xf numFmtId="0" fontId="2" fillId="0" borderId="69" xfId="0" applyFont="1" applyBorder="1" applyAlignment="1" applyProtection="1">
      <alignment vertical="center" wrapText="1"/>
      <protection locked="0"/>
    </xf>
    <xf numFmtId="3" fontId="2" fillId="29" borderId="70" xfId="0" applyNumberFormat="1" applyFont="1" applyFill="1" applyBorder="1" applyAlignment="1" applyProtection="1">
      <alignment vertical="center"/>
      <protection locked="0"/>
    </xf>
    <xf numFmtId="0" fontId="2" fillId="13" borderId="0" xfId="0" applyFont="1" applyFill="1" applyAlignment="1" applyProtection="1">
      <alignment vertical="center" wrapText="1"/>
      <protection locked="0"/>
    </xf>
    <xf numFmtId="0" fontId="2" fillId="13" borderId="63" xfId="0" applyFont="1" applyFill="1" applyBorder="1" applyAlignment="1" applyProtection="1">
      <alignment vertical="center"/>
      <protection locked="0"/>
    </xf>
    <xf numFmtId="0" fontId="2" fillId="13" borderId="0" xfId="0" applyFont="1" applyFill="1" applyAlignment="1" applyProtection="1">
      <alignment vertical="center"/>
      <protection locked="0"/>
    </xf>
    <xf numFmtId="3" fontId="2" fillId="13" borderId="0" xfId="0" applyNumberFormat="1" applyFont="1" applyFill="1" applyAlignment="1" applyProtection="1">
      <alignment vertical="center"/>
      <protection locked="0"/>
    </xf>
    <xf numFmtId="0" fontId="2" fillId="0" borderId="73" xfId="0" applyFont="1" applyBorder="1" applyAlignment="1" applyProtection="1">
      <alignment vertical="center" wrapText="1"/>
      <protection locked="0"/>
    </xf>
    <xf numFmtId="3" fontId="2" fillId="29" borderId="58" xfId="0" applyNumberFormat="1" applyFont="1" applyFill="1" applyBorder="1" applyAlignment="1" applyProtection="1">
      <alignment vertical="center"/>
      <protection locked="0"/>
    </xf>
    <xf numFmtId="3" fontId="2" fillId="13" borderId="64" xfId="0" applyNumberFormat="1" applyFont="1" applyFill="1" applyBorder="1" applyAlignment="1" applyProtection="1">
      <alignment vertical="center"/>
      <protection locked="0"/>
    </xf>
    <xf numFmtId="3" fontId="2" fillId="29" borderId="0" xfId="0" applyNumberFormat="1" applyFont="1" applyFill="1" applyAlignment="1" applyProtection="1">
      <alignment vertical="center"/>
      <protection locked="0"/>
    </xf>
    <xf numFmtId="3" fontId="2" fillId="29" borderId="56" xfId="0" applyNumberFormat="1" applyFont="1" applyFill="1" applyBorder="1" applyAlignment="1" applyProtection="1">
      <alignment vertical="center"/>
      <protection locked="0"/>
    </xf>
    <xf numFmtId="3" fontId="2" fillId="29" borderId="61" xfId="0" applyNumberFormat="1" applyFont="1" applyFill="1" applyBorder="1" applyAlignment="1" applyProtection="1">
      <alignment vertical="center"/>
      <protection locked="0"/>
    </xf>
    <xf numFmtId="0" fontId="2" fillId="13" borderId="74" xfId="0" applyFont="1" applyFill="1" applyBorder="1" applyAlignment="1" applyProtection="1">
      <alignment vertical="center" wrapText="1"/>
      <protection locked="0"/>
    </xf>
    <xf numFmtId="0" fontId="2" fillId="0" borderId="75" xfId="0" applyFont="1" applyBorder="1" applyAlignment="1" applyProtection="1">
      <alignment vertical="center" wrapText="1"/>
      <protection locked="0"/>
    </xf>
    <xf numFmtId="0" fontId="2" fillId="0" borderId="76" xfId="0" applyFont="1" applyBorder="1" applyAlignment="1" applyProtection="1">
      <alignment vertical="center" wrapText="1"/>
      <protection locked="0"/>
    </xf>
    <xf numFmtId="3" fontId="2" fillId="29" borderId="53" xfId="0" applyNumberFormat="1" applyFont="1" applyFill="1" applyBorder="1" applyAlignment="1" applyProtection="1">
      <alignment vertical="center"/>
      <protection locked="0"/>
    </xf>
    <xf numFmtId="49" fontId="2" fillId="13" borderId="56" xfId="0" applyNumberFormat="1" applyFont="1" applyFill="1" applyBorder="1" applyAlignment="1" applyProtection="1">
      <alignment vertical="center" wrapText="1"/>
      <protection locked="0"/>
    </xf>
    <xf numFmtId="0" fontId="2" fillId="13" borderId="0" xfId="0" applyFont="1" applyFill="1" applyProtection="1">
      <protection locked="0"/>
    </xf>
    <xf numFmtId="3" fontId="2" fillId="15" borderId="58" xfId="0" applyNumberFormat="1" applyFont="1" applyFill="1" applyBorder="1" applyAlignment="1" applyProtection="1">
      <alignment vertical="center"/>
      <protection locked="0"/>
    </xf>
    <xf numFmtId="3" fontId="2" fillId="15" borderId="77" xfId="0" applyNumberFormat="1" applyFont="1" applyFill="1" applyBorder="1" applyAlignment="1" applyProtection="1">
      <alignment vertical="center"/>
      <protection locked="0"/>
    </xf>
    <xf numFmtId="0" fontId="2" fillId="0" borderId="24" xfId="3" applyFont="1" applyBorder="1" applyAlignment="1" applyProtection="1">
      <alignment vertical="center" wrapText="1"/>
      <protection locked="0"/>
    </xf>
    <xf numFmtId="3" fontId="2" fillId="15" borderId="0" xfId="0" applyNumberFormat="1" applyFont="1" applyFill="1" applyAlignment="1" applyProtection="1">
      <alignment vertical="center"/>
      <protection locked="0"/>
    </xf>
    <xf numFmtId="3" fontId="2" fillId="15" borderId="56" xfId="0" applyNumberFormat="1" applyFont="1" applyFill="1" applyBorder="1" applyAlignment="1" applyProtection="1">
      <alignment vertical="center"/>
      <protection locked="0"/>
    </xf>
    <xf numFmtId="3" fontId="2" fillId="15" borderId="64" xfId="0" applyNumberFormat="1" applyFont="1" applyFill="1" applyBorder="1" applyAlignment="1" applyProtection="1">
      <alignment vertical="center"/>
      <protection locked="0"/>
    </xf>
    <xf numFmtId="3" fontId="2" fillId="15" borderId="53" xfId="0" applyNumberFormat="1" applyFont="1" applyFill="1" applyBorder="1" applyAlignment="1" applyProtection="1">
      <alignment vertical="center"/>
      <protection locked="0"/>
    </xf>
    <xf numFmtId="3" fontId="2" fillId="15" borderId="61" xfId="0" applyNumberFormat="1" applyFont="1" applyFill="1" applyBorder="1" applyAlignment="1" applyProtection="1">
      <alignment vertical="center"/>
      <protection locked="0"/>
    </xf>
    <xf numFmtId="3" fontId="2" fillId="15" borderId="79" xfId="0" applyNumberFormat="1" applyFont="1" applyFill="1" applyBorder="1" applyAlignment="1" applyProtection="1">
      <alignment vertical="center"/>
      <protection locked="0"/>
    </xf>
    <xf numFmtId="3" fontId="0" fillId="3" borderId="0" xfId="0" applyNumberFormat="1" applyFill="1" applyAlignment="1">
      <alignment horizontal="left" vertical="center"/>
    </xf>
    <xf numFmtId="164" fontId="0" fillId="3" borderId="0" xfId="0" applyNumberFormat="1" applyFill="1"/>
    <xf numFmtId="3" fontId="13" fillId="13" borderId="48" xfId="0" applyNumberFormat="1" applyFont="1" applyFill="1" applyBorder="1" applyAlignment="1" applyProtection="1">
      <alignment horizontal="center"/>
      <protection locked="0"/>
    </xf>
    <xf numFmtId="49" fontId="27" fillId="13" borderId="53" xfId="0" applyNumberFormat="1" applyFont="1" applyFill="1" applyBorder="1" applyAlignment="1" applyProtection="1">
      <alignment horizontal="center" vertical="center" wrapText="1"/>
      <protection locked="0"/>
    </xf>
    <xf numFmtId="49" fontId="22" fillId="13" borderId="13" xfId="0" applyNumberFormat="1" applyFont="1" applyFill="1" applyBorder="1" applyAlignment="1" applyProtection="1">
      <alignment horizontal="center" vertical="center" wrapText="1"/>
      <protection locked="0"/>
    </xf>
    <xf numFmtId="49" fontId="22" fillId="13" borderId="7" xfId="0" applyNumberFormat="1" applyFont="1" applyFill="1" applyBorder="1" applyAlignment="1" applyProtection="1">
      <alignment horizontal="center" vertical="center"/>
      <protection locked="0"/>
    </xf>
    <xf numFmtId="49" fontId="61" fillId="21" borderId="47" xfId="0" applyNumberFormat="1" applyFont="1" applyFill="1" applyBorder="1" applyAlignment="1">
      <alignment horizontal="center" wrapText="1"/>
    </xf>
    <xf numFmtId="0" fontId="3" fillId="8" borderId="47" xfId="0" applyFont="1" applyFill="1" applyBorder="1" applyAlignment="1">
      <alignment horizontal="left" vertical="center" wrapText="1"/>
    </xf>
    <xf numFmtId="0" fontId="15" fillId="7" borderId="31" xfId="0" applyFont="1" applyFill="1" applyBorder="1" applyAlignment="1">
      <alignment horizontal="center" vertical="center"/>
    </xf>
    <xf numFmtId="0" fontId="15" fillId="7" borderId="13" xfId="0" applyFont="1" applyFill="1" applyBorder="1" applyAlignment="1">
      <alignment horizontal="center" vertical="center"/>
    </xf>
    <xf numFmtId="0" fontId="15" fillId="7" borderId="27" xfId="0" applyFont="1" applyFill="1" applyBorder="1" applyAlignment="1">
      <alignment horizontal="center" vertical="center"/>
    </xf>
    <xf numFmtId="0" fontId="15" fillId="7" borderId="32" xfId="0" applyFont="1" applyFill="1" applyBorder="1" applyAlignment="1">
      <alignment horizontal="center" vertical="center"/>
    </xf>
    <xf numFmtId="0" fontId="15" fillId="7" borderId="14" xfId="0" applyFont="1" applyFill="1" applyBorder="1" applyAlignment="1">
      <alignment horizontal="center" vertical="center"/>
    </xf>
    <xf numFmtId="0" fontId="15" fillId="7" borderId="12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2" fillId="10" borderId="32" xfId="0" applyFont="1" applyFill="1" applyBorder="1" applyAlignment="1">
      <alignment horizontal="center" vertical="center"/>
    </xf>
    <xf numFmtId="0" fontId="12" fillId="10" borderId="14" xfId="0" applyFont="1" applyFill="1" applyBorder="1" applyAlignment="1">
      <alignment horizontal="center" vertical="center"/>
    </xf>
    <xf numFmtId="0" fontId="12" fillId="10" borderId="12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9" fillId="5" borderId="23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  <xf numFmtId="0" fontId="9" fillId="5" borderId="31" xfId="0" applyFont="1" applyFill="1" applyBorder="1" applyAlignment="1">
      <alignment horizontal="center" vertical="center"/>
    </xf>
    <xf numFmtId="0" fontId="9" fillId="5" borderId="28" xfId="0" applyFont="1" applyFill="1" applyBorder="1" applyAlignment="1">
      <alignment horizontal="center" vertical="center"/>
    </xf>
    <xf numFmtId="49" fontId="76" fillId="4" borderId="50" xfId="0" applyNumberFormat="1" applyFont="1" applyFill="1" applyBorder="1" applyAlignment="1">
      <alignment horizontal="center" wrapText="1"/>
    </xf>
    <xf numFmtId="49" fontId="76" fillId="4" borderId="8" xfId="0" applyNumberFormat="1" applyFont="1" applyFill="1" applyBorder="1" applyAlignment="1">
      <alignment horizontal="center" wrapText="1"/>
    </xf>
    <xf numFmtId="49" fontId="76" fillId="4" borderId="37" xfId="0" applyNumberFormat="1" applyFont="1" applyFill="1" applyBorder="1" applyAlignment="1">
      <alignment horizontal="center" wrapText="1"/>
    </xf>
    <xf numFmtId="0" fontId="5" fillId="0" borderId="0" xfId="0" applyFont="1" applyAlignment="1">
      <alignment horizontal="center" vertical="center"/>
    </xf>
    <xf numFmtId="0" fontId="0" fillId="3" borderId="47" xfId="0" applyFill="1" applyBorder="1" applyAlignment="1">
      <alignment horizontal="center"/>
    </xf>
    <xf numFmtId="0" fontId="26" fillId="17" borderId="159" xfId="0" applyFont="1" applyFill="1" applyBorder="1" applyAlignment="1">
      <alignment horizontal="center" vertical="center"/>
    </xf>
    <xf numFmtId="0" fontId="26" fillId="17" borderId="7" xfId="0" applyFont="1" applyFill="1" applyBorder="1" applyAlignment="1">
      <alignment horizontal="center" vertical="center"/>
    </xf>
    <xf numFmtId="0" fontId="0" fillId="3" borderId="159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9" fillId="3" borderId="51" xfId="0" applyFont="1" applyFill="1" applyBorder="1" applyAlignment="1">
      <alignment horizontal="center" vertical="center"/>
    </xf>
    <xf numFmtId="0" fontId="9" fillId="3" borderId="5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1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4" fillId="7" borderId="5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49" fontId="5" fillId="5" borderId="10" xfId="4" applyNumberFormat="1" applyFont="1" applyFill="1" applyBorder="1" applyAlignment="1">
      <alignment horizontal="center" vertical="center" wrapText="1"/>
    </xf>
    <xf numFmtId="49" fontId="5" fillId="5" borderId="37" xfId="4" applyNumberFormat="1" applyFont="1" applyFill="1" applyBorder="1" applyAlignment="1">
      <alignment horizontal="center" vertical="center" wrapText="1"/>
    </xf>
    <xf numFmtId="10" fontId="5" fillId="5" borderId="172" xfId="1" applyNumberFormat="1" applyFont="1" applyFill="1" applyBorder="1" applyAlignment="1">
      <alignment horizontal="center" vertical="center"/>
    </xf>
    <xf numFmtId="10" fontId="5" fillId="5" borderId="173" xfId="1" applyNumberFormat="1" applyFont="1" applyFill="1" applyBorder="1" applyAlignment="1">
      <alignment horizontal="center" vertical="center"/>
    </xf>
    <xf numFmtId="10" fontId="5" fillId="5" borderId="175" xfId="1" applyNumberFormat="1" applyFont="1" applyFill="1" applyBorder="1" applyAlignment="1">
      <alignment horizontal="center" vertical="center"/>
    </xf>
    <xf numFmtId="10" fontId="5" fillId="5" borderId="21" xfId="1" applyNumberFormat="1" applyFont="1" applyFill="1" applyBorder="1" applyAlignment="1">
      <alignment horizontal="center" vertical="center"/>
    </xf>
    <xf numFmtId="10" fontId="5" fillId="5" borderId="0" xfId="1" applyNumberFormat="1" applyFont="1" applyFill="1" applyBorder="1" applyAlignment="1">
      <alignment horizontal="center" vertical="center"/>
    </xf>
    <xf numFmtId="10" fontId="5" fillId="5" borderId="20" xfId="1" applyNumberFormat="1" applyFont="1" applyFill="1" applyBorder="1" applyAlignment="1">
      <alignment horizontal="center" vertical="center"/>
    </xf>
    <xf numFmtId="10" fontId="5" fillId="5" borderId="176" xfId="1" applyNumberFormat="1" applyFont="1" applyFill="1" applyBorder="1" applyAlignment="1">
      <alignment horizontal="center" vertical="center"/>
    </xf>
    <xf numFmtId="10" fontId="5" fillId="5" borderId="36" xfId="1" applyNumberFormat="1" applyFont="1" applyFill="1" applyBorder="1" applyAlignment="1">
      <alignment horizontal="center" vertical="center"/>
    </xf>
    <xf numFmtId="10" fontId="5" fillId="5" borderId="177" xfId="1" applyNumberFormat="1" applyFont="1" applyFill="1" applyBorder="1" applyAlignment="1">
      <alignment horizontal="center" vertical="center"/>
    </xf>
    <xf numFmtId="49" fontId="5" fillId="5" borderId="41" xfId="0" applyNumberFormat="1" applyFont="1" applyFill="1" applyBorder="1" applyAlignment="1">
      <alignment horizontal="center" vertical="center" wrapText="1"/>
    </xf>
    <xf numFmtId="49" fontId="5" fillId="5" borderId="42" xfId="0" applyNumberFormat="1" applyFont="1" applyFill="1" applyBorder="1" applyAlignment="1">
      <alignment horizontal="center" vertical="center" wrapText="1"/>
    </xf>
    <xf numFmtId="49" fontId="70" fillId="23" borderId="41" xfId="0" applyNumberFormat="1" applyFont="1" applyFill="1" applyBorder="1" applyAlignment="1">
      <alignment horizontal="center" vertical="center" wrapText="1"/>
    </xf>
    <xf numFmtId="49" fontId="70" fillId="23" borderId="42" xfId="0" applyNumberFormat="1" applyFont="1" applyFill="1" applyBorder="1" applyAlignment="1">
      <alignment horizontal="center" vertical="center" wrapText="1"/>
    </xf>
    <xf numFmtId="49" fontId="5" fillId="5" borderId="34" xfId="0" applyNumberFormat="1" applyFont="1" applyFill="1" applyBorder="1" applyAlignment="1">
      <alignment horizontal="center" vertical="center" wrapText="1"/>
    </xf>
    <xf numFmtId="49" fontId="5" fillId="5" borderId="94" xfId="0" applyNumberFormat="1" applyFont="1" applyFill="1" applyBorder="1" applyAlignment="1">
      <alignment horizontal="center" vertical="center" wrapText="1"/>
    </xf>
    <xf numFmtId="49" fontId="5" fillId="5" borderId="17" xfId="0" applyNumberFormat="1" applyFont="1" applyFill="1" applyBorder="1" applyAlignment="1">
      <alignment horizontal="center" vertical="center" wrapText="1"/>
    </xf>
    <xf numFmtId="49" fontId="5" fillId="5" borderId="97" xfId="0" applyNumberFormat="1" applyFont="1" applyFill="1" applyBorder="1" applyAlignment="1">
      <alignment horizontal="center" vertical="center" wrapText="1"/>
    </xf>
    <xf numFmtId="49" fontId="5" fillId="5" borderId="8" xfId="0" applyNumberFormat="1" applyFont="1" applyFill="1" applyBorder="1" applyAlignment="1">
      <alignment horizontal="center" vertical="center" wrapText="1"/>
    </xf>
    <xf numFmtId="49" fontId="5" fillId="5" borderId="37" xfId="0" applyNumberFormat="1" applyFont="1" applyFill="1" applyBorder="1" applyAlignment="1">
      <alignment horizontal="center" vertical="center" wrapText="1"/>
    </xf>
    <xf numFmtId="0" fontId="34" fillId="3" borderId="0" xfId="0" applyFont="1" applyFill="1" applyAlignment="1">
      <alignment horizontal="center" vertical="center"/>
    </xf>
    <xf numFmtId="0" fontId="9" fillId="9" borderId="88" xfId="0" applyFont="1" applyFill="1" applyBorder="1" applyAlignment="1">
      <alignment horizontal="center" vertical="center" wrapText="1"/>
    </xf>
    <xf numFmtId="0" fontId="9" fillId="9" borderId="89" xfId="0" applyFont="1" applyFill="1" applyBorder="1" applyAlignment="1">
      <alignment horizontal="center" vertical="center" wrapText="1"/>
    </xf>
    <xf numFmtId="6" fontId="4" fillId="9" borderId="88" xfId="0" applyNumberFormat="1" applyFont="1" applyFill="1" applyBorder="1" applyAlignment="1">
      <alignment horizontal="center" vertical="center"/>
    </xf>
    <xf numFmtId="6" fontId="4" fillId="9" borderId="89" xfId="0" applyNumberFormat="1" applyFont="1" applyFill="1" applyBorder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49" fontId="37" fillId="2" borderId="99" xfId="0" applyNumberFormat="1" applyFont="1" applyFill="1" applyBorder="1" applyAlignment="1">
      <alignment horizontal="center" vertical="center"/>
    </xf>
    <xf numFmtId="49" fontId="40" fillId="2" borderId="100" xfId="0" applyNumberFormat="1" applyFont="1" applyFill="1" applyBorder="1" applyAlignment="1" applyProtection="1">
      <alignment horizontal="center" vertical="center"/>
      <protection locked="0"/>
    </xf>
    <xf numFmtId="49" fontId="40" fillId="2" borderId="101" xfId="0" applyNumberFormat="1" applyFont="1" applyFill="1" applyBorder="1" applyAlignment="1" applyProtection="1">
      <alignment horizontal="center" vertical="center"/>
      <protection locked="0"/>
    </xf>
    <xf numFmtId="49" fontId="3" fillId="2" borderId="123" xfId="0" applyNumberFormat="1" applyFont="1" applyFill="1" applyBorder="1" applyAlignment="1" applyProtection="1">
      <alignment horizontal="center" vertical="center"/>
      <protection locked="0"/>
    </xf>
    <xf numFmtId="49" fontId="3" fillId="2" borderId="128" xfId="0" applyNumberFormat="1" applyFont="1" applyFill="1" applyBorder="1" applyAlignment="1" applyProtection="1">
      <alignment horizontal="center" vertical="center"/>
      <protection locked="0"/>
    </xf>
    <xf numFmtId="0" fontId="0" fillId="6" borderId="126" xfId="0" applyFill="1" applyBorder="1" applyAlignment="1">
      <alignment horizontal="right" vertical="center"/>
    </xf>
    <xf numFmtId="0" fontId="0" fillId="6" borderId="129" xfId="0" applyFill="1" applyBorder="1" applyAlignment="1">
      <alignment horizontal="right" vertical="center"/>
    </xf>
    <xf numFmtId="9" fontId="0" fillId="6" borderId="126" xfId="0" applyNumberFormat="1" applyFill="1" applyBorder="1" applyAlignment="1">
      <alignment horizontal="right" vertical="center"/>
    </xf>
    <xf numFmtId="9" fontId="0" fillId="6" borderId="129" xfId="0" applyNumberFormat="1" applyFill="1" applyBorder="1" applyAlignment="1">
      <alignment horizontal="right" vertical="center"/>
    </xf>
    <xf numFmtId="0" fontId="0" fillId="6" borderId="121" xfId="0" applyFill="1" applyBorder="1" applyAlignment="1">
      <alignment horizontal="right" vertical="center"/>
    </xf>
    <xf numFmtId="0" fontId="53" fillId="2" borderId="0" xfId="0" applyFont="1" applyFill="1" applyAlignment="1">
      <alignment horizontal="center" vertical="center"/>
    </xf>
    <xf numFmtId="49" fontId="54" fillId="2" borderId="0" xfId="0" applyNumberFormat="1" applyFont="1" applyFill="1" applyAlignment="1">
      <alignment horizontal="left" vertical="center" wrapText="1"/>
    </xf>
    <xf numFmtId="49" fontId="3" fillId="2" borderId="133" xfId="0" applyNumberFormat="1" applyFont="1" applyFill="1" applyBorder="1" applyAlignment="1" applyProtection="1">
      <alignment horizontal="center" vertical="center"/>
      <protection locked="0"/>
    </xf>
    <xf numFmtId="49" fontId="3" fillId="2" borderId="136" xfId="0" applyNumberFormat="1" applyFont="1" applyFill="1" applyBorder="1" applyAlignment="1" applyProtection="1">
      <alignment horizontal="center" vertical="center"/>
      <protection locked="0"/>
    </xf>
    <xf numFmtId="0" fontId="0" fillId="6" borderId="137" xfId="0" applyFill="1" applyBorder="1" applyAlignment="1">
      <alignment horizontal="right" vertical="center"/>
    </xf>
    <xf numFmtId="9" fontId="0" fillId="6" borderId="134" xfId="0" applyNumberFormat="1" applyFill="1" applyBorder="1" applyAlignment="1">
      <alignment horizontal="right" vertical="center"/>
    </xf>
    <xf numFmtId="9" fontId="0" fillId="6" borderId="137" xfId="0" applyNumberFormat="1" applyFill="1" applyBorder="1" applyAlignment="1">
      <alignment horizontal="right" vertical="center"/>
    </xf>
    <xf numFmtId="0" fontId="0" fillId="6" borderId="134" xfId="0" applyFill="1" applyBorder="1" applyAlignment="1">
      <alignment horizontal="right" vertical="center"/>
    </xf>
    <xf numFmtId="0" fontId="0" fillId="6" borderId="126" xfId="0" applyFill="1" applyBorder="1" applyAlignment="1">
      <alignment vertical="center"/>
    </xf>
    <xf numFmtId="0" fontId="0" fillId="6" borderId="129" xfId="0" applyFill="1" applyBorder="1" applyAlignment="1">
      <alignment vertical="center"/>
    </xf>
    <xf numFmtId="49" fontId="66" fillId="19" borderId="164" xfId="0" applyNumberFormat="1" applyFont="1" applyFill="1" applyBorder="1" applyAlignment="1">
      <alignment horizontal="center" vertical="center"/>
    </xf>
    <xf numFmtId="49" fontId="66" fillId="19" borderId="165" xfId="0" applyNumberFormat="1" applyFont="1" applyFill="1" applyBorder="1" applyAlignment="1">
      <alignment horizontal="center" vertical="center"/>
    </xf>
    <xf numFmtId="3" fontId="9" fillId="3" borderId="167" xfId="0" applyNumberFormat="1" applyFont="1" applyFill="1" applyBorder="1" applyAlignment="1">
      <alignment horizontal="center" vertical="center"/>
    </xf>
    <xf numFmtId="3" fontId="9" fillId="3" borderId="168" xfId="0" applyNumberFormat="1" applyFont="1" applyFill="1" applyBorder="1" applyAlignment="1">
      <alignment horizontal="center" vertical="center"/>
    </xf>
    <xf numFmtId="9" fontId="0" fillId="6" borderId="121" xfId="0" applyNumberFormat="1" applyFill="1" applyBorder="1" applyAlignment="1">
      <alignment horizontal="right" vertical="center"/>
    </xf>
    <xf numFmtId="0" fontId="1" fillId="8" borderId="153" xfId="0" applyFont="1" applyFill="1" applyBorder="1"/>
    <xf numFmtId="0" fontId="1" fillId="0" borderId="37" xfId="0" applyFont="1" applyBorder="1"/>
    <xf numFmtId="49" fontId="1" fillId="0" borderId="37" xfId="0" applyNumberFormat="1" applyFont="1" applyBorder="1"/>
  </cellXfs>
  <cellStyles count="5">
    <cellStyle name="Comma" xfId="2" builtinId="3"/>
    <cellStyle name="Hyperlink" xfId="4" builtinId="8"/>
    <cellStyle name="Normal" xfId="0" builtinId="0"/>
    <cellStyle name="Normal 2" xfId="3" xr:uid="{D93CB75A-55C4-46FA-9915-6938FE3DCD2E}"/>
    <cellStyle name="Percent" xfId="1" builtinId="5"/>
  </cellStyles>
  <dxfs count="15">
    <dxf>
      <font>
        <color rgb="FF006100"/>
      </font>
      <fill>
        <patternFill patternType="solid">
          <fgColor indexed="22"/>
          <bgColor indexed="48"/>
        </patternFill>
      </fill>
    </dxf>
    <dxf>
      <font>
        <color rgb="FF17365D"/>
      </font>
      <fill>
        <patternFill patternType="solid">
          <fgColor indexed="22"/>
          <bgColor indexed="47"/>
        </patternFill>
      </fill>
    </dxf>
    <dxf>
      <font>
        <color rgb="FF9C0006"/>
      </font>
      <fill>
        <patternFill patternType="solid">
          <fgColor indexed="22"/>
          <bgColor indexed="23"/>
        </patternFill>
      </fill>
    </dxf>
    <dxf>
      <font>
        <color rgb="FF006100"/>
      </font>
      <fill>
        <patternFill patternType="solid">
          <fgColor indexed="22"/>
          <bgColor indexed="48"/>
        </patternFill>
      </fill>
    </dxf>
    <dxf>
      <font>
        <color rgb="FF17365D"/>
      </font>
      <fill>
        <patternFill patternType="solid">
          <fgColor indexed="22"/>
          <bgColor indexed="47"/>
        </patternFill>
      </fill>
    </dxf>
    <dxf>
      <font>
        <color rgb="FF9C0006"/>
      </font>
      <fill>
        <patternFill patternType="solid">
          <fgColor indexed="22"/>
          <bgColor indexed="2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FF0000"/>
      </font>
    </dxf>
  </dxfs>
  <tableStyles count="0" defaultTableStyle="TableStyleMedium2" defaultPivotStyle="PivotStyleLight16"/>
  <colors>
    <mruColors>
      <color rgb="FF3EF90B"/>
      <color rgb="FF00D05E"/>
      <color rgb="FF00DE64"/>
      <color rgb="FF00EE6C"/>
      <color rgb="FF00FFFF"/>
      <color rgb="FFA8D4E4"/>
      <color rgb="FF8DC7F7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9B8-462F-96B3-2F50C49A6344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9B8-462F-96B3-2F50C49A6344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9B8-462F-96B3-2F50C49A6344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9B8-462F-96B3-2F50C49A6344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9B8-462F-96B3-2F50C49A6344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9B8-462F-96B3-2F50C49A6344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9B8-462F-96B3-2F50C49A6344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9B8-462F-96B3-2F50C49A6344}"/>
              </c:ext>
            </c:extLst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9B8-462F-96B3-2F50C49A6344}"/>
              </c:ext>
            </c:extLst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9B8-462F-96B3-2F50C49A6344}"/>
              </c:ext>
            </c:extLst>
          </c:dPt>
          <c:dPt>
            <c:idx val="10"/>
            <c:bubble3D val="0"/>
            <c:spPr>
              <a:gradFill>
                <a:gsLst>
                  <a:gs pos="100000">
                    <a:schemeClr val="accent5">
                      <a:lumMod val="6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9B8-462F-96B3-2F50C49A6344}"/>
              </c:ext>
            </c:extLst>
          </c:dPt>
          <c:dPt>
            <c:idx val="11"/>
            <c:bubble3D val="0"/>
            <c:spPr>
              <a:gradFill>
                <a:gsLst>
                  <a:gs pos="100000">
                    <a:schemeClr val="accent6">
                      <a:lumMod val="6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9B8-462F-96B3-2F50C49A6344}"/>
              </c:ext>
            </c:extLst>
          </c:dPt>
          <c:dPt>
            <c:idx val="12"/>
            <c:bubble3D val="0"/>
            <c:spPr>
              <a:gradFill>
                <a:gsLst>
                  <a:gs pos="100000">
                    <a:schemeClr val="accent1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9B8-462F-96B3-2F50C49A6344}"/>
              </c:ext>
            </c:extLst>
          </c:dPt>
          <c:dPt>
            <c:idx val="13"/>
            <c:bubble3D val="0"/>
            <c:spPr>
              <a:gradFill>
                <a:gsLst>
                  <a:gs pos="100000">
                    <a:schemeClr val="accent2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9B8-462F-96B3-2F50C49A6344}"/>
              </c:ext>
            </c:extLst>
          </c:dPt>
          <c:dPt>
            <c:idx val="14"/>
            <c:bubble3D val="0"/>
            <c:spPr>
              <a:gradFill>
                <a:gsLst>
                  <a:gs pos="100000">
                    <a:schemeClr val="accent3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B39-48D2-A929-1E19C1A26A4A}"/>
              </c:ext>
            </c:extLst>
          </c:dPt>
          <c:dPt>
            <c:idx val="15"/>
            <c:bubble3D val="0"/>
            <c:spPr>
              <a:gradFill>
                <a:gsLst>
                  <a:gs pos="100000">
                    <a:schemeClr val="accent4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1B39-48D2-A929-1E19C1A26A4A}"/>
              </c:ext>
            </c:extLst>
          </c:dPt>
          <c:dPt>
            <c:idx val="16"/>
            <c:bubble3D val="0"/>
            <c:spPr>
              <a:gradFill>
                <a:gsLst>
                  <a:gs pos="100000">
                    <a:schemeClr val="accent5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ACF-432C-9544-174FA923FA71}"/>
              </c:ext>
            </c:extLst>
          </c:dPt>
          <c:dPt>
            <c:idx val="17"/>
            <c:bubble3D val="0"/>
            <c:spPr>
              <a:gradFill>
                <a:gsLst>
                  <a:gs pos="100000">
                    <a:schemeClr val="accent6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6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ACF-432C-9544-174FA923FA71}"/>
              </c:ext>
            </c:extLst>
          </c:dPt>
          <c:dPt>
            <c:idx val="18"/>
            <c:bubble3D val="0"/>
            <c:spPr>
              <a:gradFill>
                <a:gsLst>
                  <a:gs pos="100000">
                    <a:schemeClr val="accent1">
                      <a:lumMod val="8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ACF-432C-9544-174FA923FA71}"/>
              </c:ext>
            </c:extLst>
          </c:dPt>
          <c:dPt>
            <c:idx val="19"/>
            <c:bubble3D val="0"/>
            <c:spPr>
              <a:gradFill>
                <a:gsLst>
                  <a:gs pos="100000">
                    <a:schemeClr val="accent2">
                      <a:lumMod val="8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ACF-432C-9544-174FA923FA71}"/>
              </c:ext>
            </c:extLst>
          </c:dPt>
          <c:dPt>
            <c:idx val="20"/>
            <c:bubble3D val="0"/>
            <c:spPr>
              <a:gradFill>
                <a:gsLst>
                  <a:gs pos="100000">
                    <a:schemeClr val="accent3">
                      <a:lumMod val="8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EACF-432C-9544-174FA923FA71}"/>
              </c:ext>
            </c:extLst>
          </c:dPt>
          <c:dPt>
            <c:idx val="21"/>
            <c:bubble3D val="0"/>
            <c:spPr>
              <a:gradFill>
                <a:gsLst>
                  <a:gs pos="100000">
                    <a:schemeClr val="accent4">
                      <a:lumMod val="8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EACF-432C-9544-174FA923FA71}"/>
              </c:ext>
            </c:extLst>
          </c:dPt>
          <c:dPt>
            <c:idx val="22"/>
            <c:bubble3D val="0"/>
            <c:spPr>
              <a:gradFill>
                <a:gsLst>
                  <a:gs pos="100000">
                    <a:schemeClr val="accent5">
                      <a:lumMod val="8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EACF-432C-9544-174FA923FA71}"/>
              </c:ext>
            </c:extLst>
          </c:dPt>
          <c:dPt>
            <c:idx val="23"/>
            <c:bubble3D val="0"/>
            <c:spPr>
              <a:gradFill>
                <a:gsLst>
                  <a:gs pos="100000">
                    <a:schemeClr val="accent6">
                      <a:lumMod val="80000"/>
                      <a:lumMod val="60000"/>
                      <a:lumOff val="40000"/>
                    </a:schemeClr>
                  </a:gs>
                  <a:gs pos="0">
                    <a:schemeClr val="accent6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EACF-432C-9544-174FA923FA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(Networth!$B$4:$B$15,Networth!$B$19:$B$30)</c:f>
              <c:strCache>
                <c:ptCount val="24"/>
                <c:pt idx="0">
                  <c:v>Cash In Hand / Bank</c:v>
                </c:pt>
                <c:pt idx="1">
                  <c:v>Fixed Deposit</c:v>
                </c:pt>
                <c:pt idx="2">
                  <c:v>Equity Stocks</c:v>
                </c:pt>
                <c:pt idx="3">
                  <c:v>Equity Mutual Funds</c:v>
                </c:pt>
                <c:pt idx="4">
                  <c:v>Equity PMS</c:v>
                </c:pt>
                <c:pt idx="5">
                  <c:v>Debt Mutual Funds</c:v>
                </c:pt>
                <c:pt idx="6">
                  <c:v>Hybrid</c:v>
                </c:pt>
                <c:pt idx="7">
                  <c:v>Commodities Inv Physical (Gold / Silver)</c:v>
                </c:pt>
                <c:pt idx="8">
                  <c:v>SGBs</c:v>
                </c:pt>
                <c:pt idx="9">
                  <c:v>Gold/Silver ETFs</c:v>
                </c:pt>
                <c:pt idx="10">
                  <c:v>ESOPs ( vested)</c:v>
                </c:pt>
                <c:pt idx="11">
                  <c:v>International Equities</c:v>
                </c:pt>
                <c:pt idx="12">
                  <c:v>Residential Property</c:v>
                </c:pt>
                <c:pt idx="13">
                  <c:v>Commercial Property</c:v>
                </c:pt>
                <c:pt idx="14">
                  <c:v>Land- Chennai</c:v>
                </c:pt>
                <c:pt idx="15">
                  <c:v>Government Schemes- SSA</c:v>
                </c:pt>
                <c:pt idx="16">
                  <c:v>Structure Products</c:v>
                </c:pt>
                <c:pt idx="17">
                  <c:v>Start-Ups</c:v>
                </c:pt>
                <c:pt idx="18">
                  <c:v>NSC</c:v>
                </c:pt>
                <c:pt idx="19">
                  <c:v>Life Insurance / ULIPs</c:v>
                </c:pt>
                <c:pt idx="20">
                  <c:v>ESOPs (to be vested)</c:v>
                </c:pt>
                <c:pt idx="21">
                  <c:v>PPF</c:v>
                </c:pt>
                <c:pt idx="22">
                  <c:v>EPF</c:v>
                </c:pt>
                <c:pt idx="23">
                  <c:v>NPS</c:v>
                </c:pt>
              </c:strCache>
            </c:strRef>
          </c:cat>
          <c:val>
            <c:numRef>
              <c:f>(Networth!$G$4:$G$15,Networth!$G$19:$G$30)</c:f>
              <c:numCache>
                <c:formatCode>_ * #,##0_ ;_ * \-#,##0_ ;_ * "-"??_ ;_ @_ </c:formatCode>
                <c:ptCount val="24"/>
                <c:pt idx="0">
                  <c:v>1500000</c:v>
                </c:pt>
                <c:pt idx="1">
                  <c:v>0</c:v>
                </c:pt>
                <c:pt idx="2">
                  <c:v>258392</c:v>
                </c:pt>
                <c:pt idx="3">
                  <c:v>5666347</c:v>
                </c:pt>
                <c:pt idx="4">
                  <c:v>0</c:v>
                </c:pt>
                <c:pt idx="5">
                  <c:v>21473</c:v>
                </c:pt>
                <c:pt idx="6">
                  <c:v>1727262</c:v>
                </c:pt>
                <c:pt idx="7">
                  <c:v>4000000</c:v>
                </c:pt>
                <c:pt idx="8">
                  <c:v>221475</c:v>
                </c:pt>
                <c:pt idx="9">
                  <c:v>0</c:v>
                </c:pt>
                <c:pt idx="10">
                  <c:v>2000000</c:v>
                </c:pt>
                <c:pt idx="11">
                  <c:v>600000</c:v>
                </c:pt>
                <c:pt idx="12">
                  <c:v>8500000</c:v>
                </c:pt>
                <c:pt idx="13">
                  <c:v>0</c:v>
                </c:pt>
                <c:pt idx="14">
                  <c:v>2500000</c:v>
                </c:pt>
                <c:pt idx="15">
                  <c:v>1400000</c:v>
                </c:pt>
                <c:pt idx="16">
                  <c:v>0</c:v>
                </c:pt>
                <c:pt idx="17">
                  <c:v>1500000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3400000</c:v>
                </c:pt>
                <c:pt idx="22">
                  <c:v>27500000</c:v>
                </c:pt>
                <c:pt idx="23">
                  <c:v>5400000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9B8-462F-96B3-2F50C49A6344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BCB-43F8-BECC-417B8D90F183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CB-43F8-BECC-417B8D90F183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CB-43F8-BECC-417B8D90F183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BCB-43F8-BECC-417B8D90F183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BCB-43F8-BECC-417B8D90F183}"/>
              </c:ext>
            </c:extLst>
          </c:dPt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CB-43F8-BECC-417B8D90F18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BCB-43F8-BECC-417B8D90F183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WAR!$K$4:$K$8</c:f>
              <c:strCache>
                <c:ptCount val="5"/>
                <c:pt idx="0">
                  <c:v>Equity</c:v>
                </c:pt>
                <c:pt idx="1">
                  <c:v>Debt</c:v>
                </c:pt>
                <c:pt idx="2">
                  <c:v>Real Estate</c:v>
                </c:pt>
                <c:pt idx="3">
                  <c:v>Commodities</c:v>
                </c:pt>
                <c:pt idx="4">
                  <c:v>Startups</c:v>
                </c:pt>
              </c:strCache>
            </c:strRef>
          </c:cat>
          <c:val>
            <c:numRef>
              <c:f>WAR!$L$4:$L$8</c:f>
              <c:numCache>
                <c:formatCode>#,##0</c:formatCode>
                <c:ptCount val="5"/>
                <c:pt idx="0">
                  <c:v>15652001</c:v>
                </c:pt>
                <c:pt idx="1">
                  <c:v>33821473</c:v>
                </c:pt>
                <c:pt idx="2">
                  <c:v>11000000</c:v>
                </c:pt>
                <c:pt idx="3">
                  <c:v>4221475</c:v>
                </c:pt>
                <c:pt idx="4">
                  <c:v>1500000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CB-43F8-BECC-417B8D90F183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A10-4069-A341-14F33D89EC8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A10-4069-A341-14F33D89EC8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A10-4069-A341-14F33D89EC8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A10-4069-A341-14F33D89EC8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A10-4069-A341-14F33D89EC8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A10-4069-A341-14F33D89EC8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A10-4069-A341-14F33D89EC89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A10-4069-A341-14F33D89EC89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CA10-4069-A341-14F33D89EC89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CA10-4069-A341-14F33D89EC89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CA10-4069-A341-14F33D89EC89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CA10-4069-A341-14F33D89EC89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CA10-4069-A341-14F33D89EC89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CA10-4069-A341-14F33D89EC89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CA10-4069-A341-14F33D89EC89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CA10-4069-A341-14F33D89EC89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CA10-4069-A341-14F33D89EC89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CA10-4069-A341-14F33D89EC89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CA10-4069-A341-14F33D89EC89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CA10-4069-A341-14F33D89EC89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CA10-4069-A341-14F33D89EC89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CA10-4069-A341-14F33D89EC89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CA10-4069-A341-14F33D89EC89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CA10-4069-A341-14F33D89EC89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CA10-4069-A341-14F33D89EC89}"/>
              </c:ext>
            </c:extLst>
          </c:dPt>
          <c:dLbls>
            <c:delete val="1"/>
          </c:dLbls>
          <c:cat>
            <c:strRef>
              <c:f>'YoY Assets'!$L$3:$L$27</c:f>
              <c:strCache>
                <c:ptCount val="25"/>
                <c:pt idx="0">
                  <c:v>  Indian Equity stocks</c:v>
                </c:pt>
                <c:pt idx="1">
                  <c:v>  International Equity</c:v>
                </c:pt>
                <c:pt idx="2">
                  <c:v>  ESOPs</c:v>
                </c:pt>
                <c:pt idx="3">
                  <c:v>  Equity Mutual Funds</c:v>
                </c:pt>
                <c:pt idx="4">
                  <c:v>  Equity PMS</c:v>
                </c:pt>
                <c:pt idx="5">
                  <c:v>  Strategy 2</c:v>
                </c:pt>
                <c:pt idx="6">
                  <c:v>  Other Equity</c:v>
                </c:pt>
                <c:pt idx="7">
                  <c:v>  Bank Balance</c:v>
                </c:pt>
                <c:pt idx="8">
                  <c:v>  Debt Mutual Funds</c:v>
                </c:pt>
                <c:pt idx="9">
                  <c:v>  Debt Hybrid Funds</c:v>
                </c:pt>
                <c:pt idx="10">
                  <c:v>  Fixed Deposits</c:v>
                </c:pt>
                <c:pt idx="11">
                  <c:v>  LICs / ULIPs</c:v>
                </c:pt>
                <c:pt idx="12">
                  <c:v>  EPF</c:v>
                </c:pt>
                <c:pt idx="13">
                  <c:v>  PPF</c:v>
                </c:pt>
                <c:pt idx="14">
                  <c:v>  Bonds</c:v>
                </c:pt>
                <c:pt idx="15">
                  <c:v>  Structured Products - Debt</c:v>
                </c:pt>
                <c:pt idx="16">
                  <c:v>  Residential Property</c:v>
                </c:pt>
                <c:pt idx="17">
                  <c:v>  Commercial Property</c:v>
                </c:pt>
                <c:pt idx="18">
                  <c:v>  Land</c:v>
                </c:pt>
                <c:pt idx="19">
                  <c:v>  Physical Gold</c:v>
                </c:pt>
                <c:pt idx="20">
                  <c:v>  Gold ETFs / Funds</c:v>
                </c:pt>
                <c:pt idx="21">
                  <c:v>  SGBs</c:v>
                </c:pt>
                <c:pt idx="22">
                  <c:v>  Startups</c:v>
                </c:pt>
                <c:pt idx="23">
                  <c:v>  Cryptos</c:v>
                </c:pt>
                <c:pt idx="24">
                  <c:v>  Others</c:v>
                </c:pt>
              </c:strCache>
            </c:strRef>
          </c:cat>
          <c:val>
            <c:numRef>
              <c:f>'YoY Assets'!$M$3:$M$27</c:f>
              <c:numCache>
                <c:formatCode>_ * #,##0_ ;_ * \-#,##0_ ;_ * "-"??_ ;_ @_ 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D8-4E7E-8A85-09E6F08CD6C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>
                <a:latin typeface="Comic Sans MS" panose="030F0702030302020204" pitchFamily="66" charset="0"/>
              </a:rPr>
              <a:t>KEY LIFE EVENTS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'Key Life Events'!$DN$2</c:f>
              <c:strCache>
                <c:ptCount val="1"/>
                <c:pt idx="0">
                  <c:v>NS's college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Events'!$DN$3:$DN$78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3509575.6800000006</c:v>
                </c:pt>
                <c:pt idx="5">
                  <c:v>3649958.707200001</c:v>
                </c:pt>
                <c:pt idx="6">
                  <c:v>3795957.0554880011</c:v>
                </c:pt>
                <c:pt idx="7">
                  <c:v>3947795.3377075209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3-449B-9FF7-EC48B2D47187}"/>
            </c:ext>
          </c:extLst>
        </c:ser>
        <c:ser>
          <c:idx val="1"/>
          <c:order val="1"/>
          <c:tx>
            <c:strRef>
              <c:f>'Key Life Events'!$DO$2</c:f>
              <c:strCache>
                <c:ptCount val="1"/>
                <c:pt idx="0">
                  <c:v>NS's marriage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Events'!$DO$3:$DO$78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4317849.9945455752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A3-449B-9FF7-EC48B2D47187}"/>
            </c:ext>
          </c:extLst>
        </c:ser>
        <c:ser>
          <c:idx val="2"/>
          <c:order val="2"/>
          <c:tx>
            <c:strRef>
              <c:f>'Key Life Events'!$DP$2</c:f>
              <c:strCache>
                <c:ptCount val="1"/>
                <c:pt idx="0">
                  <c:v>SG's 60th birthday rituals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Events'!$DP$3:$DP$78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1165819.4985273054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A3-449B-9FF7-EC48B2D47187}"/>
            </c:ext>
          </c:extLst>
        </c:ser>
        <c:ser>
          <c:idx val="3"/>
          <c:order val="3"/>
          <c:tx>
            <c:strRef>
              <c:f>'Key Life Events'!$DQ$2</c:f>
              <c:strCache>
                <c:ptCount val="1"/>
                <c:pt idx="0">
                  <c:v>Retirment House</c:v>
                </c:pt>
              </c:strCache>
            </c:strRef>
          </c:tx>
          <c:spPr>
            <a:solidFill>
              <a:schemeClr val="accent2">
                <a:lumMod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Events'!$DQ$3:$DQ$78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11592740.742999999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A3-449B-9FF7-EC48B2D47187}"/>
            </c:ext>
          </c:extLst>
        </c:ser>
        <c:ser>
          <c:idx val="4"/>
          <c:order val="4"/>
          <c:tx>
            <c:strRef>
              <c:f>'Key Life Events'!$DR$2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>
                <a:lumMod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Events'!$DR$3:$DR$78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A3-449B-9FF7-EC48B2D47187}"/>
            </c:ext>
          </c:extLst>
        </c:ser>
        <c:ser>
          <c:idx val="5"/>
          <c:order val="5"/>
          <c:tx>
            <c:strRef>
              <c:f>'Key Life Events'!$DS$2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6">
                <a:lumMod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Events'!$DS$3:$DS$78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A3-449B-9FF7-EC48B2D47187}"/>
            </c:ext>
          </c:extLst>
        </c:ser>
        <c:ser>
          <c:idx val="6"/>
          <c:order val="6"/>
          <c:tx>
            <c:strRef>
              <c:f>'Key Life Events'!$DT$2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Events'!$DT$3:$DT$78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A3-449B-9FF7-EC48B2D47187}"/>
            </c:ext>
          </c:extLst>
        </c:ser>
        <c:ser>
          <c:idx val="7"/>
          <c:order val="7"/>
          <c:tx>
            <c:strRef>
              <c:f>'Key Life Events'!$DU$2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Events'!$DU$3:$DU$78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A3-449B-9FF7-EC48B2D47187}"/>
            </c:ext>
          </c:extLst>
        </c:ser>
        <c:ser>
          <c:idx val="8"/>
          <c:order val="8"/>
          <c:tx>
            <c:strRef>
              <c:f>'Key Life Events'!$DV$2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Events'!$DV$3:$DV$78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A3-449B-9FF7-EC48B2D47187}"/>
            </c:ext>
          </c:extLst>
        </c:ser>
        <c:ser>
          <c:idx val="9"/>
          <c:order val="9"/>
          <c:tx>
            <c:strRef>
              <c:f>'Key Life Events'!$DW$2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8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Events'!$DW$3:$DW$78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1A3-449B-9FF7-EC48B2D47187}"/>
            </c:ext>
          </c:extLst>
        </c:ser>
        <c:ser>
          <c:idx val="10"/>
          <c:order val="10"/>
          <c:tx>
            <c:strRef>
              <c:f>'Key Life Events'!$DX$2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>
                <a:lumMod val="8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Events'!$DX$3:$DX$78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1A3-449B-9FF7-EC48B2D47187}"/>
            </c:ext>
          </c:extLst>
        </c:ser>
        <c:ser>
          <c:idx val="11"/>
          <c:order val="11"/>
          <c:tx>
            <c:strRef>
              <c:f>'Key Life Events'!$DY$2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6">
                <a:lumMod val="8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Events'!$DY$3:$DY$78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1A3-449B-9FF7-EC48B2D47187}"/>
            </c:ext>
          </c:extLst>
        </c:ser>
        <c:ser>
          <c:idx val="12"/>
          <c:order val="12"/>
          <c:tx>
            <c:strRef>
              <c:f>'Key Life Events'!$DZ$2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Events'!$DZ$3:$DZ$78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1A3-449B-9FF7-EC48B2D47187}"/>
            </c:ext>
          </c:extLst>
        </c:ser>
        <c:ser>
          <c:idx val="13"/>
          <c:order val="13"/>
          <c:tx>
            <c:strRef>
              <c:f>'Key Life Events'!$EA$2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Events'!$EA$3:$EA$78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1A3-449B-9FF7-EC48B2D47187}"/>
            </c:ext>
          </c:extLst>
        </c:ser>
        <c:ser>
          <c:idx val="14"/>
          <c:order val="14"/>
          <c:tx>
            <c:strRef>
              <c:f>'Key Life Events'!$EB$2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Events'!$EB$3:$EB$78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1A3-449B-9FF7-EC48B2D47187}"/>
            </c:ext>
          </c:extLst>
        </c:ser>
        <c:ser>
          <c:idx val="15"/>
          <c:order val="15"/>
          <c:tx>
            <c:strRef>
              <c:f>'Key Life Events'!$EC$2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5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Events'!$EC$3:$EC$78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A3-449B-9FF7-EC48B2D47187}"/>
            </c:ext>
          </c:extLst>
        </c:ser>
        <c:ser>
          <c:idx val="16"/>
          <c:order val="16"/>
          <c:tx>
            <c:strRef>
              <c:f>'Key Life Events'!$ED$2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>
                <a:lumMod val="5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Events'!$ED$3:$ED$78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1A3-449B-9FF7-EC48B2D47187}"/>
            </c:ext>
          </c:extLst>
        </c:ser>
        <c:ser>
          <c:idx val="17"/>
          <c:order val="17"/>
          <c:tx>
            <c:strRef>
              <c:f>'Key Life Events'!$EE$2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6">
                <a:lumMod val="5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Events'!$EE$3:$EE$78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1A3-449B-9FF7-EC48B2D47187}"/>
            </c:ext>
          </c:extLst>
        </c:ser>
        <c:ser>
          <c:idx val="18"/>
          <c:order val="18"/>
          <c:tx>
            <c:strRef>
              <c:f>'Key Life Events'!$EF$2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Events'!$EF$3:$EF$78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1A3-449B-9FF7-EC48B2D47187}"/>
            </c:ext>
          </c:extLst>
        </c:ser>
        <c:ser>
          <c:idx val="19"/>
          <c:order val="19"/>
          <c:tx>
            <c:strRef>
              <c:f>'Key Life Events'!$EG$2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Events'!$EG$3:$EG$78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1A3-449B-9FF7-EC48B2D47187}"/>
            </c:ext>
          </c:extLst>
        </c:ser>
        <c:ser>
          <c:idx val="20"/>
          <c:order val="20"/>
          <c:tx>
            <c:strRef>
              <c:f>'Key Life Events'!$EH$2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Events'!$EH$3:$EH$78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1A3-449B-9FF7-EC48B2D47187}"/>
            </c:ext>
          </c:extLst>
        </c:ser>
        <c:ser>
          <c:idx val="21"/>
          <c:order val="21"/>
          <c:tx>
            <c:strRef>
              <c:f>'Key Life Events'!$EI$2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7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Events'!$EI$3:$EI$78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1A3-449B-9FF7-EC48B2D47187}"/>
            </c:ext>
          </c:extLst>
        </c:ser>
        <c:ser>
          <c:idx val="22"/>
          <c:order val="22"/>
          <c:tx>
            <c:strRef>
              <c:f>'Key Life Events'!$EJ$2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>
                <a:lumMod val="7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Events'!$EJ$3:$EJ$78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1A3-449B-9FF7-EC48B2D47187}"/>
            </c:ext>
          </c:extLst>
        </c:ser>
        <c:ser>
          <c:idx val="23"/>
          <c:order val="23"/>
          <c:tx>
            <c:strRef>
              <c:f>'Key Life Events'!$EK$2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6">
                <a:lumMod val="7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Events'!$EK$3:$EK$78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1A3-449B-9FF7-EC48B2D47187}"/>
            </c:ext>
          </c:extLst>
        </c:ser>
        <c:ser>
          <c:idx val="24"/>
          <c:order val="24"/>
          <c:tx>
            <c:strRef>
              <c:f>'Key Life Events'!$EL$2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Events'!$EL$3:$EL$78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1A3-449B-9FF7-EC48B2D47187}"/>
            </c:ext>
          </c:extLst>
        </c:ser>
        <c:ser>
          <c:idx val="25"/>
          <c:order val="25"/>
          <c:tx>
            <c:strRef>
              <c:f>'Key Life Events'!$EM$2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'Key Life Events'!$DK$3:$DM$78</c:f>
              <c:multiLvlStrCache>
                <c:ptCount val="76"/>
                <c:lvl>
                  <c:pt idx="0">
                    <c:v>50</c:v>
                  </c:pt>
                  <c:pt idx="1">
                    <c:v>51</c:v>
                  </c:pt>
                  <c:pt idx="2">
                    <c:v>52</c:v>
                  </c:pt>
                  <c:pt idx="3">
                    <c:v>53</c:v>
                  </c:pt>
                  <c:pt idx="4">
                    <c:v>54</c:v>
                  </c:pt>
                  <c:pt idx="5">
                    <c:v>55</c:v>
                  </c:pt>
                  <c:pt idx="6">
                    <c:v>56</c:v>
                  </c:pt>
                  <c:pt idx="7">
                    <c:v>57</c:v>
                  </c:pt>
                  <c:pt idx="8">
                    <c:v>58</c:v>
                  </c:pt>
                  <c:pt idx="9">
                    <c:v>59</c:v>
                  </c:pt>
                  <c:pt idx="10">
                    <c:v>60</c:v>
                  </c:pt>
                  <c:pt idx="11">
                    <c:v>61</c:v>
                  </c:pt>
                  <c:pt idx="12">
                    <c:v>62</c:v>
                  </c:pt>
                  <c:pt idx="13">
                    <c:v>63</c:v>
                  </c:pt>
                  <c:pt idx="14">
                    <c:v>64</c:v>
                  </c:pt>
                  <c:pt idx="15">
                    <c:v>65</c:v>
                  </c:pt>
                  <c:pt idx="16">
                    <c:v>66</c:v>
                  </c:pt>
                  <c:pt idx="17">
                    <c:v>67</c:v>
                  </c:pt>
                  <c:pt idx="18">
                    <c:v>68</c:v>
                  </c:pt>
                  <c:pt idx="19">
                    <c:v>69</c:v>
                  </c:pt>
                  <c:pt idx="20">
                    <c:v>70</c:v>
                  </c:pt>
                  <c:pt idx="21">
                    <c:v>71</c:v>
                  </c:pt>
                  <c:pt idx="22">
                    <c:v>72</c:v>
                  </c:pt>
                  <c:pt idx="23">
                    <c:v>73</c:v>
                  </c:pt>
                  <c:pt idx="24">
                    <c:v>74</c:v>
                  </c:pt>
                  <c:pt idx="25">
                    <c:v>75</c:v>
                  </c:pt>
                  <c:pt idx="26">
                    <c:v>76</c:v>
                  </c:pt>
                  <c:pt idx="27">
                    <c:v>77</c:v>
                  </c:pt>
                  <c:pt idx="28">
                    <c:v>78</c:v>
                  </c:pt>
                  <c:pt idx="29">
                    <c:v>79</c:v>
                  </c:pt>
                  <c:pt idx="30">
                    <c:v>80</c:v>
                  </c:pt>
                  <c:pt idx="31">
                    <c:v>81</c:v>
                  </c:pt>
                  <c:pt idx="32">
                    <c:v>82</c:v>
                  </c:pt>
                  <c:pt idx="33">
                    <c:v>83</c:v>
                  </c:pt>
                  <c:pt idx="34">
                    <c:v>84</c:v>
                  </c:pt>
                  <c:pt idx="35">
                    <c:v>85</c:v>
                  </c:pt>
                  <c:pt idx="36">
                    <c:v>86</c:v>
                  </c:pt>
                  <c:pt idx="37">
                    <c:v>87</c:v>
                  </c:pt>
                  <c:pt idx="38">
                    <c:v>88</c:v>
                  </c:pt>
                  <c:pt idx="39">
                    <c:v>89</c:v>
                  </c:pt>
                  <c:pt idx="40">
                    <c:v>90</c:v>
                  </c:pt>
                  <c:pt idx="41">
                    <c:v>91</c:v>
                  </c:pt>
                  <c:pt idx="42">
                    <c:v>92</c:v>
                  </c:pt>
                  <c:pt idx="43">
                    <c:v>93</c:v>
                  </c:pt>
                  <c:pt idx="44">
                    <c:v>94</c:v>
                  </c:pt>
                  <c:pt idx="45">
                    <c:v>95</c:v>
                  </c:pt>
                  <c:pt idx="46">
                    <c:v>96</c:v>
                  </c:pt>
                  <c:pt idx="47">
                    <c:v>97</c:v>
                  </c:pt>
                  <c:pt idx="48">
                    <c:v>98</c:v>
                  </c:pt>
                  <c:pt idx="49">
                    <c:v>99</c:v>
                  </c:pt>
                  <c:pt idx="50">
                    <c:v>100</c:v>
                  </c:pt>
                  <c:pt idx="51">
                    <c:v>101</c:v>
                  </c:pt>
                  <c:pt idx="52">
                    <c:v>102</c:v>
                  </c:pt>
                  <c:pt idx="53">
                    <c:v>103</c:v>
                  </c:pt>
                  <c:pt idx="54">
                    <c:v>104</c:v>
                  </c:pt>
                  <c:pt idx="55">
                    <c:v>105</c:v>
                  </c:pt>
                  <c:pt idx="56">
                    <c:v>106</c:v>
                  </c:pt>
                  <c:pt idx="57">
                    <c:v>107</c:v>
                  </c:pt>
                  <c:pt idx="58">
                    <c:v>108</c:v>
                  </c:pt>
                  <c:pt idx="59">
                    <c:v>109</c:v>
                  </c:pt>
                  <c:pt idx="60">
                    <c:v>110</c:v>
                  </c:pt>
                  <c:pt idx="61">
                    <c:v>111</c:v>
                  </c:pt>
                  <c:pt idx="62">
                    <c:v>112</c:v>
                  </c:pt>
                  <c:pt idx="63">
                    <c:v>113</c:v>
                  </c:pt>
                  <c:pt idx="64">
                    <c:v>114</c:v>
                  </c:pt>
                  <c:pt idx="65">
                    <c:v>115</c:v>
                  </c:pt>
                  <c:pt idx="66">
                    <c:v>116</c:v>
                  </c:pt>
                  <c:pt idx="67">
                    <c:v>117</c:v>
                  </c:pt>
                  <c:pt idx="68">
                    <c:v>118</c:v>
                  </c:pt>
                  <c:pt idx="69">
                    <c:v>119</c:v>
                  </c:pt>
                  <c:pt idx="70">
                    <c:v>120</c:v>
                  </c:pt>
                  <c:pt idx="71">
                    <c:v>121</c:v>
                  </c:pt>
                  <c:pt idx="72">
                    <c:v>122</c:v>
                  </c:pt>
                  <c:pt idx="73">
                    <c:v>123</c:v>
                  </c:pt>
                  <c:pt idx="74">
                    <c:v>124</c:v>
                  </c:pt>
                  <c:pt idx="75">
                    <c:v>125</c:v>
                  </c:pt>
                </c:lvl>
                <c:lvl>
                  <c:pt idx="0">
                    <c:v>45</c:v>
                  </c:pt>
                  <c:pt idx="1">
                    <c:v>46</c:v>
                  </c:pt>
                  <c:pt idx="2">
                    <c:v>47</c:v>
                  </c:pt>
                  <c:pt idx="3">
                    <c:v>48</c:v>
                  </c:pt>
                  <c:pt idx="4">
                    <c:v>49</c:v>
                  </c:pt>
                  <c:pt idx="5">
                    <c:v>50</c:v>
                  </c:pt>
                  <c:pt idx="6">
                    <c:v>51</c:v>
                  </c:pt>
                  <c:pt idx="7">
                    <c:v>52</c:v>
                  </c:pt>
                  <c:pt idx="8">
                    <c:v>53</c:v>
                  </c:pt>
                  <c:pt idx="9">
                    <c:v>54</c:v>
                  </c:pt>
                  <c:pt idx="10">
                    <c:v>55</c:v>
                  </c:pt>
                  <c:pt idx="11">
                    <c:v>56</c:v>
                  </c:pt>
                  <c:pt idx="12">
                    <c:v>57</c:v>
                  </c:pt>
                  <c:pt idx="13">
                    <c:v>58</c:v>
                  </c:pt>
                  <c:pt idx="14">
                    <c:v>59</c:v>
                  </c:pt>
                  <c:pt idx="15">
                    <c:v>60</c:v>
                  </c:pt>
                  <c:pt idx="16">
                    <c:v>61</c:v>
                  </c:pt>
                  <c:pt idx="17">
                    <c:v>62</c:v>
                  </c:pt>
                  <c:pt idx="18">
                    <c:v>63</c:v>
                  </c:pt>
                  <c:pt idx="19">
                    <c:v>64</c:v>
                  </c:pt>
                  <c:pt idx="20">
                    <c:v>65</c:v>
                  </c:pt>
                  <c:pt idx="21">
                    <c:v>66</c:v>
                  </c:pt>
                  <c:pt idx="22">
                    <c:v>67</c:v>
                  </c:pt>
                  <c:pt idx="23">
                    <c:v>68</c:v>
                  </c:pt>
                  <c:pt idx="24">
                    <c:v>69</c:v>
                  </c:pt>
                  <c:pt idx="25">
                    <c:v>70</c:v>
                  </c:pt>
                  <c:pt idx="26">
                    <c:v>71</c:v>
                  </c:pt>
                  <c:pt idx="27">
                    <c:v>72</c:v>
                  </c:pt>
                  <c:pt idx="28">
                    <c:v>73</c:v>
                  </c:pt>
                  <c:pt idx="29">
                    <c:v>74</c:v>
                  </c:pt>
                  <c:pt idx="30">
                    <c:v>75</c:v>
                  </c:pt>
                  <c:pt idx="31">
                    <c:v>76</c:v>
                  </c:pt>
                  <c:pt idx="32">
                    <c:v>77</c:v>
                  </c:pt>
                  <c:pt idx="33">
                    <c:v>78</c:v>
                  </c:pt>
                  <c:pt idx="34">
                    <c:v>79</c:v>
                  </c:pt>
                  <c:pt idx="35">
                    <c:v>80</c:v>
                  </c:pt>
                  <c:pt idx="36">
                    <c:v>81</c:v>
                  </c:pt>
                  <c:pt idx="37">
                    <c:v>82</c:v>
                  </c:pt>
                  <c:pt idx="38">
                    <c:v>83</c:v>
                  </c:pt>
                  <c:pt idx="39">
                    <c:v>84</c:v>
                  </c:pt>
                  <c:pt idx="40">
                    <c:v>85</c:v>
                  </c:pt>
                  <c:pt idx="41">
                    <c:v>86</c:v>
                  </c:pt>
                  <c:pt idx="42">
                    <c:v>87</c:v>
                  </c:pt>
                  <c:pt idx="43">
                    <c:v>88</c:v>
                  </c:pt>
                  <c:pt idx="44">
                    <c:v>89</c:v>
                  </c:pt>
                  <c:pt idx="45">
                    <c:v>90</c:v>
                  </c:pt>
                  <c:pt idx="46">
                    <c:v>91</c:v>
                  </c:pt>
                  <c:pt idx="47">
                    <c:v>92</c:v>
                  </c:pt>
                  <c:pt idx="48">
                    <c:v>93</c:v>
                  </c:pt>
                  <c:pt idx="49">
                    <c:v>94</c:v>
                  </c:pt>
                  <c:pt idx="50">
                    <c:v>95</c:v>
                  </c:pt>
                  <c:pt idx="51">
                    <c:v>96</c:v>
                  </c:pt>
                  <c:pt idx="52">
                    <c:v>97</c:v>
                  </c:pt>
                  <c:pt idx="53">
                    <c:v>98</c:v>
                  </c:pt>
                  <c:pt idx="54">
                    <c:v>99</c:v>
                  </c:pt>
                  <c:pt idx="55">
                    <c:v>100</c:v>
                  </c:pt>
                  <c:pt idx="56">
                    <c:v>101</c:v>
                  </c:pt>
                  <c:pt idx="57">
                    <c:v>102</c:v>
                  </c:pt>
                  <c:pt idx="58">
                    <c:v>103</c:v>
                  </c:pt>
                  <c:pt idx="59">
                    <c:v>104</c:v>
                  </c:pt>
                  <c:pt idx="60">
                    <c:v>105</c:v>
                  </c:pt>
                  <c:pt idx="61">
                    <c:v>106</c:v>
                  </c:pt>
                  <c:pt idx="62">
                    <c:v>107</c:v>
                  </c:pt>
                  <c:pt idx="63">
                    <c:v>108</c:v>
                  </c:pt>
                  <c:pt idx="64">
                    <c:v>109</c:v>
                  </c:pt>
                  <c:pt idx="65">
                    <c:v>110</c:v>
                  </c:pt>
                  <c:pt idx="66">
                    <c:v>111</c:v>
                  </c:pt>
                  <c:pt idx="67">
                    <c:v>112</c:v>
                  </c:pt>
                  <c:pt idx="68">
                    <c:v>113</c:v>
                  </c:pt>
                  <c:pt idx="69">
                    <c:v>114</c:v>
                  </c:pt>
                  <c:pt idx="70">
                    <c:v>115</c:v>
                  </c:pt>
                  <c:pt idx="71">
                    <c:v>116</c:v>
                  </c:pt>
                  <c:pt idx="72">
                    <c:v>117</c:v>
                  </c:pt>
                  <c:pt idx="73">
                    <c:v>118</c:v>
                  </c:pt>
                  <c:pt idx="74">
                    <c:v>119</c:v>
                  </c:pt>
                  <c:pt idx="75">
                    <c:v>120</c:v>
                  </c:pt>
                </c:lvl>
                <c:lvl>
                  <c:pt idx="0">
                    <c:v>2025</c:v>
                  </c:pt>
                  <c:pt idx="1">
                    <c:v>2026</c:v>
                  </c:pt>
                  <c:pt idx="2">
                    <c:v>2027</c:v>
                  </c:pt>
                  <c:pt idx="3">
                    <c:v>2028</c:v>
                  </c:pt>
                  <c:pt idx="4">
                    <c:v>2029</c:v>
                  </c:pt>
                  <c:pt idx="5">
                    <c:v>2030</c:v>
                  </c:pt>
                  <c:pt idx="6">
                    <c:v>2031</c:v>
                  </c:pt>
                  <c:pt idx="7">
                    <c:v>2032</c:v>
                  </c:pt>
                  <c:pt idx="8">
                    <c:v>2033</c:v>
                  </c:pt>
                  <c:pt idx="9">
                    <c:v>2034</c:v>
                  </c:pt>
                  <c:pt idx="10">
                    <c:v>2035</c:v>
                  </c:pt>
                  <c:pt idx="11">
                    <c:v>2036</c:v>
                  </c:pt>
                  <c:pt idx="12">
                    <c:v>2037</c:v>
                  </c:pt>
                  <c:pt idx="13">
                    <c:v>2038</c:v>
                  </c:pt>
                  <c:pt idx="14">
                    <c:v>2039</c:v>
                  </c:pt>
                  <c:pt idx="15">
                    <c:v>2040</c:v>
                  </c:pt>
                  <c:pt idx="16">
                    <c:v>2041</c:v>
                  </c:pt>
                  <c:pt idx="17">
                    <c:v>2042</c:v>
                  </c:pt>
                  <c:pt idx="18">
                    <c:v>2043</c:v>
                  </c:pt>
                  <c:pt idx="19">
                    <c:v>2044</c:v>
                  </c:pt>
                  <c:pt idx="20">
                    <c:v>2045</c:v>
                  </c:pt>
                  <c:pt idx="21">
                    <c:v>2046</c:v>
                  </c:pt>
                  <c:pt idx="22">
                    <c:v>2047</c:v>
                  </c:pt>
                  <c:pt idx="23">
                    <c:v>2048</c:v>
                  </c:pt>
                  <c:pt idx="24">
                    <c:v>2049</c:v>
                  </c:pt>
                  <c:pt idx="25">
                    <c:v>2050</c:v>
                  </c:pt>
                  <c:pt idx="26">
                    <c:v>2051</c:v>
                  </c:pt>
                  <c:pt idx="27">
                    <c:v>2052</c:v>
                  </c:pt>
                  <c:pt idx="28">
                    <c:v>2053</c:v>
                  </c:pt>
                  <c:pt idx="29">
                    <c:v>2054</c:v>
                  </c:pt>
                  <c:pt idx="30">
                    <c:v>2055</c:v>
                  </c:pt>
                  <c:pt idx="31">
                    <c:v>2056</c:v>
                  </c:pt>
                  <c:pt idx="32">
                    <c:v>2057</c:v>
                  </c:pt>
                  <c:pt idx="33">
                    <c:v>2058</c:v>
                  </c:pt>
                  <c:pt idx="34">
                    <c:v>2059</c:v>
                  </c:pt>
                  <c:pt idx="35">
                    <c:v>2060</c:v>
                  </c:pt>
                  <c:pt idx="36">
                    <c:v>2061</c:v>
                  </c:pt>
                  <c:pt idx="37">
                    <c:v>2062</c:v>
                  </c:pt>
                  <c:pt idx="38">
                    <c:v>2063</c:v>
                  </c:pt>
                  <c:pt idx="39">
                    <c:v>2064</c:v>
                  </c:pt>
                  <c:pt idx="40">
                    <c:v>2065</c:v>
                  </c:pt>
                  <c:pt idx="41">
                    <c:v>2066</c:v>
                  </c:pt>
                  <c:pt idx="42">
                    <c:v>2067</c:v>
                  </c:pt>
                  <c:pt idx="43">
                    <c:v>2068</c:v>
                  </c:pt>
                  <c:pt idx="44">
                    <c:v>2069</c:v>
                  </c:pt>
                  <c:pt idx="45">
                    <c:v>2070</c:v>
                  </c:pt>
                  <c:pt idx="46">
                    <c:v>2071</c:v>
                  </c:pt>
                  <c:pt idx="47">
                    <c:v>2072</c:v>
                  </c:pt>
                  <c:pt idx="48">
                    <c:v>2073</c:v>
                  </c:pt>
                  <c:pt idx="49">
                    <c:v>2074</c:v>
                  </c:pt>
                  <c:pt idx="50">
                    <c:v>2075</c:v>
                  </c:pt>
                  <c:pt idx="51">
                    <c:v>2076</c:v>
                  </c:pt>
                  <c:pt idx="52">
                    <c:v>2077</c:v>
                  </c:pt>
                  <c:pt idx="53">
                    <c:v>2078</c:v>
                  </c:pt>
                  <c:pt idx="54">
                    <c:v>2079</c:v>
                  </c:pt>
                  <c:pt idx="55">
                    <c:v>2080</c:v>
                  </c:pt>
                  <c:pt idx="56">
                    <c:v>2081</c:v>
                  </c:pt>
                  <c:pt idx="57">
                    <c:v>2082</c:v>
                  </c:pt>
                  <c:pt idx="58">
                    <c:v>2083</c:v>
                  </c:pt>
                  <c:pt idx="59">
                    <c:v>2084</c:v>
                  </c:pt>
                  <c:pt idx="60">
                    <c:v>2085</c:v>
                  </c:pt>
                  <c:pt idx="61">
                    <c:v>2086</c:v>
                  </c:pt>
                  <c:pt idx="62">
                    <c:v>2087</c:v>
                  </c:pt>
                  <c:pt idx="63">
                    <c:v>2088</c:v>
                  </c:pt>
                  <c:pt idx="64">
                    <c:v>2089</c:v>
                  </c:pt>
                  <c:pt idx="65">
                    <c:v>2090</c:v>
                  </c:pt>
                  <c:pt idx="66">
                    <c:v>2091</c:v>
                  </c:pt>
                  <c:pt idx="67">
                    <c:v>2092</c:v>
                  </c:pt>
                  <c:pt idx="68">
                    <c:v>2093</c:v>
                  </c:pt>
                  <c:pt idx="69">
                    <c:v>2094</c:v>
                  </c:pt>
                  <c:pt idx="70">
                    <c:v>2095</c:v>
                  </c:pt>
                  <c:pt idx="71">
                    <c:v>2096</c:v>
                  </c:pt>
                  <c:pt idx="72">
                    <c:v>2097</c:v>
                  </c:pt>
                  <c:pt idx="73">
                    <c:v>2098</c:v>
                  </c:pt>
                  <c:pt idx="74">
                    <c:v>2099</c:v>
                  </c:pt>
                  <c:pt idx="75">
                    <c:v>2100</c:v>
                  </c:pt>
                </c:lvl>
              </c:multiLvlStrCache>
            </c:multiLvlStrRef>
          </c:cat>
          <c:val>
            <c:numRef>
              <c:f>'Key Life Events'!$EM$3:$EM$78</c:f>
              <c:numCache>
                <c:formatCode>General</c:formatCode>
                <c:ptCount val="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1A3-449B-9FF7-EC48B2D47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774855200"/>
        <c:axId val="1774859520"/>
      </c:barChart>
      <c:catAx>
        <c:axId val="177485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94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859520"/>
        <c:crosses val="autoZero"/>
        <c:auto val="1"/>
        <c:lblAlgn val="ctr"/>
        <c:lblOffset val="50"/>
        <c:tickLblSkip val="2"/>
        <c:tickMarkSkip val="100"/>
        <c:noMultiLvlLbl val="0"/>
      </c:catAx>
      <c:valAx>
        <c:axId val="1774859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855200"/>
        <c:crosses val="autoZero"/>
        <c:crossBetween val="between"/>
        <c:dispUnits>
          <c:builtInUnit val="hundred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139487082187"/>
          <c:y val="0.1198562422155718"/>
          <c:w val="0.87518983018688934"/>
          <c:h val="0.76557256551870156"/>
        </c:manualLayout>
      </c:layout>
      <c:areaChart>
        <c:grouping val="stacked"/>
        <c:varyColors val="0"/>
        <c:ser>
          <c:idx val="2"/>
          <c:order val="0"/>
          <c:tx>
            <c:strRef>
              <c:f>'Accumulation Chart'!$R$1</c:f>
              <c:strCache>
                <c:ptCount val="1"/>
                <c:pt idx="0">
                  <c:v>NW At End of Year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'Accumulation Chart'!$Q$2:$Q$19</c:f>
              <c:numCache>
                <c:formatCode>General</c:formatCode>
                <c:ptCount val="18"/>
                <c:pt idx="0">
                  <c:v>48</c:v>
                </c:pt>
                <c:pt idx="1">
                  <c:v>49</c:v>
                </c:pt>
                <c:pt idx="2">
                  <c:v>50</c:v>
                </c:pt>
                <c:pt idx="3">
                  <c:v>51</c:v>
                </c:pt>
                <c:pt idx="4">
                  <c:v>52</c:v>
                </c:pt>
                <c:pt idx="5">
                  <c:v>53</c:v>
                </c:pt>
                <c:pt idx="6">
                  <c:v>54</c:v>
                </c:pt>
                <c:pt idx="7">
                  <c:v>55</c:v>
                </c:pt>
                <c:pt idx="8">
                  <c:v>56</c:v>
                </c:pt>
                <c:pt idx="9">
                  <c:v>57</c:v>
                </c:pt>
                <c:pt idx="10">
                  <c:v>58</c:v>
                </c:pt>
                <c:pt idx="11">
                  <c:v>59</c:v>
                </c:pt>
                <c:pt idx="12">
                  <c:v>60</c:v>
                </c:pt>
                <c:pt idx="13">
                  <c:v>61</c:v>
                </c:pt>
                <c:pt idx="14">
                  <c:v>62</c:v>
                </c:pt>
                <c:pt idx="15">
                  <c:v>63</c:v>
                </c:pt>
                <c:pt idx="16">
                  <c:v>64</c:v>
                </c:pt>
                <c:pt idx="17">
                  <c:v>65</c:v>
                </c:pt>
              </c:numCache>
            </c:numRef>
          </c:cat>
          <c:val>
            <c:numRef>
              <c:f>'Accumulation Chart'!$R$2:$R$17</c:f>
              <c:numCache>
                <c:formatCode>_ * #,##0_ ;_ * \-#,##0_ ;_ * "-"??_ ;_ @_ </c:formatCode>
                <c:ptCount val="16"/>
                <c:pt idx="0">
                  <c:v>79856703.885000005</c:v>
                </c:pt>
                <c:pt idx="1">
                  <c:v>95534180.910356775</c:v>
                </c:pt>
                <c:pt idx="2">
                  <c:v>112964792.95359081</c:v>
                </c:pt>
                <c:pt idx="3">
                  <c:v>132794570.72436252</c:v>
                </c:pt>
                <c:pt idx="4">
                  <c:v>151643969.82022822</c:v>
                </c:pt>
                <c:pt idx="5">
                  <c:v>160310438.19345319</c:v>
                </c:pt>
                <c:pt idx="6">
                  <c:v>183037948.53752786</c:v>
                </c:pt>
                <c:pt idx="7">
                  <c:v>196682442.74792215</c:v>
                </c:pt>
                <c:pt idx="8">
                  <c:v>224907480.00472146</c:v>
                </c:pt>
                <c:pt idx="9">
                  <c:v>245847390.661982</c:v>
                </c:pt>
                <c:pt idx="10">
                  <c:v>263801510.09954318</c:v>
                </c:pt>
                <c:pt idx="11">
                  <c:v>285873858.97332263</c:v>
                </c:pt>
                <c:pt idx="12">
                  <c:v>310876360.860605</c:v>
                </c:pt>
                <c:pt idx="13">
                  <c:v>337764347.50762081</c:v>
                </c:pt>
                <c:pt idx="14">
                  <c:v>356270601.11877602</c:v>
                </c:pt>
                <c:pt idx="15">
                  <c:v>375605765.58298069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3B-4C3F-AB4F-C39F298F7AC4}"/>
            </c:ext>
          </c:extLst>
        </c:ser>
        <c:ser>
          <c:idx val="0"/>
          <c:order val="1"/>
          <c:tx>
            <c:strRef>
              <c:f>'Accumulation Chart'!$S$1</c:f>
              <c:strCache>
                <c:ptCount val="1"/>
                <c:pt idx="0">
                  <c:v>Loan o/s Bal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'Accumulation Chart'!$Q$2:$Q$19</c:f>
              <c:numCache>
                <c:formatCode>General</c:formatCode>
                <c:ptCount val="18"/>
                <c:pt idx="0">
                  <c:v>48</c:v>
                </c:pt>
                <c:pt idx="1">
                  <c:v>49</c:v>
                </c:pt>
                <c:pt idx="2">
                  <c:v>50</c:v>
                </c:pt>
                <c:pt idx="3">
                  <c:v>51</c:v>
                </c:pt>
                <c:pt idx="4">
                  <c:v>52</c:v>
                </c:pt>
                <c:pt idx="5">
                  <c:v>53</c:v>
                </c:pt>
                <c:pt idx="6">
                  <c:v>54</c:v>
                </c:pt>
                <c:pt idx="7">
                  <c:v>55</c:v>
                </c:pt>
                <c:pt idx="8">
                  <c:v>56</c:v>
                </c:pt>
                <c:pt idx="9">
                  <c:v>57</c:v>
                </c:pt>
                <c:pt idx="10">
                  <c:v>58</c:v>
                </c:pt>
                <c:pt idx="11">
                  <c:v>59</c:v>
                </c:pt>
                <c:pt idx="12">
                  <c:v>60</c:v>
                </c:pt>
                <c:pt idx="13">
                  <c:v>61</c:v>
                </c:pt>
                <c:pt idx="14">
                  <c:v>62</c:v>
                </c:pt>
                <c:pt idx="15">
                  <c:v>63</c:v>
                </c:pt>
                <c:pt idx="16">
                  <c:v>64</c:v>
                </c:pt>
                <c:pt idx="17">
                  <c:v>65</c:v>
                </c:pt>
              </c:numCache>
            </c:numRef>
          </c:cat>
          <c:val>
            <c:numRef>
              <c:f>'Accumulation Chart'!$S$2:$S$17</c:f>
              <c:numCache>
                <c:formatCode>_ * #,##0_ ;_ * \-#,##0_ ;_ * "-"??_ ;_ @_ </c:formatCode>
                <c:ptCount val="16"/>
                <c:pt idx="0">
                  <c:v>-390587.35609032674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3B-4C3F-AB4F-C39F298F7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476736"/>
        <c:axId val="1990461760"/>
      </c:areaChart>
      <c:catAx>
        <c:axId val="199047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461760"/>
        <c:crosses val="autoZero"/>
        <c:auto val="1"/>
        <c:lblAlgn val="ctr"/>
        <c:lblOffset val="100"/>
        <c:noMultiLvlLbl val="0"/>
      </c:catAx>
      <c:valAx>
        <c:axId val="1990461760"/>
        <c:scaling>
          <c:orientation val="minMax"/>
        </c:scaling>
        <c:delete val="0"/>
        <c:axPos val="l"/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476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682579633013469"/>
          <c:y val="0.51132835971748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'Yearly Budget (Pie)'!$P$17</c:f>
              <c:strCache>
                <c:ptCount val="1"/>
                <c:pt idx="0">
                  <c:v> 33,80,509 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D6C-428B-AFB6-B6147D992AA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D6C-428B-AFB6-B6147D992AA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D6C-428B-AFB6-B6147D992AA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D6C-428B-AFB6-B6147D992AA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D6C-428B-AFB6-B6147D992AA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D6C-428B-AFB6-B6147D992AA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D6C-428B-AFB6-B6147D992AA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D6C-428B-AFB6-B6147D992AA7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CD6C-428B-AFB6-B6147D992AA7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CD6C-428B-AFB6-B6147D992AA7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CD6C-428B-AFB6-B6147D992A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'Yearly Budget (Pie)'!$O$6:$O$16</c:f>
              <c:strCache>
                <c:ptCount val="10"/>
                <c:pt idx="0">
                  <c:v>Utilities,</c:v>
                </c:pt>
                <c:pt idx="1">
                  <c:v>Personal Care,</c:v>
                </c:pt>
                <c:pt idx="2">
                  <c:v>Housing,</c:v>
                </c:pt>
                <c:pt idx="3">
                  <c:v>Food,</c:v>
                </c:pt>
                <c:pt idx="4">
                  <c:v>Health,</c:v>
                </c:pt>
                <c:pt idx="5">
                  <c:v>Family Care &amp; Donations,</c:v>
                </c:pt>
                <c:pt idx="6">
                  <c:v>Transportation,</c:v>
                </c:pt>
                <c:pt idx="7">
                  <c:v>Recreation &amp; Entertainment,</c:v>
                </c:pt>
                <c:pt idx="8">
                  <c:v>Premiums &amp; Fees,</c:v>
                </c:pt>
                <c:pt idx="9">
                  <c:v>Loan EMIs,</c:v>
                </c:pt>
              </c:strCache>
            </c:strRef>
          </c:cat>
          <c:val>
            <c:numRef>
              <c:f>'Yearly Budget (Pie)'!$P$6:$P$16</c:f>
              <c:numCache>
                <c:formatCode>_ * #,##0_ ;_ * \-#,##0_ ;_ * "-"??_ ;_ @_ </c:formatCode>
                <c:ptCount val="11"/>
                <c:pt idx="0">
                  <c:v>372229</c:v>
                </c:pt>
                <c:pt idx="1">
                  <c:v>322000</c:v>
                </c:pt>
                <c:pt idx="2">
                  <c:v>98000</c:v>
                </c:pt>
                <c:pt idx="3">
                  <c:v>308000</c:v>
                </c:pt>
                <c:pt idx="4">
                  <c:v>203000</c:v>
                </c:pt>
                <c:pt idx="5">
                  <c:v>750000</c:v>
                </c:pt>
                <c:pt idx="6">
                  <c:v>184000</c:v>
                </c:pt>
                <c:pt idx="7">
                  <c:v>504000</c:v>
                </c:pt>
                <c:pt idx="8">
                  <c:v>70000</c:v>
                </c:pt>
                <c:pt idx="9">
                  <c:v>569280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9A-4BA3-91C5-C4854ED7634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'Yearly Budget (Pie)'!$O$24:$O$47</c:f>
            </c:multiLvlStrRef>
          </c:cat>
          <c:val>
            <c:numRef>
              <c:f>'Yearly Budget (Pie)'!$P$24:$P$47</c:f>
            </c:numRef>
          </c:val>
          <c:extLst>
            <c:ext xmlns:c16="http://schemas.microsoft.com/office/drawing/2014/chart" uri="{C3380CC4-5D6E-409C-BE32-E72D297353CC}">
              <c16:uniqueId val="{00000000-2D6C-4016-BA4C-B6B10D8F5C55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 b="1"/>
              <a:t>Cashflow Projection without Inflation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'Cashflow Working'!$Q$2</c:f>
              <c:strCache>
                <c:ptCount val="1"/>
                <c:pt idx="0">
                  <c:v>Cash Inflow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'Cashflow Working'!$A$3:$A$59</c:f>
              <c:numCache>
                <c:formatCode>General</c:formatCode>
                <c:ptCount val="5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</c:numCache>
            </c:numRef>
          </c:cat>
          <c:val>
            <c:numRef>
              <c:f>'Cashflow Working'!$Q$3:$Q$59</c:f>
              <c:numCache>
                <c:formatCode>_ * #,##0_ ;_ * \-#,##0_ ;_ * "-"??_ ;_ @_ </c:formatCode>
                <c:ptCount val="57"/>
                <c:pt idx="0">
                  <c:v>12278664</c:v>
                </c:pt>
                <c:pt idx="1">
                  <c:v>12278664</c:v>
                </c:pt>
                <c:pt idx="2">
                  <c:v>12278664</c:v>
                </c:pt>
                <c:pt idx="3">
                  <c:v>12278664</c:v>
                </c:pt>
                <c:pt idx="4">
                  <c:v>12278664</c:v>
                </c:pt>
                <c:pt idx="5">
                  <c:v>12278664</c:v>
                </c:pt>
                <c:pt idx="6">
                  <c:v>12278664</c:v>
                </c:pt>
                <c:pt idx="7">
                  <c:v>5584000</c:v>
                </c:pt>
                <c:pt idx="8">
                  <c:v>14884000</c:v>
                </c:pt>
                <c:pt idx="9">
                  <c:v>5384000</c:v>
                </c:pt>
                <c:pt idx="10">
                  <c:v>5384000</c:v>
                </c:pt>
                <c:pt idx="11">
                  <c:v>5084000</c:v>
                </c:pt>
                <c:pt idx="12">
                  <c:v>5084000</c:v>
                </c:pt>
                <c:pt idx="13">
                  <c:v>5084000</c:v>
                </c:pt>
                <c:pt idx="14">
                  <c:v>84000</c:v>
                </c:pt>
                <c:pt idx="15">
                  <c:v>84000</c:v>
                </c:pt>
                <c:pt idx="16">
                  <c:v>84000</c:v>
                </c:pt>
                <c:pt idx="17">
                  <c:v>84000</c:v>
                </c:pt>
                <c:pt idx="18">
                  <c:v>84000</c:v>
                </c:pt>
                <c:pt idx="19">
                  <c:v>84000</c:v>
                </c:pt>
                <c:pt idx="20">
                  <c:v>84000</c:v>
                </c:pt>
                <c:pt idx="21">
                  <c:v>84000</c:v>
                </c:pt>
                <c:pt idx="22">
                  <c:v>84000</c:v>
                </c:pt>
                <c:pt idx="23">
                  <c:v>84000</c:v>
                </c:pt>
                <c:pt idx="24">
                  <c:v>84000</c:v>
                </c:pt>
                <c:pt idx="25">
                  <c:v>84000</c:v>
                </c:pt>
                <c:pt idx="26">
                  <c:v>84000</c:v>
                </c:pt>
                <c:pt idx="27">
                  <c:v>84000</c:v>
                </c:pt>
                <c:pt idx="28">
                  <c:v>84000</c:v>
                </c:pt>
                <c:pt idx="29">
                  <c:v>84000</c:v>
                </c:pt>
                <c:pt idx="30">
                  <c:v>84000</c:v>
                </c:pt>
                <c:pt idx="31">
                  <c:v>84000</c:v>
                </c:pt>
                <c:pt idx="32">
                  <c:v>84000</c:v>
                </c:pt>
                <c:pt idx="33">
                  <c:v>84000</c:v>
                </c:pt>
                <c:pt idx="34">
                  <c:v>84000</c:v>
                </c:pt>
                <c:pt idx="35">
                  <c:v>84000</c:v>
                </c:pt>
                <c:pt idx="36">
                  <c:v>84000</c:v>
                </c:pt>
                <c:pt idx="37">
                  <c:v>84000</c:v>
                </c:pt>
                <c:pt idx="38">
                  <c:v>84000</c:v>
                </c:pt>
                <c:pt idx="39">
                  <c:v>84000</c:v>
                </c:pt>
                <c:pt idx="40">
                  <c:v>84000</c:v>
                </c:pt>
                <c:pt idx="41">
                  <c:v>84000</c:v>
                </c:pt>
                <c:pt idx="42">
                  <c:v>84000</c:v>
                </c:pt>
                <c:pt idx="43">
                  <c:v>84000</c:v>
                </c:pt>
                <c:pt idx="44">
                  <c:v>84000</c:v>
                </c:pt>
                <c:pt idx="45">
                  <c:v>84000</c:v>
                </c:pt>
                <c:pt idx="46">
                  <c:v>84000</c:v>
                </c:pt>
                <c:pt idx="47">
                  <c:v>84000</c:v>
                </c:pt>
                <c:pt idx="48">
                  <c:v>84000</c:v>
                </c:pt>
                <c:pt idx="49">
                  <c:v>84000</c:v>
                </c:pt>
                <c:pt idx="50">
                  <c:v>84000</c:v>
                </c:pt>
                <c:pt idx="51">
                  <c:v>84000</c:v>
                </c:pt>
                <c:pt idx="52">
                  <c:v>84000</c:v>
                </c:pt>
                <c:pt idx="53">
                  <c:v>84000</c:v>
                </c:pt>
                <c:pt idx="54">
                  <c:v>84000</c:v>
                </c:pt>
                <c:pt idx="55">
                  <c:v>84000</c:v>
                </c:pt>
                <c:pt idx="56">
                  <c:v>84000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E4-490F-948F-D15EFA518B75}"/>
            </c:ext>
          </c:extLst>
        </c:ser>
        <c:ser>
          <c:idx val="1"/>
          <c:order val="1"/>
          <c:tx>
            <c:strRef>
              <c:f>'Cashflow Working'!$R$2</c:f>
              <c:strCache>
                <c:ptCount val="1"/>
                <c:pt idx="0">
                  <c:v>max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'Cashflow Working'!$A$3:$A$59</c:f>
              <c:numCache>
                <c:formatCode>General</c:formatCode>
                <c:ptCount val="5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</c:numCache>
            </c:numRef>
          </c:cat>
          <c:val>
            <c:numRef>
              <c:f>'Cashflow Working'!$R$3:$R$59</c:f>
              <c:numCache>
                <c:formatCode>_ * #,##0_ ;_ * \-#,##0_ ;_ * "-"??_ ;_ @_ </c:formatCode>
                <c:ptCount val="57"/>
                <c:pt idx="0">
                  <c:v>16056903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8-4C59-8995-81C65CFF5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640697519"/>
        <c:axId val="498610607"/>
      </c:barChart>
      <c:barChart>
        <c:barDir val="col"/>
        <c:grouping val="stacked"/>
        <c:varyColors val="0"/>
        <c:ser>
          <c:idx val="2"/>
          <c:order val="2"/>
          <c:tx>
            <c:strRef>
              <c:f>'Cashflow Working'!$S$2</c:f>
              <c:strCache>
                <c:ptCount val="1"/>
                <c:pt idx="0">
                  <c:v>Cash Outflow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'Cashflow Working'!$S$3:$S$59</c:f>
              <c:numCache>
                <c:formatCode>_ * #,##0_ ;_ * \-#,##0_ ;_ * "-"??_ ;_ @_ </c:formatCode>
                <c:ptCount val="57"/>
                <c:pt idx="0">
                  <c:v>3626183</c:v>
                </c:pt>
                <c:pt idx="1">
                  <c:v>3388983</c:v>
                </c:pt>
                <c:pt idx="2">
                  <c:v>3626183</c:v>
                </c:pt>
                <c:pt idx="3">
                  <c:v>3414020.920652071</c:v>
                </c:pt>
                <c:pt idx="4">
                  <c:v>3056903</c:v>
                </c:pt>
                <c:pt idx="5">
                  <c:v>3056903</c:v>
                </c:pt>
                <c:pt idx="6">
                  <c:v>3056903</c:v>
                </c:pt>
                <c:pt idx="7">
                  <c:v>2261229</c:v>
                </c:pt>
                <c:pt idx="8">
                  <c:v>2261229</c:v>
                </c:pt>
                <c:pt idx="9">
                  <c:v>2261229</c:v>
                </c:pt>
                <c:pt idx="10">
                  <c:v>2261229</c:v>
                </c:pt>
                <c:pt idx="11">
                  <c:v>2261229</c:v>
                </c:pt>
                <c:pt idx="12">
                  <c:v>2261229</c:v>
                </c:pt>
                <c:pt idx="13">
                  <c:v>2261229</c:v>
                </c:pt>
                <c:pt idx="14">
                  <c:v>2261229</c:v>
                </c:pt>
                <c:pt idx="15">
                  <c:v>2261229</c:v>
                </c:pt>
                <c:pt idx="16">
                  <c:v>2261229</c:v>
                </c:pt>
                <c:pt idx="17">
                  <c:v>2261229</c:v>
                </c:pt>
                <c:pt idx="18">
                  <c:v>2261229</c:v>
                </c:pt>
                <c:pt idx="19">
                  <c:v>2261229</c:v>
                </c:pt>
                <c:pt idx="20">
                  <c:v>2261229</c:v>
                </c:pt>
                <c:pt idx="21">
                  <c:v>2261229</c:v>
                </c:pt>
                <c:pt idx="22">
                  <c:v>2261229</c:v>
                </c:pt>
                <c:pt idx="23">
                  <c:v>2261229</c:v>
                </c:pt>
                <c:pt idx="24">
                  <c:v>2261229</c:v>
                </c:pt>
                <c:pt idx="25">
                  <c:v>2261229</c:v>
                </c:pt>
                <c:pt idx="26">
                  <c:v>2261229</c:v>
                </c:pt>
                <c:pt idx="27">
                  <c:v>2261229</c:v>
                </c:pt>
                <c:pt idx="28">
                  <c:v>2261229</c:v>
                </c:pt>
                <c:pt idx="29">
                  <c:v>2261229</c:v>
                </c:pt>
                <c:pt idx="30">
                  <c:v>2261229</c:v>
                </c:pt>
                <c:pt idx="31">
                  <c:v>2261229</c:v>
                </c:pt>
                <c:pt idx="32">
                  <c:v>2211229</c:v>
                </c:pt>
                <c:pt idx="33">
                  <c:v>2211229</c:v>
                </c:pt>
                <c:pt idx="34">
                  <c:v>2211229</c:v>
                </c:pt>
                <c:pt idx="35">
                  <c:v>2211229</c:v>
                </c:pt>
                <c:pt idx="36">
                  <c:v>2211229</c:v>
                </c:pt>
                <c:pt idx="37">
                  <c:v>2211229</c:v>
                </c:pt>
                <c:pt idx="38">
                  <c:v>2211229</c:v>
                </c:pt>
                <c:pt idx="39">
                  <c:v>2211229</c:v>
                </c:pt>
                <c:pt idx="40">
                  <c:v>2211229</c:v>
                </c:pt>
                <c:pt idx="41">
                  <c:v>2211229</c:v>
                </c:pt>
                <c:pt idx="42">
                  <c:v>2211229</c:v>
                </c:pt>
                <c:pt idx="43">
                  <c:v>2211229</c:v>
                </c:pt>
                <c:pt idx="44">
                  <c:v>2211229</c:v>
                </c:pt>
                <c:pt idx="45">
                  <c:v>2211229</c:v>
                </c:pt>
                <c:pt idx="46">
                  <c:v>2211229</c:v>
                </c:pt>
                <c:pt idx="47">
                  <c:v>2211229</c:v>
                </c:pt>
                <c:pt idx="48">
                  <c:v>2211229</c:v>
                </c:pt>
                <c:pt idx="49">
                  <c:v>2211229</c:v>
                </c:pt>
                <c:pt idx="50">
                  <c:v>2211229</c:v>
                </c:pt>
                <c:pt idx="51">
                  <c:v>2211229</c:v>
                </c:pt>
                <c:pt idx="52">
                  <c:v>2211229</c:v>
                </c:pt>
                <c:pt idx="53">
                  <c:v>2211229</c:v>
                </c:pt>
                <c:pt idx="54">
                  <c:v>2211229</c:v>
                </c:pt>
                <c:pt idx="55">
                  <c:v>2211229</c:v>
                </c:pt>
                <c:pt idx="56">
                  <c:v>2211229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B8-4C59-8995-81C65CFF5844}"/>
            </c:ext>
          </c:extLst>
        </c:ser>
        <c:ser>
          <c:idx val="3"/>
          <c:order val="3"/>
          <c:tx>
            <c:strRef>
              <c:f>'Cashflow Working'!$T$2</c:f>
              <c:strCache>
                <c:ptCount val="1"/>
                <c:pt idx="0">
                  <c:v>Life Events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'Cashflow Working'!$T$3:$T$59</c:f>
              <c:numCache>
                <c:formatCode>#,##0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3000000</c:v>
                </c:pt>
                <c:pt idx="5">
                  <c:v>13000000</c:v>
                </c:pt>
                <c:pt idx="6">
                  <c:v>3000000</c:v>
                </c:pt>
                <c:pt idx="7">
                  <c:v>3000000</c:v>
                </c:pt>
                <c:pt idx="8">
                  <c:v>0</c:v>
                </c:pt>
                <c:pt idx="9">
                  <c:v>0</c:v>
                </c:pt>
                <c:pt idx="10">
                  <c:v>2000000</c:v>
                </c:pt>
                <c:pt idx="11">
                  <c:v>500000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B8-4C59-8995-81C65CFF5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398078352"/>
        <c:axId val="398078768"/>
      </c:barChart>
      <c:catAx>
        <c:axId val="640697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10607"/>
        <c:crosses val="autoZero"/>
        <c:auto val="1"/>
        <c:lblAlgn val="ctr"/>
        <c:lblOffset val="100"/>
        <c:noMultiLvlLbl val="0"/>
      </c:catAx>
      <c:valAx>
        <c:axId val="498610607"/>
        <c:scaling>
          <c:orientation val="minMax"/>
        </c:scaling>
        <c:delete val="0"/>
        <c:axPos val="l"/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97519"/>
        <c:crosses val="autoZero"/>
        <c:crossBetween val="between"/>
      </c:valAx>
      <c:valAx>
        <c:axId val="398078768"/>
        <c:scaling>
          <c:orientation val="minMax"/>
        </c:scaling>
        <c:delete val="1"/>
        <c:axPos val="r"/>
        <c:numFmt formatCode="_ * #,##0_ ;_ * \-#,##0_ ;_ * &quot;-&quot;??_ ;_ @_ " sourceLinked="1"/>
        <c:majorTickMark val="none"/>
        <c:minorTickMark val="none"/>
        <c:tickLblPos val="nextTo"/>
        <c:crossAx val="398078352"/>
        <c:crosses val="max"/>
        <c:crossBetween val="between"/>
      </c:valAx>
      <c:catAx>
        <c:axId val="398078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8078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 b="1"/>
              <a:t>Cashflow Projection with Inflation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'Cashflow Working'!$L$2</c:f>
              <c:strCache>
                <c:ptCount val="1"/>
                <c:pt idx="0">
                  <c:v>Cash Inflow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'Cashflow Working'!$A$3:$A$59</c:f>
              <c:numCache>
                <c:formatCode>General</c:formatCode>
                <c:ptCount val="5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</c:numCache>
            </c:numRef>
          </c:cat>
          <c:val>
            <c:numRef>
              <c:f>'Cashflow Working'!$L$3:$L$59</c:f>
              <c:numCache>
                <c:formatCode>_ * #,##0_ ;_ * \-#,##0_ ;_ * "-"??_ ;_ @_ </c:formatCode>
                <c:ptCount val="57"/>
                <c:pt idx="0">
                  <c:v>12278664</c:v>
                </c:pt>
                <c:pt idx="1">
                  <c:v>13248237.120000001</c:v>
                </c:pt>
                <c:pt idx="2">
                  <c:v>14295076.089600002</c:v>
                </c:pt>
                <c:pt idx="3">
                  <c:v>15425347.176768001</c:v>
                </c:pt>
                <c:pt idx="4">
                  <c:v>16645709.200909443</c:v>
                </c:pt>
                <c:pt idx="5">
                  <c:v>17963352.899482198</c:v>
                </c:pt>
                <c:pt idx="6">
                  <c:v>19386043.442065779</c:v>
                </c:pt>
                <c:pt idx="7">
                  <c:v>7915069.478446357</c:v>
                </c:pt>
                <c:pt idx="8">
                  <c:v>17526556.282029878</c:v>
                </c:pt>
                <c:pt idx="9">
                  <c:v>8440342.4680239093</c:v>
                </c:pt>
                <c:pt idx="10">
                  <c:v>8876150.633069044</c:v>
                </c:pt>
                <c:pt idx="11">
                  <c:v>8635696.7905815691</c:v>
                </c:pt>
                <c:pt idx="12">
                  <c:v>9063281.6301106457</c:v>
                </c:pt>
                <c:pt idx="13">
                  <c:v>9512245.7116161808</c:v>
                </c:pt>
                <c:pt idx="14">
                  <c:v>84000</c:v>
                </c:pt>
                <c:pt idx="15">
                  <c:v>84000</c:v>
                </c:pt>
                <c:pt idx="16">
                  <c:v>84000</c:v>
                </c:pt>
                <c:pt idx="17">
                  <c:v>84000</c:v>
                </c:pt>
                <c:pt idx="18">
                  <c:v>84000</c:v>
                </c:pt>
                <c:pt idx="19">
                  <c:v>84000</c:v>
                </c:pt>
                <c:pt idx="20">
                  <c:v>84000</c:v>
                </c:pt>
                <c:pt idx="21">
                  <c:v>84000</c:v>
                </c:pt>
                <c:pt idx="22">
                  <c:v>84000</c:v>
                </c:pt>
                <c:pt idx="23">
                  <c:v>84000</c:v>
                </c:pt>
                <c:pt idx="24">
                  <c:v>84000</c:v>
                </c:pt>
                <c:pt idx="25">
                  <c:v>84000</c:v>
                </c:pt>
                <c:pt idx="26">
                  <c:v>84000</c:v>
                </c:pt>
                <c:pt idx="27">
                  <c:v>84000</c:v>
                </c:pt>
                <c:pt idx="28">
                  <c:v>84000</c:v>
                </c:pt>
                <c:pt idx="29">
                  <c:v>84000</c:v>
                </c:pt>
                <c:pt idx="30">
                  <c:v>84000</c:v>
                </c:pt>
                <c:pt idx="31">
                  <c:v>84000</c:v>
                </c:pt>
                <c:pt idx="32">
                  <c:v>84000</c:v>
                </c:pt>
                <c:pt idx="33">
                  <c:v>84000</c:v>
                </c:pt>
                <c:pt idx="34">
                  <c:v>84000</c:v>
                </c:pt>
                <c:pt idx="35">
                  <c:v>84000</c:v>
                </c:pt>
                <c:pt idx="36">
                  <c:v>84000</c:v>
                </c:pt>
                <c:pt idx="37">
                  <c:v>84000</c:v>
                </c:pt>
                <c:pt idx="38">
                  <c:v>84000</c:v>
                </c:pt>
                <c:pt idx="39">
                  <c:v>84000</c:v>
                </c:pt>
                <c:pt idx="40">
                  <c:v>84000</c:v>
                </c:pt>
                <c:pt idx="41">
                  <c:v>84000</c:v>
                </c:pt>
                <c:pt idx="42">
                  <c:v>84000</c:v>
                </c:pt>
                <c:pt idx="43">
                  <c:v>84000</c:v>
                </c:pt>
                <c:pt idx="44">
                  <c:v>84000</c:v>
                </c:pt>
                <c:pt idx="45">
                  <c:v>84000</c:v>
                </c:pt>
                <c:pt idx="46">
                  <c:v>84000</c:v>
                </c:pt>
                <c:pt idx="47">
                  <c:v>84000</c:v>
                </c:pt>
                <c:pt idx="48">
                  <c:v>84000</c:v>
                </c:pt>
                <c:pt idx="49">
                  <c:v>84000</c:v>
                </c:pt>
                <c:pt idx="50">
                  <c:v>84000</c:v>
                </c:pt>
                <c:pt idx="51">
                  <c:v>84000</c:v>
                </c:pt>
                <c:pt idx="52">
                  <c:v>84000</c:v>
                </c:pt>
                <c:pt idx="53">
                  <c:v>84000</c:v>
                </c:pt>
                <c:pt idx="54">
                  <c:v>84000</c:v>
                </c:pt>
                <c:pt idx="55">
                  <c:v>84000</c:v>
                </c:pt>
                <c:pt idx="56">
                  <c:v>84000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3-4106-A404-0FDC4BAC5A5D}"/>
            </c:ext>
          </c:extLst>
        </c:ser>
        <c:ser>
          <c:idx val="1"/>
          <c:order val="1"/>
          <c:tx>
            <c:strRef>
              <c:f>'Cashflow Working'!$M$2</c:f>
              <c:strCache>
                <c:ptCount val="1"/>
                <c:pt idx="0">
                  <c:v>max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'Cashflow Working'!$A$3:$A$59</c:f>
              <c:numCache>
                <c:formatCode>General</c:formatCode>
                <c:ptCount val="5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</c:numCache>
            </c:numRef>
          </c:cat>
          <c:val>
            <c:numRef>
              <c:f>'Cashflow Working'!$M$3:$M$59</c:f>
              <c:numCache>
                <c:formatCode>_ * #,##0_ ;_ * \-#,##0_ ;_ * "-"??_ ;_ @_ </c:formatCode>
                <c:ptCount val="57"/>
                <c:pt idx="0">
                  <c:v>164575062.50972965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93-4106-A404-0FDC4BAC5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645132271"/>
        <c:axId val="643081855"/>
      </c:barChart>
      <c:barChart>
        <c:barDir val="col"/>
        <c:grouping val="stacked"/>
        <c:varyColors val="0"/>
        <c:ser>
          <c:idx val="2"/>
          <c:order val="2"/>
          <c:tx>
            <c:strRef>
              <c:f>'Cashflow Working'!$N$2</c:f>
              <c:strCache>
                <c:ptCount val="1"/>
                <c:pt idx="0">
                  <c:v>Cash Outflow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'Cashflow Working'!$N$3:$N$59</c:f>
              <c:numCache>
                <c:formatCode>_ * #,##0_ ;_ * \-#,##0_ ;_ * "-"??_ ;_ @_ </c:formatCode>
                <c:ptCount val="57"/>
                <c:pt idx="0">
                  <c:v>3626183</c:v>
                </c:pt>
                <c:pt idx="1">
                  <c:v>3613881.3200000003</c:v>
                </c:pt>
                <c:pt idx="2">
                  <c:v>4093971.5056000003</c:v>
                </c:pt>
                <c:pt idx="3">
                  <c:v>4144130.8267000713</c:v>
                </c:pt>
                <c:pt idx="4">
                  <c:v>4070320.0185318412</c:v>
                </c:pt>
                <c:pt idx="5">
                  <c:v>4376291.7000143863</c:v>
                </c:pt>
                <c:pt idx="6">
                  <c:v>4706741.1160155404</c:v>
                </c:pt>
                <c:pt idx="7">
                  <c:v>3875349.137468046</c:v>
                </c:pt>
                <c:pt idx="8">
                  <c:v>4185377.0684654904</c:v>
                </c:pt>
                <c:pt idx="9">
                  <c:v>4520207.2339427304</c:v>
                </c:pt>
                <c:pt idx="10">
                  <c:v>4881823.812658146</c:v>
                </c:pt>
                <c:pt idx="11">
                  <c:v>5272369.7176708002</c:v>
                </c:pt>
                <c:pt idx="12">
                  <c:v>5694159.2950844644</c:v>
                </c:pt>
                <c:pt idx="13">
                  <c:v>6149692.0386912227</c:v>
                </c:pt>
                <c:pt idx="14">
                  <c:v>6641667.4017865211</c:v>
                </c:pt>
                <c:pt idx="15">
                  <c:v>7173000.7939294428</c:v>
                </c:pt>
                <c:pt idx="16">
                  <c:v>7746840.8574437993</c:v>
                </c:pt>
                <c:pt idx="17">
                  <c:v>8366588.126039302</c:v>
                </c:pt>
                <c:pt idx="18">
                  <c:v>9035915.1761224475</c:v>
                </c:pt>
                <c:pt idx="19">
                  <c:v>9758788.3902122453</c:v>
                </c:pt>
                <c:pt idx="20">
                  <c:v>10539491.461429223</c:v>
                </c:pt>
                <c:pt idx="21">
                  <c:v>11382650.778343562</c:v>
                </c:pt>
                <c:pt idx="22">
                  <c:v>12293262.840611048</c:v>
                </c:pt>
                <c:pt idx="23">
                  <c:v>13276723.867859932</c:v>
                </c:pt>
                <c:pt idx="24">
                  <c:v>14338861.777288727</c:v>
                </c:pt>
                <c:pt idx="25">
                  <c:v>15485970.719471829</c:v>
                </c:pt>
                <c:pt idx="26">
                  <c:v>16724848.377029575</c:v>
                </c:pt>
                <c:pt idx="27">
                  <c:v>18062836.247191936</c:v>
                </c:pt>
                <c:pt idx="28">
                  <c:v>19507863.146967296</c:v>
                </c:pt>
                <c:pt idx="29">
                  <c:v>21068492.19872468</c:v>
                </c:pt>
                <c:pt idx="30">
                  <c:v>22753971.574622657</c:v>
                </c:pt>
                <c:pt idx="31">
                  <c:v>24574289.300592475</c:v>
                </c:pt>
                <c:pt idx="32">
                  <c:v>25953378.294869103</c:v>
                </c:pt>
                <c:pt idx="33">
                  <c:v>28029648.558458634</c:v>
                </c:pt>
                <c:pt idx="34">
                  <c:v>30272020.443135325</c:v>
                </c:pt>
                <c:pt idx="35">
                  <c:v>32693782.078586154</c:v>
                </c:pt>
                <c:pt idx="36">
                  <c:v>35309284.644873053</c:v>
                </c:pt>
                <c:pt idx="37">
                  <c:v>38134027.416462898</c:v>
                </c:pt>
                <c:pt idx="38">
                  <c:v>41184749.609779932</c:v>
                </c:pt>
                <c:pt idx="39">
                  <c:v>44479529.578562327</c:v>
                </c:pt>
                <c:pt idx="40">
                  <c:v>48037891.944847323</c:v>
                </c:pt>
                <c:pt idx="41">
                  <c:v>51880923.300435111</c:v>
                </c:pt>
                <c:pt idx="42">
                  <c:v>56031397.164469905</c:v>
                </c:pt>
                <c:pt idx="43">
                  <c:v>60513908.937627502</c:v>
                </c:pt>
                <c:pt idx="44">
                  <c:v>65355021.65263772</c:v>
                </c:pt>
                <c:pt idx="45">
                  <c:v>70583423.384848729</c:v>
                </c:pt>
                <c:pt idx="46">
                  <c:v>76230097.255636647</c:v>
                </c:pt>
                <c:pt idx="47">
                  <c:v>82328505.036087587</c:v>
                </c:pt>
                <c:pt idx="48">
                  <c:v>88914785.438974574</c:v>
                </c:pt>
                <c:pt idx="49">
                  <c:v>96027968.274092555</c:v>
                </c:pt>
                <c:pt idx="50">
                  <c:v>103710205.73601997</c:v>
                </c:pt>
                <c:pt idx="51">
                  <c:v>112007022.19490159</c:v>
                </c:pt>
                <c:pt idx="52">
                  <c:v>120967583.9704937</c:v>
                </c:pt>
                <c:pt idx="53">
                  <c:v>130644990.68813318</c:v>
                </c:pt>
                <c:pt idx="54">
                  <c:v>141096589.94318387</c:v>
                </c:pt>
                <c:pt idx="55">
                  <c:v>152384317.13863859</c:v>
                </c:pt>
                <c:pt idx="56">
                  <c:v>164575062.50972965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86-4AC7-91C1-EB9E87B4C018}"/>
            </c:ext>
          </c:extLst>
        </c:ser>
        <c:ser>
          <c:idx val="3"/>
          <c:order val="3"/>
          <c:tx>
            <c:strRef>
              <c:f>'Cashflow Working'!$O$2</c:f>
              <c:strCache>
                <c:ptCount val="1"/>
                <c:pt idx="0">
                  <c:v>Life Events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'Cashflow Working'!$O$3:$O$59</c:f>
              <c:numCache>
                <c:formatCode>#,##0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3509575.6800000006</c:v>
                </c:pt>
                <c:pt idx="5">
                  <c:v>15242699.450199999</c:v>
                </c:pt>
                <c:pt idx="6">
                  <c:v>3795957.0554880011</c:v>
                </c:pt>
                <c:pt idx="7">
                  <c:v>3947795.3377075209</c:v>
                </c:pt>
                <c:pt idx="8">
                  <c:v>0</c:v>
                </c:pt>
                <c:pt idx="9">
                  <c:v>0</c:v>
                </c:pt>
                <c:pt idx="10">
                  <c:v>4317849.9945455752</c:v>
                </c:pt>
                <c:pt idx="11">
                  <c:v>1165819.4985273054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86-4AC7-91C1-EB9E87B4C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701289680"/>
        <c:axId val="701284688"/>
      </c:barChart>
      <c:catAx>
        <c:axId val="645132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081855"/>
        <c:crosses val="autoZero"/>
        <c:auto val="1"/>
        <c:lblAlgn val="ctr"/>
        <c:lblOffset val="100"/>
        <c:noMultiLvlLbl val="0"/>
      </c:catAx>
      <c:valAx>
        <c:axId val="643081855"/>
        <c:scaling>
          <c:orientation val="minMax"/>
        </c:scaling>
        <c:delete val="0"/>
        <c:axPos val="l"/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32271"/>
        <c:crosses val="autoZero"/>
        <c:crossBetween val="between"/>
      </c:valAx>
      <c:valAx>
        <c:axId val="701284688"/>
        <c:scaling>
          <c:orientation val="minMax"/>
        </c:scaling>
        <c:delete val="1"/>
        <c:axPos val="r"/>
        <c:numFmt formatCode="_ * #,##0_ ;_ * \-#,##0_ ;_ * &quot;-&quot;??_ ;_ @_ " sourceLinked="1"/>
        <c:majorTickMark val="none"/>
        <c:minorTickMark val="none"/>
        <c:tickLblPos val="nextTo"/>
        <c:crossAx val="701289680"/>
        <c:crosses val="max"/>
        <c:crossBetween val="between"/>
      </c:valAx>
      <c:catAx>
        <c:axId val="7012896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01284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Networth Growth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'NWGC - AS IS'!$AB$9</c:f>
              <c:strCache>
                <c:ptCount val="1"/>
                <c:pt idx="0">
                  <c:v>Total Withdrawals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cat>
            <c:numRef>
              <c:f>'NWGC - AS IS'!$AA$11:$AA$73</c:f>
              <c:numCache>
                <c:formatCode>General</c:formatCode>
                <c:ptCount val="63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cat>
          <c:val>
            <c:numRef>
              <c:f>'NWGC - AS IS'!$AB$11:$AB$73</c:f>
              <c:numCache>
                <c:formatCode>_ * #,##0_ ;_ * \-#,##0_ ;_ * "-"??_ ;_ @_ 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3509575.6800000006</c:v>
                </c:pt>
                <c:pt idx="5">
                  <c:v>15242699.450199999</c:v>
                </c:pt>
                <c:pt idx="6">
                  <c:v>3795957.0554880011</c:v>
                </c:pt>
                <c:pt idx="7">
                  <c:v>6857885.8965714853</c:v>
                </c:pt>
                <c:pt idx="8">
                  <c:v>0</c:v>
                </c:pt>
                <c:pt idx="9">
                  <c:v>3736555.6144561796</c:v>
                </c:pt>
                <c:pt idx="10">
                  <c:v>8360050.0581582468</c:v>
                </c:pt>
                <c:pt idx="11">
                  <c:v>6237607.2663453743</c:v>
                </c:pt>
                <c:pt idx="12">
                  <c:v>5484250.7892435156</c:v>
                </c:pt>
                <c:pt idx="13">
                  <c:v>5929710.8523829971</c:v>
                </c:pt>
                <c:pt idx="14">
                  <c:v>6410807.7205736376</c:v>
                </c:pt>
                <c:pt idx="15">
                  <c:v>6930392.338219529</c:v>
                </c:pt>
                <c:pt idx="16">
                  <c:v>7491543.7252770923</c:v>
                </c:pt>
                <c:pt idx="17">
                  <c:v>8097587.2232992593</c:v>
                </c:pt>
                <c:pt idx="18">
                  <c:v>8752114.2011632025</c:v>
                </c:pt>
                <c:pt idx="19">
                  <c:v>9459003.3372562584</c:v>
                </c:pt>
                <c:pt idx="20">
                  <c:v>10222443.604236759</c:v>
                </c:pt>
                <c:pt idx="21">
                  <c:v>11046959.092575699</c:v>
                </c:pt>
                <c:pt idx="22">
                  <c:v>11937435.819981758</c:v>
                </c:pt>
                <c:pt idx="23">
                  <c:v>12899150.685580298</c:v>
                </c:pt>
                <c:pt idx="24">
                  <c:v>13937802.740426721</c:v>
                </c:pt>
                <c:pt idx="25">
                  <c:v>15059546.95966086</c:v>
                </c:pt>
                <c:pt idx="26">
                  <c:v>16271030.71643373</c:v>
                </c:pt>
                <c:pt idx="27">
                  <c:v>17579433.173748426</c:v>
                </c:pt>
                <c:pt idx="28">
                  <c:v>18992507.827648301</c:v>
                </c:pt>
                <c:pt idx="29">
                  <c:v>20518628.453860171</c:v>
                </c:pt>
                <c:pt idx="30">
                  <c:v>22166838.730168987</c:v>
                </c:pt>
                <c:pt idx="31">
                  <c:v>23946905.828582503</c:v>
                </c:pt>
                <c:pt idx="32">
                  <c:v>25869378.294869103</c:v>
                </c:pt>
                <c:pt idx="33">
                  <c:v>27945648.558458634</c:v>
                </c:pt>
                <c:pt idx="34">
                  <c:v>30188020.443135325</c:v>
                </c:pt>
                <c:pt idx="35">
                  <c:v>32609782.078586154</c:v>
                </c:pt>
                <c:pt idx="36">
                  <c:v>35225284.644873053</c:v>
                </c:pt>
                <c:pt idx="37">
                  <c:v>38050027.416462898</c:v>
                </c:pt>
                <c:pt idx="38">
                  <c:v>25381971.845803551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A8-45F3-9D26-80EC6E387496}"/>
            </c:ext>
          </c:extLst>
        </c:ser>
        <c:ser>
          <c:idx val="1"/>
          <c:order val="1"/>
          <c:tx>
            <c:strRef>
              <c:f>'NWGC - AS IS'!$AC$9</c:f>
              <c:strCache>
                <c:ptCount val="1"/>
                <c:pt idx="0">
                  <c:v>Net worth at the end of the year (Realisable)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cat>
            <c:numRef>
              <c:f>'NWGC - AS IS'!$AA$11:$AA$73</c:f>
              <c:numCache>
                <c:formatCode>General</c:formatCode>
                <c:ptCount val="63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cat>
          <c:val>
            <c:numRef>
              <c:f>'NWGC - AS IS'!$AC$11:$AC$73</c:f>
              <c:numCache>
                <c:formatCode>#,##0</c:formatCode>
                <c:ptCount val="63"/>
                <c:pt idx="0">
                  <c:v>19739631.885000002</c:v>
                </c:pt>
                <c:pt idx="1">
                  <c:v>28288738.308349658</c:v>
                </c:pt>
                <c:pt idx="2" formatCode="_ * #,##0_ ;_ * \-#,##0_ ;_ * &quot;-&quot;??_ ;_ @_ ">
                  <c:v>38208624.89649529</c:v>
                </c:pt>
                <c:pt idx="3" formatCode="_ * #,##0_ ;_ * \-#,##0_ ;_ * &quot;-&quot;??_ ;_ @_ ">
                  <c:v>50187064.942046508</c:v>
                </c:pt>
                <c:pt idx="4" formatCode="_ * #,##0_ ;_ * \-#,##0_ ;_ * &quot;-&quot;??_ ;_ @_ ">
                  <c:v>60386803.63467212</c:v>
                </c:pt>
                <c:pt idx="5" formatCode="_ * #,##0_ ;_ * \-#,##0_ ;_ * &quot;-&quot;??_ ;_ @_ ">
                  <c:v>60207972.472017586</c:v>
                </c:pt>
                <c:pt idx="6" formatCode="_ * #,##0_ ;_ * \-#,##0_ ;_ * &quot;-&quot;??_ ;_ @_ ">
                  <c:v>158688656.08484358</c:v>
                </c:pt>
                <c:pt idx="7" formatCode="_ * #,##0_ ;_ * \-#,##0_ ;_ * &quot;-&quot;??_ ;_ @_ ">
                  <c:v>162925294.14664334</c:v>
                </c:pt>
                <c:pt idx="8" formatCode="_ * #,##0_ ;_ * \-#,##0_ ;_ * &quot;-&quot;??_ ;_ @_ ">
                  <c:v>180745827.97346497</c:v>
                </c:pt>
                <c:pt idx="9" formatCode="_ * #,##0_ ;_ * \-#,##0_ ;_ * &quot;-&quot;??_ ;_ @_ ">
                  <c:v>189377218.6397292</c:v>
                </c:pt>
                <c:pt idx="10" formatCode="_ * #,##0_ ;_ * \-#,##0_ ;_ * &quot;-&quot;??_ ;_ @_ ">
                  <c:v>193593483.35423115</c:v>
                </c:pt>
                <c:pt idx="11" formatCode="_ * #,##0_ ;_ * \-#,##0_ ;_ * &quot;-&quot;??_ ;_ @_ ">
                  <c:v>200242926.4315863</c:v>
                </c:pt>
                <c:pt idx="12" formatCode="_ * #,##0_ ;_ * \-#,##0_ ;_ * &quot;-&quot;??_ ;_ @_ ">
                  <c:v>207984358.02438226</c:v>
                </c:pt>
                <c:pt idx="13" formatCode="_ * #,##0_ ;_ * \-#,##0_ ;_ * &quot;-&quot;??_ ;_ @_ ">
                  <c:v>215576971.48395598</c:v>
                </c:pt>
                <c:pt idx="14" formatCode="_ * #,##0_ ;_ * \-#,##0_ ;_ * &quot;-&quot;??_ ;_ @_ ">
                  <c:v>222932611.6418995</c:v>
                </c:pt>
                <c:pt idx="15" formatCode="_ * #,##0_ ;_ * \-#,##0_ ;_ * &quot;-&quot;??_ ;_ @_ ">
                  <c:v>229948136.91550046</c:v>
                </c:pt>
                <c:pt idx="16" formatCode="_ * #,##0_ ;_ * \-#,##0_ ;_ * &quot;-&quot;??_ ;_ @_ ">
                  <c:v>236503372.59525275</c:v>
                </c:pt>
                <c:pt idx="17" formatCode="_ * #,##0_ ;_ * \-#,##0_ ;_ * &quot;-&quot;??_ ;_ @_ ">
                  <c:v>242458808.50918129</c:v>
                </c:pt>
                <c:pt idx="18" formatCode="_ * #,##0_ ;_ * \-#,##0_ ;_ * &quot;-&quot;??_ ;_ @_ ">
                  <c:v>247653010.58209121</c:v>
                </c:pt>
                <c:pt idx="19" formatCode="_ * #,##0_ ;_ * \-#,##0_ ;_ * &quot;-&quot;??_ ;_ @_ ">
                  <c:v>251899712.26992586</c:v>
                </c:pt>
                <c:pt idx="20" formatCode="_ * #,##0_ ;_ * \-#,##0_ ;_ * &quot;-&quot;??_ ;_ @_ ">
                  <c:v>254984547.90775675</c:v>
                </c:pt>
                <c:pt idx="21" formatCode="_ * #,##0_ ;_ * \-#,##0_ ;_ * &quot;-&quot;??_ ;_ @_ ">
                  <c:v>257354156.20001599</c:v>
                </c:pt>
                <c:pt idx="22" formatCode="_ * #,##0_ ;_ * \-#,##0_ ;_ * &quot;-&quot;??_ ;_ @_ ">
                  <c:v>258914640.00093612</c:v>
                </c:pt>
                <c:pt idx="23" formatCode="_ * #,##0_ ;_ * \-#,##0_ ;_ * &quot;-&quot;??_ ;_ @_ ">
                  <c:v>259546341.22770038</c:v>
                </c:pt>
                <c:pt idx="24" formatCode="_ * #,##0_ ;_ * \-#,##0_ ;_ * &quot;-&quot;??_ ;_ @_ ">
                  <c:v>259117008.1040737</c:v>
                </c:pt>
                <c:pt idx="25" formatCode="_ * #,##0_ ;_ * \-#,##0_ ;_ * &quot;-&quot;??_ ;_ @_ ">
                  <c:v>257480621.50735554</c:v>
                </c:pt>
                <c:pt idx="26" formatCode="_ * #,##0_ ;_ * \-#,##0_ ;_ * &quot;-&quot;??_ ;_ @_ ">
                  <c:v>254476118.28442249</c:v>
                </c:pt>
                <c:pt idx="27" formatCode="_ * #,##0_ ;_ * \-#,##0_ ;_ * &quot;-&quot;??_ ;_ @_ ">
                  <c:v>249926002.7917611</c:v>
                </c:pt>
                <c:pt idx="28" formatCode="_ * #,##0_ ;_ * \-#,##0_ ;_ * &quot;-&quot;??_ ;_ @_ ">
                  <c:v>243634837.18713897</c:v>
                </c:pt>
                <c:pt idx="29" formatCode="_ * #,##0_ ;_ * \-#,##0_ ;_ * &quot;-&quot;??_ ;_ @_ ">
                  <c:v>235387600.21360913</c:v>
                </c:pt>
                <c:pt idx="30" formatCode="_ * #,##0_ ;_ * \-#,##0_ ;_ * &quot;-&quot;??_ ;_ @_ ">
                  <c:v>224947903.36502934</c:v>
                </c:pt>
                <c:pt idx="31" formatCode="_ * #,##0_ ;_ * \-#,##0_ ;_ * &quot;-&quot;??_ ;_ @_ ">
                  <c:v>212056052.40095142</c:v>
                </c:pt>
                <c:pt idx="32" formatCode="_ * #,##0_ ;_ * \-#,##0_ ;_ * &quot;-&quot;??_ ;_ @_ ">
                  <c:v>196426941.18191683</c:v>
                </c:pt>
                <c:pt idx="33" formatCode="_ * #,##0_ ;_ * \-#,##0_ ;_ * &quot;-&quot;??_ ;_ @_ ">
                  <c:v>177747763.7177484</c:v>
                </c:pt>
                <c:pt idx="34" formatCode="_ * #,##0_ ;_ * \-#,##0_ ;_ * &quot;-&quot;??_ ;_ @_ ">
                  <c:v>155675529.15471679</c:v>
                </c:pt>
                <c:pt idx="35" formatCode="_ * #,##0_ ;_ * \-#,##0_ ;_ * &quot;-&quot;??_ ;_ @_ ">
                  <c:v>129834363.1653178</c:v>
                </c:pt>
                <c:pt idx="36" formatCode="_ * #,##0_ ;_ * \-#,##0_ ;_ * &quot;-&quot;??_ ;_ @_ ">
                  <c:v>99812577.839069203</c:v>
                </c:pt>
                <c:pt idx="37" formatCode="_ * #,##0_ ;_ * \-#,##0_ ;_ * &quot;-&quot;??_ ;_ @_ ">
                  <c:v>65159490.69584965</c:v>
                </c:pt>
                <c:pt idx="38" formatCode="_ * #,##0_ ;_ * \-#,##0_ ;_ * &quot;-&quot;??_ ;_ @_ ">
                  <c:v>25381971.845803551</c:v>
                </c:pt>
                <c:pt idx="39" formatCode="_ * #,##0_ ;_ * \-#,##0_ ;_ * &quot;-&quot;??_ ;_ @_ ">
                  <c:v>0</c:v>
                </c:pt>
                <c:pt idx="40" formatCode="_ * #,##0_ ;_ * \-#,##0_ ;_ * &quot;-&quot;??_ ;_ @_ ">
                  <c:v>0</c:v>
                </c:pt>
                <c:pt idx="41" formatCode="_ * #,##0_ ;_ * \-#,##0_ ;_ * &quot;-&quot;??_ ;_ @_ ">
                  <c:v>0</c:v>
                </c:pt>
                <c:pt idx="42" formatCode="_ * #,##0_ ;_ * \-#,##0_ ;_ * &quot;-&quot;??_ ;_ @_ ">
                  <c:v>0</c:v>
                </c:pt>
                <c:pt idx="43" formatCode="_ * #,##0_ ;_ * \-#,##0_ ;_ * &quot;-&quot;??_ ;_ @_ ">
                  <c:v>0</c:v>
                </c:pt>
                <c:pt idx="44" formatCode="_ * #,##0_ ;_ * \-#,##0_ ;_ * &quot;-&quot;??_ ;_ @_ ">
                  <c:v>0</c:v>
                </c:pt>
                <c:pt idx="45" formatCode="_ * #,##0_ ;_ * \-#,##0_ ;_ * &quot;-&quot;??_ ;_ @_ ">
                  <c:v>0</c:v>
                </c:pt>
                <c:pt idx="46" formatCode="_ * #,##0_ ;_ * \-#,##0_ ;_ * &quot;-&quot;??_ ;_ @_ ">
                  <c:v>0</c:v>
                </c:pt>
                <c:pt idx="47" formatCode="_ * #,##0_ ;_ * \-#,##0_ ;_ * &quot;-&quot;??_ ;_ @_ ">
                  <c:v>0</c:v>
                </c:pt>
                <c:pt idx="48" formatCode="_ * #,##0_ ;_ * \-#,##0_ ;_ * &quot;-&quot;??_ ;_ @_ ">
                  <c:v>0</c:v>
                </c:pt>
                <c:pt idx="49" formatCode="_ * #,##0_ ;_ * \-#,##0_ ;_ * &quot;-&quot;??_ ;_ @_ ">
                  <c:v>0</c:v>
                </c:pt>
                <c:pt idx="50" formatCode="_ * #,##0_ ;_ * \-#,##0_ ;_ * &quot;-&quot;??_ ;_ @_ ">
                  <c:v>0</c:v>
                </c:pt>
                <c:pt idx="51" formatCode="_ * #,##0_ ;_ * \-#,##0_ ;_ * &quot;-&quot;??_ ;_ @_ ">
                  <c:v>0</c:v>
                </c:pt>
                <c:pt idx="52" formatCode="_ * #,##0_ ;_ * \-#,##0_ ;_ * &quot;-&quot;??_ ;_ @_ ">
                  <c:v>0</c:v>
                </c:pt>
                <c:pt idx="53" formatCode="_ * #,##0_ ;_ * \-#,##0_ ;_ * &quot;-&quot;??_ ;_ @_ ">
                  <c:v>0</c:v>
                </c:pt>
                <c:pt idx="54" formatCode="_ * #,##0_ ;_ * \-#,##0_ ;_ * &quot;-&quot;??_ ;_ @_ ">
                  <c:v>0</c:v>
                </c:pt>
                <c:pt idx="55" formatCode="_ * #,##0_ ;_ * \-#,##0_ ;_ * &quot;-&quot;??_ ;_ @_ ">
                  <c:v>0</c:v>
                </c:pt>
                <c:pt idx="56" formatCode="_ * #,##0_ ;_ * \-#,##0_ ;_ * &quot;-&quot;??_ ;_ @_ ">
                  <c:v>0</c:v>
                </c:pt>
                <c:pt idx="57" formatCode="_ * #,##0_ ;_ * \-#,##0_ ;_ * &quot;-&quot;??_ ;_ @_ ">
                  <c:v>0</c:v>
                </c:pt>
                <c:pt idx="58" formatCode="_ * #,##0_ ;_ * \-#,##0_ ;_ * &quot;-&quot;??_ ;_ @_ ">
                  <c:v>0</c:v>
                </c:pt>
                <c:pt idx="59" formatCode="_ * #,##0_ ;_ * \-#,##0_ ;_ * &quot;-&quot;??_ ;_ @_ ">
                  <c:v>0</c:v>
                </c:pt>
                <c:pt idx="60" formatCode="_ * #,##0_ ;_ * \-#,##0_ ;_ * &quot;-&quot;??_ ;_ @_ ">
                  <c:v>0</c:v>
                </c:pt>
                <c:pt idx="61" formatCode="_ * #,##0_ ;_ * \-#,##0_ ;_ * &quot;-&quot;??_ ;_ @_ ">
                  <c:v>0</c:v>
                </c:pt>
                <c:pt idx="62" formatCode="_ * #,##0_ ;_ * \-#,##0_ ;_ * &quot;-&quot;??_ ;_ @_ 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A8-45F3-9D26-80EC6E387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39167"/>
        <c:axId val="130538687"/>
      </c:areaChart>
      <c:lineChart>
        <c:grouping val="standard"/>
        <c:varyColors val="0"/>
        <c:ser>
          <c:idx val="2"/>
          <c:order val="2"/>
          <c:tx>
            <c:strRef>
              <c:f>'NWGC - AS IS'!$AD$9</c:f>
              <c:strCache>
                <c:ptCount val="1"/>
                <c:pt idx="0">
                  <c:v>Net worth at the end of the year (Un-Realisable)</c:v>
                </c:pt>
              </c:strCache>
            </c:strRef>
          </c:tx>
          <c:spPr>
            <a:ln w="28575" cap="rnd">
              <a:solidFill>
                <a:srgbClr val="3EF90B"/>
              </a:solidFill>
              <a:round/>
            </a:ln>
            <a:effectLst/>
          </c:spPr>
          <c:marker>
            <c:symbol val="none"/>
          </c:marker>
          <c:cat>
            <c:numRef>
              <c:f>'NWGC - AS IS'!$AA$11:$AA$73</c:f>
              <c:numCache>
                <c:formatCode>General</c:formatCode>
                <c:ptCount val="63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cat>
          <c:val>
            <c:numRef>
              <c:f>'NWGC - AS IS'!$AD$11:$AD$73</c:f>
              <c:numCache>
                <c:formatCode>_ * #,##0_ ;_ * \-#,##0_ ;_ * "-"??_ ;_ @_ </c:formatCode>
                <c:ptCount val="63"/>
                <c:pt idx="0">
                  <c:v>56264032</c:v>
                </c:pt>
                <c:pt idx="1">
                  <c:v>62916174.695615754</c:v>
                </c:pt>
                <c:pt idx="2">
                  <c:v>70212818.707473993</c:v>
                </c:pt>
                <c:pt idx="3">
                  <c:v>78215677.724609286</c:v>
                </c:pt>
                <c:pt idx="4">
                  <c:v>86992284.713648722</c:v>
                </c:pt>
                <c:pt idx="5">
                  <c:v>108209274.75950752</c:v>
                </c:pt>
                <c:pt idx="6">
                  <c:v>25912201.878042016</c:v>
                </c:pt>
                <c:pt idx="7">
                  <c:v>26759922.955516092</c:v>
                </c:pt>
                <c:pt idx="8">
                  <c:v>27636593.416371025</c:v>
                </c:pt>
                <c:pt idx="9">
                  <c:v>28543257.629661083</c:v>
                </c:pt>
                <c:pt idx="10">
                  <c:v>29481000.089889787</c:v>
                </c:pt>
                <c:pt idx="11">
                  <c:v>30450947.060492299</c:v>
                </c:pt>
                <c:pt idx="12">
                  <c:v>31454268.288608175</c:v>
                </c:pt>
                <c:pt idx="13">
                  <c:v>32492178.79438258</c:v>
                </c:pt>
                <c:pt idx="14">
                  <c:v>33565940.738186032</c:v>
                </c:pt>
                <c:pt idx="15">
                  <c:v>34676865.369302176</c:v>
                </c:pt>
                <c:pt idx="16">
                  <c:v>35826315.059800342</c:v>
                </c:pt>
                <c:pt idx="17">
                  <c:v>37015705.427484408</c:v>
                </c:pt>
                <c:pt idx="18">
                  <c:v>38246507.551993497</c:v>
                </c:pt>
                <c:pt idx="19">
                  <c:v>39520250.288322084</c:v>
                </c:pt>
                <c:pt idx="20">
                  <c:v>40838522.682228968</c:v>
                </c:pt>
                <c:pt idx="21">
                  <c:v>42202976.492215924</c:v>
                </c:pt>
                <c:pt idx="22">
                  <c:v>43615328.822978489</c:v>
                </c:pt>
                <c:pt idx="23">
                  <c:v>45077364.875463739</c:v>
                </c:pt>
                <c:pt idx="24">
                  <c:v>46590940.818913333</c:v>
                </c:pt>
                <c:pt idx="25">
                  <c:v>48157986.790525705</c:v>
                </c:pt>
                <c:pt idx="26">
                  <c:v>49780510.028638698</c:v>
                </c:pt>
                <c:pt idx="27">
                  <c:v>51460598.145614937</c:v>
                </c:pt>
                <c:pt idx="28">
                  <c:v>53200422.546906322</c:v>
                </c:pt>
                <c:pt idx="29">
                  <c:v>55002242.003082588</c:v>
                </c:pt>
                <c:pt idx="30">
                  <c:v>56868406.381932601</c:v>
                </c:pt>
                <c:pt idx="31">
                  <c:v>58801360.548085988</c:v>
                </c:pt>
                <c:pt idx="32">
                  <c:v>60803648.437958747</c:v>
                </c:pt>
                <c:pt idx="33">
                  <c:v>62877917.318199202</c:v>
                </c:pt>
                <c:pt idx="34">
                  <c:v>65026922.236201957</c:v>
                </c:pt>
                <c:pt idx="35">
                  <c:v>67253530.671667635</c:v>
                </c:pt>
                <c:pt idx="36">
                  <c:v>69560727.398616254</c:v>
                </c:pt>
                <c:pt idx="37">
                  <c:v>71951619.567713261</c:v>
                </c:pt>
                <c:pt idx="38">
                  <c:v>74429442.019240111</c:v>
                </c:pt>
                <c:pt idx="39">
                  <c:v>76997562.837537542</c:v>
                </c:pt>
                <c:pt idx="40">
                  <c:v>79659489.158269912</c:v>
                </c:pt>
                <c:pt idx="41">
                  <c:v>82418873.240404546</c:v>
                </c:pt>
                <c:pt idx="42">
                  <c:v>85279518.815372556</c:v>
                </c:pt>
                <c:pt idx="43">
                  <c:v>88245387.726477399</c:v>
                </c:pt>
                <c:pt idx="44">
                  <c:v>91320606.872247577</c:v>
                </c:pt>
                <c:pt idx="45">
                  <c:v>94509475.46808964</c:v>
                </c:pt>
                <c:pt idx="46">
                  <c:v>97816472.641290709</c:v>
                </c:pt>
                <c:pt idx="47">
                  <c:v>101246265.37514573</c:v>
                </c:pt>
                <c:pt idx="48">
                  <c:v>104803716.81874722</c:v>
                </c:pt>
                <c:pt idx="49">
                  <c:v>108493894.97977409</c:v>
                </c:pt>
                <c:pt idx="50">
                  <c:v>112322081.818455</c:v>
                </c:pt>
                <c:pt idx="51">
                  <c:v>116293782.76176071</c:v>
                </c:pt>
                <c:pt idx="52">
                  <c:v>120414736.65780321</c:v>
                </c:pt>
                <c:pt idx="53">
                  <c:v>124690926.19138646</c:v>
                </c:pt>
                <c:pt idx="54">
                  <c:v>129128588.78266968</c:v>
                </c:pt>
                <c:pt idx="55">
                  <c:v>133734227.99196848</c:v>
                </c:pt>
                <c:pt idx="56">
                  <c:v>138514625.45483714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A8-45F3-9D26-80EC6E387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901759"/>
        <c:axId val="2098907039"/>
      </c:lineChart>
      <c:catAx>
        <c:axId val="130539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38687"/>
        <c:crosses val="autoZero"/>
        <c:auto val="1"/>
        <c:lblAlgn val="ctr"/>
        <c:lblOffset val="100"/>
        <c:noMultiLvlLbl val="0"/>
      </c:catAx>
      <c:valAx>
        <c:axId val="130538687"/>
        <c:scaling>
          <c:orientation val="minMax"/>
        </c:scaling>
        <c:delete val="1"/>
        <c:axPos val="l"/>
        <c:numFmt formatCode="_ * #,##0_ ;_ * \-#,##0_ ;_ * &quot;-&quot;??_ ;_ @_ " sourceLinked="1"/>
        <c:majorTickMark val="none"/>
        <c:minorTickMark val="none"/>
        <c:tickLblPos val="nextTo"/>
        <c:crossAx val="130539167"/>
        <c:crosses val="autoZero"/>
        <c:crossBetween val="between"/>
      </c:valAx>
      <c:valAx>
        <c:axId val="2098907039"/>
        <c:scaling>
          <c:orientation val="minMax"/>
        </c:scaling>
        <c:delete val="1"/>
        <c:axPos val="r"/>
        <c:numFmt formatCode="_ * #,##0_ ;_ * \-#,##0_ ;_ * &quot;-&quot;??_ ;_ @_ " sourceLinked="1"/>
        <c:majorTickMark val="out"/>
        <c:minorTickMark val="none"/>
        <c:tickLblPos val="nextTo"/>
        <c:crossAx val="2098901759"/>
        <c:crosses val="max"/>
        <c:crossBetween val="between"/>
      </c:valAx>
      <c:catAx>
        <c:axId val="20989017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890703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Networth Growth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'NWGC - SCENARIOS'!$AB$9</c:f>
              <c:strCache>
                <c:ptCount val="1"/>
                <c:pt idx="0">
                  <c:v>Total Withdrawals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cat>
            <c:numRef>
              <c:f>'NWGC - SCENARIOS'!$AA$11:$AA$67</c:f>
              <c:numCache>
                <c:formatCode>General</c:formatCode>
                <c:ptCount val="5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</c:numCache>
            </c:numRef>
          </c:cat>
          <c:val>
            <c:numRef>
              <c:f>'NWGC - SCENARIOS'!$AB$11:$AB$67</c:f>
              <c:numCache>
                <c:formatCode>_ * #,##0_ ;_ * \-#,##0_ ;_ * "-"??_ ;_ @_ 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3509575.6800000006</c:v>
                </c:pt>
                <c:pt idx="5">
                  <c:v>15242699.450199999</c:v>
                </c:pt>
                <c:pt idx="6">
                  <c:v>3795957.0554880011</c:v>
                </c:pt>
                <c:pt idx="7">
                  <c:v>3947795.3377075209</c:v>
                </c:pt>
                <c:pt idx="8">
                  <c:v>0</c:v>
                </c:pt>
                <c:pt idx="9">
                  <c:v>0</c:v>
                </c:pt>
                <c:pt idx="10">
                  <c:v>4317849.9945455752</c:v>
                </c:pt>
                <c:pt idx="11">
                  <c:v>1165819.4985273054</c:v>
                </c:pt>
                <c:pt idx="12">
                  <c:v>0</c:v>
                </c:pt>
                <c:pt idx="13">
                  <c:v>0</c:v>
                </c:pt>
                <c:pt idx="14">
                  <c:v>6557667.4017865211</c:v>
                </c:pt>
                <c:pt idx="15">
                  <c:v>7089000.7939294428</c:v>
                </c:pt>
                <c:pt idx="16">
                  <c:v>7662840.8574437993</c:v>
                </c:pt>
                <c:pt idx="17">
                  <c:v>8282588.126039302</c:v>
                </c:pt>
                <c:pt idx="18">
                  <c:v>8951915.1761224475</c:v>
                </c:pt>
                <c:pt idx="19">
                  <c:v>9674788.3902122453</c:v>
                </c:pt>
                <c:pt idx="20">
                  <c:v>10455491.461429223</c:v>
                </c:pt>
                <c:pt idx="21">
                  <c:v>11298650.778343562</c:v>
                </c:pt>
                <c:pt idx="22">
                  <c:v>12209262.840611048</c:v>
                </c:pt>
                <c:pt idx="23">
                  <c:v>13192723.867859932</c:v>
                </c:pt>
                <c:pt idx="24">
                  <c:v>14254861.777288727</c:v>
                </c:pt>
                <c:pt idx="25">
                  <c:v>15401970.719471829</c:v>
                </c:pt>
                <c:pt idx="26">
                  <c:v>16640848.377029575</c:v>
                </c:pt>
                <c:pt idx="27">
                  <c:v>17978836.247191936</c:v>
                </c:pt>
                <c:pt idx="28">
                  <c:v>19423863.146967296</c:v>
                </c:pt>
                <c:pt idx="29">
                  <c:v>20984492.19872468</c:v>
                </c:pt>
                <c:pt idx="30">
                  <c:v>22669971.574622657</c:v>
                </c:pt>
                <c:pt idx="31">
                  <c:v>24490289.300592475</c:v>
                </c:pt>
                <c:pt idx="32">
                  <c:v>25869378.294869103</c:v>
                </c:pt>
                <c:pt idx="33">
                  <c:v>27945648.558458634</c:v>
                </c:pt>
                <c:pt idx="34">
                  <c:v>30188020.443135325</c:v>
                </c:pt>
                <c:pt idx="35">
                  <c:v>32609782.078586154</c:v>
                </c:pt>
                <c:pt idx="36">
                  <c:v>35225284.644873053</c:v>
                </c:pt>
                <c:pt idx="37">
                  <c:v>38050027.416462898</c:v>
                </c:pt>
                <c:pt idx="38">
                  <c:v>41100749.609779932</c:v>
                </c:pt>
                <c:pt idx="39">
                  <c:v>44395529.578562327</c:v>
                </c:pt>
                <c:pt idx="40">
                  <c:v>47953891.944847323</c:v>
                </c:pt>
                <c:pt idx="41">
                  <c:v>51796923.300435111</c:v>
                </c:pt>
                <c:pt idx="42">
                  <c:v>55947397.164469905</c:v>
                </c:pt>
                <c:pt idx="43">
                  <c:v>60429908.937627502</c:v>
                </c:pt>
                <c:pt idx="44">
                  <c:v>65271021.65263772</c:v>
                </c:pt>
                <c:pt idx="45">
                  <c:v>70499423.384848729</c:v>
                </c:pt>
                <c:pt idx="46">
                  <c:v>76146097.255636647</c:v>
                </c:pt>
                <c:pt idx="47">
                  <c:v>82244505.036087587</c:v>
                </c:pt>
                <c:pt idx="48">
                  <c:v>88830785.438974574</c:v>
                </c:pt>
                <c:pt idx="49">
                  <c:v>95943968.274092555</c:v>
                </c:pt>
                <c:pt idx="50">
                  <c:v>103626205.73601997</c:v>
                </c:pt>
                <c:pt idx="51">
                  <c:v>111923022.19490159</c:v>
                </c:pt>
                <c:pt idx="52">
                  <c:v>120883583.9704937</c:v>
                </c:pt>
                <c:pt idx="53">
                  <c:v>130560990.68813318</c:v>
                </c:pt>
                <c:pt idx="54">
                  <c:v>120154649.44351973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77-4E58-B971-112BD42C9244}"/>
            </c:ext>
          </c:extLst>
        </c:ser>
        <c:ser>
          <c:idx val="1"/>
          <c:order val="1"/>
          <c:tx>
            <c:strRef>
              <c:f>'NWGC - SCENARIOS'!$AC$9</c:f>
              <c:strCache>
                <c:ptCount val="1"/>
                <c:pt idx="0">
                  <c:v>Net worth at the end of the year (Realisable)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cat>
            <c:numRef>
              <c:f>'NWGC - SCENARIOS'!$AA$11:$AA$67</c:f>
              <c:numCache>
                <c:formatCode>General</c:formatCode>
                <c:ptCount val="5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</c:numCache>
            </c:numRef>
          </c:cat>
          <c:val>
            <c:numRef>
              <c:f>'NWGC - SCENARIOS'!$AC$11:$AC$67</c:f>
              <c:numCache>
                <c:formatCode>#,##0</c:formatCode>
                <c:ptCount val="57"/>
                <c:pt idx="0">
                  <c:v>19096671.884999998</c:v>
                </c:pt>
                <c:pt idx="1">
                  <c:v>27713637.438309252</c:v>
                </c:pt>
                <c:pt idx="2" formatCode="_ * #,##0_ ;_ * \-#,##0_ ;_ * &quot;-&quot;??_ ;_ @_ ">
                  <c:v>37561788.758835085</c:v>
                </c:pt>
                <c:pt idx="3" formatCode="_ * #,##0_ ;_ * \-#,##0_ ;_ * &quot;-&quot;??_ ;_ @_ ">
                  <c:v>49261449.730870277</c:v>
                </c:pt>
                <c:pt idx="4" formatCode="_ * #,##0_ ;_ * \-#,##0_ ;_ * &quot;-&quot;??_ ;_ @_ ">
                  <c:v>59679402.861409239</c:v>
                </c:pt>
                <c:pt idx="5" formatCode="_ * #,##0_ ;_ * \-#,##0_ ;_ * &quot;-&quot;??_ ;_ @_ ">
                  <c:v>59859689.22230196</c:v>
                </c:pt>
                <c:pt idx="6" formatCode="_ * #,##0_ ;_ * \-#,##0_ ;_ * &quot;-&quot;??_ ;_ @_ ">
                  <c:v>160623723.57864654</c:v>
                </c:pt>
                <c:pt idx="7" formatCode="_ * #,##0_ ;_ * \-#,##0_ ;_ * &quot;-&quot;??_ ;_ @_ ">
                  <c:v>173631000.81306082</c:v>
                </c:pt>
                <c:pt idx="8" formatCode="_ * #,##0_ ;_ * \-#,##0_ ;_ * &quot;-&quot;??_ ;_ @_ ">
                  <c:v>201108660.63296288</c:v>
                </c:pt>
                <c:pt idx="9" formatCode="_ * #,##0_ ;_ * \-#,##0_ ;_ * &quot;-&quot;??_ ;_ @_ ">
                  <c:v>221317683.29563767</c:v>
                </c:pt>
                <c:pt idx="10" formatCode="_ * #,##0_ ;_ * \-#,##0_ ;_ * &quot;-&quot;??_ ;_ @_ ">
                  <c:v>238985455.00259063</c:v>
                </c:pt>
                <c:pt idx="11" formatCode="_ * #,##0_ ;_ * \-#,##0_ ;_ * &quot;-&quot;??_ ;_ @_ ">
                  <c:v>260854151.61134252</c:v>
                </c:pt>
                <c:pt idx="12" formatCode="_ * #,##0_ ;_ * \-#,##0_ ;_ * &quot;-&quot;??_ ;_ @_ ">
                  <c:v>285547513.68449384</c:v>
                </c:pt>
                <c:pt idx="13" formatCode="_ * #,##0_ ;_ * \-#,##0_ ;_ * &quot;-&quot;??_ ;_ @_ ">
                  <c:v>312072928.97028512</c:v>
                </c:pt>
                <c:pt idx="14" formatCode="_ * #,##0_ ;_ * \-#,##0_ ;_ * &quot;-&quot;??_ ;_ @_ ">
                  <c:v>330204096.09796357</c:v>
                </c:pt>
                <c:pt idx="15" formatCode="_ * #,##0_ ;_ * \-#,##0_ ;_ * &quot;-&quot;??_ ;_ @_ ">
                  <c:v>349183782.80777323</c:v>
                </c:pt>
                <c:pt idx="16" formatCode="_ * #,##0_ ;_ * \-#,##0_ ;_ * &quot;-&quot;??_ ;_ @_ ">
                  <c:v>369022304.98374987</c:v>
                </c:pt>
                <c:pt idx="17" formatCode="_ * #,##0_ ;_ * \-#,##0_ ;_ * &quot;-&quot;??_ ;_ @_ ">
                  <c:v>389724947.3844521</c:v>
                </c:pt>
                <c:pt idx="18" formatCode="_ * #,##0_ ;_ * \-#,##0_ ;_ * &quot;-&quot;??_ ;_ @_ ">
                  <c:v>411290943.11992896</c:v>
                </c:pt>
                <c:pt idx="19" formatCode="_ * #,##0_ ;_ * \-#,##0_ ;_ * &quot;-&quot;??_ ;_ @_ ">
                  <c:v>433712304.94259906</c:v>
                </c:pt>
                <c:pt idx="20" formatCode="_ * #,##0_ ;_ * \-#,##0_ ;_ * &quot;-&quot;??_ ;_ @_ ">
                  <c:v>456972489.25645071</c:v>
                </c:pt>
                <c:pt idx="21" formatCode="_ * #,##0_ ;_ * \-#,##0_ ;_ * &quot;-&quot;??_ ;_ @_ ">
                  <c:v>481044871.42920709</c:v>
                </c:pt>
                <c:pt idx="22" formatCode="_ * #,##0_ ;_ * \-#,##0_ ;_ * &quot;-&quot;??_ ;_ @_ ">
                  <c:v>505891008.39985043</c:v>
                </c:pt>
                <c:pt idx="23" formatCode="_ * #,##0_ ;_ * \-#,##0_ ;_ * &quot;-&quot;??_ ;_ @_ ">
                  <c:v>531458661.67783761</c:v>
                </c:pt>
                <c:pt idx="24" formatCode="_ * #,##0_ ;_ * \-#,##0_ ;_ * &quot;-&quot;??_ ;_ @_ ">
                  <c:v>557679550.59555471</c:v>
                </c:pt>
                <c:pt idx="25" formatCode="_ * #,##0_ ;_ * \-#,##0_ ;_ * &quot;-&quot;??_ ;_ @_ ">
                  <c:v>584466802.0632</c:v>
                </c:pt>
                <c:pt idx="26" formatCode="_ * #,##0_ ;_ * \-#,##0_ ;_ * &quot;-&quot;??_ ;_ @_ ">
                  <c:v>611712059.04209149</c:v>
                </c:pt>
                <c:pt idx="27" formatCode="_ * #,##0_ ;_ * \-#,##0_ ;_ * &quot;-&quot;??_ ;_ @_ ">
                  <c:v>639282205.45022094</c:v>
                </c:pt>
                <c:pt idx="28" formatCode="_ * #,##0_ ;_ * \-#,##0_ ;_ * &quot;-&quot;??_ ;_ @_ ">
                  <c:v>667015660.18910646</c:v>
                </c:pt>
                <c:pt idx="29" formatCode="_ * #,##0_ ;_ * \-#,##0_ ;_ * &quot;-&quot;??_ ;_ @_ ">
                  <c:v>694718187.37400329</c:v>
                </c:pt>
                <c:pt idx="30" formatCode="_ * #,##0_ ;_ * \-#,##0_ ;_ * &quot;-&quot;??_ ;_ @_ ">
                  <c:v>722190440.57213581</c:v>
                </c:pt>
                <c:pt idx="31" formatCode="_ * #,##0_ ;_ * \-#,##0_ ;_ * &quot;-&quot;??_ ;_ @_ ">
                  <c:v>749165974.84396899</c:v>
                </c:pt>
                <c:pt idx="32" formatCode="_ * #,##0_ ;_ * \-#,##0_ ;_ * &quot;-&quot;??_ ;_ @_ ">
                  <c:v>775950038.1651926</c:v>
                </c:pt>
                <c:pt idx="33" formatCode="_ * #,##0_ ;_ * \-#,##0_ ;_ * &quot;-&quot;??_ ;_ @_ ">
                  <c:v>801639155.99532259</c:v>
                </c:pt>
                <c:pt idx="34" formatCode="_ * #,##0_ ;_ * \-#,##0_ ;_ * &quot;-&quot;??_ ;_ @_ ">
                  <c:v>825812480.05793178</c:v>
                </c:pt>
                <c:pt idx="35" formatCode="_ * #,##0_ ;_ * \-#,##0_ ;_ * &quot;-&quot;??_ ;_ @_ ">
                  <c:v>847980095.43621969</c:v>
                </c:pt>
                <c:pt idx="36" formatCode="_ * #,##0_ ;_ * \-#,##0_ ;_ * &quot;-&quot;??_ ;_ @_ ">
                  <c:v>867573670.62182379</c:v>
                </c:pt>
                <c:pt idx="37" formatCode="_ * #,##0_ ;_ * \-#,##0_ ;_ * &quot;-&quot;??_ ;_ @_ ">
                  <c:v>883935942.66785276</c:v>
                </c:pt>
                <c:pt idx="38" formatCode="_ * #,##0_ ;_ * \-#,##0_ ;_ * &quot;-&quot;??_ ;_ @_ ">
                  <c:v>896308898.60497904</c:v>
                </c:pt>
                <c:pt idx="39" formatCode="_ * #,##0_ ;_ * \-#,##0_ ;_ * &quot;-&quot;??_ ;_ @_ ">
                  <c:v>903820498.16221595</c:v>
                </c:pt>
                <c:pt idx="40" formatCode="_ * #,##0_ ;_ * \-#,##0_ ;_ * &quot;-&quot;??_ ;_ @_ ">
                  <c:v>905469764.87695277</c:v>
                </c:pt>
                <c:pt idx="41" formatCode="_ * #,##0_ ;_ * \-#,##0_ ;_ * &quot;-&quot;??_ ;_ @_ ">
                  <c:v>900624847.86322618</c:v>
                </c:pt>
                <c:pt idx="42" formatCode="_ * #,##0_ ;_ * \-#,##0_ ;_ * &quot;-&quot;??_ ;_ @_ ">
                  <c:v>891134710.48718774</c:v>
                </c:pt>
                <c:pt idx="43" formatCode="_ * #,##0_ ;_ * \-#,##0_ ;_ * &quot;-&quot;??_ ;_ @_ ">
                  <c:v>876393565.63478589</c:v>
                </c:pt>
                <c:pt idx="44" formatCode="_ * #,##0_ ;_ * \-#,##0_ ;_ * &quot;-&quot;??_ ;_ @_ ">
                  <c:v>855734283.90116632</c:v>
                </c:pt>
                <c:pt idx="45" formatCode="_ * #,##0_ ;_ * \-#,##0_ ;_ * &quot;-&quot;??_ ;_ @_ ">
                  <c:v>828422777.844715</c:v>
                </c:pt>
                <c:pt idx="46" formatCode="_ * #,##0_ ;_ * \-#,##0_ ;_ * &quot;-&quot;??_ ;_ @_ ">
                  <c:v>793651898.02147758</c:v>
                </c:pt>
                <c:pt idx="47" formatCode="_ * #,##0_ ;_ * \-#,##0_ ;_ * &quot;-&quot;??_ ;_ @_ ">
                  <c:v>750534799.59958637</c:v>
                </c:pt>
                <c:pt idx="48" formatCode="_ * #,##0_ ;_ * \-#,##0_ ;_ * &quot;-&quot;??_ ;_ @_ ">
                  <c:v>698097734.93944538</c:v>
                </c:pt>
                <c:pt idx="49" formatCode="_ * #,##0_ ;_ * \-#,##0_ ;_ * &quot;-&quot;??_ ;_ @_ ">
                  <c:v>635272223.83194721</c:v>
                </c:pt>
                <c:pt idx="50" formatCode="_ * #,##0_ ;_ * \-#,##0_ ;_ * &quot;-&quot;??_ ;_ @_ ">
                  <c:v>560886549.09120321</c:v>
                </c:pt>
                <c:pt idx="51" formatCode="_ * #,##0_ ;_ * \-#,##0_ ;_ * &quot;-&quot;??_ ;_ @_ ">
                  <c:v>473656520.87559819</c:v>
                </c:pt>
                <c:pt idx="52" formatCode="_ * #,##0_ ;_ * \-#,##0_ ;_ * &quot;-&quot;??_ ;_ @_ ">
                  <c:v>372175448.43488526</c:v>
                </c:pt>
                <c:pt idx="53" formatCode="_ * #,##0_ ;_ * \-#,##0_ ;_ * &quot;-&quot;??_ ;_ @_ ">
                  <c:v>254903252.92282343</c:v>
                </c:pt>
                <c:pt idx="54" formatCode="_ * #,##0_ ;_ * \-#,##0_ ;_ * &quot;-&quot;??_ ;_ @_ ">
                  <c:v>120154649.44351973</c:v>
                </c:pt>
                <c:pt idx="55" formatCode="_ * #,##0_ ;_ * \-#,##0_ ;_ * &quot;-&quot;??_ ;_ @_ ">
                  <c:v>0</c:v>
                </c:pt>
                <c:pt idx="56" formatCode="_ * #,##0_ ;_ * \-#,##0_ ;_ * &quot;-&quot;??_ ;_ @_ 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77-4E58-B971-112BD42C9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39167"/>
        <c:axId val="130538687"/>
      </c:areaChart>
      <c:lineChart>
        <c:grouping val="standard"/>
        <c:varyColors val="0"/>
        <c:ser>
          <c:idx val="2"/>
          <c:order val="2"/>
          <c:tx>
            <c:strRef>
              <c:f>'NWGC - SCENARIOS'!$AD$9</c:f>
              <c:strCache>
                <c:ptCount val="1"/>
                <c:pt idx="0">
                  <c:v>Net worth at the end of the year (Un-Realisable)</c:v>
                </c:pt>
              </c:strCache>
            </c:strRef>
          </c:tx>
          <c:spPr>
            <a:ln w="28575" cap="rnd">
              <a:solidFill>
                <a:srgbClr val="3EF90B"/>
              </a:solidFill>
              <a:round/>
            </a:ln>
            <a:effectLst/>
          </c:spPr>
          <c:marker>
            <c:symbol val="none"/>
          </c:marker>
          <c:cat>
            <c:numRef>
              <c:f>'NWGC - SCENARIOS'!$AA$11:$AA$67</c:f>
              <c:numCache>
                <c:formatCode>General</c:formatCode>
                <c:ptCount val="5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</c:numCache>
            </c:numRef>
          </c:cat>
          <c:val>
            <c:numRef>
              <c:f>'NWGC - SCENARIOS'!$AD$11:$AD$67</c:f>
              <c:numCache>
                <c:formatCode>_ * #,##0_ ;_ * \-#,##0_ ;_ * "-"??_ ;_ @_ </c:formatCode>
                <c:ptCount val="57"/>
                <c:pt idx="0">
                  <c:v>60760032</c:v>
                </c:pt>
                <c:pt idx="1">
                  <c:v>67946134.695615754</c:v>
                </c:pt>
                <c:pt idx="2">
                  <c:v>75817631.307473987</c:v>
                </c:pt>
                <c:pt idx="3">
                  <c:v>84439396.815609291</c:v>
                </c:pt>
                <c:pt idx="4">
                  <c:v>93882372.16678372</c:v>
                </c:pt>
                <c:pt idx="5">
                  <c:v>115816866.542317</c:v>
                </c:pt>
                <c:pt idx="6">
                  <c:v>32335327.783955738</c:v>
                </c:pt>
                <c:pt idx="7">
                  <c:v>33632667.674843773</c:v>
                </c:pt>
                <c:pt idx="8">
                  <c:v>34990430.26605165</c:v>
                </c:pt>
                <c:pt idx="9">
                  <c:v>36411863.058819346</c:v>
                </c:pt>
                <c:pt idx="10">
                  <c:v>37900407.899089128</c:v>
                </c:pt>
                <c:pt idx="11">
                  <c:v>39459713.416335598</c:v>
                </c:pt>
                <c:pt idx="12">
                  <c:v>41093648.289360508</c:v>
                </c:pt>
                <c:pt idx="13">
                  <c:v>42806315.395187572</c:v>
                </c:pt>
                <c:pt idx="14">
                  <c:v>44602066.901047364</c:v>
                </c:pt>
                <c:pt idx="15">
                  <c:v>46485520.363563813</c:v>
                </c:pt>
                <c:pt idx="16">
                  <c:v>48461575.903660297</c:v>
                </c:pt>
                <c:pt idx="17">
                  <c:v>50535434.530414551</c:v>
                </c:pt>
                <c:pt idx="18">
                  <c:v>52712617.692128748</c:v>
                </c:pt>
                <c:pt idx="19">
                  <c:v>54998988.138266817</c:v>
                </c:pt>
                <c:pt idx="20">
                  <c:v>57400772.181669831</c:v>
                </c:pt>
                <c:pt idx="21">
                  <c:v>59924583.456617646</c:v>
                </c:pt>
                <c:pt idx="22">
                  <c:v>62577448.274888337</c:v>
                </c:pt>
                <c:pt idx="23">
                  <c:v>65366832.689007275</c:v>
                </c:pt>
                <c:pt idx="24">
                  <c:v>68300671.379404917</c:v>
                </c:pt>
                <c:pt idx="25">
                  <c:v>71387398.490251705</c:v>
                </c:pt>
                <c:pt idx="26">
                  <c:v>74635980.547345504</c:v>
                </c:pt>
                <c:pt idx="27">
                  <c:v>78055951.600631237</c:v>
                </c:pt>
                <c:pt idx="28">
                  <c:v>81657450.743773758</c:v>
                </c:pt>
                <c:pt idx="29">
                  <c:v>85451262.173730761</c:v>
                </c:pt>
                <c:pt idx="30">
                  <c:v>89448857.964526147</c:v>
                </c:pt>
                <c:pt idx="31">
                  <c:v>93662443.741461068</c:v>
                </c:pt>
                <c:pt idx="32">
                  <c:v>98105007.45487009</c:v>
                </c:pt>
                <c:pt idx="33">
                  <c:v>102790371.46629433</c:v>
                </c:pt>
                <c:pt idx="34">
                  <c:v>107733248.17466375</c:v>
                </c:pt>
                <c:pt idx="35">
                  <c:v>112949299.42582175</c:v>
                </c:pt>
                <c:pt idx="36">
                  <c:v>118455199.96556115</c:v>
                </c:pt>
                <c:pt idx="37">
                  <c:v>124268705.21434432</c:v>
                </c:pt>
                <c:pt idx="38">
                  <c:v>130408723.66113536</c:v>
                </c:pt>
                <c:pt idx="39">
                  <c:v>136895394.19436547</c:v>
                </c:pt>
                <c:pt idx="40">
                  <c:v>143750168.71007577</c:v>
                </c:pt>
                <c:pt idx="41">
                  <c:v>150995900.36083683</c:v>
                </c:pt>
                <c:pt idx="42">
                  <c:v>158656937.8342351</c:v>
                </c:pt>
                <c:pt idx="43">
                  <c:v>166759226.07666034</c:v>
                </c:pt>
                <c:pt idx="44">
                  <c:v>175330413.90694332</c:v>
                </c:pt>
                <c:pt idx="45">
                  <c:v>184399968.9952141</c:v>
                </c:pt>
                <c:pt idx="46">
                  <c:v>193999300.71531388</c:v>
                </c:pt>
                <c:pt idx="47">
                  <c:v>204161891.41435054</c:v>
                </c:pt>
                <c:pt idx="48">
                  <c:v>214923436.68069637</c:v>
                </c:pt>
                <c:pt idx="49">
                  <c:v>226321995.23205969</c:v>
                </c:pt>
                <c:pt idx="50">
                  <c:v>238398149.08840057</c:v>
                </c:pt>
                <c:pt idx="51">
                  <c:v>251195174.74060249</c:v>
                </c:pt>
                <c:pt idx="52">
                  <c:v>264759226.07516393</c:v>
                </c:pt>
                <c:pt idx="53">
                  <c:v>279139529.86796248</c:v>
                </c:pt>
                <c:pt idx="54">
                  <c:v>294388594.71660602</c:v>
                </c:pt>
                <c:pt idx="55">
                  <c:v>310562434.34128034</c:v>
                </c:pt>
                <c:pt idx="56">
                  <c:v>327720806.24860084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77-4E58-B971-112BD42C9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901759"/>
        <c:axId val="2098907039"/>
      </c:lineChart>
      <c:catAx>
        <c:axId val="130539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38687"/>
        <c:crosses val="autoZero"/>
        <c:auto val="1"/>
        <c:lblAlgn val="ctr"/>
        <c:lblOffset val="100"/>
        <c:noMultiLvlLbl val="0"/>
      </c:catAx>
      <c:valAx>
        <c:axId val="130538687"/>
        <c:scaling>
          <c:orientation val="minMax"/>
        </c:scaling>
        <c:delete val="1"/>
        <c:axPos val="l"/>
        <c:numFmt formatCode="_ * #,##0_ ;_ * \-#,##0_ ;_ * &quot;-&quot;??_ ;_ @_ " sourceLinked="1"/>
        <c:majorTickMark val="none"/>
        <c:minorTickMark val="none"/>
        <c:tickLblPos val="nextTo"/>
        <c:crossAx val="130539167"/>
        <c:crosses val="autoZero"/>
        <c:crossBetween val="between"/>
      </c:valAx>
      <c:valAx>
        <c:axId val="2098907039"/>
        <c:scaling>
          <c:orientation val="minMax"/>
        </c:scaling>
        <c:delete val="1"/>
        <c:axPos val="r"/>
        <c:numFmt formatCode="_ * #,##0_ ;_ * \-#,##0_ ;_ * &quot;-&quot;??_ ;_ @_ " sourceLinked="1"/>
        <c:majorTickMark val="out"/>
        <c:minorTickMark val="none"/>
        <c:tickLblPos val="nextTo"/>
        <c:crossAx val="2098901759"/>
        <c:crosses val="max"/>
        <c:crossBetween val="between"/>
      </c:valAx>
      <c:catAx>
        <c:axId val="20989017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890703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Income Sources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'Cashflow Working'!$W$2</c:f>
              <c:strCache>
                <c:ptCount val="1"/>
                <c:pt idx="0">
                  <c:v>SG OFFICE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'Cashflow Working'!$X$1:$BP$1</c:f>
              <c:numCache>
                <c:formatCode>General</c:formatCode>
                <c:ptCount val="45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83</c:v>
                </c:pt>
                <c:pt idx="28">
                  <c:v>84</c:v>
                </c:pt>
                <c:pt idx="29">
                  <c:v>85</c:v>
                </c:pt>
                <c:pt idx="30">
                  <c:v>86</c:v>
                </c:pt>
                <c:pt idx="31">
                  <c:v>87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91</c:v>
                </c:pt>
                <c:pt idx="36">
                  <c:v>92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</c:numCache>
            </c:numRef>
          </c:cat>
          <c:val>
            <c:numRef>
              <c:f>'Cashflow Working'!$X$2:$BP$2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41-4F3C-A761-5892B1736AFD}"/>
            </c:ext>
          </c:extLst>
        </c:ser>
        <c:ser>
          <c:idx val="1"/>
          <c:order val="1"/>
          <c:tx>
            <c:strRef>
              <c:f>'Cashflow Working'!$W$3</c:f>
              <c:strCache>
                <c:ptCount val="1"/>
                <c:pt idx="0">
                  <c:v>HS FREELANCING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'Cashflow Working'!$X$1:$BP$1</c:f>
              <c:numCache>
                <c:formatCode>General</c:formatCode>
                <c:ptCount val="45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83</c:v>
                </c:pt>
                <c:pt idx="28">
                  <c:v>84</c:v>
                </c:pt>
                <c:pt idx="29">
                  <c:v>85</c:v>
                </c:pt>
                <c:pt idx="30">
                  <c:v>86</c:v>
                </c:pt>
                <c:pt idx="31">
                  <c:v>87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91</c:v>
                </c:pt>
                <c:pt idx="36">
                  <c:v>92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</c:numCache>
            </c:numRef>
          </c:cat>
          <c:val>
            <c:numRef>
              <c:f>'Cashflow Working'!$X$3:$BP$3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41-4F3C-A761-5892B1736AFD}"/>
            </c:ext>
          </c:extLst>
        </c:ser>
        <c:ser>
          <c:idx val="2"/>
          <c:order val="2"/>
          <c:tx>
            <c:strRef>
              <c:f>'Cashflow Working'!$W$4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'Cashflow Working'!$X$1:$BP$1</c:f>
              <c:numCache>
                <c:formatCode>General</c:formatCode>
                <c:ptCount val="45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83</c:v>
                </c:pt>
                <c:pt idx="28">
                  <c:v>84</c:v>
                </c:pt>
                <c:pt idx="29">
                  <c:v>85</c:v>
                </c:pt>
                <c:pt idx="30">
                  <c:v>86</c:v>
                </c:pt>
                <c:pt idx="31">
                  <c:v>87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91</c:v>
                </c:pt>
                <c:pt idx="36">
                  <c:v>92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</c:numCache>
            </c:numRef>
          </c:cat>
          <c:val>
            <c:numRef>
              <c:f>'Cashflow Working'!$X$4:$BP$4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41-4F3C-A761-5892B1736AFD}"/>
            </c:ext>
          </c:extLst>
        </c:ser>
        <c:ser>
          <c:idx val="3"/>
          <c:order val="3"/>
          <c:tx>
            <c:strRef>
              <c:f>'Cashflow Working'!$W$5</c:f>
              <c:strCache>
                <c:ptCount val="1"/>
                <c:pt idx="0">
                  <c:v>SG HDFC Life Annuity Plan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'Cashflow Working'!$X$1:$BP$1</c:f>
              <c:numCache>
                <c:formatCode>General</c:formatCode>
                <c:ptCount val="45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83</c:v>
                </c:pt>
                <c:pt idx="28">
                  <c:v>84</c:v>
                </c:pt>
                <c:pt idx="29">
                  <c:v>85</c:v>
                </c:pt>
                <c:pt idx="30">
                  <c:v>86</c:v>
                </c:pt>
                <c:pt idx="31">
                  <c:v>87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91</c:v>
                </c:pt>
                <c:pt idx="36">
                  <c:v>92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</c:numCache>
            </c:numRef>
          </c:cat>
          <c:val>
            <c:numRef>
              <c:f>'Cashflow Working'!$X$5:$BP$5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41-4F3C-A761-5892B1736AFD}"/>
            </c:ext>
          </c:extLst>
        </c:ser>
        <c:ser>
          <c:idx val="4"/>
          <c:order val="4"/>
          <c:tx>
            <c:strRef>
              <c:f>'Cashflow Working'!$W$6</c:f>
              <c:strCache>
                <c:ptCount val="1"/>
                <c:pt idx="0">
                  <c:v>HS Jeevan Anand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'Cashflow Working'!$X$1:$BP$1</c:f>
              <c:numCache>
                <c:formatCode>General</c:formatCode>
                <c:ptCount val="45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83</c:v>
                </c:pt>
                <c:pt idx="28">
                  <c:v>84</c:v>
                </c:pt>
                <c:pt idx="29">
                  <c:v>85</c:v>
                </c:pt>
                <c:pt idx="30">
                  <c:v>86</c:v>
                </c:pt>
                <c:pt idx="31">
                  <c:v>87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91</c:v>
                </c:pt>
                <c:pt idx="36">
                  <c:v>92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</c:numCache>
            </c:numRef>
          </c:cat>
          <c:val>
            <c:numRef>
              <c:f>'Cashflow Working'!$X$6:$BP$6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41-4F3C-A761-5892B1736AFD}"/>
            </c:ext>
          </c:extLst>
        </c:ser>
        <c:ser>
          <c:idx val="5"/>
          <c:order val="5"/>
          <c:tx>
            <c:strRef>
              <c:f>'Cashflow Working'!$W$7</c:f>
              <c:strCache>
                <c:ptCount val="1"/>
                <c:pt idx="0">
                  <c:v>NS Jeevan Tarang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'Cashflow Working'!$X$1:$BP$1</c:f>
              <c:numCache>
                <c:formatCode>General</c:formatCode>
                <c:ptCount val="45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83</c:v>
                </c:pt>
                <c:pt idx="28">
                  <c:v>84</c:v>
                </c:pt>
                <c:pt idx="29">
                  <c:v>85</c:v>
                </c:pt>
                <c:pt idx="30">
                  <c:v>86</c:v>
                </c:pt>
                <c:pt idx="31">
                  <c:v>87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91</c:v>
                </c:pt>
                <c:pt idx="36">
                  <c:v>92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</c:numCache>
            </c:numRef>
          </c:cat>
          <c:val>
            <c:numRef>
              <c:f>'Cashflow Working'!$X$7:$BP$7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41-4F3C-A761-5892B1736AFD}"/>
            </c:ext>
          </c:extLst>
        </c:ser>
        <c:ser>
          <c:idx val="6"/>
          <c:order val="6"/>
          <c:tx>
            <c:strRef>
              <c:f>'Cashflow Working'!$W$8</c:f>
              <c:strCache>
                <c:ptCount val="1"/>
                <c:pt idx="0">
                  <c:v>SG Jeevan Tarang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'Cashflow Working'!$X$1:$BP$1</c:f>
              <c:numCache>
                <c:formatCode>General</c:formatCode>
                <c:ptCount val="45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83</c:v>
                </c:pt>
                <c:pt idx="28">
                  <c:v>84</c:v>
                </c:pt>
                <c:pt idx="29">
                  <c:v>85</c:v>
                </c:pt>
                <c:pt idx="30">
                  <c:v>86</c:v>
                </c:pt>
                <c:pt idx="31">
                  <c:v>87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91</c:v>
                </c:pt>
                <c:pt idx="36">
                  <c:v>92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</c:numCache>
            </c:numRef>
          </c:cat>
          <c:val>
            <c:numRef>
              <c:f>'Cashflow Working'!$X$8:$BP$8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41-4F3C-A761-5892B1736AFD}"/>
            </c:ext>
          </c:extLst>
        </c:ser>
        <c:ser>
          <c:idx val="7"/>
          <c:order val="7"/>
          <c:tx>
            <c:strRef>
              <c:f>'Cashflow Working'!$W$9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'Cashflow Working'!$X$1:$BP$1</c:f>
              <c:numCache>
                <c:formatCode>General</c:formatCode>
                <c:ptCount val="45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83</c:v>
                </c:pt>
                <c:pt idx="28">
                  <c:v>84</c:v>
                </c:pt>
                <c:pt idx="29">
                  <c:v>85</c:v>
                </c:pt>
                <c:pt idx="30">
                  <c:v>86</c:v>
                </c:pt>
                <c:pt idx="31">
                  <c:v>87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91</c:v>
                </c:pt>
                <c:pt idx="36">
                  <c:v>92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</c:numCache>
            </c:numRef>
          </c:cat>
          <c:val>
            <c:numRef>
              <c:f>'Cashflow Working'!$X$9:$BP$9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41-4F3C-A761-5892B1736AFD}"/>
            </c:ext>
          </c:extLst>
        </c:ser>
        <c:ser>
          <c:idx val="8"/>
          <c:order val="8"/>
          <c:tx>
            <c:strRef>
              <c:f>'Cashflow Working'!$W$10</c:f>
              <c:strCache>
                <c:ptCount val="1"/>
                <c:pt idx="0">
                  <c:v>SG EPF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'Cashflow Working'!$X$1:$BP$1</c:f>
              <c:numCache>
                <c:formatCode>General</c:formatCode>
                <c:ptCount val="45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83</c:v>
                </c:pt>
                <c:pt idx="28">
                  <c:v>84</c:v>
                </c:pt>
                <c:pt idx="29">
                  <c:v>85</c:v>
                </c:pt>
                <c:pt idx="30">
                  <c:v>86</c:v>
                </c:pt>
                <c:pt idx="31">
                  <c:v>87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91</c:v>
                </c:pt>
                <c:pt idx="36">
                  <c:v>92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</c:numCache>
            </c:numRef>
          </c:cat>
          <c:val>
            <c:numRef>
              <c:f>'Cashflow Working'!$X$10:$BP$10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41-4F3C-A761-5892B1736AFD}"/>
            </c:ext>
          </c:extLst>
        </c:ser>
        <c:ser>
          <c:idx val="9"/>
          <c:order val="9"/>
          <c:tx>
            <c:strRef>
              <c:f>'Cashflow Working'!$W$11</c:f>
              <c:strCache>
                <c:ptCount val="1"/>
                <c:pt idx="0">
                  <c:v>SG Post Ret Income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'Cashflow Working'!$X$1:$BP$1</c:f>
              <c:numCache>
                <c:formatCode>General</c:formatCode>
                <c:ptCount val="45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83</c:v>
                </c:pt>
                <c:pt idx="28">
                  <c:v>84</c:v>
                </c:pt>
                <c:pt idx="29">
                  <c:v>85</c:v>
                </c:pt>
                <c:pt idx="30">
                  <c:v>86</c:v>
                </c:pt>
                <c:pt idx="31">
                  <c:v>87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91</c:v>
                </c:pt>
                <c:pt idx="36">
                  <c:v>92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</c:numCache>
            </c:numRef>
          </c:cat>
          <c:val>
            <c:numRef>
              <c:f>'Cashflow Working'!$X$11:$BP$11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741-4F3C-A761-5892B1736AFD}"/>
            </c:ext>
          </c:extLst>
        </c:ser>
        <c:ser>
          <c:idx val="10"/>
          <c:order val="10"/>
          <c:tx>
            <c:strRef>
              <c:f>'Cashflow Working'!$W$12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'Cashflow Working'!$X$1:$BP$1</c:f>
              <c:numCache>
                <c:formatCode>General</c:formatCode>
                <c:ptCount val="45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83</c:v>
                </c:pt>
                <c:pt idx="28">
                  <c:v>84</c:v>
                </c:pt>
                <c:pt idx="29">
                  <c:v>85</c:v>
                </c:pt>
                <c:pt idx="30">
                  <c:v>86</c:v>
                </c:pt>
                <c:pt idx="31">
                  <c:v>87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91</c:v>
                </c:pt>
                <c:pt idx="36">
                  <c:v>92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</c:numCache>
            </c:numRef>
          </c:cat>
          <c:val>
            <c:numRef>
              <c:f>'Cashflow Working'!$X$12:$BP$12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741-4F3C-A761-5892B1736AFD}"/>
            </c:ext>
          </c:extLst>
        </c:ser>
        <c:ser>
          <c:idx val="11"/>
          <c:order val="11"/>
          <c:tx>
            <c:strRef>
              <c:f>'Cashflow Working'!$W$13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'Cashflow Working'!$X$1:$BP$1</c:f>
              <c:numCache>
                <c:formatCode>General</c:formatCode>
                <c:ptCount val="45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83</c:v>
                </c:pt>
                <c:pt idx="28">
                  <c:v>84</c:v>
                </c:pt>
                <c:pt idx="29">
                  <c:v>85</c:v>
                </c:pt>
                <c:pt idx="30">
                  <c:v>86</c:v>
                </c:pt>
                <c:pt idx="31">
                  <c:v>87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91</c:v>
                </c:pt>
                <c:pt idx="36">
                  <c:v>92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</c:numCache>
            </c:numRef>
          </c:cat>
          <c:val>
            <c:numRef>
              <c:f>'Cashflow Working'!$X$13:$BP$13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741-4F3C-A761-5892B1736AFD}"/>
            </c:ext>
          </c:extLst>
        </c:ser>
        <c:ser>
          <c:idx val="12"/>
          <c:order val="12"/>
          <c:tx>
            <c:strRef>
              <c:f>'Cashflow Working'!$W$14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'Cashflow Working'!$X$1:$BP$1</c:f>
              <c:numCache>
                <c:formatCode>General</c:formatCode>
                <c:ptCount val="45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83</c:v>
                </c:pt>
                <c:pt idx="28">
                  <c:v>84</c:v>
                </c:pt>
                <c:pt idx="29">
                  <c:v>85</c:v>
                </c:pt>
                <c:pt idx="30">
                  <c:v>86</c:v>
                </c:pt>
                <c:pt idx="31">
                  <c:v>87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91</c:v>
                </c:pt>
                <c:pt idx="36">
                  <c:v>92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</c:numCache>
            </c:numRef>
          </c:cat>
          <c:val>
            <c:numRef>
              <c:f>'Cashflow Working'!$X$14:$BP$14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741-4F3C-A761-5892B1736AFD}"/>
            </c:ext>
          </c:extLst>
        </c:ser>
        <c:ser>
          <c:idx val="13"/>
          <c:order val="13"/>
          <c:tx>
            <c:strRef>
              <c:f>'Cashflow Working'!$W$15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'Cashflow Working'!$X$1:$BP$1</c:f>
              <c:numCache>
                <c:formatCode>General</c:formatCode>
                <c:ptCount val="45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83</c:v>
                </c:pt>
                <c:pt idx="28">
                  <c:v>84</c:v>
                </c:pt>
                <c:pt idx="29">
                  <c:v>85</c:v>
                </c:pt>
                <c:pt idx="30">
                  <c:v>86</c:v>
                </c:pt>
                <c:pt idx="31">
                  <c:v>87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91</c:v>
                </c:pt>
                <c:pt idx="36">
                  <c:v>92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</c:numCache>
            </c:numRef>
          </c:cat>
          <c:val>
            <c:numRef>
              <c:f>'Cashflow Working'!$X$15:$BP$15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741-4F3C-A761-5892B1736AFD}"/>
            </c:ext>
          </c:extLst>
        </c:ser>
        <c:ser>
          <c:idx val="14"/>
          <c:order val="14"/>
          <c:tx>
            <c:strRef>
              <c:f>'Cashflow Working'!$W$16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'Cashflow Working'!$X$1:$BP$1</c:f>
              <c:numCache>
                <c:formatCode>General</c:formatCode>
                <c:ptCount val="45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83</c:v>
                </c:pt>
                <c:pt idx="28">
                  <c:v>84</c:v>
                </c:pt>
                <c:pt idx="29">
                  <c:v>85</c:v>
                </c:pt>
                <c:pt idx="30">
                  <c:v>86</c:v>
                </c:pt>
                <c:pt idx="31">
                  <c:v>87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91</c:v>
                </c:pt>
                <c:pt idx="36">
                  <c:v>92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</c:numCache>
            </c:numRef>
          </c:cat>
          <c:val>
            <c:numRef>
              <c:f>'Cashflow Working'!$X$16:$BP$16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741-4F3C-A761-5892B1736AFD}"/>
            </c:ext>
          </c:extLst>
        </c:ser>
        <c:ser>
          <c:idx val="15"/>
          <c:order val="15"/>
          <c:tx>
            <c:strRef>
              <c:f>'Cashflow Working'!$W$17</c:f>
              <c:strCache>
                <c:ptCount val="1"/>
                <c:pt idx="0">
                  <c:v>Networth Withdrawals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'Cashflow Working'!$X$1:$BP$1</c:f>
              <c:numCache>
                <c:formatCode>General</c:formatCode>
                <c:ptCount val="45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83</c:v>
                </c:pt>
                <c:pt idx="28">
                  <c:v>84</c:v>
                </c:pt>
                <c:pt idx="29">
                  <c:v>85</c:v>
                </c:pt>
                <c:pt idx="30">
                  <c:v>86</c:v>
                </c:pt>
                <c:pt idx="31">
                  <c:v>87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91</c:v>
                </c:pt>
                <c:pt idx="36">
                  <c:v>92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</c:numCache>
            </c:numRef>
          </c:cat>
          <c:val>
            <c:numRef>
              <c:f>'Cashflow Working'!$X$17:$BP$17</c:f>
              <c:numCache>
                <c:formatCode>General</c:formatCode>
                <c:ptCount val="45"/>
                <c:pt idx="0">
                  <c:v>3947795.3377075209</c:v>
                </c:pt>
                <c:pt idx="1">
                  <c:v>0</c:v>
                </c:pt>
                <c:pt idx="2">
                  <c:v>0</c:v>
                </c:pt>
                <c:pt idx="3">
                  <c:v>4317849.9945455752</c:v>
                </c:pt>
                <c:pt idx="4">
                  <c:v>1165819.4985273054</c:v>
                </c:pt>
                <c:pt idx="5">
                  <c:v>0</c:v>
                </c:pt>
                <c:pt idx="6">
                  <c:v>0</c:v>
                </c:pt>
                <c:pt idx="7">
                  <c:v>6557667.4017865211</c:v>
                </c:pt>
                <c:pt idx="8">
                  <c:v>7089000.7939294428</c:v>
                </c:pt>
                <c:pt idx="9">
                  <c:v>7662840.8574437993</c:v>
                </c:pt>
                <c:pt idx="10">
                  <c:v>8282588.126039302</c:v>
                </c:pt>
                <c:pt idx="11">
                  <c:v>8951915.1761224475</c:v>
                </c:pt>
                <c:pt idx="12">
                  <c:v>9674788.3902122453</c:v>
                </c:pt>
                <c:pt idx="13">
                  <c:v>10455491.461429223</c:v>
                </c:pt>
                <c:pt idx="14">
                  <c:v>11298650.778343562</c:v>
                </c:pt>
                <c:pt idx="15">
                  <c:v>12209262.840611048</c:v>
                </c:pt>
                <c:pt idx="16">
                  <c:v>13192723.867859932</c:v>
                </c:pt>
                <c:pt idx="17">
                  <c:v>14254861.777288727</c:v>
                </c:pt>
                <c:pt idx="18">
                  <c:v>15401970.719471829</c:v>
                </c:pt>
                <c:pt idx="19">
                  <c:v>16640848.377029575</c:v>
                </c:pt>
                <c:pt idx="20">
                  <c:v>17978836.247191936</c:v>
                </c:pt>
                <c:pt idx="21">
                  <c:v>19423863.146967296</c:v>
                </c:pt>
                <c:pt idx="22">
                  <c:v>20984492.19872468</c:v>
                </c:pt>
                <c:pt idx="23">
                  <c:v>22669971.574622657</c:v>
                </c:pt>
                <c:pt idx="24">
                  <c:v>24490289.300592475</c:v>
                </c:pt>
                <c:pt idx="25">
                  <c:v>25869378.294869103</c:v>
                </c:pt>
                <c:pt idx="26">
                  <c:v>27945648.558458634</c:v>
                </c:pt>
                <c:pt idx="27">
                  <c:v>30188020.443135325</c:v>
                </c:pt>
                <c:pt idx="28">
                  <c:v>32609782.078586154</c:v>
                </c:pt>
                <c:pt idx="29">
                  <c:v>35225284.644873053</c:v>
                </c:pt>
                <c:pt idx="30">
                  <c:v>38050027.416462898</c:v>
                </c:pt>
                <c:pt idx="31">
                  <c:v>41100749.609779932</c:v>
                </c:pt>
                <c:pt idx="32">
                  <c:v>44395529.578562327</c:v>
                </c:pt>
                <c:pt idx="33">
                  <c:v>47953891.944847323</c:v>
                </c:pt>
                <c:pt idx="34">
                  <c:v>51796923.300435111</c:v>
                </c:pt>
                <c:pt idx="35">
                  <c:v>55947397.164469905</c:v>
                </c:pt>
                <c:pt idx="36">
                  <c:v>60429908.937627502</c:v>
                </c:pt>
                <c:pt idx="37">
                  <c:v>65271021.65263772</c:v>
                </c:pt>
                <c:pt idx="38">
                  <c:v>70499423.384848729</c:v>
                </c:pt>
                <c:pt idx="39">
                  <c:v>76146097.255636647</c:v>
                </c:pt>
                <c:pt idx="40">
                  <c:v>82244505.036087587</c:v>
                </c:pt>
                <c:pt idx="41">
                  <c:v>88830785.438974574</c:v>
                </c:pt>
                <c:pt idx="42">
                  <c:v>95943968.274092555</c:v>
                </c:pt>
                <c:pt idx="43">
                  <c:v>103626205.73601997</c:v>
                </c:pt>
                <c:pt idx="44">
                  <c:v>111923022.19490159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741-4F3C-A761-5892B1736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8440720"/>
        <c:axId val="528437360"/>
      </c:barChart>
      <c:catAx>
        <c:axId val="52844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7360"/>
        <c:crosses val="autoZero"/>
        <c:auto val="1"/>
        <c:lblAlgn val="ctr"/>
        <c:lblOffset val="100"/>
        <c:noMultiLvlLbl val="0"/>
      </c:catAx>
      <c:valAx>
        <c:axId val="528437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4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376037685843017E-2"/>
          <c:y val="0.1393647158293016"/>
          <c:w val="0.90968042268332094"/>
          <c:h val="0.83803865609101491"/>
        </c:manualLayout>
      </c:layout>
      <c:areaChart>
        <c:grouping val="stacked"/>
        <c:varyColors val="0"/>
        <c:ser>
          <c:idx val="1"/>
          <c:order val="0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val>
            <c:numRef>
              <c:f>'NW CHARTS'!#REF!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'NW CHARTS'!#REF!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'NW CHARTS'!#REF!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3B2-4374-8EB5-BEA47031F028}"/>
            </c:ext>
          </c:extLst>
        </c:ser>
        <c:ser>
          <c:idx val="2"/>
          <c:order val="1"/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val>
            <c:numRef>
              <c:f>'NW CHARTS'!#REF!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'NW CHARTS'!#REF!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'NW CHARTS'!#REF!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3B2-4374-8EB5-BEA47031F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9572975"/>
        <c:axId val="862308943"/>
      </c:areaChart>
      <c:catAx>
        <c:axId val="7495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308943"/>
        <c:crosses val="autoZero"/>
        <c:auto val="1"/>
        <c:lblAlgn val="ctr"/>
        <c:lblOffset val="100"/>
        <c:noMultiLvlLbl val="0"/>
      </c:catAx>
      <c:valAx>
        <c:axId val="8623089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5729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376037685843017E-2"/>
          <c:y val="0.1393647158293016"/>
          <c:w val="0.90968042268332094"/>
          <c:h val="0.83803865609101491"/>
        </c:manualLayout>
      </c:layout>
      <c:areaChart>
        <c:grouping val="stacked"/>
        <c:varyColors val="0"/>
        <c:ser>
          <c:idx val="0"/>
          <c:order val="0"/>
          <c:tx>
            <c:strRef>
              <c:f>'NWGC - SCENARIOS'!$AB$9</c:f>
              <c:strCache>
                <c:ptCount val="1"/>
                <c:pt idx="0">
                  <c:v>Total Withdrawals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'NWGC - SCENARIOS'!$AA$11:$AA$67</c:f>
              <c:numCache>
                <c:formatCode>General</c:formatCode>
                <c:ptCount val="5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</c:numCache>
            </c:numRef>
          </c:cat>
          <c:val>
            <c:numRef>
              <c:f>'NWGC - SCENARIOS'!$AB$11:$AB$67</c:f>
              <c:numCache>
                <c:formatCode>_ * #,##0_ ;_ * \-#,##0_ ;_ * "-"??_ ;_ @_ 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3509575.6800000006</c:v>
                </c:pt>
                <c:pt idx="5">
                  <c:v>15242699.450199999</c:v>
                </c:pt>
                <c:pt idx="6">
                  <c:v>3795957.0554880011</c:v>
                </c:pt>
                <c:pt idx="7">
                  <c:v>3947795.3377075209</c:v>
                </c:pt>
                <c:pt idx="8">
                  <c:v>0</c:v>
                </c:pt>
                <c:pt idx="9">
                  <c:v>0</c:v>
                </c:pt>
                <c:pt idx="10">
                  <c:v>4317849.9945455752</c:v>
                </c:pt>
                <c:pt idx="11">
                  <c:v>1165819.4985273054</c:v>
                </c:pt>
                <c:pt idx="12">
                  <c:v>0</c:v>
                </c:pt>
                <c:pt idx="13">
                  <c:v>0</c:v>
                </c:pt>
                <c:pt idx="14">
                  <c:v>6557667.4017865211</c:v>
                </c:pt>
                <c:pt idx="15">
                  <c:v>7089000.7939294428</c:v>
                </c:pt>
                <c:pt idx="16">
                  <c:v>7662840.8574437993</c:v>
                </c:pt>
                <c:pt idx="17">
                  <c:v>8282588.126039302</c:v>
                </c:pt>
                <c:pt idx="18">
                  <c:v>8951915.1761224475</c:v>
                </c:pt>
                <c:pt idx="19">
                  <c:v>9674788.3902122453</c:v>
                </c:pt>
                <c:pt idx="20">
                  <c:v>10455491.461429223</c:v>
                </c:pt>
                <c:pt idx="21">
                  <c:v>11298650.778343562</c:v>
                </c:pt>
                <c:pt idx="22">
                  <c:v>12209262.840611048</c:v>
                </c:pt>
                <c:pt idx="23">
                  <c:v>13192723.867859932</c:v>
                </c:pt>
                <c:pt idx="24">
                  <c:v>14254861.777288727</c:v>
                </c:pt>
                <c:pt idx="25">
                  <c:v>15401970.719471829</c:v>
                </c:pt>
                <c:pt idx="26">
                  <c:v>16640848.377029575</c:v>
                </c:pt>
                <c:pt idx="27">
                  <c:v>17978836.247191936</c:v>
                </c:pt>
                <c:pt idx="28">
                  <c:v>19423863.146967296</c:v>
                </c:pt>
                <c:pt idx="29">
                  <c:v>20984492.19872468</c:v>
                </c:pt>
                <c:pt idx="30">
                  <c:v>22669971.574622657</c:v>
                </c:pt>
                <c:pt idx="31">
                  <c:v>24490289.300592475</c:v>
                </c:pt>
                <c:pt idx="32">
                  <c:v>25869378.294869103</c:v>
                </c:pt>
                <c:pt idx="33">
                  <c:v>27945648.558458634</c:v>
                </c:pt>
                <c:pt idx="34">
                  <c:v>30188020.443135325</c:v>
                </c:pt>
                <c:pt idx="35">
                  <c:v>32609782.078586154</c:v>
                </c:pt>
                <c:pt idx="36">
                  <c:v>35225284.644873053</c:v>
                </c:pt>
                <c:pt idx="37">
                  <c:v>38050027.416462898</c:v>
                </c:pt>
                <c:pt idx="38">
                  <c:v>41100749.609779932</c:v>
                </c:pt>
                <c:pt idx="39">
                  <c:v>44395529.578562327</c:v>
                </c:pt>
                <c:pt idx="40">
                  <c:v>47953891.944847323</c:v>
                </c:pt>
                <c:pt idx="41">
                  <c:v>51796923.300435111</c:v>
                </c:pt>
                <c:pt idx="42">
                  <c:v>55947397.164469905</c:v>
                </c:pt>
                <c:pt idx="43">
                  <c:v>60429908.937627502</c:v>
                </c:pt>
                <c:pt idx="44">
                  <c:v>65271021.65263772</c:v>
                </c:pt>
                <c:pt idx="45">
                  <c:v>70499423.384848729</c:v>
                </c:pt>
                <c:pt idx="46">
                  <c:v>76146097.255636647</c:v>
                </c:pt>
                <c:pt idx="47">
                  <c:v>82244505.036087587</c:v>
                </c:pt>
                <c:pt idx="48">
                  <c:v>88830785.438974574</c:v>
                </c:pt>
                <c:pt idx="49">
                  <c:v>95943968.274092555</c:v>
                </c:pt>
                <c:pt idx="50">
                  <c:v>103626205.73601997</c:v>
                </c:pt>
                <c:pt idx="51">
                  <c:v>111923022.19490159</c:v>
                </c:pt>
                <c:pt idx="52">
                  <c:v>120883583.9704937</c:v>
                </c:pt>
                <c:pt idx="53">
                  <c:v>130560990.68813318</c:v>
                </c:pt>
                <c:pt idx="54">
                  <c:v>120154649.44351973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8C-4B6F-9F3B-2838CC81619B}"/>
            </c:ext>
          </c:extLst>
        </c:ser>
        <c:ser>
          <c:idx val="1"/>
          <c:order val="1"/>
          <c:tx>
            <c:strRef>
              <c:f>'NWGC - SCENARIOS'!$AC$9</c:f>
              <c:strCache>
                <c:ptCount val="1"/>
                <c:pt idx="0">
                  <c:v>Net worth at the end of the year (Realisable)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'NWGC - SCENARIOS'!$AA$11:$AA$67</c:f>
              <c:numCache>
                <c:formatCode>General</c:formatCode>
                <c:ptCount val="5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</c:numCache>
            </c:numRef>
          </c:cat>
          <c:val>
            <c:numRef>
              <c:f>'NWGC - SCENARIOS'!$AC$11:$AC$67</c:f>
              <c:numCache>
                <c:formatCode>#,##0</c:formatCode>
                <c:ptCount val="57"/>
                <c:pt idx="0">
                  <c:v>19096671.884999998</c:v>
                </c:pt>
                <c:pt idx="1">
                  <c:v>27713637.438309252</c:v>
                </c:pt>
                <c:pt idx="2" formatCode="_ * #,##0_ ;_ * \-#,##0_ ;_ * &quot;-&quot;??_ ;_ @_ ">
                  <c:v>37561788.758835085</c:v>
                </c:pt>
                <c:pt idx="3" formatCode="_ * #,##0_ ;_ * \-#,##0_ ;_ * &quot;-&quot;??_ ;_ @_ ">
                  <c:v>49261449.730870277</c:v>
                </c:pt>
                <c:pt idx="4" formatCode="_ * #,##0_ ;_ * \-#,##0_ ;_ * &quot;-&quot;??_ ;_ @_ ">
                  <c:v>59679402.861409239</c:v>
                </c:pt>
                <c:pt idx="5" formatCode="_ * #,##0_ ;_ * \-#,##0_ ;_ * &quot;-&quot;??_ ;_ @_ ">
                  <c:v>59859689.22230196</c:v>
                </c:pt>
                <c:pt idx="6" formatCode="_ * #,##0_ ;_ * \-#,##0_ ;_ * &quot;-&quot;??_ ;_ @_ ">
                  <c:v>160623723.57864654</c:v>
                </c:pt>
                <c:pt idx="7" formatCode="_ * #,##0_ ;_ * \-#,##0_ ;_ * &quot;-&quot;??_ ;_ @_ ">
                  <c:v>173631000.81306082</c:v>
                </c:pt>
                <c:pt idx="8" formatCode="_ * #,##0_ ;_ * \-#,##0_ ;_ * &quot;-&quot;??_ ;_ @_ ">
                  <c:v>201108660.63296288</c:v>
                </c:pt>
                <c:pt idx="9" formatCode="_ * #,##0_ ;_ * \-#,##0_ ;_ * &quot;-&quot;??_ ;_ @_ ">
                  <c:v>221317683.29563767</c:v>
                </c:pt>
                <c:pt idx="10" formatCode="_ * #,##0_ ;_ * \-#,##0_ ;_ * &quot;-&quot;??_ ;_ @_ ">
                  <c:v>238985455.00259063</c:v>
                </c:pt>
                <c:pt idx="11" formatCode="_ * #,##0_ ;_ * \-#,##0_ ;_ * &quot;-&quot;??_ ;_ @_ ">
                  <c:v>260854151.61134252</c:v>
                </c:pt>
                <c:pt idx="12" formatCode="_ * #,##0_ ;_ * \-#,##0_ ;_ * &quot;-&quot;??_ ;_ @_ ">
                  <c:v>285547513.68449384</c:v>
                </c:pt>
                <c:pt idx="13" formatCode="_ * #,##0_ ;_ * \-#,##0_ ;_ * &quot;-&quot;??_ ;_ @_ ">
                  <c:v>312072928.97028512</c:v>
                </c:pt>
                <c:pt idx="14" formatCode="_ * #,##0_ ;_ * \-#,##0_ ;_ * &quot;-&quot;??_ ;_ @_ ">
                  <c:v>330204096.09796357</c:v>
                </c:pt>
                <c:pt idx="15" formatCode="_ * #,##0_ ;_ * \-#,##0_ ;_ * &quot;-&quot;??_ ;_ @_ ">
                  <c:v>349183782.80777323</c:v>
                </c:pt>
                <c:pt idx="16" formatCode="_ * #,##0_ ;_ * \-#,##0_ ;_ * &quot;-&quot;??_ ;_ @_ ">
                  <c:v>369022304.98374987</c:v>
                </c:pt>
                <c:pt idx="17" formatCode="_ * #,##0_ ;_ * \-#,##0_ ;_ * &quot;-&quot;??_ ;_ @_ ">
                  <c:v>389724947.3844521</c:v>
                </c:pt>
                <c:pt idx="18" formatCode="_ * #,##0_ ;_ * \-#,##0_ ;_ * &quot;-&quot;??_ ;_ @_ ">
                  <c:v>411290943.11992896</c:v>
                </c:pt>
                <c:pt idx="19" formatCode="_ * #,##0_ ;_ * \-#,##0_ ;_ * &quot;-&quot;??_ ;_ @_ ">
                  <c:v>433712304.94259906</c:v>
                </c:pt>
                <c:pt idx="20" formatCode="_ * #,##0_ ;_ * \-#,##0_ ;_ * &quot;-&quot;??_ ;_ @_ ">
                  <c:v>456972489.25645071</c:v>
                </c:pt>
                <c:pt idx="21" formatCode="_ * #,##0_ ;_ * \-#,##0_ ;_ * &quot;-&quot;??_ ;_ @_ ">
                  <c:v>481044871.42920709</c:v>
                </c:pt>
                <c:pt idx="22" formatCode="_ * #,##0_ ;_ * \-#,##0_ ;_ * &quot;-&quot;??_ ;_ @_ ">
                  <c:v>505891008.39985043</c:v>
                </c:pt>
                <c:pt idx="23" formatCode="_ * #,##0_ ;_ * \-#,##0_ ;_ * &quot;-&quot;??_ ;_ @_ ">
                  <c:v>531458661.67783761</c:v>
                </c:pt>
                <c:pt idx="24" formatCode="_ * #,##0_ ;_ * \-#,##0_ ;_ * &quot;-&quot;??_ ;_ @_ ">
                  <c:v>557679550.59555471</c:v>
                </c:pt>
                <c:pt idx="25" formatCode="_ * #,##0_ ;_ * \-#,##0_ ;_ * &quot;-&quot;??_ ;_ @_ ">
                  <c:v>584466802.0632</c:v>
                </c:pt>
                <c:pt idx="26" formatCode="_ * #,##0_ ;_ * \-#,##0_ ;_ * &quot;-&quot;??_ ;_ @_ ">
                  <c:v>611712059.04209149</c:v>
                </c:pt>
                <c:pt idx="27" formatCode="_ * #,##0_ ;_ * \-#,##0_ ;_ * &quot;-&quot;??_ ;_ @_ ">
                  <c:v>639282205.45022094</c:v>
                </c:pt>
                <c:pt idx="28" formatCode="_ * #,##0_ ;_ * \-#,##0_ ;_ * &quot;-&quot;??_ ;_ @_ ">
                  <c:v>667015660.18910646</c:v>
                </c:pt>
                <c:pt idx="29" formatCode="_ * #,##0_ ;_ * \-#,##0_ ;_ * &quot;-&quot;??_ ;_ @_ ">
                  <c:v>694718187.37400329</c:v>
                </c:pt>
                <c:pt idx="30" formatCode="_ * #,##0_ ;_ * \-#,##0_ ;_ * &quot;-&quot;??_ ;_ @_ ">
                  <c:v>722190440.57213581</c:v>
                </c:pt>
                <c:pt idx="31" formatCode="_ * #,##0_ ;_ * \-#,##0_ ;_ * &quot;-&quot;??_ ;_ @_ ">
                  <c:v>749165974.84396899</c:v>
                </c:pt>
                <c:pt idx="32" formatCode="_ * #,##0_ ;_ * \-#,##0_ ;_ * &quot;-&quot;??_ ;_ @_ ">
                  <c:v>775950038.1651926</c:v>
                </c:pt>
                <c:pt idx="33" formatCode="_ * #,##0_ ;_ * \-#,##0_ ;_ * &quot;-&quot;??_ ;_ @_ ">
                  <c:v>801639155.99532259</c:v>
                </c:pt>
                <c:pt idx="34" formatCode="_ * #,##0_ ;_ * \-#,##0_ ;_ * &quot;-&quot;??_ ;_ @_ ">
                  <c:v>825812480.05793178</c:v>
                </c:pt>
                <c:pt idx="35" formatCode="_ * #,##0_ ;_ * \-#,##0_ ;_ * &quot;-&quot;??_ ;_ @_ ">
                  <c:v>847980095.43621969</c:v>
                </c:pt>
                <c:pt idx="36" formatCode="_ * #,##0_ ;_ * \-#,##0_ ;_ * &quot;-&quot;??_ ;_ @_ ">
                  <c:v>867573670.62182379</c:v>
                </c:pt>
                <c:pt idx="37" formatCode="_ * #,##0_ ;_ * \-#,##0_ ;_ * &quot;-&quot;??_ ;_ @_ ">
                  <c:v>883935942.66785276</c:v>
                </c:pt>
                <c:pt idx="38" formatCode="_ * #,##0_ ;_ * \-#,##0_ ;_ * &quot;-&quot;??_ ;_ @_ ">
                  <c:v>896308898.60497904</c:v>
                </c:pt>
                <c:pt idx="39" formatCode="_ * #,##0_ ;_ * \-#,##0_ ;_ * &quot;-&quot;??_ ;_ @_ ">
                  <c:v>903820498.16221595</c:v>
                </c:pt>
                <c:pt idx="40" formatCode="_ * #,##0_ ;_ * \-#,##0_ ;_ * &quot;-&quot;??_ ;_ @_ ">
                  <c:v>905469764.87695277</c:v>
                </c:pt>
                <c:pt idx="41" formatCode="_ * #,##0_ ;_ * \-#,##0_ ;_ * &quot;-&quot;??_ ;_ @_ ">
                  <c:v>900624847.86322618</c:v>
                </c:pt>
                <c:pt idx="42" formatCode="_ * #,##0_ ;_ * \-#,##0_ ;_ * &quot;-&quot;??_ ;_ @_ ">
                  <c:v>891134710.48718774</c:v>
                </c:pt>
                <c:pt idx="43" formatCode="_ * #,##0_ ;_ * \-#,##0_ ;_ * &quot;-&quot;??_ ;_ @_ ">
                  <c:v>876393565.63478589</c:v>
                </c:pt>
                <c:pt idx="44" formatCode="_ * #,##0_ ;_ * \-#,##0_ ;_ * &quot;-&quot;??_ ;_ @_ ">
                  <c:v>855734283.90116632</c:v>
                </c:pt>
                <c:pt idx="45" formatCode="_ * #,##0_ ;_ * \-#,##0_ ;_ * &quot;-&quot;??_ ;_ @_ ">
                  <c:v>828422777.844715</c:v>
                </c:pt>
                <c:pt idx="46" formatCode="_ * #,##0_ ;_ * \-#,##0_ ;_ * &quot;-&quot;??_ ;_ @_ ">
                  <c:v>793651898.02147758</c:v>
                </c:pt>
                <c:pt idx="47" formatCode="_ * #,##0_ ;_ * \-#,##0_ ;_ * &quot;-&quot;??_ ;_ @_ ">
                  <c:v>750534799.59958637</c:v>
                </c:pt>
                <c:pt idx="48" formatCode="_ * #,##0_ ;_ * \-#,##0_ ;_ * &quot;-&quot;??_ ;_ @_ ">
                  <c:v>698097734.93944538</c:v>
                </c:pt>
                <c:pt idx="49" formatCode="_ * #,##0_ ;_ * \-#,##0_ ;_ * &quot;-&quot;??_ ;_ @_ ">
                  <c:v>635272223.83194721</c:v>
                </c:pt>
                <c:pt idx="50" formatCode="_ * #,##0_ ;_ * \-#,##0_ ;_ * &quot;-&quot;??_ ;_ @_ ">
                  <c:v>560886549.09120321</c:v>
                </c:pt>
                <c:pt idx="51" formatCode="_ * #,##0_ ;_ * \-#,##0_ ;_ * &quot;-&quot;??_ ;_ @_ ">
                  <c:v>473656520.87559819</c:v>
                </c:pt>
                <c:pt idx="52" formatCode="_ * #,##0_ ;_ * \-#,##0_ ;_ * &quot;-&quot;??_ ;_ @_ ">
                  <c:v>372175448.43488526</c:v>
                </c:pt>
                <c:pt idx="53" formatCode="_ * #,##0_ ;_ * \-#,##0_ ;_ * &quot;-&quot;??_ ;_ @_ ">
                  <c:v>254903252.92282343</c:v>
                </c:pt>
                <c:pt idx="54" formatCode="_ * #,##0_ ;_ * \-#,##0_ ;_ * &quot;-&quot;??_ ;_ @_ ">
                  <c:v>120154649.44351973</c:v>
                </c:pt>
                <c:pt idx="55" formatCode="_ * #,##0_ ;_ * \-#,##0_ ;_ * &quot;-&quot;??_ ;_ @_ ">
                  <c:v>0</c:v>
                </c:pt>
                <c:pt idx="56" formatCode="_ * #,##0_ ;_ * \-#,##0_ ;_ * &quot;-&quot;??_ ;_ @_ 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8C-4B6F-9F3B-2838CC816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9572975"/>
        <c:axId val="862308943"/>
        <c:extLst/>
      </c:areaChart>
      <c:catAx>
        <c:axId val="7495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308943"/>
        <c:crosses val="autoZero"/>
        <c:auto val="1"/>
        <c:lblAlgn val="ctr"/>
        <c:lblOffset val="100"/>
        <c:noMultiLvlLbl val="0"/>
      </c:catAx>
      <c:valAx>
        <c:axId val="862308943"/>
        <c:scaling>
          <c:orientation val="minMax"/>
        </c:scaling>
        <c:delete val="0"/>
        <c:axPos val="l"/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5729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'HLV Working'!$A$1</c:f>
              <c:strCache>
                <c:ptCount val="1"/>
                <c:pt idx="0">
                  <c:v>Year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'HLV Working'!$A$2:$A$58</c:f>
              <c:numCache>
                <c:formatCode>General</c:formatCode>
                <c:ptCount val="5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</c:numCache>
            </c:numRef>
          </c:cat>
          <c:val>
            <c:numRef>
              <c:f>'HLV Working'!$A$2:$A$58</c:f>
              <c:numCache>
                <c:formatCode>General</c:formatCode>
                <c:ptCount val="5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4F-4705-A856-C2C1633B4295}"/>
            </c:ext>
          </c:extLst>
        </c:ser>
        <c:ser>
          <c:idx val="1"/>
          <c:order val="1"/>
          <c:tx>
            <c:strRef>
              <c:f>'HLV Working'!$G$1</c:f>
              <c:strCache>
                <c:ptCount val="1"/>
                <c:pt idx="0">
                  <c:v>Withdrawals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'HLV Working'!$A$2:$A$58</c:f>
              <c:numCache>
                <c:formatCode>General</c:formatCode>
                <c:ptCount val="5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</c:numCache>
            </c:numRef>
          </c:cat>
          <c:val>
            <c:numRef>
              <c:f>'HLV Working'!$G$2:$G$58</c:f>
              <c:numCache>
                <c:formatCode>_ * #,##0_ ;_ * \-#,##0_ ;_ * "-"??_ ;_ @_ </c:formatCode>
                <c:ptCount val="57"/>
                <c:pt idx="0">
                  <c:v>2248983.2000000002</c:v>
                </c:pt>
                <c:pt idx="1">
                  <c:v>2428901.8560000001</c:v>
                </c:pt>
                <c:pt idx="2">
                  <c:v>2623214.0044800001</c:v>
                </c:pt>
                <c:pt idx="3">
                  <c:v>2833071.1248384006</c:v>
                </c:pt>
                <c:pt idx="4">
                  <c:v>5867377.3588254731</c:v>
                </c:pt>
                <c:pt idx="5">
                  <c:v>3304494.1600115104</c:v>
                </c:pt>
                <c:pt idx="6">
                  <c:v>6605619.337202834</c:v>
                </c:pt>
                <c:pt idx="7">
                  <c:v>6258515.5801404547</c:v>
                </c:pt>
                <c:pt idx="8">
                  <c:v>3348301.654772392</c:v>
                </c:pt>
                <c:pt idx="9">
                  <c:v>3616165.7871541842</c:v>
                </c:pt>
                <c:pt idx="10">
                  <c:v>7359739.0457629794</c:v>
                </c:pt>
                <c:pt idx="11">
                  <c:v>5150551.372958485</c:v>
                </c:pt>
                <c:pt idx="12">
                  <c:v>4555327.4360675719</c:v>
                </c:pt>
                <c:pt idx="13">
                  <c:v>4919753.6309529785</c:v>
                </c:pt>
                <c:pt idx="14">
                  <c:v>5313333.9214292178</c:v>
                </c:pt>
                <c:pt idx="15">
                  <c:v>5738400.6351435548</c:v>
                </c:pt>
                <c:pt idx="16">
                  <c:v>6197472.6859550392</c:v>
                </c:pt>
                <c:pt idx="17">
                  <c:v>6693270.500831441</c:v>
                </c:pt>
                <c:pt idx="18">
                  <c:v>7228732.1408979576</c:v>
                </c:pt>
                <c:pt idx="19">
                  <c:v>7807030.7121697962</c:v>
                </c:pt>
                <c:pt idx="20">
                  <c:v>8431593.1691433787</c:v>
                </c:pt>
                <c:pt idx="21">
                  <c:v>9106120.6226748507</c:v>
                </c:pt>
                <c:pt idx="22">
                  <c:v>9834610.2724888381</c:v>
                </c:pt>
                <c:pt idx="23">
                  <c:v>10621379.094287947</c:v>
                </c:pt>
                <c:pt idx="24">
                  <c:v>11471089.421830982</c:v>
                </c:pt>
                <c:pt idx="25">
                  <c:v>12388776.575577462</c:v>
                </c:pt>
                <c:pt idx="26">
                  <c:v>13379878.70162366</c:v>
                </c:pt>
                <c:pt idx="27">
                  <c:v>14450268.997753551</c:v>
                </c:pt>
                <c:pt idx="28">
                  <c:v>15606290.517573835</c:v>
                </c:pt>
                <c:pt idx="29">
                  <c:v>16854793.758979745</c:v>
                </c:pt>
                <c:pt idx="30">
                  <c:v>18203177.259698126</c:v>
                </c:pt>
                <c:pt idx="31">
                  <c:v>19659431.440473981</c:v>
                </c:pt>
                <c:pt idx="32">
                  <c:v>20762702.635895289</c:v>
                </c:pt>
                <c:pt idx="33">
                  <c:v>22423718.846766911</c:v>
                </c:pt>
                <c:pt idx="34">
                  <c:v>24217616.354508262</c:v>
                </c:pt>
                <c:pt idx="35">
                  <c:v>26155025.662868924</c:v>
                </c:pt>
                <c:pt idx="36">
                  <c:v>28247427.715898447</c:v>
                </c:pt>
                <c:pt idx="37">
                  <c:v>30507221.933170322</c:v>
                </c:pt>
                <c:pt idx="38">
                  <c:v>32947799.687823948</c:v>
                </c:pt>
                <c:pt idx="39">
                  <c:v>35583623.662849858</c:v>
                </c:pt>
                <c:pt idx="40">
                  <c:v>38430313.555877857</c:v>
                </c:pt>
                <c:pt idx="41">
                  <c:v>41504738.640348092</c:v>
                </c:pt>
                <c:pt idx="42">
                  <c:v>44825117.731575929</c:v>
                </c:pt>
                <c:pt idx="43">
                  <c:v>48411127.150102004</c:v>
                </c:pt>
                <c:pt idx="44">
                  <c:v>52284017.322110176</c:v>
                </c:pt>
                <c:pt idx="45">
                  <c:v>56466738.707878985</c:v>
                </c:pt>
                <c:pt idx="46">
                  <c:v>60984077.804509319</c:v>
                </c:pt>
                <c:pt idx="47">
                  <c:v>65862804.028870061</c:v>
                </c:pt>
                <c:pt idx="48">
                  <c:v>71131828.351179659</c:v>
                </c:pt>
                <c:pt idx="49">
                  <c:v>76822374.61927405</c:v>
                </c:pt>
                <c:pt idx="50">
                  <c:v>82968164.588815972</c:v>
                </c:pt>
                <c:pt idx="51">
                  <c:v>89605617.75592126</c:v>
                </c:pt>
                <c:pt idx="52">
                  <c:v>96774067.176394984</c:v>
                </c:pt>
                <c:pt idx="53">
                  <c:v>104515992.55050655</c:v>
                </c:pt>
                <c:pt idx="54">
                  <c:v>112877271.95454709</c:v>
                </c:pt>
                <c:pt idx="55">
                  <c:v>121907453.71091087</c:v>
                </c:pt>
                <c:pt idx="56">
                  <c:v>131660050.00778377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4F-4705-A856-C2C1633B4295}"/>
            </c:ext>
          </c:extLst>
        </c:ser>
        <c:ser>
          <c:idx val="2"/>
          <c:order val="2"/>
          <c:tx>
            <c:strRef>
              <c:f>'HLV Working'!$I$1</c:f>
              <c:strCache>
                <c:ptCount val="1"/>
                <c:pt idx="0">
                  <c:v>NW at the end of year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'HLV Working'!$A$2:$A$58</c:f>
              <c:numCache>
                <c:formatCode>General</c:formatCode>
                <c:ptCount val="5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</c:numCache>
            </c:numRef>
          </c:cat>
          <c:val>
            <c:numRef>
              <c:f>'HLV Working'!$I$2:$I$58</c:f>
              <c:numCache>
                <c:formatCode>_ * #,##0_ ;_ * \-#,##0_ ;_ * "-"??_ ;_ @_ </c:formatCode>
                <c:ptCount val="57"/>
                <c:pt idx="0">
                  <c:v>64107567.162</c:v>
                </c:pt>
                <c:pt idx="1">
                  <c:v>67229745.183540002</c:v>
                </c:pt>
                <c:pt idx="2">
                  <c:v>70421118.985175401</c:v>
                </c:pt>
                <c:pt idx="3">
                  <c:v>73670972.167767331</c:v>
                </c:pt>
                <c:pt idx="4">
                  <c:v>73905918.341746628</c:v>
                </c:pt>
                <c:pt idx="5">
                  <c:v>76955552.35809128</c:v>
                </c:pt>
                <c:pt idx="6">
                  <c:v>76681426.992768407</c:v>
                </c:pt>
                <c:pt idx="7">
                  <c:v>76760973.43976447</c:v>
                </c:pt>
                <c:pt idx="8">
                  <c:v>80019812.245641366</c:v>
                </c:pt>
                <c:pt idx="9">
                  <c:v>83279974.639751032</c:v>
                </c:pt>
                <c:pt idx="10">
                  <c:v>82753056.797446966</c:v>
                </c:pt>
                <c:pt idx="11">
                  <c:v>84586730.912692443</c:v>
                </c:pt>
                <c:pt idx="12">
                  <c:v>87234229.789521113</c:v>
                </c:pt>
                <c:pt idx="13">
                  <c:v>89722779.012839258</c:v>
                </c:pt>
                <c:pt idx="14">
                  <c:v>92006295.149636939</c:v>
                </c:pt>
                <c:pt idx="15">
                  <c:v>94032005.020797789</c:v>
                </c:pt>
                <c:pt idx="16">
                  <c:v>95739640.244978607</c:v>
                </c:pt>
                <c:pt idx="17">
                  <c:v>97060543.021120414</c:v>
                </c:pt>
                <c:pt idx="18">
                  <c:v>97916673.859442472</c:v>
                </c:pt>
                <c:pt idx="19">
                  <c:v>98219511.030527219</c:v>
                </c:pt>
                <c:pt idx="20">
                  <c:v>97868830.468908384</c:v>
                </c:pt>
                <c:pt idx="21">
                  <c:v>96751353.732394546</c:v>
                </c:pt>
                <c:pt idx="22">
                  <c:v>94739250.371297225</c:v>
                </c:pt>
                <c:pt idx="23">
                  <c:v>91688479.691940114</c:v>
                </c:pt>
                <c:pt idx="24">
                  <c:v>87436955.394418955</c:v>
                </c:pt>
                <c:pt idx="25">
                  <c:v>81802514.912537217</c:v>
                </c:pt>
                <c:pt idx="26">
                  <c:v>74580673.46989578</c:v>
                </c:pt>
                <c:pt idx="27">
                  <c:v>65542140.874635026</c:v>
                </c:pt>
                <c:pt idx="28">
                  <c:v>54430076.889196701</c:v>
                </c:pt>
                <c:pt idx="29">
                  <c:v>40957058.61193648</c:v>
                </c:pt>
                <c:pt idx="30">
                  <c:v>24801730.673939805</c:v>
                </c:pt>
                <c:pt idx="31">
                  <c:v>5605106.1644777488</c:v>
                </c:pt>
                <c:pt idx="32">
                  <c:v>-16521780.15384512</c:v>
                </c:pt>
                <c:pt idx="33">
                  <c:v>-42450593.910667121</c:v>
                </c:pt>
                <c:pt idx="34">
                  <c:v>-72668349.189041167</c:v>
                </c:pt>
                <c:pt idx="35">
                  <c:v>-107717478.58858199</c:v>
                </c:pt>
                <c:pt idx="36">
                  <c:v>-148201747.87188366</c:v>
                </c:pt>
                <c:pt idx="37">
                  <c:v>-194792777.08750883</c:v>
                </c:pt>
                <c:pt idx="38">
                  <c:v>-248237228.68511271</c:v>
                </c:pt>
                <c:pt idx="39">
                  <c:v>-309364729.0592792</c:v>
                </c:pt>
                <c:pt idx="40">
                  <c:v>-379096596.45052123</c:v>
                </c:pt>
                <c:pt idx="41">
                  <c:v>-458455455.24904752</c:v>
                </c:pt>
                <c:pt idx="42">
                  <c:v>-548575824.5488795</c:v>
                </c:pt>
                <c:pt idx="43">
                  <c:v>-650715777.35188985</c:v>
                </c:pt>
                <c:pt idx="44">
                  <c:v>-766269776.19466007</c:v>
                </c:pt>
                <c:pt idx="45">
                  <c:v>-896782801.2437675</c:v>
                </c:pt>
                <c:pt idx="46">
                  <c:v>-1043965898.1626217</c:v>
                </c:pt>
                <c:pt idx="47">
                  <c:v>-1209713285.388726</c:v>
                </c:pt>
                <c:pt idx="48">
                  <c:v>-1396121173.9764972</c:v>
                </c:pt>
                <c:pt idx="49">
                  <c:v>-1605508467.9693906</c:v>
                </c:pt>
                <c:pt idx="50">
                  <c:v>-1840439529.488445</c:v>
                </c:pt>
                <c:pt idx="51">
                  <c:v>-2103749210.4963593</c:v>
                </c:pt>
                <c:pt idx="52">
                  <c:v>-2398570372.6633019</c:v>
                </c:pt>
                <c:pt idx="53">
                  <c:v>-2728364138.0830512</c:v>
                </c:pt>
                <c:pt idx="54">
                  <c:v>-3096953136.9409819</c:v>
                </c:pt>
                <c:pt idx="55">
                  <c:v>-3508558043.8105631</c:v>
                </c:pt>
                <c:pt idx="56">
                  <c:v>-3967837722.2619982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6D-4C1E-8ACF-B2E1F58AE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234031"/>
        <c:axId val="1086239855"/>
      </c:areaChart>
      <c:catAx>
        <c:axId val="10862340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239855"/>
        <c:crosses val="autoZero"/>
        <c:auto val="1"/>
        <c:lblAlgn val="ctr"/>
        <c:lblOffset val="100"/>
        <c:noMultiLvlLbl val="0"/>
      </c:catAx>
      <c:valAx>
        <c:axId val="10862398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86234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Wheel of Wealth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'WoW - Working'!$L$1</c:f>
              <c:strCache>
                <c:ptCount val="1"/>
                <c:pt idx="0">
                  <c:v>Scores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9.5934701975660862E-17"/>
                  <c:y val="4.82392667631452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4D-44F1-8304-9F1476C944A1}"/>
                </c:ext>
              </c:extLst>
            </c:dLbl>
            <c:dLbl>
              <c:idx val="1"/>
              <c:layout>
                <c:manualLayout>
                  <c:x val="-1.4390371533228676E-2"/>
                  <c:y val="1.9295706705257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4D-44F1-8304-9F1476C944A1}"/>
                </c:ext>
              </c:extLst>
            </c:dLbl>
            <c:dLbl>
              <c:idx val="2"/>
              <c:layout>
                <c:manualLayout>
                  <c:x val="-1.5698587127158554E-2"/>
                  <c:y val="-4.82392667631452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4D-44F1-8304-9F1476C944A1}"/>
                </c:ext>
              </c:extLst>
            </c:dLbl>
            <c:dLbl>
              <c:idx val="3"/>
              <c:layout>
                <c:manualLayout>
                  <c:x val="-9.5934701975660862E-17"/>
                  <c:y val="-2.65315967197299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4D-44F1-8304-9F1476C944A1}"/>
                </c:ext>
              </c:extLst>
            </c:dLbl>
            <c:dLbl>
              <c:idx val="4"/>
              <c:layout>
                <c:manualLayout>
                  <c:x val="1.3082155939298797E-2"/>
                  <c:y val="-4.823926676314608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4D-44F1-8304-9F1476C944A1}"/>
                </c:ext>
              </c:extLst>
            </c:dLbl>
            <c:dLbl>
              <c:idx val="5"/>
              <c:layout>
                <c:manualLayout>
                  <c:x val="1.7006802721088388E-2"/>
                  <c:y val="2.17076700434152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4D-44F1-8304-9F1476C944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'WoW - Working'!$K$2:$K$7</c:f>
              <c:strCache>
                <c:ptCount val="6"/>
                <c:pt idx="0">
                  <c:v>Will the Money Last</c:v>
                </c:pt>
                <c:pt idx="1">
                  <c:v>Asset Growth</c:v>
                </c:pt>
                <c:pt idx="2">
                  <c:v>Cashflow Scores</c:v>
                </c:pt>
                <c:pt idx="3">
                  <c:v>Succession Readiness</c:v>
                </c:pt>
                <c:pt idx="4">
                  <c:v>Asset Value at Risk</c:v>
                </c:pt>
                <c:pt idx="5">
                  <c:v>Risk Cover</c:v>
                </c:pt>
              </c:strCache>
            </c:strRef>
          </c:cat>
          <c:val>
            <c:numRef>
              <c:f>'WoW - Working'!$L$2:$L$7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6.8000000000000007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D-44F1-8304-9F1476C944A1}"/>
            </c:ext>
          </c:extLst>
        </c:ser>
        <c:ser>
          <c:idx val="1"/>
          <c:order val="1"/>
          <c:tx>
            <c:strRef>
              <c:f>'WoW - Working'!$M$1</c:f>
              <c:strCache>
                <c:ptCount val="1"/>
                <c:pt idx="0">
                  <c:v>max Score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'WoW - Working'!$K$2:$K$7</c:f>
              <c:strCache>
                <c:ptCount val="6"/>
                <c:pt idx="0">
                  <c:v>Will the Money Last</c:v>
                </c:pt>
                <c:pt idx="1">
                  <c:v>Asset Growth</c:v>
                </c:pt>
                <c:pt idx="2">
                  <c:v>Cashflow Scores</c:v>
                </c:pt>
                <c:pt idx="3">
                  <c:v>Succession Readiness</c:v>
                </c:pt>
                <c:pt idx="4">
                  <c:v>Asset Value at Risk</c:v>
                </c:pt>
                <c:pt idx="5">
                  <c:v>Risk Cover</c:v>
                </c:pt>
              </c:strCache>
            </c:strRef>
          </c:cat>
          <c:val>
            <c:numRef>
              <c:f>'WoW - Working'!$M$2:$M$7</c:f>
              <c:numCache>
                <c:formatCode>General</c:formatCode>
                <c:ptCount val="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4D-44F1-8304-9F1476C944A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29203520"/>
        <c:axId val="729207680"/>
      </c:radarChart>
      <c:catAx>
        <c:axId val="72920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07680"/>
        <c:crosses val="autoZero"/>
        <c:auto val="1"/>
        <c:lblAlgn val="ctr"/>
        <c:lblOffset val="100"/>
        <c:noMultiLvlLbl val="0"/>
      </c:catAx>
      <c:valAx>
        <c:axId val="72920768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2920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4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4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4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B$2" horiz="1" max="100" min="29" page="5" val="46"/>
</file>

<file path=xl/ctrlProps/ctrlProp2.xml><?xml version="1.0" encoding="utf-8"?>
<formControlPr xmlns="http://schemas.microsoft.com/office/spreadsheetml/2009/9/main" objectType="Scroll" dx="22" fmlaLink="$B$2" horiz="1" max="100" min="30" page="10" val="49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1</xdr:row>
      <xdr:rowOff>0</xdr:rowOff>
    </xdr:from>
    <xdr:to>
      <xdr:col>17</xdr:col>
      <xdr:colOff>571500</xdr:colOff>
      <xdr:row>21</xdr:row>
      <xdr:rowOff>119063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12</xdr:row>
      <xdr:rowOff>3174</xdr:rowOff>
    </xdr:from>
    <xdr:to>
      <xdr:col>14</xdr:col>
      <xdr:colOff>0</xdr:colOff>
      <xdr:row>26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213360</xdr:colOff>
          <xdr:row>0</xdr:row>
          <xdr:rowOff>114300</xdr:rowOff>
        </xdr:from>
        <xdr:to>
          <xdr:col>10</xdr:col>
          <xdr:colOff>236220</xdr:colOff>
          <xdr:row>2</xdr:row>
          <xdr:rowOff>114300</xdr:rowOff>
        </xdr:to>
        <xdr:sp macro="" textlink="">
          <xdr:nvSpPr>
            <xdr:cNvPr id="49153" name="Scroll Bar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8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304800</xdr:colOff>
      <xdr:row>4</xdr:row>
      <xdr:rowOff>45720</xdr:rowOff>
    </xdr:from>
    <xdr:to>
      <xdr:col>10</xdr:col>
      <xdr:colOff>0</xdr:colOff>
      <xdr:row>19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99060</xdr:colOff>
      <xdr:row>0</xdr:row>
      <xdr:rowOff>91440</xdr:rowOff>
    </xdr:from>
    <xdr:to>
      <xdr:col>20</xdr:col>
      <xdr:colOff>518160</xdr:colOff>
      <xdr:row>26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CA0974-DF85-4A83-8F56-95FDF3DEA0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0.02641</cdr:y>
    </cdr:from>
    <cdr:to>
      <cdr:x>0.05562</cdr:x>
      <cdr:y>0.07079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5BA0555B-19EF-4260-8924-78C21B76EE0E}"/>
            </a:ext>
          </a:extLst>
        </cdr:cNvPr>
        <cdr:cNvSpPr txBox="1"/>
      </cdr:nvSpPr>
      <cdr:spPr>
        <a:xfrm xmlns:a="http://schemas.openxmlformats.org/drawingml/2006/main">
          <a:off x="0" y="127000"/>
          <a:ext cx="693420" cy="2133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900" b="1" baseline="0">
              <a:solidFill>
                <a:schemeClr val="bg2">
                  <a:lumMod val="50000"/>
                </a:schemeClr>
              </a:solidFill>
              <a:latin typeface="+mn-lt"/>
            </a:rPr>
            <a:t>IN LAKHS</a:t>
          </a:r>
          <a:endParaRPr lang="en-IN" sz="900" b="1">
            <a:solidFill>
              <a:schemeClr val="bg2">
                <a:lumMod val="50000"/>
              </a:schemeClr>
            </a:solidFill>
            <a:latin typeface="+mn-lt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90486</xdr:rowOff>
    </xdr:from>
    <xdr:to>
      <xdr:col>13</xdr:col>
      <xdr:colOff>590550</xdr:colOff>
      <xdr:row>20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</xdr:row>
          <xdr:rowOff>182880</xdr:rowOff>
        </xdr:from>
        <xdr:to>
          <xdr:col>13</xdr:col>
          <xdr:colOff>373380</xdr:colOff>
          <xdr:row>2</xdr:row>
          <xdr:rowOff>45720</xdr:rowOff>
        </xdr:to>
        <xdr:sp macro="" textlink="">
          <xdr:nvSpPr>
            <xdr:cNvPr id="26625" name="Scroll Bar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285750</xdr:colOff>
      <xdr:row>3</xdr:row>
      <xdr:rowOff>4761</xdr:rowOff>
    </xdr:from>
    <xdr:to>
      <xdr:col>13</xdr:col>
      <xdr:colOff>0</xdr:colOff>
      <xdr:row>18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396240</xdr:colOff>
      <xdr:row>23</xdr:row>
      <xdr:rowOff>144780</xdr:rowOff>
    </xdr:from>
    <xdr:to>
      <xdr:col>12</xdr:col>
      <xdr:colOff>312420</xdr:colOff>
      <xdr:row>44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304799</xdr:colOff>
      <xdr:row>1</xdr:row>
      <xdr:rowOff>180974</xdr:rowOff>
    </xdr:from>
    <xdr:to>
      <xdr:col>22</xdr:col>
      <xdr:colOff>53340</xdr:colOff>
      <xdr:row>20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287654</xdr:colOff>
      <xdr:row>37</xdr:row>
      <xdr:rowOff>25717</xdr:rowOff>
    </xdr:from>
    <xdr:to>
      <xdr:col>21</xdr:col>
      <xdr:colOff>533400</xdr:colOff>
      <xdr:row>54</xdr:row>
      <xdr:rowOff>154305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662940</xdr:colOff>
      <xdr:row>88</xdr:row>
      <xdr:rowOff>102870</xdr:rowOff>
    </xdr:from>
    <xdr:to>
      <xdr:col>12</xdr:col>
      <xdr:colOff>30480</xdr:colOff>
      <xdr:row>105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662940</xdr:colOff>
      <xdr:row>68</xdr:row>
      <xdr:rowOff>102870</xdr:rowOff>
    </xdr:from>
    <xdr:to>
      <xdr:col>12</xdr:col>
      <xdr:colOff>30480</xdr:colOff>
      <xdr:row>85</xdr:row>
      <xdr:rowOff>160020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11</xdr:col>
      <xdr:colOff>1303867</xdr:colOff>
      <xdr:row>107</xdr:row>
      <xdr:rowOff>118110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DBA8BE-E354-4433-932D-AD5E3389D9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1</xdr:rowOff>
    </xdr:from>
    <xdr:to>
      <xdr:col>21</xdr:col>
      <xdr:colOff>220980</xdr:colOff>
      <xdr:row>6</xdr:row>
      <xdr:rowOff>76201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15241</xdr:colOff>
      <xdr:row>9</xdr:row>
      <xdr:rowOff>15240</xdr:rowOff>
    </xdr:from>
    <xdr:to>
      <xdr:col>21</xdr:col>
      <xdr:colOff>114301</xdr:colOff>
      <xdr:row>12</xdr:row>
      <xdr:rowOff>487680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  <a:ext uri="{147F2762-F138-4A5C-976F-8EAC2B608ADB}">
              <a16:predDERef xmlns:a16="http://schemas.microsoft.com/office/drawing/2014/main" pre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5</xdr:row>
      <xdr:rowOff>85724</xdr:rowOff>
    </xdr:from>
    <xdr:to>
      <xdr:col>12</xdr:col>
      <xdr:colOff>28574</xdr:colOff>
      <xdr:row>23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8</xdr:row>
      <xdr:rowOff>31750</xdr:rowOff>
    </xdr:from>
    <xdr:to>
      <xdr:col>5</xdr:col>
      <xdr:colOff>514350</xdr:colOff>
      <xdr:row>16</xdr:row>
      <xdr:rowOff>31750</xdr:rowOff>
    </xdr:to>
    <xdr:pic>
      <xdr:nvPicPr>
        <xdr:cNvPr id="2" name="Picture 808" descr="Picture 808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14110" y="1746250"/>
          <a:ext cx="1417320" cy="1729740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274320</xdr:colOff>
      <xdr:row>29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03C29-6426-478A-B50B-AB490BD4D8E8}">
  <sheetPr codeName="Sheet9"/>
  <dimension ref="A1"/>
  <sheetViews>
    <sheetView workbookViewId="0">
      <selection activeCell="S13" sqref="S13"/>
    </sheetView>
  </sheetViews>
  <sheetFormatPr defaultColWidth="9.109375" defaultRowHeight="14.4" x14ac:dyDescent="0.3"/>
  <cols>
    <col min="1" max="16384" width="9.10937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CA78B-CAE0-40AE-B559-9939AF086BF0}">
  <sheetPr codeName="Sheet1"/>
  <dimension ref="A1:F32"/>
  <sheetViews>
    <sheetView tabSelected="1" topLeftCell="A2" workbookViewId="0">
      <selection activeCell="B19" sqref="B19"/>
    </sheetView>
  </sheetViews>
  <sheetFormatPr defaultColWidth="8.88671875" defaultRowHeight="14.4" x14ac:dyDescent="0.3"/>
  <cols>
    <col min="1" max="1" width="26.109375" style="1" customWidth="1"/>
    <col min="2" max="2" width="35.44140625" style="1" customWidth="1"/>
    <col min="3" max="3" width="79.6640625" style="1" bestFit="1" customWidth="1"/>
    <col min="4" max="16384" width="8.88671875" style="1"/>
  </cols>
  <sheetData>
    <row r="1" spans="1:6" ht="15" customHeight="1" x14ac:dyDescent="0.3">
      <c r="A1" s="645" t="s">
        <v>0</v>
      </c>
      <c r="B1" s="645"/>
      <c r="C1" s="645"/>
      <c r="D1" s="389"/>
      <c r="F1" s="520" t="str">
        <f>B4</f>
        <v>SG</v>
      </c>
    </row>
    <row r="2" spans="1:6" ht="15" customHeight="1" x14ac:dyDescent="0.3">
      <c r="A2" s="645"/>
      <c r="B2" s="645"/>
      <c r="C2" s="645"/>
      <c r="D2" s="389"/>
      <c r="F2" s="520" t="str">
        <f>C4</f>
        <v>HS</v>
      </c>
    </row>
    <row r="3" spans="1:6" s="391" customFormat="1" ht="18" x14ac:dyDescent="0.35">
      <c r="A3" s="410"/>
      <c r="B3" s="411" t="s">
        <v>1</v>
      </c>
      <c r="C3" s="411" t="s">
        <v>2</v>
      </c>
      <c r="D3" s="390"/>
      <c r="F3" s="521"/>
    </row>
    <row r="4" spans="1:6" s="391" customFormat="1" ht="18" x14ac:dyDescent="0.35">
      <c r="A4" s="392" t="s">
        <v>3</v>
      </c>
      <c r="B4" s="415" t="s">
        <v>51</v>
      </c>
      <c r="C4" s="415" t="s">
        <v>506</v>
      </c>
      <c r="D4" s="390"/>
    </row>
    <row r="5" spans="1:6" x14ac:dyDescent="0.3">
      <c r="A5" s="408" t="s">
        <v>4</v>
      </c>
      <c r="B5" s="578"/>
      <c r="C5" s="578"/>
      <c r="D5" s="389"/>
    </row>
    <row r="6" spans="1:6" ht="15" customHeight="1" x14ac:dyDescent="0.3">
      <c r="A6" s="409" t="s">
        <v>5</v>
      </c>
      <c r="B6" s="578"/>
      <c r="C6" s="578"/>
      <c r="D6" s="389"/>
    </row>
    <row r="7" spans="1:6" ht="15" customHeight="1" x14ac:dyDescent="0.3">
      <c r="A7" s="409" t="s">
        <v>6</v>
      </c>
      <c r="B7" s="578" t="s">
        <v>7</v>
      </c>
      <c r="C7" s="578" t="s">
        <v>8</v>
      </c>
      <c r="D7" s="389"/>
    </row>
    <row r="8" spans="1:6" ht="15" customHeight="1" x14ac:dyDescent="0.3">
      <c r="A8" s="409" t="s">
        <v>9</v>
      </c>
      <c r="B8" s="578" t="s">
        <v>10</v>
      </c>
      <c r="C8" s="578"/>
      <c r="D8" s="389"/>
    </row>
    <row r="9" spans="1:6" ht="15" customHeight="1" x14ac:dyDescent="0.3">
      <c r="A9" s="409" t="s">
        <v>11</v>
      </c>
      <c r="B9" s="578" t="s">
        <v>12</v>
      </c>
      <c r="C9" s="578" t="s">
        <v>13</v>
      </c>
      <c r="D9" s="389"/>
    </row>
    <row r="10" spans="1:6" ht="15" customHeight="1" x14ac:dyDescent="0.3">
      <c r="A10" s="409" t="s">
        <v>14</v>
      </c>
      <c r="B10" s="578"/>
      <c r="C10" s="578" t="s">
        <v>15</v>
      </c>
      <c r="D10" s="389"/>
    </row>
    <row r="11" spans="1:6" ht="15" customHeight="1" x14ac:dyDescent="0.3">
      <c r="A11" s="409" t="s">
        <v>16</v>
      </c>
      <c r="B11" s="578" t="s">
        <v>17</v>
      </c>
      <c r="C11" s="578" t="s">
        <v>17</v>
      </c>
      <c r="D11" s="389"/>
    </row>
    <row r="12" spans="1:6" ht="15" customHeight="1" x14ac:dyDescent="0.3">
      <c r="A12" s="409" t="s">
        <v>18</v>
      </c>
      <c r="B12" s="579" t="s">
        <v>19</v>
      </c>
      <c r="C12" s="579" t="s">
        <v>20</v>
      </c>
      <c r="D12" s="389">
        <f>2025-1976</f>
        <v>49</v>
      </c>
    </row>
    <row r="13" spans="1:6" ht="15" customHeight="1" x14ac:dyDescent="0.3">
      <c r="A13" s="409" t="s">
        <v>21</v>
      </c>
      <c r="B13" s="579" t="s">
        <v>22</v>
      </c>
      <c r="C13" s="579" t="s">
        <v>23</v>
      </c>
      <c r="D13" s="389"/>
    </row>
    <row r="14" spans="1:6" x14ac:dyDescent="0.3">
      <c r="A14" s="394"/>
      <c r="B14" s="395"/>
      <c r="C14" s="396"/>
    </row>
    <row r="15" spans="1:6" ht="48" customHeight="1" x14ac:dyDescent="0.3">
      <c r="A15" s="397" t="s">
        <v>24</v>
      </c>
      <c r="B15" s="646" t="s">
        <v>25</v>
      </c>
      <c r="C15" s="646"/>
    </row>
    <row r="16" spans="1:6" ht="15" customHeight="1" x14ac:dyDescent="0.3">
      <c r="A16" s="398"/>
      <c r="B16" s="399"/>
      <c r="C16" s="400"/>
    </row>
    <row r="17" spans="1:4" s="391" customFormat="1" ht="18" x14ac:dyDescent="0.35">
      <c r="A17" s="412" t="s">
        <v>26</v>
      </c>
      <c r="B17" s="413" t="s">
        <v>27</v>
      </c>
      <c r="C17" s="414" t="s">
        <v>28</v>
      </c>
      <c r="D17" s="390"/>
    </row>
    <row r="18" spans="1:4" ht="15" customHeight="1" x14ac:dyDescent="0.3">
      <c r="A18" s="393" t="s">
        <v>29</v>
      </c>
      <c r="B18" s="734" t="s">
        <v>510</v>
      </c>
      <c r="C18" s="576" t="s">
        <v>30</v>
      </c>
      <c r="D18" s="389"/>
    </row>
    <row r="19" spans="1:4" ht="15" customHeight="1" x14ac:dyDescent="0.3">
      <c r="A19" s="401" t="s">
        <v>31</v>
      </c>
      <c r="B19" s="580"/>
      <c r="C19" s="576"/>
      <c r="D19" s="389"/>
    </row>
    <row r="20" spans="1:4" ht="15" customHeight="1" x14ac:dyDescent="0.3">
      <c r="A20" s="402" t="s">
        <v>32</v>
      </c>
      <c r="B20" s="580"/>
      <c r="C20" s="576"/>
      <c r="D20" s="389"/>
    </row>
    <row r="21" spans="1:4" ht="15" customHeight="1" x14ac:dyDescent="0.3">
      <c r="A21" s="402" t="s">
        <v>33</v>
      </c>
      <c r="B21" s="580"/>
      <c r="C21" s="576"/>
      <c r="D21" s="389"/>
    </row>
    <row r="22" spans="1:4" ht="15" customHeight="1" x14ac:dyDescent="0.3">
      <c r="A22" s="393" t="s">
        <v>34</v>
      </c>
      <c r="B22" s="734" t="s">
        <v>507</v>
      </c>
      <c r="C22" s="576" t="s">
        <v>35</v>
      </c>
      <c r="D22" s="389"/>
    </row>
    <row r="23" spans="1:4" ht="15" customHeight="1" x14ac:dyDescent="0.3">
      <c r="A23" s="403" t="s">
        <v>36</v>
      </c>
      <c r="B23" s="734" t="s">
        <v>508</v>
      </c>
      <c r="C23" s="576" t="s">
        <v>37</v>
      </c>
      <c r="D23" s="389"/>
    </row>
    <row r="24" spans="1:4" ht="15" customHeight="1" x14ac:dyDescent="0.3">
      <c r="A24" s="404"/>
      <c r="B24" s="581"/>
      <c r="C24" s="582"/>
      <c r="D24" s="389"/>
    </row>
    <row r="25" spans="1:4" ht="15" customHeight="1" x14ac:dyDescent="0.3">
      <c r="A25" s="405"/>
      <c r="B25" s="406"/>
      <c r="C25" s="583"/>
    </row>
    <row r="26" spans="1:4" ht="15" customHeight="1" x14ac:dyDescent="0.3">
      <c r="A26" s="407"/>
      <c r="B26" s="407"/>
    </row>
    <row r="27" spans="1:4" ht="15" customHeight="1" x14ac:dyDescent="0.3"/>
    <row r="28" spans="1:4" ht="15" customHeight="1" x14ac:dyDescent="0.3"/>
    <row r="29" spans="1:4" ht="15" customHeight="1" x14ac:dyDescent="0.3"/>
    <row r="30" spans="1:4" ht="15" customHeight="1" x14ac:dyDescent="0.3"/>
    <row r="31" spans="1:4" ht="15" customHeight="1" x14ac:dyDescent="0.3"/>
    <row r="32" spans="1:4" ht="15" customHeight="1" x14ac:dyDescent="0.3"/>
  </sheetData>
  <mergeCells count="2">
    <mergeCell ref="A1:C2"/>
    <mergeCell ref="B15:C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20985-4393-46AF-8E57-A9F7BA053B56}">
  <sheetPr codeName="Sheet15"/>
  <dimension ref="B1:C13"/>
  <sheetViews>
    <sheetView workbookViewId="0">
      <selection activeCell="C13" sqref="C13"/>
    </sheetView>
  </sheetViews>
  <sheetFormatPr defaultColWidth="9.109375" defaultRowHeight="14.4" x14ac:dyDescent="0.3"/>
  <cols>
    <col min="1" max="1" width="3" style="1" customWidth="1"/>
    <col min="2" max="2" width="29.5546875" style="1" customWidth="1"/>
    <col min="3" max="3" width="9.44140625" style="1" customWidth="1"/>
    <col min="4" max="4" width="18.5546875" style="1" bestFit="1" customWidth="1"/>
    <col min="5" max="16384" width="9.109375" style="1"/>
  </cols>
  <sheetData>
    <row r="1" spans="2:3" ht="29.25" customHeight="1" x14ac:dyDescent="0.3">
      <c r="B1" s="513" t="s">
        <v>38</v>
      </c>
    </row>
    <row r="2" spans="2:3" s="112" customFormat="1" x14ac:dyDescent="0.3">
      <c r="B2" s="516" t="s">
        <v>39</v>
      </c>
      <c r="C2" s="515">
        <v>0.08</v>
      </c>
    </row>
    <row r="3" spans="2:3" s="112" customFormat="1" x14ac:dyDescent="0.3">
      <c r="B3" s="516" t="s">
        <v>40</v>
      </c>
      <c r="C3" s="515">
        <v>0.08</v>
      </c>
    </row>
    <row r="4" spans="2:3" s="11" customFormat="1" x14ac:dyDescent="0.3">
      <c r="B4" s="516" t="s">
        <v>41</v>
      </c>
      <c r="C4" s="517" t="s">
        <v>42</v>
      </c>
    </row>
    <row r="5" spans="2:3" s="11" customFormat="1" ht="23.4" customHeight="1" x14ac:dyDescent="0.3"/>
    <row r="6" spans="2:3" s="11" customFormat="1" ht="19.95" customHeight="1" x14ac:dyDescent="0.3">
      <c r="B6" s="512" t="s">
        <v>43</v>
      </c>
      <c r="C6"/>
    </row>
    <row r="7" spans="2:3" x14ac:dyDescent="0.3">
      <c r="B7" s="514" t="s">
        <v>44</v>
      </c>
      <c r="C7" s="515">
        <v>0.11</v>
      </c>
    </row>
    <row r="8" spans="2:3" x14ac:dyDescent="0.3">
      <c r="B8" s="514" t="s">
        <v>45</v>
      </c>
      <c r="C8" s="515">
        <v>0.08</v>
      </c>
    </row>
    <row r="9" spans="2:3" x14ac:dyDescent="0.3">
      <c r="B9" s="514" t="s">
        <v>46</v>
      </c>
      <c r="C9" s="515">
        <v>0.05</v>
      </c>
    </row>
    <row r="10" spans="2:3" x14ac:dyDescent="0.3">
      <c r="B10" s="514" t="s">
        <v>47</v>
      </c>
      <c r="C10" s="515">
        <v>0.03</v>
      </c>
    </row>
    <row r="11" spans="2:3" x14ac:dyDescent="0.3">
      <c r="B11" s="514" t="s">
        <v>48</v>
      </c>
      <c r="C11" s="515">
        <v>7.0000000000000007E-2</v>
      </c>
    </row>
    <row r="12" spans="2:3" x14ac:dyDescent="0.3">
      <c r="B12" s="514" t="s">
        <v>49</v>
      </c>
      <c r="C12" s="515">
        <v>7.0000000000000007E-2</v>
      </c>
    </row>
    <row r="13" spans="2:3" ht="24" customHeight="1" x14ac:dyDescent="0.3">
      <c r="B13" s="514" t="s">
        <v>50</v>
      </c>
      <c r="C13" s="515">
        <v>0.08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AA3FB-7565-443D-B1AB-29A8D3123427}">
  <sheetPr codeName="Sheet2"/>
  <dimension ref="A1:H65"/>
  <sheetViews>
    <sheetView zoomScale="90" zoomScaleNormal="90" workbookViewId="0">
      <pane ySplit="2" topLeftCell="A3" activePane="bottomLeft" state="frozen"/>
      <selection pane="bottomLeft" activeCell="B3" sqref="B3:G3"/>
    </sheetView>
  </sheetViews>
  <sheetFormatPr defaultColWidth="9.109375" defaultRowHeight="15" customHeight="1" x14ac:dyDescent="0.3"/>
  <cols>
    <col min="1" max="1" width="3.6640625" style="1" customWidth="1"/>
    <col min="2" max="2" width="38.88671875" style="1" bestFit="1" customWidth="1"/>
    <col min="3" max="3" width="16.44140625" style="1" customWidth="1"/>
    <col min="4" max="5" width="15.33203125" style="1" customWidth="1"/>
    <col min="6" max="6" width="15.44140625" style="1" customWidth="1"/>
    <col min="7" max="7" width="16.109375" style="1" customWidth="1"/>
    <col min="8" max="16384" width="9.109375" style="1"/>
  </cols>
  <sheetData>
    <row r="1" spans="2:7" ht="6.75" customHeight="1" thickBot="1" x14ac:dyDescent="0.35"/>
    <row r="2" spans="2:7" ht="21.75" customHeight="1" thickBot="1" x14ac:dyDescent="0.35">
      <c r="B2" s="114"/>
      <c r="C2" s="115" t="s">
        <v>51</v>
      </c>
      <c r="D2" s="115" t="s">
        <v>509</v>
      </c>
      <c r="E2" s="115" t="s">
        <v>510</v>
      </c>
      <c r="F2" s="115" t="s">
        <v>52</v>
      </c>
      <c r="G2" s="115" t="s">
        <v>53</v>
      </c>
    </row>
    <row r="3" spans="2:7" ht="21" customHeight="1" thickBot="1" x14ac:dyDescent="0.35">
      <c r="B3" s="647" t="s">
        <v>54</v>
      </c>
      <c r="C3" s="648"/>
      <c r="D3" s="648"/>
      <c r="E3" s="648"/>
      <c r="F3" s="648"/>
      <c r="G3" s="649"/>
    </row>
    <row r="4" spans="2:7" ht="18.75" customHeight="1" x14ac:dyDescent="0.3">
      <c r="B4" s="61" t="s">
        <v>55</v>
      </c>
      <c r="C4" s="163">
        <v>1500000</v>
      </c>
      <c r="D4" s="62"/>
      <c r="E4" s="62"/>
      <c r="F4" s="62"/>
      <c r="G4" s="62">
        <f>SUM(C4:F4)</f>
        <v>1500000</v>
      </c>
    </row>
    <row r="5" spans="2:7" ht="18.75" customHeight="1" x14ac:dyDescent="0.3">
      <c r="B5" s="63" t="s">
        <v>56</v>
      </c>
      <c r="C5" s="76"/>
      <c r="D5" s="76"/>
      <c r="E5" s="76"/>
      <c r="F5" s="76"/>
      <c r="G5" s="76">
        <f>SUM(C5:F5)</f>
        <v>0</v>
      </c>
    </row>
    <row r="6" spans="2:7" ht="18.75" customHeight="1" x14ac:dyDescent="0.3">
      <c r="B6" s="77" t="s">
        <v>57</v>
      </c>
      <c r="C6" s="76">
        <v>41000</v>
      </c>
      <c r="D6" s="76">
        <v>217392</v>
      </c>
      <c r="E6" s="76"/>
      <c r="F6" s="76"/>
      <c r="G6" s="76">
        <f t="shared" ref="G6:G15" si="0">SUM(C6:F6)</f>
        <v>258392</v>
      </c>
    </row>
    <row r="7" spans="2:7" ht="18.75" customHeight="1" x14ac:dyDescent="0.3">
      <c r="B7" s="77" t="s">
        <v>58</v>
      </c>
      <c r="C7" s="76">
        <f>2954390+373249</f>
        <v>3327639</v>
      </c>
      <c r="D7" s="76">
        <v>2338708</v>
      </c>
      <c r="E7" s="76"/>
      <c r="F7" s="76"/>
      <c r="G7" s="76">
        <f t="shared" si="0"/>
        <v>5666347</v>
      </c>
    </row>
    <row r="8" spans="2:7" ht="18.75" customHeight="1" x14ac:dyDescent="0.3">
      <c r="B8" s="77" t="s">
        <v>59</v>
      </c>
      <c r="C8" s="123"/>
      <c r="D8" s="123"/>
      <c r="E8" s="123"/>
      <c r="F8" s="123"/>
      <c r="G8" s="76">
        <f t="shared" si="0"/>
        <v>0</v>
      </c>
    </row>
    <row r="9" spans="2:7" ht="18.75" customHeight="1" x14ac:dyDescent="0.3">
      <c r="B9" s="77" t="s">
        <v>60</v>
      </c>
      <c r="C9" s="438"/>
      <c r="D9" s="437">
        <v>21473</v>
      </c>
      <c r="E9" s="437"/>
      <c r="F9" s="437"/>
      <c r="G9" s="76">
        <f t="shared" si="0"/>
        <v>21473</v>
      </c>
    </row>
    <row r="10" spans="2:7" ht="18.75" customHeight="1" x14ac:dyDescent="0.3">
      <c r="B10" s="77" t="s">
        <v>61</v>
      </c>
      <c r="C10" s="438">
        <v>396772</v>
      </c>
      <c r="D10" s="438">
        <v>1330490</v>
      </c>
      <c r="E10" s="438"/>
      <c r="F10" s="438"/>
      <c r="G10" s="76">
        <f t="shared" si="0"/>
        <v>1727262</v>
      </c>
    </row>
    <row r="11" spans="2:7" ht="18.75" customHeight="1" x14ac:dyDescent="0.3">
      <c r="B11" s="63" t="s">
        <v>62</v>
      </c>
      <c r="C11" s="116"/>
      <c r="D11" s="116">
        <v>4000000</v>
      </c>
      <c r="E11" s="116"/>
      <c r="F11" s="116"/>
      <c r="G11" s="76">
        <f t="shared" si="0"/>
        <v>4000000</v>
      </c>
    </row>
    <row r="12" spans="2:7" ht="18.75" customHeight="1" x14ac:dyDescent="0.3">
      <c r="B12" s="77" t="s">
        <v>63</v>
      </c>
      <c r="C12" s="116">
        <v>221475</v>
      </c>
      <c r="D12" s="116"/>
      <c r="E12" s="116"/>
      <c r="F12" s="436"/>
      <c r="G12" s="76">
        <f t="shared" si="0"/>
        <v>221475</v>
      </c>
    </row>
    <row r="13" spans="2:7" ht="18.75" customHeight="1" x14ac:dyDescent="0.3">
      <c r="B13" s="63" t="s">
        <v>64</v>
      </c>
      <c r="C13" s="64"/>
      <c r="D13" s="64"/>
      <c r="E13" s="64"/>
      <c r="F13" s="64"/>
      <c r="G13" s="76">
        <f t="shared" si="0"/>
        <v>0</v>
      </c>
    </row>
    <row r="14" spans="2:7" ht="18.75" customHeight="1" x14ac:dyDescent="0.3">
      <c r="B14" s="77" t="s">
        <v>65</v>
      </c>
      <c r="C14" s="116">
        <v>2000000</v>
      </c>
      <c r="D14" s="116"/>
      <c r="E14" s="116"/>
      <c r="F14" s="116"/>
      <c r="G14" s="76">
        <f t="shared" si="0"/>
        <v>2000000</v>
      </c>
    </row>
    <row r="15" spans="2:7" ht="18.75" customHeight="1" thickBot="1" x14ac:dyDescent="0.35">
      <c r="B15" s="77" t="s">
        <v>66</v>
      </c>
      <c r="C15" s="65">
        <v>600000</v>
      </c>
      <c r="D15" s="65"/>
      <c r="E15" s="65"/>
      <c r="F15" s="65"/>
      <c r="G15" s="440">
        <f t="shared" si="0"/>
        <v>600000</v>
      </c>
    </row>
    <row r="16" spans="2:7" ht="19.5" customHeight="1" thickBot="1" x14ac:dyDescent="0.35">
      <c r="B16" s="439" t="s">
        <v>67</v>
      </c>
      <c r="C16" s="125">
        <f>SUM(C4:C15)</f>
        <v>8086886</v>
      </c>
      <c r="D16" s="125">
        <f t="shared" ref="D16:F16" si="1">SUM(D4:D15)</f>
        <v>7908063</v>
      </c>
      <c r="E16" s="125">
        <f t="shared" si="1"/>
        <v>0</v>
      </c>
      <c r="F16" s="125">
        <f t="shared" si="1"/>
        <v>0</v>
      </c>
      <c r="G16" s="124">
        <f>SUM(G4:G15)</f>
        <v>15994949</v>
      </c>
    </row>
    <row r="17" spans="1:7" ht="17.399999999999999" x14ac:dyDescent="0.3">
      <c r="B17" s="66"/>
      <c r="C17" s="113"/>
      <c r="D17" s="113"/>
      <c r="E17" s="113"/>
      <c r="F17" s="113"/>
      <c r="G17" s="67"/>
    </row>
    <row r="18" spans="1:7" ht="21" customHeight="1" thickBot="1" x14ac:dyDescent="0.35">
      <c r="B18" s="650" t="s">
        <v>68</v>
      </c>
      <c r="C18" s="651"/>
      <c r="D18" s="651"/>
      <c r="E18" s="651"/>
      <c r="F18" s="651"/>
      <c r="G18" s="652"/>
    </row>
    <row r="19" spans="1:7" ht="18.75" customHeight="1" x14ac:dyDescent="0.3">
      <c r="B19" s="61" t="s">
        <v>69</v>
      </c>
      <c r="C19" s="163">
        <v>8500000</v>
      </c>
      <c r="D19" s="62"/>
      <c r="E19" s="62"/>
      <c r="F19" s="62"/>
      <c r="G19" s="62">
        <f>SUM(C19:F19)</f>
        <v>8500000</v>
      </c>
    </row>
    <row r="20" spans="1:7" ht="18.75" customHeight="1" x14ac:dyDescent="0.3">
      <c r="B20" s="63" t="s">
        <v>70</v>
      </c>
      <c r="C20" s="460"/>
      <c r="D20" s="64"/>
      <c r="E20" s="64"/>
      <c r="F20" s="64"/>
      <c r="G20" s="64">
        <f>SUM(C20:F20)</f>
        <v>0</v>
      </c>
    </row>
    <row r="21" spans="1:7" ht="18.75" customHeight="1" x14ac:dyDescent="0.3">
      <c r="B21" s="63" t="s">
        <v>71</v>
      </c>
      <c r="C21" s="461">
        <v>1500000</v>
      </c>
      <c r="D21" s="64">
        <v>1000000</v>
      </c>
      <c r="E21" s="64"/>
      <c r="F21" s="64"/>
      <c r="G21" s="64">
        <f t="shared" ref="G21:G30" si="2">SUM(C21:F21)</f>
        <v>2500000</v>
      </c>
    </row>
    <row r="22" spans="1:7" ht="18.75" customHeight="1" x14ac:dyDescent="0.3">
      <c r="B22" s="63" t="s">
        <v>72</v>
      </c>
      <c r="C22" s="461"/>
      <c r="D22" s="64"/>
      <c r="E22" s="64">
        <v>1400000</v>
      </c>
      <c r="F22" s="64"/>
      <c r="G22" s="64">
        <f t="shared" si="2"/>
        <v>1400000</v>
      </c>
    </row>
    <row r="23" spans="1:7" ht="18.75" customHeight="1" x14ac:dyDescent="0.3">
      <c r="B23" s="63" t="s">
        <v>73</v>
      </c>
      <c r="C23" s="461"/>
      <c r="D23" s="64"/>
      <c r="E23" s="64"/>
      <c r="F23" s="64"/>
      <c r="G23" s="64">
        <f t="shared" si="2"/>
        <v>0</v>
      </c>
    </row>
    <row r="24" spans="1:7" ht="18.75" customHeight="1" x14ac:dyDescent="0.3">
      <c r="B24" s="63" t="s">
        <v>74</v>
      </c>
      <c r="C24" s="461">
        <v>1500000</v>
      </c>
      <c r="D24" s="64"/>
      <c r="E24" s="64"/>
      <c r="F24" s="64"/>
      <c r="G24" s="64">
        <f t="shared" si="2"/>
        <v>1500000</v>
      </c>
    </row>
    <row r="25" spans="1:7" ht="18.75" customHeight="1" x14ac:dyDescent="0.3">
      <c r="B25" s="77" t="s">
        <v>75</v>
      </c>
      <c r="C25" s="436"/>
      <c r="D25" s="116"/>
      <c r="E25" s="116"/>
      <c r="F25" s="116"/>
      <c r="G25" s="64">
        <f t="shared" si="2"/>
        <v>0</v>
      </c>
    </row>
    <row r="26" spans="1:7" ht="18.75" customHeight="1" x14ac:dyDescent="0.3">
      <c r="B26" s="77" t="s">
        <v>76</v>
      </c>
      <c r="C26" s="436"/>
      <c r="D26" s="116"/>
      <c r="E26" s="116"/>
      <c r="F26" s="116"/>
      <c r="G26" s="64">
        <f t="shared" si="2"/>
        <v>0</v>
      </c>
    </row>
    <row r="27" spans="1:7" ht="18.75" customHeight="1" x14ac:dyDescent="0.3">
      <c r="B27" s="77" t="s">
        <v>77</v>
      </c>
      <c r="C27" s="436"/>
      <c r="D27" s="116"/>
      <c r="E27" s="116"/>
      <c r="F27" s="116"/>
      <c r="G27" s="64">
        <f t="shared" si="2"/>
        <v>0</v>
      </c>
    </row>
    <row r="28" spans="1:7" ht="18.75" customHeight="1" x14ac:dyDescent="0.3">
      <c r="B28" s="63" t="s">
        <v>78</v>
      </c>
      <c r="C28" s="436">
        <v>3400000</v>
      </c>
      <c r="D28" s="116"/>
      <c r="E28" s="116"/>
      <c r="F28" s="116"/>
      <c r="G28" s="64">
        <f t="shared" si="2"/>
        <v>3400000</v>
      </c>
    </row>
    <row r="29" spans="1:7" ht="18.75" customHeight="1" x14ac:dyDescent="0.3">
      <c r="B29" s="63" t="s">
        <v>79</v>
      </c>
      <c r="C29" s="436">
        <v>27500000</v>
      </c>
      <c r="D29" s="116"/>
      <c r="E29" s="116"/>
      <c r="F29" s="116"/>
      <c r="G29" s="64">
        <f t="shared" si="2"/>
        <v>27500000</v>
      </c>
    </row>
    <row r="30" spans="1:7" ht="18.75" customHeight="1" thickBot="1" x14ac:dyDescent="0.35">
      <c r="B30" s="522" t="s">
        <v>80</v>
      </c>
      <c r="C30" s="462">
        <v>5400000</v>
      </c>
      <c r="D30" s="65"/>
      <c r="E30" s="65"/>
      <c r="F30" s="65"/>
      <c r="G30" s="116">
        <f t="shared" si="2"/>
        <v>5400000</v>
      </c>
    </row>
    <row r="31" spans="1:7" ht="18.75" customHeight="1" thickBot="1" x14ac:dyDescent="0.35">
      <c r="A31" s="60"/>
      <c r="B31" s="68" t="s">
        <v>81</v>
      </c>
      <c r="C31" s="125">
        <f>SUM(C19:C30)</f>
        <v>47800000</v>
      </c>
      <c r="D31" s="125">
        <f t="shared" ref="D31:F31" si="3">SUM(D19:D30)</f>
        <v>1000000</v>
      </c>
      <c r="E31" s="125">
        <f t="shared" si="3"/>
        <v>1400000</v>
      </c>
      <c r="F31" s="125">
        <f t="shared" si="3"/>
        <v>0</v>
      </c>
      <c r="G31" s="124">
        <f>SUM(G19:G30)</f>
        <v>50200000</v>
      </c>
    </row>
    <row r="32" spans="1:7" ht="8.25" customHeight="1" thickBot="1" x14ac:dyDescent="0.35">
      <c r="A32" s="60"/>
      <c r="B32" s="69"/>
      <c r="C32" s="69"/>
      <c r="D32" s="69"/>
      <c r="E32" s="69"/>
      <c r="F32" s="69"/>
      <c r="G32" s="70"/>
    </row>
    <row r="33" spans="1:8" ht="18" x14ac:dyDescent="0.3">
      <c r="A33" s="60"/>
      <c r="B33" s="71" t="s">
        <v>82</v>
      </c>
      <c r="C33" s="126">
        <f>SUM(C16,C31)</f>
        <v>55886886</v>
      </c>
      <c r="D33" s="126">
        <f t="shared" ref="D33:F33" si="4">SUM(D16,D31)</f>
        <v>8908063</v>
      </c>
      <c r="E33" s="126">
        <f t="shared" si="4"/>
        <v>1400000</v>
      </c>
      <c r="F33" s="126">
        <f t="shared" si="4"/>
        <v>0</v>
      </c>
      <c r="G33" s="117">
        <f>SUM(G16,G31)</f>
        <v>66194949</v>
      </c>
    </row>
    <row r="34" spans="1:8" thickBot="1" x14ac:dyDescent="0.35">
      <c r="B34" s="69"/>
      <c r="C34" s="69"/>
      <c r="D34" s="69"/>
      <c r="E34" s="69"/>
      <c r="F34" s="69"/>
      <c r="G34" s="69"/>
    </row>
    <row r="35" spans="1:8" ht="21" customHeight="1" thickBot="1" x14ac:dyDescent="0.35">
      <c r="B35" s="654" t="s">
        <v>83</v>
      </c>
      <c r="C35" s="655"/>
      <c r="D35" s="655"/>
      <c r="E35" s="655"/>
      <c r="F35" s="655"/>
      <c r="G35" s="656"/>
    </row>
    <row r="36" spans="1:8" ht="18.75" customHeight="1" x14ac:dyDescent="0.3">
      <c r="B36" s="80" t="s">
        <v>84</v>
      </c>
      <c r="C36" s="95"/>
      <c r="D36" s="95"/>
      <c r="E36" s="95"/>
      <c r="F36" s="95"/>
      <c r="G36" s="95">
        <f>SUM(C36:F36)</f>
        <v>0</v>
      </c>
    </row>
    <row r="37" spans="1:8" ht="18.75" customHeight="1" x14ac:dyDescent="0.3">
      <c r="B37" s="81" t="s">
        <v>85</v>
      </c>
      <c r="C37" s="122">
        <v>1138560</v>
      </c>
      <c r="D37" s="122"/>
      <c r="E37" s="122"/>
      <c r="F37" s="122"/>
      <c r="G37" s="118">
        <f>SUM(C37:F37)</f>
        <v>1138560</v>
      </c>
      <c r="H37" s="72"/>
    </row>
    <row r="38" spans="1:8" ht="18.75" customHeight="1" thickBot="1" x14ac:dyDescent="0.35">
      <c r="A38" s="60"/>
      <c r="B38" s="78" t="s">
        <v>86</v>
      </c>
      <c r="C38" s="119"/>
      <c r="D38" s="119"/>
      <c r="E38" s="119"/>
      <c r="F38" s="119"/>
      <c r="G38" s="79">
        <f>SUM(C38:F38)</f>
        <v>0</v>
      </c>
    </row>
    <row r="39" spans="1:8" ht="6.75" customHeight="1" thickBot="1" x14ac:dyDescent="0.35">
      <c r="A39" s="60"/>
      <c r="B39" s="69"/>
      <c r="C39" s="69"/>
      <c r="D39" s="69"/>
      <c r="E39" s="69"/>
      <c r="F39" s="69"/>
      <c r="G39" s="69"/>
      <c r="H39" s="72"/>
    </row>
    <row r="40" spans="1:8" ht="18" x14ac:dyDescent="0.3">
      <c r="A40" s="60"/>
      <c r="B40" s="73" t="s">
        <v>87</v>
      </c>
      <c r="C40" s="170">
        <f>SUM(C36:C38)</f>
        <v>1138560</v>
      </c>
      <c r="D40" s="170">
        <f t="shared" ref="D40:F40" si="5">SUM(D36:D38)</f>
        <v>0</v>
      </c>
      <c r="E40" s="170">
        <f t="shared" si="5"/>
        <v>0</v>
      </c>
      <c r="F40" s="170">
        <f t="shared" si="5"/>
        <v>0</v>
      </c>
      <c r="G40" s="120">
        <f>SUM(G36:G38)</f>
        <v>1138560</v>
      </c>
    </row>
    <row r="41" spans="1:8" thickBot="1" x14ac:dyDescent="0.35">
      <c r="B41" s="69"/>
      <c r="C41" s="69"/>
      <c r="D41" s="69"/>
      <c r="E41" s="69"/>
      <c r="F41" s="69"/>
      <c r="G41" s="69"/>
    </row>
    <row r="42" spans="1:8" ht="19.8" x14ac:dyDescent="0.3">
      <c r="B42" s="74" t="s">
        <v>88</v>
      </c>
      <c r="C42" s="441">
        <f t="shared" ref="C42:F42" si="6">C33-C40</f>
        <v>54748326</v>
      </c>
      <c r="D42" s="441">
        <f t="shared" si="6"/>
        <v>8908063</v>
      </c>
      <c r="E42" s="441">
        <f t="shared" si="6"/>
        <v>1400000</v>
      </c>
      <c r="F42" s="441">
        <f t="shared" si="6"/>
        <v>0</v>
      </c>
      <c r="G42" s="121">
        <f>G33-G40</f>
        <v>65056389</v>
      </c>
    </row>
    <row r="43" spans="1:8" ht="14.4" x14ac:dyDescent="0.3">
      <c r="B43" s="75"/>
      <c r="C43" s="75"/>
      <c r="D43" s="75"/>
      <c r="E43" s="75"/>
      <c r="F43" s="75"/>
      <c r="G43" s="75"/>
    </row>
    <row r="44" spans="1:8" ht="14.4" x14ac:dyDescent="0.3">
      <c r="B44" s="75"/>
      <c r="C44" s="75"/>
      <c r="D44" s="75"/>
      <c r="E44" s="75"/>
      <c r="F44" s="75"/>
      <c r="G44" s="75"/>
    </row>
    <row r="45" spans="1:8" ht="17.399999999999999" x14ac:dyDescent="0.3">
      <c r="B45" s="653"/>
      <c r="C45" s="653"/>
      <c r="D45" s="653"/>
      <c r="E45" s="653"/>
      <c r="F45" s="653"/>
      <c r="G45" s="653"/>
    </row>
    <row r="46" spans="1:8" ht="17.399999999999999" x14ac:dyDescent="0.3">
      <c r="B46" s="653"/>
      <c r="C46" s="653"/>
      <c r="D46" s="653"/>
      <c r="E46" s="653"/>
      <c r="F46" s="653"/>
      <c r="G46" s="653"/>
    </row>
    <row r="47" spans="1:8" ht="14.4" x14ac:dyDescent="0.3">
      <c r="B47" s="75"/>
      <c r="C47" s="75"/>
      <c r="D47" s="75"/>
      <c r="E47" s="75"/>
      <c r="F47" s="75"/>
      <c r="G47" s="75"/>
    </row>
    <row r="48" spans="1:8" ht="14.4" x14ac:dyDescent="0.3">
      <c r="B48" s="75"/>
      <c r="C48" s="75"/>
      <c r="D48" s="75"/>
      <c r="E48" s="75"/>
      <c r="F48" s="75"/>
      <c r="G48" s="75"/>
    </row>
    <row r="49" spans="2:7" ht="14.4" x14ac:dyDescent="0.3">
      <c r="B49" s="75"/>
      <c r="C49" s="75"/>
      <c r="D49" s="75"/>
      <c r="E49" s="75"/>
      <c r="F49" s="75"/>
      <c r="G49" s="75"/>
    </row>
    <row r="50" spans="2:7" ht="14.4" x14ac:dyDescent="0.3">
      <c r="B50" s="75"/>
      <c r="C50" s="75"/>
      <c r="D50" s="75"/>
      <c r="E50" s="75"/>
      <c r="F50" s="75"/>
      <c r="G50" s="75"/>
    </row>
    <row r="51" spans="2:7" ht="14.4" x14ac:dyDescent="0.3">
      <c r="B51" s="75"/>
      <c r="C51" s="75"/>
      <c r="D51" s="75"/>
      <c r="E51" s="75"/>
      <c r="F51" s="75"/>
      <c r="G51" s="75"/>
    </row>
    <row r="52" spans="2:7" ht="14.4" x14ac:dyDescent="0.3">
      <c r="B52" s="75"/>
      <c r="C52" s="75"/>
      <c r="D52" s="75"/>
      <c r="E52" s="75"/>
      <c r="F52" s="75"/>
      <c r="G52" s="75"/>
    </row>
    <row r="53" spans="2:7" ht="14.4" x14ac:dyDescent="0.3">
      <c r="B53" s="75"/>
      <c r="C53" s="75"/>
      <c r="D53" s="75"/>
      <c r="E53" s="75"/>
      <c r="F53" s="75"/>
      <c r="G53" s="75"/>
    </row>
    <row r="54" spans="2:7" ht="14.4" x14ac:dyDescent="0.3">
      <c r="B54" s="75"/>
      <c r="C54" s="75"/>
      <c r="D54" s="75"/>
      <c r="E54" s="75"/>
      <c r="F54" s="75"/>
      <c r="G54" s="75"/>
    </row>
    <row r="55" spans="2:7" ht="14.4" x14ac:dyDescent="0.3">
      <c r="B55" s="75"/>
      <c r="C55" s="75"/>
      <c r="D55" s="75"/>
      <c r="E55" s="75"/>
      <c r="F55" s="75"/>
      <c r="G55" s="75"/>
    </row>
    <row r="56" spans="2:7" ht="14.4" x14ac:dyDescent="0.3">
      <c r="B56" s="75"/>
      <c r="C56" s="75"/>
      <c r="D56" s="75"/>
      <c r="E56" s="75"/>
      <c r="F56" s="75"/>
      <c r="G56" s="75"/>
    </row>
    <row r="57" spans="2:7" ht="14.4" x14ac:dyDescent="0.3">
      <c r="B57" s="75"/>
      <c r="C57" s="75"/>
      <c r="D57" s="75"/>
      <c r="E57" s="75"/>
      <c r="F57" s="75"/>
      <c r="G57" s="75"/>
    </row>
    <row r="58" spans="2:7" ht="14.4" x14ac:dyDescent="0.3">
      <c r="B58" s="75"/>
      <c r="C58" s="75"/>
      <c r="D58" s="75"/>
      <c r="E58" s="75"/>
      <c r="F58" s="75"/>
      <c r="G58" s="75"/>
    </row>
    <row r="59" spans="2:7" ht="14.4" x14ac:dyDescent="0.3">
      <c r="B59" s="75"/>
      <c r="C59" s="75"/>
      <c r="D59" s="75"/>
      <c r="E59" s="75"/>
      <c r="F59" s="75"/>
      <c r="G59" s="75"/>
    </row>
    <row r="60" spans="2:7" ht="14.4" x14ac:dyDescent="0.3">
      <c r="B60" s="75"/>
      <c r="C60" s="75"/>
      <c r="D60" s="75"/>
      <c r="E60" s="75"/>
      <c r="F60" s="75"/>
      <c r="G60" s="75"/>
    </row>
    <row r="61" spans="2:7" ht="14.4" x14ac:dyDescent="0.3">
      <c r="B61" s="75"/>
      <c r="C61" s="75"/>
      <c r="D61" s="75"/>
      <c r="E61" s="75"/>
      <c r="F61" s="75"/>
      <c r="G61" s="75"/>
    </row>
    <row r="62" spans="2:7" ht="14.4" x14ac:dyDescent="0.3">
      <c r="B62" s="75"/>
      <c r="C62" s="75"/>
      <c r="D62" s="75"/>
      <c r="E62" s="75"/>
      <c r="F62" s="75"/>
      <c r="G62" s="75"/>
    </row>
    <row r="63" spans="2:7" ht="14.4" x14ac:dyDescent="0.3">
      <c r="B63" s="75"/>
      <c r="C63" s="75"/>
      <c r="D63" s="75"/>
      <c r="E63" s="75"/>
      <c r="F63" s="75"/>
      <c r="G63" s="75"/>
    </row>
    <row r="64" spans="2:7" ht="14.4" x14ac:dyDescent="0.3">
      <c r="B64" s="75"/>
      <c r="C64" s="75"/>
      <c r="D64" s="75"/>
      <c r="E64" s="75"/>
      <c r="F64" s="75"/>
      <c r="G64" s="75"/>
    </row>
    <row r="65" spans="2:7" ht="14.4" x14ac:dyDescent="0.3">
      <c r="B65" s="75"/>
      <c r="C65" s="75"/>
      <c r="D65" s="75"/>
      <c r="E65" s="75"/>
      <c r="F65" s="75"/>
      <c r="G65" s="75"/>
    </row>
  </sheetData>
  <mergeCells count="5">
    <mergeCell ref="B3:G3"/>
    <mergeCell ref="B18:G18"/>
    <mergeCell ref="B45:G45"/>
    <mergeCell ref="B46:G46"/>
    <mergeCell ref="B35:G35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0D894-11E6-4697-934D-73B913727766}">
  <sheetPr codeName="Sheet4"/>
  <dimension ref="A1:CX674"/>
  <sheetViews>
    <sheetView workbookViewId="0">
      <selection activeCell="C5" sqref="C5"/>
    </sheetView>
  </sheetViews>
  <sheetFormatPr defaultColWidth="9.109375" defaultRowHeight="14.4" x14ac:dyDescent="0.3"/>
  <cols>
    <col min="1" max="2" width="9.109375" style="1"/>
    <col min="3" max="3" width="13.5546875" style="1" bestFit="1" customWidth="1"/>
    <col min="4" max="4" width="10" style="1" bestFit="1" customWidth="1"/>
    <col min="5" max="5" width="10.6640625" style="1" bestFit="1" customWidth="1"/>
    <col min="6" max="6" width="10" style="1" bestFit="1" customWidth="1"/>
    <col min="7" max="7" width="9.6640625" style="1" customWidth="1"/>
    <col min="8" max="8" width="14.33203125" style="1" bestFit="1" customWidth="1"/>
    <col min="9" max="10" width="9.109375" style="1"/>
    <col min="11" max="11" width="5.33203125" style="1" customWidth="1"/>
    <col min="12" max="13" width="9.109375" style="1"/>
    <col min="14" max="14" width="13.5546875" style="1" bestFit="1" customWidth="1"/>
    <col min="15" max="15" width="10" style="1" bestFit="1" customWidth="1"/>
    <col min="16" max="16" width="10.6640625" style="1" bestFit="1" customWidth="1"/>
    <col min="17" max="17" width="10" style="1" bestFit="1" customWidth="1"/>
    <col min="18" max="18" width="9.109375" style="1"/>
    <col min="19" max="19" width="14.33203125" style="1" bestFit="1" customWidth="1"/>
    <col min="20" max="29" width="9.109375" style="1"/>
    <col min="30" max="30" width="14.33203125" style="1" bestFit="1" customWidth="1"/>
    <col min="31" max="42" width="9.109375" style="1"/>
    <col min="43" max="43" width="9.109375" style="1" customWidth="1"/>
    <col min="44" max="44" width="2.109375" style="1" customWidth="1"/>
    <col min="45" max="46" width="9.109375" style="535"/>
    <col min="47" max="47" width="12.33203125" style="535" bestFit="1" customWidth="1"/>
    <col min="48" max="49" width="9.109375" style="535"/>
    <col min="50" max="50" width="10.44140625" style="535" bestFit="1" customWidth="1"/>
    <col min="51" max="56" width="9.109375" style="535"/>
    <col min="57" max="57" width="3.44140625" style="1" customWidth="1"/>
    <col min="58" max="59" width="9.109375" style="535"/>
    <col min="60" max="60" width="12.33203125" style="535" bestFit="1" customWidth="1"/>
    <col min="61" max="62" width="9.109375" style="535"/>
    <col min="63" max="63" width="10.44140625" style="535" bestFit="1" customWidth="1"/>
    <col min="64" max="69" width="9.109375" style="535"/>
    <col min="70" max="70" width="1.6640625" style="1" customWidth="1"/>
    <col min="71" max="72" width="9.109375" style="535"/>
    <col min="73" max="73" width="12.33203125" style="535" bestFit="1" customWidth="1"/>
    <col min="74" max="75" width="9.109375" style="535"/>
    <col min="76" max="76" width="10.44140625" style="535" bestFit="1" customWidth="1"/>
    <col min="77" max="82" width="9.109375" style="535"/>
    <col min="83" max="83" width="2.6640625" style="1" customWidth="1"/>
    <col min="84" max="85" width="9.109375" style="535"/>
    <col min="86" max="86" width="12.33203125" style="535" bestFit="1" customWidth="1"/>
    <col min="87" max="88" width="9.109375" style="535"/>
    <col min="89" max="89" width="10.44140625" style="535" bestFit="1" customWidth="1"/>
    <col min="90" max="95" width="9.109375" style="535"/>
    <col min="96" max="96" width="4.109375" style="1" customWidth="1"/>
    <col min="97" max="97" width="9.109375" style="1"/>
    <col min="98" max="98" width="14.33203125" style="1" customWidth="1"/>
    <col min="99" max="101" width="9.109375" style="1"/>
    <col min="102" max="102" width="11.33203125" style="1" bestFit="1" customWidth="1"/>
    <col min="103" max="16384" width="9.109375" style="1"/>
  </cols>
  <sheetData>
    <row r="1" spans="1:102" x14ac:dyDescent="0.3">
      <c r="A1" s="130" t="s">
        <v>89</v>
      </c>
      <c r="B1" s="130" t="s">
        <v>90</v>
      </c>
      <c r="C1" s="130" t="s">
        <v>91</v>
      </c>
      <c r="D1" s="130" t="s">
        <v>92</v>
      </c>
      <c r="E1" s="130" t="s">
        <v>93</v>
      </c>
      <c r="F1" s="130" t="s">
        <v>94</v>
      </c>
      <c r="G1" s="127" t="s">
        <v>95</v>
      </c>
      <c r="H1" s="128">
        <v>8.8999999999999996E-2</v>
      </c>
      <c r="I1" s="127" t="s">
        <v>89</v>
      </c>
      <c r="J1" s="129">
        <v>10</v>
      </c>
      <c r="L1" s="130" t="s">
        <v>89</v>
      </c>
      <c r="M1" s="130" t="s">
        <v>90</v>
      </c>
      <c r="N1" s="130" t="s">
        <v>91</v>
      </c>
      <c r="O1" s="130" t="s">
        <v>92</v>
      </c>
      <c r="P1" s="130" t="s">
        <v>93</v>
      </c>
      <c r="Q1" s="130" t="s">
        <v>94</v>
      </c>
      <c r="R1" s="127" t="s">
        <v>95</v>
      </c>
      <c r="S1" s="128">
        <v>8.5999999999999993E-2</v>
      </c>
      <c r="T1" s="127" t="s">
        <v>89</v>
      </c>
      <c r="U1" s="129">
        <v>10</v>
      </c>
      <c r="W1" s="130" t="s">
        <v>89</v>
      </c>
      <c r="X1" s="130" t="s">
        <v>90</v>
      </c>
      <c r="Y1" s="130" t="s">
        <v>91</v>
      </c>
      <c r="Z1" s="130" t="s">
        <v>92</v>
      </c>
      <c r="AA1" s="130" t="s">
        <v>93</v>
      </c>
      <c r="AB1" s="130" t="s">
        <v>94</v>
      </c>
      <c r="AC1" s="127" t="s">
        <v>95</v>
      </c>
      <c r="AD1" s="128">
        <v>8.5999999999999993E-2</v>
      </c>
      <c r="AE1" s="127" t="s">
        <v>89</v>
      </c>
      <c r="AF1" s="129">
        <v>10</v>
      </c>
      <c r="AH1" s="130" t="s">
        <v>89</v>
      </c>
      <c r="AI1" s="130" t="s">
        <v>90</v>
      </c>
      <c r="AJ1" s="130" t="s">
        <v>91</v>
      </c>
      <c r="AK1" s="130" t="s">
        <v>92</v>
      </c>
      <c r="AL1" s="130" t="s">
        <v>93</v>
      </c>
      <c r="AM1" s="130" t="s">
        <v>94</v>
      </c>
      <c r="AN1" s="127" t="s">
        <v>95</v>
      </c>
      <c r="AO1" s="128">
        <v>8.5999999999999993E-2</v>
      </c>
      <c r="AP1" s="127" t="s">
        <v>89</v>
      </c>
      <c r="AQ1" s="129">
        <v>10</v>
      </c>
      <c r="AR1" s="129"/>
      <c r="AS1" s="526" t="s">
        <v>89</v>
      </c>
      <c r="AT1" s="526" t="s">
        <v>90</v>
      </c>
      <c r="AU1" s="526" t="s">
        <v>91</v>
      </c>
      <c r="AV1" s="526" t="s">
        <v>92</v>
      </c>
      <c r="AW1" s="526" t="s">
        <v>93</v>
      </c>
      <c r="AX1" s="526" t="s">
        <v>94</v>
      </c>
      <c r="AY1" s="527" t="s">
        <v>95</v>
      </c>
      <c r="AZ1" s="528">
        <v>8.5999999999999993E-2</v>
      </c>
      <c r="BA1" s="527" t="s">
        <v>89</v>
      </c>
      <c r="BB1" s="529">
        <f>SUMIF('Key Life Events'!$H$3:$H$28,'Loan Amortization'!AY3,'Key Life Events'!$M$3:$M$28)</f>
        <v>0</v>
      </c>
      <c r="BC1" s="529"/>
      <c r="BD1" s="529">
        <f>IFERROR(_xlfn.XLOOKUP(AY3,'Key Life Events'!$H$3:$H$28,'Key Life Events'!$E$3:$E$28),0)</f>
        <v>2030</v>
      </c>
      <c r="BE1" s="129"/>
      <c r="BF1" s="526" t="s">
        <v>89</v>
      </c>
      <c r="BG1" s="526" t="s">
        <v>90</v>
      </c>
      <c r="BH1" s="526" t="s">
        <v>91</v>
      </c>
      <c r="BI1" s="526" t="s">
        <v>92</v>
      </c>
      <c r="BJ1" s="526" t="s">
        <v>93</v>
      </c>
      <c r="BK1" s="526" t="s">
        <v>94</v>
      </c>
      <c r="BL1" s="527" t="s">
        <v>95</v>
      </c>
      <c r="BM1" s="528">
        <v>8.5999999999999993E-2</v>
      </c>
      <c r="BN1" s="527" t="s">
        <v>89</v>
      </c>
      <c r="BO1" s="529">
        <f>SUMIF('Key Life Events'!$H$3:$H$28,'Loan Amortization'!BL3,'Key Life Events'!$M$3:$M$28)</f>
        <v>0</v>
      </c>
      <c r="BP1" s="529"/>
      <c r="BQ1" s="529">
        <f>IFERROR(_xlfn.XLOOKUP(BL3,'Key Life Events'!$H$3:$H$28,'Key Life Events'!$E$3:$E$28),0)</f>
        <v>0</v>
      </c>
      <c r="BR1" s="129"/>
      <c r="BS1" s="526" t="s">
        <v>89</v>
      </c>
      <c r="BT1" s="526" t="s">
        <v>90</v>
      </c>
      <c r="BU1" s="526" t="s">
        <v>91</v>
      </c>
      <c r="BV1" s="526" t="s">
        <v>92</v>
      </c>
      <c r="BW1" s="526" t="s">
        <v>93</v>
      </c>
      <c r="BX1" s="526" t="s">
        <v>94</v>
      </c>
      <c r="BY1" s="527" t="s">
        <v>95</v>
      </c>
      <c r="BZ1" s="528">
        <v>8.5999999999999993E-2</v>
      </c>
      <c r="CA1" s="527" t="s">
        <v>89</v>
      </c>
      <c r="CB1" s="529">
        <f>SUMIF('Key Life Events'!$H$3:$H$28,'Loan Amortization'!BY3,'Key Life Events'!$M$3:$M$28)</f>
        <v>0</v>
      </c>
      <c r="CC1" s="529"/>
      <c r="CD1" s="529">
        <f>IFERROR(_xlfn.XLOOKUP(BY3,'Key Life Events'!$H$3:$H$28,'Key Life Events'!$E$3:$E$28),0)</f>
        <v>0</v>
      </c>
      <c r="CE1" s="129"/>
      <c r="CF1" s="526" t="s">
        <v>89</v>
      </c>
      <c r="CG1" s="526" t="s">
        <v>90</v>
      </c>
      <c r="CH1" s="526" t="s">
        <v>91</v>
      </c>
      <c r="CI1" s="526" t="s">
        <v>92</v>
      </c>
      <c r="CJ1" s="526" t="s">
        <v>93</v>
      </c>
      <c r="CK1" s="526" t="s">
        <v>94</v>
      </c>
      <c r="CL1" s="527" t="s">
        <v>95</v>
      </c>
      <c r="CM1" s="528">
        <v>8.5999999999999993E-2</v>
      </c>
      <c r="CN1" s="527" t="s">
        <v>89</v>
      </c>
      <c r="CO1" s="529">
        <f>SUMIF('Key Life Events'!$H$3:$H$28,'Loan Amortization'!CL3,'Key Life Events'!$M$3:$M$28)</f>
        <v>0</v>
      </c>
      <c r="CP1" s="529"/>
      <c r="CQ1" s="529">
        <f>IFERROR(_xlfn.XLOOKUP(CL3,'Key Life Events'!$H$3:$H$28,'Key Life Events'!$E$3:$E$28),0)</f>
        <v>0</v>
      </c>
      <c r="CS1" s="488" t="s">
        <v>89</v>
      </c>
      <c r="CT1" s="488" t="s">
        <v>96</v>
      </c>
      <c r="CU1" s="488" t="s">
        <v>97</v>
      </c>
      <c r="CW1" s="1" t="s">
        <v>98</v>
      </c>
    </row>
    <row r="2" spans="1:102" x14ac:dyDescent="0.3">
      <c r="A2" s="100">
        <v>1</v>
      </c>
      <c r="B2" s="131">
        <v>45955</v>
      </c>
      <c r="C2" s="102">
        <f>Networth!G37</f>
        <v>1138560</v>
      </c>
      <c r="D2" s="102">
        <v>47440</v>
      </c>
      <c r="E2" s="102">
        <f>(C2*H$1)/12</f>
        <v>8444.32</v>
      </c>
      <c r="F2" s="102">
        <f>D2-E2</f>
        <v>38995.68</v>
      </c>
      <c r="G2" s="162" t="s">
        <v>99</v>
      </c>
      <c r="H2" s="518">
        <f>IF(C2=0,0,MAX(B2:B288))</f>
        <v>46746</v>
      </c>
      <c r="L2" s="100">
        <v>1</v>
      </c>
      <c r="M2" s="131">
        <f ca="1">TODAY()</f>
        <v>46196</v>
      </c>
      <c r="N2" s="102"/>
      <c r="O2" s="102">
        <f>PMT(S1/12,U1*12,-N$2,0,1)</f>
        <v>0</v>
      </c>
      <c r="P2" s="102">
        <f>(N2*S$1)/12</f>
        <v>0</v>
      </c>
      <c r="Q2" s="102">
        <f>O2-P2</f>
        <v>0</v>
      </c>
      <c r="R2" s="162" t="s">
        <v>99</v>
      </c>
      <c r="S2" s="518">
        <f>IF(N2=0,0,MAX(M2:M288))</f>
        <v>0</v>
      </c>
      <c r="W2" s="100">
        <v>1</v>
      </c>
      <c r="X2" s="131">
        <f ca="1">TODAY()</f>
        <v>46196</v>
      </c>
      <c r="Y2" s="102"/>
      <c r="Z2" s="102">
        <f>PMT(AD1/12,AF1*12,-Y$2,0,1)</f>
        <v>0</v>
      </c>
      <c r="AA2" s="102">
        <f t="shared" ref="AA2:AA7" si="0">(Y2*AD$1)/12</f>
        <v>0</v>
      </c>
      <c r="AB2" s="102">
        <f>Z2-AA2</f>
        <v>0</v>
      </c>
      <c r="AC2" s="162" t="s">
        <v>99</v>
      </c>
      <c r="AD2" s="518">
        <f>IF(Y2=0,0,MAX(X2:X288))</f>
        <v>0</v>
      </c>
      <c r="AH2" s="100">
        <v>1</v>
      </c>
      <c r="AI2" s="131">
        <f ca="1">TODAY()</f>
        <v>46196</v>
      </c>
      <c r="AJ2" s="102"/>
      <c r="AK2" s="102">
        <f>PMT(AO1/12,AQ1*12,-AJ$2,0,1)</f>
        <v>0</v>
      </c>
      <c r="AL2" s="102">
        <f t="shared" ref="AL2:AL10" si="1">(AJ2*AO$1)/12</f>
        <v>0</v>
      </c>
      <c r="AM2" s="102">
        <f>AK2-AL2</f>
        <v>0</v>
      </c>
      <c r="AN2" s="162" t="s">
        <v>99</v>
      </c>
      <c r="AO2" s="518">
        <f>IF(AJ2=0,0,MAX(AI2:AI288))</f>
        <v>0</v>
      </c>
      <c r="AS2" s="530">
        <v>1</v>
      </c>
      <c r="AT2" s="531">
        <f ca="1">TODAY()</f>
        <v>46196</v>
      </c>
      <c r="AU2" s="532">
        <f ca="1">SUMIFS('Key Life Events'!$L$3:$L$28,'Key Life Events'!$H$3:$H$28,'Loan Amortization'!$AY$3,'Key Life Events'!$N$3:$N$28,'Loan Amortization'!AT2)</f>
        <v>0</v>
      </c>
      <c r="AV2" s="532">
        <f ca="1">IFERROR(PMT(AZ1/12,BB1*12,-AU$2,0,0),0)</f>
        <v>0</v>
      </c>
      <c r="AW2" s="532">
        <f t="shared" ref="AW2:AW65" ca="1" si="2">(AU2*AZ$1)/12</f>
        <v>0</v>
      </c>
      <c r="AX2" s="532">
        <f ca="1">AV2-AW2</f>
        <v>0</v>
      </c>
      <c r="AY2" s="533" t="s">
        <v>99</v>
      </c>
      <c r="AZ2" s="534">
        <f ca="1">IF(AU2=0,0,MAX(AT2:AT288))</f>
        <v>0</v>
      </c>
      <c r="BC2" s="536">
        <f ca="1">YEAR(AT2)</f>
        <v>2026</v>
      </c>
      <c r="BD2" s="534" cm="1">
        <f t="array" aca="1" ref="BD2:BD13" ca="1">IFERROR(_xlfn._xlws.FILTER($AT$2:$AT$1000,$BC$2:$BC$1000=BD1,),0)</f>
        <v>47506</v>
      </c>
      <c r="BF2" s="530">
        <v>1</v>
      </c>
      <c r="BG2" s="531">
        <f ca="1">TODAY()</f>
        <v>46196</v>
      </c>
      <c r="BH2" s="532">
        <f ca="1">SUMIFS('Key Life Events'!$L$3:$L$28,'Key Life Events'!$H$3:$H$28,'Loan Amortization'!$BL$3,'Key Life Events'!$N$3:$N$28,'Loan Amortization'!BG2)</f>
        <v>0</v>
      </c>
      <c r="BI2" s="532">
        <f ca="1">IFERROR(PMT(BM1/12,BO1*12,-BH$2,0,0),0)</f>
        <v>0</v>
      </c>
      <c r="BJ2" s="532">
        <f t="shared" ref="BJ2" ca="1" si="3">(BH2*BM$1)/12</f>
        <v>0</v>
      </c>
      <c r="BK2" s="532">
        <f ca="1">BI2-BJ2</f>
        <v>0</v>
      </c>
      <c r="BL2" s="533" t="s">
        <v>99</v>
      </c>
      <c r="BM2" s="534">
        <f ca="1">IF(BH2=0,0,MAX(BG2:BG288))</f>
        <v>0</v>
      </c>
      <c r="BP2" s="536">
        <f ca="1">YEAR(BG2)</f>
        <v>2026</v>
      </c>
      <c r="BQ2" s="534" cm="1">
        <f t="array" aca="1" ref="BQ2:BQ327" ca="1">IFERROR(_xlfn._xlws.FILTER($BG$2:$BG$1000,$BP$2:$BP$1000=BQ1,),0)</f>
        <v>0</v>
      </c>
      <c r="BS2" s="530">
        <v>1</v>
      </c>
      <c r="BT2" s="531">
        <f ca="1">TODAY()</f>
        <v>46196</v>
      </c>
      <c r="BU2" s="532">
        <f ca="1">SUMIFS('Key Life Events'!$L$3:$L$28,'Key Life Events'!$H$3:$H$28,'Loan Amortization'!$BY$3,'Key Life Events'!$N$3:$N$28,'Loan Amortization'!BT2)</f>
        <v>0</v>
      </c>
      <c r="BV2" s="532">
        <f ca="1">IFERROR(PMT(BZ1/12,CB1*12,-BU$2,0,0),0)</f>
        <v>0</v>
      </c>
      <c r="BW2" s="532">
        <f t="shared" ref="BW2" ca="1" si="4">(BU2*BZ$1)/12</f>
        <v>0</v>
      </c>
      <c r="BX2" s="532">
        <f ca="1">BV2-BW2</f>
        <v>0</v>
      </c>
      <c r="BY2" s="533" t="s">
        <v>99</v>
      </c>
      <c r="BZ2" s="534">
        <f ca="1">IF(BU2=0,0,MAX(BT2:BT288))</f>
        <v>0</v>
      </c>
      <c r="CC2" s="536">
        <f ca="1">YEAR(BT2)</f>
        <v>2026</v>
      </c>
      <c r="CD2" s="534" cm="1">
        <f t="array" aca="1" ref="CD2:CD327" ca="1">IFERROR(_xlfn._xlws.FILTER($BT$2:$BT$1000,$CC$2:$CC$1000=CD1,),0)</f>
        <v>0</v>
      </c>
      <c r="CF2" s="530">
        <v>1</v>
      </c>
      <c r="CG2" s="531">
        <f ca="1">TODAY()</f>
        <v>46196</v>
      </c>
      <c r="CH2" s="532">
        <f ca="1">SUMIFS('Key Life Events'!$L$3:$L$28,'Key Life Events'!$H$3:$H$28,'Loan Amortization'!$CL$3,'Key Life Events'!$N$3:$N$28,'Loan Amortization'!CG2)</f>
        <v>0</v>
      </c>
      <c r="CI2" s="532">
        <f ca="1">IFERROR(PMT(CM1/12,CO1*12,-CH$2,0,0),0)</f>
        <v>0</v>
      </c>
      <c r="CJ2" s="532">
        <f t="shared" ref="CJ2" ca="1" si="5">(CH2*CM$1)/12</f>
        <v>0</v>
      </c>
      <c r="CK2" s="532">
        <f ca="1">CI2-CJ2</f>
        <v>0</v>
      </c>
      <c r="CL2" s="533" t="s">
        <v>99</v>
      </c>
      <c r="CM2" s="534">
        <f ca="1">IF(CH2=0,0,MAX(CG2:CG288))</f>
        <v>0</v>
      </c>
      <c r="CP2" s="536">
        <f ca="1">YEAR(CG2)</f>
        <v>2026</v>
      </c>
      <c r="CQ2" s="534" cm="1">
        <f t="array" aca="1" ref="CQ2:CQ327" ca="1">IFERROR(_xlfn._xlws.FILTER($BT$2:$BT$1000,$CC$2:$CC$1000=CQ1,),0)</f>
        <v>0</v>
      </c>
      <c r="CS2" s="100">
        <f>AH2</f>
        <v>1</v>
      </c>
      <c r="CT2" s="102">
        <f ca="1">C2+Y2+AJ2+N2+AU2+BH2+BU2+CH2</f>
        <v>1138560</v>
      </c>
      <c r="CU2" s="102">
        <f ca="1">D2+Z2+AK2+O2+AV2+BI2+BV2+CI2</f>
        <v>47440</v>
      </c>
      <c r="CV2" s="511">
        <f ca="1">MAX(TEXT(B2,"yyyy"),TEXT(M2,"yyyy"),TEXT(X2,"yyyy"),TEXT(AT2,"yyyy"),TEXT(AI2,"yyyy"),TEXT(BG2,"yyyy"),TEXT(BT2,"yyyy"),TEXT(CG2,"yyyy"))</f>
        <v>2026</v>
      </c>
      <c r="CW2" s="1">
        <v>1</v>
      </c>
      <c r="CX2" s="99">
        <f ca="1">IFERROR(VLOOKUP(CW2,CS:CU,2,0),0)</f>
        <v>1138560</v>
      </c>
    </row>
    <row r="3" spans="1:102" x14ac:dyDescent="0.3">
      <c r="A3" s="100">
        <v>2</v>
      </c>
      <c r="B3" s="131">
        <f>IF(C2&lt;D2,,EDATE(B2,1))</f>
        <v>45986</v>
      </c>
      <c r="C3" s="102">
        <f>IF(C2&lt;D2,0,C2-F2)</f>
        <v>1099564.32</v>
      </c>
      <c r="D3" s="102">
        <f>IF(C3&lt;=D2,C3+E3,D$2)</f>
        <v>47440</v>
      </c>
      <c r="E3" s="102">
        <f t="shared" ref="E3:E66" si="6">(C3*H$1)/12</f>
        <v>8155.1020400000007</v>
      </c>
      <c r="F3" s="102">
        <f>D3-E3</f>
        <v>39284.897960000002</v>
      </c>
      <c r="L3" s="100">
        <v>2</v>
      </c>
      <c r="M3" s="131">
        <f ca="1">IF(N2&lt;O2,,EDATE(M2,1))</f>
        <v>46226</v>
      </c>
      <c r="N3" s="102">
        <f>IF(N2&lt;O2,0,N2-Q2)</f>
        <v>0</v>
      </c>
      <c r="O3" s="102">
        <f>IF(N3&lt;=O2,N3+P3,O$2)</f>
        <v>0</v>
      </c>
      <c r="P3" s="102">
        <f t="shared" ref="P3:P66" si="7">(N3*S$1)/12</f>
        <v>0</v>
      </c>
      <c r="Q3" s="102">
        <f t="shared" ref="Q3:Q66" si="8">O3-P3</f>
        <v>0</v>
      </c>
      <c r="W3" s="100">
        <v>2</v>
      </c>
      <c r="X3" s="131">
        <f ca="1">IF(Y2&lt;Z2,,EDATE(X2,1))</f>
        <v>46226</v>
      </c>
      <c r="Y3" s="102">
        <f>IF(Y2&lt;Z2,0,Y2-AB2)</f>
        <v>0</v>
      </c>
      <c r="Z3" s="102">
        <f>IF(Y3&lt;=Z2,Y3+AA3,Z$2)</f>
        <v>0</v>
      </c>
      <c r="AA3" s="102">
        <f t="shared" si="0"/>
        <v>0</v>
      </c>
      <c r="AB3" s="102">
        <f t="shared" ref="AB3:AB66" si="9">Z3-AA3</f>
        <v>0</v>
      </c>
      <c r="AH3" s="100">
        <v>2</v>
      </c>
      <c r="AI3" s="131">
        <f ca="1">IF(AJ2&lt;AK2,,EDATE(AI2,1))</f>
        <v>46226</v>
      </c>
      <c r="AJ3" s="102">
        <f>IF(AJ2&lt;AK2,0,AJ2-AM2)</f>
        <v>0</v>
      </c>
      <c r="AK3" s="102">
        <f>IF(AJ3&lt;=AK2,AJ3+AL3,AK$2)</f>
        <v>0</v>
      </c>
      <c r="AL3" s="102">
        <f t="shared" si="1"/>
        <v>0</v>
      </c>
      <c r="AM3" s="102">
        <f t="shared" ref="AM3:AM66" si="10">AK3-AL3</f>
        <v>0</v>
      </c>
      <c r="AS3" s="530">
        <v>2</v>
      </c>
      <c r="AT3" s="531">
        <f ca="1">IF(AU2&lt;AV2,,EDATE(AT2,1))</f>
        <v>46226</v>
      </c>
      <c r="AU3" s="532">
        <f ca="1">IF(AU2=0,SUMIFS('Key Life Events'!$L$3:$L$28,'Key Life Events'!$H$3:$H$28,'Loan Amortization'!$AY$3,'Key Life Events'!$N$3:$N$28,'Loan Amortization'!AT3),AU2-AX2)</f>
        <v>0</v>
      </c>
      <c r="AV3" s="532">
        <f ca="1">IF(AND(AU2=0,AU3&gt;0),PMT($AZ$1/12,$BB$1*12,-AU3,0,0),IF(AU3&lt;=AV2,AU3+AW3,AV2))</f>
        <v>0</v>
      </c>
      <c r="AW3" s="532">
        <f ca="1">(AU3*AZ$1)/12</f>
        <v>0</v>
      </c>
      <c r="AX3" s="532">
        <f t="shared" ref="AX3:AX66" ca="1" si="11">AV3-AW3</f>
        <v>0</v>
      </c>
      <c r="AY3" s="537" t="s">
        <v>100</v>
      </c>
      <c r="BC3" s="536">
        <f t="shared" ref="BC3:BC66" ca="1" si="12">YEAR(AT3)</f>
        <v>2026</v>
      </c>
      <c r="BD3" s="534">
        <f ca="1"/>
        <v>47537</v>
      </c>
      <c r="BF3" s="530">
        <v>2</v>
      </c>
      <c r="BG3" s="531">
        <f ca="1">IF(BH2&lt;BI2,,EDATE(BG2,1))</f>
        <v>46226</v>
      </c>
      <c r="BH3" s="532">
        <f ca="1">IF(BH2=0,SUMIFS('Key Life Events'!$L$3:$L$28,'Key Life Events'!$H$3:$H$28,'Loan Amortization'!$BL$3,'Key Life Events'!$N$3:$N$28,'Loan Amortization'!BG3),BH2-BK2)</f>
        <v>0</v>
      </c>
      <c r="BI3" s="532">
        <f ca="1">IF(AND(BH2=0,BH3&gt;0),PMT(BM$1/12,BO$1*12,-BH3,0,0),IF(BH3&lt;=BI2,BH3+BJ3,BI2))</f>
        <v>0</v>
      </c>
      <c r="BJ3" s="532">
        <f ca="1">(BH3*BM$1)/12</f>
        <v>0</v>
      </c>
      <c r="BK3" s="532">
        <f t="shared" ref="BK3:BK66" ca="1" si="13">BI3-BJ3</f>
        <v>0</v>
      </c>
      <c r="BL3" s="537" t="s">
        <v>101</v>
      </c>
      <c r="BP3" s="536">
        <f t="shared" ref="BP3:BP66" ca="1" si="14">YEAR(BG3)</f>
        <v>2026</v>
      </c>
      <c r="BQ3" s="534">
        <f ca="1"/>
        <v>0</v>
      </c>
      <c r="BS3" s="530">
        <v>2</v>
      </c>
      <c r="BT3" s="531">
        <f ca="1">IF(BU2&lt;BV2,,EDATE(BT2,1))</f>
        <v>46226</v>
      </c>
      <c r="BU3" s="532">
        <f ca="1">IF(BU2=0,SUMIFS('Key Life Events'!$L$3:$L$28,'Key Life Events'!$H$3:$H$28,'Loan Amortization'!$BY$3,'Key Life Events'!$N$3:$N$28,'Loan Amortization'!BT3),BU2-BX2)</f>
        <v>0</v>
      </c>
      <c r="BV3" s="532">
        <f ca="1">IF(AND(BU2=0,BU3&gt;0),PMT(BZ$1/12,CB$1*12,-BU3,0,0),IF(BU3&lt;=BV2,BU3+BW3,BV2))</f>
        <v>0</v>
      </c>
      <c r="BW3" s="532">
        <f ca="1">(BU3*BZ$1)/12</f>
        <v>0</v>
      </c>
      <c r="BX3" s="532">
        <f t="shared" ref="BX3:BX66" ca="1" si="15">BV3-BW3</f>
        <v>0</v>
      </c>
      <c r="BY3" s="537" t="s">
        <v>102</v>
      </c>
      <c r="CC3" s="536">
        <f t="shared" ref="CC3:CC66" ca="1" si="16">YEAR(BT3)</f>
        <v>2026</v>
      </c>
      <c r="CD3" s="534">
        <f ca="1"/>
        <v>0</v>
      </c>
      <c r="CF3" s="530">
        <v>2</v>
      </c>
      <c r="CG3" s="531">
        <f ca="1">IF(CH2&lt;CI2,,EDATE(CG2,1))</f>
        <v>46226</v>
      </c>
      <c r="CH3" s="532">
        <f ca="1">IF(CH2=0,SUMIFS('Key Life Events'!$L$3:$L$28,'Key Life Events'!$H$3:$H$28,'Loan Amortization'!$CL$3,'Key Life Events'!$N$3:$N$28,'Loan Amortization'!CG3),CH2-CK2)</f>
        <v>0</v>
      </c>
      <c r="CI3" s="532">
        <f ca="1">IF(AND(CH2=0,CH3&gt;0),PMT(CM$1/12,CO$1*12,-CH3,0,0),IF(CH3&lt;=CI2,CH3+CJ3,CI2))</f>
        <v>0</v>
      </c>
      <c r="CJ3" s="532">
        <f ca="1">(CH3*CM$1)/12</f>
        <v>0</v>
      </c>
      <c r="CK3" s="532">
        <f t="shared" ref="CK3:CK66" ca="1" si="17">CI3-CJ3</f>
        <v>0</v>
      </c>
      <c r="CL3" s="537" t="s">
        <v>103</v>
      </c>
      <c r="CP3" s="536">
        <f t="shared" ref="CP3:CP66" ca="1" si="18">YEAR(CG3)</f>
        <v>2026</v>
      </c>
      <c r="CQ3" s="534">
        <f ca="1"/>
        <v>0</v>
      </c>
      <c r="CS3" s="100">
        <f t="shared" ref="CS3:CS66" si="19">AH3</f>
        <v>2</v>
      </c>
      <c r="CT3" s="102">
        <f t="shared" ref="CT3:CT66" ca="1" si="20">C3+Y3+AJ3+N3+AU3+BH3+BU3+CH3</f>
        <v>1099564.32</v>
      </c>
      <c r="CU3" s="102">
        <f t="shared" ref="CU3:CU66" ca="1" si="21">D3+Z3+AK3+O3+AV3+BI3+BV3+CI3</f>
        <v>47440</v>
      </c>
      <c r="CV3" s="511">
        <f t="shared" ref="CV3:CV66" ca="1" si="22">MAX(TEXT(B3,"yyyy"),TEXT(M3,"yyyy"),TEXT(X3,"yyyy"),TEXT(AT3,"yyyy"),TEXT(AI3,"yyyy"),TEXT(BG3,"yyyy"),TEXT(BT3,"yyyy"),TEXT(CG3,"yyyy"))</f>
        <v>2026</v>
      </c>
      <c r="CW3" s="1">
        <f>CW2+12</f>
        <v>13</v>
      </c>
      <c r="CX3" s="99">
        <f t="shared" ref="CX3:CX56" ca="1" si="23">IFERROR(VLOOKUP(CW3,CS:CU,2,0),0)</f>
        <v>651043.57811891346</v>
      </c>
    </row>
    <row r="4" spans="1:102" x14ac:dyDescent="0.3">
      <c r="A4" s="100">
        <v>3</v>
      </c>
      <c r="B4" s="131">
        <f t="shared" ref="B4:B67" si="24">IF(C3&lt;D3,,EDATE(B3,1))</f>
        <v>46016</v>
      </c>
      <c r="C4" s="102">
        <f t="shared" ref="C4:C67" si="25">IF(C3&lt;D3,0,C3-F3)</f>
        <v>1060279.4220400001</v>
      </c>
      <c r="D4" s="102">
        <f t="shared" ref="D4:D67" si="26">IF(C4&lt;=D3,C4+E4,D$2)</f>
        <v>47440</v>
      </c>
      <c r="E4" s="102">
        <f t="shared" si="6"/>
        <v>7863.7390467966661</v>
      </c>
      <c r="F4" s="102">
        <f t="shared" ref="F4:F66" si="27">D4-E4</f>
        <v>39576.260953203331</v>
      </c>
      <c r="L4" s="100">
        <v>3</v>
      </c>
      <c r="M4" s="131">
        <f t="shared" ref="M4:M67" ca="1" si="28">IF(N3&lt;O3,,EDATE(M3,1))</f>
        <v>46257</v>
      </c>
      <c r="N4" s="102">
        <f t="shared" ref="N4:N67" si="29">IF(N3&lt;O3,0,N3-Q3)</f>
        <v>0</v>
      </c>
      <c r="O4" s="102">
        <f t="shared" ref="O4:O67" si="30">IF(N4&lt;=O3,N4+P4,O$2)</f>
        <v>0</v>
      </c>
      <c r="P4" s="102">
        <f t="shared" si="7"/>
        <v>0</v>
      </c>
      <c r="Q4" s="102">
        <f t="shared" si="8"/>
        <v>0</v>
      </c>
      <c r="W4" s="100">
        <v>3</v>
      </c>
      <c r="X4" s="131">
        <f t="shared" ref="X4:X67" ca="1" si="31">IF(Y3&lt;Z3,,EDATE(X3,1))</f>
        <v>46257</v>
      </c>
      <c r="Y4" s="102">
        <f t="shared" ref="Y4:Y67" si="32">IF(Y3&lt;Z3,0,Y3-AB3)</f>
        <v>0</v>
      </c>
      <c r="Z4" s="102">
        <f t="shared" ref="Z4:Z67" si="33">IF(Y4&lt;=Z3,Y4+AA4,Z$2)</f>
        <v>0</v>
      </c>
      <c r="AA4" s="102">
        <f t="shared" si="0"/>
        <v>0</v>
      </c>
      <c r="AB4" s="102">
        <f t="shared" si="9"/>
        <v>0</v>
      </c>
      <c r="AH4" s="100">
        <v>3</v>
      </c>
      <c r="AI4" s="131">
        <f t="shared" ref="AI4:AI67" ca="1" si="34">IF(AJ3&lt;AK3,,EDATE(AI3,1))</f>
        <v>46257</v>
      </c>
      <c r="AJ4" s="102">
        <f t="shared" ref="AJ4:AJ67" si="35">IF(AJ3&lt;AK3,0,AJ3-AM3)</f>
        <v>0</v>
      </c>
      <c r="AK4" s="102">
        <f t="shared" ref="AK4:AK67" si="36">IF(AJ4&lt;=AK3,AJ4+AL4,AK$2)</f>
        <v>0</v>
      </c>
      <c r="AL4" s="102">
        <f t="shared" si="1"/>
        <v>0</v>
      </c>
      <c r="AM4" s="102">
        <f t="shared" si="10"/>
        <v>0</v>
      </c>
      <c r="AS4" s="530">
        <v>3</v>
      </c>
      <c r="AT4" s="531">
        <f t="shared" ref="AT4:AT67" ca="1" si="37">IF(AU3&lt;AV3,,EDATE(AT3,1))</f>
        <v>46257</v>
      </c>
      <c r="AU4" s="532">
        <f ca="1">IF(AU3=0,SUMIFS('Key Life Events'!$L$3:$L$28,'Key Life Events'!$H$3:$H$28,'Loan Amortization'!$AY$3,'Key Life Events'!$N$3:$N$28,'Loan Amortization'!AT4),AU3-AX3)</f>
        <v>0</v>
      </c>
      <c r="AV4" s="532">
        <f t="shared" ref="AV4:AV67" ca="1" si="38">IF(AND(AU3=0,AU4&gt;0),PMT($AZ$1/12,$BB$1*12,-AU4,0,0),IF(AU4&lt;=AV3,AU4+AW4,AV3))</f>
        <v>0</v>
      </c>
      <c r="AW4" s="532">
        <f t="shared" ca="1" si="2"/>
        <v>0</v>
      </c>
      <c r="AX4" s="532">
        <f t="shared" ca="1" si="11"/>
        <v>0</v>
      </c>
      <c r="BC4" s="536">
        <f t="shared" ca="1" si="12"/>
        <v>2026</v>
      </c>
      <c r="BD4" s="534">
        <f ca="1"/>
        <v>47565</v>
      </c>
      <c r="BF4" s="530">
        <v>3</v>
      </c>
      <c r="BG4" s="531">
        <f t="shared" ref="BG4:BG67" ca="1" si="39">IF(BH3&lt;BI3,,EDATE(BG3,1))</f>
        <v>46257</v>
      </c>
      <c r="BH4" s="532">
        <f ca="1">IF(BH3=0,SUMIFS('Key Life Events'!$L$3:$L$28,'Key Life Events'!$H$3:$H$28,'Loan Amortization'!$BL$3,'Key Life Events'!$N$3:$N$28,'Loan Amortization'!BG4),BH3-BK3)</f>
        <v>0</v>
      </c>
      <c r="BI4" s="532">
        <f t="shared" ref="BI4:BI67" ca="1" si="40">IF(AND(BH3=0,BH4&gt;0),PMT(BM$1/12,BO$1*12,-BH4,0,0),IF(BH4&lt;=BI3,BH4+BJ4,BI3))</f>
        <v>0</v>
      </c>
      <c r="BJ4" s="532">
        <f t="shared" ref="BJ4:BJ67" ca="1" si="41">(BH4*BM$1)/12</f>
        <v>0</v>
      </c>
      <c r="BK4" s="532">
        <f t="shared" ca="1" si="13"/>
        <v>0</v>
      </c>
      <c r="BP4" s="536">
        <f t="shared" ca="1" si="14"/>
        <v>2026</v>
      </c>
      <c r="BQ4" s="534">
        <f ca="1"/>
        <v>0</v>
      </c>
      <c r="BS4" s="530">
        <v>3</v>
      </c>
      <c r="BT4" s="531">
        <f t="shared" ref="BT4:BT67" ca="1" si="42">IF(BU3&lt;BV3,,EDATE(BT3,1))</f>
        <v>46257</v>
      </c>
      <c r="BU4" s="532">
        <f ca="1">IF(BU3=0,SUMIFS('Key Life Events'!$L$3:$L$28,'Key Life Events'!$H$3:$H$28,'Loan Amortization'!$BY$3,'Key Life Events'!$N$3:$N$28,'Loan Amortization'!BT4),BU3-BX3)</f>
        <v>0</v>
      </c>
      <c r="BV4" s="532">
        <f ca="1">IF(AND(BU3=0,BU4&gt;0),PMT(BZ$1/12,CB$1*12,-BU4,0,0),IF(BU4&lt;=BV3,BU4+BW4,BV3))</f>
        <v>0</v>
      </c>
      <c r="BW4" s="532">
        <f t="shared" ref="BW4:BW67" ca="1" si="43">(BU4*BZ$1)/12</f>
        <v>0</v>
      </c>
      <c r="BX4" s="532">
        <f t="shared" ca="1" si="15"/>
        <v>0</v>
      </c>
      <c r="CC4" s="536">
        <f t="shared" ca="1" si="16"/>
        <v>2026</v>
      </c>
      <c r="CD4" s="534">
        <f ca="1"/>
        <v>0</v>
      </c>
      <c r="CF4" s="530">
        <v>3</v>
      </c>
      <c r="CG4" s="531">
        <f t="shared" ref="CG4:CG67" ca="1" si="44">IF(CH3&lt;CI3,,EDATE(CG3,1))</f>
        <v>46257</v>
      </c>
      <c r="CH4" s="532">
        <f ca="1">IF(CH3=0,SUMIFS('Key Life Events'!$L$3:$L$28,'Key Life Events'!$H$3:$H$28,'Loan Amortization'!$CL$3,'Key Life Events'!$N$3:$N$28,'Loan Amortization'!CG4),CH3-CK3)</f>
        <v>0</v>
      </c>
      <c r="CI4" s="532">
        <f t="shared" ref="CI4:CI67" ca="1" si="45">IF(AND(CH3=0,CH4&gt;0),PMT(CM$1/12,CO$1*12,-CH4,0,0),IF(CH4&lt;=CI3,CH4+CJ4,CI3))</f>
        <v>0</v>
      </c>
      <c r="CJ4" s="532">
        <f t="shared" ref="CJ4:CJ67" ca="1" si="46">(CH4*CM$1)/12</f>
        <v>0</v>
      </c>
      <c r="CK4" s="532">
        <f t="shared" ca="1" si="17"/>
        <v>0</v>
      </c>
      <c r="CP4" s="536">
        <f t="shared" ca="1" si="18"/>
        <v>2026</v>
      </c>
      <c r="CQ4" s="534">
        <f ca="1"/>
        <v>0</v>
      </c>
      <c r="CS4" s="100">
        <f t="shared" si="19"/>
        <v>3</v>
      </c>
      <c r="CT4" s="102">
        <f t="shared" ca="1" si="20"/>
        <v>1060279.4220400001</v>
      </c>
      <c r="CU4" s="102">
        <f t="shared" ca="1" si="21"/>
        <v>47440</v>
      </c>
      <c r="CV4" s="511">
        <f t="shared" ca="1" si="22"/>
        <v>2026</v>
      </c>
      <c r="CW4" s="1">
        <f t="shared" ref="CW4:CW56" si="47">CW3+12</f>
        <v>25</v>
      </c>
      <c r="CX4" s="99">
        <f t="shared" ca="1" si="23"/>
        <v>118323.79165416726</v>
      </c>
    </row>
    <row r="5" spans="1:102" x14ac:dyDescent="0.3">
      <c r="A5" s="100">
        <v>4</v>
      </c>
      <c r="B5" s="131">
        <f t="shared" si="24"/>
        <v>46047</v>
      </c>
      <c r="C5" s="102">
        <f t="shared" si="25"/>
        <v>1020703.1610867968</v>
      </c>
      <c r="D5" s="102">
        <f t="shared" si="26"/>
        <v>47440</v>
      </c>
      <c r="E5" s="102">
        <f t="shared" si="6"/>
        <v>7570.2151113937425</v>
      </c>
      <c r="F5" s="102">
        <f t="shared" si="27"/>
        <v>39869.784888606257</v>
      </c>
      <c r="G5" s="640">
        <f>D5*21</f>
        <v>996240</v>
      </c>
      <c r="L5" s="100">
        <v>4</v>
      </c>
      <c r="M5" s="131">
        <f t="shared" ca="1" si="28"/>
        <v>46288</v>
      </c>
      <c r="N5" s="102">
        <f t="shared" si="29"/>
        <v>0</v>
      </c>
      <c r="O5" s="102">
        <f t="shared" si="30"/>
        <v>0</v>
      </c>
      <c r="P5" s="102">
        <f t="shared" si="7"/>
        <v>0</v>
      </c>
      <c r="Q5" s="102">
        <f t="shared" si="8"/>
        <v>0</v>
      </c>
      <c r="W5" s="100">
        <v>4</v>
      </c>
      <c r="X5" s="131">
        <f t="shared" ca="1" si="31"/>
        <v>46288</v>
      </c>
      <c r="Y5" s="102">
        <f t="shared" si="32"/>
        <v>0</v>
      </c>
      <c r="Z5" s="102">
        <f t="shared" si="33"/>
        <v>0</v>
      </c>
      <c r="AA5" s="102">
        <f t="shared" si="0"/>
        <v>0</v>
      </c>
      <c r="AB5" s="102">
        <f t="shared" si="9"/>
        <v>0</v>
      </c>
      <c r="AH5" s="100">
        <v>4</v>
      </c>
      <c r="AI5" s="131">
        <f t="shared" ca="1" si="34"/>
        <v>46288</v>
      </c>
      <c r="AJ5" s="102">
        <f t="shared" si="35"/>
        <v>0</v>
      </c>
      <c r="AK5" s="102">
        <f t="shared" si="36"/>
        <v>0</v>
      </c>
      <c r="AL5" s="102">
        <f t="shared" si="1"/>
        <v>0</v>
      </c>
      <c r="AM5" s="102">
        <f t="shared" si="10"/>
        <v>0</v>
      </c>
      <c r="AS5" s="530">
        <v>4</v>
      </c>
      <c r="AT5" s="531">
        <f t="shared" ca="1" si="37"/>
        <v>46288</v>
      </c>
      <c r="AU5" s="532">
        <f ca="1">IF(AU4=0,SUMIFS('Key Life Events'!$L$3:$L$28,'Key Life Events'!$H$3:$H$28,'Loan Amortization'!$AY$3,'Key Life Events'!$N$3:$N$28,'Loan Amortization'!AT5),AU4-AX4)</f>
        <v>0</v>
      </c>
      <c r="AV5" s="532">
        <f t="shared" ca="1" si="38"/>
        <v>0</v>
      </c>
      <c r="AW5" s="532">
        <f t="shared" ca="1" si="2"/>
        <v>0</v>
      </c>
      <c r="AX5" s="532">
        <f t="shared" ca="1" si="11"/>
        <v>0</v>
      </c>
      <c r="BC5" s="536">
        <f t="shared" ca="1" si="12"/>
        <v>2026</v>
      </c>
      <c r="BD5" s="534">
        <f ca="1"/>
        <v>47596</v>
      </c>
      <c r="BF5" s="530">
        <v>4</v>
      </c>
      <c r="BG5" s="531">
        <f t="shared" ca="1" si="39"/>
        <v>46288</v>
      </c>
      <c r="BH5" s="532">
        <f ca="1">IF(BH4=0,SUMIFS('Key Life Events'!$L$3:$L$28,'Key Life Events'!$H$3:$H$28,'Loan Amortization'!$BL$3,'Key Life Events'!$N$3:$N$28,'Loan Amortization'!BG5),BH4-BK4)</f>
        <v>0</v>
      </c>
      <c r="BI5" s="532">
        <f ca="1">IF(AND(BH4=0,BH5&gt;0),PMT(BM$1/12,BO$1*12,-BH5,0,0),IF(BH5&lt;=BI4,BH5+BJ5,BI4))</f>
        <v>0</v>
      </c>
      <c r="BJ5" s="532">
        <f t="shared" ca="1" si="41"/>
        <v>0</v>
      </c>
      <c r="BK5" s="532">
        <f t="shared" ca="1" si="13"/>
        <v>0</v>
      </c>
      <c r="BP5" s="536">
        <f t="shared" ca="1" si="14"/>
        <v>2026</v>
      </c>
      <c r="BQ5" s="534">
        <f ca="1"/>
        <v>0</v>
      </c>
      <c r="BS5" s="530">
        <v>4</v>
      </c>
      <c r="BT5" s="531">
        <f t="shared" ca="1" si="42"/>
        <v>46288</v>
      </c>
      <c r="BU5" s="532">
        <f ca="1">IF(BU4=0,SUMIFS('Key Life Events'!$L$3:$L$28,'Key Life Events'!$H$3:$H$28,'Loan Amortization'!$BY$3,'Key Life Events'!$N$3:$N$28,'Loan Amortization'!BT5),BU4-BX4)</f>
        <v>0</v>
      </c>
      <c r="BV5" s="532">
        <f ca="1">IF(AND(BU4=0,BU5&gt;0),PMT(BZ$1/12,CB$1*12,-BU5,0,0),IF(BU5&lt;=BV4,BU5+BW5,BV4))</f>
        <v>0</v>
      </c>
      <c r="BW5" s="532">
        <f t="shared" ca="1" si="43"/>
        <v>0</v>
      </c>
      <c r="BX5" s="532">
        <f t="shared" ca="1" si="15"/>
        <v>0</v>
      </c>
      <c r="CC5" s="536">
        <f t="shared" ca="1" si="16"/>
        <v>2026</v>
      </c>
      <c r="CD5" s="534">
        <f ca="1"/>
        <v>0</v>
      </c>
      <c r="CF5" s="530">
        <v>4</v>
      </c>
      <c r="CG5" s="531">
        <f t="shared" ca="1" si="44"/>
        <v>46288</v>
      </c>
      <c r="CH5" s="532">
        <f ca="1">IF(CH4=0,SUMIFS('Key Life Events'!$L$3:$L$28,'Key Life Events'!$H$3:$H$28,'Loan Amortization'!$CL$3,'Key Life Events'!$N$3:$N$28,'Loan Amortization'!CG5),CH4-CK4)</f>
        <v>0</v>
      </c>
      <c r="CI5" s="532">
        <f t="shared" ca="1" si="45"/>
        <v>0</v>
      </c>
      <c r="CJ5" s="532">
        <f t="shared" ca="1" si="46"/>
        <v>0</v>
      </c>
      <c r="CK5" s="532">
        <f t="shared" ca="1" si="17"/>
        <v>0</v>
      </c>
      <c r="CP5" s="536">
        <f t="shared" ca="1" si="18"/>
        <v>2026</v>
      </c>
      <c r="CQ5" s="534">
        <f ca="1"/>
        <v>0</v>
      </c>
      <c r="CS5" s="100">
        <f t="shared" si="19"/>
        <v>4</v>
      </c>
      <c r="CT5" s="102">
        <f t="shared" ca="1" si="20"/>
        <v>1020703.1610867968</v>
      </c>
      <c r="CU5" s="102">
        <f t="shared" ca="1" si="21"/>
        <v>47440</v>
      </c>
      <c r="CV5" s="511">
        <f t="shared" ca="1" si="22"/>
        <v>2026</v>
      </c>
      <c r="CW5" s="1">
        <f t="shared" si="47"/>
        <v>37</v>
      </c>
      <c r="CX5" s="99">
        <f t="shared" ca="1" si="23"/>
        <v>0</v>
      </c>
    </row>
    <row r="6" spans="1:102" x14ac:dyDescent="0.3">
      <c r="A6" s="100">
        <v>5</v>
      </c>
      <c r="B6" s="131">
        <f t="shared" si="24"/>
        <v>46078</v>
      </c>
      <c r="C6" s="102">
        <f t="shared" si="25"/>
        <v>980833.3761981905</v>
      </c>
      <c r="D6" s="102">
        <f t="shared" si="26"/>
        <v>47440</v>
      </c>
      <c r="E6" s="102">
        <f t="shared" si="6"/>
        <v>7274.5142068032465</v>
      </c>
      <c r="F6" s="102">
        <f t="shared" si="27"/>
        <v>40165.485793196756</v>
      </c>
      <c r="L6" s="100">
        <v>5</v>
      </c>
      <c r="M6" s="131">
        <f t="shared" ca="1" si="28"/>
        <v>46318</v>
      </c>
      <c r="N6" s="102">
        <f t="shared" si="29"/>
        <v>0</v>
      </c>
      <c r="O6" s="102">
        <f t="shared" si="30"/>
        <v>0</v>
      </c>
      <c r="P6" s="102">
        <f t="shared" si="7"/>
        <v>0</v>
      </c>
      <c r="Q6" s="102">
        <f t="shared" si="8"/>
        <v>0</v>
      </c>
      <c r="W6" s="100">
        <v>5</v>
      </c>
      <c r="X6" s="131">
        <f t="shared" ca="1" si="31"/>
        <v>46318</v>
      </c>
      <c r="Y6" s="102">
        <f t="shared" si="32"/>
        <v>0</v>
      </c>
      <c r="Z6" s="102">
        <f t="shared" si="33"/>
        <v>0</v>
      </c>
      <c r="AA6" s="102">
        <f t="shared" si="0"/>
        <v>0</v>
      </c>
      <c r="AB6" s="102">
        <f t="shared" si="9"/>
        <v>0</v>
      </c>
      <c r="AH6" s="100">
        <v>5</v>
      </c>
      <c r="AI6" s="131">
        <f t="shared" ca="1" si="34"/>
        <v>46318</v>
      </c>
      <c r="AJ6" s="102">
        <f t="shared" si="35"/>
        <v>0</v>
      </c>
      <c r="AK6" s="102">
        <f t="shared" si="36"/>
        <v>0</v>
      </c>
      <c r="AL6" s="102">
        <f t="shared" si="1"/>
        <v>0</v>
      </c>
      <c r="AM6" s="102">
        <f t="shared" si="10"/>
        <v>0</v>
      </c>
      <c r="AS6" s="530">
        <v>5</v>
      </c>
      <c r="AT6" s="531">
        <f t="shared" ca="1" si="37"/>
        <v>46318</v>
      </c>
      <c r="AU6" s="532">
        <f ca="1">IF(AU5=0,SUMIFS('Key Life Events'!$L$3:$L$28,'Key Life Events'!$H$3:$H$28,'Loan Amortization'!$AY$3,'Key Life Events'!$N$3:$N$28,'Loan Amortization'!AT6),AU5-AX5)</f>
        <v>0</v>
      </c>
      <c r="AV6" s="532">
        <f t="shared" ca="1" si="38"/>
        <v>0</v>
      </c>
      <c r="AW6" s="532">
        <f t="shared" ca="1" si="2"/>
        <v>0</v>
      </c>
      <c r="AX6" s="532">
        <f t="shared" ca="1" si="11"/>
        <v>0</v>
      </c>
      <c r="BC6" s="536">
        <f t="shared" ca="1" si="12"/>
        <v>2026</v>
      </c>
      <c r="BD6" s="534">
        <f ca="1"/>
        <v>47626</v>
      </c>
      <c r="BF6" s="530">
        <v>5</v>
      </c>
      <c r="BG6" s="531">
        <f t="shared" ca="1" si="39"/>
        <v>46318</v>
      </c>
      <c r="BH6" s="532">
        <f ca="1">IF(BH5=0,SUMIFS('Key Life Events'!$L$3:$L$28,'Key Life Events'!$H$3:$H$28,'Loan Amortization'!$BL$3,'Key Life Events'!$N$3:$N$28,'Loan Amortization'!BG6),BH5-BK5)</f>
        <v>0</v>
      </c>
      <c r="BI6" s="532">
        <f t="shared" ca="1" si="40"/>
        <v>0</v>
      </c>
      <c r="BJ6" s="532">
        <f t="shared" ca="1" si="41"/>
        <v>0</v>
      </c>
      <c r="BK6" s="532">
        <f t="shared" ca="1" si="13"/>
        <v>0</v>
      </c>
      <c r="BP6" s="536">
        <f t="shared" ca="1" si="14"/>
        <v>2026</v>
      </c>
      <c r="BQ6" s="534">
        <f ca="1"/>
        <v>0</v>
      </c>
      <c r="BS6" s="530">
        <v>5</v>
      </c>
      <c r="BT6" s="531">
        <f t="shared" ca="1" si="42"/>
        <v>46318</v>
      </c>
      <c r="BU6" s="532">
        <f ca="1">IF(BU5=0,SUMIFS('Key Life Events'!$L$3:$L$28,'Key Life Events'!$H$3:$H$28,'Loan Amortization'!$BY$3,'Key Life Events'!$N$3:$N$28,'Loan Amortization'!BT6),BU5-BX5)</f>
        <v>0</v>
      </c>
      <c r="BV6" s="532">
        <f t="shared" ref="BV6:BV69" ca="1" si="48">IF(AND(BU5=0,BU6&gt;0),PMT(BZ$1/12,CB$1*12,-BU6,0,0),IF(BU6&lt;=BV5,BU6+BW6,BV5))</f>
        <v>0</v>
      </c>
      <c r="BW6" s="532">
        <f t="shared" ca="1" si="43"/>
        <v>0</v>
      </c>
      <c r="BX6" s="532">
        <f t="shared" ca="1" si="15"/>
        <v>0</v>
      </c>
      <c r="CC6" s="536">
        <f t="shared" ca="1" si="16"/>
        <v>2026</v>
      </c>
      <c r="CD6" s="534">
        <f ca="1"/>
        <v>0</v>
      </c>
      <c r="CF6" s="530">
        <v>5</v>
      </c>
      <c r="CG6" s="531">
        <f t="shared" ca="1" si="44"/>
        <v>46318</v>
      </c>
      <c r="CH6" s="532">
        <f ca="1">IF(CH5=0,SUMIFS('Key Life Events'!$L$3:$L$28,'Key Life Events'!$H$3:$H$28,'Loan Amortization'!$CL$3,'Key Life Events'!$N$3:$N$28,'Loan Amortization'!CG6),CH5-CK5)</f>
        <v>0</v>
      </c>
      <c r="CI6" s="532">
        <f ca="1">IF(AND(CH5=0,CH6&gt;0),PMT(CM$1/12,CO$1*12,-CH6,0,0),IF(CH6&lt;=CI5,CH6+CJ6,CI5))</f>
        <v>0</v>
      </c>
      <c r="CJ6" s="532">
        <f t="shared" ca="1" si="46"/>
        <v>0</v>
      </c>
      <c r="CK6" s="532">
        <f t="shared" ca="1" si="17"/>
        <v>0</v>
      </c>
      <c r="CP6" s="536">
        <f t="shared" ca="1" si="18"/>
        <v>2026</v>
      </c>
      <c r="CQ6" s="534">
        <f ca="1"/>
        <v>0</v>
      </c>
      <c r="CS6" s="100">
        <f t="shared" si="19"/>
        <v>5</v>
      </c>
      <c r="CT6" s="102">
        <f t="shared" ca="1" si="20"/>
        <v>980833.3761981905</v>
      </c>
      <c r="CU6" s="102">
        <f t="shared" ca="1" si="21"/>
        <v>47440</v>
      </c>
      <c r="CV6" s="511">
        <f t="shared" ca="1" si="22"/>
        <v>2026</v>
      </c>
      <c r="CW6" s="1">
        <f t="shared" si="47"/>
        <v>49</v>
      </c>
      <c r="CX6" s="99">
        <f t="shared" ca="1" si="23"/>
        <v>0</v>
      </c>
    </row>
    <row r="7" spans="1:102" x14ac:dyDescent="0.3">
      <c r="A7" s="100">
        <v>6</v>
      </c>
      <c r="B7" s="131">
        <f t="shared" si="24"/>
        <v>46106</v>
      </c>
      <c r="C7" s="102">
        <f t="shared" si="25"/>
        <v>940667.89040499378</v>
      </c>
      <c r="D7" s="102">
        <f t="shared" si="26"/>
        <v>47440</v>
      </c>
      <c r="E7" s="102">
        <f t="shared" si="6"/>
        <v>6976.6201871703706</v>
      </c>
      <c r="F7" s="102">
        <f t="shared" si="27"/>
        <v>40463.379812829633</v>
      </c>
      <c r="L7" s="100">
        <v>6</v>
      </c>
      <c r="M7" s="131">
        <f t="shared" ca="1" si="28"/>
        <v>46349</v>
      </c>
      <c r="N7" s="102">
        <f t="shared" si="29"/>
        <v>0</v>
      </c>
      <c r="O7" s="102">
        <f t="shared" si="30"/>
        <v>0</v>
      </c>
      <c r="P7" s="102">
        <f t="shared" si="7"/>
        <v>0</v>
      </c>
      <c r="Q7" s="102">
        <f t="shared" si="8"/>
        <v>0</v>
      </c>
      <c r="W7" s="100">
        <v>6</v>
      </c>
      <c r="X7" s="131">
        <f t="shared" ca="1" si="31"/>
        <v>46349</v>
      </c>
      <c r="Y7" s="102">
        <f t="shared" si="32"/>
        <v>0</v>
      </c>
      <c r="Z7" s="102">
        <f t="shared" si="33"/>
        <v>0</v>
      </c>
      <c r="AA7" s="102">
        <f t="shared" si="0"/>
        <v>0</v>
      </c>
      <c r="AB7" s="102">
        <f t="shared" si="9"/>
        <v>0</v>
      </c>
      <c r="AH7" s="100">
        <v>6</v>
      </c>
      <c r="AI7" s="131">
        <f t="shared" ca="1" si="34"/>
        <v>46349</v>
      </c>
      <c r="AJ7" s="102">
        <f t="shared" si="35"/>
        <v>0</v>
      </c>
      <c r="AK7" s="102">
        <f t="shared" si="36"/>
        <v>0</v>
      </c>
      <c r="AL7" s="102">
        <f t="shared" si="1"/>
        <v>0</v>
      </c>
      <c r="AM7" s="102">
        <f t="shared" si="10"/>
        <v>0</v>
      </c>
      <c r="AS7" s="530">
        <v>6</v>
      </c>
      <c r="AT7" s="531">
        <f t="shared" ca="1" si="37"/>
        <v>46349</v>
      </c>
      <c r="AU7" s="532">
        <f ca="1">IF(AU6=0,SUMIFS('Key Life Events'!$L$3:$L$28,'Key Life Events'!$H$3:$H$28,'Loan Amortization'!$AY$3,'Key Life Events'!$N$3:$N$28,'Loan Amortization'!AT7),AU6-AX6)</f>
        <v>0</v>
      </c>
      <c r="AV7" s="532">
        <f t="shared" ca="1" si="38"/>
        <v>0</v>
      </c>
      <c r="AW7" s="532">
        <f t="shared" ca="1" si="2"/>
        <v>0</v>
      </c>
      <c r="AX7" s="532">
        <f t="shared" ca="1" si="11"/>
        <v>0</v>
      </c>
      <c r="BC7" s="536">
        <f t="shared" ca="1" si="12"/>
        <v>2026</v>
      </c>
      <c r="BD7" s="534">
        <f ca="1"/>
        <v>47657</v>
      </c>
      <c r="BF7" s="530">
        <v>6</v>
      </c>
      <c r="BG7" s="531">
        <f t="shared" ca="1" si="39"/>
        <v>46349</v>
      </c>
      <c r="BH7" s="532">
        <f ca="1">IF(BH6=0,SUMIFS('Key Life Events'!$L$3:$L$28,'Key Life Events'!$H$3:$H$28,'Loan Amortization'!$BL$3,'Key Life Events'!$N$3:$N$28,'Loan Amortization'!BG7),BH6-BK6)</f>
        <v>0</v>
      </c>
      <c r="BI7" s="532">
        <f t="shared" ca="1" si="40"/>
        <v>0</v>
      </c>
      <c r="BJ7" s="532">
        <f t="shared" ca="1" si="41"/>
        <v>0</v>
      </c>
      <c r="BK7" s="532">
        <f t="shared" ca="1" si="13"/>
        <v>0</v>
      </c>
      <c r="BP7" s="536">
        <f t="shared" ca="1" si="14"/>
        <v>2026</v>
      </c>
      <c r="BQ7" s="534">
        <f ca="1"/>
        <v>0</v>
      </c>
      <c r="BS7" s="530">
        <v>6</v>
      </c>
      <c r="BT7" s="531">
        <f t="shared" ca="1" si="42"/>
        <v>46349</v>
      </c>
      <c r="BU7" s="532">
        <f ca="1">IF(BU6=0,SUMIFS('Key Life Events'!$L$3:$L$28,'Key Life Events'!$H$3:$H$28,'Loan Amortization'!$BY$3,'Key Life Events'!$N$3:$N$28,'Loan Amortization'!BT7),BU6-BX6)</f>
        <v>0</v>
      </c>
      <c r="BV7" s="532">
        <f t="shared" ca="1" si="48"/>
        <v>0</v>
      </c>
      <c r="BW7" s="532">
        <f t="shared" ca="1" si="43"/>
        <v>0</v>
      </c>
      <c r="BX7" s="532">
        <f t="shared" ca="1" si="15"/>
        <v>0</v>
      </c>
      <c r="CC7" s="536">
        <f t="shared" ca="1" si="16"/>
        <v>2026</v>
      </c>
      <c r="CD7" s="534">
        <f ca="1"/>
        <v>0</v>
      </c>
      <c r="CF7" s="530">
        <v>6</v>
      </c>
      <c r="CG7" s="531">
        <f t="shared" ca="1" si="44"/>
        <v>46349</v>
      </c>
      <c r="CH7" s="532">
        <f ca="1">IF(CH6=0,SUMIFS('Key Life Events'!$L$3:$L$28,'Key Life Events'!$H$3:$H$28,'Loan Amortization'!$CL$3,'Key Life Events'!$N$3:$N$28,'Loan Amortization'!CG7),CH6-CK6)</f>
        <v>0</v>
      </c>
      <c r="CI7" s="532">
        <f t="shared" ca="1" si="45"/>
        <v>0</v>
      </c>
      <c r="CJ7" s="532">
        <f t="shared" ca="1" si="46"/>
        <v>0</v>
      </c>
      <c r="CK7" s="532">
        <f t="shared" ca="1" si="17"/>
        <v>0</v>
      </c>
      <c r="CP7" s="536">
        <f t="shared" ca="1" si="18"/>
        <v>2026</v>
      </c>
      <c r="CQ7" s="534">
        <f ca="1"/>
        <v>0</v>
      </c>
      <c r="CS7" s="100">
        <f t="shared" si="19"/>
        <v>6</v>
      </c>
      <c r="CT7" s="102">
        <f t="shared" ca="1" si="20"/>
        <v>940667.89040499378</v>
      </c>
      <c r="CU7" s="102">
        <f t="shared" ca="1" si="21"/>
        <v>47440</v>
      </c>
      <c r="CV7" s="511">
        <f t="shared" ca="1" si="22"/>
        <v>2026</v>
      </c>
      <c r="CW7" s="1">
        <f t="shared" si="47"/>
        <v>61</v>
      </c>
      <c r="CX7" s="99">
        <f t="shared" ca="1" si="23"/>
        <v>0</v>
      </c>
    </row>
    <row r="8" spans="1:102" x14ac:dyDescent="0.3">
      <c r="A8" s="100">
        <v>7</v>
      </c>
      <c r="B8" s="131">
        <f t="shared" si="24"/>
        <v>46137</v>
      </c>
      <c r="C8" s="102">
        <f t="shared" si="25"/>
        <v>900204.51059216412</v>
      </c>
      <c r="D8" s="102">
        <f t="shared" si="26"/>
        <v>47440</v>
      </c>
      <c r="E8" s="102">
        <f t="shared" si="6"/>
        <v>6676.5167868918834</v>
      </c>
      <c r="F8" s="102">
        <f t="shared" si="27"/>
        <v>40763.48321310812</v>
      </c>
      <c r="L8" s="100">
        <v>7</v>
      </c>
      <c r="M8" s="131">
        <f t="shared" ca="1" si="28"/>
        <v>46379</v>
      </c>
      <c r="N8" s="102">
        <f t="shared" si="29"/>
        <v>0</v>
      </c>
      <c r="O8" s="102">
        <f t="shared" si="30"/>
        <v>0</v>
      </c>
      <c r="P8" s="102">
        <f t="shared" si="7"/>
        <v>0</v>
      </c>
      <c r="Q8" s="102">
        <f t="shared" si="8"/>
        <v>0</v>
      </c>
      <c r="W8" s="100">
        <v>7</v>
      </c>
      <c r="X8" s="131">
        <f t="shared" ca="1" si="31"/>
        <v>46379</v>
      </c>
      <c r="Y8" s="102">
        <f t="shared" si="32"/>
        <v>0</v>
      </c>
      <c r="Z8" s="102">
        <f t="shared" si="33"/>
        <v>0</v>
      </c>
      <c r="AA8" s="102">
        <f t="shared" ref="AA8:AA66" si="49">(Y8*AD$1)/12</f>
        <v>0</v>
      </c>
      <c r="AB8" s="102">
        <f t="shared" si="9"/>
        <v>0</v>
      </c>
      <c r="AH8" s="100">
        <v>7</v>
      </c>
      <c r="AI8" s="131">
        <f t="shared" ca="1" si="34"/>
        <v>46379</v>
      </c>
      <c r="AJ8" s="102">
        <f t="shared" si="35"/>
        <v>0</v>
      </c>
      <c r="AK8" s="102">
        <f t="shared" si="36"/>
        <v>0</v>
      </c>
      <c r="AL8" s="102">
        <f t="shared" si="1"/>
        <v>0</v>
      </c>
      <c r="AM8" s="102">
        <f t="shared" si="10"/>
        <v>0</v>
      </c>
      <c r="AS8" s="530">
        <v>7</v>
      </c>
      <c r="AT8" s="531">
        <f t="shared" ca="1" si="37"/>
        <v>46379</v>
      </c>
      <c r="AU8" s="532">
        <f ca="1">IF(AU7=0,SUMIFS('Key Life Events'!$L$3:$L$28,'Key Life Events'!$H$3:$H$28,'Loan Amortization'!$AY$3,'Key Life Events'!$N$3:$N$28,'Loan Amortization'!AT8),AU7-AX7)</f>
        <v>0</v>
      </c>
      <c r="AV8" s="532">
        <f t="shared" ca="1" si="38"/>
        <v>0</v>
      </c>
      <c r="AW8" s="532">
        <f t="shared" ca="1" si="2"/>
        <v>0</v>
      </c>
      <c r="AX8" s="532">
        <f t="shared" ca="1" si="11"/>
        <v>0</v>
      </c>
      <c r="BC8" s="536">
        <f t="shared" ca="1" si="12"/>
        <v>2026</v>
      </c>
      <c r="BD8" s="534">
        <f ca="1"/>
        <v>47687</v>
      </c>
      <c r="BF8" s="530">
        <v>7</v>
      </c>
      <c r="BG8" s="531">
        <f t="shared" ca="1" si="39"/>
        <v>46379</v>
      </c>
      <c r="BH8" s="532">
        <f ca="1">IF(BH7=0,SUMIFS('Key Life Events'!$L$3:$L$28,'Key Life Events'!$H$3:$H$28,'Loan Amortization'!$BL$3,'Key Life Events'!$N$3:$N$28,'Loan Amortization'!BG8),BH7-BK7)</f>
        <v>0</v>
      </c>
      <c r="BI8" s="532">
        <f t="shared" ca="1" si="40"/>
        <v>0</v>
      </c>
      <c r="BJ8" s="532">
        <f t="shared" ca="1" si="41"/>
        <v>0</v>
      </c>
      <c r="BK8" s="532">
        <f t="shared" ca="1" si="13"/>
        <v>0</v>
      </c>
      <c r="BP8" s="536">
        <f t="shared" ca="1" si="14"/>
        <v>2026</v>
      </c>
      <c r="BQ8" s="534">
        <f ca="1"/>
        <v>0</v>
      </c>
      <c r="BS8" s="530">
        <v>7</v>
      </c>
      <c r="BT8" s="531">
        <f t="shared" ca="1" si="42"/>
        <v>46379</v>
      </c>
      <c r="BU8" s="532">
        <f ca="1">IF(BU7=0,SUMIFS('Key Life Events'!$L$3:$L$28,'Key Life Events'!$H$3:$H$28,'Loan Amortization'!$BY$3,'Key Life Events'!$N$3:$N$28,'Loan Amortization'!BT8),BU7-BX7)</f>
        <v>0</v>
      </c>
      <c r="BV8" s="532">
        <f t="shared" ca="1" si="48"/>
        <v>0</v>
      </c>
      <c r="BW8" s="532">
        <f t="shared" ca="1" si="43"/>
        <v>0</v>
      </c>
      <c r="BX8" s="532">
        <f t="shared" ca="1" si="15"/>
        <v>0</v>
      </c>
      <c r="CC8" s="536">
        <f t="shared" ca="1" si="16"/>
        <v>2026</v>
      </c>
      <c r="CD8" s="534">
        <f ca="1"/>
        <v>0</v>
      </c>
      <c r="CF8" s="530">
        <v>7</v>
      </c>
      <c r="CG8" s="531">
        <f t="shared" ca="1" si="44"/>
        <v>46379</v>
      </c>
      <c r="CH8" s="532">
        <f ca="1">IF(CH7=0,SUMIFS('Key Life Events'!$L$3:$L$28,'Key Life Events'!$H$3:$H$28,'Loan Amortization'!$CL$3,'Key Life Events'!$N$3:$N$28,'Loan Amortization'!CG8),CH7-CK7)</f>
        <v>0</v>
      </c>
      <c r="CI8" s="532">
        <f t="shared" ca="1" si="45"/>
        <v>0</v>
      </c>
      <c r="CJ8" s="532">
        <f t="shared" ca="1" si="46"/>
        <v>0</v>
      </c>
      <c r="CK8" s="532">
        <f t="shared" ca="1" si="17"/>
        <v>0</v>
      </c>
      <c r="CP8" s="536">
        <f t="shared" ca="1" si="18"/>
        <v>2026</v>
      </c>
      <c r="CQ8" s="534">
        <f ca="1"/>
        <v>0</v>
      </c>
      <c r="CS8" s="100">
        <f t="shared" si="19"/>
        <v>7</v>
      </c>
      <c r="CT8" s="102">
        <f t="shared" ca="1" si="20"/>
        <v>900204.51059216412</v>
      </c>
      <c r="CU8" s="102">
        <f t="shared" ca="1" si="21"/>
        <v>47440</v>
      </c>
      <c r="CV8" s="511">
        <f t="shared" ca="1" si="22"/>
        <v>2026</v>
      </c>
      <c r="CW8" s="1">
        <f t="shared" si="47"/>
        <v>73</v>
      </c>
      <c r="CX8" s="99">
        <f t="shared" ca="1" si="23"/>
        <v>0</v>
      </c>
    </row>
    <row r="9" spans="1:102" x14ac:dyDescent="0.3">
      <c r="A9" s="100">
        <v>8</v>
      </c>
      <c r="B9" s="131">
        <f t="shared" si="24"/>
        <v>46167</v>
      </c>
      <c r="C9" s="102">
        <f t="shared" si="25"/>
        <v>859441.02737905597</v>
      </c>
      <c r="D9" s="102">
        <f t="shared" si="26"/>
        <v>47440</v>
      </c>
      <c r="E9" s="102">
        <f t="shared" si="6"/>
        <v>6374.1876197279989</v>
      </c>
      <c r="F9" s="102">
        <f t="shared" si="27"/>
        <v>41065.812380272</v>
      </c>
      <c r="L9" s="100">
        <v>8</v>
      </c>
      <c r="M9" s="131">
        <f t="shared" ca="1" si="28"/>
        <v>46410</v>
      </c>
      <c r="N9" s="102">
        <f t="shared" si="29"/>
        <v>0</v>
      </c>
      <c r="O9" s="102">
        <f t="shared" si="30"/>
        <v>0</v>
      </c>
      <c r="P9" s="102">
        <f t="shared" si="7"/>
        <v>0</v>
      </c>
      <c r="Q9" s="102">
        <f t="shared" si="8"/>
        <v>0</v>
      </c>
      <c r="W9" s="100">
        <v>8</v>
      </c>
      <c r="X9" s="131">
        <f t="shared" ca="1" si="31"/>
        <v>46410</v>
      </c>
      <c r="Y9" s="102">
        <f t="shared" si="32"/>
        <v>0</v>
      </c>
      <c r="Z9" s="102">
        <f t="shared" si="33"/>
        <v>0</v>
      </c>
      <c r="AA9" s="102">
        <f t="shared" si="49"/>
        <v>0</v>
      </c>
      <c r="AB9" s="102">
        <f t="shared" si="9"/>
        <v>0</v>
      </c>
      <c r="AH9" s="100">
        <v>8</v>
      </c>
      <c r="AI9" s="131">
        <f t="shared" ca="1" si="34"/>
        <v>46410</v>
      </c>
      <c r="AJ9" s="102">
        <f t="shared" si="35"/>
        <v>0</v>
      </c>
      <c r="AK9" s="102">
        <f t="shared" si="36"/>
        <v>0</v>
      </c>
      <c r="AL9" s="102">
        <f t="shared" si="1"/>
        <v>0</v>
      </c>
      <c r="AM9" s="102">
        <f t="shared" si="10"/>
        <v>0</v>
      </c>
      <c r="AS9" s="530">
        <v>8</v>
      </c>
      <c r="AT9" s="531">
        <f t="shared" ca="1" si="37"/>
        <v>46410</v>
      </c>
      <c r="AU9" s="532">
        <f ca="1">IF(AU8=0,SUMIFS('Key Life Events'!$L$3:$L$28,'Key Life Events'!$H$3:$H$28,'Loan Amortization'!$AY$3,'Key Life Events'!$N$3:$N$28,'Loan Amortization'!AT9),AU8-AX8)</f>
        <v>0</v>
      </c>
      <c r="AV9" s="532">
        <f t="shared" ca="1" si="38"/>
        <v>0</v>
      </c>
      <c r="AW9" s="532">
        <f t="shared" ca="1" si="2"/>
        <v>0</v>
      </c>
      <c r="AX9" s="532">
        <f t="shared" ca="1" si="11"/>
        <v>0</v>
      </c>
      <c r="BC9" s="536">
        <f t="shared" ca="1" si="12"/>
        <v>2027</v>
      </c>
      <c r="BD9" s="534">
        <f ca="1"/>
        <v>47718</v>
      </c>
      <c r="BF9" s="530">
        <v>8</v>
      </c>
      <c r="BG9" s="531">
        <f t="shared" ca="1" si="39"/>
        <v>46410</v>
      </c>
      <c r="BH9" s="532">
        <f ca="1">IF(BH8=0,SUMIFS('Key Life Events'!$L$3:$L$28,'Key Life Events'!$H$3:$H$28,'Loan Amortization'!$BL$3,'Key Life Events'!$N$3:$N$28,'Loan Amortization'!BG9),BH8-BK8)</f>
        <v>0</v>
      </c>
      <c r="BI9" s="532">
        <f t="shared" ca="1" si="40"/>
        <v>0</v>
      </c>
      <c r="BJ9" s="532">
        <f t="shared" ca="1" si="41"/>
        <v>0</v>
      </c>
      <c r="BK9" s="532">
        <f t="shared" ca="1" si="13"/>
        <v>0</v>
      </c>
      <c r="BP9" s="536">
        <f t="shared" ca="1" si="14"/>
        <v>2027</v>
      </c>
      <c r="BQ9" s="534">
        <f ca="1"/>
        <v>0</v>
      </c>
      <c r="BS9" s="530">
        <v>8</v>
      </c>
      <c r="BT9" s="531">
        <f t="shared" ca="1" si="42"/>
        <v>46410</v>
      </c>
      <c r="BU9" s="532">
        <f ca="1">IF(BU8=0,SUMIFS('Key Life Events'!$L$3:$L$28,'Key Life Events'!$H$3:$H$28,'Loan Amortization'!$BY$3,'Key Life Events'!$N$3:$N$28,'Loan Amortization'!BT9),BU8-BX8)</f>
        <v>0</v>
      </c>
      <c r="BV9" s="532">
        <f t="shared" ca="1" si="48"/>
        <v>0</v>
      </c>
      <c r="BW9" s="532">
        <f t="shared" ca="1" si="43"/>
        <v>0</v>
      </c>
      <c r="BX9" s="532">
        <f t="shared" ca="1" si="15"/>
        <v>0</v>
      </c>
      <c r="CC9" s="536">
        <f t="shared" ca="1" si="16"/>
        <v>2027</v>
      </c>
      <c r="CD9" s="534">
        <f ca="1"/>
        <v>0</v>
      </c>
      <c r="CF9" s="530">
        <v>8</v>
      </c>
      <c r="CG9" s="531">
        <f t="shared" ca="1" si="44"/>
        <v>46410</v>
      </c>
      <c r="CH9" s="532">
        <f ca="1">IF(CH8=0,SUMIFS('Key Life Events'!$L$3:$L$28,'Key Life Events'!$H$3:$H$28,'Loan Amortization'!$CL$3,'Key Life Events'!$N$3:$N$28,'Loan Amortization'!CG9),CH8-CK8)</f>
        <v>0</v>
      </c>
      <c r="CI9" s="532">
        <f t="shared" ca="1" si="45"/>
        <v>0</v>
      </c>
      <c r="CJ9" s="532">
        <f t="shared" ca="1" si="46"/>
        <v>0</v>
      </c>
      <c r="CK9" s="532">
        <f t="shared" ca="1" si="17"/>
        <v>0</v>
      </c>
      <c r="CP9" s="536">
        <f t="shared" ca="1" si="18"/>
        <v>2027</v>
      </c>
      <c r="CQ9" s="534">
        <f ca="1"/>
        <v>0</v>
      </c>
      <c r="CS9" s="100">
        <f t="shared" si="19"/>
        <v>8</v>
      </c>
      <c r="CT9" s="102">
        <f t="shared" ca="1" si="20"/>
        <v>859441.02737905597</v>
      </c>
      <c r="CU9" s="102">
        <f t="shared" ca="1" si="21"/>
        <v>47440</v>
      </c>
      <c r="CV9" s="511">
        <f t="shared" ca="1" si="22"/>
        <v>2027</v>
      </c>
      <c r="CW9" s="1">
        <f t="shared" si="47"/>
        <v>85</v>
      </c>
      <c r="CX9" s="99">
        <f t="shared" ca="1" si="23"/>
        <v>0</v>
      </c>
    </row>
    <row r="10" spans="1:102" x14ac:dyDescent="0.3">
      <c r="A10" s="100">
        <v>9</v>
      </c>
      <c r="B10" s="131">
        <f t="shared" si="24"/>
        <v>46198</v>
      </c>
      <c r="C10" s="102">
        <f t="shared" si="25"/>
        <v>818375.21499878401</v>
      </c>
      <c r="D10" s="102">
        <f t="shared" si="26"/>
        <v>47440</v>
      </c>
      <c r="E10" s="102">
        <f t="shared" si="6"/>
        <v>6069.6161779076474</v>
      </c>
      <c r="F10" s="102">
        <f t="shared" si="27"/>
        <v>41370.38382209235</v>
      </c>
      <c r="L10" s="100">
        <v>9</v>
      </c>
      <c r="M10" s="131">
        <f t="shared" ca="1" si="28"/>
        <v>46441</v>
      </c>
      <c r="N10" s="102">
        <f t="shared" si="29"/>
        <v>0</v>
      </c>
      <c r="O10" s="102">
        <f t="shared" si="30"/>
        <v>0</v>
      </c>
      <c r="P10" s="102">
        <f t="shared" si="7"/>
        <v>0</v>
      </c>
      <c r="Q10" s="102">
        <f t="shared" si="8"/>
        <v>0</v>
      </c>
      <c r="W10" s="100">
        <v>9</v>
      </c>
      <c r="X10" s="131">
        <f t="shared" ca="1" si="31"/>
        <v>46441</v>
      </c>
      <c r="Y10" s="102">
        <f t="shared" si="32"/>
        <v>0</v>
      </c>
      <c r="Z10" s="102">
        <f t="shared" si="33"/>
        <v>0</v>
      </c>
      <c r="AA10" s="102">
        <f t="shared" si="49"/>
        <v>0</v>
      </c>
      <c r="AB10" s="102">
        <f t="shared" si="9"/>
        <v>0</v>
      </c>
      <c r="AH10" s="100">
        <v>9</v>
      </c>
      <c r="AI10" s="131">
        <f t="shared" ca="1" si="34"/>
        <v>46441</v>
      </c>
      <c r="AJ10" s="102">
        <f t="shared" si="35"/>
        <v>0</v>
      </c>
      <c r="AK10" s="102">
        <f t="shared" si="36"/>
        <v>0</v>
      </c>
      <c r="AL10" s="102">
        <f t="shared" si="1"/>
        <v>0</v>
      </c>
      <c r="AM10" s="102">
        <f t="shared" si="10"/>
        <v>0</v>
      </c>
      <c r="AS10" s="530">
        <v>9</v>
      </c>
      <c r="AT10" s="531">
        <f t="shared" ca="1" si="37"/>
        <v>46441</v>
      </c>
      <c r="AU10" s="532">
        <f ca="1">IF(AU9=0,SUMIFS('Key Life Events'!$L$3:$L$28,'Key Life Events'!$H$3:$H$28,'Loan Amortization'!$AY$3,'Key Life Events'!$N$3:$N$28,'Loan Amortization'!AT10),AU9-AX9)</f>
        <v>0</v>
      </c>
      <c r="AV10" s="532">
        <f t="shared" ca="1" si="38"/>
        <v>0</v>
      </c>
      <c r="AW10" s="532">
        <f t="shared" ca="1" si="2"/>
        <v>0</v>
      </c>
      <c r="AX10" s="532">
        <f t="shared" ca="1" si="11"/>
        <v>0</v>
      </c>
      <c r="BC10" s="536">
        <f t="shared" ca="1" si="12"/>
        <v>2027</v>
      </c>
      <c r="BD10" s="534">
        <f ca="1"/>
        <v>47749</v>
      </c>
      <c r="BF10" s="530">
        <v>9</v>
      </c>
      <c r="BG10" s="531">
        <f t="shared" ca="1" si="39"/>
        <v>46441</v>
      </c>
      <c r="BH10" s="532">
        <f ca="1">IF(BH9=0,SUMIFS('Key Life Events'!$L$3:$L$28,'Key Life Events'!$H$3:$H$28,'Loan Amortization'!$BL$3,'Key Life Events'!$N$3:$N$28,'Loan Amortization'!BG10),BH9-BK9)</f>
        <v>0</v>
      </c>
      <c r="BI10" s="532">
        <f t="shared" ca="1" si="40"/>
        <v>0</v>
      </c>
      <c r="BJ10" s="532">
        <f t="shared" ca="1" si="41"/>
        <v>0</v>
      </c>
      <c r="BK10" s="532">
        <f t="shared" ca="1" si="13"/>
        <v>0</v>
      </c>
      <c r="BP10" s="536">
        <f t="shared" ca="1" si="14"/>
        <v>2027</v>
      </c>
      <c r="BQ10" s="534">
        <f ca="1"/>
        <v>0</v>
      </c>
      <c r="BS10" s="530">
        <v>9</v>
      </c>
      <c r="BT10" s="531">
        <f t="shared" ca="1" si="42"/>
        <v>46441</v>
      </c>
      <c r="BU10" s="532">
        <f ca="1">IF(BU9=0,SUMIFS('Key Life Events'!$L$3:$L$28,'Key Life Events'!$H$3:$H$28,'Loan Amortization'!$BY$3,'Key Life Events'!$N$3:$N$28,'Loan Amortization'!BT10),BU9-BX9)</f>
        <v>0</v>
      </c>
      <c r="BV10" s="532">
        <f t="shared" ca="1" si="48"/>
        <v>0</v>
      </c>
      <c r="BW10" s="532">
        <f t="shared" ca="1" si="43"/>
        <v>0</v>
      </c>
      <c r="BX10" s="532">
        <f t="shared" ca="1" si="15"/>
        <v>0</v>
      </c>
      <c r="CC10" s="536">
        <f t="shared" ca="1" si="16"/>
        <v>2027</v>
      </c>
      <c r="CD10" s="534">
        <f ca="1"/>
        <v>0</v>
      </c>
      <c r="CF10" s="530">
        <v>9</v>
      </c>
      <c r="CG10" s="531">
        <f t="shared" ca="1" si="44"/>
        <v>46441</v>
      </c>
      <c r="CH10" s="532">
        <f ca="1">IF(CH9=0,SUMIFS('Key Life Events'!$L$3:$L$28,'Key Life Events'!$H$3:$H$28,'Loan Amortization'!$CL$3,'Key Life Events'!$N$3:$N$28,'Loan Amortization'!CG10),CH9-CK9)</f>
        <v>0</v>
      </c>
      <c r="CI10" s="532">
        <f t="shared" ca="1" si="45"/>
        <v>0</v>
      </c>
      <c r="CJ10" s="532">
        <f t="shared" ca="1" si="46"/>
        <v>0</v>
      </c>
      <c r="CK10" s="532">
        <f t="shared" ca="1" si="17"/>
        <v>0</v>
      </c>
      <c r="CP10" s="536">
        <f t="shared" ca="1" si="18"/>
        <v>2027</v>
      </c>
      <c r="CQ10" s="534">
        <f ca="1"/>
        <v>0</v>
      </c>
      <c r="CS10" s="100">
        <f t="shared" si="19"/>
        <v>9</v>
      </c>
      <c r="CT10" s="102">
        <f t="shared" ca="1" si="20"/>
        <v>818375.21499878401</v>
      </c>
      <c r="CU10" s="102">
        <f t="shared" ca="1" si="21"/>
        <v>47440</v>
      </c>
      <c r="CV10" s="511">
        <f t="shared" ca="1" si="22"/>
        <v>2027</v>
      </c>
      <c r="CW10" s="1">
        <f t="shared" si="47"/>
        <v>97</v>
      </c>
      <c r="CX10" s="99">
        <f t="shared" ca="1" si="23"/>
        <v>0</v>
      </c>
    </row>
    <row r="11" spans="1:102" x14ac:dyDescent="0.3">
      <c r="A11" s="100">
        <v>10</v>
      </c>
      <c r="B11" s="131">
        <f t="shared" si="24"/>
        <v>46228</v>
      </c>
      <c r="C11" s="102">
        <f t="shared" si="25"/>
        <v>777004.83117669169</v>
      </c>
      <c r="D11" s="102">
        <f t="shared" si="26"/>
        <v>47440</v>
      </c>
      <c r="E11" s="102">
        <f t="shared" si="6"/>
        <v>5762.7858312271301</v>
      </c>
      <c r="F11" s="102">
        <f t="shared" si="27"/>
        <v>41677.214168772873</v>
      </c>
      <c r="L11" s="100">
        <v>10</v>
      </c>
      <c r="M11" s="131">
        <f t="shared" ca="1" si="28"/>
        <v>46469</v>
      </c>
      <c r="N11" s="102">
        <f t="shared" si="29"/>
        <v>0</v>
      </c>
      <c r="O11" s="102">
        <f t="shared" si="30"/>
        <v>0</v>
      </c>
      <c r="P11" s="102">
        <f t="shared" si="7"/>
        <v>0</v>
      </c>
      <c r="Q11" s="102">
        <f t="shared" si="8"/>
        <v>0</v>
      </c>
      <c r="W11" s="100">
        <v>10</v>
      </c>
      <c r="X11" s="131">
        <f t="shared" ca="1" si="31"/>
        <v>46469</v>
      </c>
      <c r="Y11" s="102">
        <f t="shared" si="32"/>
        <v>0</v>
      </c>
      <c r="Z11" s="102">
        <f t="shared" si="33"/>
        <v>0</v>
      </c>
      <c r="AA11" s="102">
        <f t="shared" si="49"/>
        <v>0</v>
      </c>
      <c r="AB11" s="102">
        <f t="shared" si="9"/>
        <v>0</v>
      </c>
      <c r="AH11" s="100">
        <v>10</v>
      </c>
      <c r="AI11" s="131">
        <f t="shared" ca="1" si="34"/>
        <v>46469</v>
      </c>
      <c r="AJ11" s="102">
        <f t="shared" si="35"/>
        <v>0</v>
      </c>
      <c r="AK11" s="102">
        <f t="shared" si="36"/>
        <v>0</v>
      </c>
      <c r="AL11" s="102">
        <f t="shared" ref="AL11:AL71" si="50">(AJ11*AO$1)/12</f>
        <v>0</v>
      </c>
      <c r="AM11" s="102">
        <f t="shared" si="10"/>
        <v>0</v>
      </c>
      <c r="AS11" s="530">
        <v>10</v>
      </c>
      <c r="AT11" s="531">
        <f t="shared" ca="1" si="37"/>
        <v>46469</v>
      </c>
      <c r="AU11" s="532">
        <f ca="1">IF(AU10=0,SUMIFS('Key Life Events'!$L$3:$L$28,'Key Life Events'!$H$3:$H$28,'Loan Amortization'!$AY$3,'Key Life Events'!$N$3:$N$28,'Loan Amortization'!AT11),AU10-AX10)</f>
        <v>0</v>
      </c>
      <c r="AV11" s="532">
        <f t="shared" ca="1" si="38"/>
        <v>0</v>
      </c>
      <c r="AW11" s="532">
        <f t="shared" ca="1" si="2"/>
        <v>0</v>
      </c>
      <c r="AX11" s="532">
        <f t="shared" ca="1" si="11"/>
        <v>0</v>
      </c>
      <c r="BC11" s="536">
        <f t="shared" ca="1" si="12"/>
        <v>2027</v>
      </c>
      <c r="BD11" s="534">
        <f ca="1"/>
        <v>47779</v>
      </c>
      <c r="BF11" s="530">
        <v>10</v>
      </c>
      <c r="BG11" s="531">
        <f t="shared" ca="1" si="39"/>
        <v>46469</v>
      </c>
      <c r="BH11" s="532">
        <f ca="1">IF(BH10=0,SUMIFS('Key Life Events'!$L$3:$L$28,'Key Life Events'!$H$3:$H$28,'Loan Amortization'!$BL$3,'Key Life Events'!$N$3:$N$28,'Loan Amortization'!BG11),BH10-BK10)</f>
        <v>0</v>
      </c>
      <c r="BI11" s="532">
        <f t="shared" ca="1" si="40"/>
        <v>0</v>
      </c>
      <c r="BJ11" s="532">
        <f t="shared" ca="1" si="41"/>
        <v>0</v>
      </c>
      <c r="BK11" s="532">
        <f t="shared" ca="1" si="13"/>
        <v>0</v>
      </c>
      <c r="BP11" s="536">
        <f t="shared" ca="1" si="14"/>
        <v>2027</v>
      </c>
      <c r="BQ11" s="534">
        <f ca="1"/>
        <v>0</v>
      </c>
      <c r="BS11" s="530">
        <v>10</v>
      </c>
      <c r="BT11" s="531">
        <f t="shared" ca="1" si="42"/>
        <v>46469</v>
      </c>
      <c r="BU11" s="532">
        <f ca="1">IF(BU10=0,SUMIFS('Key Life Events'!$L$3:$L$28,'Key Life Events'!$H$3:$H$28,'Loan Amortization'!$BY$3,'Key Life Events'!$N$3:$N$28,'Loan Amortization'!BT11),BU10-BX10)</f>
        <v>0</v>
      </c>
      <c r="BV11" s="532">
        <f t="shared" ca="1" si="48"/>
        <v>0</v>
      </c>
      <c r="BW11" s="532">
        <f t="shared" ca="1" si="43"/>
        <v>0</v>
      </c>
      <c r="BX11" s="532">
        <f t="shared" ca="1" si="15"/>
        <v>0</v>
      </c>
      <c r="CC11" s="536">
        <f t="shared" ca="1" si="16"/>
        <v>2027</v>
      </c>
      <c r="CD11" s="534">
        <f ca="1"/>
        <v>0</v>
      </c>
      <c r="CF11" s="530">
        <v>10</v>
      </c>
      <c r="CG11" s="531">
        <f t="shared" ca="1" si="44"/>
        <v>46469</v>
      </c>
      <c r="CH11" s="532">
        <f ca="1">IF(CH10=0,SUMIFS('Key Life Events'!$L$3:$L$28,'Key Life Events'!$H$3:$H$28,'Loan Amortization'!$CL$3,'Key Life Events'!$N$3:$N$28,'Loan Amortization'!CG11),CH10-CK10)</f>
        <v>0</v>
      </c>
      <c r="CI11" s="532">
        <f t="shared" ca="1" si="45"/>
        <v>0</v>
      </c>
      <c r="CJ11" s="532">
        <f t="shared" ca="1" si="46"/>
        <v>0</v>
      </c>
      <c r="CK11" s="532">
        <f t="shared" ca="1" si="17"/>
        <v>0</v>
      </c>
      <c r="CP11" s="536">
        <f t="shared" ca="1" si="18"/>
        <v>2027</v>
      </c>
      <c r="CQ11" s="534">
        <f ca="1"/>
        <v>0</v>
      </c>
      <c r="CS11" s="100">
        <f t="shared" si="19"/>
        <v>10</v>
      </c>
      <c r="CT11" s="102">
        <f t="shared" ca="1" si="20"/>
        <v>777004.83117669169</v>
      </c>
      <c r="CU11" s="102">
        <f t="shared" ca="1" si="21"/>
        <v>47440</v>
      </c>
      <c r="CV11" s="511">
        <f t="shared" ca="1" si="22"/>
        <v>2027</v>
      </c>
      <c r="CW11" s="1">
        <f t="shared" si="47"/>
        <v>109</v>
      </c>
      <c r="CX11" s="99">
        <f t="shared" ca="1" si="23"/>
        <v>0</v>
      </c>
    </row>
    <row r="12" spans="1:102" x14ac:dyDescent="0.3">
      <c r="A12" s="100">
        <v>11</v>
      </c>
      <c r="B12" s="131">
        <f t="shared" si="24"/>
        <v>46259</v>
      </c>
      <c r="C12" s="102">
        <f t="shared" si="25"/>
        <v>735327.61700791877</v>
      </c>
      <c r="D12" s="102">
        <f t="shared" si="26"/>
        <v>47440</v>
      </c>
      <c r="E12" s="102">
        <f t="shared" si="6"/>
        <v>5453.6798261420636</v>
      </c>
      <c r="F12" s="102">
        <f t="shared" si="27"/>
        <v>41986.320173857937</v>
      </c>
      <c r="L12" s="100">
        <v>11</v>
      </c>
      <c r="M12" s="131">
        <f t="shared" ca="1" si="28"/>
        <v>46500</v>
      </c>
      <c r="N12" s="102">
        <f t="shared" si="29"/>
        <v>0</v>
      </c>
      <c r="O12" s="102">
        <f t="shared" si="30"/>
        <v>0</v>
      </c>
      <c r="P12" s="102">
        <f t="shared" si="7"/>
        <v>0</v>
      </c>
      <c r="Q12" s="102">
        <f t="shared" si="8"/>
        <v>0</v>
      </c>
      <c r="W12" s="100">
        <v>11</v>
      </c>
      <c r="X12" s="131">
        <f t="shared" ca="1" si="31"/>
        <v>46500</v>
      </c>
      <c r="Y12" s="102">
        <f t="shared" si="32"/>
        <v>0</v>
      </c>
      <c r="Z12" s="102">
        <f t="shared" si="33"/>
        <v>0</v>
      </c>
      <c r="AA12" s="102">
        <f t="shared" si="49"/>
        <v>0</v>
      </c>
      <c r="AB12" s="102">
        <f t="shared" si="9"/>
        <v>0</v>
      </c>
      <c r="AH12" s="100">
        <v>11</v>
      </c>
      <c r="AI12" s="131">
        <f t="shared" ca="1" si="34"/>
        <v>46500</v>
      </c>
      <c r="AJ12" s="102">
        <f t="shared" si="35"/>
        <v>0</v>
      </c>
      <c r="AK12" s="102">
        <f t="shared" si="36"/>
        <v>0</v>
      </c>
      <c r="AL12" s="102">
        <f t="shared" si="50"/>
        <v>0</v>
      </c>
      <c r="AM12" s="102">
        <f t="shared" si="10"/>
        <v>0</v>
      </c>
      <c r="AS12" s="530">
        <v>11</v>
      </c>
      <c r="AT12" s="531">
        <f t="shared" ca="1" si="37"/>
        <v>46500</v>
      </c>
      <c r="AU12" s="532">
        <f ca="1">IF(AU11=0,SUMIFS('Key Life Events'!$L$3:$L$28,'Key Life Events'!$H$3:$H$28,'Loan Amortization'!$AY$3,'Key Life Events'!$N$3:$N$28,'Loan Amortization'!AT12),AU11-AX11)</f>
        <v>0</v>
      </c>
      <c r="AV12" s="532">
        <f t="shared" ca="1" si="38"/>
        <v>0</v>
      </c>
      <c r="AW12" s="532">
        <f t="shared" ca="1" si="2"/>
        <v>0</v>
      </c>
      <c r="AX12" s="532">
        <f t="shared" ca="1" si="11"/>
        <v>0</v>
      </c>
      <c r="BC12" s="536">
        <f t="shared" ca="1" si="12"/>
        <v>2027</v>
      </c>
      <c r="BD12" s="534">
        <f ca="1"/>
        <v>47810</v>
      </c>
      <c r="BF12" s="530">
        <v>11</v>
      </c>
      <c r="BG12" s="531">
        <f t="shared" ca="1" si="39"/>
        <v>46500</v>
      </c>
      <c r="BH12" s="532">
        <f ca="1">IF(BH11=0,SUMIFS('Key Life Events'!$L$3:$L$28,'Key Life Events'!$H$3:$H$28,'Loan Amortization'!$BL$3,'Key Life Events'!$N$3:$N$28,'Loan Amortization'!BG12),BH11-BK11)</f>
        <v>0</v>
      </c>
      <c r="BI12" s="532">
        <f t="shared" ca="1" si="40"/>
        <v>0</v>
      </c>
      <c r="BJ12" s="532">
        <f t="shared" ca="1" si="41"/>
        <v>0</v>
      </c>
      <c r="BK12" s="532">
        <f t="shared" ca="1" si="13"/>
        <v>0</v>
      </c>
      <c r="BP12" s="536">
        <f t="shared" ca="1" si="14"/>
        <v>2027</v>
      </c>
      <c r="BQ12" s="534">
        <f ca="1"/>
        <v>0</v>
      </c>
      <c r="BS12" s="530">
        <v>11</v>
      </c>
      <c r="BT12" s="531">
        <f t="shared" ca="1" si="42"/>
        <v>46500</v>
      </c>
      <c r="BU12" s="532">
        <f ca="1">IF(BU11=0,SUMIFS('Key Life Events'!$L$3:$L$28,'Key Life Events'!$H$3:$H$28,'Loan Amortization'!$BY$3,'Key Life Events'!$N$3:$N$28,'Loan Amortization'!BT12),BU11-BX11)</f>
        <v>0</v>
      </c>
      <c r="BV12" s="532">
        <f t="shared" ca="1" si="48"/>
        <v>0</v>
      </c>
      <c r="BW12" s="532">
        <f t="shared" ca="1" si="43"/>
        <v>0</v>
      </c>
      <c r="BX12" s="532">
        <f t="shared" ca="1" si="15"/>
        <v>0</v>
      </c>
      <c r="CC12" s="536">
        <f t="shared" ca="1" si="16"/>
        <v>2027</v>
      </c>
      <c r="CD12" s="534">
        <f ca="1"/>
        <v>0</v>
      </c>
      <c r="CF12" s="530">
        <v>11</v>
      </c>
      <c r="CG12" s="531">
        <f t="shared" ca="1" si="44"/>
        <v>46500</v>
      </c>
      <c r="CH12" s="532">
        <f ca="1">IF(CH11=0,SUMIFS('Key Life Events'!$L$3:$L$28,'Key Life Events'!$H$3:$H$28,'Loan Amortization'!$CL$3,'Key Life Events'!$N$3:$N$28,'Loan Amortization'!CG12),CH11-CK11)</f>
        <v>0</v>
      </c>
      <c r="CI12" s="532">
        <f t="shared" ca="1" si="45"/>
        <v>0</v>
      </c>
      <c r="CJ12" s="532">
        <f t="shared" ca="1" si="46"/>
        <v>0</v>
      </c>
      <c r="CK12" s="532">
        <f t="shared" ca="1" si="17"/>
        <v>0</v>
      </c>
      <c r="CP12" s="536">
        <f t="shared" ca="1" si="18"/>
        <v>2027</v>
      </c>
      <c r="CQ12" s="534">
        <f ca="1"/>
        <v>0</v>
      </c>
      <c r="CS12" s="100">
        <f t="shared" si="19"/>
        <v>11</v>
      </c>
      <c r="CT12" s="102">
        <f t="shared" ca="1" si="20"/>
        <v>735327.61700791877</v>
      </c>
      <c r="CU12" s="102">
        <f t="shared" ca="1" si="21"/>
        <v>47440</v>
      </c>
      <c r="CV12" s="511">
        <f t="shared" ca="1" si="22"/>
        <v>2027</v>
      </c>
      <c r="CW12" s="1">
        <f t="shared" si="47"/>
        <v>121</v>
      </c>
      <c r="CX12" s="99">
        <f t="shared" ca="1" si="23"/>
        <v>0</v>
      </c>
    </row>
    <row r="13" spans="1:102" x14ac:dyDescent="0.3">
      <c r="A13" s="100">
        <v>12</v>
      </c>
      <c r="B13" s="131">
        <f t="shared" si="24"/>
        <v>46290</v>
      </c>
      <c r="C13" s="102">
        <f t="shared" si="25"/>
        <v>693341.29683406081</v>
      </c>
      <c r="D13" s="102">
        <f t="shared" si="26"/>
        <v>47440</v>
      </c>
      <c r="E13" s="102">
        <f t="shared" si="6"/>
        <v>5142.2812848526173</v>
      </c>
      <c r="F13" s="102">
        <f t="shared" si="27"/>
        <v>42297.718715147385</v>
      </c>
      <c r="L13" s="100">
        <v>12</v>
      </c>
      <c r="M13" s="131">
        <f t="shared" ca="1" si="28"/>
        <v>46530</v>
      </c>
      <c r="N13" s="102">
        <f t="shared" si="29"/>
        <v>0</v>
      </c>
      <c r="O13" s="102">
        <f t="shared" si="30"/>
        <v>0</v>
      </c>
      <c r="P13" s="102">
        <f t="shared" si="7"/>
        <v>0</v>
      </c>
      <c r="Q13" s="102">
        <f t="shared" si="8"/>
        <v>0</v>
      </c>
      <c r="W13" s="100">
        <v>12</v>
      </c>
      <c r="X13" s="131">
        <f t="shared" ca="1" si="31"/>
        <v>46530</v>
      </c>
      <c r="Y13" s="102">
        <f t="shared" si="32"/>
        <v>0</v>
      </c>
      <c r="Z13" s="102">
        <f t="shared" si="33"/>
        <v>0</v>
      </c>
      <c r="AA13" s="102">
        <f t="shared" si="49"/>
        <v>0</v>
      </c>
      <c r="AB13" s="102">
        <f t="shared" si="9"/>
        <v>0</v>
      </c>
      <c r="AH13" s="100">
        <v>12</v>
      </c>
      <c r="AI13" s="131">
        <f t="shared" ca="1" si="34"/>
        <v>46530</v>
      </c>
      <c r="AJ13" s="102">
        <f t="shared" si="35"/>
        <v>0</v>
      </c>
      <c r="AK13" s="102">
        <f t="shared" si="36"/>
        <v>0</v>
      </c>
      <c r="AL13" s="102">
        <f t="shared" si="50"/>
        <v>0</v>
      </c>
      <c r="AM13" s="102">
        <f t="shared" si="10"/>
        <v>0</v>
      </c>
      <c r="AS13" s="530">
        <v>12</v>
      </c>
      <c r="AT13" s="531">
        <f t="shared" ca="1" si="37"/>
        <v>46530</v>
      </c>
      <c r="AU13" s="532">
        <f ca="1">IF(AU12=0,SUMIFS('Key Life Events'!$L$3:$L$28,'Key Life Events'!$H$3:$H$28,'Loan Amortization'!$AY$3,'Key Life Events'!$N$3:$N$28,'Loan Amortization'!AT13),AU12-AX12)</f>
        <v>0</v>
      </c>
      <c r="AV13" s="532">
        <f t="shared" ca="1" si="38"/>
        <v>0</v>
      </c>
      <c r="AW13" s="532">
        <f t="shared" ca="1" si="2"/>
        <v>0</v>
      </c>
      <c r="AX13" s="532">
        <f t="shared" ca="1" si="11"/>
        <v>0</v>
      </c>
      <c r="BC13" s="536">
        <f t="shared" ca="1" si="12"/>
        <v>2027</v>
      </c>
      <c r="BD13" s="534">
        <f ca="1"/>
        <v>47840</v>
      </c>
      <c r="BF13" s="530">
        <v>12</v>
      </c>
      <c r="BG13" s="531">
        <f t="shared" ca="1" si="39"/>
        <v>46530</v>
      </c>
      <c r="BH13" s="532">
        <f ca="1">IF(BH12=0,SUMIFS('Key Life Events'!$L$3:$L$28,'Key Life Events'!$H$3:$H$28,'Loan Amortization'!$BL$3,'Key Life Events'!$N$3:$N$28,'Loan Amortization'!BG13),BH12-BK12)</f>
        <v>0</v>
      </c>
      <c r="BI13" s="532">
        <f t="shared" ca="1" si="40"/>
        <v>0</v>
      </c>
      <c r="BJ13" s="532">
        <f t="shared" ca="1" si="41"/>
        <v>0</v>
      </c>
      <c r="BK13" s="532">
        <f t="shared" ca="1" si="13"/>
        <v>0</v>
      </c>
      <c r="BP13" s="536">
        <f t="shared" ca="1" si="14"/>
        <v>2027</v>
      </c>
      <c r="BQ13" s="534">
        <f ca="1"/>
        <v>0</v>
      </c>
      <c r="BS13" s="530">
        <v>12</v>
      </c>
      <c r="BT13" s="531">
        <f t="shared" ca="1" si="42"/>
        <v>46530</v>
      </c>
      <c r="BU13" s="532">
        <f ca="1">IF(BU12=0,SUMIFS('Key Life Events'!$L$3:$L$28,'Key Life Events'!$H$3:$H$28,'Loan Amortization'!$BY$3,'Key Life Events'!$N$3:$N$28,'Loan Amortization'!BT13),BU12-BX12)</f>
        <v>0</v>
      </c>
      <c r="BV13" s="532">
        <f t="shared" ca="1" si="48"/>
        <v>0</v>
      </c>
      <c r="BW13" s="532">
        <f t="shared" ca="1" si="43"/>
        <v>0</v>
      </c>
      <c r="BX13" s="532">
        <f t="shared" ca="1" si="15"/>
        <v>0</v>
      </c>
      <c r="CC13" s="536">
        <f t="shared" ca="1" si="16"/>
        <v>2027</v>
      </c>
      <c r="CD13" s="534">
        <f ca="1"/>
        <v>0</v>
      </c>
      <c r="CF13" s="530">
        <v>12</v>
      </c>
      <c r="CG13" s="531">
        <f t="shared" ca="1" si="44"/>
        <v>46530</v>
      </c>
      <c r="CH13" s="532">
        <f ca="1">IF(CH12=0,SUMIFS('Key Life Events'!$L$3:$L$28,'Key Life Events'!$H$3:$H$28,'Loan Amortization'!$CL$3,'Key Life Events'!$N$3:$N$28,'Loan Amortization'!CG13),CH12-CK12)</f>
        <v>0</v>
      </c>
      <c r="CI13" s="532">
        <f t="shared" ca="1" si="45"/>
        <v>0</v>
      </c>
      <c r="CJ13" s="532">
        <f t="shared" ca="1" si="46"/>
        <v>0</v>
      </c>
      <c r="CK13" s="532">
        <f t="shared" ca="1" si="17"/>
        <v>0</v>
      </c>
      <c r="CP13" s="536">
        <f t="shared" ca="1" si="18"/>
        <v>2027</v>
      </c>
      <c r="CQ13" s="534">
        <f ca="1"/>
        <v>0</v>
      </c>
      <c r="CS13" s="100">
        <f t="shared" si="19"/>
        <v>12</v>
      </c>
      <c r="CT13" s="102">
        <f t="shared" ca="1" si="20"/>
        <v>693341.29683406081</v>
      </c>
      <c r="CU13" s="102">
        <f t="shared" ca="1" si="21"/>
        <v>47440</v>
      </c>
      <c r="CV13" s="511">
        <f t="shared" ca="1" si="22"/>
        <v>2027</v>
      </c>
      <c r="CW13" s="1">
        <f t="shared" si="47"/>
        <v>133</v>
      </c>
      <c r="CX13" s="99">
        <f t="shared" ca="1" si="23"/>
        <v>0</v>
      </c>
    </row>
    <row r="14" spans="1:102" x14ac:dyDescent="0.3">
      <c r="A14" s="100">
        <v>13</v>
      </c>
      <c r="B14" s="131">
        <f t="shared" si="24"/>
        <v>46320</v>
      </c>
      <c r="C14" s="102">
        <f t="shared" si="25"/>
        <v>651043.57811891346</v>
      </c>
      <c r="D14" s="102">
        <f t="shared" si="26"/>
        <v>47440</v>
      </c>
      <c r="E14" s="102">
        <f t="shared" si="6"/>
        <v>4828.5732043819417</v>
      </c>
      <c r="F14" s="102">
        <f t="shared" si="27"/>
        <v>42611.426795618056</v>
      </c>
      <c r="L14" s="100">
        <v>13</v>
      </c>
      <c r="M14" s="131">
        <f t="shared" ca="1" si="28"/>
        <v>46561</v>
      </c>
      <c r="N14" s="102">
        <f t="shared" si="29"/>
        <v>0</v>
      </c>
      <c r="O14" s="102">
        <f t="shared" si="30"/>
        <v>0</v>
      </c>
      <c r="P14" s="102">
        <f t="shared" si="7"/>
        <v>0</v>
      </c>
      <c r="Q14" s="102">
        <f t="shared" si="8"/>
        <v>0</v>
      </c>
      <c r="W14" s="100">
        <v>13</v>
      </c>
      <c r="X14" s="131">
        <f t="shared" ca="1" si="31"/>
        <v>46561</v>
      </c>
      <c r="Y14" s="102">
        <f t="shared" si="32"/>
        <v>0</v>
      </c>
      <c r="Z14" s="102">
        <f t="shared" si="33"/>
        <v>0</v>
      </c>
      <c r="AA14" s="102">
        <f t="shared" si="49"/>
        <v>0</v>
      </c>
      <c r="AB14" s="102">
        <f t="shared" si="9"/>
        <v>0</v>
      </c>
      <c r="AH14" s="100">
        <v>13</v>
      </c>
      <c r="AI14" s="131">
        <f t="shared" ca="1" si="34"/>
        <v>46561</v>
      </c>
      <c r="AJ14" s="102">
        <f t="shared" si="35"/>
        <v>0</v>
      </c>
      <c r="AK14" s="102">
        <f t="shared" si="36"/>
        <v>0</v>
      </c>
      <c r="AL14" s="102">
        <f t="shared" si="50"/>
        <v>0</v>
      </c>
      <c r="AM14" s="102">
        <f t="shared" si="10"/>
        <v>0</v>
      </c>
      <c r="AS14" s="530">
        <v>13</v>
      </c>
      <c r="AT14" s="531">
        <f t="shared" ca="1" si="37"/>
        <v>46561</v>
      </c>
      <c r="AU14" s="532">
        <f ca="1">IF(AU13=0,SUMIFS('Key Life Events'!$L$3:$L$28,'Key Life Events'!$H$3:$H$28,'Loan Amortization'!$AY$3,'Key Life Events'!$N$3:$N$28,'Loan Amortization'!AT14),AU13-AX13)</f>
        <v>0</v>
      </c>
      <c r="AV14" s="532">
        <f t="shared" ca="1" si="38"/>
        <v>0</v>
      </c>
      <c r="AW14" s="532">
        <f t="shared" ca="1" si="2"/>
        <v>0</v>
      </c>
      <c r="AX14" s="532">
        <f t="shared" ca="1" si="11"/>
        <v>0</v>
      </c>
      <c r="BC14" s="536">
        <f t="shared" ca="1" si="12"/>
        <v>2027</v>
      </c>
      <c r="BF14" s="530">
        <v>13</v>
      </c>
      <c r="BG14" s="531">
        <f t="shared" ca="1" si="39"/>
        <v>46561</v>
      </c>
      <c r="BH14" s="532">
        <f ca="1">IF(BH13=0,SUMIFS('Key Life Events'!$L$3:$L$28,'Key Life Events'!$H$3:$H$28,'Loan Amortization'!$BL$3,'Key Life Events'!$N$3:$N$28,'Loan Amortization'!BG14),BH13-BK13)</f>
        <v>0</v>
      </c>
      <c r="BI14" s="532">
        <f t="shared" ca="1" si="40"/>
        <v>0</v>
      </c>
      <c r="BJ14" s="532">
        <f t="shared" ca="1" si="41"/>
        <v>0</v>
      </c>
      <c r="BK14" s="532">
        <f t="shared" ca="1" si="13"/>
        <v>0</v>
      </c>
      <c r="BP14" s="536">
        <f t="shared" ca="1" si="14"/>
        <v>2027</v>
      </c>
      <c r="BQ14" s="535">
        <f ca="1"/>
        <v>0</v>
      </c>
      <c r="BS14" s="530">
        <v>13</v>
      </c>
      <c r="BT14" s="531">
        <f t="shared" ca="1" si="42"/>
        <v>46561</v>
      </c>
      <c r="BU14" s="532">
        <f ca="1">IF(BU13=0,SUMIFS('Key Life Events'!$L$3:$L$28,'Key Life Events'!$H$3:$H$28,'Loan Amortization'!$BY$3,'Key Life Events'!$N$3:$N$28,'Loan Amortization'!BT14),BU13-BX13)</f>
        <v>0</v>
      </c>
      <c r="BV14" s="532">
        <f t="shared" ca="1" si="48"/>
        <v>0</v>
      </c>
      <c r="BW14" s="532">
        <f t="shared" ca="1" si="43"/>
        <v>0</v>
      </c>
      <c r="BX14" s="532">
        <f t="shared" ca="1" si="15"/>
        <v>0</v>
      </c>
      <c r="CC14" s="536">
        <f t="shared" ca="1" si="16"/>
        <v>2027</v>
      </c>
      <c r="CD14" s="535">
        <f ca="1"/>
        <v>0</v>
      </c>
      <c r="CF14" s="530">
        <v>13</v>
      </c>
      <c r="CG14" s="531">
        <f t="shared" ca="1" si="44"/>
        <v>46561</v>
      </c>
      <c r="CH14" s="532">
        <f ca="1">IF(CH13=0,SUMIFS('Key Life Events'!$L$3:$L$28,'Key Life Events'!$H$3:$H$28,'Loan Amortization'!$CL$3,'Key Life Events'!$N$3:$N$28,'Loan Amortization'!CG14),CH13-CK13)</f>
        <v>0</v>
      </c>
      <c r="CI14" s="532">
        <f t="shared" ca="1" si="45"/>
        <v>0</v>
      </c>
      <c r="CJ14" s="532">
        <f t="shared" ca="1" si="46"/>
        <v>0</v>
      </c>
      <c r="CK14" s="532">
        <f t="shared" ca="1" si="17"/>
        <v>0</v>
      </c>
      <c r="CP14" s="536">
        <f t="shared" ca="1" si="18"/>
        <v>2027</v>
      </c>
      <c r="CQ14" s="535">
        <f ca="1"/>
        <v>0</v>
      </c>
      <c r="CS14" s="100">
        <f t="shared" si="19"/>
        <v>13</v>
      </c>
      <c r="CT14" s="102">
        <f t="shared" ca="1" si="20"/>
        <v>651043.57811891346</v>
      </c>
      <c r="CU14" s="102">
        <f t="shared" ca="1" si="21"/>
        <v>47440</v>
      </c>
      <c r="CV14" s="511">
        <f t="shared" ca="1" si="22"/>
        <v>2027</v>
      </c>
      <c r="CW14" s="1">
        <f t="shared" si="47"/>
        <v>145</v>
      </c>
      <c r="CX14" s="99">
        <f t="shared" ca="1" si="23"/>
        <v>0</v>
      </c>
    </row>
    <row r="15" spans="1:102" x14ac:dyDescent="0.3">
      <c r="A15" s="100">
        <v>14</v>
      </c>
      <c r="B15" s="131">
        <f t="shared" si="24"/>
        <v>46351</v>
      </c>
      <c r="C15" s="102">
        <f t="shared" si="25"/>
        <v>608432.15132329543</v>
      </c>
      <c r="D15" s="102">
        <f t="shared" si="26"/>
        <v>47440</v>
      </c>
      <c r="E15" s="102">
        <f t="shared" si="6"/>
        <v>4512.5384556477738</v>
      </c>
      <c r="F15" s="102">
        <f t="shared" si="27"/>
        <v>42927.461544352227</v>
      </c>
      <c r="L15" s="100">
        <v>14</v>
      </c>
      <c r="M15" s="131">
        <f t="shared" ca="1" si="28"/>
        <v>46591</v>
      </c>
      <c r="N15" s="102">
        <f t="shared" si="29"/>
        <v>0</v>
      </c>
      <c r="O15" s="102">
        <f t="shared" si="30"/>
        <v>0</v>
      </c>
      <c r="P15" s="102">
        <f t="shared" si="7"/>
        <v>0</v>
      </c>
      <c r="Q15" s="102">
        <f t="shared" si="8"/>
        <v>0</v>
      </c>
      <c r="W15" s="100">
        <v>14</v>
      </c>
      <c r="X15" s="131">
        <f t="shared" ca="1" si="31"/>
        <v>46591</v>
      </c>
      <c r="Y15" s="102">
        <f t="shared" si="32"/>
        <v>0</v>
      </c>
      <c r="Z15" s="102">
        <f t="shared" si="33"/>
        <v>0</v>
      </c>
      <c r="AA15" s="102">
        <f t="shared" si="49"/>
        <v>0</v>
      </c>
      <c r="AB15" s="102">
        <f t="shared" si="9"/>
        <v>0</v>
      </c>
      <c r="AH15" s="100">
        <v>14</v>
      </c>
      <c r="AI15" s="131">
        <f t="shared" ca="1" si="34"/>
        <v>46591</v>
      </c>
      <c r="AJ15" s="102">
        <f t="shared" si="35"/>
        <v>0</v>
      </c>
      <c r="AK15" s="102">
        <f t="shared" si="36"/>
        <v>0</v>
      </c>
      <c r="AL15" s="102">
        <f t="shared" si="50"/>
        <v>0</v>
      </c>
      <c r="AM15" s="102">
        <f t="shared" si="10"/>
        <v>0</v>
      </c>
      <c r="AS15" s="530">
        <v>14</v>
      </c>
      <c r="AT15" s="531">
        <f t="shared" ca="1" si="37"/>
        <v>46591</v>
      </c>
      <c r="AU15" s="532">
        <f ca="1">IF(AU14=0,SUMIFS('Key Life Events'!$L$3:$L$28,'Key Life Events'!$H$3:$H$28,'Loan Amortization'!$AY$3,'Key Life Events'!$N$3:$N$28,'Loan Amortization'!AT15),AU14-AX14)</f>
        <v>0</v>
      </c>
      <c r="AV15" s="532">
        <f t="shared" ca="1" si="38"/>
        <v>0</v>
      </c>
      <c r="AW15" s="532">
        <f t="shared" ca="1" si="2"/>
        <v>0</v>
      </c>
      <c r="AX15" s="532">
        <f t="shared" ca="1" si="11"/>
        <v>0</v>
      </c>
      <c r="BC15" s="536">
        <f t="shared" ca="1" si="12"/>
        <v>2027</v>
      </c>
      <c r="BF15" s="530">
        <v>14</v>
      </c>
      <c r="BG15" s="531">
        <f t="shared" ca="1" si="39"/>
        <v>46591</v>
      </c>
      <c r="BH15" s="532">
        <f ca="1">IF(BH14=0,SUMIFS('Key Life Events'!$L$3:$L$28,'Key Life Events'!$H$3:$H$28,'Loan Amortization'!$BL$3,'Key Life Events'!$N$3:$N$28,'Loan Amortization'!BG15),BH14-BK14)</f>
        <v>0</v>
      </c>
      <c r="BI15" s="532">
        <f t="shared" ca="1" si="40"/>
        <v>0</v>
      </c>
      <c r="BJ15" s="532">
        <f t="shared" ca="1" si="41"/>
        <v>0</v>
      </c>
      <c r="BK15" s="532">
        <f t="shared" ca="1" si="13"/>
        <v>0</v>
      </c>
      <c r="BP15" s="536">
        <f t="shared" ca="1" si="14"/>
        <v>2027</v>
      </c>
      <c r="BQ15" s="535">
        <f ca="1"/>
        <v>0</v>
      </c>
      <c r="BS15" s="530">
        <v>14</v>
      </c>
      <c r="BT15" s="531">
        <f t="shared" ca="1" si="42"/>
        <v>46591</v>
      </c>
      <c r="BU15" s="532">
        <f ca="1">IF(BU14=0,SUMIFS('Key Life Events'!$L$3:$L$28,'Key Life Events'!$H$3:$H$28,'Loan Amortization'!$BY$3,'Key Life Events'!$N$3:$N$28,'Loan Amortization'!BT15),BU14-BX14)</f>
        <v>0</v>
      </c>
      <c r="BV15" s="532">
        <f t="shared" ca="1" si="48"/>
        <v>0</v>
      </c>
      <c r="BW15" s="532">
        <f t="shared" ca="1" si="43"/>
        <v>0</v>
      </c>
      <c r="BX15" s="532">
        <f t="shared" ca="1" si="15"/>
        <v>0</v>
      </c>
      <c r="CC15" s="536">
        <f t="shared" ca="1" si="16"/>
        <v>2027</v>
      </c>
      <c r="CD15" s="535">
        <f ca="1"/>
        <v>0</v>
      </c>
      <c r="CF15" s="530">
        <v>14</v>
      </c>
      <c r="CG15" s="531">
        <f t="shared" ca="1" si="44"/>
        <v>46591</v>
      </c>
      <c r="CH15" s="532">
        <f ca="1">IF(CH14=0,SUMIFS('Key Life Events'!$L$3:$L$28,'Key Life Events'!$H$3:$H$28,'Loan Amortization'!$CL$3,'Key Life Events'!$N$3:$N$28,'Loan Amortization'!CG15),CH14-CK14)</f>
        <v>0</v>
      </c>
      <c r="CI15" s="532">
        <f t="shared" ca="1" si="45"/>
        <v>0</v>
      </c>
      <c r="CJ15" s="532">
        <f t="shared" ca="1" si="46"/>
        <v>0</v>
      </c>
      <c r="CK15" s="532">
        <f t="shared" ca="1" si="17"/>
        <v>0</v>
      </c>
      <c r="CP15" s="536">
        <f t="shared" ca="1" si="18"/>
        <v>2027</v>
      </c>
      <c r="CQ15" s="535">
        <f ca="1"/>
        <v>0</v>
      </c>
      <c r="CS15" s="100">
        <f t="shared" si="19"/>
        <v>14</v>
      </c>
      <c r="CT15" s="102">
        <f t="shared" ca="1" si="20"/>
        <v>608432.15132329543</v>
      </c>
      <c r="CU15" s="102">
        <f t="shared" ca="1" si="21"/>
        <v>47440</v>
      </c>
      <c r="CV15" s="511">
        <f t="shared" ca="1" si="22"/>
        <v>2027</v>
      </c>
      <c r="CW15" s="1">
        <f t="shared" si="47"/>
        <v>157</v>
      </c>
      <c r="CX15" s="99">
        <f t="shared" ca="1" si="23"/>
        <v>0</v>
      </c>
    </row>
    <row r="16" spans="1:102" x14ac:dyDescent="0.3">
      <c r="A16" s="100">
        <v>15</v>
      </c>
      <c r="B16" s="131">
        <f t="shared" si="24"/>
        <v>46381</v>
      </c>
      <c r="C16" s="102">
        <f t="shared" si="25"/>
        <v>565504.6897789432</v>
      </c>
      <c r="D16" s="102">
        <f t="shared" si="26"/>
        <v>47440</v>
      </c>
      <c r="E16" s="102">
        <f t="shared" si="6"/>
        <v>4194.159782527162</v>
      </c>
      <c r="F16" s="102">
        <f t="shared" si="27"/>
        <v>43245.84021747284</v>
      </c>
      <c r="L16" s="100">
        <v>15</v>
      </c>
      <c r="M16" s="131">
        <f t="shared" ca="1" si="28"/>
        <v>46622</v>
      </c>
      <c r="N16" s="102">
        <f t="shared" si="29"/>
        <v>0</v>
      </c>
      <c r="O16" s="102">
        <f t="shared" si="30"/>
        <v>0</v>
      </c>
      <c r="P16" s="102">
        <f t="shared" si="7"/>
        <v>0</v>
      </c>
      <c r="Q16" s="102">
        <f t="shared" si="8"/>
        <v>0</v>
      </c>
      <c r="W16" s="100">
        <v>15</v>
      </c>
      <c r="X16" s="131">
        <f t="shared" ca="1" si="31"/>
        <v>46622</v>
      </c>
      <c r="Y16" s="102">
        <f t="shared" si="32"/>
        <v>0</v>
      </c>
      <c r="Z16" s="102">
        <f t="shared" si="33"/>
        <v>0</v>
      </c>
      <c r="AA16" s="102">
        <f t="shared" si="49"/>
        <v>0</v>
      </c>
      <c r="AB16" s="102">
        <f t="shared" si="9"/>
        <v>0</v>
      </c>
      <c r="AH16" s="100">
        <v>15</v>
      </c>
      <c r="AI16" s="131">
        <f t="shared" ca="1" si="34"/>
        <v>46622</v>
      </c>
      <c r="AJ16" s="102">
        <f t="shared" si="35"/>
        <v>0</v>
      </c>
      <c r="AK16" s="102">
        <f t="shared" si="36"/>
        <v>0</v>
      </c>
      <c r="AL16" s="102">
        <f t="shared" si="50"/>
        <v>0</v>
      </c>
      <c r="AM16" s="102">
        <f t="shared" si="10"/>
        <v>0</v>
      </c>
      <c r="AS16" s="530">
        <v>15</v>
      </c>
      <c r="AT16" s="531">
        <f t="shared" ca="1" si="37"/>
        <v>46622</v>
      </c>
      <c r="AU16" s="532">
        <f ca="1">IF(AU15=0,SUMIFS('Key Life Events'!$L$3:$L$28,'Key Life Events'!$H$3:$H$28,'Loan Amortization'!$AY$3,'Key Life Events'!$N$3:$N$28,'Loan Amortization'!AT16),AU15-AX15)</f>
        <v>0</v>
      </c>
      <c r="AV16" s="532">
        <f t="shared" ca="1" si="38"/>
        <v>0</v>
      </c>
      <c r="AW16" s="532">
        <f t="shared" ca="1" si="2"/>
        <v>0</v>
      </c>
      <c r="AX16" s="532">
        <f t="shared" ca="1" si="11"/>
        <v>0</v>
      </c>
      <c r="BC16" s="536">
        <f t="shared" ca="1" si="12"/>
        <v>2027</v>
      </c>
      <c r="BF16" s="530">
        <v>15</v>
      </c>
      <c r="BG16" s="531">
        <f t="shared" ca="1" si="39"/>
        <v>46622</v>
      </c>
      <c r="BH16" s="532">
        <f ca="1">IF(BH15=0,SUMIFS('Key Life Events'!$L$3:$L$28,'Key Life Events'!$H$3:$H$28,'Loan Amortization'!$BL$3,'Key Life Events'!$N$3:$N$28,'Loan Amortization'!BG16),BH15-BK15)</f>
        <v>0</v>
      </c>
      <c r="BI16" s="532">
        <f t="shared" ca="1" si="40"/>
        <v>0</v>
      </c>
      <c r="BJ16" s="532">
        <f t="shared" ca="1" si="41"/>
        <v>0</v>
      </c>
      <c r="BK16" s="532">
        <f t="shared" ca="1" si="13"/>
        <v>0</v>
      </c>
      <c r="BP16" s="536">
        <f t="shared" ca="1" si="14"/>
        <v>2027</v>
      </c>
      <c r="BQ16" s="535">
        <f ca="1"/>
        <v>0</v>
      </c>
      <c r="BS16" s="530">
        <v>15</v>
      </c>
      <c r="BT16" s="531">
        <f t="shared" ca="1" si="42"/>
        <v>46622</v>
      </c>
      <c r="BU16" s="532">
        <f ca="1">IF(BU15=0,SUMIFS('Key Life Events'!$L$3:$L$28,'Key Life Events'!$H$3:$H$28,'Loan Amortization'!$BY$3,'Key Life Events'!$N$3:$N$28,'Loan Amortization'!BT16),BU15-BX15)</f>
        <v>0</v>
      </c>
      <c r="BV16" s="532">
        <f t="shared" ca="1" si="48"/>
        <v>0</v>
      </c>
      <c r="BW16" s="532">
        <f t="shared" ca="1" si="43"/>
        <v>0</v>
      </c>
      <c r="BX16" s="532">
        <f t="shared" ca="1" si="15"/>
        <v>0</v>
      </c>
      <c r="CC16" s="536">
        <f t="shared" ca="1" si="16"/>
        <v>2027</v>
      </c>
      <c r="CD16" s="535">
        <f ca="1"/>
        <v>0</v>
      </c>
      <c r="CF16" s="530">
        <v>15</v>
      </c>
      <c r="CG16" s="531">
        <f t="shared" ca="1" si="44"/>
        <v>46622</v>
      </c>
      <c r="CH16" s="532">
        <f ca="1">IF(CH15=0,SUMIFS('Key Life Events'!$L$3:$L$28,'Key Life Events'!$H$3:$H$28,'Loan Amortization'!$CL$3,'Key Life Events'!$N$3:$N$28,'Loan Amortization'!CG16),CH15-CK15)</f>
        <v>0</v>
      </c>
      <c r="CI16" s="532">
        <f t="shared" ca="1" si="45"/>
        <v>0</v>
      </c>
      <c r="CJ16" s="532">
        <f t="shared" ca="1" si="46"/>
        <v>0</v>
      </c>
      <c r="CK16" s="532">
        <f t="shared" ca="1" si="17"/>
        <v>0</v>
      </c>
      <c r="CP16" s="536">
        <f t="shared" ca="1" si="18"/>
        <v>2027</v>
      </c>
      <c r="CQ16" s="535">
        <f ca="1"/>
        <v>0</v>
      </c>
      <c r="CS16" s="100">
        <f t="shared" si="19"/>
        <v>15</v>
      </c>
      <c r="CT16" s="102">
        <f t="shared" ca="1" si="20"/>
        <v>565504.6897789432</v>
      </c>
      <c r="CU16" s="102">
        <f t="shared" ca="1" si="21"/>
        <v>47440</v>
      </c>
      <c r="CV16" s="511">
        <f t="shared" ca="1" si="22"/>
        <v>2027</v>
      </c>
      <c r="CW16" s="1">
        <f t="shared" si="47"/>
        <v>169</v>
      </c>
      <c r="CX16" s="99">
        <f t="shared" ca="1" si="23"/>
        <v>0</v>
      </c>
    </row>
    <row r="17" spans="1:102" x14ac:dyDescent="0.3">
      <c r="A17" s="100">
        <v>16</v>
      </c>
      <c r="B17" s="131">
        <f t="shared" si="24"/>
        <v>46412</v>
      </c>
      <c r="C17" s="102">
        <f t="shared" si="25"/>
        <v>522258.84956147033</v>
      </c>
      <c r="D17" s="102">
        <f t="shared" si="26"/>
        <v>47440</v>
      </c>
      <c r="E17" s="102">
        <f t="shared" si="6"/>
        <v>3873.4198009142383</v>
      </c>
      <c r="F17" s="102">
        <f t="shared" si="27"/>
        <v>43566.580199085758</v>
      </c>
      <c r="L17" s="100">
        <v>16</v>
      </c>
      <c r="M17" s="131">
        <f t="shared" ca="1" si="28"/>
        <v>46653</v>
      </c>
      <c r="N17" s="102">
        <f t="shared" si="29"/>
        <v>0</v>
      </c>
      <c r="O17" s="102">
        <f t="shared" si="30"/>
        <v>0</v>
      </c>
      <c r="P17" s="102">
        <f t="shared" si="7"/>
        <v>0</v>
      </c>
      <c r="Q17" s="102">
        <f t="shared" si="8"/>
        <v>0</v>
      </c>
      <c r="W17" s="100">
        <v>16</v>
      </c>
      <c r="X17" s="131">
        <f t="shared" ca="1" si="31"/>
        <v>46653</v>
      </c>
      <c r="Y17" s="102">
        <f t="shared" si="32"/>
        <v>0</v>
      </c>
      <c r="Z17" s="102">
        <f t="shared" si="33"/>
        <v>0</v>
      </c>
      <c r="AA17" s="102">
        <f t="shared" si="49"/>
        <v>0</v>
      </c>
      <c r="AB17" s="102">
        <f t="shared" si="9"/>
        <v>0</v>
      </c>
      <c r="AH17" s="100">
        <v>16</v>
      </c>
      <c r="AI17" s="131">
        <f t="shared" ca="1" si="34"/>
        <v>46653</v>
      </c>
      <c r="AJ17" s="102">
        <f t="shared" si="35"/>
        <v>0</v>
      </c>
      <c r="AK17" s="102">
        <f t="shared" si="36"/>
        <v>0</v>
      </c>
      <c r="AL17" s="102">
        <f t="shared" si="50"/>
        <v>0</v>
      </c>
      <c r="AM17" s="102">
        <f t="shared" si="10"/>
        <v>0</v>
      </c>
      <c r="AS17" s="530">
        <v>16</v>
      </c>
      <c r="AT17" s="531">
        <f t="shared" ca="1" si="37"/>
        <v>46653</v>
      </c>
      <c r="AU17" s="532">
        <f ca="1">IF(AU16=0,SUMIFS('Key Life Events'!$L$3:$L$28,'Key Life Events'!$H$3:$H$28,'Loan Amortization'!$AY$3,'Key Life Events'!$N$3:$N$28,'Loan Amortization'!AT17),AU16-AX16)</f>
        <v>0</v>
      </c>
      <c r="AV17" s="532">
        <f t="shared" ca="1" si="38"/>
        <v>0</v>
      </c>
      <c r="AW17" s="532">
        <f t="shared" ca="1" si="2"/>
        <v>0</v>
      </c>
      <c r="AX17" s="532">
        <f t="shared" ca="1" si="11"/>
        <v>0</v>
      </c>
      <c r="BC17" s="536">
        <f t="shared" ca="1" si="12"/>
        <v>2027</v>
      </c>
      <c r="BF17" s="530">
        <v>16</v>
      </c>
      <c r="BG17" s="531">
        <f t="shared" ca="1" si="39"/>
        <v>46653</v>
      </c>
      <c r="BH17" s="532">
        <f ca="1">IF(BH16=0,SUMIFS('Key Life Events'!$L$3:$L$28,'Key Life Events'!$H$3:$H$28,'Loan Amortization'!$BL$3,'Key Life Events'!$N$3:$N$28,'Loan Amortization'!BG17),BH16-BK16)</f>
        <v>0</v>
      </c>
      <c r="BI17" s="532">
        <f t="shared" ca="1" si="40"/>
        <v>0</v>
      </c>
      <c r="BJ17" s="532">
        <f t="shared" ca="1" si="41"/>
        <v>0</v>
      </c>
      <c r="BK17" s="532">
        <f t="shared" ca="1" si="13"/>
        <v>0</v>
      </c>
      <c r="BP17" s="536">
        <f t="shared" ca="1" si="14"/>
        <v>2027</v>
      </c>
      <c r="BQ17" s="535">
        <f ca="1"/>
        <v>0</v>
      </c>
      <c r="BS17" s="530">
        <v>16</v>
      </c>
      <c r="BT17" s="531">
        <f t="shared" ca="1" si="42"/>
        <v>46653</v>
      </c>
      <c r="BU17" s="532">
        <f ca="1">IF(BU16=0,SUMIFS('Key Life Events'!$L$3:$L$28,'Key Life Events'!$H$3:$H$28,'Loan Amortization'!$BY$3,'Key Life Events'!$N$3:$N$28,'Loan Amortization'!BT17),BU16-BX16)</f>
        <v>0</v>
      </c>
      <c r="BV17" s="532">
        <f t="shared" ca="1" si="48"/>
        <v>0</v>
      </c>
      <c r="BW17" s="532">
        <f t="shared" ca="1" si="43"/>
        <v>0</v>
      </c>
      <c r="BX17" s="532">
        <f t="shared" ca="1" si="15"/>
        <v>0</v>
      </c>
      <c r="CC17" s="536">
        <f t="shared" ca="1" si="16"/>
        <v>2027</v>
      </c>
      <c r="CD17" s="535">
        <f ca="1"/>
        <v>0</v>
      </c>
      <c r="CF17" s="530">
        <v>16</v>
      </c>
      <c r="CG17" s="531">
        <f t="shared" ca="1" si="44"/>
        <v>46653</v>
      </c>
      <c r="CH17" s="532">
        <f ca="1">IF(CH16=0,SUMIFS('Key Life Events'!$L$3:$L$28,'Key Life Events'!$H$3:$H$28,'Loan Amortization'!$CL$3,'Key Life Events'!$N$3:$N$28,'Loan Amortization'!CG17),CH16-CK16)</f>
        <v>0</v>
      </c>
      <c r="CI17" s="532">
        <f t="shared" ca="1" si="45"/>
        <v>0</v>
      </c>
      <c r="CJ17" s="532">
        <f t="shared" ca="1" si="46"/>
        <v>0</v>
      </c>
      <c r="CK17" s="532">
        <f t="shared" ca="1" si="17"/>
        <v>0</v>
      </c>
      <c r="CP17" s="536">
        <f t="shared" ca="1" si="18"/>
        <v>2027</v>
      </c>
      <c r="CQ17" s="535">
        <f ca="1"/>
        <v>0</v>
      </c>
      <c r="CS17" s="100">
        <f t="shared" si="19"/>
        <v>16</v>
      </c>
      <c r="CT17" s="102">
        <f t="shared" ca="1" si="20"/>
        <v>522258.84956147033</v>
      </c>
      <c r="CU17" s="102">
        <f t="shared" ca="1" si="21"/>
        <v>47440</v>
      </c>
      <c r="CV17" s="511">
        <f t="shared" ca="1" si="22"/>
        <v>2027</v>
      </c>
      <c r="CW17" s="1">
        <f t="shared" si="47"/>
        <v>181</v>
      </c>
      <c r="CX17" s="99">
        <f t="shared" ca="1" si="23"/>
        <v>0</v>
      </c>
    </row>
    <row r="18" spans="1:102" x14ac:dyDescent="0.3">
      <c r="A18" s="100">
        <v>17</v>
      </c>
      <c r="B18" s="131">
        <f t="shared" si="24"/>
        <v>46443</v>
      </c>
      <c r="C18" s="102">
        <f t="shared" si="25"/>
        <v>478692.26936238457</v>
      </c>
      <c r="D18" s="102">
        <f t="shared" si="26"/>
        <v>47440</v>
      </c>
      <c r="E18" s="102">
        <f t="shared" si="6"/>
        <v>3550.300997771019</v>
      </c>
      <c r="F18" s="102">
        <f t="shared" si="27"/>
        <v>43889.699002228983</v>
      </c>
      <c r="L18" s="100">
        <v>17</v>
      </c>
      <c r="M18" s="131">
        <f t="shared" ca="1" si="28"/>
        <v>46683</v>
      </c>
      <c r="N18" s="102">
        <f t="shared" si="29"/>
        <v>0</v>
      </c>
      <c r="O18" s="102">
        <f t="shared" si="30"/>
        <v>0</v>
      </c>
      <c r="P18" s="102">
        <f t="shared" si="7"/>
        <v>0</v>
      </c>
      <c r="Q18" s="102">
        <f t="shared" si="8"/>
        <v>0</v>
      </c>
      <c r="W18" s="100">
        <v>17</v>
      </c>
      <c r="X18" s="131">
        <f t="shared" ca="1" si="31"/>
        <v>46683</v>
      </c>
      <c r="Y18" s="102">
        <f t="shared" si="32"/>
        <v>0</v>
      </c>
      <c r="Z18" s="102">
        <f t="shared" si="33"/>
        <v>0</v>
      </c>
      <c r="AA18" s="102">
        <f t="shared" si="49"/>
        <v>0</v>
      </c>
      <c r="AB18" s="102">
        <f t="shared" si="9"/>
        <v>0</v>
      </c>
      <c r="AH18" s="100">
        <v>17</v>
      </c>
      <c r="AI18" s="131">
        <f t="shared" ca="1" si="34"/>
        <v>46683</v>
      </c>
      <c r="AJ18" s="102">
        <f t="shared" si="35"/>
        <v>0</v>
      </c>
      <c r="AK18" s="102">
        <f t="shared" si="36"/>
        <v>0</v>
      </c>
      <c r="AL18" s="102">
        <f t="shared" si="50"/>
        <v>0</v>
      </c>
      <c r="AM18" s="102">
        <f t="shared" si="10"/>
        <v>0</v>
      </c>
      <c r="AS18" s="530">
        <v>17</v>
      </c>
      <c r="AT18" s="531">
        <f t="shared" ca="1" si="37"/>
        <v>46683</v>
      </c>
      <c r="AU18" s="532">
        <f ca="1">IF(AU17=0,SUMIFS('Key Life Events'!$L$3:$L$28,'Key Life Events'!$H$3:$H$28,'Loan Amortization'!$AY$3,'Key Life Events'!$N$3:$N$28,'Loan Amortization'!AT18),AU17-AX17)</f>
        <v>0</v>
      </c>
      <c r="AV18" s="532">
        <f t="shared" ca="1" si="38"/>
        <v>0</v>
      </c>
      <c r="AW18" s="532">
        <f t="shared" ca="1" si="2"/>
        <v>0</v>
      </c>
      <c r="AX18" s="532">
        <f t="shared" ca="1" si="11"/>
        <v>0</v>
      </c>
      <c r="BC18" s="536">
        <f t="shared" ca="1" si="12"/>
        <v>2027</v>
      </c>
      <c r="BF18" s="530">
        <v>17</v>
      </c>
      <c r="BG18" s="531">
        <f t="shared" ca="1" si="39"/>
        <v>46683</v>
      </c>
      <c r="BH18" s="532">
        <f ca="1">IF(BH17=0,SUMIFS('Key Life Events'!$L$3:$L$28,'Key Life Events'!$H$3:$H$28,'Loan Amortization'!$BL$3,'Key Life Events'!$N$3:$N$28,'Loan Amortization'!BG18),BH17-BK17)</f>
        <v>0</v>
      </c>
      <c r="BI18" s="532">
        <f t="shared" ca="1" si="40"/>
        <v>0</v>
      </c>
      <c r="BJ18" s="532">
        <f t="shared" ca="1" si="41"/>
        <v>0</v>
      </c>
      <c r="BK18" s="532">
        <f t="shared" ca="1" si="13"/>
        <v>0</v>
      </c>
      <c r="BP18" s="536">
        <f t="shared" ca="1" si="14"/>
        <v>2027</v>
      </c>
      <c r="BQ18" s="535">
        <f ca="1"/>
        <v>0</v>
      </c>
      <c r="BS18" s="530">
        <v>17</v>
      </c>
      <c r="BT18" s="531">
        <f t="shared" ca="1" si="42"/>
        <v>46683</v>
      </c>
      <c r="BU18" s="532">
        <f ca="1">IF(BU17=0,SUMIFS('Key Life Events'!$L$3:$L$28,'Key Life Events'!$H$3:$H$28,'Loan Amortization'!$BY$3,'Key Life Events'!$N$3:$N$28,'Loan Amortization'!BT18),BU17-BX17)</f>
        <v>0</v>
      </c>
      <c r="BV18" s="532">
        <f t="shared" ca="1" si="48"/>
        <v>0</v>
      </c>
      <c r="BW18" s="532">
        <f t="shared" ca="1" si="43"/>
        <v>0</v>
      </c>
      <c r="BX18" s="532">
        <f t="shared" ca="1" si="15"/>
        <v>0</v>
      </c>
      <c r="CC18" s="536">
        <f t="shared" ca="1" si="16"/>
        <v>2027</v>
      </c>
      <c r="CD18" s="535">
        <f ca="1"/>
        <v>0</v>
      </c>
      <c r="CF18" s="530">
        <v>17</v>
      </c>
      <c r="CG18" s="531">
        <f t="shared" ca="1" si="44"/>
        <v>46683</v>
      </c>
      <c r="CH18" s="532">
        <f ca="1">IF(CH17=0,SUMIFS('Key Life Events'!$L$3:$L$28,'Key Life Events'!$H$3:$H$28,'Loan Amortization'!$CL$3,'Key Life Events'!$N$3:$N$28,'Loan Amortization'!CG18),CH17-CK17)</f>
        <v>0</v>
      </c>
      <c r="CI18" s="532">
        <f t="shared" ca="1" si="45"/>
        <v>0</v>
      </c>
      <c r="CJ18" s="532">
        <f t="shared" ca="1" si="46"/>
        <v>0</v>
      </c>
      <c r="CK18" s="532">
        <f t="shared" ca="1" si="17"/>
        <v>0</v>
      </c>
      <c r="CP18" s="536">
        <f t="shared" ca="1" si="18"/>
        <v>2027</v>
      </c>
      <c r="CQ18" s="535">
        <f ca="1"/>
        <v>0</v>
      </c>
      <c r="CS18" s="100">
        <f t="shared" si="19"/>
        <v>17</v>
      </c>
      <c r="CT18" s="102">
        <f t="shared" ca="1" si="20"/>
        <v>478692.26936238457</v>
      </c>
      <c r="CU18" s="102">
        <f t="shared" ca="1" si="21"/>
        <v>47440</v>
      </c>
      <c r="CV18" s="511">
        <f t="shared" ca="1" si="22"/>
        <v>2027</v>
      </c>
      <c r="CW18" s="1">
        <f t="shared" si="47"/>
        <v>193</v>
      </c>
      <c r="CX18" s="99">
        <f t="shared" ca="1" si="23"/>
        <v>0</v>
      </c>
    </row>
    <row r="19" spans="1:102" x14ac:dyDescent="0.3">
      <c r="A19" s="100">
        <v>18</v>
      </c>
      <c r="B19" s="131">
        <f t="shared" si="24"/>
        <v>46471</v>
      </c>
      <c r="C19" s="102">
        <f t="shared" si="25"/>
        <v>434802.5703601556</v>
      </c>
      <c r="D19" s="102">
        <f t="shared" si="26"/>
        <v>47440</v>
      </c>
      <c r="E19" s="102">
        <f t="shared" si="6"/>
        <v>3224.7857301711538</v>
      </c>
      <c r="F19" s="102">
        <f t="shared" si="27"/>
        <v>44215.214269828844</v>
      </c>
      <c r="L19" s="100">
        <v>18</v>
      </c>
      <c r="M19" s="131">
        <f t="shared" ca="1" si="28"/>
        <v>46714</v>
      </c>
      <c r="N19" s="102">
        <f t="shared" si="29"/>
        <v>0</v>
      </c>
      <c r="O19" s="102">
        <f t="shared" si="30"/>
        <v>0</v>
      </c>
      <c r="P19" s="102">
        <f t="shared" si="7"/>
        <v>0</v>
      </c>
      <c r="Q19" s="102">
        <f t="shared" si="8"/>
        <v>0</v>
      </c>
      <c r="W19" s="100">
        <v>18</v>
      </c>
      <c r="X19" s="131">
        <f t="shared" ca="1" si="31"/>
        <v>46714</v>
      </c>
      <c r="Y19" s="102">
        <f t="shared" si="32"/>
        <v>0</v>
      </c>
      <c r="Z19" s="102">
        <f t="shared" si="33"/>
        <v>0</v>
      </c>
      <c r="AA19" s="102">
        <f t="shared" si="49"/>
        <v>0</v>
      </c>
      <c r="AB19" s="102">
        <f t="shared" si="9"/>
        <v>0</v>
      </c>
      <c r="AH19" s="100">
        <v>18</v>
      </c>
      <c r="AI19" s="131">
        <f t="shared" ca="1" si="34"/>
        <v>46714</v>
      </c>
      <c r="AJ19" s="102">
        <f t="shared" si="35"/>
        <v>0</v>
      </c>
      <c r="AK19" s="102">
        <f t="shared" si="36"/>
        <v>0</v>
      </c>
      <c r="AL19" s="102">
        <f t="shared" si="50"/>
        <v>0</v>
      </c>
      <c r="AM19" s="102">
        <f t="shared" si="10"/>
        <v>0</v>
      </c>
      <c r="AS19" s="530">
        <v>18</v>
      </c>
      <c r="AT19" s="531">
        <f t="shared" ca="1" si="37"/>
        <v>46714</v>
      </c>
      <c r="AU19" s="532">
        <f ca="1">IF(AU18=0,SUMIFS('Key Life Events'!$L$3:$L$28,'Key Life Events'!$H$3:$H$28,'Loan Amortization'!$AY$3,'Key Life Events'!$N$3:$N$28,'Loan Amortization'!AT19),AU18-AX18)</f>
        <v>0</v>
      </c>
      <c r="AV19" s="532">
        <f t="shared" ca="1" si="38"/>
        <v>0</v>
      </c>
      <c r="AW19" s="532">
        <f t="shared" ca="1" si="2"/>
        <v>0</v>
      </c>
      <c r="AX19" s="532">
        <f t="shared" ca="1" si="11"/>
        <v>0</v>
      </c>
      <c r="BC19" s="536">
        <f t="shared" ca="1" si="12"/>
        <v>2027</v>
      </c>
      <c r="BF19" s="530">
        <v>18</v>
      </c>
      <c r="BG19" s="531">
        <f t="shared" ca="1" si="39"/>
        <v>46714</v>
      </c>
      <c r="BH19" s="532">
        <f ca="1">IF(BH18=0,SUMIFS('Key Life Events'!$L$3:$L$28,'Key Life Events'!$H$3:$H$28,'Loan Amortization'!$BL$3,'Key Life Events'!$N$3:$N$28,'Loan Amortization'!BG19),BH18-BK18)</f>
        <v>0</v>
      </c>
      <c r="BI19" s="532">
        <f t="shared" ca="1" si="40"/>
        <v>0</v>
      </c>
      <c r="BJ19" s="532">
        <f t="shared" ca="1" si="41"/>
        <v>0</v>
      </c>
      <c r="BK19" s="532">
        <f t="shared" ca="1" si="13"/>
        <v>0</v>
      </c>
      <c r="BP19" s="536">
        <f t="shared" ca="1" si="14"/>
        <v>2027</v>
      </c>
      <c r="BQ19" s="535">
        <f ca="1"/>
        <v>0</v>
      </c>
      <c r="BS19" s="530">
        <v>18</v>
      </c>
      <c r="BT19" s="531">
        <f t="shared" ca="1" si="42"/>
        <v>46714</v>
      </c>
      <c r="BU19" s="532">
        <f ca="1">IF(BU18=0,SUMIFS('Key Life Events'!$L$3:$L$28,'Key Life Events'!$H$3:$H$28,'Loan Amortization'!$BY$3,'Key Life Events'!$N$3:$N$28,'Loan Amortization'!BT19),BU18-BX18)</f>
        <v>0</v>
      </c>
      <c r="BV19" s="532">
        <f t="shared" ca="1" si="48"/>
        <v>0</v>
      </c>
      <c r="BW19" s="532">
        <f t="shared" ca="1" si="43"/>
        <v>0</v>
      </c>
      <c r="BX19" s="532">
        <f t="shared" ca="1" si="15"/>
        <v>0</v>
      </c>
      <c r="CC19" s="536">
        <f t="shared" ca="1" si="16"/>
        <v>2027</v>
      </c>
      <c r="CD19" s="535">
        <f ca="1"/>
        <v>0</v>
      </c>
      <c r="CF19" s="530">
        <v>18</v>
      </c>
      <c r="CG19" s="531">
        <f t="shared" ca="1" si="44"/>
        <v>46714</v>
      </c>
      <c r="CH19" s="532">
        <f ca="1">IF(CH18=0,SUMIFS('Key Life Events'!$L$3:$L$28,'Key Life Events'!$H$3:$H$28,'Loan Amortization'!$CL$3,'Key Life Events'!$N$3:$N$28,'Loan Amortization'!CG19),CH18-CK18)</f>
        <v>0</v>
      </c>
      <c r="CI19" s="532">
        <f t="shared" ca="1" si="45"/>
        <v>0</v>
      </c>
      <c r="CJ19" s="532">
        <f t="shared" ca="1" si="46"/>
        <v>0</v>
      </c>
      <c r="CK19" s="532">
        <f t="shared" ca="1" si="17"/>
        <v>0</v>
      </c>
      <c r="CP19" s="536">
        <f t="shared" ca="1" si="18"/>
        <v>2027</v>
      </c>
      <c r="CQ19" s="535">
        <f ca="1"/>
        <v>0</v>
      </c>
      <c r="CS19" s="100">
        <f t="shared" si="19"/>
        <v>18</v>
      </c>
      <c r="CT19" s="102">
        <f t="shared" ca="1" si="20"/>
        <v>434802.5703601556</v>
      </c>
      <c r="CU19" s="102">
        <f t="shared" ca="1" si="21"/>
        <v>47440</v>
      </c>
      <c r="CV19" s="511">
        <f t="shared" ca="1" si="22"/>
        <v>2027</v>
      </c>
      <c r="CW19" s="1">
        <f t="shared" si="47"/>
        <v>205</v>
      </c>
      <c r="CX19" s="99">
        <f t="shared" ca="1" si="23"/>
        <v>0</v>
      </c>
    </row>
    <row r="20" spans="1:102" x14ac:dyDescent="0.3">
      <c r="A20" s="100">
        <v>19</v>
      </c>
      <c r="B20" s="131">
        <f t="shared" si="24"/>
        <v>46502</v>
      </c>
      <c r="C20" s="102">
        <f t="shared" si="25"/>
        <v>390587.35609032674</v>
      </c>
      <c r="D20" s="102">
        <f t="shared" si="26"/>
        <v>47440</v>
      </c>
      <c r="E20" s="102">
        <f t="shared" si="6"/>
        <v>2896.85622433659</v>
      </c>
      <c r="F20" s="102">
        <f t="shared" si="27"/>
        <v>44543.143775663411</v>
      </c>
      <c r="L20" s="100">
        <v>19</v>
      </c>
      <c r="M20" s="131">
        <f t="shared" ca="1" si="28"/>
        <v>46744</v>
      </c>
      <c r="N20" s="102">
        <f t="shared" si="29"/>
        <v>0</v>
      </c>
      <c r="O20" s="102">
        <f t="shared" si="30"/>
        <v>0</v>
      </c>
      <c r="P20" s="102">
        <f t="shared" si="7"/>
        <v>0</v>
      </c>
      <c r="Q20" s="102">
        <f t="shared" si="8"/>
        <v>0</v>
      </c>
      <c r="W20" s="100">
        <v>19</v>
      </c>
      <c r="X20" s="131">
        <f t="shared" ca="1" si="31"/>
        <v>46744</v>
      </c>
      <c r="Y20" s="102">
        <f t="shared" si="32"/>
        <v>0</v>
      </c>
      <c r="Z20" s="102">
        <f t="shared" si="33"/>
        <v>0</v>
      </c>
      <c r="AA20" s="102">
        <f t="shared" si="49"/>
        <v>0</v>
      </c>
      <c r="AB20" s="102">
        <f t="shared" si="9"/>
        <v>0</v>
      </c>
      <c r="AH20" s="100">
        <v>19</v>
      </c>
      <c r="AI20" s="131">
        <f t="shared" ca="1" si="34"/>
        <v>46744</v>
      </c>
      <c r="AJ20" s="102">
        <f t="shared" si="35"/>
        <v>0</v>
      </c>
      <c r="AK20" s="102">
        <f t="shared" si="36"/>
        <v>0</v>
      </c>
      <c r="AL20" s="102">
        <f t="shared" si="50"/>
        <v>0</v>
      </c>
      <c r="AM20" s="102">
        <f t="shared" si="10"/>
        <v>0</v>
      </c>
      <c r="AS20" s="530">
        <v>19</v>
      </c>
      <c r="AT20" s="531">
        <f t="shared" ca="1" si="37"/>
        <v>46744</v>
      </c>
      <c r="AU20" s="532">
        <f ca="1">IF(AU19=0,SUMIFS('Key Life Events'!$L$3:$L$28,'Key Life Events'!$H$3:$H$28,'Loan Amortization'!$AY$3,'Key Life Events'!$N$3:$N$28,'Loan Amortization'!AT20),AU19-AX19)</f>
        <v>0</v>
      </c>
      <c r="AV20" s="532">
        <f t="shared" ca="1" si="38"/>
        <v>0</v>
      </c>
      <c r="AW20" s="532">
        <f t="shared" ca="1" si="2"/>
        <v>0</v>
      </c>
      <c r="AX20" s="532">
        <f t="shared" ca="1" si="11"/>
        <v>0</v>
      </c>
      <c r="BC20" s="536">
        <f t="shared" ca="1" si="12"/>
        <v>2027</v>
      </c>
      <c r="BF20" s="530">
        <v>19</v>
      </c>
      <c r="BG20" s="531">
        <f t="shared" ca="1" si="39"/>
        <v>46744</v>
      </c>
      <c r="BH20" s="532">
        <f ca="1">IF(BH19=0,SUMIFS('Key Life Events'!$L$3:$L$28,'Key Life Events'!$H$3:$H$28,'Loan Amortization'!$BL$3,'Key Life Events'!$N$3:$N$28,'Loan Amortization'!BG20),BH19-BK19)</f>
        <v>0</v>
      </c>
      <c r="BI20" s="532">
        <f t="shared" ca="1" si="40"/>
        <v>0</v>
      </c>
      <c r="BJ20" s="532">
        <f t="shared" ca="1" si="41"/>
        <v>0</v>
      </c>
      <c r="BK20" s="532">
        <f t="shared" ca="1" si="13"/>
        <v>0</v>
      </c>
      <c r="BP20" s="536">
        <f t="shared" ca="1" si="14"/>
        <v>2027</v>
      </c>
      <c r="BQ20" s="535">
        <f ca="1"/>
        <v>0</v>
      </c>
      <c r="BS20" s="530">
        <v>19</v>
      </c>
      <c r="BT20" s="531">
        <f t="shared" ca="1" si="42"/>
        <v>46744</v>
      </c>
      <c r="BU20" s="532">
        <f ca="1">IF(BU19=0,SUMIFS('Key Life Events'!$L$3:$L$28,'Key Life Events'!$H$3:$H$28,'Loan Amortization'!$BY$3,'Key Life Events'!$N$3:$N$28,'Loan Amortization'!BT20),BU19-BX19)</f>
        <v>0</v>
      </c>
      <c r="BV20" s="532">
        <f t="shared" ca="1" si="48"/>
        <v>0</v>
      </c>
      <c r="BW20" s="532">
        <f t="shared" ca="1" si="43"/>
        <v>0</v>
      </c>
      <c r="BX20" s="532">
        <f t="shared" ca="1" si="15"/>
        <v>0</v>
      </c>
      <c r="CC20" s="536">
        <f t="shared" ca="1" si="16"/>
        <v>2027</v>
      </c>
      <c r="CD20" s="535">
        <f ca="1"/>
        <v>0</v>
      </c>
      <c r="CF20" s="530">
        <v>19</v>
      </c>
      <c r="CG20" s="531">
        <f t="shared" ca="1" si="44"/>
        <v>46744</v>
      </c>
      <c r="CH20" s="532">
        <f ca="1">IF(CH19=0,SUMIFS('Key Life Events'!$L$3:$L$28,'Key Life Events'!$H$3:$H$28,'Loan Amortization'!$CL$3,'Key Life Events'!$N$3:$N$28,'Loan Amortization'!CG20),CH19-CK19)</f>
        <v>0</v>
      </c>
      <c r="CI20" s="532">
        <f t="shared" ca="1" si="45"/>
        <v>0</v>
      </c>
      <c r="CJ20" s="532">
        <f t="shared" ca="1" si="46"/>
        <v>0</v>
      </c>
      <c r="CK20" s="532">
        <f t="shared" ca="1" si="17"/>
        <v>0</v>
      </c>
      <c r="CP20" s="536">
        <f t="shared" ca="1" si="18"/>
        <v>2027</v>
      </c>
      <c r="CQ20" s="535">
        <f ca="1"/>
        <v>0</v>
      </c>
      <c r="CS20" s="100">
        <f t="shared" si="19"/>
        <v>19</v>
      </c>
      <c r="CT20" s="102">
        <f t="shared" ca="1" si="20"/>
        <v>390587.35609032674</v>
      </c>
      <c r="CU20" s="102">
        <f t="shared" ca="1" si="21"/>
        <v>47440</v>
      </c>
      <c r="CV20" s="511">
        <f t="shared" ca="1" si="22"/>
        <v>2027</v>
      </c>
      <c r="CW20" s="1">
        <f t="shared" si="47"/>
        <v>217</v>
      </c>
      <c r="CX20" s="99">
        <f t="shared" ca="1" si="23"/>
        <v>0</v>
      </c>
    </row>
    <row r="21" spans="1:102" x14ac:dyDescent="0.3">
      <c r="A21" s="100">
        <v>20</v>
      </c>
      <c r="B21" s="131">
        <f t="shared" si="24"/>
        <v>46532</v>
      </c>
      <c r="C21" s="102">
        <f t="shared" si="25"/>
        <v>346044.21231466334</v>
      </c>
      <c r="D21" s="102">
        <f t="shared" si="26"/>
        <v>47440</v>
      </c>
      <c r="E21" s="102">
        <f t="shared" si="6"/>
        <v>2566.4945746670865</v>
      </c>
      <c r="F21" s="102">
        <f t="shared" si="27"/>
        <v>44873.505425332914</v>
      </c>
      <c r="L21" s="100">
        <v>20</v>
      </c>
      <c r="M21" s="131">
        <f t="shared" ca="1" si="28"/>
        <v>46775</v>
      </c>
      <c r="N21" s="102">
        <f t="shared" si="29"/>
        <v>0</v>
      </c>
      <c r="O21" s="102">
        <f t="shared" si="30"/>
        <v>0</v>
      </c>
      <c r="P21" s="102">
        <f t="shared" si="7"/>
        <v>0</v>
      </c>
      <c r="Q21" s="102">
        <f t="shared" si="8"/>
        <v>0</v>
      </c>
      <c r="W21" s="100">
        <v>20</v>
      </c>
      <c r="X21" s="131">
        <f t="shared" ca="1" si="31"/>
        <v>46775</v>
      </c>
      <c r="Y21" s="102">
        <f t="shared" si="32"/>
        <v>0</v>
      </c>
      <c r="Z21" s="102">
        <f t="shared" si="33"/>
        <v>0</v>
      </c>
      <c r="AA21" s="102">
        <f t="shared" si="49"/>
        <v>0</v>
      </c>
      <c r="AB21" s="102">
        <f t="shared" si="9"/>
        <v>0</v>
      </c>
      <c r="AH21" s="100">
        <v>20</v>
      </c>
      <c r="AI21" s="131">
        <f t="shared" ca="1" si="34"/>
        <v>46775</v>
      </c>
      <c r="AJ21" s="102">
        <f t="shared" si="35"/>
        <v>0</v>
      </c>
      <c r="AK21" s="102">
        <f t="shared" si="36"/>
        <v>0</v>
      </c>
      <c r="AL21" s="102">
        <f t="shared" si="50"/>
        <v>0</v>
      </c>
      <c r="AM21" s="102">
        <f t="shared" si="10"/>
        <v>0</v>
      </c>
      <c r="AS21" s="530">
        <v>20</v>
      </c>
      <c r="AT21" s="531">
        <f t="shared" ca="1" si="37"/>
        <v>46775</v>
      </c>
      <c r="AU21" s="532">
        <f ca="1">IF(AU20=0,SUMIFS('Key Life Events'!$L$3:$L$28,'Key Life Events'!$H$3:$H$28,'Loan Amortization'!$AY$3,'Key Life Events'!$N$3:$N$28,'Loan Amortization'!AT21),AU20-AX20)</f>
        <v>0</v>
      </c>
      <c r="AV21" s="532">
        <f t="shared" ca="1" si="38"/>
        <v>0</v>
      </c>
      <c r="AW21" s="532">
        <f t="shared" ca="1" si="2"/>
        <v>0</v>
      </c>
      <c r="AX21" s="532">
        <f t="shared" ca="1" si="11"/>
        <v>0</v>
      </c>
      <c r="BC21" s="536">
        <f t="shared" ca="1" si="12"/>
        <v>2028</v>
      </c>
      <c r="BF21" s="530">
        <v>20</v>
      </c>
      <c r="BG21" s="531">
        <f t="shared" ca="1" si="39"/>
        <v>46775</v>
      </c>
      <c r="BH21" s="532">
        <f ca="1">IF(BH20=0,SUMIFS('Key Life Events'!$L$3:$L$28,'Key Life Events'!$H$3:$H$28,'Loan Amortization'!$BL$3,'Key Life Events'!$N$3:$N$28,'Loan Amortization'!BG21),BH20-BK20)</f>
        <v>0</v>
      </c>
      <c r="BI21" s="532">
        <f t="shared" ca="1" si="40"/>
        <v>0</v>
      </c>
      <c r="BJ21" s="532">
        <f t="shared" ca="1" si="41"/>
        <v>0</v>
      </c>
      <c r="BK21" s="532">
        <f t="shared" ca="1" si="13"/>
        <v>0</v>
      </c>
      <c r="BP21" s="536">
        <f t="shared" ca="1" si="14"/>
        <v>2028</v>
      </c>
      <c r="BQ21" s="535">
        <f ca="1"/>
        <v>0</v>
      </c>
      <c r="BS21" s="530">
        <v>20</v>
      </c>
      <c r="BT21" s="531">
        <f t="shared" ca="1" si="42"/>
        <v>46775</v>
      </c>
      <c r="BU21" s="532">
        <f ca="1">IF(BU20=0,SUMIFS('Key Life Events'!$L$3:$L$28,'Key Life Events'!$H$3:$H$28,'Loan Amortization'!$BY$3,'Key Life Events'!$N$3:$N$28,'Loan Amortization'!BT21),BU20-BX20)</f>
        <v>0</v>
      </c>
      <c r="BV21" s="532">
        <f t="shared" ca="1" si="48"/>
        <v>0</v>
      </c>
      <c r="BW21" s="532">
        <f t="shared" ca="1" si="43"/>
        <v>0</v>
      </c>
      <c r="BX21" s="532">
        <f t="shared" ca="1" si="15"/>
        <v>0</v>
      </c>
      <c r="CC21" s="536">
        <f t="shared" ca="1" si="16"/>
        <v>2028</v>
      </c>
      <c r="CD21" s="535">
        <f ca="1"/>
        <v>0</v>
      </c>
      <c r="CF21" s="530">
        <v>20</v>
      </c>
      <c r="CG21" s="531">
        <f t="shared" ca="1" si="44"/>
        <v>46775</v>
      </c>
      <c r="CH21" s="532">
        <f ca="1">IF(CH20=0,SUMIFS('Key Life Events'!$L$3:$L$28,'Key Life Events'!$H$3:$H$28,'Loan Amortization'!$CL$3,'Key Life Events'!$N$3:$N$28,'Loan Amortization'!CG21),CH20-CK20)</f>
        <v>0</v>
      </c>
      <c r="CI21" s="532">
        <f t="shared" ca="1" si="45"/>
        <v>0</v>
      </c>
      <c r="CJ21" s="532">
        <f t="shared" ca="1" si="46"/>
        <v>0</v>
      </c>
      <c r="CK21" s="532">
        <f t="shared" ca="1" si="17"/>
        <v>0</v>
      </c>
      <c r="CP21" s="536">
        <f t="shared" ca="1" si="18"/>
        <v>2028</v>
      </c>
      <c r="CQ21" s="535">
        <f ca="1"/>
        <v>0</v>
      </c>
      <c r="CS21" s="100">
        <f t="shared" si="19"/>
        <v>20</v>
      </c>
      <c r="CT21" s="102">
        <f t="shared" ca="1" si="20"/>
        <v>346044.21231466334</v>
      </c>
      <c r="CU21" s="102">
        <f t="shared" ca="1" si="21"/>
        <v>47440</v>
      </c>
      <c r="CV21" s="511">
        <f t="shared" ca="1" si="22"/>
        <v>2028</v>
      </c>
      <c r="CW21" s="1">
        <f t="shared" si="47"/>
        <v>229</v>
      </c>
      <c r="CX21" s="99">
        <f t="shared" ca="1" si="23"/>
        <v>0</v>
      </c>
    </row>
    <row r="22" spans="1:102" x14ac:dyDescent="0.3">
      <c r="A22" s="100">
        <v>21</v>
      </c>
      <c r="B22" s="131">
        <f t="shared" si="24"/>
        <v>46563</v>
      </c>
      <c r="C22" s="102">
        <f t="shared" si="25"/>
        <v>301170.70688933041</v>
      </c>
      <c r="D22" s="102">
        <f t="shared" si="26"/>
        <v>47440</v>
      </c>
      <c r="E22" s="102">
        <f t="shared" si="6"/>
        <v>2233.6827427625335</v>
      </c>
      <c r="F22" s="102">
        <f t="shared" si="27"/>
        <v>45206.317257237468</v>
      </c>
      <c r="L22" s="100">
        <v>21</v>
      </c>
      <c r="M22" s="131">
        <f t="shared" ca="1" si="28"/>
        <v>46806</v>
      </c>
      <c r="N22" s="102">
        <f t="shared" si="29"/>
        <v>0</v>
      </c>
      <c r="O22" s="102">
        <f t="shared" si="30"/>
        <v>0</v>
      </c>
      <c r="P22" s="102">
        <f t="shared" si="7"/>
        <v>0</v>
      </c>
      <c r="Q22" s="102">
        <f t="shared" si="8"/>
        <v>0</v>
      </c>
      <c r="W22" s="100">
        <v>21</v>
      </c>
      <c r="X22" s="131">
        <f t="shared" ca="1" si="31"/>
        <v>46806</v>
      </c>
      <c r="Y22" s="102">
        <f t="shared" si="32"/>
        <v>0</v>
      </c>
      <c r="Z22" s="102">
        <f t="shared" si="33"/>
        <v>0</v>
      </c>
      <c r="AA22" s="102">
        <f t="shared" si="49"/>
        <v>0</v>
      </c>
      <c r="AB22" s="102">
        <f t="shared" si="9"/>
        <v>0</v>
      </c>
      <c r="AH22" s="100">
        <v>21</v>
      </c>
      <c r="AI22" s="131">
        <f t="shared" ca="1" si="34"/>
        <v>46806</v>
      </c>
      <c r="AJ22" s="102">
        <f t="shared" si="35"/>
        <v>0</v>
      </c>
      <c r="AK22" s="102">
        <f t="shared" si="36"/>
        <v>0</v>
      </c>
      <c r="AL22" s="102">
        <f t="shared" si="50"/>
        <v>0</v>
      </c>
      <c r="AM22" s="102">
        <f t="shared" si="10"/>
        <v>0</v>
      </c>
      <c r="AS22" s="530">
        <v>21</v>
      </c>
      <c r="AT22" s="531">
        <f t="shared" ca="1" si="37"/>
        <v>46806</v>
      </c>
      <c r="AU22" s="532">
        <f ca="1">IF(AU21=0,SUMIFS('Key Life Events'!$L$3:$L$28,'Key Life Events'!$H$3:$H$28,'Loan Amortization'!$AY$3,'Key Life Events'!$N$3:$N$28,'Loan Amortization'!AT22),AU21-AX21)</f>
        <v>0</v>
      </c>
      <c r="AV22" s="532">
        <f t="shared" ca="1" si="38"/>
        <v>0</v>
      </c>
      <c r="AW22" s="532">
        <f t="shared" ca="1" si="2"/>
        <v>0</v>
      </c>
      <c r="AX22" s="532">
        <f t="shared" ca="1" si="11"/>
        <v>0</v>
      </c>
      <c r="BC22" s="536">
        <f t="shared" ca="1" si="12"/>
        <v>2028</v>
      </c>
      <c r="BF22" s="530">
        <v>21</v>
      </c>
      <c r="BG22" s="531">
        <f t="shared" ca="1" si="39"/>
        <v>46806</v>
      </c>
      <c r="BH22" s="532">
        <f ca="1">IF(BH21=0,SUMIFS('Key Life Events'!$L$3:$L$28,'Key Life Events'!$H$3:$H$28,'Loan Amortization'!$BL$3,'Key Life Events'!$N$3:$N$28,'Loan Amortization'!BG22),BH21-BK21)</f>
        <v>0</v>
      </c>
      <c r="BI22" s="532">
        <f t="shared" ca="1" si="40"/>
        <v>0</v>
      </c>
      <c r="BJ22" s="532">
        <f t="shared" ca="1" si="41"/>
        <v>0</v>
      </c>
      <c r="BK22" s="532">
        <f t="shared" ca="1" si="13"/>
        <v>0</v>
      </c>
      <c r="BP22" s="536">
        <f t="shared" ca="1" si="14"/>
        <v>2028</v>
      </c>
      <c r="BQ22" s="535">
        <f ca="1"/>
        <v>0</v>
      </c>
      <c r="BS22" s="530">
        <v>21</v>
      </c>
      <c r="BT22" s="531">
        <f t="shared" ca="1" si="42"/>
        <v>46806</v>
      </c>
      <c r="BU22" s="532">
        <f ca="1">IF(BU21=0,SUMIFS('Key Life Events'!$L$3:$L$28,'Key Life Events'!$H$3:$H$28,'Loan Amortization'!$BY$3,'Key Life Events'!$N$3:$N$28,'Loan Amortization'!BT22),BU21-BX21)</f>
        <v>0</v>
      </c>
      <c r="BV22" s="532">
        <f t="shared" ca="1" si="48"/>
        <v>0</v>
      </c>
      <c r="BW22" s="532">
        <f t="shared" ca="1" si="43"/>
        <v>0</v>
      </c>
      <c r="BX22" s="532">
        <f t="shared" ca="1" si="15"/>
        <v>0</v>
      </c>
      <c r="CC22" s="536">
        <f t="shared" ca="1" si="16"/>
        <v>2028</v>
      </c>
      <c r="CD22" s="535">
        <f ca="1"/>
        <v>0</v>
      </c>
      <c r="CF22" s="530">
        <v>21</v>
      </c>
      <c r="CG22" s="531">
        <f t="shared" ca="1" si="44"/>
        <v>46806</v>
      </c>
      <c r="CH22" s="532">
        <f ca="1">IF(CH21=0,SUMIFS('Key Life Events'!$L$3:$L$28,'Key Life Events'!$H$3:$H$28,'Loan Amortization'!$CL$3,'Key Life Events'!$N$3:$N$28,'Loan Amortization'!CG22),CH21-CK21)</f>
        <v>0</v>
      </c>
      <c r="CI22" s="532">
        <f t="shared" ca="1" si="45"/>
        <v>0</v>
      </c>
      <c r="CJ22" s="532">
        <f t="shared" ca="1" si="46"/>
        <v>0</v>
      </c>
      <c r="CK22" s="532">
        <f t="shared" ca="1" si="17"/>
        <v>0</v>
      </c>
      <c r="CP22" s="536">
        <f t="shared" ca="1" si="18"/>
        <v>2028</v>
      </c>
      <c r="CQ22" s="535">
        <f ca="1"/>
        <v>0</v>
      </c>
      <c r="CS22" s="100">
        <f t="shared" si="19"/>
        <v>21</v>
      </c>
      <c r="CT22" s="102">
        <f t="shared" ca="1" si="20"/>
        <v>301170.70688933041</v>
      </c>
      <c r="CU22" s="102">
        <f t="shared" ca="1" si="21"/>
        <v>47440</v>
      </c>
      <c r="CV22" s="511">
        <f t="shared" ca="1" si="22"/>
        <v>2028</v>
      </c>
      <c r="CW22" s="1">
        <f t="shared" si="47"/>
        <v>241</v>
      </c>
      <c r="CX22" s="99">
        <f t="shared" ca="1" si="23"/>
        <v>0</v>
      </c>
    </row>
    <row r="23" spans="1:102" x14ac:dyDescent="0.3">
      <c r="A23" s="100">
        <v>22</v>
      </c>
      <c r="B23" s="131">
        <f t="shared" si="24"/>
        <v>46593</v>
      </c>
      <c r="C23" s="102">
        <f t="shared" si="25"/>
        <v>255964.38963209293</v>
      </c>
      <c r="D23" s="102">
        <f t="shared" si="26"/>
        <v>47440</v>
      </c>
      <c r="E23" s="102">
        <f t="shared" si="6"/>
        <v>1898.4025564380227</v>
      </c>
      <c r="F23" s="102">
        <f t="shared" si="27"/>
        <v>45541.597443561979</v>
      </c>
      <c r="L23" s="100">
        <v>22</v>
      </c>
      <c r="M23" s="131">
        <f t="shared" ca="1" si="28"/>
        <v>46835</v>
      </c>
      <c r="N23" s="102">
        <f t="shared" si="29"/>
        <v>0</v>
      </c>
      <c r="O23" s="102">
        <f t="shared" si="30"/>
        <v>0</v>
      </c>
      <c r="P23" s="102">
        <f t="shared" si="7"/>
        <v>0</v>
      </c>
      <c r="Q23" s="102">
        <f t="shared" si="8"/>
        <v>0</v>
      </c>
      <c r="W23" s="100">
        <v>22</v>
      </c>
      <c r="X23" s="131">
        <f t="shared" ca="1" si="31"/>
        <v>46835</v>
      </c>
      <c r="Y23" s="102">
        <f t="shared" si="32"/>
        <v>0</v>
      </c>
      <c r="Z23" s="102">
        <f t="shared" si="33"/>
        <v>0</v>
      </c>
      <c r="AA23" s="102">
        <f t="shared" si="49"/>
        <v>0</v>
      </c>
      <c r="AB23" s="102">
        <f t="shared" si="9"/>
        <v>0</v>
      </c>
      <c r="AH23" s="100">
        <v>22</v>
      </c>
      <c r="AI23" s="131">
        <f t="shared" ca="1" si="34"/>
        <v>46835</v>
      </c>
      <c r="AJ23" s="102">
        <f t="shared" si="35"/>
        <v>0</v>
      </c>
      <c r="AK23" s="102">
        <f t="shared" si="36"/>
        <v>0</v>
      </c>
      <c r="AL23" s="102">
        <f t="shared" si="50"/>
        <v>0</v>
      </c>
      <c r="AM23" s="102">
        <f t="shared" si="10"/>
        <v>0</v>
      </c>
      <c r="AS23" s="530">
        <v>22</v>
      </c>
      <c r="AT23" s="531">
        <f t="shared" ca="1" si="37"/>
        <v>46835</v>
      </c>
      <c r="AU23" s="532">
        <f ca="1">IF(AU22=0,SUMIFS('Key Life Events'!$L$3:$L$28,'Key Life Events'!$H$3:$H$28,'Loan Amortization'!$AY$3,'Key Life Events'!$N$3:$N$28,'Loan Amortization'!AT23),AU22-AX22)</f>
        <v>0</v>
      </c>
      <c r="AV23" s="532">
        <f t="shared" ca="1" si="38"/>
        <v>0</v>
      </c>
      <c r="AW23" s="532">
        <f t="shared" ca="1" si="2"/>
        <v>0</v>
      </c>
      <c r="AX23" s="532">
        <f t="shared" ca="1" si="11"/>
        <v>0</v>
      </c>
      <c r="BC23" s="536">
        <f t="shared" ca="1" si="12"/>
        <v>2028</v>
      </c>
      <c r="BF23" s="530">
        <v>22</v>
      </c>
      <c r="BG23" s="531">
        <f t="shared" ca="1" si="39"/>
        <v>46835</v>
      </c>
      <c r="BH23" s="532">
        <f ca="1">IF(BH22=0,SUMIFS('Key Life Events'!$L$3:$L$28,'Key Life Events'!$H$3:$H$28,'Loan Amortization'!$BL$3,'Key Life Events'!$N$3:$N$28,'Loan Amortization'!BG23),BH22-BK22)</f>
        <v>0</v>
      </c>
      <c r="BI23" s="532">
        <f t="shared" ca="1" si="40"/>
        <v>0</v>
      </c>
      <c r="BJ23" s="532">
        <f t="shared" ca="1" si="41"/>
        <v>0</v>
      </c>
      <c r="BK23" s="532">
        <f t="shared" ca="1" si="13"/>
        <v>0</v>
      </c>
      <c r="BP23" s="536">
        <f t="shared" ca="1" si="14"/>
        <v>2028</v>
      </c>
      <c r="BQ23" s="535">
        <f ca="1"/>
        <v>0</v>
      </c>
      <c r="BS23" s="530">
        <v>22</v>
      </c>
      <c r="BT23" s="531">
        <f t="shared" ca="1" si="42"/>
        <v>46835</v>
      </c>
      <c r="BU23" s="532">
        <f ca="1">IF(BU22=0,SUMIFS('Key Life Events'!$L$3:$L$28,'Key Life Events'!$H$3:$H$28,'Loan Amortization'!$BY$3,'Key Life Events'!$N$3:$N$28,'Loan Amortization'!BT23),BU22-BX22)</f>
        <v>0</v>
      </c>
      <c r="BV23" s="532">
        <f t="shared" ca="1" si="48"/>
        <v>0</v>
      </c>
      <c r="BW23" s="532">
        <f t="shared" ca="1" si="43"/>
        <v>0</v>
      </c>
      <c r="BX23" s="532">
        <f t="shared" ca="1" si="15"/>
        <v>0</v>
      </c>
      <c r="CC23" s="536">
        <f t="shared" ca="1" si="16"/>
        <v>2028</v>
      </c>
      <c r="CD23" s="535">
        <f ca="1"/>
        <v>0</v>
      </c>
      <c r="CF23" s="530">
        <v>22</v>
      </c>
      <c r="CG23" s="531">
        <f t="shared" ca="1" si="44"/>
        <v>46835</v>
      </c>
      <c r="CH23" s="532">
        <f ca="1">IF(CH22=0,SUMIFS('Key Life Events'!$L$3:$L$28,'Key Life Events'!$H$3:$H$28,'Loan Amortization'!$CL$3,'Key Life Events'!$N$3:$N$28,'Loan Amortization'!CG23),CH22-CK22)</f>
        <v>0</v>
      </c>
      <c r="CI23" s="532">
        <f t="shared" ca="1" si="45"/>
        <v>0</v>
      </c>
      <c r="CJ23" s="532">
        <f t="shared" ca="1" si="46"/>
        <v>0</v>
      </c>
      <c r="CK23" s="532">
        <f t="shared" ca="1" si="17"/>
        <v>0</v>
      </c>
      <c r="CP23" s="536">
        <f t="shared" ca="1" si="18"/>
        <v>2028</v>
      </c>
      <c r="CQ23" s="535">
        <f ca="1"/>
        <v>0</v>
      </c>
      <c r="CS23" s="100">
        <f t="shared" si="19"/>
        <v>22</v>
      </c>
      <c r="CT23" s="102">
        <f t="shared" ca="1" si="20"/>
        <v>255964.38963209293</v>
      </c>
      <c r="CU23" s="102">
        <f t="shared" ca="1" si="21"/>
        <v>47440</v>
      </c>
      <c r="CV23" s="511">
        <f t="shared" ca="1" si="22"/>
        <v>2028</v>
      </c>
      <c r="CW23" s="1">
        <f t="shared" si="47"/>
        <v>253</v>
      </c>
      <c r="CX23" s="99">
        <f t="shared" ca="1" si="23"/>
        <v>0</v>
      </c>
    </row>
    <row r="24" spans="1:102" x14ac:dyDescent="0.3">
      <c r="A24" s="100">
        <v>23</v>
      </c>
      <c r="B24" s="131">
        <f t="shared" si="24"/>
        <v>46624</v>
      </c>
      <c r="C24" s="102">
        <f t="shared" si="25"/>
        <v>210422.79218853096</v>
      </c>
      <c r="D24" s="102">
        <f t="shared" si="26"/>
        <v>47440</v>
      </c>
      <c r="E24" s="102">
        <f t="shared" si="6"/>
        <v>1560.6357087316046</v>
      </c>
      <c r="F24" s="102">
        <f t="shared" si="27"/>
        <v>45879.364291268394</v>
      </c>
      <c r="L24" s="100">
        <v>23</v>
      </c>
      <c r="M24" s="131">
        <f t="shared" ca="1" si="28"/>
        <v>46866</v>
      </c>
      <c r="N24" s="102">
        <f t="shared" si="29"/>
        <v>0</v>
      </c>
      <c r="O24" s="102">
        <f t="shared" si="30"/>
        <v>0</v>
      </c>
      <c r="P24" s="102">
        <f t="shared" si="7"/>
        <v>0</v>
      </c>
      <c r="Q24" s="102">
        <f t="shared" si="8"/>
        <v>0</v>
      </c>
      <c r="W24" s="100">
        <v>23</v>
      </c>
      <c r="X24" s="131">
        <f t="shared" ca="1" si="31"/>
        <v>46866</v>
      </c>
      <c r="Y24" s="102">
        <f t="shared" si="32"/>
        <v>0</v>
      </c>
      <c r="Z24" s="102">
        <f t="shared" si="33"/>
        <v>0</v>
      </c>
      <c r="AA24" s="102">
        <f t="shared" si="49"/>
        <v>0</v>
      </c>
      <c r="AB24" s="102">
        <f t="shared" si="9"/>
        <v>0</v>
      </c>
      <c r="AH24" s="100">
        <v>23</v>
      </c>
      <c r="AI24" s="131">
        <f t="shared" ca="1" si="34"/>
        <v>46866</v>
      </c>
      <c r="AJ24" s="102">
        <f t="shared" si="35"/>
        <v>0</v>
      </c>
      <c r="AK24" s="102">
        <f t="shared" si="36"/>
        <v>0</v>
      </c>
      <c r="AL24" s="102">
        <f t="shared" si="50"/>
        <v>0</v>
      </c>
      <c r="AM24" s="102">
        <f t="shared" si="10"/>
        <v>0</v>
      </c>
      <c r="AS24" s="530">
        <v>23</v>
      </c>
      <c r="AT24" s="531">
        <f t="shared" ca="1" si="37"/>
        <v>46866</v>
      </c>
      <c r="AU24" s="532">
        <f ca="1">IF(AU23=0,SUMIFS('Key Life Events'!$L$3:$L$28,'Key Life Events'!$H$3:$H$28,'Loan Amortization'!$AY$3,'Key Life Events'!$N$3:$N$28,'Loan Amortization'!AT24),AU23-AX23)</f>
        <v>0</v>
      </c>
      <c r="AV24" s="532">
        <f t="shared" ca="1" si="38"/>
        <v>0</v>
      </c>
      <c r="AW24" s="532">
        <f t="shared" ca="1" si="2"/>
        <v>0</v>
      </c>
      <c r="AX24" s="532">
        <f t="shared" ca="1" si="11"/>
        <v>0</v>
      </c>
      <c r="BC24" s="536">
        <f t="shared" ca="1" si="12"/>
        <v>2028</v>
      </c>
      <c r="BF24" s="530">
        <v>23</v>
      </c>
      <c r="BG24" s="531">
        <f t="shared" ca="1" si="39"/>
        <v>46866</v>
      </c>
      <c r="BH24" s="532">
        <f ca="1">IF(BH23=0,SUMIFS('Key Life Events'!$L$3:$L$28,'Key Life Events'!$H$3:$H$28,'Loan Amortization'!$BL$3,'Key Life Events'!$N$3:$N$28,'Loan Amortization'!BG24),BH23-BK23)</f>
        <v>0</v>
      </c>
      <c r="BI24" s="532">
        <f t="shared" ca="1" si="40"/>
        <v>0</v>
      </c>
      <c r="BJ24" s="532">
        <f t="shared" ca="1" si="41"/>
        <v>0</v>
      </c>
      <c r="BK24" s="532">
        <f t="shared" ca="1" si="13"/>
        <v>0</v>
      </c>
      <c r="BP24" s="536">
        <f t="shared" ca="1" si="14"/>
        <v>2028</v>
      </c>
      <c r="BQ24" s="535">
        <f ca="1"/>
        <v>0</v>
      </c>
      <c r="BS24" s="530">
        <v>23</v>
      </c>
      <c r="BT24" s="531">
        <f t="shared" ca="1" si="42"/>
        <v>46866</v>
      </c>
      <c r="BU24" s="532">
        <f ca="1">IF(BU23=0,SUMIFS('Key Life Events'!$L$3:$L$28,'Key Life Events'!$H$3:$H$28,'Loan Amortization'!$BY$3,'Key Life Events'!$N$3:$N$28,'Loan Amortization'!BT24),BU23-BX23)</f>
        <v>0</v>
      </c>
      <c r="BV24" s="532">
        <f t="shared" ca="1" si="48"/>
        <v>0</v>
      </c>
      <c r="BW24" s="532">
        <f t="shared" ca="1" si="43"/>
        <v>0</v>
      </c>
      <c r="BX24" s="532">
        <f t="shared" ca="1" si="15"/>
        <v>0</v>
      </c>
      <c r="CC24" s="536">
        <f t="shared" ca="1" si="16"/>
        <v>2028</v>
      </c>
      <c r="CD24" s="535">
        <f ca="1"/>
        <v>0</v>
      </c>
      <c r="CF24" s="530">
        <v>23</v>
      </c>
      <c r="CG24" s="531">
        <f t="shared" ca="1" si="44"/>
        <v>46866</v>
      </c>
      <c r="CH24" s="532">
        <f ca="1">IF(CH23=0,SUMIFS('Key Life Events'!$L$3:$L$28,'Key Life Events'!$H$3:$H$28,'Loan Amortization'!$CL$3,'Key Life Events'!$N$3:$N$28,'Loan Amortization'!CG24),CH23-CK23)</f>
        <v>0</v>
      </c>
      <c r="CI24" s="532">
        <f t="shared" ca="1" si="45"/>
        <v>0</v>
      </c>
      <c r="CJ24" s="532">
        <f t="shared" ca="1" si="46"/>
        <v>0</v>
      </c>
      <c r="CK24" s="532">
        <f t="shared" ca="1" si="17"/>
        <v>0</v>
      </c>
      <c r="CP24" s="536">
        <f t="shared" ca="1" si="18"/>
        <v>2028</v>
      </c>
      <c r="CQ24" s="535">
        <f ca="1"/>
        <v>0</v>
      </c>
      <c r="CS24" s="100">
        <f t="shared" si="19"/>
        <v>23</v>
      </c>
      <c r="CT24" s="102">
        <f t="shared" ca="1" si="20"/>
        <v>210422.79218853096</v>
      </c>
      <c r="CU24" s="102">
        <f t="shared" ca="1" si="21"/>
        <v>47440</v>
      </c>
      <c r="CV24" s="511">
        <f t="shared" ca="1" si="22"/>
        <v>2028</v>
      </c>
      <c r="CW24" s="1">
        <f t="shared" si="47"/>
        <v>265</v>
      </c>
      <c r="CX24" s="99">
        <f t="shared" ca="1" si="23"/>
        <v>0</v>
      </c>
    </row>
    <row r="25" spans="1:102" x14ac:dyDescent="0.3">
      <c r="A25" s="100">
        <v>24</v>
      </c>
      <c r="B25" s="131">
        <f t="shared" si="24"/>
        <v>46655</v>
      </c>
      <c r="C25" s="102">
        <f t="shared" si="25"/>
        <v>164543.42789726256</v>
      </c>
      <c r="D25" s="102">
        <f t="shared" si="26"/>
        <v>47440</v>
      </c>
      <c r="E25" s="102">
        <f t="shared" si="6"/>
        <v>1220.3637569046973</v>
      </c>
      <c r="F25" s="102">
        <f t="shared" si="27"/>
        <v>46219.636243095301</v>
      </c>
      <c r="L25" s="100">
        <v>24</v>
      </c>
      <c r="M25" s="131">
        <f t="shared" ca="1" si="28"/>
        <v>46896</v>
      </c>
      <c r="N25" s="102">
        <f t="shared" si="29"/>
        <v>0</v>
      </c>
      <c r="O25" s="102">
        <f t="shared" si="30"/>
        <v>0</v>
      </c>
      <c r="P25" s="102">
        <f t="shared" si="7"/>
        <v>0</v>
      </c>
      <c r="Q25" s="102">
        <f t="shared" si="8"/>
        <v>0</v>
      </c>
      <c r="W25" s="100">
        <v>24</v>
      </c>
      <c r="X25" s="131">
        <f t="shared" ca="1" si="31"/>
        <v>46896</v>
      </c>
      <c r="Y25" s="102">
        <f t="shared" si="32"/>
        <v>0</v>
      </c>
      <c r="Z25" s="102">
        <f t="shared" si="33"/>
        <v>0</v>
      </c>
      <c r="AA25" s="102">
        <f t="shared" si="49"/>
        <v>0</v>
      </c>
      <c r="AB25" s="102">
        <f t="shared" si="9"/>
        <v>0</v>
      </c>
      <c r="AH25" s="100">
        <v>24</v>
      </c>
      <c r="AI25" s="131">
        <f t="shared" ca="1" si="34"/>
        <v>46896</v>
      </c>
      <c r="AJ25" s="102">
        <f t="shared" si="35"/>
        <v>0</v>
      </c>
      <c r="AK25" s="102">
        <f t="shared" si="36"/>
        <v>0</v>
      </c>
      <c r="AL25" s="102">
        <f t="shared" si="50"/>
        <v>0</v>
      </c>
      <c r="AM25" s="102">
        <f t="shared" si="10"/>
        <v>0</v>
      </c>
      <c r="AS25" s="530">
        <v>24</v>
      </c>
      <c r="AT25" s="531">
        <f t="shared" ca="1" si="37"/>
        <v>46896</v>
      </c>
      <c r="AU25" s="532">
        <f ca="1">IF(AU24=0,SUMIFS('Key Life Events'!$L$3:$L$28,'Key Life Events'!$H$3:$H$28,'Loan Amortization'!$AY$3,'Key Life Events'!$N$3:$N$28,'Loan Amortization'!AT25),AU24-AX24)</f>
        <v>0</v>
      </c>
      <c r="AV25" s="532">
        <f t="shared" ca="1" si="38"/>
        <v>0</v>
      </c>
      <c r="AW25" s="532">
        <f t="shared" ca="1" si="2"/>
        <v>0</v>
      </c>
      <c r="AX25" s="532">
        <f t="shared" ca="1" si="11"/>
        <v>0</v>
      </c>
      <c r="BC25" s="536">
        <f t="shared" ca="1" si="12"/>
        <v>2028</v>
      </c>
      <c r="BF25" s="530">
        <v>24</v>
      </c>
      <c r="BG25" s="531">
        <f t="shared" ca="1" si="39"/>
        <v>46896</v>
      </c>
      <c r="BH25" s="532">
        <f ca="1">IF(BH24=0,SUMIFS('Key Life Events'!$L$3:$L$28,'Key Life Events'!$H$3:$H$28,'Loan Amortization'!$BL$3,'Key Life Events'!$N$3:$N$28,'Loan Amortization'!BG25),BH24-BK24)</f>
        <v>0</v>
      </c>
      <c r="BI25" s="532">
        <f t="shared" ca="1" si="40"/>
        <v>0</v>
      </c>
      <c r="BJ25" s="532">
        <f t="shared" ca="1" si="41"/>
        <v>0</v>
      </c>
      <c r="BK25" s="532">
        <f t="shared" ca="1" si="13"/>
        <v>0</v>
      </c>
      <c r="BP25" s="536">
        <f t="shared" ca="1" si="14"/>
        <v>2028</v>
      </c>
      <c r="BQ25" s="535">
        <f ca="1"/>
        <v>0</v>
      </c>
      <c r="BS25" s="530">
        <v>24</v>
      </c>
      <c r="BT25" s="531">
        <f t="shared" ca="1" si="42"/>
        <v>46896</v>
      </c>
      <c r="BU25" s="532">
        <f ca="1">IF(BU24=0,SUMIFS('Key Life Events'!$L$3:$L$28,'Key Life Events'!$H$3:$H$28,'Loan Amortization'!$BY$3,'Key Life Events'!$N$3:$N$28,'Loan Amortization'!BT25),BU24-BX24)</f>
        <v>0</v>
      </c>
      <c r="BV25" s="532">
        <f t="shared" ca="1" si="48"/>
        <v>0</v>
      </c>
      <c r="BW25" s="532">
        <f t="shared" ca="1" si="43"/>
        <v>0</v>
      </c>
      <c r="BX25" s="532">
        <f t="shared" ca="1" si="15"/>
        <v>0</v>
      </c>
      <c r="CC25" s="536">
        <f t="shared" ca="1" si="16"/>
        <v>2028</v>
      </c>
      <c r="CD25" s="535">
        <f ca="1"/>
        <v>0</v>
      </c>
      <c r="CF25" s="530">
        <v>24</v>
      </c>
      <c r="CG25" s="531">
        <f t="shared" ca="1" si="44"/>
        <v>46896</v>
      </c>
      <c r="CH25" s="532">
        <f ca="1">IF(CH24=0,SUMIFS('Key Life Events'!$L$3:$L$28,'Key Life Events'!$H$3:$H$28,'Loan Amortization'!$CL$3,'Key Life Events'!$N$3:$N$28,'Loan Amortization'!CG25),CH24-CK24)</f>
        <v>0</v>
      </c>
      <c r="CI25" s="532">
        <f t="shared" ca="1" si="45"/>
        <v>0</v>
      </c>
      <c r="CJ25" s="532">
        <f t="shared" ca="1" si="46"/>
        <v>0</v>
      </c>
      <c r="CK25" s="532">
        <f t="shared" ca="1" si="17"/>
        <v>0</v>
      </c>
      <c r="CP25" s="536">
        <f t="shared" ca="1" si="18"/>
        <v>2028</v>
      </c>
      <c r="CQ25" s="535">
        <f ca="1"/>
        <v>0</v>
      </c>
      <c r="CS25" s="100">
        <f t="shared" si="19"/>
        <v>24</v>
      </c>
      <c r="CT25" s="102">
        <f t="shared" ca="1" si="20"/>
        <v>164543.42789726256</v>
      </c>
      <c r="CU25" s="102">
        <f t="shared" ca="1" si="21"/>
        <v>47440</v>
      </c>
      <c r="CV25" s="511">
        <f t="shared" ca="1" si="22"/>
        <v>2028</v>
      </c>
      <c r="CW25" s="1">
        <f t="shared" si="47"/>
        <v>277</v>
      </c>
      <c r="CX25" s="99">
        <f t="shared" ca="1" si="23"/>
        <v>0</v>
      </c>
    </row>
    <row r="26" spans="1:102" x14ac:dyDescent="0.3">
      <c r="A26" s="100">
        <v>25</v>
      </c>
      <c r="B26" s="131">
        <f t="shared" si="24"/>
        <v>46685</v>
      </c>
      <c r="C26" s="102">
        <f t="shared" si="25"/>
        <v>118323.79165416726</v>
      </c>
      <c r="D26" s="102">
        <f t="shared" si="26"/>
        <v>47440</v>
      </c>
      <c r="E26" s="102">
        <f t="shared" si="6"/>
        <v>877.56812143507386</v>
      </c>
      <c r="F26" s="102">
        <f t="shared" si="27"/>
        <v>46562.431878564923</v>
      </c>
      <c r="L26" s="100">
        <v>25</v>
      </c>
      <c r="M26" s="131">
        <f t="shared" ca="1" si="28"/>
        <v>46927</v>
      </c>
      <c r="N26" s="102">
        <f t="shared" si="29"/>
        <v>0</v>
      </c>
      <c r="O26" s="102">
        <f t="shared" si="30"/>
        <v>0</v>
      </c>
      <c r="P26" s="102">
        <f t="shared" si="7"/>
        <v>0</v>
      </c>
      <c r="Q26" s="102">
        <f t="shared" si="8"/>
        <v>0</v>
      </c>
      <c r="W26" s="100">
        <v>25</v>
      </c>
      <c r="X26" s="131">
        <f t="shared" ca="1" si="31"/>
        <v>46927</v>
      </c>
      <c r="Y26" s="102">
        <f t="shared" si="32"/>
        <v>0</v>
      </c>
      <c r="Z26" s="102">
        <f t="shared" si="33"/>
        <v>0</v>
      </c>
      <c r="AA26" s="102">
        <f t="shared" si="49"/>
        <v>0</v>
      </c>
      <c r="AB26" s="102">
        <f t="shared" si="9"/>
        <v>0</v>
      </c>
      <c r="AH26" s="100">
        <v>25</v>
      </c>
      <c r="AI26" s="131">
        <f t="shared" ca="1" si="34"/>
        <v>46927</v>
      </c>
      <c r="AJ26" s="102">
        <f t="shared" si="35"/>
        <v>0</v>
      </c>
      <c r="AK26" s="102">
        <f t="shared" si="36"/>
        <v>0</v>
      </c>
      <c r="AL26" s="102">
        <f t="shared" si="50"/>
        <v>0</v>
      </c>
      <c r="AM26" s="102">
        <f t="shared" si="10"/>
        <v>0</v>
      </c>
      <c r="AS26" s="530">
        <v>25</v>
      </c>
      <c r="AT26" s="531">
        <f t="shared" ca="1" si="37"/>
        <v>46927</v>
      </c>
      <c r="AU26" s="532">
        <f ca="1">IF(AU25=0,SUMIFS('Key Life Events'!$L$3:$L$28,'Key Life Events'!$H$3:$H$28,'Loan Amortization'!$AY$3,'Key Life Events'!$N$3:$N$28,'Loan Amortization'!AT26),AU25-AX25)</f>
        <v>0</v>
      </c>
      <c r="AV26" s="532">
        <f t="shared" ca="1" si="38"/>
        <v>0</v>
      </c>
      <c r="AW26" s="532">
        <f t="shared" ca="1" si="2"/>
        <v>0</v>
      </c>
      <c r="AX26" s="532">
        <f t="shared" ca="1" si="11"/>
        <v>0</v>
      </c>
      <c r="BC26" s="536">
        <f t="shared" ca="1" si="12"/>
        <v>2028</v>
      </c>
      <c r="BF26" s="530">
        <v>25</v>
      </c>
      <c r="BG26" s="531">
        <f t="shared" ca="1" si="39"/>
        <v>46927</v>
      </c>
      <c r="BH26" s="532">
        <f ca="1">IF(BH25=0,SUMIFS('Key Life Events'!$L$3:$L$28,'Key Life Events'!$H$3:$H$28,'Loan Amortization'!$BL$3,'Key Life Events'!$N$3:$N$28,'Loan Amortization'!BG26),BH25-BK25)</f>
        <v>0</v>
      </c>
      <c r="BI26" s="532">
        <f t="shared" ca="1" si="40"/>
        <v>0</v>
      </c>
      <c r="BJ26" s="532">
        <f t="shared" ca="1" si="41"/>
        <v>0</v>
      </c>
      <c r="BK26" s="532">
        <f t="shared" ca="1" si="13"/>
        <v>0</v>
      </c>
      <c r="BP26" s="536">
        <f t="shared" ca="1" si="14"/>
        <v>2028</v>
      </c>
      <c r="BQ26" s="535">
        <f ca="1"/>
        <v>0</v>
      </c>
      <c r="BS26" s="530">
        <v>25</v>
      </c>
      <c r="BT26" s="531">
        <f t="shared" ca="1" si="42"/>
        <v>46927</v>
      </c>
      <c r="BU26" s="532">
        <f ca="1">IF(BU25=0,SUMIFS('Key Life Events'!$L$3:$L$28,'Key Life Events'!$H$3:$H$28,'Loan Amortization'!$BY$3,'Key Life Events'!$N$3:$N$28,'Loan Amortization'!BT26),BU25-BX25)</f>
        <v>0</v>
      </c>
      <c r="BV26" s="532">
        <f t="shared" ca="1" si="48"/>
        <v>0</v>
      </c>
      <c r="BW26" s="532">
        <f t="shared" ca="1" si="43"/>
        <v>0</v>
      </c>
      <c r="BX26" s="532">
        <f t="shared" ca="1" si="15"/>
        <v>0</v>
      </c>
      <c r="CC26" s="536">
        <f t="shared" ca="1" si="16"/>
        <v>2028</v>
      </c>
      <c r="CD26" s="535">
        <f ca="1"/>
        <v>0</v>
      </c>
      <c r="CF26" s="530">
        <v>25</v>
      </c>
      <c r="CG26" s="531">
        <f t="shared" ca="1" si="44"/>
        <v>46927</v>
      </c>
      <c r="CH26" s="532">
        <f ca="1">IF(CH25=0,SUMIFS('Key Life Events'!$L$3:$L$28,'Key Life Events'!$H$3:$H$28,'Loan Amortization'!$CL$3,'Key Life Events'!$N$3:$N$28,'Loan Amortization'!CG26),CH25-CK25)</f>
        <v>0</v>
      </c>
      <c r="CI26" s="532">
        <f t="shared" ca="1" si="45"/>
        <v>0</v>
      </c>
      <c r="CJ26" s="532">
        <f t="shared" ca="1" si="46"/>
        <v>0</v>
      </c>
      <c r="CK26" s="532">
        <f t="shared" ca="1" si="17"/>
        <v>0</v>
      </c>
      <c r="CP26" s="536">
        <f t="shared" ca="1" si="18"/>
        <v>2028</v>
      </c>
      <c r="CQ26" s="535">
        <f ca="1"/>
        <v>0</v>
      </c>
      <c r="CS26" s="100">
        <f t="shared" si="19"/>
        <v>25</v>
      </c>
      <c r="CT26" s="102">
        <f t="shared" ca="1" si="20"/>
        <v>118323.79165416726</v>
      </c>
      <c r="CU26" s="102">
        <f t="shared" ca="1" si="21"/>
        <v>47440</v>
      </c>
      <c r="CV26" s="511">
        <f t="shared" ca="1" si="22"/>
        <v>2028</v>
      </c>
      <c r="CW26" s="1">
        <f t="shared" si="47"/>
        <v>289</v>
      </c>
      <c r="CX26" s="99">
        <f t="shared" ca="1" si="23"/>
        <v>0</v>
      </c>
    </row>
    <row r="27" spans="1:102" x14ac:dyDescent="0.3">
      <c r="A27" s="100">
        <v>26</v>
      </c>
      <c r="B27" s="131">
        <f t="shared" si="24"/>
        <v>46716</v>
      </c>
      <c r="C27" s="102">
        <f t="shared" si="25"/>
        <v>71761.359775602337</v>
      </c>
      <c r="D27" s="102">
        <f t="shared" si="26"/>
        <v>47440</v>
      </c>
      <c r="E27" s="102">
        <f t="shared" si="6"/>
        <v>532.23008500238404</v>
      </c>
      <c r="F27" s="102">
        <f t="shared" si="27"/>
        <v>46907.769914997618</v>
      </c>
      <c r="L27" s="100">
        <v>26</v>
      </c>
      <c r="M27" s="131">
        <f t="shared" ca="1" si="28"/>
        <v>46957</v>
      </c>
      <c r="N27" s="102">
        <f t="shared" si="29"/>
        <v>0</v>
      </c>
      <c r="O27" s="102">
        <f t="shared" si="30"/>
        <v>0</v>
      </c>
      <c r="P27" s="102">
        <f t="shared" si="7"/>
        <v>0</v>
      </c>
      <c r="Q27" s="102">
        <f t="shared" si="8"/>
        <v>0</v>
      </c>
      <c r="W27" s="100">
        <v>26</v>
      </c>
      <c r="X27" s="131">
        <f t="shared" ca="1" si="31"/>
        <v>46957</v>
      </c>
      <c r="Y27" s="102">
        <f t="shared" si="32"/>
        <v>0</v>
      </c>
      <c r="Z27" s="102">
        <f t="shared" si="33"/>
        <v>0</v>
      </c>
      <c r="AA27" s="102">
        <f t="shared" si="49"/>
        <v>0</v>
      </c>
      <c r="AB27" s="102">
        <f t="shared" si="9"/>
        <v>0</v>
      </c>
      <c r="AH27" s="100">
        <v>26</v>
      </c>
      <c r="AI27" s="131">
        <f t="shared" ca="1" si="34"/>
        <v>46957</v>
      </c>
      <c r="AJ27" s="102">
        <f t="shared" si="35"/>
        <v>0</v>
      </c>
      <c r="AK27" s="102">
        <f t="shared" si="36"/>
        <v>0</v>
      </c>
      <c r="AL27" s="102">
        <f t="shared" si="50"/>
        <v>0</v>
      </c>
      <c r="AM27" s="102">
        <f t="shared" si="10"/>
        <v>0</v>
      </c>
      <c r="AS27" s="530">
        <v>26</v>
      </c>
      <c r="AT27" s="531">
        <f t="shared" ca="1" si="37"/>
        <v>46957</v>
      </c>
      <c r="AU27" s="532">
        <f ca="1">IF(AU26=0,SUMIFS('Key Life Events'!$L$3:$L$28,'Key Life Events'!$H$3:$H$28,'Loan Amortization'!$AY$3,'Key Life Events'!$N$3:$N$28,'Loan Amortization'!AT27),AU26-AX26)</f>
        <v>0</v>
      </c>
      <c r="AV27" s="532">
        <f t="shared" ca="1" si="38"/>
        <v>0</v>
      </c>
      <c r="AW27" s="532">
        <f t="shared" ca="1" si="2"/>
        <v>0</v>
      </c>
      <c r="AX27" s="532">
        <f t="shared" ca="1" si="11"/>
        <v>0</v>
      </c>
      <c r="BC27" s="536">
        <f t="shared" ca="1" si="12"/>
        <v>2028</v>
      </c>
      <c r="BF27" s="530">
        <v>26</v>
      </c>
      <c r="BG27" s="531">
        <f t="shared" ca="1" si="39"/>
        <v>46957</v>
      </c>
      <c r="BH27" s="532">
        <f ca="1">IF(BH26=0,SUMIFS('Key Life Events'!$L$3:$L$28,'Key Life Events'!$H$3:$H$28,'Loan Amortization'!$BL$3,'Key Life Events'!$N$3:$N$28,'Loan Amortization'!BG27),BH26-BK26)</f>
        <v>0</v>
      </c>
      <c r="BI27" s="532">
        <f t="shared" ca="1" si="40"/>
        <v>0</v>
      </c>
      <c r="BJ27" s="532">
        <f t="shared" ca="1" si="41"/>
        <v>0</v>
      </c>
      <c r="BK27" s="532">
        <f t="shared" ca="1" si="13"/>
        <v>0</v>
      </c>
      <c r="BP27" s="536">
        <f t="shared" ca="1" si="14"/>
        <v>2028</v>
      </c>
      <c r="BQ27" s="535">
        <f ca="1"/>
        <v>0</v>
      </c>
      <c r="BS27" s="530">
        <v>26</v>
      </c>
      <c r="BT27" s="531">
        <f t="shared" ca="1" si="42"/>
        <v>46957</v>
      </c>
      <c r="BU27" s="532">
        <f ca="1">IF(BU26=0,SUMIFS('Key Life Events'!$L$3:$L$28,'Key Life Events'!$H$3:$H$28,'Loan Amortization'!$BY$3,'Key Life Events'!$N$3:$N$28,'Loan Amortization'!BT27),BU26-BX26)</f>
        <v>0</v>
      </c>
      <c r="BV27" s="532">
        <f t="shared" ca="1" si="48"/>
        <v>0</v>
      </c>
      <c r="BW27" s="532">
        <f t="shared" ca="1" si="43"/>
        <v>0</v>
      </c>
      <c r="BX27" s="532">
        <f t="shared" ca="1" si="15"/>
        <v>0</v>
      </c>
      <c r="CC27" s="536">
        <f t="shared" ca="1" si="16"/>
        <v>2028</v>
      </c>
      <c r="CD27" s="535">
        <f ca="1"/>
        <v>0</v>
      </c>
      <c r="CF27" s="530">
        <v>26</v>
      </c>
      <c r="CG27" s="531">
        <f t="shared" ca="1" si="44"/>
        <v>46957</v>
      </c>
      <c r="CH27" s="532">
        <f ca="1">IF(CH26=0,SUMIFS('Key Life Events'!$L$3:$L$28,'Key Life Events'!$H$3:$H$28,'Loan Amortization'!$CL$3,'Key Life Events'!$N$3:$N$28,'Loan Amortization'!CG27),CH26-CK26)</f>
        <v>0</v>
      </c>
      <c r="CI27" s="532">
        <f t="shared" ca="1" si="45"/>
        <v>0</v>
      </c>
      <c r="CJ27" s="532">
        <f t="shared" ca="1" si="46"/>
        <v>0</v>
      </c>
      <c r="CK27" s="532">
        <f t="shared" ca="1" si="17"/>
        <v>0</v>
      </c>
      <c r="CP27" s="536">
        <f t="shared" ca="1" si="18"/>
        <v>2028</v>
      </c>
      <c r="CQ27" s="535">
        <f ca="1"/>
        <v>0</v>
      </c>
      <c r="CS27" s="100">
        <f t="shared" si="19"/>
        <v>26</v>
      </c>
      <c r="CT27" s="102">
        <f t="shared" ca="1" si="20"/>
        <v>71761.359775602337</v>
      </c>
      <c r="CU27" s="102">
        <f t="shared" ca="1" si="21"/>
        <v>47440</v>
      </c>
      <c r="CV27" s="511">
        <f t="shared" ca="1" si="22"/>
        <v>2028</v>
      </c>
      <c r="CW27" s="1">
        <f t="shared" si="47"/>
        <v>301</v>
      </c>
      <c r="CX27" s="99">
        <f t="shared" ca="1" si="23"/>
        <v>0</v>
      </c>
    </row>
    <row r="28" spans="1:102" x14ac:dyDescent="0.3">
      <c r="A28" s="100">
        <v>27</v>
      </c>
      <c r="B28" s="131">
        <f t="shared" si="24"/>
        <v>46746</v>
      </c>
      <c r="C28" s="102">
        <f t="shared" si="25"/>
        <v>24853.589860604719</v>
      </c>
      <c r="D28" s="102">
        <f t="shared" si="26"/>
        <v>25037.920652070872</v>
      </c>
      <c r="E28" s="102">
        <f t="shared" si="6"/>
        <v>184.33079146615168</v>
      </c>
      <c r="F28" s="102">
        <f t="shared" si="27"/>
        <v>24853.589860604719</v>
      </c>
      <c r="L28" s="100">
        <v>27</v>
      </c>
      <c r="M28" s="131">
        <f t="shared" ca="1" si="28"/>
        <v>46988</v>
      </c>
      <c r="N28" s="102">
        <f t="shared" si="29"/>
        <v>0</v>
      </c>
      <c r="O28" s="102">
        <f t="shared" si="30"/>
        <v>0</v>
      </c>
      <c r="P28" s="102">
        <f t="shared" si="7"/>
        <v>0</v>
      </c>
      <c r="Q28" s="102">
        <f t="shared" si="8"/>
        <v>0</v>
      </c>
      <c r="W28" s="100">
        <v>27</v>
      </c>
      <c r="X28" s="131">
        <f t="shared" ca="1" si="31"/>
        <v>46988</v>
      </c>
      <c r="Y28" s="102">
        <f t="shared" si="32"/>
        <v>0</v>
      </c>
      <c r="Z28" s="102">
        <f t="shared" si="33"/>
        <v>0</v>
      </c>
      <c r="AA28" s="102">
        <f t="shared" si="49"/>
        <v>0</v>
      </c>
      <c r="AB28" s="102">
        <f t="shared" si="9"/>
        <v>0</v>
      </c>
      <c r="AH28" s="100">
        <v>27</v>
      </c>
      <c r="AI28" s="131">
        <f t="shared" ca="1" si="34"/>
        <v>46988</v>
      </c>
      <c r="AJ28" s="102">
        <f t="shared" si="35"/>
        <v>0</v>
      </c>
      <c r="AK28" s="102">
        <f t="shared" si="36"/>
        <v>0</v>
      </c>
      <c r="AL28" s="102">
        <f t="shared" si="50"/>
        <v>0</v>
      </c>
      <c r="AM28" s="102">
        <f t="shared" si="10"/>
        <v>0</v>
      </c>
      <c r="AS28" s="530">
        <v>27</v>
      </c>
      <c r="AT28" s="531">
        <f t="shared" ca="1" si="37"/>
        <v>46988</v>
      </c>
      <c r="AU28" s="532">
        <f ca="1">IF(AU27=0,SUMIFS('Key Life Events'!$L$3:$L$28,'Key Life Events'!$H$3:$H$28,'Loan Amortization'!$AY$3,'Key Life Events'!$N$3:$N$28,'Loan Amortization'!AT28),AU27-AX27)</f>
        <v>0</v>
      </c>
      <c r="AV28" s="532">
        <f t="shared" ca="1" si="38"/>
        <v>0</v>
      </c>
      <c r="AW28" s="532">
        <f t="shared" ca="1" si="2"/>
        <v>0</v>
      </c>
      <c r="AX28" s="532">
        <f t="shared" ca="1" si="11"/>
        <v>0</v>
      </c>
      <c r="BC28" s="536">
        <f t="shared" ca="1" si="12"/>
        <v>2028</v>
      </c>
      <c r="BF28" s="530">
        <v>27</v>
      </c>
      <c r="BG28" s="531">
        <f t="shared" ca="1" si="39"/>
        <v>46988</v>
      </c>
      <c r="BH28" s="532">
        <f ca="1">IF(BH27=0,SUMIFS('Key Life Events'!$L$3:$L$28,'Key Life Events'!$H$3:$H$28,'Loan Amortization'!$BL$3,'Key Life Events'!$N$3:$N$28,'Loan Amortization'!BG28),BH27-BK27)</f>
        <v>0</v>
      </c>
      <c r="BI28" s="532">
        <f t="shared" ca="1" si="40"/>
        <v>0</v>
      </c>
      <c r="BJ28" s="532">
        <f t="shared" ca="1" si="41"/>
        <v>0</v>
      </c>
      <c r="BK28" s="532">
        <f t="shared" ca="1" si="13"/>
        <v>0</v>
      </c>
      <c r="BP28" s="536">
        <f t="shared" ca="1" si="14"/>
        <v>2028</v>
      </c>
      <c r="BQ28" s="535">
        <f ca="1"/>
        <v>0</v>
      </c>
      <c r="BS28" s="530">
        <v>27</v>
      </c>
      <c r="BT28" s="531">
        <f t="shared" ca="1" si="42"/>
        <v>46988</v>
      </c>
      <c r="BU28" s="532">
        <f ca="1">IF(BU27=0,SUMIFS('Key Life Events'!$L$3:$L$28,'Key Life Events'!$H$3:$H$28,'Loan Amortization'!$BY$3,'Key Life Events'!$N$3:$N$28,'Loan Amortization'!BT28),BU27-BX27)</f>
        <v>0</v>
      </c>
      <c r="BV28" s="532">
        <f t="shared" ca="1" si="48"/>
        <v>0</v>
      </c>
      <c r="BW28" s="532">
        <f t="shared" ca="1" si="43"/>
        <v>0</v>
      </c>
      <c r="BX28" s="532">
        <f t="shared" ca="1" si="15"/>
        <v>0</v>
      </c>
      <c r="CC28" s="536">
        <f t="shared" ca="1" si="16"/>
        <v>2028</v>
      </c>
      <c r="CD28" s="535">
        <f ca="1"/>
        <v>0</v>
      </c>
      <c r="CF28" s="530">
        <v>27</v>
      </c>
      <c r="CG28" s="531">
        <f t="shared" ca="1" si="44"/>
        <v>46988</v>
      </c>
      <c r="CH28" s="532">
        <f ca="1">IF(CH27=0,SUMIFS('Key Life Events'!$L$3:$L$28,'Key Life Events'!$H$3:$H$28,'Loan Amortization'!$CL$3,'Key Life Events'!$N$3:$N$28,'Loan Amortization'!CG28),CH27-CK27)</f>
        <v>0</v>
      </c>
      <c r="CI28" s="532">
        <f t="shared" ca="1" si="45"/>
        <v>0</v>
      </c>
      <c r="CJ28" s="532">
        <f t="shared" ca="1" si="46"/>
        <v>0</v>
      </c>
      <c r="CK28" s="532">
        <f t="shared" ca="1" si="17"/>
        <v>0</v>
      </c>
      <c r="CP28" s="536">
        <f t="shared" ca="1" si="18"/>
        <v>2028</v>
      </c>
      <c r="CQ28" s="535">
        <f ca="1"/>
        <v>0</v>
      </c>
      <c r="CS28" s="100">
        <f t="shared" si="19"/>
        <v>27</v>
      </c>
      <c r="CT28" s="102">
        <f t="shared" ca="1" si="20"/>
        <v>24853.589860604719</v>
      </c>
      <c r="CU28" s="102">
        <f t="shared" ca="1" si="21"/>
        <v>25037.920652070872</v>
      </c>
      <c r="CV28" s="511">
        <f t="shared" ca="1" si="22"/>
        <v>2028</v>
      </c>
      <c r="CW28" s="1">
        <f t="shared" si="47"/>
        <v>313</v>
      </c>
      <c r="CX28" s="99">
        <f t="shared" ca="1" si="23"/>
        <v>0</v>
      </c>
    </row>
    <row r="29" spans="1:102" x14ac:dyDescent="0.3">
      <c r="A29" s="100">
        <v>28</v>
      </c>
      <c r="B29" s="131">
        <f t="shared" si="24"/>
        <v>0</v>
      </c>
      <c r="C29" s="102">
        <f t="shared" si="25"/>
        <v>0</v>
      </c>
      <c r="D29" s="102">
        <f t="shared" si="26"/>
        <v>0</v>
      </c>
      <c r="E29" s="102">
        <f t="shared" si="6"/>
        <v>0</v>
      </c>
      <c r="F29" s="102">
        <f t="shared" si="27"/>
        <v>0</v>
      </c>
      <c r="L29" s="100">
        <v>28</v>
      </c>
      <c r="M29" s="131">
        <f t="shared" ca="1" si="28"/>
        <v>47019</v>
      </c>
      <c r="N29" s="102">
        <f t="shared" si="29"/>
        <v>0</v>
      </c>
      <c r="O29" s="102">
        <f t="shared" si="30"/>
        <v>0</v>
      </c>
      <c r="P29" s="102">
        <f t="shared" si="7"/>
        <v>0</v>
      </c>
      <c r="Q29" s="102">
        <f t="shared" si="8"/>
        <v>0</v>
      </c>
      <c r="W29" s="100">
        <v>28</v>
      </c>
      <c r="X29" s="131">
        <f t="shared" ca="1" si="31"/>
        <v>47019</v>
      </c>
      <c r="Y29" s="102">
        <f t="shared" si="32"/>
        <v>0</v>
      </c>
      <c r="Z29" s="102">
        <f t="shared" si="33"/>
        <v>0</v>
      </c>
      <c r="AA29" s="102">
        <f t="shared" si="49"/>
        <v>0</v>
      </c>
      <c r="AB29" s="102">
        <f t="shared" si="9"/>
        <v>0</v>
      </c>
      <c r="AH29" s="100">
        <v>28</v>
      </c>
      <c r="AI29" s="131">
        <f t="shared" ca="1" si="34"/>
        <v>47019</v>
      </c>
      <c r="AJ29" s="102">
        <f t="shared" si="35"/>
        <v>0</v>
      </c>
      <c r="AK29" s="102">
        <f t="shared" si="36"/>
        <v>0</v>
      </c>
      <c r="AL29" s="102">
        <f t="shared" si="50"/>
        <v>0</v>
      </c>
      <c r="AM29" s="102">
        <f t="shared" si="10"/>
        <v>0</v>
      </c>
      <c r="AS29" s="530">
        <v>28</v>
      </c>
      <c r="AT29" s="531">
        <f t="shared" ca="1" si="37"/>
        <v>47019</v>
      </c>
      <c r="AU29" s="532">
        <f ca="1">IF(AU28=0,SUMIFS('Key Life Events'!$L$3:$L$28,'Key Life Events'!$H$3:$H$28,'Loan Amortization'!$AY$3,'Key Life Events'!$N$3:$N$28,'Loan Amortization'!AT29),AU28-AX28)</f>
        <v>0</v>
      </c>
      <c r="AV29" s="532">
        <f t="shared" ca="1" si="38"/>
        <v>0</v>
      </c>
      <c r="AW29" s="532">
        <f t="shared" ca="1" si="2"/>
        <v>0</v>
      </c>
      <c r="AX29" s="532">
        <f t="shared" ca="1" si="11"/>
        <v>0</v>
      </c>
      <c r="BC29" s="536">
        <f t="shared" ca="1" si="12"/>
        <v>2028</v>
      </c>
      <c r="BF29" s="530">
        <v>28</v>
      </c>
      <c r="BG29" s="531">
        <f t="shared" ca="1" si="39"/>
        <v>47019</v>
      </c>
      <c r="BH29" s="532">
        <f ca="1">IF(BH28=0,SUMIFS('Key Life Events'!$L$3:$L$28,'Key Life Events'!$H$3:$H$28,'Loan Amortization'!$BL$3,'Key Life Events'!$N$3:$N$28,'Loan Amortization'!BG29),BH28-BK28)</f>
        <v>0</v>
      </c>
      <c r="BI29" s="532">
        <f t="shared" ca="1" si="40"/>
        <v>0</v>
      </c>
      <c r="BJ29" s="532">
        <f t="shared" ca="1" si="41"/>
        <v>0</v>
      </c>
      <c r="BK29" s="532">
        <f t="shared" ca="1" si="13"/>
        <v>0</v>
      </c>
      <c r="BP29" s="536">
        <f t="shared" ca="1" si="14"/>
        <v>2028</v>
      </c>
      <c r="BQ29" s="535">
        <f ca="1"/>
        <v>0</v>
      </c>
      <c r="BS29" s="530">
        <v>28</v>
      </c>
      <c r="BT29" s="531">
        <f t="shared" ca="1" si="42"/>
        <v>47019</v>
      </c>
      <c r="BU29" s="532">
        <f ca="1">IF(BU28=0,SUMIFS('Key Life Events'!$L$3:$L$28,'Key Life Events'!$H$3:$H$28,'Loan Amortization'!$BY$3,'Key Life Events'!$N$3:$N$28,'Loan Amortization'!BT29),BU28-BX28)</f>
        <v>0</v>
      </c>
      <c r="BV29" s="532">
        <f t="shared" ca="1" si="48"/>
        <v>0</v>
      </c>
      <c r="BW29" s="532">
        <f t="shared" ca="1" si="43"/>
        <v>0</v>
      </c>
      <c r="BX29" s="532">
        <f t="shared" ca="1" si="15"/>
        <v>0</v>
      </c>
      <c r="CC29" s="536">
        <f t="shared" ca="1" si="16"/>
        <v>2028</v>
      </c>
      <c r="CD29" s="535">
        <f ca="1"/>
        <v>0</v>
      </c>
      <c r="CF29" s="530">
        <v>28</v>
      </c>
      <c r="CG29" s="531">
        <f t="shared" ca="1" si="44"/>
        <v>47019</v>
      </c>
      <c r="CH29" s="532">
        <f ca="1">IF(CH28=0,SUMIFS('Key Life Events'!$L$3:$L$28,'Key Life Events'!$H$3:$H$28,'Loan Amortization'!$CL$3,'Key Life Events'!$N$3:$N$28,'Loan Amortization'!CG29),CH28-CK28)</f>
        <v>0</v>
      </c>
      <c r="CI29" s="532">
        <f t="shared" ca="1" si="45"/>
        <v>0</v>
      </c>
      <c r="CJ29" s="532">
        <f t="shared" ca="1" si="46"/>
        <v>0</v>
      </c>
      <c r="CK29" s="532">
        <f t="shared" ca="1" si="17"/>
        <v>0</v>
      </c>
      <c r="CP29" s="536">
        <f t="shared" ca="1" si="18"/>
        <v>2028</v>
      </c>
      <c r="CQ29" s="535">
        <f ca="1"/>
        <v>0</v>
      </c>
      <c r="CS29" s="100">
        <f t="shared" si="19"/>
        <v>28</v>
      </c>
      <c r="CT29" s="102">
        <f t="shared" ca="1" si="20"/>
        <v>0</v>
      </c>
      <c r="CU29" s="102">
        <f t="shared" ca="1" si="21"/>
        <v>0</v>
      </c>
      <c r="CV29" s="511">
        <f t="shared" ca="1" si="22"/>
        <v>2028</v>
      </c>
      <c r="CW29" s="1">
        <f t="shared" si="47"/>
        <v>325</v>
      </c>
      <c r="CX29" s="99">
        <f t="shared" ca="1" si="23"/>
        <v>0</v>
      </c>
    </row>
    <row r="30" spans="1:102" x14ac:dyDescent="0.3">
      <c r="A30" s="100">
        <v>29</v>
      </c>
      <c r="B30" s="131">
        <f t="shared" si="24"/>
        <v>31</v>
      </c>
      <c r="C30" s="102">
        <f t="shared" si="25"/>
        <v>0</v>
      </c>
      <c r="D30" s="102">
        <f t="shared" si="26"/>
        <v>0</v>
      </c>
      <c r="E30" s="102">
        <f t="shared" si="6"/>
        <v>0</v>
      </c>
      <c r="F30" s="102">
        <f t="shared" si="27"/>
        <v>0</v>
      </c>
      <c r="L30" s="100">
        <v>29</v>
      </c>
      <c r="M30" s="131">
        <f t="shared" ca="1" si="28"/>
        <v>47049</v>
      </c>
      <c r="N30" s="102">
        <f t="shared" si="29"/>
        <v>0</v>
      </c>
      <c r="O30" s="102">
        <f t="shared" si="30"/>
        <v>0</v>
      </c>
      <c r="P30" s="102">
        <f t="shared" si="7"/>
        <v>0</v>
      </c>
      <c r="Q30" s="102">
        <f t="shared" si="8"/>
        <v>0</v>
      </c>
      <c r="W30" s="100">
        <v>29</v>
      </c>
      <c r="X30" s="131">
        <f t="shared" ca="1" si="31"/>
        <v>47049</v>
      </c>
      <c r="Y30" s="102">
        <f t="shared" si="32"/>
        <v>0</v>
      </c>
      <c r="Z30" s="102">
        <f t="shared" si="33"/>
        <v>0</v>
      </c>
      <c r="AA30" s="102">
        <f t="shared" si="49"/>
        <v>0</v>
      </c>
      <c r="AB30" s="102">
        <f t="shared" si="9"/>
        <v>0</v>
      </c>
      <c r="AH30" s="100">
        <v>29</v>
      </c>
      <c r="AI30" s="131">
        <f t="shared" ca="1" si="34"/>
        <v>47049</v>
      </c>
      <c r="AJ30" s="102">
        <f t="shared" si="35"/>
        <v>0</v>
      </c>
      <c r="AK30" s="102">
        <f t="shared" si="36"/>
        <v>0</v>
      </c>
      <c r="AL30" s="102">
        <f t="shared" si="50"/>
        <v>0</v>
      </c>
      <c r="AM30" s="102">
        <f t="shared" si="10"/>
        <v>0</v>
      </c>
      <c r="AS30" s="530">
        <v>29</v>
      </c>
      <c r="AT30" s="531">
        <f t="shared" ca="1" si="37"/>
        <v>47049</v>
      </c>
      <c r="AU30" s="532">
        <f ca="1">IF(AU29=0,SUMIFS('Key Life Events'!$L$3:$L$28,'Key Life Events'!$H$3:$H$28,'Loan Amortization'!$AY$3,'Key Life Events'!$N$3:$N$28,'Loan Amortization'!AT30),AU29-AX29)</f>
        <v>0</v>
      </c>
      <c r="AV30" s="532">
        <f t="shared" ca="1" si="38"/>
        <v>0</v>
      </c>
      <c r="AW30" s="532">
        <f t="shared" ca="1" si="2"/>
        <v>0</v>
      </c>
      <c r="AX30" s="532">
        <f t="shared" ca="1" si="11"/>
        <v>0</v>
      </c>
      <c r="BC30" s="536">
        <f t="shared" ca="1" si="12"/>
        <v>2028</v>
      </c>
      <c r="BF30" s="530">
        <v>29</v>
      </c>
      <c r="BG30" s="531">
        <f t="shared" ca="1" si="39"/>
        <v>47049</v>
      </c>
      <c r="BH30" s="532">
        <f ca="1">IF(BH29=0,SUMIFS('Key Life Events'!$L$3:$L$28,'Key Life Events'!$H$3:$H$28,'Loan Amortization'!$BL$3,'Key Life Events'!$N$3:$N$28,'Loan Amortization'!BG30),BH29-BK29)</f>
        <v>0</v>
      </c>
      <c r="BI30" s="532">
        <f t="shared" ca="1" si="40"/>
        <v>0</v>
      </c>
      <c r="BJ30" s="532">
        <f t="shared" ca="1" si="41"/>
        <v>0</v>
      </c>
      <c r="BK30" s="532">
        <f t="shared" ca="1" si="13"/>
        <v>0</v>
      </c>
      <c r="BP30" s="536">
        <f t="shared" ca="1" si="14"/>
        <v>2028</v>
      </c>
      <c r="BQ30" s="535">
        <f ca="1"/>
        <v>0</v>
      </c>
      <c r="BS30" s="530">
        <v>29</v>
      </c>
      <c r="BT30" s="531">
        <f t="shared" ca="1" si="42"/>
        <v>47049</v>
      </c>
      <c r="BU30" s="532">
        <f ca="1">IF(BU29=0,SUMIFS('Key Life Events'!$L$3:$L$28,'Key Life Events'!$H$3:$H$28,'Loan Amortization'!$BY$3,'Key Life Events'!$N$3:$N$28,'Loan Amortization'!BT30),BU29-BX29)</f>
        <v>0</v>
      </c>
      <c r="BV30" s="532">
        <f t="shared" ca="1" si="48"/>
        <v>0</v>
      </c>
      <c r="BW30" s="532">
        <f t="shared" ca="1" si="43"/>
        <v>0</v>
      </c>
      <c r="BX30" s="532">
        <f t="shared" ca="1" si="15"/>
        <v>0</v>
      </c>
      <c r="CC30" s="536">
        <f t="shared" ca="1" si="16"/>
        <v>2028</v>
      </c>
      <c r="CD30" s="535">
        <f ca="1"/>
        <v>0</v>
      </c>
      <c r="CF30" s="530">
        <v>29</v>
      </c>
      <c r="CG30" s="531">
        <f t="shared" ca="1" si="44"/>
        <v>47049</v>
      </c>
      <c r="CH30" s="532">
        <f ca="1">IF(CH29=0,SUMIFS('Key Life Events'!$L$3:$L$28,'Key Life Events'!$H$3:$H$28,'Loan Amortization'!$CL$3,'Key Life Events'!$N$3:$N$28,'Loan Amortization'!CG30),CH29-CK29)</f>
        <v>0</v>
      </c>
      <c r="CI30" s="532">
        <f t="shared" ca="1" si="45"/>
        <v>0</v>
      </c>
      <c r="CJ30" s="532">
        <f t="shared" ca="1" si="46"/>
        <v>0</v>
      </c>
      <c r="CK30" s="532">
        <f t="shared" ca="1" si="17"/>
        <v>0</v>
      </c>
      <c r="CP30" s="536">
        <f t="shared" ca="1" si="18"/>
        <v>2028</v>
      </c>
      <c r="CQ30" s="535">
        <f ca="1"/>
        <v>0</v>
      </c>
      <c r="CS30" s="100">
        <f t="shared" si="19"/>
        <v>29</v>
      </c>
      <c r="CT30" s="102">
        <f t="shared" ca="1" si="20"/>
        <v>0</v>
      </c>
      <c r="CU30" s="102">
        <f t="shared" ca="1" si="21"/>
        <v>0</v>
      </c>
      <c r="CV30" s="511">
        <f t="shared" ca="1" si="22"/>
        <v>2028</v>
      </c>
      <c r="CW30" s="1">
        <f t="shared" si="47"/>
        <v>337</v>
      </c>
      <c r="CX30" s="99">
        <f t="shared" ca="1" si="23"/>
        <v>0</v>
      </c>
    </row>
    <row r="31" spans="1:102" x14ac:dyDescent="0.3">
      <c r="A31" s="100">
        <v>30</v>
      </c>
      <c r="B31" s="131">
        <f t="shared" si="24"/>
        <v>59</v>
      </c>
      <c r="C31" s="102">
        <f t="shared" si="25"/>
        <v>0</v>
      </c>
      <c r="D31" s="102">
        <f t="shared" si="26"/>
        <v>0</v>
      </c>
      <c r="E31" s="102">
        <f t="shared" si="6"/>
        <v>0</v>
      </c>
      <c r="F31" s="102">
        <f t="shared" si="27"/>
        <v>0</v>
      </c>
      <c r="L31" s="100">
        <v>30</v>
      </c>
      <c r="M31" s="131">
        <f t="shared" ca="1" si="28"/>
        <v>47080</v>
      </c>
      <c r="N31" s="102">
        <f t="shared" si="29"/>
        <v>0</v>
      </c>
      <c r="O31" s="102">
        <f t="shared" si="30"/>
        <v>0</v>
      </c>
      <c r="P31" s="102">
        <f t="shared" si="7"/>
        <v>0</v>
      </c>
      <c r="Q31" s="102">
        <f t="shared" si="8"/>
        <v>0</v>
      </c>
      <c r="W31" s="100">
        <v>30</v>
      </c>
      <c r="X31" s="131">
        <f t="shared" ca="1" si="31"/>
        <v>47080</v>
      </c>
      <c r="Y31" s="102">
        <f t="shared" si="32"/>
        <v>0</v>
      </c>
      <c r="Z31" s="102">
        <f t="shared" si="33"/>
        <v>0</v>
      </c>
      <c r="AA31" s="102">
        <f t="shared" si="49"/>
        <v>0</v>
      </c>
      <c r="AB31" s="102">
        <f t="shared" si="9"/>
        <v>0</v>
      </c>
      <c r="AH31" s="100">
        <v>30</v>
      </c>
      <c r="AI31" s="131">
        <f t="shared" ca="1" si="34"/>
        <v>47080</v>
      </c>
      <c r="AJ31" s="102">
        <f t="shared" si="35"/>
        <v>0</v>
      </c>
      <c r="AK31" s="102">
        <f t="shared" si="36"/>
        <v>0</v>
      </c>
      <c r="AL31" s="102">
        <f t="shared" si="50"/>
        <v>0</v>
      </c>
      <c r="AM31" s="102">
        <f t="shared" si="10"/>
        <v>0</v>
      </c>
      <c r="AS31" s="530">
        <v>30</v>
      </c>
      <c r="AT31" s="531">
        <f t="shared" ca="1" si="37"/>
        <v>47080</v>
      </c>
      <c r="AU31" s="532">
        <f ca="1">IF(AU30=0,SUMIFS('Key Life Events'!$L$3:$L$28,'Key Life Events'!$H$3:$H$28,'Loan Amortization'!$AY$3,'Key Life Events'!$N$3:$N$28,'Loan Amortization'!AT31),AU30-AX30)</f>
        <v>0</v>
      </c>
      <c r="AV31" s="532">
        <f t="shared" ca="1" si="38"/>
        <v>0</v>
      </c>
      <c r="AW31" s="532">
        <f t="shared" ca="1" si="2"/>
        <v>0</v>
      </c>
      <c r="AX31" s="532">
        <f t="shared" ca="1" si="11"/>
        <v>0</v>
      </c>
      <c r="BC31" s="536">
        <f t="shared" ca="1" si="12"/>
        <v>2028</v>
      </c>
      <c r="BF31" s="530">
        <v>30</v>
      </c>
      <c r="BG31" s="531">
        <f t="shared" ca="1" si="39"/>
        <v>47080</v>
      </c>
      <c r="BH31" s="532">
        <f ca="1">IF(BH30=0,SUMIFS('Key Life Events'!$L$3:$L$28,'Key Life Events'!$H$3:$H$28,'Loan Amortization'!$BL$3,'Key Life Events'!$N$3:$N$28,'Loan Amortization'!BG31),BH30-BK30)</f>
        <v>0</v>
      </c>
      <c r="BI31" s="532">
        <f t="shared" ca="1" si="40"/>
        <v>0</v>
      </c>
      <c r="BJ31" s="532">
        <f t="shared" ca="1" si="41"/>
        <v>0</v>
      </c>
      <c r="BK31" s="532">
        <f t="shared" ca="1" si="13"/>
        <v>0</v>
      </c>
      <c r="BP31" s="536">
        <f t="shared" ca="1" si="14"/>
        <v>2028</v>
      </c>
      <c r="BQ31" s="535">
        <f ca="1"/>
        <v>0</v>
      </c>
      <c r="BS31" s="530">
        <v>30</v>
      </c>
      <c r="BT31" s="531">
        <f t="shared" ca="1" si="42"/>
        <v>47080</v>
      </c>
      <c r="BU31" s="532">
        <f ca="1">IF(BU30=0,SUMIFS('Key Life Events'!$L$3:$L$28,'Key Life Events'!$H$3:$H$28,'Loan Amortization'!$BY$3,'Key Life Events'!$N$3:$N$28,'Loan Amortization'!BT31),BU30-BX30)</f>
        <v>0</v>
      </c>
      <c r="BV31" s="532">
        <f t="shared" ca="1" si="48"/>
        <v>0</v>
      </c>
      <c r="BW31" s="532">
        <f t="shared" ca="1" si="43"/>
        <v>0</v>
      </c>
      <c r="BX31" s="532">
        <f t="shared" ca="1" si="15"/>
        <v>0</v>
      </c>
      <c r="CC31" s="536">
        <f t="shared" ca="1" si="16"/>
        <v>2028</v>
      </c>
      <c r="CD31" s="535">
        <f ca="1"/>
        <v>0</v>
      </c>
      <c r="CF31" s="530">
        <v>30</v>
      </c>
      <c r="CG31" s="531">
        <f t="shared" ca="1" si="44"/>
        <v>47080</v>
      </c>
      <c r="CH31" s="532">
        <f ca="1">IF(CH30=0,SUMIFS('Key Life Events'!$L$3:$L$28,'Key Life Events'!$H$3:$H$28,'Loan Amortization'!$CL$3,'Key Life Events'!$N$3:$N$28,'Loan Amortization'!CG31),CH30-CK30)</f>
        <v>0</v>
      </c>
      <c r="CI31" s="532">
        <f t="shared" ca="1" si="45"/>
        <v>0</v>
      </c>
      <c r="CJ31" s="532">
        <f t="shared" ca="1" si="46"/>
        <v>0</v>
      </c>
      <c r="CK31" s="532">
        <f t="shared" ca="1" si="17"/>
        <v>0</v>
      </c>
      <c r="CP31" s="536">
        <f t="shared" ca="1" si="18"/>
        <v>2028</v>
      </c>
      <c r="CQ31" s="535">
        <f ca="1"/>
        <v>0</v>
      </c>
      <c r="CS31" s="100">
        <f t="shared" si="19"/>
        <v>30</v>
      </c>
      <c r="CT31" s="102">
        <f t="shared" ca="1" si="20"/>
        <v>0</v>
      </c>
      <c r="CU31" s="102">
        <f t="shared" ca="1" si="21"/>
        <v>0</v>
      </c>
      <c r="CV31" s="511">
        <f t="shared" ca="1" si="22"/>
        <v>2028</v>
      </c>
      <c r="CW31" s="1">
        <f t="shared" si="47"/>
        <v>349</v>
      </c>
      <c r="CX31" s="99">
        <f t="shared" ca="1" si="23"/>
        <v>0</v>
      </c>
    </row>
    <row r="32" spans="1:102" x14ac:dyDescent="0.3">
      <c r="A32" s="100">
        <v>31</v>
      </c>
      <c r="B32" s="131">
        <f t="shared" si="24"/>
        <v>88</v>
      </c>
      <c r="C32" s="102">
        <f t="shared" si="25"/>
        <v>0</v>
      </c>
      <c r="D32" s="102">
        <f t="shared" si="26"/>
        <v>0</v>
      </c>
      <c r="E32" s="102">
        <f t="shared" si="6"/>
        <v>0</v>
      </c>
      <c r="F32" s="102">
        <f t="shared" si="27"/>
        <v>0</v>
      </c>
      <c r="L32" s="100">
        <v>31</v>
      </c>
      <c r="M32" s="131">
        <f t="shared" ca="1" si="28"/>
        <v>47110</v>
      </c>
      <c r="N32" s="102">
        <f t="shared" si="29"/>
        <v>0</v>
      </c>
      <c r="O32" s="102">
        <f t="shared" si="30"/>
        <v>0</v>
      </c>
      <c r="P32" s="102">
        <f t="shared" si="7"/>
        <v>0</v>
      </c>
      <c r="Q32" s="102">
        <f t="shared" si="8"/>
        <v>0</v>
      </c>
      <c r="W32" s="100">
        <v>31</v>
      </c>
      <c r="X32" s="131">
        <f t="shared" ca="1" si="31"/>
        <v>47110</v>
      </c>
      <c r="Y32" s="102">
        <f t="shared" si="32"/>
        <v>0</v>
      </c>
      <c r="Z32" s="102">
        <f t="shared" si="33"/>
        <v>0</v>
      </c>
      <c r="AA32" s="102">
        <f t="shared" si="49"/>
        <v>0</v>
      </c>
      <c r="AB32" s="102">
        <f t="shared" si="9"/>
        <v>0</v>
      </c>
      <c r="AH32" s="100">
        <v>31</v>
      </c>
      <c r="AI32" s="131">
        <f t="shared" ca="1" si="34"/>
        <v>47110</v>
      </c>
      <c r="AJ32" s="102">
        <f t="shared" si="35"/>
        <v>0</v>
      </c>
      <c r="AK32" s="102">
        <f t="shared" si="36"/>
        <v>0</v>
      </c>
      <c r="AL32" s="102">
        <f t="shared" si="50"/>
        <v>0</v>
      </c>
      <c r="AM32" s="102">
        <f t="shared" si="10"/>
        <v>0</v>
      </c>
      <c r="AS32" s="530">
        <v>31</v>
      </c>
      <c r="AT32" s="531">
        <f t="shared" ca="1" si="37"/>
        <v>47110</v>
      </c>
      <c r="AU32" s="532">
        <f ca="1">IF(AU31=0,SUMIFS('Key Life Events'!$L$3:$L$28,'Key Life Events'!$H$3:$H$28,'Loan Amortization'!$AY$3,'Key Life Events'!$N$3:$N$28,'Loan Amortization'!AT32),AU31-AX31)</f>
        <v>0</v>
      </c>
      <c r="AV32" s="532">
        <f t="shared" ca="1" si="38"/>
        <v>0</v>
      </c>
      <c r="AW32" s="532">
        <f t="shared" ca="1" si="2"/>
        <v>0</v>
      </c>
      <c r="AX32" s="532">
        <f t="shared" ca="1" si="11"/>
        <v>0</v>
      </c>
      <c r="BC32" s="536">
        <f t="shared" ca="1" si="12"/>
        <v>2028</v>
      </c>
      <c r="BF32" s="530">
        <v>31</v>
      </c>
      <c r="BG32" s="531">
        <f t="shared" ca="1" si="39"/>
        <v>47110</v>
      </c>
      <c r="BH32" s="532">
        <f ca="1">IF(BH31=0,SUMIFS('Key Life Events'!$L$3:$L$28,'Key Life Events'!$H$3:$H$28,'Loan Amortization'!$BL$3,'Key Life Events'!$N$3:$N$28,'Loan Amortization'!BG32),BH31-BK31)</f>
        <v>0</v>
      </c>
      <c r="BI32" s="532">
        <f t="shared" ca="1" si="40"/>
        <v>0</v>
      </c>
      <c r="BJ32" s="532">
        <f t="shared" ca="1" si="41"/>
        <v>0</v>
      </c>
      <c r="BK32" s="532">
        <f t="shared" ca="1" si="13"/>
        <v>0</v>
      </c>
      <c r="BP32" s="536">
        <f t="shared" ca="1" si="14"/>
        <v>2028</v>
      </c>
      <c r="BQ32" s="535">
        <f ca="1"/>
        <v>0</v>
      </c>
      <c r="BS32" s="530">
        <v>31</v>
      </c>
      <c r="BT32" s="531">
        <f t="shared" ca="1" si="42"/>
        <v>47110</v>
      </c>
      <c r="BU32" s="532">
        <f ca="1">IF(BU31=0,SUMIFS('Key Life Events'!$L$3:$L$28,'Key Life Events'!$H$3:$H$28,'Loan Amortization'!$BY$3,'Key Life Events'!$N$3:$N$28,'Loan Amortization'!BT32),BU31-BX31)</f>
        <v>0</v>
      </c>
      <c r="BV32" s="532">
        <f t="shared" ca="1" si="48"/>
        <v>0</v>
      </c>
      <c r="BW32" s="532">
        <f t="shared" ca="1" si="43"/>
        <v>0</v>
      </c>
      <c r="BX32" s="532">
        <f t="shared" ca="1" si="15"/>
        <v>0</v>
      </c>
      <c r="CC32" s="536">
        <f t="shared" ca="1" si="16"/>
        <v>2028</v>
      </c>
      <c r="CD32" s="535">
        <f ca="1"/>
        <v>0</v>
      </c>
      <c r="CF32" s="530">
        <v>31</v>
      </c>
      <c r="CG32" s="531">
        <f t="shared" ca="1" si="44"/>
        <v>47110</v>
      </c>
      <c r="CH32" s="532">
        <f ca="1">IF(CH31=0,SUMIFS('Key Life Events'!$L$3:$L$28,'Key Life Events'!$H$3:$H$28,'Loan Amortization'!$CL$3,'Key Life Events'!$N$3:$N$28,'Loan Amortization'!CG32),CH31-CK31)</f>
        <v>0</v>
      </c>
      <c r="CI32" s="532">
        <f t="shared" ca="1" si="45"/>
        <v>0</v>
      </c>
      <c r="CJ32" s="532">
        <f t="shared" ca="1" si="46"/>
        <v>0</v>
      </c>
      <c r="CK32" s="532">
        <f t="shared" ca="1" si="17"/>
        <v>0</v>
      </c>
      <c r="CP32" s="536">
        <f t="shared" ca="1" si="18"/>
        <v>2028</v>
      </c>
      <c r="CQ32" s="535">
        <f ca="1"/>
        <v>0</v>
      </c>
      <c r="CS32" s="100">
        <f t="shared" si="19"/>
        <v>31</v>
      </c>
      <c r="CT32" s="102">
        <f t="shared" ca="1" si="20"/>
        <v>0</v>
      </c>
      <c r="CU32" s="102">
        <f t="shared" ca="1" si="21"/>
        <v>0</v>
      </c>
      <c r="CV32" s="511">
        <f t="shared" ca="1" si="22"/>
        <v>2028</v>
      </c>
      <c r="CW32" s="1">
        <f t="shared" si="47"/>
        <v>361</v>
      </c>
      <c r="CX32" s="99">
        <f t="shared" ca="1" si="23"/>
        <v>0</v>
      </c>
    </row>
    <row r="33" spans="1:102" x14ac:dyDescent="0.3">
      <c r="A33" s="100">
        <v>32</v>
      </c>
      <c r="B33" s="131">
        <f t="shared" si="24"/>
        <v>119</v>
      </c>
      <c r="C33" s="102">
        <f t="shared" si="25"/>
        <v>0</v>
      </c>
      <c r="D33" s="102">
        <f t="shared" si="26"/>
        <v>0</v>
      </c>
      <c r="E33" s="102">
        <f t="shared" si="6"/>
        <v>0</v>
      </c>
      <c r="F33" s="102">
        <f t="shared" si="27"/>
        <v>0</v>
      </c>
      <c r="L33" s="100">
        <v>32</v>
      </c>
      <c r="M33" s="131">
        <f t="shared" ca="1" si="28"/>
        <v>47141</v>
      </c>
      <c r="N33" s="102">
        <f t="shared" si="29"/>
        <v>0</v>
      </c>
      <c r="O33" s="102">
        <f t="shared" si="30"/>
        <v>0</v>
      </c>
      <c r="P33" s="102">
        <f t="shared" si="7"/>
        <v>0</v>
      </c>
      <c r="Q33" s="102">
        <f t="shared" si="8"/>
        <v>0</v>
      </c>
      <c r="W33" s="100">
        <v>32</v>
      </c>
      <c r="X33" s="131">
        <f t="shared" ca="1" si="31"/>
        <v>47141</v>
      </c>
      <c r="Y33" s="102">
        <f t="shared" si="32"/>
        <v>0</v>
      </c>
      <c r="Z33" s="102">
        <f t="shared" si="33"/>
        <v>0</v>
      </c>
      <c r="AA33" s="102">
        <f t="shared" si="49"/>
        <v>0</v>
      </c>
      <c r="AB33" s="102">
        <f t="shared" si="9"/>
        <v>0</v>
      </c>
      <c r="AH33" s="100">
        <v>32</v>
      </c>
      <c r="AI33" s="131">
        <f t="shared" ca="1" si="34"/>
        <v>47141</v>
      </c>
      <c r="AJ33" s="102">
        <f t="shared" si="35"/>
        <v>0</v>
      </c>
      <c r="AK33" s="102">
        <f t="shared" si="36"/>
        <v>0</v>
      </c>
      <c r="AL33" s="102">
        <f t="shared" si="50"/>
        <v>0</v>
      </c>
      <c r="AM33" s="102">
        <f t="shared" si="10"/>
        <v>0</v>
      </c>
      <c r="AS33" s="530">
        <v>32</v>
      </c>
      <c r="AT33" s="531">
        <f t="shared" ca="1" si="37"/>
        <v>47141</v>
      </c>
      <c r="AU33" s="532">
        <f ca="1">IF(AU32=0,SUMIFS('Key Life Events'!$L$3:$L$28,'Key Life Events'!$H$3:$H$28,'Loan Amortization'!$AY$3,'Key Life Events'!$N$3:$N$28,'Loan Amortization'!AT33),AU32-AX32)</f>
        <v>0</v>
      </c>
      <c r="AV33" s="532">
        <f t="shared" ca="1" si="38"/>
        <v>0</v>
      </c>
      <c r="AW33" s="532">
        <f t="shared" ca="1" si="2"/>
        <v>0</v>
      </c>
      <c r="AX33" s="532">
        <f t="shared" ca="1" si="11"/>
        <v>0</v>
      </c>
      <c r="BC33" s="536">
        <f t="shared" ca="1" si="12"/>
        <v>2029</v>
      </c>
      <c r="BF33" s="530">
        <v>32</v>
      </c>
      <c r="BG33" s="531">
        <f t="shared" ca="1" si="39"/>
        <v>47141</v>
      </c>
      <c r="BH33" s="532">
        <f ca="1">IF(BH32=0,SUMIFS('Key Life Events'!$L$3:$L$28,'Key Life Events'!$H$3:$H$28,'Loan Amortization'!$BL$3,'Key Life Events'!$N$3:$N$28,'Loan Amortization'!BG33),BH32-BK32)</f>
        <v>0</v>
      </c>
      <c r="BI33" s="532">
        <f t="shared" ca="1" si="40"/>
        <v>0</v>
      </c>
      <c r="BJ33" s="532">
        <f t="shared" ca="1" si="41"/>
        <v>0</v>
      </c>
      <c r="BK33" s="532">
        <f t="shared" ca="1" si="13"/>
        <v>0</v>
      </c>
      <c r="BP33" s="536">
        <f t="shared" ca="1" si="14"/>
        <v>2029</v>
      </c>
      <c r="BQ33" s="535">
        <f ca="1"/>
        <v>0</v>
      </c>
      <c r="BS33" s="530">
        <v>32</v>
      </c>
      <c r="BT33" s="531">
        <f t="shared" ca="1" si="42"/>
        <v>47141</v>
      </c>
      <c r="BU33" s="532">
        <f ca="1">IF(BU32=0,SUMIFS('Key Life Events'!$L$3:$L$28,'Key Life Events'!$H$3:$H$28,'Loan Amortization'!$BY$3,'Key Life Events'!$N$3:$N$28,'Loan Amortization'!BT33),BU32-BX32)</f>
        <v>0</v>
      </c>
      <c r="BV33" s="532">
        <f t="shared" ca="1" si="48"/>
        <v>0</v>
      </c>
      <c r="BW33" s="532">
        <f t="shared" ca="1" si="43"/>
        <v>0</v>
      </c>
      <c r="BX33" s="532">
        <f t="shared" ca="1" si="15"/>
        <v>0</v>
      </c>
      <c r="CC33" s="536">
        <f t="shared" ca="1" si="16"/>
        <v>2029</v>
      </c>
      <c r="CD33" s="535">
        <f ca="1"/>
        <v>0</v>
      </c>
      <c r="CF33" s="530">
        <v>32</v>
      </c>
      <c r="CG33" s="531">
        <f t="shared" ca="1" si="44"/>
        <v>47141</v>
      </c>
      <c r="CH33" s="532">
        <f ca="1">IF(CH32=0,SUMIFS('Key Life Events'!$L$3:$L$28,'Key Life Events'!$H$3:$H$28,'Loan Amortization'!$CL$3,'Key Life Events'!$N$3:$N$28,'Loan Amortization'!CG33),CH32-CK32)</f>
        <v>0</v>
      </c>
      <c r="CI33" s="532">
        <f t="shared" ca="1" si="45"/>
        <v>0</v>
      </c>
      <c r="CJ33" s="532">
        <f t="shared" ca="1" si="46"/>
        <v>0</v>
      </c>
      <c r="CK33" s="532">
        <f t="shared" ca="1" si="17"/>
        <v>0</v>
      </c>
      <c r="CP33" s="536">
        <f t="shared" ca="1" si="18"/>
        <v>2029</v>
      </c>
      <c r="CQ33" s="535">
        <f ca="1"/>
        <v>0</v>
      </c>
      <c r="CS33" s="100">
        <f t="shared" si="19"/>
        <v>32</v>
      </c>
      <c r="CT33" s="102">
        <f t="shared" ca="1" si="20"/>
        <v>0</v>
      </c>
      <c r="CU33" s="102">
        <f t="shared" ca="1" si="21"/>
        <v>0</v>
      </c>
      <c r="CV33" s="511">
        <f t="shared" ca="1" si="22"/>
        <v>2029</v>
      </c>
      <c r="CW33" s="1">
        <f t="shared" si="47"/>
        <v>373</v>
      </c>
      <c r="CX33" s="99">
        <f t="shared" ca="1" si="23"/>
        <v>0</v>
      </c>
    </row>
    <row r="34" spans="1:102" x14ac:dyDescent="0.3">
      <c r="A34" s="100">
        <v>33</v>
      </c>
      <c r="B34" s="131">
        <f t="shared" si="24"/>
        <v>149</v>
      </c>
      <c r="C34" s="102">
        <f t="shared" si="25"/>
        <v>0</v>
      </c>
      <c r="D34" s="102">
        <f t="shared" si="26"/>
        <v>0</v>
      </c>
      <c r="E34" s="102">
        <f t="shared" si="6"/>
        <v>0</v>
      </c>
      <c r="F34" s="102">
        <f t="shared" si="27"/>
        <v>0</v>
      </c>
      <c r="L34" s="100">
        <v>33</v>
      </c>
      <c r="M34" s="131">
        <f t="shared" ca="1" si="28"/>
        <v>47172</v>
      </c>
      <c r="N34" s="102">
        <f t="shared" si="29"/>
        <v>0</v>
      </c>
      <c r="O34" s="102">
        <f t="shared" si="30"/>
        <v>0</v>
      </c>
      <c r="P34" s="102">
        <f t="shared" si="7"/>
        <v>0</v>
      </c>
      <c r="Q34" s="102">
        <f t="shared" si="8"/>
        <v>0</v>
      </c>
      <c r="W34" s="100">
        <v>33</v>
      </c>
      <c r="X34" s="131">
        <f t="shared" ca="1" si="31"/>
        <v>47172</v>
      </c>
      <c r="Y34" s="102">
        <f t="shared" si="32"/>
        <v>0</v>
      </c>
      <c r="Z34" s="102">
        <f t="shared" si="33"/>
        <v>0</v>
      </c>
      <c r="AA34" s="102">
        <f t="shared" si="49"/>
        <v>0</v>
      </c>
      <c r="AB34" s="102">
        <f t="shared" si="9"/>
        <v>0</v>
      </c>
      <c r="AH34" s="100">
        <v>33</v>
      </c>
      <c r="AI34" s="131">
        <f t="shared" ca="1" si="34"/>
        <v>47172</v>
      </c>
      <c r="AJ34" s="102">
        <f t="shared" si="35"/>
        <v>0</v>
      </c>
      <c r="AK34" s="102">
        <f t="shared" si="36"/>
        <v>0</v>
      </c>
      <c r="AL34" s="102">
        <f t="shared" si="50"/>
        <v>0</v>
      </c>
      <c r="AM34" s="102">
        <f t="shared" si="10"/>
        <v>0</v>
      </c>
      <c r="AS34" s="530">
        <v>33</v>
      </c>
      <c r="AT34" s="531">
        <f t="shared" ca="1" si="37"/>
        <v>47172</v>
      </c>
      <c r="AU34" s="532">
        <f ca="1">IF(AU33=0,SUMIFS('Key Life Events'!$L$3:$L$28,'Key Life Events'!$H$3:$H$28,'Loan Amortization'!$AY$3,'Key Life Events'!$N$3:$N$28,'Loan Amortization'!AT34),AU33-AX33)</f>
        <v>0</v>
      </c>
      <c r="AV34" s="532">
        <f t="shared" ca="1" si="38"/>
        <v>0</v>
      </c>
      <c r="AW34" s="532">
        <f t="shared" ca="1" si="2"/>
        <v>0</v>
      </c>
      <c r="AX34" s="532">
        <f t="shared" ca="1" si="11"/>
        <v>0</v>
      </c>
      <c r="BC34" s="536">
        <f t="shared" ca="1" si="12"/>
        <v>2029</v>
      </c>
      <c r="BF34" s="530">
        <v>33</v>
      </c>
      <c r="BG34" s="531">
        <f t="shared" ca="1" si="39"/>
        <v>47172</v>
      </c>
      <c r="BH34" s="532">
        <f ca="1">IF(BH33=0,SUMIFS('Key Life Events'!$L$3:$L$28,'Key Life Events'!$H$3:$H$28,'Loan Amortization'!$BL$3,'Key Life Events'!$N$3:$N$28,'Loan Amortization'!BG34),BH33-BK33)</f>
        <v>0</v>
      </c>
      <c r="BI34" s="532">
        <f t="shared" ca="1" si="40"/>
        <v>0</v>
      </c>
      <c r="BJ34" s="532">
        <f t="shared" ca="1" si="41"/>
        <v>0</v>
      </c>
      <c r="BK34" s="532">
        <f t="shared" ca="1" si="13"/>
        <v>0</v>
      </c>
      <c r="BP34" s="536">
        <f t="shared" ca="1" si="14"/>
        <v>2029</v>
      </c>
      <c r="BQ34" s="535">
        <f ca="1"/>
        <v>0</v>
      </c>
      <c r="BS34" s="530">
        <v>33</v>
      </c>
      <c r="BT34" s="531">
        <f t="shared" ca="1" si="42"/>
        <v>47172</v>
      </c>
      <c r="BU34" s="532">
        <f ca="1">IF(BU33=0,SUMIFS('Key Life Events'!$L$3:$L$28,'Key Life Events'!$H$3:$H$28,'Loan Amortization'!$BY$3,'Key Life Events'!$N$3:$N$28,'Loan Amortization'!BT34),BU33-BX33)</f>
        <v>0</v>
      </c>
      <c r="BV34" s="532">
        <f t="shared" ca="1" si="48"/>
        <v>0</v>
      </c>
      <c r="BW34" s="532">
        <f t="shared" ca="1" si="43"/>
        <v>0</v>
      </c>
      <c r="BX34" s="532">
        <f t="shared" ca="1" si="15"/>
        <v>0</v>
      </c>
      <c r="CC34" s="536">
        <f t="shared" ca="1" si="16"/>
        <v>2029</v>
      </c>
      <c r="CD34" s="535">
        <f ca="1"/>
        <v>0</v>
      </c>
      <c r="CF34" s="530">
        <v>33</v>
      </c>
      <c r="CG34" s="531">
        <f t="shared" ca="1" si="44"/>
        <v>47172</v>
      </c>
      <c r="CH34" s="532">
        <f ca="1">IF(CH33=0,SUMIFS('Key Life Events'!$L$3:$L$28,'Key Life Events'!$H$3:$H$28,'Loan Amortization'!$CL$3,'Key Life Events'!$N$3:$N$28,'Loan Amortization'!CG34),CH33-CK33)</f>
        <v>0</v>
      </c>
      <c r="CI34" s="532">
        <f t="shared" ca="1" si="45"/>
        <v>0</v>
      </c>
      <c r="CJ34" s="532">
        <f t="shared" ca="1" si="46"/>
        <v>0</v>
      </c>
      <c r="CK34" s="532">
        <f t="shared" ca="1" si="17"/>
        <v>0</v>
      </c>
      <c r="CP34" s="536">
        <f t="shared" ca="1" si="18"/>
        <v>2029</v>
      </c>
      <c r="CQ34" s="535">
        <f ca="1"/>
        <v>0</v>
      </c>
      <c r="CS34" s="100">
        <f t="shared" si="19"/>
        <v>33</v>
      </c>
      <c r="CT34" s="102">
        <f t="shared" ca="1" si="20"/>
        <v>0</v>
      </c>
      <c r="CU34" s="102">
        <f t="shared" ca="1" si="21"/>
        <v>0</v>
      </c>
      <c r="CV34" s="511">
        <f t="shared" ca="1" si="22"/>
        <v>2029</v>
      </c>
      <c r="CW34" s="1">
        <f t="shared" si="47"/>
        <v>385</v>
      </c>
      <c r="CX34" s="99">
        <f t="shared" ca="1" si="23"/>
        <v>0</v>
      </c>
    </row>
    <row r="35" spans="1:102" x14ac:dyDescent="0.3">
      <c r="A35" s="100">
        <v>34</v>
      </c>
      <c r="B35" s="131">
        <f t="shared" si="24"/>
        <v>180</v>
      </c>
      <c r="C35" s="102">
        <f t="shared" si="25"/>
        <v>0</v>
      </c>
      <c r="D35" s="102">
        <f t="shared" si="26"/>
        <v>0</v>
      </c>
      <c r="E35" s="102">
        <f t="shared" si="6"/>
        <v>0</v>
      </c>
      <c r="F35" s="102">
        <f t="shared" si="27"/>
        <v>0</v>
      </c>
      <c r="L35" s="100">
        <v>34</v>
      </c>
      <c r="M35" s="131">
        <f t="shared" ca="1" si="28"/>
        <v>47200</v>
      </c>
      <c r="N35" s="102">
        <f t="shared" si="29"/>
        <v>0</v>
      </c>
      <c r="O35" s="102">
        <f t="shared" si="30"/>
        <v>0</v>
      </c>
      <c r="P35" s="102">
        <f t="shared" si="7"/>
        <v>0</v>
      </c>
      <c r="Q35" s="102">
        <f t="shared" si="8"/>
        <v>0</v>
      </c>
      <c r="W35" s="100">
        <v>34</v>
      </c>
      <c r="X35" s="131">
        <f t="shared" ca="1" si="31"/>
        <v>47200</v>
      </c>
      <c r="Y35" s="102">
        <f t="shared" si="32"/>
        <v>0</v>
      </c>
      <c r="Z35" s="102">
        <f t="shared" si="33"/>
        <v>0</v>
      </c>
      <c r="AA35" s="102">
        <f t="shared" si="49"/>
        <v>0</v>
      </c>
      <c r="AB35" s="102">
        <f t="shared" si="9"/>
        <v>0</v>
      </c>
      <c r="AH35" s="100">
        <v>34</v>
      </c>
      <c r="AI35" s="131">
        <f t="shared" ca="1" si="34"/>
        <v>47200</v>
      </c>
      <c r="AJ35" s="102">
        <f t="shared" si="35"/>
        <v>0</v>
      </c>
      <c r="AK35" s="102">
        <f t="shared" si="36"/>
        <v>0</v>
      </c>
      <c r="AL35" s="102">
        <f t="shared" si="50"/>
        <v>0</v>
      </c>
      <c r="AM35" s="102">
        <f t="shared" si="10"/>
        <v>0</v>
      </c>
      <c r="AS35" s="530">
        <v>34</v>
      </c>
      <c r="AT35" s="531">
        <f t="shared" ca="1" si="37"/>
        <v>47200</v>
      </c>
      <c r="AU35" s="532">
        <f ca="1">IF(AU34=0,SUMIFS('Key Life Events'!$L$3:$L$28,'Key Life Events'!$H$3:$H$28,'Loan Amortization'!$AY$3,'Key Life Events'!$N$3:$N$28,'Loan Amortization'!AT35),AU34-AX34)</f>
        <v>0</v>
      </c>
      <c r="AV35" s="532">
        <f t="shared" ca="1" si="38"/>
        <v>0</v>
      </c>
      <c r="AW35" s="532">
        <f t="shared" ca="1" si="2"/>
        <v>0</v>
      </c>
      <c r="AX35" s="532">
        <f t="shared" ca="1" si="11"/>
        <v>0</v>
      </c>
      <c r="BC35" s="536">
        <f t="shared" ca="1" si="12"/>
        <v>2029</v>
      </c>
      <c r="BF35" s="530">
        <v>34</v>
      </c>
      <c r="BG35" s="531">
        <f t="shared" ca="1" si="39"/>
        <v>47200</v>
      </c>
      <c r="BH35" s="532">
        <f ca="1">IF(BH34=0,SUMIFS('Key Life Events'!$L$3:$L$28,'Key Life Events'!$H$3:$H$28,'Loan Amortization'!$BL$3,'Key Life Events'!$N$3:$N$28,'Loan Amortization'!BG35),BH34-BK34)</f>
        <v>0</v>
      </c>
      <c r="BI35" s="532">
        <f t="shared" ca="1" si="40"/>
        <v>0</v>
      </c>
      <c r="BJ35" s="532">
        <f t="shared" ca="1" si="41"/>
        <v>0</v>
      </c>
      <c r="BK35" s="532">
        <f t="shared" ca="1" si="13"/>
        <v>0</v>
      </c>
      <c r="BP35" s="536">
        <f t="shared" ca="1" si="14"/>
        <v>2029</v>
      </c>
      <c r="BQ35" s="535">
        <f ca="1"/>
        <v>0</v>
      </c>
      <c r="BS35" s="530">
        <v>34</v>
      </c>
      <c r="BT35" s="531">
        <f t="shared" ca="1" si="42"/>
        <v>47200</v>
      </c>
      <c r="BU35" s="532">
        <f ca="1">IF(BU34=0,SUMIFS('Key Life Events'!$L$3:$L$28,'Key Life Events'!$H$3:$H$28,'Loan Amortization'!$BY$3,'Key Life Events'!$N$3:$N$28,'Loan Amortization'!BT35),BU34-BX34)</f>
        <v>0</v>
      </c>
      <c r="BV35" s="532">
        <f t="shared" ca="1" si="48"/>
        <v>0</v>
      </c>
      <c r="BW35" s="532">
        <f t="shared" ca="1" si="43"/>
        <v>0</v>
      </c>
      <c r="BX35" s="532">
        <f t="shared" ca="1" si="15"/>
        <v>0</v>
      </c>
      <c r="CC35" s="536">
        <f t="shared" ca="1" si="16"/>
        <v>2029</v>
      </c>
      <c r="CD35" s="535">
        <f ca="1"/>
        <v>0</v>
      </c>
      <c r="CF35" s="530">
        <v>34</v>
      </c>
      <c r="CG35" s="531">
        <f t="shared" ca="1" si="44"/>
        <v>47200</v>
      </c>
      <c r="CH35" s="532">
        <f ca="1">IF(CH34=0,SUMIFS('Key Life Events'!$L$3:$L$28,'Key Life Events'!$H$3:$H$28,'Loan Amortization'!$CL$3,'Key Life Events'!$N$3:$N$28,'Loan Amortization'!CG35),CH34-CK34)</f>
        <v>0</v>
      </c>
      <c r="CI35" s="532">
        <f t="shared" ca="1" si="45"/>
        <v>0</v>
      </c>
      <c r="CJ35" s="532">
        <f t="shared" ca="1" si="46"/>
        <v>0</v>
      </c>
      <c r="CK35" s="532">
        <f t="shared" ca="1" si="17"/>
        <v>0</v>
      </c>
      <c r="CP35" s="536">
        <f t="shared" ca="1" si="18"/>
        <v>2029</v>
      </c>
      <c r="CQ35" s="535">
        <f ca="1"/>
        <v>0</v>
      </c>
      <c r="CS35" s="100">
        <f t="shared" si="19"/>
        <v>34</v>
      </c>
      <c r="CT35" s="102">
        <f t="shared" ca="1" si="20"/>
        <v>0</v>
      </c>
      <c r="CU35" s="102">
        <f t="shared" ca="1" si="21"/>
        <v>0</v>
      </c>
      <c r="CV35" s="511">
        <f t="shared" ca="1" si="22"/>
        <v>2029</v>
      </c>
      <c r="CW35" s="1">
        <f t="shared" si="47"/>
        <v>397</v>
      </c>
      <c r="CX35" s="99">
        <f t="shared" ca="1" si="23"/>
        <v>0</v>
      </c>
    </row>
    <row r="36" spans="1:102" x14ac:dyDescent="0.3">
      <c r="A36" s="100">
        <v>35</v>
      </c>
      <c r="B36" s="131">
        <f t="shared" si="24"/>
        <v>210</v>
      </c>
      <c r="C36" s="102">
        <f t="shared" si="25"/>
        <v>0</v>
      </c>
      <c r="D36" s="102">
        <f t="shared" si="26"/>
        <v>0</v>
      </c>
      <c r="E36" s="102">
        <f t="shared" si="6"/>
        <v>0</v>
      </c>
      <c r="F36" s="102">
        <f t="shared" si="27"/>
        <v>0</v>
      </c>
      <c r="L36" s="100">
        <v>35</v>
      </c>
      <c r="M36" s="131">
        <f t="shared" ca="1" si="28"/>
        <v>47231</v>
      </c>
      <c r="N36" s="102">
        <f t="shared" si="29"/>
        <v>0</v>
      </c>
      <c r="O36" s="102">
        <f t="shared" si="30"/>
        <v>0</v>
      </c>
      <c r="P36" s="102">
        <f t="shared" si="7"/>
        <v>0</v>
      </c>
      <c r="Q36" s="102">
        <f t="shared" si="8"/>
        <v>0</v>
      </c>
      <c r="W36" s="100">
        <v>35</v>
      </c>
      <c r="X36" s="131">
        <f t="shared" ca="1" si="31"/>
        <v>47231</v>
      </c>
      <c r="Y36" s="102">
        <f t="shared" si="32"/>
        <v>0</v>
      </c>
      <c r="Z36" s="102">
        <f t="shared" si="33"/>
        <v>0</v>
      </c>
      <c r="AA36" s="102">
        <f t="shared" si="49"/>
        <v>0</v>
      </c>
      <c r="AB36" s="102">
        <f t="shared" si="9"/>
        <v>0</v>
      </c>
      <c r="AH36" s="100">
        <v>35</v>
      </c>
      <c r="AI36" s="131">
        <f t="shared" ca="1" si="34"/>
        <v>47231</v>
      </c>
      <c r="AJ36" s="102">
        <f t="shared" si="35"/>
        <v>0</v>
      </c>
      <c r="AK36" s="102">
        <f t="shared" si="36"/>
        <v>0</v>
      </c>
      <c r="AL36" s="102">
        <f t="shared" si="50"/>
        <v>0</v>
      </c>
      <c r="AM36" s="102">
        <f t="shared" si="10"/>
        <v>0</v>
      </c>
      <c r="AS36" s="530">
        <v>35</v>
      </c>
      <c r="AT36" s="531">
        <f t="shared" ca="1" si="37"/>
        <v>47231</v>
      </c>
      <c r="AU36" s="532">
        <f ca="1">IF(AU35=0,SUMIFS('Key Life Events'!$L$3:$L$28,'Key Life Events'!$H$3:$H$28,'Loan Amortization'!$AY$3,'Key Life Events'!$N$3:$N$28,'Loan Amortization'!AT36),AU35-AX35)</f>
        <v>0</v>
      </c>
      <c r="AV36" s="532">
        <f t="shared" ca="1" si="38"/>
        <v>0</v>
      </c>
      <c r="AW36" s="532">
        <f t="shared" ca="1" si="2"/>
        <v>0</v>
      </c>
      <c r="AX36" s="532">
        <f t="shared" ca="1" si="11"/>
        <v>0</v>
      </c>
      <c r="BC36" s="536">
        <f t="shared" ca="1" si="12"/>
        <v>2029</v>
      </c>
      <c r="BF36" s="530">
        <v>35</v>
      </c>
      <c r="BG36" s="531">
        <f t="shared" ca="1" si="39"/>
        <v>47231</v>
      </c>
      <c r="BH36" s="532">
        <f ca="1">IF(BH35=0,SUMIFS('Key Life Events'!$L$3:$L$28,'Key Life Events'!$H$3:$H$28,'Loan Amortization'!$BL$3,'Key Life Events'!$N$3:$N$28,'Loan Amortization'!BG36),BH35-BK35)</f>
        <v>0</v>
      </c>
      <c r="BI36" s="532">
        <f t="shared" ca="1" si="40"/>
        <v>0</v>
      </c>
      <c r="BJ36" s="532">
        <f t="shared" ca="1" si="41"/>
        <v>0</v>
      </c>
      <c r="BK36" s="532">
        <f t="shared" ca="1" si="13"/>
        <v>0</v>
      </c>
      <c r="BP36" s="536">
        <f t="shared" ca="1" si="14"/>
        <v>2029</v>
      </c>
      <c r="BQ36" s="535">
        <f ca="1"/>
        <v>0</v>
      </c>
      <c r="BS36" s="530">
        <v>35</v>
      </c>
      <c r="BT36" s="531">
        <f t="shared" ca="1" si="42"/>
        <v>47231</v>
      </c>
      <c r="BU36" s="532">
        <f ca="1">IF(BU35=0,SUMIFS('Key Life Events'!$L$3:$L$28,'Key Life Events'!$H$3:$H$28,'Loan Amortization'!$BY$3,'Key Life Events'!$N$3:$N$28,'Loan Amortization'!BT36),BU35-BX35)</f>
        <v>0</v>
      </c>
      <c r="BV36" s="532">
        <f t="shared" ca="1" si="48"/>
        <v>0</v>
      </c>
      <c r="BW36" s="532">
        <f t="shared" ca="1" si="43"/>
        <v>0</v>
      </c>
      <c r="BX36" s="532">
        <f t="shared" ca="1" si="15"/>
        <v>0</v>
      </c>
      <c r="CC36" s="536">
        <f t="shared" ca="1" si="16"/>
        <v>2029</v>
      </c>
      <c r="CD36" s="535">
        <f ca="1"/>
        <v>0</v>
      </c>
      <c r="CF36" s="530">
        <v>35</v>
      </c>
      <c r="CG36" s="531">
        <f t="shared" ca="1" si="44"/>
        <v>47231</v>
      </c>
      <c r="CH36" s="532">
        <f ca="1">IF(CH35=0,SUMIFS('Key Life Events'!$L$3:$L$28,'Key Life Events'!$H$3:$H$28,'Loan Amortization'!$CL$3,'Key Life Events'!$N$3:$N$28,'Loan Amortization'!CG36),CH35-CK35)</f>
        <v>0</v>
      </c>
      <c r="CI36" s="532">
        <f t="shared" ca="1" si="45"/>
        <v>0</v>
      </c>
      <c r="CJ36" s="532">
        <f t="shared" ca="1" si="46"/>
        <v>0</v>
      </c>
      <c r="CK36" s="532">
        <f t="shared" ca="1" si="17"/>
        <v>0</v>
      </c>
      <c r="CP36" s="536">
        <f t="shared" ca="1" si="18"/>
        <v>2029</v>
      </c>
      <c r="CQ36" s="535">
        <f ca="1"/>
        <v>0</v>
      </c>
      <c r="CS36" s="100">
        <f t="shared" si="19"/>
        <v>35</v>
      </c>
      <c r="CT36" s="102">
        <f t="shared" ca="1" si="20"/>
        <v>0</v>
      </c>
      <c r="CU36" s="102">
        <f t="shared" ca="1" si="21"/>
        <v>0</v>
      </c>
      <c r="CV36" s="511">
        <f t="shared" ca="1" si="22"/>
        <v>2029</v>
      </c>
      <c r="CW36" s="1">
        <f t="shared" si="47"/>
        <v>409</v>
      </c>
      <c r="CX36" s="99">
        <f t="shared" ca="1" si="23"/>
        <v>0</v>
      </c>
    </row>
    <row r="37" spans="1:102" x14ac:dyDescent="0.3">
      <c r="A37" s="100">
        <v>36</v>
      </c>
      <c r="B37" s="131">
        <f t="shared" si="24"/>
        <v>241</v>
      </c>
      <c r="C37" s="102">
        <f t="shared" si="25"/>
        <v>0</v>
      </c>
      <c r="D37" s="102">
        <f t="shared" si="26"/>
        <v>0</v>
      </c>
      <c r="E37" s="102">
        <f t="shared" si="6"/>
        <v>0</v>
      </c>
      <c r="F37" s="102">
        <f t="shared" si="27"/>
        <v>0</v>
      </c>
      <c r="L37" s="100">
        <v>36</v>
      </c>
      <c r="M37" s="131">
        <f t="shared" ca="1" si="28"/>
        <v>47261</v>
      </c>
      <c r="N37" s="102">
        <f t="shared" si="29"/>
        <v>0</v>
      </c>
      <c r="O37" s="102">
        <f t="shared" si="30"/>
        <v>0</v>
      </c>
      <c r="P37" s="102">
        <f t="shared" si="7"/>
        <v>0</v>
      </c>
      <c r="Q37" s="102">
        <f t="shared" si="8"/>
        <v>0</v>
      </c>
      <c r="W37" s="100">
        <v>36</v>
      </c>
      <c r="X37" s="131">
        <f t="shared" ca="1" si="31"/>
        <v>47261</v>
      </c>
      <c r="Y37" s="102">
        <f t="shared" si="32"/>
        <v>0</v>
      </c>
      <c r="Z37" s="102">
        <f t="shared" si="33"/>
        <v>0</v>
      </c>
      <c r="AA37" s="102">
        <f t="shared" si="49"/>
        <v>0</v>
      </c>
      <c r="AB37" s="102">
        <f t="shared" si="9"/>
        <v>0</v>
      </c>
      <c r="AH37" s="100">
        <v>36</v>
      </c>
      <c r="AI37" s="131">
        <f t="shared" ca="1" si="34"/>
        <v>47261</v>
      </c>
      <c r="AJ37" s="102">
        <f t="shared" si="35"/>
        <v>0</v>
      </c>
      <c r="AK37" s="102">
        <f t="shared" si="36"/>
        <v>0</v>
      </c>
      <c r="AL37" s="102">
        <f t="shared" si="50"/>
        <v>0</v>
      </c>
      <c r="AM37" s="102">
        <f t="shared" si="10"/>
        <v>0</v>
      </c>
      <c r="AS37" s="530">
        <v>36</v>
      </c>
      <c r="AT37" s="531">
        <f t="shared" ca="1" si="37"/>
        <v>47261</v>
      </c>
      <c r="AU37" s="532">
        <f ca="1">IF(AU36=0,SUMIFS('Key Life Events'!$L$3:$L$28,'Key Life Events'!$H$3:$H$28,'Loan Amortization'!$AY$3,'Key Life Events'!$N$3:$N$28,'Loan Amortization'!AT37),AU36-AX36)</f>
        <v>0</v>
      </c>
      <c r="AV37" s="532">
        <f t="shared" ca="1" si="38"/>
        <v>0</v>
      </c>
      <c r="AW37" s="532">
        <f t="shared" ca="1" si="2"/>
        <v>0</v>
      </c>
      <c r="AX37" s="532">
        <f t="shared" ca="1" si="11"/>
        <v>0</v>
      </c>
      <c r="BC37" s="536">
        <f t="shared" ca="1" si="12"/>
        <v>2029</v>
      </c>
      <c r="BF37" s="530">
        <v>36</v>
      </c>
      <c r="BG37" s="531">
        <f t="shared" ca="1" si="39"/>
        <v>47261</v>
      </c>
      <c r="BH37" s="532">
        <f ca="1">IF(BH36=0,SUMIFS('Key Life Events'!$L$3:$L$28,'Key Life Events'!$H$3:$H$28,'Loan Amortization'!$BL$3,'Key Life Events'!$N$3:$N$28,'Loan Amortization'!BG37),BH36-BK36)</f>
        <v>0</v>
      </c>
      <c r="BI37" s="532">
        <f t="shared" ca="1" si="40"/>
        <v>0</v>
      </c>
      <c r="BJ37" s="532">
        <f t="shared" ca="1" si="41"/>
        <v>0</v>
      </c>
      <c r="BK37" s="532">
        <f t="shared" ca="1" si="13"/>
        <v>0</v>
      </c>
      <c r="BP37" s="536">
        <f t="shared" ca="1" si="14"/>
        <v>2029</v>
      </c>
      <c r="BQ37" s="535">
        <f ca="1"/>
        <v>0</v>
      </c>
      <c r="BS37" s="530">
        <v>36</v>
      </c>
      <c r="BT37" s="531">
        <f t="shared" ca="1" si="42"/>
        <v>47261</v>
      </c>
      <c r="BU37" s="532">
        <f ca="1">IF(BU36=0,SUMIFS('Key Life Events'!$L$3:$L$28,'Key Life Events'!$H$3:$H$28,'Loan Amortization'!$BY$3,'Key Life Events'!$N$3:$N$28,'Loan Amortization'!BT37),BU36-BX36)</f>
        <v>0</v>
      </c>
      <c r="BV37" s="532">
        <f t="shared" ca="1" si="48"/>
        <v>0</v>
      </c>
      <c r="BW37" s="532">
        <f t="shared" ca="1" si="43"/>
        <v>0</v>
      </c>
      <c r="BX37" s="532">
        <f t="shared" ca="1" si="15"/>
        <v>0</v>
      </c>
      <c r="CC37" s="536">
        <f t="shared" ca="1" si="16"/>
        <v>2029</v>
      </c>
      <c r="CD37" s="535">
        <f ca="1"/>
        <v>0</v>
      </c>
      <c r="CF37" s="530">
        <v>36</v>
      </c>
      <c r="CG37" s="531">
        <f t="shared" ca="1" si="44"/>
        <v>47261</v>
      </c>
      <c r="CH37" s="532">
        <f ca="1">IF(CH36=0,SUMIFS('Key Life Events'!$L$3:$L$28,'Key Life Events'!$H$3:$H$28,'Loan Amortization'!$CL$3,'Key Life Events'!$N$3:$N$28,'Loan Amortization'!CG37),CH36-CK36)</f>
        <v>0</v>
      </c>
      <c r="CI37" s="532">
        <f t="shared" ca="1" si="45"/>
        <v>0</v>
      </c>
      <c r="CJ37" s="532">
        <f t="shared" ca="1" si="46"/>
        <v>0</v>
      </c>
      <c r="CK37" s="532">
        <f t="shared" ca="1" si="17"/>
        <v>0</v>
      </c>
      <c r="CP37" s="536">
        <f t="shared" ca="1" si="18"/>
        <v>2029</v>
      </c>
      <c r="CQ37" s="535">
        <f ca="1"/>
        <v>0</v>
      </c>
      <c r="CS37" s="100">
        <f t="shared" si="19"/>
        <v>36</v>
      </c>
      <c r="CT37" s="102">
        <f t="shared" ca="1" si="20"/>
        <v>0</v>
      </c>
      <c r="CU37" s="102">
        <f t="shared" ca="1" si="21"/>
        <v>0</v>
      </c>
      <c r="CV37" s="511">
        <f t="shared" ca="1" si="22"/>
        <v>2029</v>
      </c>
      <c r="CW37" s="1">
        <f t="shared" si="47"/>
        <v>421</v>
      </c>
      <c r="CX37" s="99">
        <f t="shared" ca="1" si="23"/>
        <v>0</v>
      </c>
    </row>
    <row r="38" spans="1:102" x14ac:dyDescent="0.3">
      <c r="A38" s="100">
        <v>37</v>
      </c>
      <c r="B38" s="131">
        <f t="shared" si="24"/>
        <v>272</v>
      </c>
      <c r="C38" s="102">
        <f t="shared" si="25"/>
        <v>0</v>
      </c>
      <c r="D38" s="102">
        <f t="shared" si="26"/>
        <v>0</v>
      </c>
      <c r="E38" s="102">
        <f t="shared" si="6"/>
        <v>0</v>
      </c>
      <c r="F38" s="102">
        <f t="shared" si="27"/>
        <v>0</v>
      </c>
      <c r="L38" s="100">
        <v>37</v>
      </c>
      <c r="M38" s="131">
        <f t="shared" ca="1" si="28"/>
        <v>47292</v>
      </c>
      <c r="N38" s="102">
        <f t="shared" si="29"/>
        <v>0</v>
      </c>
      <c r="O38" s="102">
        <f t="shared" si="30"/>
        <v>0</v>
      </c>
      <c r="P38" s="102">
        <f t="shared" si="7"/>
        <v>0</v>
      </c>
      <c r="Q38" s="102">
        <f t="shared" si="8"/>
        <v>0</v>
      </c>
      <c r="W38" s="100">
        <v>37</v>
      </c>
      <c r="X38" s="131">
        <f t="shared" ca="1" si="31"/>
        <v>47292</v>
      </c>
      <c r="Y38" s="102">
        <f t="shared" si="32"/>
        <v>0</v>
      </c>
      <c r="Z38" s="102">
        <f t="shared" si="33"/>
        <v>0</v>
      </c>
      <c r="AA38" s="102">
        <f t="shared" si="49"/>
        <v>0</v>
      </c>
      <c r="AB38" s="102">
        <f t="shared" si="9"/>
        <v>0</v>
      </c>
      <c r="AH38" s="100">
        <v>37</v>
      </c>
      <c r="AI38" s="131">
        <f t="shared" ca="1" si="34"/>
        <v>47292</v>
      </c>
      <c r="AJ38" s="102">
        <f t="shared" si="35"/>
        <v>0</v>
      </c>
      <c r="AK38" s="102">
        <f t="shared" si="36"/>
        <v>0</v>
      </c>
      <c r="AL38" s="102">
        <f t="shared" si="50"/>
        <v>0</v>
      </c>
      <c r="AM38" s="102">
        <f t="shared" si="10"/>
        <v>0</v>
      </c>
      <c r="AS38" s="530">
        <v>37</v>
      </c>
      <c r="AT38" s="531">
        <f t="shared" ca="1" si="37"/>
        <v>47292</v>
      </c>
      <c r="AU38" s="532">
        <f ca="1">IF(AU37=0,SUMIFS('Key Life Events'!$L$3:$L$28,'Key Life Events'!$H$3:$H$28,'Loan Amortization'!$AY$3,'Key Life Events'!$N$3:$N$28,'Loan Amortization'!AT38),AU37-AX37)</f>
        <v>0</v>
      </c>
      <c r="AV38" s="532">
        <f t="shared" ca="1" si="38"/>
        <v>0</v>
      </c>
      <c r="AW38" s="532">
        <f t="shared" ca="1" si="2"/>
        <v>0</v>
      </c>
      <c r="AX38" s="532">
        <f t="shared" ca="1" si="11"/>
        <v>0</v>
      </c>
      <c r="BC38" s="536">
        <f t="shared" ca="1" si="12"/>
        <v>2029</v>
      </c>
      <c r="BF38" s="530">
        <v>37</v>
      </c>
      <c r="BG38" s="531">
        <f t="shared" ca="1" si="39"/>
        <v>47292</v>
      </c>
      <c r="BH38" s="532">
        <f ca="1">IF(BH37=0,SUMIFS('Key Life Events'!$L$3:$L$28,'Key Life Events'!$H$3:$H$28,'Loan Amortization'!$BL$3,'Key Life Events'!$N$3:$N$28,'Loan Amortization'!BG38),BH37-BK37)</f>
        <v>0</v>
      </c>
      <c r="BI38" s="532">
        <f t="shared" ca="1" si="40"/>
        <v>0</v>
      </c>
      <c r="BJ38" s="532">
        <f t="shared" ca="1" si="41"/>
        <v>0</v>
      </c>
      <c r="BK38" s="532">
        <f t="shared" ca="1" si="13"/>
        <v>0</v>
      </c>
      <c r="BP38" s="536">
        <f t="shared" ca="1" si="14"/>
        <v>2029</v>
      </c>
      <c r="BQ38" s="535">
        <f ca="1"/>
        <v>0</v>
      </c>
      <c r="BS38" s="530">
        <v>37</v>
      </c>
      <c r="BT38" s="531">
        <f t="shared" ca="1" si="42"/>
        <v>47292</v>
      </c>
      <c r="BU38" s="532">
        <f ca="1">IF(BU37=0,SUMIFS('Key Life Events'!$L$3:$L$28,'Key Life Events'!$H$3:$H$28,'Loan Amortization'!$BY$3,'Key Life Events'!$N$3:$N$28,'Loan Amortization'!BT38),BU37-BX37)</f>
        <v>0</v>
      </c>
      <c r="BV38" s="532">
        <f t="shared" ca="1" si="48"/>
        <v>0</v>
      </c>
      <c r="BW38" s="532">
        <f t="shared" ca="1" si="43"/>
        <v>0</v>
      </c>
      <c r="BX38" s="532">
        <f t="shared" ca="1" si="15"/>
        <v>0</v>
      </c>
      <c r="CC38" s="536">
        <f t="shared" ca="1" si="16"/>
        <v>2029</v>
      </c>
      <c r="CD38" s="535">
        <f ca="1"/>
        <v>0</v>
      </c>
      <c r="CF38" s="530">
        <v>37</v>
      </c>
      <c r="CG38" s="531">
        <f t="shared" ca="1" si="44"/>
        <v>47292</v>
      </c>
      <c r="CH38" s="532">
        <f ca="1">IF(CH37=0,SUMIFS('Key Life Events'!$L$3:$L$28,'Key Life Events'!$H$3:$H$28,'Loan Amortization'!$CL$3,'Key Life Events'!$N$3:$N$28,'Loan Amortization'!CG38),CH37-CK37)</f>
        <v>0</v>
      </c>
      <c r="CI38" s="532">
        <f t="shared" ca="1" si="45"/>
        <v>0</v>
      </c>
      <c r="CJ38" s="532">
        <f t="shared" ca="1" si="46"/>
        <v>0</v>
      </c>
      <c r="CK38" s="532">
        <f t="shared" ca="1" si="17"/>
        <v>0</v>
      </c>
      <c r="CP38" s="536">
        <f t="shared" ca="1" si="18"/>
        <v>2029</v>
      </c>
      <c r="CQ38" s="535">
        <f ca="1"/>
        <v>0</v>
      </c>
      <c r="CS38" s="100">
        <f t="shared" si="19"/>
        <v>37</v>
      </c>
      <c r="CT38" s="102">
        <f t="shared" ca="1" si="20"/>
        <v>0</v>
      </c>
      <c r="CU38" s="102">
        <f t="shared" ca="1" si="21"/>
        <v>0</v>
      </c>
      <c r="CV38" s="511">
        <f t="shared" ca="1" si="22"/>
        <v>2029</v>
      </c>
      <c r="CW38" s="1">
        <f t="shared" si="47"/>
        <v>433</v>
      </c>
      <c r="CX38" s="99">
        <f t="shared" ca="1" si="23"/>
        <v>0</v>
      </c>
    </row>
    <row r="39" spans="1:102" x14ac:dyDescent="0.3">
      <c r="A39" s="100">
        <v>38</v>
      </c>
      <c r="B39" s="131">
        <f t="shared" si="24"/>
        <v>302</v>
      </c>
      <c r="C39" s="102">
        <f t="shared" si="25"/>
        <v>0</v>
      </c>
      <c r="D39" s="102">
        <f t="shared" si="26"/>
        <v>0</v>
      </c>
      <c r="E39" s="102">
        <f t="shared" si="6"/>
        <v>0</v>
      </c>
      <c r="F39" s="102">
        <f t="shared" si="27"/>
        <v>0</v>
      </c>
      <c r="L39" s="100">
        <v>38</v>
      </c>
      <c r="M39" s="131">
        <f t="shared" ca="1" si="28"/>
        <v>47322</v>
      </c>
      <c r="N39" s="102">
        <f t="shared" si="29"/>
        <v>0</v>
      </c>
      <c r="O39" s="102">
        <f t="shared" si="30"/>
        <v>0</v>
      </c>
      <c r="P39" s="102">
        <f t="shared" si="7"/>
        <v>0</v>
      </c>
      <c r="Q39" s="102">
        <f t="shared" si="8"/>
        <v>0</v>
      </c>
      <c r="W39" s="100">
        <v>38</v>
      </c>
      <c r="X39" s="131">
        <f t="shared" ca="1" si="31"/>
        <v>47322</v>
      </c>
      <c r="Y39" s="102">
        <f t="shared" si="32"/>
        <v>0</v>
      </c>
      <c r="Z39" s="102">
        <f t="shared" si="33"/>
        <v>0</v>
      </c>
      <c r="AA39" s="102">
        <f t="shared" si="49"/>
        <v>0</v>
      </c>
      <c r="AB39" s="102">
        <f t="shared" si="9"/>
        <v>0</v>
      </c>
      <c r="AH39" s="100">
        <v>38</v>
      </c>
      <c r="AI39" s="131">
        <f t="shared" ca="1" si="34"/>
        <v>47322</v>
      </c>
      <c r="AJ39" s="102">
        <f t="shared" si="35"/>
        <v>0</v>
      </c>
      <c r="AK39" s="102">
        <f t="shared" si="36"/>
        <v>0</v>
      </c>
      <c r="AL39" s="102">
        <f t="shared" si="50"/>
        <v>0</v>
      </c>
      <c r="AM39" s="102">
        <f t="shared" si="10"/>
        <v>0</v>
      </c>
      <c r="AS39" s="530">
        <v>38</v>
      </c>
      <c r="AT39" s="531">
        <f t="shared" ca="1" si="37"/>
        <v>47322</v>
      </c>
      <c r="AU39" s="532">
        <f ca="1">IF(AU38=0,SUMIFS('Key Life Events'!$L$3:$L$28,'Key Life Events'!$H$3:$H$28,'Loan Amortization'!$AY$3,'Key Life Events'!$N$3:$N$28,'Loan Amortization'!AT39),AU38-AX38)</f>
        <v>0</v>
      </c>
      <c r="AV39" s="532">
        <f t="shared" ca="1" si="38"/>
        <v>0</v>
      </c>
      <c r="AW39" s="532">
        <f t="shared" ca="1" si="2"/>
        <v>0</v>
      </c>
      <c r="AX39" s="532">
        <f t="shared" ca="1" si="11"/>
        <v>0</v>
      </c>
      <c r="BC39" s="536">
        <f t="shared" ca="1" si="12"/>
        <v>2029</v>
      </c>
      <c r="BF39" s="530">
        <v>38</v>
      </c>
      <c r="BG39" s="531">
        <f t="shared" ca="1" si="39"/>
        <v>47322</v>
      </c>
      <c r="BH39" s="532">
        <f ca="1">IF(BH38=0,SUMIFS('Key Life Events'!$L$3:$L$28,'Key Life Events'!$H$3:$H$28,'Loan Amortization'!$BL$3,'Key Life Events'!$N$3:$N$28,'Loan Amortization'!BG39),BH38-BK38)</f>
        <v>0</v>
      </c>
      <c r="BI39" s="532">
        <f t="shared" ca="1" si="40"/>
        <v>0</v>
      </c>
      <c r="BJ39" s="532">
        <f t="shared" ca="1" si="41"/>
        <v>0</v>
      </c>
      <c r="BK39" s="532">
        <f t="shared" ca="1" si="13"/>
        <v>0</v>
      </c>
      <c r="BP39" s="536">
        <f t="shared" ca="1" si="14"/>
        <v>2029</v>
      </c>
      <c r="BQ39" s="535">
        <f ca="1"/>
        <v>0</v>
      </c>
      <c r="BS39" s="530">
        <v>38</v>
      </c>
      <c r="BT39" s="531">
        <f t="shared" ca="1" si="42"/>
        <v>47322</v>
      </c>
      <c r="BU39" s="532">
        <f ca="1">IF(BU38=0,SUMIFS('Key Life Events'!$L$3:$L$28,'Key Life Events'!$H$3:$H$28,'Loan Amortization'!$BY$3,'Key Life Events'!$N$3:$N$28,'Loan Amortization'!BT39),BU38-BX38)</f>
        <v>0</v>
      </c>
      <c r="BV39" s="532">
        <f t="shared" ca="1" si="48"/>
        <v>0</v>
      </c>
      <c r="BW39" s="532">
        <f t="shared" ca="1" si="43"/>
        <v>0</v>
      </c>
      <c r="BX39" s="532">
        <f t="shared" ca="1" si="15"/>
        <v>0</v>
      </c>
      <c r="CC39" s="536">
        <f t="shared" ca="1" si="16"/>
        <v>2029</v>
      </c>
      <c r="CD39" s="535">
        <f ca="1"/>
        <v>0</v>
      </c>
      <c r="CF39" s="530">
        <v>38</v>
      </c>
      <c r="CG39" s="531">
        <f t="shared" ca="1" si="44"/>
        <v>47322</v>
      </c>
      <c r="CH39" s="532">
        <f ca="1">IF(CH38=0,SUMIFS('Key Life Events'!$L$3:$L$28,'Key Life Events'!$H$3:$H$28,'Loan Amortization'!$CL$3,'Key Life Events'!$N$3:$N$28,'Loan Amortization'!CG39),CH38-CK38)</f>
        <v>0</v>
      </c>
      <c r="CI39" s="532">
        <f t="shared" ca="1" si="45"/>
        <v>0</v>
      </c>
      <c r="CJ39" s="532">
        <f t="shared" ca="1" si="46"/>
        <v>0</v>
      </c>
      <c r="CK39" s="532">
        <f t="shared" ca="1" si="17"/>
        <v>0</v>
      </c>
      <c r="CP39" s="536">
        <f t="shared" ca="1" si="18"/>
        <v>2029</v>
      </c>
      <c r="CQ39" s="535">
        <f ca="1"/>
        <v>0</v>
      </c>
      <c r="CS39" s="100">
        <f t="shared" si="19"/>
        <v>38</v>
      </c>
      <c r="CT39" s="102">
        <f t="shared" ca="1" si="20"/>
        <v>0</v>
      </c>
      <c r="CU39" s="102">
        <f t="shared" ca="1" si="21"/>
        <v>0</v>
      </c>
      <c r="CV39" s="511">
        <f t="shared" ca="1" si="22"/>
        <v>2029</v>
      </c>
      <c r="CW39" s="1">
        <f t="shared" si="47"/>
        <v>445</v>
      </c>
      <c r="CX39" s="99">
        <f t="shared" ca="1" si="23"/>
        <v>0</v>
      </c>
    </row>
    <row r="40" spans="1:102" x14ac:dyDescent="0.3">
      <c r="A40" s="100">
        <v>39</v>
      </c>
      <c r="B40" s="131">
        <f t="shared" si="24"/>
        <v>333</v>
      </c>
      <c r="C40" s="102">
        <f t="shared" si="25"/>
        <v>0</v>
      </c>
      <c r="D40" s="102">
        <f t="shared" si="26"/>
        <v>0</v>
      </c>
      <c r="E40" s="102">
        <f t="shared" si="6"/>
        <v>0</v>
      </c>
      <c r="F40" s="102">
        <f t="shared" si="27"/>
        <v>0</v>
      </c>
      <c r="L40" s="100">
        <v>39</v>
      </c>
      <c r="M40" s="131">
        <f t="shared" ca="1" si="28"/>
        <v>47353</v>
      </c>
      <c r="N40" s="102">
        <f t="shared" si="29"/>
        <v>0</v>
      </c>
      <c r="O40" s="102">
        <f t="shared" si="30"/>
        <v>0</v>
      </c>
      <c r="P40" s="102">
        <f t="shared" si="7"/>
        <v>0</v>
      </c>
      <c r="Q40" s="102">
        <f t="shared" si="8"/>
        <v>0</v>
      </c>
      <c r="W40" s="100">
        <v>39</v>
      </c>
      <c r="X40" s="131">
        <f t="shared" ca="1" si="31"/>
        <v>47353</v>
      </c>
      <c r="Y40" s="102">
        <f t="shared" si="32"/>
        <v>0</v>
      </c>
      <c r="Z40" s="102">
        <f t="shared" si="33"/>
        <v>0</v>
      </c>
      <c r="AA40" s="102">
        <f t="shared" si="49"/>
        <v>0</v>
      </c>
      <c r="AB40" s="102">
        <f t="shared" si="9"/>
        <v>0</v>
      </c>
      <c r="AH40" s="100">
        <v>39</v>
      </c>
      <c r="AI40" s="131">
        <f t="shared" ca="1" si="34"/>
        <v>47353</v>
      </c>
      <c r="AJ40" s="102">
        <f t="shared" si="35"/>
        <v>0</v>
      </c>
      <c r="AK40" s="102">
        <f t="shared" si="36"/>
        <v>0</v>
      </c>
      <c r="AL40" s="102">
        <f t="shared" si="50"/>
        <v>0</v>
      </c>
      <c r="AM40" s="102">
        <f t="shared" si="10"/>
        <v>0</v>
      </c>
      <c r="AS40" s="530">
        <v>39</v>
      </c>
      <c r="AT40" s="531">
        <f t="shared" ca="1" si="37"/>
        <v>47353</v>
      </c>
      <c r="AU40" s="532">
        <f ca="1">IF(AU39=0,SUMIFS('Key Life Events'!$L$3:$L$28,'Key Life Events'!$H$3:$H$28,'Loan Amortization'!$AY$3,'Key Life Events'!$N$3:$N$28,'Loan Amortization'!AT40),AU39-AX39)</f>
        <v>0</v>
      </c>
      <c r="AV40" s="532">
        <f t="shared" ca="1" si="38"/>
        <v>0</v>
      </c>
      <c r="AW40" s="532">
        <f t="shared" ca="1" si="2"/>
        <v>0</v>
      </c>
      <c r="AX40" s="532">
        <f t="shared" ca="1" si="11"/>
        <v>0</v>
      </c>
      <c r="BC40" s="536">
        <f t="shared" ca="1" si="12"/>
        <v>2029</v>
      </c>
      <c r="BF40" s="530">
        <v>39</v>
      </c>
      <c r="BG40" s="531">
        <f t="shared" ca="1" si="39"/>
        <v>47353</v>
      </c>
      <c r="BH40" s="532">
        <f ca="1">IF(BH39=0,SUMIFS('Key Life Events'!$L$3:$L$28,'Key Life Events'!$H$3:$H$28,'Loan Amortization'!$BL$3,'Key Life Events'!$N$3:$N$28,'Loan Amortization'!BG40),BH39-BK39)</f>
        <v>0</v>
      </c>
      <c r="BI40" s="532">
        <f t="shared" ca="1" si="40"/>
        <v>0</v>
      </c>
      <c r="BJ40" s="532">
        <f t="shared" ca="1" si="41"/>
        <v>0</v>
      </c>
      <c r="BK40" s="532">
        <f t="shared" ca="1" si="13"/>
        <v>0</v>
      </c>
      <c r="BP40" s="536">
        <f t="shared" ca="1" si="14"/>
        <v>2029</v>
      </c>
      <c r="BQ40" s="535">
        <f ca="1"/>
        <v>0</v>
      </c>
      <c r="BS40" s="530">
        <v>39</v>
      </c>
      <c r="BT40" s="531">
        <f t="shared" ca="1" si="42"/>
        <v>47353</v>
      </c>
      <c r="BU40" s="532">
        <f ca="1">IF(BU39=0,SUMIFS('Key Life Events'!$L$3:$L$28,'Key Life Events'!$H$3:$H$28,'Loan Amortization'!$BY$3,'Key Life Events'!$N$3:$N$28,'Loan Amortization'!BT40),BU39-BX39)</f>
        <v>0</v>
      </c>
      <c r="BV40" s="532">
        <f t="shared" ca="1" si="48"/>
        <v>0</v>
      </c>
      <c r="BW40" s="532">
        <f t="shared" ca="1" si="43"/>
        <v>0</v>
      </c>
      <c r="BX40" s="532">
        <f t="shared" ca="1" si="15"/>
        <v>0</v>
      </c>
      <c r="CC40" s="536">
        <f t="shared" ca="1" si="16"/>
        <v>2029</v>
      </c>
      <c r="CD40" s="535">
        <f ca="1"/>
        <v>0</v>
      </c>
      <c r="CF40" s="530">
        <v>39</v>
      </c>
      <c r="CG40" s="531">
        <f t="shared" ca="1" si="44"/>
        <v>47353</v>
      </c>
      <c r="CH40" s="532">
        <f ca="1">IF(CH39=0,SUMIFS('Key Life Events'!$L$3:$L$28,'Key Life Events'!$H$3:$H$28,'Loan Amortization'!$CL$3,'Key Life Events'!$N$3:$N$28,'Loan Amortization'!CG40),CH39-CK39)</f>
        <v>0</v>
      </c>
      <c r="CI40" s="532">
        <f t="shared" ca="1" si="45"/>
        <v>0</v>
      </c>
      <c r="CJ40" s="532">
        <f t="shared" ca="1" si="46"/>
        <v>0</v>
      </c>
      <c r="CK40" s="532">
        <f t="shared" ca="1" si="17"/>
        <v>0</v>
      </c>
      <c r="CP40" s="536">
        <f t="shared" ca="1" si="18"/>
        <v>2029</v>
      </c>
      <c r="CQ40" s="535">
        <f ca="1"/>
        <v>0</v>
      </c>
      <c r="CS40" s="100">
        <f t="shared" si="19"/>
        <v>39</v>
      </c>
      <c r="CT40" s="102">
        <f t="shared" ca="1" si="20"/>
        <v>0</v>
      </c>
      <c r="CU40" s="102">
        <f t="shared" ca="1" si="21"/>
        <v>0</v>
      </c>
      <c r="CV40" s="511">
        <f t="shared" ca="1" si="22"/>
        <v>2029</v>
      </c>
      <c r="CW40" s="1">
        <f t="shared" si="47"/>
        <v>457</v>
      </c>
      <c r="CX40" s="99">
        <f t="shared" ca="1" si="23"/>
        <v>0</v>
      </c>
    </row>
    <row r="41" spans="1:102" x14ac:dyDescent="0.3">
      <c r="A41" s="100">
        <v>40</v>
      </c>
      <c r="B41" s="131">
        <f t="shared" si="24"/>
        <v>363</v>
      </c>
      <c r="C41" s="102">
        <f t="shared" si="25"/>
        <v>0</v>
      </c>
      <c r="D41" s="102">
        <f t="shared" si="26"/>
        <v>0</v>
      </c>
      <c r="E41" s="102">
        <f t="shared" si="6"/>
        <v>0</v>
      </c>
      <c r="F41" s="102">
        <f t="shared" si="27"/>
        <v>0</v>
      </c>
      <c r="L41" s="100">
        <v>40</v>
      </c>
      <c r="M41" s="131">
        <f t="shared" ca="1" si="28"/>
        <v>47384</v>
      </c>
      <c r="N41" s="102">
        <f t="shared" si="29"/>
        <v>0</v>
      </c>
      <c r="O41" s="102">
        <f t="shared" si="30"/>
        <v>0</v>
      </c>
      <c r="P41" s="102">
        <f t="shared" si="7"/>
        <v>0</v>
      </c>
      <c r="Q41" s="102">
        <f t="shared" si="8"/>
        <v>0</v>
      </c>
      <c r="W41" s="100">
        <v>40</v>
      </c>
      <c r="X41" s="131">
        <f t="shared" ca="1" si="31"/>
        <v>47384</v>
      </c>
      <c r="Y41" s="102">
        <f t="shared" si="32"/>
        <v>0</v>
      </c>
      <c r="Z41" s="102">
        <f t="shared" si="33"/>
        <v>0</v>
      </c>
      <c r="AA41" s="102">
        <f t="shared" si="49"/>
        <v>0</v>
      </c>
      <c r="AB41" s="102">
        <f t="shared" si="9"/>
        <v>0</v>
      </c>
      <c r="AH41" s="100">
        <v>40</v>
      </c>
      <c r="AI41" s="131">
        <f t="shared" ca="1" si="34"/>
        <v>47384</v>
      </c>
      <c r="AJ41" s="102">
        <f t="shared" si="35"/>
        <v>0</v>
      </c>
      <c r="AK41" s="102">
        <f t="shared" si="36"/>
        <v>0</v>
      </c>
      <c r="AL41" s="102">
        <f t="shared" si="50"/>
        <v>0</v>
      </c>
      <c r="AM41" s="102">
        <f t="shared" si="10"/>
        <v>0</v>
      </c>
      <c r="AS41" s="530">
        <v>40</v>
      </c>
      <c r="AT41" s="531">
        <f t="shared" ca="1" si="37"/>
        <v>47384</v>
      </c>
      <c r="AU41" s="532">
        <f ca="1">IF(AU40=0,SUMIFS('Key Life Events'!$L$3:$L$28,'Key Life Events'!$H$3:$H$28,'Loan Amortization'!$AY$3,'Key Life Events'!$N$3:$N$28,'Loan Amortization'!AT41),AU40-AX40)</f>
        <v>0</v>
      </c>
      <c r="AV41" s="532">
        <f t="shared" ca="1" si="38"/>
        <v>0</v>
      </c>
      <c r="AW41" s="532">
        <f t="shared" ca="1" si="2"/>
        <v>0</v>
      </c>
      <c r="AX41" s="532">
        <f t="shared" ca="1" si="11"/>
        <v>0</v>
      </c>
      <c r="BC41" s="536">
        <f t="shared" ca="1" si="12"/>
        <v>2029</v>
      </c>
      <c r="BF41" s="530">
        <v>40</v>
      </c>
      <c r="BG41" s="531">
        <f t="shared" ca="1" si="39"/>
        <v>47384</v>
      </c>
      <c r="BH41" s="532">
        <f ca="1">IF(BH40=0,SUMIFS('Key Life Events'!$L$3:$L$28,'Key Life Events'!$H$3:$H$28,'Loan Amortization'!$BL$3,'Key Life Events'!$N$3:$N$28,'Loan Amortization'!BG41),BH40-BK40)</f>
        <v>0</v>
      </c>
      <c r="BI41" s="532">
        <f t="shared" ca="1" si="40"/>
        <v>0</v>
      </c>
      <c r="BJ41" s="532">
        <f t="shared" ca="1" si="41"/>
        <v>0</v>
      </c>
      <c r="BK41" s="532">
        <f t="shared" ca="1" si="13"/>
        <v>0</v>
      </c>
      <c r="BP41" s="536">
        <f t="shared" ca="1" si="14"/>
        <v>2029</v>
      </c>
      <c r="BQ41" s="535">
        <f ca="1"/>
        <v>0</v>
      </c>
      <c r="BS41" s="530">
        <v>40</v>
      </c>
      <c r="BT41" s="531">
        <f t="shared" ca="1" si="42"/>
        <v>47384</v>
      </c>
      <c r="BU41" s="532">
        <f ca="1">IF(BU40=0,SUMIFS('Key Life Events'!$L$3:$L$28,'Key Life Events'!$H$3:$H$28,'Loan Amortization'!$BY$3,'Key Life Events'!$N$3:$N$28,'Loan Amortization'!BT41),BU40-BX40)</f>
        <v>0</v>
      </c>
      <c r="BV41" s="532">
        <f t="shared" ca="1" si="48"/>
        <v>0</v>
      </c>
      <c r="BW41" s="532">
        <f t="shared" ca="1" si="43"/>
        <v>0</v>
      </c>
      <c r="BX41" s="532">
        <f t="shared" ca="1" si="15"/>
        <v>0</v>
      </c>
      <c r="CC41" s="536">
        <f t="shared" ca="1" si="16"/>
        <v>2029</v>
      </c>
      <c r="CD41" s="535">
        <f ca="1"/>
        <v>0</v>
      </c>
      <c r="CF41" s="530">
        <v>40</v>
      </c>
      <c r="CG41" s="531">
        <f t="shared" ca="1" si="44"/>
        <v>47384</v>
      </c>
      <c r="CH41" s="532">
        <f ca="1">IF(CH40=0,SUMIFS('Key Life Events'!$L$3:$L$28,'Key Life Events'!$H$3:$H$28,'Loan Amortization'!$CL$3,'Key Life Events'!$N$3:$N$28,'Loan Amortization'!CG41),CH40-CK40)</f>
        <v>0</v>
      </c>
      <c r="CI41" s="532">
        <f t="shared" ca="1" si="45"/>
        <v>0</v>
      </c>
      <c r="CJ41" s="532">
        <f t="shared" ca="1" si="46"/>
        <v>0</v>
      </c>
      <c r="CK41" s="532">
        <f t="shared" ca="1" si="17"/>
        <v>0</v>
      </c>
      <c r="CP41" s="536">
        <f t="shared" ca="1" si="18"/>
        <v>2029</v>
      </c>
      <c r="CQ41" s="535">
        <f ca="1"/>
        <v>0</v>
      </c>
      <c r="CS41" s="100">
        <f t="shared" si="19"/>
        <v>40</v>
      </c>
      <c r="CT41" s="102">
        <f t="shared" ca="1" si="20"/>
        <v>0</v>
      </c>
      <c r="CU41" s="102">
        <f t="shared" ca="1" si="21"/>
        <v>0</v>
      </c>
      <c r="CV41" s="511">
        <f t="shared" ca="1" si="22"/>
        <v>2029</v>
      </c>
      <c r="CW41" s="1">
        <f t="shared" si="47"/>
        <v>469</v>
      </c>
      <c r="CX41" s="99">
        <f t="shared" ca="1" si="23"/>
        <v>0</v>
      </c>
    </row>
    <row r="42" spans="1:102" x14ac:dyDescent="0.3">
      <c r="A42" s="100">
        <v>41</v>
      </c>
      <c r="B42" s="131">
        <f t="shared" si="24"/>
        <v>394</v>
      </c>
      <c r="C42" s="102">
        <f t="shared" si="25"/>
        <v>0</v>
      </c>
      <c r="D42" s="102">
        <f t="shared" si="26"/>
        <v>0</v>
      </c>
      <c r="E42" s="102">
        <f t="shared" si="6"/>
        <v>0</v>
      </c>
      <c r="F42" s="102">
        <f t="shared" si="27"/>
        <v>0</v>
      </c>
      <c r="L42" s="100">
        <v>41</v>
      </c>
      <c r="M42" s="131">
        <f t="shared" ca="1" si="28"/>
        <v>47414</v>
      </c>
      <c r="N42" s="102">
        <f t="shared" si="29"/>
        <v>0</v>
      </c>
      <c r="O42" s="102">
        <f t="shared" si="30"/>
        <v>0</v>
      </c>
      <c r="P42" s="102">
        <f t="shared" si="7"/>
        <v>0</v>
      </c>
      <c r="Q42" s="102">
        <f t="shared" si="8"/>
        <v>0</v>
      </c>
      <c r="W42" s="100">
        <v>41</v>
      </c>
      <c r="X42" s="131">
        <f t="shared" ca="1" si="31"/>
        <v>47414</v>
      </c>
      <c r="Y42" s="102">
        <f t="shared" si="32"/>
        <v>0</v>
      </c>
      <c r="Z42" s="102">
        <f t="shared" si="33"/>
        <v>0</v>
      </c>
      <c r="AA42" s="102">
        <f t="shared" si="49"/>
        <v>0</v>
      </c>
      <c r="AB42" s="102">
        <f t="shared" si="9"/>
        <v>0</v>
      </c>
      <c r="AH42" s="100">
        <v>41</v>
      </c>
      <c r="AI42" s="131">
        <f t="shared" ca="1" si="34"/>
        <v>47414</v>
      </c>
      <c r="AJ42" s="102">
        <f t="shared" si="35"/>
        <v>0</v>
      </c>
      <c r="AK42" s="102">
        <f t="shared" si="36"/>
        <v>0</v>
      </c>
      <c r="AL42" s="102">
        <f t="shared" si="50"/>
        <v>0</v>
      </c>
      <c r="AM42" s="102">
        <f t="shared" si="10"/>
        <v>0</v>
      </c>
      <c r="AS42" s="530">
        <v>41</v>
      </c>
      <c r="AT42" s="531">
        <f t="shared" ca="1" si="37"/>
        <v>47414</v>
      </c>
      <c r="AU42" s="532">
        <f ca="1">IF(AU41=0,SUMIFS('Key Life Events'!$L$3:$L$28,'Key Life Events'!$H$3:$H$28,'Loan Amortization'!$AY$3,'Key Life Events'!$N$3:$N$28,'Loan Amortization'!AT42),AU41-AX41)</f>
        <v>0</v>
      </c>
      <c r="AV42" s="532">
        <f t="shared" ca="1" si="38"/>
        <v>0</v>
      </c>
      <c r="AW42" s="532">
        <f t="shared" ca="1" si="2"/>
        <v>0</v>
      </c>
      <c r="AX42" s="532">
        <f t="shared" ca="1" si="11"/>
        <v>0</v>
      </c>
      <c r="BC42" s="536">
        <f t="shared" ca="1" si="12"/>
        <v>2029</v>
      </c>
      <c r="BF42" s="530">
        <v>41</v>
      </c>
      <c r="BG42" s="531">
        <f t="shared" ca="1" si="39"/>
        <v>47414</v>
      </c>
      <c r="BH42" s="532">
        <f ca="1">IF(BH41=0,SUMIFS('Key Life Events'!$L$3:$L$28,'Key Life Events'!$H$3:$H$28,'Loan Amortization'!$BL$3,'Key Life Events'!$N$3:$N$28,'Loan Amortization'!BG42),BH41-BK41)</f>
        <v>0</v>
      </c>
      <c r="BI42" s="532">
        <f t="shared" ca="1" si="40"/>
        <v>0</v>
      </c>
      <c r="BJ42" s="532">
        <f t="shared" ca="1" si="41"/>
        <v>0</v>
      </c>
      <c r="BK42" s="532">
        <f t="shared" ca="1" si="13"/>
        <v>0</v>
      </c>
      <c r="BP42" s="536">
        <f t="shared" ca="1" si="14"/>
        <v>2029</v>
      </c>
      <c r="BQ42" s="535">
        <f ca="1"/>
        <v>0</v>
      </c>
      <c r="BS42" s="530">
        <v>41</v>
      </c>
      <c r="BT42" s="531">
        <f t="shared" ca="1" si="42"/>
        <v>47414</v>
      </c>
      <c r="BU42" s="532">
        <f ca="1">IF(BU41=0,SUMIFS('Key Life Events'!$L$3:$L$28,'Key Life Events'!$H$3:$H$28,'Loan Amortization'!$BY$3,'Key Life Events'!$N$3:$N$28,'Loan Amortization'!BT42),BU41-BX41)</f>
        <v>0</v>
      </c>
      <c r="BV42" s="532">
        <f t="shared" ca="1" si="48"/>
        <v>0</v>
      </c>
      <c r="BW42" s="532">
        <f t="shared" ca="1" si="43"/>
        <v>0</v>
      </c>
      <c r="BX42" s="532">
        <f t="shared" ca="1" si="15"/>
        <v>0</v>
      </c>
      <c r="CC42" s="536">
        <f t="shared" ca="1" si="16"/>
        <v>2029</v>
      </c>
      <c r="CD42" s="535">
        <f ca="1"/>
        <v>0</v>
      </c>
      <c r="CF42" s="530">
        <v>41</v>
      </c>
      <c r="CG42" s="531">
        <f t="shared" ca="1" si="44"/>
        <v>47414</v>
      </c>
      <c r="CH42" s="532">
        <f ca="1">IF(CH41=0,SUMIFS('Key Life Events'!$L$3:$L$28,'Key Life Events'!$H$3:$H$28,'Loan Amortization'!$CL$3,'Key Life Events'!$N$3:$N$28,'Loan Amortization'!CG42),CH41-CK41)</f>
        <v>0</v>
      </c>
      <c r="CI42" s="532">
        <f t="shared" ca="1" si="45"/>
        <v>0</v>
      </c>
      <c r="CJ42" s="532">
        <f t="shared" ca="1" si="46"/>
        <v>0</v>
      </c>
      <c r="CK42" s="532">
        <f t="shared" ca="1" si="17"/>
        <v>0</v>
      </c>
      <c r="CP42" s="536">
        <f t="shared" ca="1" si="18"/>
        <v>2029</v>
      </c>
      <c r="CQ42" s="535">
        <f ca="1"/>
        <v>0</v>
      </c>
      <c r="CS42" s="100">
        <f t="shared" si="19"/>
        <v>41</v>
      </c>
      <c r="CT42" s="102">
        <f t="shared" ca="1" si="20"/>
        <v>0</v>
      </c>
      <c r="CU42" s="102">
        <f t="shared" ca="1" si="21"/>
        <v>0</v>
      </c>
      <c r="CV42" s="511">
        <f t="shared" ca="1" si="22"/>
        <v>2029</v>
      </c>
      <c r="CW42" s="1">
        <f t="shared" si="47"/>
        <v>481</v>
      </c>
      <c r="CX42" s="99">
        <f t="shared" ca="1" si="23"/>
        <v>0</v>
      </c>
    </row>
    <row r="43" spans="1:102" x14ac:dyDescent="0.3">
      <c r="A43" s="100">
        <v>42</v>
      </c>
      <c r="B43" s="131">
        <f t="shared" si="24"/>
        <v>425</v>
      </c>
      <c r="C43" s="102">
        <f t="shared" si="25"/>
        <v>0</v>
      </c>
      <c r="D43" s="102">
        <f t="shared" si="26"/>
        <v>0</v>
      </c>
      <c r="E43" s="102">
        <f t="shared" si="6"/>
        <v>0</v>
      </c>
      <c r="F43" s="102">
        <f t="shared" si="27"/>
        <v>0</v>
      </c>
      <c r="L43" s="100">
        <v>42</v>
      </c>
      <c r="M43" s="131">
        <f t="shared" ca="1" si="28"/>
        <v>47445</v>
      </c>
      <c r="N43" s="102">
        <f t="shared" si="29"/>
        <v>0</v>
      </c>
      <c r="O43" s="102">
        <f t="shared" si="30"/>
        <v>0</v>
      </c>
      <c r="P43" s="102">
        <f t="shared" si="7"/>
        <v>0</v>
      </c>
      <c r="Q43" s="102">
        <f t="shared" si="8"/>
        <v>0</v>
      </c>
      <c r="W43" s="100">
        <v>42</v>
      </c>
      <c r="X43" s="131">
        <f t="shared" ca="1" si="31"/>
        <v>47445</v>
      </c>
      <c r="Y43" s="102">
        <f t="shared" si="32"/>
        <v>0</v>
      </c>
      <c r="Z43" s="102">
        <f t="shared" si="33"/>
        <v>0</v>
      </c>
      <c r="AA43" s="102">
        <f t="shared" si="49"/>
        <v>0</v>
      </c>
      <c r="AB43" s="102">
        <f t="shared" si="9"/>
        <v>0</v>
      </c>
      <c r="AH43" s="100">
        <v>42</v>
      </c>
      <c r="AI43" s="131">
        <f t="shared" ca="1" si="34"/>
        <v>47445</v>
      </c>
      <c r="AJ43" s="102">
        <f t="shared" si="35"/>
        <v>0</v>
      </c>
      <c r="AK43" s="102">
        <f t="shared" si="36"/>
        <v>0</v>
      </c>
      <c r="AL43" s="102">
        <f t="shared" si="50"/>
        <v>0</v>
      </c>
      <c r="AM43" s="102">
        <f t="shared" si="10"/>
        <v>0</v>
      </c>
      <c r="AS43" s="530">
        <v>42</v>
      </c>
      <c r="AT43" s="531">
        <f t="shared" ca="1" si="37"/>
        <v>47445</v>
      </c>
      <c r="AU43" s="532">
        <f ca="1">IF(AU42=0,SUMIFS('Key Life Events'!$L$3:$L$28,'Key Life Events'!$H$3:$H$28,'Loan Amortization'!$AY$3,'Key Life Events'!$N$3:$N$28,'Loan Amortization'!AT43),AU42-AX42)</f>
        <v>0</v>
      </c>
      <c r="AV43" s="532">
        <f t="shared" ca="1" si="38"/>
        <v>0</v>
      </c>
      <c r="AW43" s="532">
        <f t="shared" ca="1" si="2"/>
        <v>0</v>
      </c>
      <c r="AX43" s="532">
        <f t="shared" ca="1" si="11"/>
        <v>0</v>
      </c>
      <c r="BC43" s="536">
        <f t="shared" ca="1" si="12"/>
        <v>2029</v>
      </c>
      <c r="BF43" s="530">
        <v>42</v>
      </c>
      <c r="BG43" s="531">
        <f t="shared" ca="1" si="39"/>
        <v>47445</v>
      </c>
      <c r="BH43" s="532">
        <f ca="1">IF(BH42=0,SUMIFS('Key Life Events'!$L$3:$L$28,'Key Life Events'!$H$3:$H$28,'Loan Amortization'!$BL$3,'Key Life Events'!$N$3:$N$28,'Loan Amortization'!BG43),BH42-BK42)</f>
        <v>0</v>
      </c>
      <c r="BI43" s="532">
        <f t="shared" ca="1" si="40"/>
        <v>0</v>
      </c>
      <c r="BJ43" s="532">
        <f t="shared" ca="1" si="41"/>
        <v>0</v>
      </c>
      <c r="BK43" s="532">
        <f t="shared" ca="1" si="13"/>
        <v>0</v>
      </c>
      <c r="BP43" s="536">
        <f t="shared" ca="1" si="14"/>
        <v>2029</v>
      </c>
      <c r="BQ43" s="535">
        <f ca="1"/>
        <v>0</v>
      </c>
      <c r="BS43" s="530">
        <v>42</v>
      </c>
      <c r="BT43" s="531">
        <f t="shared" ca="1" si="42"/>
        <v>47445</v>
      </c>
      <c r="BU43" s="532">
        <f ca="1">IF(BU42=0,SUMIFS('Key Life Events'!$L$3:$L$28,'Key Life Events'!$H$3:$H$28,'Loan Amortization'!$BY$3,'Key Life Events'!$N$3:$N$28,'Loan Amortization'!BT43),BU42-BX42)</f>
        <v>0</v>
      </c>
      <c r="BV43" s="532">
        <f t="shared" ca="1" si="48"/>
        <v>0</v>
      </c>
      <c r="BW43" s="532">
        <f t="shared" ca="1" si="43"/>
        <v>0</v>
      </c>
      <c r="BX43" s="532">
        <f t="shared" ca="1" si="15"/>
        <v>0</v>
      </c>
      <c r="CC43" s="536">
        <f t="shared" ca="1" si="16"/>
        <v>2029</v>
      </c>
      <c r="CD43" s="535">
        <f ca="1"/>
        <v>0</v>
      </c>
      <c r="CF43" s="530">
        <v>42</v>
      </c>
      <c r="CG43" s="531">
        <f t="shared" ca="1" si="44"/>
        <v>47445</v>
      </c>
      <c r="CH43" s="532">
        <f ca="1">IF(CH42=0,SUMIFS('Key Life Events'!$L$3:$L$28,'Key Life Events'!$H$3:$H$28,'Loan Amortization'!$CL$3,'Key Life Events'!$N$3:$N$28,'Loan Amortization'!CG43),CH42-CK42)</f>
        <v>0</v>
      </c>
      <c r="CI43" s="532">
        <f t="shared" ca="1" si="45"/>
        <v>0</v>
      </c>
      <c r="CJ43" s="532">
        <f t="shared" ca="1" si="46"/>
        <v>0</v>
      </c>
      <c r="CK43" s="532">
        <f t="shared" ca="1" si="17"/>
        <v>0</v>
      </c>
      <c r="CP43" s="536">
        <f t="shared" ca="1" si="18"/>
        <v>2029</v>
      </c>
      <c r="CQ43" s="535">
        <f ca="1"/>
        <v>0</v>
      </c>
      <c r="CS43" s="100">
        <f t="shared" si="19"/>
        <v>42</v>
      </c>
      <c r="CT43" s="102">
        <f t="shared" ca="1" si="20"/>
        <v>0</v>
      </c>
      <c r="CU43" s="102">
        <f t="shared" ca="1" si="21"/>
        <v>0</v>
      </c>
      <c r="CV43" s="511">
        <f t="shared" ca="1" si="22"/>
        <v>2029</v>
      </c>
      <c r="CW43" s="1">
        <f t="shared" si="47"/>
        <v>493</v>
      </c>
      <c r="CX43" s="99">
        <f t="shared" ca="1" si="23"/>
        <v>0</v>
      </c>
    </row>
    <row r="44" spans="1:102" x14ac:dyDescent="0.3">
      <c r="A44" s="100">
        <v>43</v>
      </c>
      <c r="B44" s="131">
        <f t="shared" si="24"/>
        <v>453</v>
      </c>
      <c r="C44" s="102">
        <f t="shared" si="25"/>
        <v>0</v>
      </c>
      <c r="D44" s="102">
        <f t="shared" si="26"/>
        <v>0</v>
      </c>
      <c r="E44" s="102">
        <f t="shared" si="6"/>
        <v>0</v>
      </c>
      <c r="F44" s="102">
        <f t="shared" si="27"/>
        <v>0</v>
      </c>
      <c r="L44" s="100">
        <v>43</v>
      </c>
      <c r="M44" s="131">
        <f t="shared" ca="1" si="28"/>
        <v>47475</v>
      </c>
      <c r="N44" s="102">
        <f t="shared" si="29"/>
        <v>0</v>
      </c>
      <c r="O44" s="102">
        <f t="shared" si="30"/>
        <v>0</v>
      </c>
      <c r="P44" s="102">
        <f t="shared" si="7"/>
        <v>0</v>
      </c>
      <c r="Q44" s="102">
        <f t="shared" si="8"/>
        <v>0</v>
      </c>
      <c r="W44" s="100">
        <v>43</v>
      </c>
      <c r="X44" s="131">
        <f t="shared" ca="1" si="31"/>
        <v>47475</v>
      </c>
      <c r="Y44" s="102">
        <f t="shared" si="32"/>
        <v>0</v>
      </c>
      <c r="Z44" s="102">
        <f t="shared" si="33"/>
        <v>0</v>
      </c>
      <c r="AA44" s="102">
        <f t="shared" si="49"/>
        <v>0</v>
      </c>
      <c r="AB44" s="102">
        <f t="shared" si="9"/>
        <v>0</v>
      </c>
      <c r="AH44" s="100">
        <v>43</v>
      </c>
      <c r="AI44" s="131">
        <f t="shared" ca="1" si="34"/>
        <v>47475</v>
      </c>
      <c r="AJ44" s="102">
        <f t="shared" si="35"/>
        <v>0</v>
      </c>
      <c r="AK44" s="102">
        <f t="shared" si="36"/>
        <v>0</v>
      </c>
      <c r="AL44" s="102">
        <f t="shared" si="50"/>
        <v>0</v>
      </c>
      <c r="AM44" s="102">
        <f t="shared" si="10"/>
        <v>0</v>
      </c>
      <c r="AS44" s="530">
        <v>43</v>
      </c>
      <c r="AT44" s="531">
        <f t="shared" ca="1" si="37"/>
        <v>47475</v>
      </c>
      <c r="AU44" s="532">
        <f ca="1">IF(AU43=0,SUMIFS('Key Life Events'!$L$3:$L$28,'Key Life Events'!$H$3:$H$28,'Loan Amortization'!$AY$3,'Key Life Events'!$N$3:$N$28,'Loan Amortization'!AT44),AU43-AX43)</f>
        <v>0</v>
      </c>
      <c r="AV44" s="532">
        <f t="shared" ca="1" si="38"/>
        <v>0</v>
      </c>
      <c r="AW44" s="532">
        <f t="shared" ca="1" si="2"/>
        <v>0</v>
      </c>
      <c r="AX44" s="532">
        <f t="shared" ca="1" si="11"/>
        <v>0</v>
      </c>
      <c r="BC44" s="536">
        <f t="shared" ca="1" si="12"/>
        <v>2029</v>
      </c>
      <c r="BF44" s="530">
        <v>43</v>
      </c>
      <c r="BG44" s="531">
        <f t="shared" ca="1" si="39"/>
        <v>47475</v>
      </c>
      <c r="BH44" s="532">
        <f ca="1">IF(BH43=0,SUMIFS('Key Life Events'!$L$3:$L$28,'Key Life Events'!$H$3:$H$28,'Loan Amortization'!$BL$3,'Key Life Events'!$N$3:$N$28,'Loan Amortization'!BG44),BH43-BK43)</f>
        <v>0</v>
      </c>
      <c r="BI44" s="532">
        <f t="shared" ca="1" si="40"/>
        <v>0</v>
      </c>
      <c r="BJ44" s="532">
        <f t="shared" ca="1" si="41"/>
        <v>0</v>
      </c>
      <c r="BK44" s="532">
        <f t="shared" ca="1" si="13"/>
        <v>0</v>
      </c>
      <c r="BP44" s="536">
        <f t="shared" ca="1" si="14"/>
        <v>2029</v>
      </c>
      <c r="BQ44" s="535">
        <f ca="1"/>
        <v>0</v>
      </c>
      <c r="BS44" s="530">
        <v>43</v>
      </c>
      <c r="BT44" s="531">
        <f t="shared" ca="1" si="42"/>
        <v>47475</v>
      </c>
      <c r="BU44" s="532">
        <f ca="1">IF(BU43=0,SUMIFS('Key Life Events'!$L$3:$L$28,'Key Life Events'!$H$3:$H$28,'Loan Amortization'!$BY$3,'Key Life Events'!$N$3:$N$28,'Loan Amortization'!BT44),BU43-BX43)</f>
        <v>0</v>
      </c>
      <c r="BV44" s="532">
        <f t="shared" ca="1" si="48"/>
        <v>0</v>
      </c>
      <c r="BW44" s="532">
        <f t="shared" ca="1" si="43"/>
        <v>0</v>
      </c>
      <c r="BX44" s="532">
        <f t="shared" ca="1" si="15"/>
        <v>0</v>
      </c>
      <c r="CC44" s="536">
        <f t="shared" ca="1" si="16"/>
        <v>2029</v>
      </c>
      <c r="CD44" s="535">
        <f ca="1"/>
        <v>0</v>
      </c>
      <c r="CF44" s="530">
        <v>43</v>
      </c>
      <c r="CG44" s="531">
        <f t="shared" ca="1" si="44"/>
        <v>47475</v>
      </c>
      <c r="CH44" s="532">
        <f ca="1">IF(CH43=0,SUMIFS('Key Life Events'!$L$3:$L$28,'Key Life Events'!$H$3:$H$28,'Loan Amortization'!$CL$3,'Key Life Events'!$N$3:$N$28,'Loan Amortization'!CG44),CH43-CK43)</f>
        <v>0</v>
      </c>
      <c r="CI44" s="532">
        <f t="shared" ca="1" si="45"/>
        <v>0</v>
      </c>
      <c r="CJ44" s="532">
        <f t="shared" ca="1" si="46"/>
        <v>0</v>
      </c>
      <c r="CK44" s="532">
        <f t="shared" ca="1" si="17"/>
        <v>0</v>
      </c>
      <c r="CP44" s="536">
        <f t="shared" ca="1" si="18"/>
        <v>2029</v>
      </c>
      <c r="CQ44" s="535">
        <f ca="1"/>
        <v>0</v>
      </c>
      <c r="CS44" s="100">
        <f t="shared" si="19"/>
        <v>43</v>
      </c>
      <c r="CT44" s="102">
        <f t="shared" ca="1" si="20"/>
        <v>0</v>
      </c>
      <c r="CU44" s="102">
        <f t="shared" ca="1" si="21"/>
        <v>0</v>
      </c>
      <c r="CV44" s="511">
        <f t="shared" ca="1" si="22"/>
        <v>2029</v>
      </c>
      <c r="CW44" s="1">
        <f t="shared" si="47"/>
        <v>505</v>
      </c>
      <c r="CX44" s="99">
        <f t="shared" ca="1" si="23"/>
        <v>0</v>
      </c>
    </row>
    <row r="45" spans="1:102" x14ac:dyDescent="0.3">
      <c r="A45" s="100">
        <v>44</v>
      </c>
      <c r="B45" s="131">
        <f t="shared" si="24"/>
        <v>484</v>
      </c>
      <c r="C45" s="102">
        <f t="shared" si="25"/>
        <v>0</v>
      </c>
      <c r="D45" s="102">
        <f t="shared" si="26"/>
        <v>0</v>
      </c>
      <c r="E45" s="102">
        <f t="shared" si="6"/>
        <v>0</v>
      </c>
      <c r="F45" s="102">
        <f t="shared" si="27"/>
        <v>0</v>
      </c>
      <c r="L45" s="100">
        <v>44</v>
      </c>
      <c r="M45" s="131">
        <f t="shared" ca="1" si="28"/>
        <v>47506</v>
      </c>
      <c r="N45" s="102">
        <f t="shared" si="29"/>
        <v>0</v>
      </c>
      <c r="O45" s="102">
        <f t="shared" si="30"/>
        <v>0</v>
      </c>
      <c r="P45" s="102">
        <f t="shared" si="7"/>
        <v>0</v>
      </c>
      <c r="Q45" s="102">
        <f t="shared" si="8"/>
        <v>0</v>
      </c>
      <c r="W45" s="100">
        <v>44</v>
      </c>
      <c r="X45" s="131">
        <f t="shared" ca="1" si="31"/>
        <v>47506</v>
      </c>
      <c r="Y45" s="102">
        <f t="shared" si="32"/>
        <v>0</v>
      </c>
      <c r="Z45" s="102">
        <f t="shared" si="33"/>
        <v>0</v>
      </c>
      <c r="AA45" s="102">
        <f t="shared" si="49"/>
        <v>0</v>
      </c>
      <c r="AB45" s="102">
        <f t="shared" si="9"/>
        <v>0</v>
      </c>
      <c r="AH45" s="100">
        <v>44</v>
      </c>
      <c r="AI45" s="131">
        <f t="shared" ca="1" si="34"/>
        <v>47506</v>
      </c>
      <c r="AJ45" s="102">
        <f t="shared" si="35"/>
        <v>0</v>
      </c>
      <c r="AK45" s="102">
        <f t="shared" si="36"/>
        <v>0</v>
      </c>
      <c r="AL45" s="102">
        <f t="shared" si="50"/>
        <v>0</v>
      </c>
      <c r="AM45" s="102">
        <f t="shared" si="10"/>
        <v>0</v>
      </c>
      <c r="AS45" s="530">
        <v>44</v>
      </c>
      <c r="AT45" s="531">
        <f t="shared" ca="1" si="37"/>
        <v>47506</v>
      </c>
      <c r="AU45" s="532">
        <f ca="1">IF(AU44=0,SUMIFS('Key Life Events'!$L$3:$L$28,'Key Life Events'!$H$3:$H$28,'Loan Amortization'!$AY$3,'Key Life Events'!$N$3:$N$28,'Loan Amortization'!AT45),AU44-AX44)</f>
        <v>0</v>
      </c>
      <c r="AV45" s="532">
        <f t="shared" ca="1" si="38"/>
        <v>0</v>
      </c>
      <c r="AW45" s="532">
        <f t="shared" ca="1" si="2"/>
        <v>0</v>
      </c>
      <c r="AX45" s="532">
        <f t="shared" ca="1" si="11"/>
        <v>0</v>
      </c>
      <c r="BC45" s="536">
        <f t="shared" ca="1" si="12"/>
        <v>2030</v>
      </c>
      <c r="BF45" s="530">
        <v>44</v>
      </c>
      <c r="BG45" s="531">
        <f t="shared" ca="1" si="39"/>
        <v>47506</v>
      </c>
      <c r="BH45" s="532">
        <f ca="1">IF(BH44=0,SUMIFS('Key Life Events'!$L$3:$L$28,'Key Life Events'!$H$3:$H$28,'Loan Amortization'!$BL$3,'Key Life Events'!$N$3:$N$28,'Loan Amortization'!BG45),BH44-BK44)</f>
        <v>0</v>
      </c>
      <c r="BI45" s="532">
        <f t="shared" ca="1" si="40"/>
        <v>0</v>
      </c>
      <c r="BJ45" s="532">
        <f t="shared" ca="1" si="41"/>
        <v>0</v>
      </c>
      <c r="BK45" s="532">
        <f t="shared" ca="1" si="13"/>
        <v>0</v>
      </c>
      <c r="BP45" s="536">
        <f t="shared" ca="1" si="14"/>
        <v>2030</v>
      </c>
      <c r="BQ45" s="535">
        <f ca="1"/>
        <v>0</v>
      </c>
      <c r="BS45" s="530">
        <v>44</v>
      </c>
      <c r="BT45" s="531">
        <f t="shared" ca="1" si="42"/>
        <v>47506</v>
      </c>
      <c r="BU45" s="532">
        <f ca="1">IF(BU44=0,SUMIFS('Key Life Events'!$L$3:$L$28,'Key Life Events'!$H$3:$H$28,'Loan Amortization'!$BY$3,'Key Life Events'!$N$3:$N$28,'Loan Amortization'!BT45),BU44-BX44)</f>
        <v>0</v>
      </c>
      <c r="BV45" s="532">
        <f t="shared" ca="1" si="48"/>
        <v>0</v>
      </c>
      <c r="BW45" s="532">
        <f t="shared" ca="1" si="43"/>
        <v>0</v>
      </c>
      <c r="BX45" s="532">
        <f t="shared" ca="1" si="15"/>
        <v>0</v>
      </c>
      <c r="CC45" s="536">
        <f t="shared" ca="1" si="16"/>
        <v>2030</v>
      </c>
      <c r="CD45" s="535">
        <f ca="1"/>
        <v>0</v>
      </c>
      <c r="CF45" s="530">
        <v>44</v>
      </c>
      <c r="CG45" s="531">
        <f t="shared" ca="1" si="44"/>
        <v>47506</v>
      </c>
      <c r="CH45" s="532">
        <f ca="1">IF(CH44=0,SUMIFS('Key Life Events'!$L$3:$L$28,'Key Life Events'!$H$3:$H$28,'Loan Amortization'!$CL$3,'Key Life Events'!$N$3:$N$28,'Loan Amortization'!CG45),CH44-CK44)</f>
        <v>0</v>
      </c>
      <c r="CI45" s="532">
        <f t="shared" ca="1" si="45"/>
        <v>0</v>
      </c>
      <c r="CJ45" s="532">
        <f t="shared" ca="1" si="46"/>
        <v>0</v>
      </c>
      <c r="CK45" s="532">
        <f t="shared" ca="1" si="17"/>
        <v>0</v>
      </c>
      <c r="CP45" s="536">
        <f t="shared" ca="1" si="18"/>
        <v>2030</v>
      </c>
      <c r="CQ45" s="535">
        <f ca="1"/>
        <v>0</v>
      </c>
      <c r="CS45" s="100">
        <f t="shared" si="19"/>
        <v>44</v>
      </c>
      <c r="CT45" s="102">
        <f t="shared" ca="1" si="20"/>
        <v>0</v>
      </c>
      <c r="CU45" s="102">
        <f t="shared" ca="1" si="21"/>
        <v>0</v>
      </c>
      <c r="CV45" s="511">
        <f t="shared" ca="1" si="22"/>
        <v>2030</v>
      </c>
      <c r="CW45" s="1">
        <f t="shared" si="47"/>
        <v>517</v>
      </c>
      <c r="CX45" s="99">
        <f t="shared" ca="1" si="23"/>
        <v>0</v>
      </c>
    </row>
    <row r="46" spans="1:102" x14ac:dyDescent="0.3">
      <c r="A46" s="100">
        <v>45</v>
      </c>
      <c r="B46" s="131">
        <f t="shared" si="24"/>
        <v>514</v>
      </c>
      <c r="C46" s="102">
        <f t="shared" si="25"/>
        <v>0</v>
      </c>
      <c r="D46" s="102">
        <f t="shared" si="26"/>
        <v>0</v>
      </c>
      <c r="E46" s="102">
        <f t="shared" si="6"/>
        <v>0</v>
      </c>
      <c r="F46" s="102">
        <f t="shared" si="27"/>
        <v>0</v>
      </c>
      <c r="L46" s="100">
        <v>45</v>
      </c>
      <c r="M46" s="131">
        <f t="shared" ca="1" si="28"/>
        <v>47537</v>
      </c>
      <c r="N46" s="102">
        <f t="shared" si="29"/>
        <v>0</v>
      </c>
      <c r="O46" s="102">
        <f t="shared" si="30"/>
        <v>0</v>
      </c>
      <c r="P46" s="102">
        <f t="shared" si="7"/>
        <v>0</v>
      </c>
      <c r="Q46" s="102">
        <f t="shared" si="8"/>
        <v>0</v>
      </c>
      <c r="W46" s="100">
        <v>45</v>
      </c>
      <c r="X46" s="131">
        <f t="shared" ca="1" si="31"/>
        <v>47537</v>
      </c>
      <c r="Y46" s="102">
        <f t="shared" si="32"/>
        <v>0</v>
      </c>
      <c r="Z46" s="102">
        <f t="shared" si="33"/>
        <v>0</v>
      </c>
      <c r="AA46" s="102">
        <f t="shared" si="49"/>
        <v>0</v>
      </c>
      <c r="AB46" s="102">
        <f t="shared" si="9"/>
        <v>0</v>
      </c>
      <c r="AH46" s="100">
        <v>45</v>
      </c>
      <c r="AI46" s="131">
        <f t="shared" ca="1" si="34"/>
        <v>47537</v>
      </c>
      <c r="AJ46" s="102">
        <f t="shared" si="35"/>
        <v>0</v>
      </c>
      <c r="AK46" s="102">
        <f t="shared" si="36"/>
        <v>0</v>
      </c>
      <c r="AL46" s="102">
        <f t="shared" si="50"/>
        <v>0</v>
      </c>
      <c r="AM46" s="102">
        <f t="shared" si="10"/>
        <v>0</v>
      </c>
      <c r="AS46" s="530">
        <v>45</v>
      </c>
      <c r="AT46" s="531">
        <f t="shared" ca="1" si="37"/>
        <v>47537</v>
      </c>
      <c r="AU46" s="532">
        <f ca="1">IF(AU45=0,SUMIFS('Key Life Events'!$L$3:$L$28,'Key Life Events'!$H$3:$H$28,'Loan Amortization'!$AY$3,'Key Life Events'!$N$3:$N$28,'Loan Amortization'!AT46),AU45-AX45)</f>
        <v>0</v>
      </c>
      <c r="AV46" s="532">
        <f t="shared" ca="1" si="38"/>
        <v>0</v>
      </c>
      <c r="AW46" s="532">
        <f t="shared" ca="1" si="2"/>
        <v>0</v>
      </c>
      <c r="AX46" s="532">
        <f t="shared" ca="1" si="11"/>
        <v>0</v>
      </c>
      <c r="BC46" s="536">
        <f t="shared" ca="1" si="12"/>
        <v>2030</v>
      </c>
      <c r="BF46" s="530">
        <v>45</v>
      </c>
      <c r="BG46" s="531">
        <f t="shared" ca="1" si="39"/>
        <v>47537</v>
      </c>
      <c r="BH46" s="532">
        <f ca="1">IF(BH45=0,SUMIFS('Key Life Events'!$L$3:$L$28,'Key Life Events'!$H$3:$H$28,'Loan Amortization'!$BL$3,'Key Life Events'!$N$3:$N$28,'Loan Amortization'!BG46),BH45-BK45)</f>
        <v>0</v>
      </c>
      <c r="BI46" s="532">
        <f t="shared" ca="1" si="40"/>
        <v>0</v>
      </c>
      <c r="BJ46" s="532">
        <f t="shared" ca="1" si="41"/>
        <v>0</v>
      </c>
      <c r="BK46" s="532">
        <f t="shared" ca="1" si="13"/>
        <v>0</v>
      </c>
      <c r="BP46" s="536">
        <f t="shared" ca="1" si="14"/>
        <v>2030</v>
      </c>
      <c r="BQ46" s="535">
        <f ca="1"/>
        <v>0</v>
      </c>
      <c r="BS46" s="530">
        <v>45</v>
      </c>
      <c r="BT46" s="531">
        <f t="shared" ca="1" si="42"/>
        <v>47537</v>
      </c>
      <c r="BU46" s="532">
        <f ca="1">IF(BU45=0,SUMIFS('Key Life Events'!$L$3:$L$28,'Key Life Events'!$H$3:$H$28,'Loan Amortization'!$BY$3,'Key Life Events'!$N$3:$N$28,'Loan Amortization'!BT46),BU45-BX45)</f>
        <v>0</v>
      </c>
      <c r="BV46" s="532">
        <f t="shared" ca="1" si="48"/>
        <v>0</v>
      </c>
      <c r="BW46" s="532">
        <f t="shared" ca="1" si="43"/>
        <v>0</v>
      </c>
      <c r="BX46" s="532">
        <f t="shared" ca="1" si="15"/>
        <v>0</v>
      </c>
      <c r="CC46" s="536">
        <f t="shared" ca="1" si="16"/>
        <v>2030</v>
      </c>
      <c r="CD46" s="535">
        <f ca="1"/>
        <v>0</v>
      </c>
      <c r="CF46" s="530">
        <v>45</v>
      </c>
      <c r="CG46" s="531">
        <f t="shared" ca="1" si="44"/>
        <v>47537</v>
      </c>
      <c r="CH46" s="532">
        <f ca="1">IF(CH45=0,SUMIFS('Key Life Events'!$L$3:$L$28,'Key Life Events'!$H$3:$H$28,'Loan Amortization'!$CL$3,'Key Life Events'!$N$3:$N$28,'Loan Amortization'!CG46),CH45-CK45)</f>
        <v>0</v>
      </c>
      <c r="CI46" s="532">
        <f t="shared" ca="1" si="45"/>
        <v>0</v>
      </c>
      <c r="CJ46" s="532">
        <f t="shared" ca="1" si="46"/>
        <v>0</v>
      </c>
      <c r="CK46" s="532">
        <f t="shared" ca="1" si="17"/>
        <v>0</v>
      </c>
      <c r="CP46" s="536">
        <f t="shared" ca="1" si="18"/>
        <v>2030</v>
      </c>
      <c r="CQ46" s="535">
        <f ca="1"/>
        <v>0</v>
      </c>
      <c r="CS46" s="100">
        <f t="shared" si="19"/>
        <v>45</v>
      </c>
      <c r="CT46" s="102">
        <f t="shared" ca="1" si="20"/>
        <v>0</v>
      </c>
      <c r="CU46" s="102">
        <f t="shared" ca="1" si="21"/>
        <v>0</v>
      </c>
      <c r="CV46" s="511">
        <f t="shared" ca="1" si="22"/>
        <v>2030</v>
      </c>
      <c r="CW46" s="1">
        <f t="shared" si="47"/>
        <v>529</v>
      </c>
      <c r="CX46" s="99">
        <f t="shared" ca="1" si="23"/>
        <v>0</v>
      </c>
    </row>
    <row r="47" spans="1:102" x14ac:dyDescent="0.3">
      <c r="A47" s="100">
        <v>46</v>
      </c>
      <c r="B47" s="131">
        <f t="shared" si="24"/>
        <v>545</v>
      </c>
      <c r="C47" s="102">
        <f t="shared" si="25"/>
        <v>0</v>
      </c>
      <c r="D47" s="102">
        <f t="shared" si="26"/>
        <v>0</v>
      </c>
      <c r="E47" s="102">
        <f t="shared" si="6"/>
        <v>0</v>
      </c>
      <c r="F47" s="102">
        <f t="shared" si="27"/>
        <v>0</v>
      </c>
      <c r="L47" s="100">
        <v>46</v>
      </c>
      <c r="M47" s="131">
        <f t="shared" ca="1" si="28"/>
        <v>47565</v>
      </c>
      <c r="N47" s="102">
        <f t="shared" si="29"/>
        <v>0</v>
      </c>
      <c r="O47" s="102">
        <f t="shared" si="30"/>
        <v>0</v>
      </c>
      <c r="P47" s="102">
        <f t="shared" si="7"/>
        <v>0</v>
      </c>
      <c r="Q47" s="102">
        <f t="shared" si="8"/>
        <v>0</v>
      </c>
      <c r="W47" s="100">
        <v>46</v>
      </c>
      <c r="X47" s="131">
        <f t="shared" ca="1" si="31"/>
        <v>47565</v>
      </c>
      <c r="Y47" s="102">
        <f t="shared" si="32"/>
        <v>0</v>
      </c>
      <c r="Z47" s="102">
        <f t="shared" si="33"/>
        <v>0</v>
      </c>
      <c r="AA47" s="102">
        <f t="shared" si="49"/>
        <v>0</v>
      </c>
      <c r="AB47" s="102">
        <f t="shared" si="9"/>
        <v>0</v>
      </c>
      <c r="AH47" s="100">
        <v>46</v>
      </c>
      <c r="AI47" s="131">
        <f t="shared" ca="1" si="34"/>
        <v>47565</v>
      </c>
      <c r="AJ47" s="102">
        <f t="shared" si="35"/>
        <v>0</v>
      </c>
      <c r="AK47" s="102">
        <f t="shared" si="36"/>
        <v>0</v>
      </c>
      <c r="AL47" s="102">
        <f t="shared" si="50"/>
        <v>0</v>
      </c>
      <c r="AM47" s="102">
        <f t="shared" si="10"/>
        <v>0</v>
      </c>
      <c r="AS47" s="530">
        <v>46</v>
      </c>
      <c r="AT47" s="531">
        <f t="shared" ca="1" si="37"/>
        <v>47565</v>
      </c>
      <c r="AU47" s="532">
        <f ca="1">IF(AU46=0,SUMIFS('Key Life Events'!$L$3:$L$28,'Key Life Events'!$H$3:$H$28,'Loan Amortization'!$AY$3,'Key Life Events'!$N$3:$N$28,'Loan Amortization'!AT47),AU46-AX46)</f>
        <v>0</v>
      </c>
      <c r="AV47" s="532">
        <f t="shared" ca="1" si="38"/>
        <v>0</v>
      </c>
      <c r="AW47" s="532">
        <f t="shared" ca="1" si="2"/>
        <v>0</v>
      </c>
      <c r="AX47" s="532">
        <f t="shared" ca="1" si="11"/>
        <v>0</v>
      </c>
      <c r="BC47" s="536">
        <f t="shared" ca="1" si="12"/>
        <v>2030</v>
      </c>
      <c r="BF47" s="530">
        <v>46</v>
      </c>
      <c r="BG47" s="531">
        <f t="shared" ca="1" si="39"/>
        <v>47565</v>
      </c>
      <c r="BH47" s="532">
        <f ca="1">IF(BH46=0,SUMIFS('Key Life Events'!$L$3:$L$28,'Key Life Events'!$H$3:$H$28,'Loan Amortization'!$BL$3,'Key Life Events'!$N$3:$N$28,'Loan Amortization'!BG47),BH46-BK46)</f>
        <v>0</v>
      </c>
      <c r="BI47" s="532">
        <f t="shared" ca="1" si="40"/>
        <v>0</v>
      </c>
      <c r="BJ47" s="532">
        <f t="shared" ca="1" si="41"/>
        <v>0</v>
      </c>
      <c r="BK47" s="532">
        <f t="shared" ca="1" si="13"/>
        <v>0</v>
      </c>
      <c r="BP47" s="536">
        <f t="shared" ca="1" si="14"/>
        <v>2030</v>
      </c>
      <c r="BQ47" s="535">
        <f ca="1"/>
        <v>0</v>
      </c>
      <c r="BS47" s="530">
        <v>46</v>
      </c>
      <c r="BT47" s="531">
        <f t="shared" ca="1" si="42"/>
        <v>47565</v>
      </c>
      <c r="BU47" s="532">
        <f ca="1">IF(BU46=0,SUMIFS('Key Life Events'!$L$3:$L$28,'Key Life Events'!$H$3:$H$28,'Loan Amortization'!$BY$3,'Key Life Events'!$N$3:$N$28,'Loan Amortization'!BT47),BU46-BX46)</f>
        <v>0</v>
      </c>
      <c r="BV47" s="532">
        <f t="shared" ca="1" si="48"/>
        <v>0</v>
      </c>
      <c r="BW47" s="532">
        <f t="shared" ca="1" si="43"/>
        <v>0</v>
      </c>
      <c r="BX47" s="532">
        <f t="shared" ca="1" si="15"/>
        <v>0</v>
      </c>
      <c r="CC47" s="536">
        <f t="shared" ca="1" si="16"/>
        <v>2030</v>
      </c>
      <c r="CD47" s="535">
        <f ca="1"/>
        <v>0</v>
      </c>
      <c r="CF47" s="530">
        <v>46</v>
      </c>
      <c r="CG47" s="531">
        <f t="shared" ca="1" si="44"/>
        <v>47565</v>
      </c>
      <c r="CH47" s="532">
        <f ca="1">IF(CH46=0,SUMIFS('Key Life Events'!$L$3:$L$28,'Key Life Events'!$H$3:$H$28,'Loan Amortization'!$CL$3,'Key Life Events'!$N$3:$N$28,'Loan Amortization'!CG47),CH46-CK46)</f>
        <v>0</v>
      </c>
      <c r="CI47" s="532">
        <f t="shared" ca="1" si="45"/>
        <v>0</v>
      </c>
      <c r="CJ47" s="532">
        <f t="shared" ca="1" si="46"/>
        <v>0</v>
      </c>
      <c r="CK47" s="532">
        <f t="shared" ca="1" si="17"/>
        <v>0</v>
      </c>
      <c r="CP47" s="536">
        <f t="shared" ca="1" si="18"/>
        <v>2030</v>
      </c>
      <c r="CQ47" s="535">
        <f ca="1"/>
        <v>0</v>
      </c>
      <c r="CS47" s="100">
        <f t="shared" si="19"/>
        <v>46</v>
      </c>
      <c r="CT47" s="102">
        <f t="shared" ca="1" si="20"/>
        <v>0</v>
      </c>
      <c r="CU47" s="102">
        <f t="shared" ca="1" si="21"/>
        <v>0</v>
      </c>
      <c r="CV47" s="511">
        <f t="shared" ca="1" si="22"/>
        <v>2030</v>
      </c>
      <c r="CW47" s="1">
        <f t="shared" si="47"/>
        <v>541</v>
      </c>
      <c r="CX47" s="99">
        <f t="shared" ca="1" si="23"/>
        <v>0</v>
      </c>
    </row>
    <row r="48" spans="1:102" x14ac:dyDescent="0.3">
      <c r="A48" s="100">
        <v>47</v>
      </c>
      <c r="B48" s="131">
        <f t="shared" si="24"/>
        <v>575</v>
      </c>
      <c r="C48" s="102">
        <f t="shared" si="25"/>
        <v>0</v>
      </c>
      <c r="D48" s="102">
        <f t="shared" si="26"/>
        <v>0</v>
      </c>
      <c r="E48" s="102">
        <f t="shared" si="6"/>
        <v>0</v>
      </c>
      <c r="F48" s="102">
        <f t="shared" si="27"/>
        <v>0</v>
      </c>
      <c r="L48" s="100">
        <v>47</v>
      </c>
      <c r="M48" s="131">
        <f t="shared" ca="1" si="28"/>
        <v>47596</v>
      </c>
      <c r="N48" s="102">
        <f t="shared" si="29"/>
        <v>0</v>
      </c>
      <c r="O48" s="102">
        <f t="shared" si="30"/>
        <v>0</v>
      </c>
      <c r="P48" s="102">
        <f t="shared" si="7"/>
        <v>0</v>
      </c>
      <c r="Q48" s="102">
        <f t="shared" si="8"/>
        <v>0</v>
      </c>
      <c r="W48" s="100">
        <v>47</v>
      </c>
      <c r="X48" s="131">
        <f t="shared" ca="1" si="31"/>
        <v>47596</v>
      </c>
      <c r="Y48" s="102">
        <f t="shared" si="32"/>
        <v>0</v>
      </c>
      <c r="Z48" s="102">
        <f t="shared" si="33"/>
        <v>0</v>
      </c>
      <c r="AA48" s="102">
        <f t="shared" si="49"/>
        <v>0</v>
      </c>
      <c r="AB48" s="102">
        <f t="shared" si="9"/>
        <v>0</v>
      </c>
      <c r="AH48" s="100">
        <v>47</v>
      </c>
      <c r="AI48" s="131">
        <f t="shared" ca="1" si="34"/>
        <v>47596</v>
      </c>
      <c r="AJ48" s="102">
        <f t="shared" si="35"/>
        <v>0</v>
      </c>
      <c r="AK48" s="102">
        <f t="shared" si="36"/>
        <v>0</v>
      </c>
      <c r="AL48" s="102">
        <f t="shared" si="50"/>
        <v>0</v>
      </c>
      <c r="AM48" s="102">
        <f t="shared" si="10"/>
        <v>0</v>
      </c>
      <c r="AS48" s="530">
        <v>47</v>
      </c>
      <c r="AT48" s="531">
        <f t="shared" ca="1" si="37"/>
        <v>47596</v>
      </c>
      <c r="AU48" s="532">
        <f ca="1">IF(AU47=0,SUMIFS('Key Life Events'!$L$3:$L$28,'Key Life Events'!$H$3:$H$28,'Loan Amortization'!$AY$3,'Key Life Events'!$N$3:$N$28,'Loan Amortization'!AT48),AU47-AX47)</f>
        <v>0</v>
      </c>
      <c r="AV48" s="532">
        <f t="shared" ca="1" si="38"/>
        <v>0</v>
      </c>
      <c r="AW48" s="532">
        <f t="shared" ca="1" si="2"/>
        <v>0</v>
      </c>
      <c r="AX48" s="532">
        <f t="shared" ca="1" si="11"/>
        <v>0</v>
      </c>
      <c r="BC48" s="536">
        <f t="shared" ca="1" si="12"/>
        <v>2030</v>
      </c>
      <c r="BF48" s="530">
        <v>47</v>
      </c>
      <c r="BG48" s="531">
        <f t="shared" ca="1" si="39"/>
        <v>47596</v>
      </c>
      <c r="BH48" s="532">
        <f ca="1">IF(BH47=0,SUMIFS('Key Life Events'!$L$3:$L$28,'Key Life Events'!$H$3:$H$28,'Loan Amortization'!$BL$3,'Key Life Events'!$N$3:$N$28,'Loan Amortization'!BG48),BH47-BK47)</f>
        <v>0</v>
      </c>
      <c r="BI48" s="532">
        <f t="shared" ca="1" si="40"/>
        <v>0</v>
      </c>
      <c r="BJ48" s="532">
        <f t="shared" ca="1" si="41"/>
        <v>0</v>
      </c>
      <c r="BK48" s="532">
        <f t="shared" ca="1" si="13"/>
        <v>0</v>
      </c>
      <c r="BP48" s="536">
        <f t="shared" ca="1" si="14"/>
        <v>2030</v>
      </c>
      <c r="BQ48" s="535">
        <f ca="1"/>
        <v>0</v>
      </c>
      <c r="BS48" s="530">
        <v>47</v>
      </c>
      <c r="BT48" s="531">
        <f t="shared" ca="1" si="42"/>
        <v>47596</v>
      </c>
      <c r="BU48" s="532">
        <f ca="1">IF(BU47=0,SUMIFS('Key Life Events'!$L$3:$L$28,'Key Life Events'!$H$3:$H$28,'Loan Amortization'!$BY$3,'Key Life Events'!$N$3:$N$28,'Loan Amortization'!BT48),BU47-BX47)</f>
        <v>0</v>
      </c>
      <c r="BV48" s="532">
        <f t="shared" ca="1" si="48"/>
        <v>0</v>
      </c>
      <c r="BW48" s="532">
        <f t="shared" ca="1" si="43"/>
        <v>0</v>
      </c>
      <c r="BX48" s="532">
        <f t="shared" ca="1" si="15"/>
        <v>0</v>
      </c>
      <c r="CC48" s="536">
        <f t="shared" ca="1" si="16"/>
        <v>2030</v>
      </c>
      <c r="CD48" s="535">
        <f ca="1"/>
        <v>0</v>
      </c>
      <c r="CF48" s="530">
        <v>47</v>
      </c>
      <c r="CG48" s="531">
        <f t="shared" ca="1" si="44"/>
        <v>47596</v>
      </c>
      <c r="CH48" s="532">
        <f ca="1">IF(CH47=0,SUMIFS('Key Life Events'!$L$3:$L$28,'Key Life Events'!$H$3:$H$28,'Loan Amortization'!$CL$3,'Key Life Events'!$N$3:$N$28,'Loan Amortization'!CG48),CH47-CK47)</f>
        <v>0</v>
      </c>
      <c r="CI48" s="532">
        <f t="shared" ca="1" si="45"/>
        <v>0</v>
      </c>
      <c r="CJ48" s="532">
        <f t="shared" ca="1" si="46"/>
        <v>0</v>
      </c>
      <c r="CK48" s="532">
        <f t="shared" ca="1" si="17"/>
        <v>0</v>
      </c>
      <c r="CP48" s="536">
        <f t="shared" ca="1" si="18"/>
        <v>2030</v>
      </c>
      <c r="CQ48" s="535">
        <f ca="1"/>
        <v>0</v>
      </c>
      <c r="CS48" s="100">
        <f t="shared" si="19"/>
        <v>47</v>
      </c>
      <c r="CT48" s="102">
        <f t="shared" ca="1" si="20"/>
        <v>0</v>
      </c>
      <c r="CU48" s="102">
        <f t="shared" ca="1" si="21"/>
        <v>0</v>
      </c>
      <c r="CV48" s="511">
        <f t="shared" ca="1" si="22"/>
        <v>2030</v>
      </c>
      <c r="CW48" s="1">
        <f t="shared" si="47"/>
        <v>553</v>
      </c>
      <c r="CX48" s="99">
        <f t="shared" ca="1" si="23"/>
        <v>0</v>
      </c>
    </row>
    <row r="49" spans="1:102" x14ac:dyDescent="0.3">
      <c r="A49" s="100">
        <v>48</v>
      </c>
      <c r="B49" s="131">
        <f t="shared" si="24"/>
        <v>606</v>
      </c>
      <c r="C49" s="102">
        <f t="shared" si="25"/>
        <v>0</v>
      </c>
      <c r="D49" s="102">
        <f t="shared" si="26"/>
        <v>0</v>
      </c>
      <c r="E49" s="102">
        <f t="shared" si="6"/>
        <v>0</v>
      </c>
      <c r="F49" s="102">
        <f t="shared" si="27"/>
        <v>0</v>
      </c>
      <c r="L49" s="100">
        <v>48</v>
      </c>
      <c r="M49" s="131">
        <f t="shared" ca="1" si="28"/>
        <v>47626</v>
      </c>
      <c r="N49" s="102">
        <f t="shared" si="29"/>
        <v>0</v>
      </c>
      <c r="O49" s="102">
        <f t="shared" si="30"/>
        <v>0</v>
      </c>
      <c r="P49" s="102">
        <f t="shared" si="7"/>
        <v>0</v>
      </c>
      <c r="Q49" s="102">
        <f t="shared" si="8"/>
        <v>0</v>
      </c>
      <c r="W49" s="100">
        <v>48</v>
      </c>
      <c r="X49" s="131">
        <f t="shared" ca="1" si="31"/>
        <v>47626</v>
      </c>
      <c r="Y49" s="102">
        <f t="shared" si="32"/>
        <v>0</v>
      </c>
      <c r="Z49" s="102">
        <f t="shared" si="33"/>
        <v>0</v>
      </c>
      <c r="AA49" s="102">
        <f t="shared" si="49"/>
        <v>0</v>
      </c>
      <c r="AB49" s="102">
        <f t="shared" si="9"/>
        <v>0</v>
      </c>
      <c r="AH49" s="100">
        <v>48</v>
      </c>
      <c r="AI49" s="131">
        <f t="shared" ca="1" si="34"/>
        <v>47626</v>
      </c>
      <c r="AJ49" s="102">
        <f t="shared" si="35"/>
        <v>0</v>
      </c>
      <c r="AK49" s="102">
        <f t="shared" si="36"/>
        <v>0</v>
      </c>
      <c r="AL49" s="102">
        <f t="shared" si="50"/>
        <v>0</v>
      </c>
      <c r="AM49" s="102">
        <f t="shared" si="10"/>
        <v>0</v>
      </c>
      <c r="AS49" s="530">
        <v>48</v>
      </c>
      <c r="AT49" s="531">
        <f t="shared" ca="1" si="37"/>
        <v>47626</v>
      </c>
      <c r="AU49" s="532">
        <f ca="1">IF(AU48=0,SUMIFS('Key Life Events'!$L$3:$L$28,'Key Life Events'!$H$3:$H$28,'Loan Amortization'!$AY$3,'Key Life Events'!$N$3:$N$28,'Loan Amortization'!AT49),AU48-AX48)</f>
        <v>0</v>
      </c>
      <c r="AV49" s="532">
        <f t="shared" ca="1" si="38"/>
        <v>0</v>
      </c>
      <c r="AW49" s="532">
        <f t="shared" ca="1" si="2"/>
        <v>0</v>
      </c>
      <c r="AX49" s="532">
        <f t="shared" ca="1" si="11"/>
        <v>0</v>
      </c>
      <c r="BC49" s="536">
        <f t="shared" ca="1" si="12"/>
        <v>2030</v>
      </c>
      <c r="BF49" s="530">
        <v>48</v>
      </c>
      <c r="BG49" s="531">
        <f t="shared" ca="1" si="39"/>
        <v>47626</v>
      </c>
      <c r="BH49" s="532">
        <f ca="1">IF(BH48=0,SUMIFS('Key Life Events'!$L$3:$L$28,'Key Life Events'!$H$3:$H$28,'Loan Amortization'!$BL$3,'Key Life Events'!$N$3:$N$28,'Loan Amortization'!BG49),BH48-BK48)</f>
        <v>0</v>
      </c>
      <c r="BI49" s="532">
        <f t="shared" ca="1" si="40"/>
        <v>0</v>
      </c>
      <c r="BJ49" s="532">
        <f t="shared" ca="1" si="41"/>
        <v>0</v>
      </c>
      <c r="BK49" s="532">
        <f t="shared" ca="1" si="13"/>
        <v>0</v>
      </c>
      <c r="BP49" s="536">
        <f t="shared" ca="1" si="14"/>
        <v>2030</v>
      </c>
      <c r="BQ49" s="535">
        <f ca="1"/>
        <v>0</v>
      </c>
      <c r="BS49" s="530">
        <v>48</v>
      </c>
      <c r="BT49" s="531">
        <f t="shared" ca="1" si="42"/>
        <v>47626</v>
      </c>
      <c r="BU49" s="532">
        <f ca="1">IF(BU48=0,SUMIFS('Key Life Events'!$L$3:$L$28,'Key Life Events'!$H$3:$H$28,'Loan Amortization'!$BY$3,'Key Life Events'!$N$3:$N$28,'Loan Amortization'!BT49),BU48-BX48)</f>
        <v>0</v>
      </c>
      <c r="BV49" s="532">
        <f t="shared" ca="1" si="48"/>
        <v>0</v>
      </c>
      <c r="BW49" s="532">
        <f t="shared" ca="1" si="43"/>
        <v>0</v>
      </c>
      <c r="BX49" s="532">
        <f t="shared" ca="1" si="15"/>
        <v>0</v>
      </c>
      <c r="CC49" s="536">
        <f t="shared" ca="1" si="16"/>
        <v>2030</v>
      </c>
      <c r="CD49" s="535">
        <f ca="1"/>
        <v>0</v>
      </c>
      <c r="CF49" s="530">
        <v>48</v>
      </c>
      <c r="CG49" s="531">
        <f t="shared" ca="1" si="44"/>
        <v>47626</v>
      </c>
      <c r="CH49" s="532">
        <f ca="1">IF(CH48=0,SUMIFS('Key Life Events'!$L$3:$L$28,'Key Life Events'!$H$3:$H$28,'Loan Amortization'!$CL$3,'Key Life Events'!$N$3:$N$28,'Loan Amortization'!CG49),CH48-CK48)</f>
        <v>0</v>
      </c>
      <c r="CI49" s="532">
        <f t="shared" ca="1" si="45"/>
        <v>0</v>
      </c>
      <c r="CJ49" s="532">
        <f t="shared" ca="1" si="46"/>
        <v>0</v>
      </c>
      <c r="CK49" s="532">
        <f t="shared" ca="1" si="17"/>
        <v>0</v>
      </c>
      <c r="CP49" s="536">
        <f t="shared" ca="1" si="18"/>
        <v>2030</v>
      </c>
      <c r="CQ49" s="535">
        <f ca="1"/>
        <v>0</v>
      </c>
      <c r="CS49" s="100">
        <f t="shared" si="19"/>
        <v>48</v>
      </c>
      <c r="CT49" s="102">
        <f t="shared" ca="1" si="20"/>
        <v>0</v>
      </c>
      <c r="CU49" s="102">
        <f t="shared" ca="1" si="21"/>
        <v>0</v>
      </c>
      <c r="CV49" s="511">
        <f t="shared" ca="1" si="22"/>
        <v>2030</v>
      </c>
      <c r="CW49" s="1">
        <f t="shared" si="47"/>
        <v>565</v>
      </c>
      <c r="CX49" s="99">
        <f t="shared" ca="1" si="23"/>
        <v>0</v>
      </c>
    </row>
    <row r="50" spans="1:102" x14ac:dyDescent="0.3">
      <c r="A50" s="100">
        <v>49</v>
      </c>
      <c r="B50" s="131">
        <f t="shared" si="24"/>
        <v>637</v>
      </c>
      <c r="C50" s="102">
        <f t="shared" si="25"/>
        <v>0</v>
      </c>
      <c r="D50" s="102">
        <f t="shared" si="26"/>
        <v>0</v>
      </c>
      <c r="E50" s="102">
        <f t="shared" si="6"/>
        <v>0</v>
      </c>
      <c r="F50" s="102">
        <f t="shared" si="27"/>
        <v>0</v>
      </c>
      <c r="L50" s="100">
        <v>49</v>
      </c>
      <c r="M50" s="131">
        <f t="shared" ca="1" si="28"/>
        <v>47657</v>
      </c>
      <c r="N50" s="102">
        <f t="shared" si="29"/>
        <v>0</v>
      </c>
      <c r="O50" s="102">
        <f t="shared" si="30"/>
        <v>0</v>
      </c>
      <c r="P50" s="102">
        <f t="shared" si="7"/>
        <v>0</v>
      </c>
      <c r="Q50" s="102">
        <f t="shared" si="8"/>
        <v>0</v>
      </c>
      <c r="W50" s="100">
        <v>49</v>
      </c>
      <c r="X50" s="131">
        <f t="shared" ca="1" si="31"/>
        <v>47657</v>
      </c>
      <c r="Y50" s="102">
        <f t="shared" si="32"/>
        <v>0</v>
      </c>
      <c r="Z50" s="102">
        <f t="shared" si="33"/>
        <v>0</v>
      </c>
      <c r="AA50" s="102">
        <f t="shared" si="49"/>
        <v>0</v>
      </c>
      <c r="AB50" s="102">
        <f t="shared" si="9"/>
        <v>0</v>
      </c>
      <c r="AH50" s="100">
        <v>49</v>
      </c>
      <c r="AI50" s="131">
        <f t="shared" ca="1" si="34"/>
        <v>47657</v>
      </c>
      <c r="AJ50" s="102">
        <f t="shared" si="35"/>
        <v>0</v>
      </c>
      <c r="AK50" s="102">
        <f t="shared" si="36"/>
        <v>0</v>
      </c>
      <c r="AL50" s="102">
        <f t="shared" si="50"/>
        <v>0</v>
      </c>
      <c r="AM50" s="102">
        <f t="shared" si="10"/>
        <v>0</v>
      </c>
      <c r="AS50" s="530">
        <v>49</v>
      </c>
      <c r="AT50" s="531">
        <f t="shared" ca="1" si="37"/>
        <v>47657</v>
      </c>
      <c r="AU50" s="532">
        <f ca="1">IF(AU49=0,SUMIFS('Key Life Events'!$L$3:$L$28,'Key Life Events'!$H$3:$H$28,'Loan Amortization'!$AY$3,'Key Life Events'!$N$3:$N$28,'Loan Amortization'!AT50),AU49-AX49)</f>
        <v>0</v>
      </c>
      <c r="AV50" s="532">
        <f t="shared" ca="1" si="38"/>
        <v>0</v>
      </c>
      <c r="AW50" s="532">
        <f t="shared" ca="1" si="2"/>
        <v>0</v>
      </c>
      <c r="AX50" s="532">
        <f t="shared" ca="1" si="11"/>
        <v>0</v>
      </c>
      <c r="BC50" s="536">
        <f t="shared" ca="1" si="12"/>
        <v>2030</v>
      </c>
      <c r="BF50" s="530">
        <v>49</v>
      </c>
      <c r="BG50" s="531">
        <f t="shared" ca="1" si="39"/>
        <v>47657</v>
      </c>
      <c r="BH50" s="532">
        <f ca="1">IF(BH49=0,SUMIFS('Key Life Events'!$L$3:$L$28,'Key Life Events'!$H$3:$H$28,'Loan Amortization'!$BL$3,'Key Life Events'!$N$3:$N$28,'Loan Amortization'!BG50),BH49-BK49)</f>
        <v>0</v>
      </c>
      <c r="BI50" s="532">
        <f t="shared" ca="1" si="40"/>
        <v>0</v>
      </c>
      <c r="BJ50" s="532">
        <f t="shared" ca="1" si="41"/>
        <v>0</v>
      </c>
      <c r="BK50" s="532">
        <f t="shared" ca="1" si="13"/>
        <v>0</v>
      </c>
      <c r="BP50" s="536">
        <f t="shared" ca="1" si="14"/>
        <v>2030</v>
      </c>
      <c r="BQ50" s="535">
        <f ca="1"/>
        <v>0</v>
      </c>
      <c r="BS50" s="530">
        <v>49</v>
      </c>
      <c r="BT50" s="531">
        <f t="shared" ca="1" si="42"/>
        <v>47657</v>
      </c>
      <c r="BU50" s="532">
        <f ca="1">IF(BU49=0,SUMIFS('Key Life Events'!$L$3:$L$28,'Key Life Events'!$H$3:$H$28,'Loan Amortization'!$BY$3,'Key Life Events'!$N$3:$N$28,'Loan Amortization'!BT50),BU49-BX49)</f>
        <v>0</v>
      </c>
      <c r="BV50" s="532">
        <f t="shared" ca="1" si="48"/>
        <v>0</v>
      </c>
      <c r="BW50" s="532">
        <f t="shared" ca="1" si="43"/>
        <v>0</v>
      </c>
      <c r="BX50" s="532">
        <f t="shared" ca="1" si="15"/>
        <v>0</v>
      </c>
      <c r="CC50" s="536">
        <f t="shared" ca="1" si="16"/>
        <v>2030</v>
      </c>
      <c r="CD50" s="535">
        <f ca="1"/>
        <v>0</v>
      </c>
      <c r="CF50" s="530">
        <v>49</v>
      </c>
      <c r="CG50" s="531">
        <f t="shared" ca="1" si="44"/>
        <v>47657</v>
      </c>
      <c r="CH50" s="532">
        <f ca="1">IF(CH49=0,SUMIFS('Key Life Events'!$L$3:$L$28,'Key Life Events'!$H$3:$H$28,'Loan Amortization'!$CL$3,'Key Life Events'!$N$3:$N$28,'Loan Amortization'!CG50),CH49-CK49)</f>
        <v>0</v>
      </c>
      <c r="CI50" s="532">
        <f t="shared" ca="1" si="45"/>
        <v>0</v>
      </c>
      <c r="CJ50" s="532">
        <f t="shared" ca="1" si="46"/>
        <v>0</v>
      </c>
      <c r="CK50" s="532">
        <f t="shared" ca="1" si="17"/>
        <v>0</v>
      </c>
      <c r="CP50" s="536">
        <f t="shared" ca="1" si="18"/>
        <v>2030</v>
      </c>
      <c r="CQ50" s="535">
        <f ca="1"/>
        <v>0</v>
      </c>
      <c r="CS50" s="100">
        <f t="shared" si="19"/>
        <v>49</v>
      </c>
      <c r="CT50" s="102">
        <f t="shared" ca="1" si="20"/>
        <v>0</v>
      </c>
      <c r="CU50" s="102">
        <f t="shared" ca="1" si="21"/>
        <v>0</v>
      </c>
      <c r="CV50" s="511">
        <f t="shared" ca="1" si="22"/>
        <v>2030</v>
      </c>
      <c r="CW50" s="1">
        <f t="shared" si="47"/>
        <v>577</v>
      </c>
      <c r="CX50" s="99">
        <f t="shared" ca="1" si="23"/>
        <v>0</v>
      </c>
    </row>
    <row r="51" spans="1:102" x14ac:dyDescent="0.3">
      <c r="A51" s="100">
        <v>50</v>
      </c>
      <c r="B51" s="131">
        <f t="shared" si="24"/>
        <v>667</v>
      </c>
      <c r="C51" s="102">
        <f t="shared" si="25"/>
        <v>0</v>
      </c>
      <c r="D51" s="102">
        <f t="shared" si="26"/>
        <v>0</v>
      </c>
      <c r="E51" s="102">
        <f t="shared" si="6"/>
        <v>0</v>
      </c>
      <c r="F51" s="102">
        <f t="shared" si="27"/>
        <v>0</v>
      </c>
      <c r="L51" s="100">
        <v>50</v>
      </c>
      <c r="M51" s="131">
        <f t="shared" ca="1" si="28"/>
        <v>47687</v>
      </c>
      <c r="N51" s="102">
        <f t="shared" si="29"/>
        <v>0</v>
      </c>
      <c r="O51" s="102">
        <f t="shared" si="30"/>
        <v>0</v>
      </c>
      <c r="P51" s="102">
        <f t="shared" si="7"/>
        <v>0</v>
      </c>
      <c r="Q51" s="102">
        <f t="shared" si="8"/>
        <v>0</v>
      </c>
      <c r="W51" s="100">
        <v>50</v>
      </c>
      <c r="X51" s="131">
        <f t="shared" ca="1" si="31"/>
        <v>47687</v>
      </c>
      <c r="Y51" s="102">
        <f t="shared" si="32"/>
        <v>0</v>
      </c>
      <c r="Z51" s="102">
        <f t="shared" si="33"/>
        <v>0</v>
      </c>
      <c r="AA51" s="102">
        <f t="shared" si="49"/>
        <v>0</v>
      </c>
      <c r="AB51" s="102">
        <f t="shared" si="9"/>
        <v>0</v>
      </c>
      <c r="AH51" s="100">
        <v>50</v>
      </c>
      <c r="AI51" s="131">
        <f t="shared" ca="1" si="34"/>
        <v>47687</v>
      </c>
      <c r="AJ51" s="102">
        <f t="shared" si="35"/>
        <v>0</v>
      </c>
      <c r="AK51" s="102">
        <f t="shared" si="36"/>
        <v>0</v>
      </c>
      <c r="AL51" s="102">
        <f t="shared" si="50"/>
        <v>0</v>
      </c>
      <c r="AM51" s="102">
        <f t="shared" si="10"/>
        <v>0</v>
      </c>
      <c r="AS51" s="530">
        <v>50</v>
      </c>
      <c r="AT51" s="531">
        <f t="shared" ca="1" si="37"/>
        <v>47687</v>
      </c>
      <c r="AU51" s="532">
        <f ca="1">IF(AU50=0,SUMIFS('Key Life Events'!$L$3:$L$28,'Key Life Events'!$H$3:$H$28,'Loan Amortization'!$AY$3,'Key Life Events'!$N$3:$N$28,'Loan Amortization'!AT51),AU50-AX50)</f>
        <v>0</v>
      </c>
      <c r="AV51" s="532">
        <f t="shared" ca="1" si="38"/>
        <v>0</v>
      </c>
      <c r="AW51" s="532">
        <f t="shared" ca="1" si="2"/>
        <v>0</v>
      </c>
      <c r="AX51" s="532">
        <f t="shared" ca="1" si="11"/>
        <v>0</v>
      </c>
      <c r="BC51" s="536">
        <f t="shared" ca="1" si="12"/>
        <v>2030</v>
      </c>
      <c r="BF51" s="530">
        <v>50</v>
      </c>
      <c r="BG51" s="531">
        <f t="shared" ca="1" si="39"/>
        <v>47687</v>
      </c>
      <c r="BH51" s="532">
        <f ca="1">IF(BH50=0,SUMIFS('Key Life Events'!$L$3:$L$28,'Key Life Events'!$H$3:$H$28,'Loan Amortization'!$BL$3,'Key Life Events'!$N$3:$N$28,'Loan Amortization'!BG51),BH50-BK50)</f>
        <v>0</v>
      </c>
      <c r="BI51" s="532">
        <f t="shared" ca="1" si="40"/>
        <v>0</v>
      </c>
      <c r="BJ51" s="532">
        <f t="shared" ca="1" si="41"/>
        <v>0</v>
      </c>
      <c r="BK51" s="532">
        <f t="shared" ca="1" si="13"/>
        <v>0</v>
      </c>
      <c r="BP51" s="536">
        <f t="shared" ca="1" si="14"/>
        <v>2030</v>
      </c>
      <c r="BQ51" s="535">
        <f ca="1"/>
        <v>0</v>
      </c>
      <c r="BS51" s="530">
        <v>50</v>
      </c>
      <c r="BT51" s="531">
        <f t="shared" ca="1" si="42"/>
        <v>47687</v>
      </c>
      <c r="BU51" s="532">
        <f ca="1">IF(BU50=0,SUMIFS('Key Life Events'!$L$3:$L$28,'Key Life Events'!$H$3:$H$28,'Loan Amortization'!$BY$3,'Key Life Events'!$N$3:$N$28,'Loan Amortization'!BT51),BU50-BX50)</f>
        <v>0</v>
      </c>
      <c r="BV51" s="532">
        <f t="shared" ca="1" si="48"/>
        <v>0</v>
      </c>
      <c r="BW51" s="532">
        <f t="shared" ca="1" si="43"/>
        <v>0</v>
      </c>
      <c r="BX51" s="532">
        <f t="shared" ca="1" si="15"/>
        <v>0</v>
      </c>
      <c r="CC51" s="536">
        <f t="shared" ca="1" si="16"/>
        <v>2030</v>
      </c>
      <c r="CD51" s="535">
        <f ca="1"/>
        <v>0</v>
      </c>
      <c r="CF51" s="530">
        <v>50</v>
      </c>
      <c r="CG51" s="531">
        <f t="shared" ca="1" si="44"/>
        <v>47687</v>
      </c>
      <c r="CH51" s="532">
        <f ca="1">IF(CH50=0,SUMIFS('Key Life Events'!$L$3:$L$28,'Key Life Events'!$H$3:$H$28,'Loan Amortization'!$CL$3,'Key Life Events'!$N$3:$N$28,'Loan Amortization'!CG51),CH50-CK50)</f>
        <v>0</v>
      </c>
      <c r="CI51" s="532">
        <f t="shared" ca="1" si="45"/>
        <v>0</v>
      </c>
      <c r="CJ51" s="532">
        <f t="shared" ca="1" si="46"/>
        <v>0</v>
      </c>
      <c r="CK51" s="532">
        <f t="shared" ca="1" si="17"/>
        <v>0</v>
      </c>
      <c r="CP51" s="536">
        <f t="shared" ca="1" si="18"/>
        <v>2030</v>
      </c>
      <c r="CQ51" s="535">
        <f ca="1"/>
        <v>0</v>
      </c>
      <c r="CS51" s="100">
        <f t="shared" si="19"/>
        <v>50</v>
      </c>
      <c r="CT51" s="102">
        <f t="shared" ca="1" si="20"/>
        <v>0</v>
      </c>
      <c r="CU51" s="102">
        <f t="shared" ca="1" si="21"/>
        <v>0</v>
      </c>
      <c r="CV51" s="511">
        <f t="shared" ca="1" si="22"/>
        <v>2030</v>
      </c>
      <c r="CW51" s="1">
        <f t="shared" si="47"/>
        <v>589</v>
      </c>
      <c r="CX51" s="99">
        <f t="shared" ca="1" si="23"/>
        <v>0</v>
      </c>
    </row>
    <row r="52" spans="1:102" x14ac:dyDescent="0.3">
      <c r="A52" s="100">
        <v>51</v>
      </c>
      <c r="B52" s="131">
        <f t="shared" si="24"/>
        <v>698</v>
      </c>
      <c r="C52" s="102">
        <f t="shared" si="25"/>
        <v>0</v>
      </c>
      <c r="D52" s="102">
        <f t="shared" si="26"/>
        <v>0</v>
      </c>
      <c r="E52" s="102">
        <f t="shared" si="6"/>
        <v>0</v>
      </c>
      <c r="F52" s="102">
        <f t="shared" si="27"/>
        <v>0</v>
      </c>
      <c r="L52" s="100">
        <v>51</v>
      </c>
      <c r="M52" s="131">
        <f t="shared" ca="1" si="28"/>
        <v>47718</v>
      </c>
      <c r="N52" s="102">
        <f t="shared" si="29"/>
        <v>0</v>
      </c>
      <c r="O52" s="102">
        <f t="shared" si="30"/>
        <v>0</v>
      </c>
      <c r="P52" s="102">
        <f t="shared" si="7"/>
        <v>0</v>
      </c>
      <c r="Q52" s="102">
        <f t="shared" si="8"/>
        <v>0</v>
      </c>
      <c r="W52" s="100">
        <v>51</v>
      </c>
      <c r="X52" s="131">
        <f t="shared" ca="1" si="31"/>
        <v>47718</v>
      </c>
      <c r="Y52" s="102">
        <f t="shared" si="32"/>
        <v>0</v>
      </c>
      <c r="Z52" s="102">
        <f t="shared" si="33"/>
        <v>0</v>
      </c>
      <c r="AA52" s="102">
        <f t="shared" si="49"/>
        <v>0</v>
      </c>
      <c r="AB52" s="102">
        <f t="shared" si="9"/>
        <v>0</v>
      </c>
      <c r="AH52" s="100">
        <v>51</v>
      </c>
      <c r="AI52" s="131">
        <f t="shared" ca="1" si="34"/>
        <v>47718</v>
      </c>
      <c r="AJ52" s="102">
        <f t="shared" si="35"/>
        <v>0</v>
      </c>
      <c r="AK52" s="102">
        <f t="shared" si="36"/>
        <v>0</v>
      </c>
      <c r="AL52" s="102">
        <f t="shared" si="50"/>
        <v>0</v>
      </c>
      <c r="AM52" s="102">
        <f t="shared" si="10"/>
        <v>0</v>
      </c>
      <c r="AS52" s="530">
        <v>51</v>
      </c>
      <c r="AT52" s="531">
        <f t="shared" ca="1" si="37"/>
        <v>47718</v>
      </c>
      <c r="AU52" s="532">
        <f ca="1">IF(AU51=0,SUMIFS('Key Life Events'!$L$3:$L$28,'Key Life Events'!$H$3:$H$28,'Loan Amortization'!$AY$3,'Key Life Events'!$N$3:$N$28,'Loan Amortization'!AT52),AU51-AX51)</f>
        <v>0</v>
      </c>
      <c r="AV52" s="532">
        <f t="shared" ca="1" si="38"/>
        <v>0</v>
      </c>
      <c r="AW52" s="532">
        <f t="shared" ca="1" si="2"/>
        <v>0</v>
      </c>
      <c r="AX52" s="532">
        <f t="shared" ca="1" si="11"/>
        <v>0</v>
      </c>
      <c r="BC52" s="536">
        <f t="shared" ca="1" si="12"/>
        <v>2030</v>
      </c>
      <c r="BF52" s="530">
        <v>51</v>
      </c>
      <c r="BG52" s="531">
        <f t="shared" ca="1" si="39"/>
        <v>47718</v>
      </c>
      <c r="BH52" s="532">
        <f ca="1">IF(BH51=0,SUMIFS('Key Life Events'!$L$3:$L$28,'Key Life Events'!$H$3:$H$28,'Loan Amortization'!$BL$3,'Key Life Events'!$N$3:$N$28,'Loan Amortization'!BG52),BH51-BK51)</f>
        <v>0</v>
      </c>
      <c r="BI52" s="532">
        <f t="shared" ca="1" si="40"/>
        <v>0</v>
      </c>
      <c r="BJ52" s="532">
        <f t="shared" ca="1" si="41"/>
        <v>0</v>
      </c>
      <c r="BK52" s="532">
        <f t="shared" ca="1" si="13"/>
        <v>0</v>
      </c>
      <c r="BP52" s="536">
        <f t="shared" ca="1" si="14"/>
        <v>2030</v>
      </c>
      <c r="BQ52" s="535">
        <f ca="1"/>
        <v>0</v>
      </c>
      <c r="BS52" s="530">
        <v>51</v>
      </c>
      <c r="BT52" s="531">
        <f t="shared" ca="1" si="42"/>
        <v>47718</v>
      </c>
      <c r="BU52" s="532">
        <f ca="1">IF(BU51=0,SUMIFS('Key Life Events'!$L$3:$L$28,'Key Life Events'!$H$3:$H$28,'Loan Amortization'!$BY$3,'Key Life Events'!$N$3:$N$28,'Loan Amortization'!BT52),BU51-BX51)</f>
        <v>0</v>
      </c>
      <c r="BV52" s="532">
        <f t="shared" ca="1" si="48"/>
        <v>0</v>
      </c>
      <c r="BW52" s="532">
        <f t="shared" ca="1" si="43"/>
        <v>0</v>
      </c>
      <c r="BX52" s="532">
        <f t="shared" ca="1" si="15"/>
        <v>0</v>
      </c>
      <c r="CC52" s="536">
        <f t="shared" ca="1" si="16"/>
        <v>2030</v>
      </c>
      <c r="CD52" s="535">
        <f ca="1"/>
        <v>0</v>
      </c>
      <c r="CF52" s="530">
        <v>51</v>
      </c>
      <c r="CG52" s="531">
        <f t="shared" ca="1" si="44"/>
        <v>47718</v>
      </c>
      <c r="CH52" s="532">
        <f ca="1">IF(CH51=0,SUMIFS('Key Life Events'!$L$3:$L$28,'Key Life Events'!$H$3:$H$28,'Loan Amortization'!$CL$3,'Key Life Events'!$N$3:$N$28,'Loan Amortization'!CG52),CH51-CK51)</f>
        <v>0</v>
      </c>
      <c r="CI52" s="532">
        <f t="shared" ca="1" si="45"/>
        <v>0</v>
      </c>
      <c r="CJ52" s="532">
        <f t="shared" ca="1" si="46"/>
        <v>0</v>
      </c>
      <c r="CK52" s="532">
        <f t="shared" ca="1" si="17"/>
        <v>0</v>
      </c>
      <c r="CP52" s="536">
        <f t="shared" ca="1" si="18"/>
        <v>2030</v>
      </c>
      <c r="CQ52" s="535">
        <f ca="1"/>
        <v>0</v>
      </c>
      <c r="CS52" s="100">
        <f t="shared" si="19"/>
        <v>51</v>
      </c>
      <c r="CT52" s="102">
        <f t="shared" ca="1" si="20"/>
        <v>0</v>
      </c>
      <c r="CU52" s="102">
        <f t="shared" ca="1" si="21"/>
        <v>0</v>
      </c>
      <c r="CV52" s="511">
        <f t="shared" ca="1" si="22"/>
        <v>2030</v>
      </c>
      <c r="CW52" s="1">
        <f t="shared" si="47"/>
        <v>601</v>
      </c>
      <c r="CX52" s="99">
        <f t="shared" ca="1" si="23"/>
        <v>0</v>
      </c>
    </row>
    <row r="53" spans="1:102" x14ac:dyDescent="0.3">
      <c r="A53" s="100">
        <v>52</v>
      </c>
      <c r="B53" s="131">
        <f t="shared" si="24"/>
        <v>728</v>
      </c>
      <c r="C53" s="102">
        <f t="shared" si="25"/>
        <v>0</v>
      </c>
      <c r="D53" s="102">
        <f t="shared" si="26"/>
        <v>0</v>
      </c>
      <c r="E53" s="102">
        <f t="shared" si="6"/>
        <v>0</v>
      </c>
      <c r="F53" s="102">
        <f t="shared" si="27"/>
        <v>0</v>
      </c>
      <c r="L53" s="100">
        <v>52</v>
      </c>
      <c r="M53" s="131">
        <f t="shared" ca="1" si="28"/>
        <v>47749</v>
      </c>
      <c r="N53" s="102">
        <f t="shared" si="29"/>
        <v>0</v>
      </c>
      <c r="O53" s="102">
        <f t="shared" si="30"/>
        <v>0</v>
      </c>
      <c r="P53" s="102">
        <f t="shared" si="7"/>
        <v>0</v>
      </c>
      <c r="Q53" s="102">
        <f t="shared" si="8"/>
        <v>0</v>
      </c>
      <c r="W53" s="100">
        <v>52</v>
      </c>
      <c r="X53" s="131">
        <f t="shared" ca="1" si="31"/>
        <v>47749</v>
      </c>
      <c r="Y53" s="102">
        <f t="shared" si="32"/>
        <v>0</v>
      </c>
      <c r="Z53" s="102">
        <f t="shared" si="33"/>
        <v>0</v>
      </c>
      <c r="AA53" s="102">
        <f t="shared" si="49"/>
        <v>0</v>
      </c>
      <c r="AB53" s="102">
        <f t="shared" si="9"/>
        <v>0</v>
      </c>
      <c r="AH53" s="100">
        <v>52</v>
      </c>
      <c r="AI53" s="131">
        <f t="shared" ca="1" si="34"/>
        <v>47749</v>
      </c>
      <c r="AJ53" s="102">
        <f t="shared" si="35"/>
        <v>0</v>
      </c>
      <c r="AK53" s="102">
        <f t="shared" si="36"/>
        <v>0</v>
      </c>
      <c r="AL53" s="102">
        <f t="shared" si="50"/>
        <v>0</v>
      </c>
      <c r="AM53" s="102">
        <f t="shared" si="10"/>
        <v>0</v>
      </c>
      <c r="AS53" s="530">
        <v>52</v>
      </c>
      <c r="AT53" s="531">
        <f t="shared" ca="1" si="37"/>
        <v>47749</v>
      </c>
      <c r="AU53" s="532">
        <f ca="1">IF(AU52=0,SUMIFS('Key Life Events'!$L$3:$L$28,'Key Life Events'!$H$3:$H$28,'Loan Amortization'!$AY$3,'Key Life Events'!$N$3:$N$28,'Loan Amortization'!AT53),AU52-AX52)</f>
        <v>0</v>
      </c>
      <c r="AV53" s="532">
        <f t="shared" ca="1" si="38"/>
        <v>0</v>
      </c>
      <c r="AW53" s="532">
        <f t="shared" ca="1" si="2"/>
        <v>0</v>
      </c>
      <c r="AX53" s="532">
        <f t="shared" ca="1" si="11"/>
        <v>0</v>
      </c>
      <c r="BC53" s="536">
        <f t="shared" ca="1" si="12"/>
        <v>2030</v>
      </c>
      <c r="BF53" s="530">
        <v>52</v>
      </c>
      <c r="BG53" s="531">
        <f t="shared" ca="1" si="39"/>
        <v>47749</v>
      </c>
      <c r="BH53" s="532">
        <f ca="1">IF(BH52=0,SUMIFS('Key Life Events'!$L$3:$L$28,'Key Life Events'!$H$3:$H$28,'Loan Amortization'!$BL$3,'Key Life Events'!$N$3:$N$28,'Loan Amortization'!BG53),BH52-BK52)</f>
        <v>0</v>
      </c>
      <c r="BI53" s="532">
        <f t="shared" ca="1" si="40"/>
        <v>0</v>
      </c>
      <c r="BJ53" s="532">
        <f t="shared" ca="1" si="41"/>
        <v>0</v>
      </c>
      <c r="BK53" s="532">
        <f t="shared" ca="1" si="13"/>
        <v>0</v>
      </c>
      <c r="BP53" s="536">
        <f t="shared" ca="1" si="14"/>
        <v>2030</v>
      </c>
      <c r="BQ53" s="535">
        <f ca="1"/>
        <v>0</v>
      </c>
      <c r="BS53" s="530">
        <v>52</v>
      </c>
      <c r="BT53" s="531">
        <f t="shared" ca="1" si="42"/>
        <v>47749</v>
      </c>
      <c r="BU53" s="532">
        <f ca="1">IF(BU52=0,SUMIFS('Key Life Events'!$L$3:$L$28,'Key Life Events'!$H$3:$H$28,'Loan Amortization'!$BY$3,'Key Life Events'!$N$3:$N$28,'Loan Amortization'!BT53),BU52-BX52)</f>
        <v>0</v>
      </c>
      <c r="BV53" s="532">
        <f t="shared" ca="1" si="48"/>
        <v>0</v>
      </c>
      <c r="BW53" s="532">
        <f t="shared" ca="1" si="43"/>
        <v>0</v>
      </c>
      <c r="BX53" s="532">
        <f t="shared" ca="1" si="15"/>
        <v>0</v>
      </c>
      <c r="CC53" s="536">
        <f t="shared" ca="1" si="16"/>
        <v>2030</v>
      </c>
      <c r="CD53" s="535">
        <f ca="1"/>
        <v>0</v>
      </c>
      <c r="CF53" s="530">
        <v>52</v>
      </c>
      <c r="CG53" s="531">
        <f t="shared" ca="1" si="44"/>
        <v>47749</v>
      </c>
      <c r="CH53" s="532">
        <f ca="1">IF(CH52=0,SUMIFS('Key Life Events'!$L$3:$L$28,'Key Life Events'!$H$3:$H$28,'Loan Amortization'!$CL$3,'Key Life Events'!$N$3:$N$28,'Loan Amortization'!CG53),CH52-CK52)</f>
        <v>0</v>
      </c>
      <c r="CI53" s="532">
        <f t="shared" ca="1" si="45"/>
        <v>0</v>
      </c>
      <c r="CJ53" s="532">
        <f t="shared" ca="1" si="46"/>
        <v>0</v>
      </c>
      <c r="CK53" s="532">
        <f t="shared" ca="1" si="17"/>
        <v>0</v>
      </c>
      <c r="CP53" s="536">
        <f t="shared" ca="1" si="18"/>
        <v>2030</v>
      </c>
      <c r="CQ53" s="535">
        <f ca="1"/>
        <v>0</v>
      </c>
      <c r="CS53" s="100">
        <f t="shared" si="19"/>
        <v>52</v>
      </c>
      <c r="CT53" s="102">
        <f t="shared" ca="1" si="20"/>
        <v>0</v>
      </c>
      <c r="CU53" s="102">
        <f t="shared" ca="1" si="21"/>
        <v>0</v>
      </c>
      <c r="CV53" s="511">
        <f t="shared" ca="1" si="22"/>
        <v>2030</v>
      </c>
      <c r="CW53" s="1">
        <f t="shared" si="47"/>
        <v>613</v>
      </c>
      <c r="CX53" s="99">
        <f t="shared" ca="1" si="23"/>
        <v>0</v>
      </c>
    </row>
    <row r="54" spans="1:102" x14ac:dyDescent="0.3">
      <c r="A54" s="100">
        <v>53</v>
      </c>
      <c r="B54" s="131">
        <f t="shared" si="24"/>
        <v>759</v>
      </c>
      <c r="C54" s="102">
        <f t="shared" si="25"/>
        <v>0</v>
      </c>
      <c r="D54" s="102">
        <f t="shared" si="26"/>
        <v>0</v>
      </c>
      <c r="E54" s="102">
        <f t="shared" si="6"/>
        <v>0</v>
      </c>
      <c r="F54" s="102">
        <f t="shared" si="27"/>
        <v>0</v>
      </c>
      <c r="L54" s="100">
        <v>53</v>
      </c>
      <c r="M54" s="131">
        <f t="shared" ca="1" si="28"/>
        <v>47779</v>
      </c>
      <c r="N54" s="102">
        <f t="shared" si="29"/>
        <v>0</v>
      </c>
      <c r="O54" s="102">
        <f t="shared" si="30"/>
        <v>0</v>
      </c>
      <c r="P54" s="102">
        <f t="shared" si="7"/>
        <v>0</v>
      </c>
      <c r="Q54" s="102">
        <f t="shared" si="8"/>
        <v>0</v>
      </c>
      <c r="W54" s="100">
        <v>53</v>
      </c>
      <c r="X54" s="131">
        <f t="shared" ca="1" si="31"/>
        <v>47779</v>
      </c>
      <c r="Y54" s="102">
        <f t="shared" si="32"/>
        <v>0</v>
      </c>
      <c r="Z54" s="102">
        <f t="shared" si="33"/>
        <v>0</v>
      </c>
      <c r="AA54" s="102">
        <f t="shared" si="49"/>
        <v>0</v>
      </c>
      <c r="AB54" s="102">
        <f t="shared" si="9"/>
        <v>0</v>
      </c>
      <c r="AH54" s="100">
        <v>53</v>
      </c>
      <c r="AI54" s="131">
        <f t="shared" ca="1" si="34"/>
        <v>47779</v>
      </c>
      <c r="AJ54" s="102">
        <f t="shared" si="35"/>
        <v>0</v>
      </c>
      <c r="AK54" s="102">
        <f t="shared" si="36"/>
        <v>0</v>
      </c>
      <c r="AL54" s="102">
        <f t="shared" si="50"/>
        <v>0</v>
      </c>
      <c r="AM54" s="102">
        <f t="shared" si="10"/>
        <v>0</v>
      </c>
      <c r="AS54" s="530">
        <v>53</v>
      </c>
      <c r="AT54" s="531">
        <f t="shared" ca="1" si="37"/>
        <v>47779</v>
      </c>
      <c r="AU54" s="532">
        <f ca="1">IF(AU53=0,SUMIFS('Key Life Events'!$L$3:$L$28,'Key Life Events'!$H$3:$H$28,'Loan Amortization'!$AY$3,'Key Life Events'!$N$3:$N$28,'Loan Amortization'!AT54),AU53-AX53)</f>
        <v>0</v>
      </c>
      <c r="AV54" s="532">
        <f t="shared" ca="1" si="38"/>
        <v>0</v>
      </c>
      <c r="AW54" s="532">
        <f t="shared" ca="1" si="2"/>
        <v>0</v>
      </c>
      <c r="AX54" s="532">
        <f t="shared" ca="1" si="11"/>
        <v>0</v>
      </c>
      <c r="BC54" s="536">
        <f t="shared" ca="1" si="12"/>
        <v>2030</v>
      </c>
      <c r="BF54" s="530">
        <v>53</v>
      </c>
      <c r="BG54" s="531">
        <f t="shared" ca="1" si="39"/>
        <v>47779</v>
      </c>
      <c r="BH54" s="532">
        <f ca="1">IF(BH53=0,SUMIFS('Key Life Events'!$L$3:$L$28,'Key Life Events'!$H$3:$H$28,'Loan Amortization'!$BL$3,'Key Life Events'!$N$3:$N$28,'Loan Amortization'!BG54),BH53-BK53)</f>
        <v>0</v>
      </c>
      <c r="BI54" s="532">
        <f t="shared" ca="1" si="40"/>
        <v>0</v>
      </c>
      <c r="BJ54" s="532">
        <f t="shared" ca="1" si="41"/>
        <v>0</v>
      </c>
      <c r="BK54" s="532">
        <f t="shared" ca="1" si="13"/>
        <v>0</v>
      </c>
      <c r="BP54" s="536">
        <f t="shared" ca="1" si="14"/>
        <v>2030</v>
      </c>
      <c r="BQ54" s="535">
        <f ca="1"/>
        <v>0</v>
      </c>
      <c r="BS54" s="530">
        <v>53</v>
      </c>
      <c r="BT54" s="531">
        <f t="shared" ca="1" si="42"/>
        <v>47779</v>
      </c>
      <c r="BU54" s="532">
        <f ca="1">IF(BU53=0,SUMIFS('Key Life Events'!$L$3:$L$28,'Key Life Events'!$H$3:$H$28,'Loan Amortization'!$BY$3,'Key Life Events'!$N$3:$N$28,'Loan Amortization'!BT54),BU53-BX53)</f>
        <v>0</v>
      </c>
      <c r="BV54" s="532">
        <f t="shared" ca="1" si="48"/>
        <v>0</v>
      </c>
      <c r="BW54" s="532">
        <f t="shared" ca="1" si="43"/>
        <v>0</v>
      </c>
      <c r="BX54" s="532">
        <f t="shared" ca="1" si="15"/>
        <v>0</v>
      </c>
      <c r="CC54" s="536">
        <f t="shared" ca="1" si="16"/>
        <v>2030</v>
      </c>
      <c r="CD54" s="535">
        <f ca="1"/>
        <v>0</v>
      </c>
      <c r="CF54" s="530">
        <v>53</v>
      </c>
      <c r="CG54" s="531">
        <f t="shared" ca="1" si="44"/>
        <v>47779</v>
      </c>
      <c r="CH54" s="532">
        <f ca="1">IF(CH53=0,SUMIFS('Key Life Events'!$L$3:$L$28,'Key Life Events'!$H$3:$H$28,'Loan Amortization'!$CL$3,'Key Life Events'!$N$3:$N$28,'Loan Amortization'!CG54),CH53-CK53)</f>
        <v>0</v>
      </c>
      <c r="CI54" s="532">
        <f t="shared" ca="1" si="45"/>
        <v>0</v>
      </c>
      <c r="CJ54" s="532">
        <f t="shared" ca="1" si="46"/>
        <v>0</v>
      </c>
      <c r="CK54" s="532">
        <f t="shared" ca="1" si="17"/>
        <v>0</v>
      </c>
      <c r="CP54" s="536">
        <f t="shared" ca="1" si="18"/>
        <v>2030</v>
      </c>
      <c r="CQ54" s="535">
        <f ca="1"/>
        <v>0</v>
      </c>
      <c r="CS54" s="100">
        <f t="shared" si="19"/>
        <v>53</v>
      </c>
      <c r="CT54" s="102">
        <f t="shared" ca="1" si="20"/>
        <v>0</v>
      </c>
      <c r="CU54" s="102">
        <f t="shared" ca="1" si="21"/>
        <v>0</v>
      </c>
      <c r="CV54" s="511">
        <f t="shared" ca="1" si="22"/>
        <v>2030</v>
      </c>
      <c r="CW54" s="1">
        <f t="shared" si="47"/>
        <v>625</v>
      </c>
      <c r="CX54" s="99">
        <f t="shared" ca="1" si="23"/>
        <v>0</v>
      </c>
    </row>
    <row r="55" spans="1:102" x14ac:dyDescent="0.3">
      <c r="A55" s="100">
        <v>54</v>
      </c>
      <c r="B55" s="131">
        <f t="shared" si="24"/>
        <v>790</v>
      </c>
      <c r="C55" s="102">
        <f t="shared" si="25"/>
        <v>0</v>
      </c>
      <c r="D55" s="102">
        <f t="shared" si="26"/>
        <v>0</v>
      </c>
      <c r="E55" s="102">
        <f t="shared" si="6"/>
        <v>0</v>
      </c>
      <c r="F55" s="102">
        <f t="shared" si="27"/>
        <v>0</v>
      </c>
      <c r="L55" s="100">
        <v>54</v>
      </c>
      <c r="M55" s="131">
        <f t="shared" ca="1" si="28"/>
        <v>47810</v>
      </c>
      <c r="N55" s="102">
        <f t="shared" si="29"/>
        <v>0</v>
      </c>
      <c r="O55" s="102">
        <f t="shared" si="30"/>
        <v>0</v>
      </c>
      <c r="P55" s="102">
        <f t="shared" si="7"/>
        <v>0</v>
      </c>
      <c r="Q55" s="102">
        <f t="shared" si="8"/>
        <v>0</v>
      </c>
      <c r="W55" s="100">
        <v>54</v>
      </c>
      <c r="X55" s="131">
        <f t="shared" ca="1" si="31"/>
        <v>47810</v>
      </c>
      <c r="Y55" s="102">
        <f t="shared" si="32"/>
        <v>0</v>
      </c>
      <c r="Z55" s="102">
        <f t="shared" si="33"/>
        <v>0</v>
      </c>
      <c r="AA55" s="102">
        <f t="shared" si="49"/>
        <v>0</v>
      </c>
      <c r="AB55" s="102">
        <f t="shared" si="9"/>
        <v>0</v>
      </c>
      <c r="AH55" s="100">
        <v>54</v>
      </c>
      <c r="AI55" s="131">
        <f t="shared" ca="1" si="34"/>
        <v>47810</v>
      </c>
      <c r="AJ55" s="102">
        <f t="shared" si="35"/>
        <v>0</v>
      </c>
      <c r="AK55" s="102">
        <f t="shared" si="36"/>
        <v>0</v>
      </c>
      <c r="AL55" s="102">
        <f t="shared" si="50"/>
        <v>0</v>
      </c>
      <c r="AM55" s="102">
        <f t="shared" si="10"/>
        <v>0</v>
      </c>
      <c r="AS55" s="530">
        <v>54</v>
      </c>
      <c r="AT55" s="531">
        <f t="shared" ca="1" si="37"/>
        <v>47810</v>
      </c>
      <c r="AU55" s="532">
        <f ca="1">IF(AU54=0,SUMIFS('Key Life Events'!$L$3:$L$28,'Key Life Events'!$H$3:$H$28,'Loan Amortization'!$AY$3,'Key Life Events'!$N$3:$N$28,'Loan Amortization'!AT55),AU54-AX54)</f>
        <v>0</v>
      </c>
      <c r="AV55" s="532">
        <f t="shared" ca="1" si="38"/>
        <v>0</v>
      </c>
      <c r="AW55" s="532">
        <f t="shared" ca="1" si="2"/>
        <v>0</v>
      </c>
      <c r="AX55" s="532">
        <f t="shared" ca="1" si="11"/>
        <v>0</v>
      </c>
      <c r="BC55" s="536">
        <f t="shared" ca="1" si="12"/>
        <v>2030</v>
      </c>
      <c r="BF55" s="530">
        <v>54</v>
      </c>
      <c r="BG55" s="531">
        <f t="shared" ca="1" si="39"/>
        <v>47810</v>
      </c>
      <c r="BH55" s="532">
        <f ca="1">IF(BH54=0,SUMIFS('Key Life Events'!$L$3:$L$28,'Key Life Events'!$H$3:$H$28,'Loan Amortization'!$BL$3,'Key Life Events'!$N$3:$N$28,'Loan Amortization'!BG55),BH54-BK54)</f>
        <v>0</v>
      </c>
      <c r="BI55" s="532">
        <f t="shared" ca="1" si="40"/>
        <v>0</v>
      </c>
      <c r="BJ55" s="532">
        <f t="shared" ca="1" si="41"/>
        <v>0</v>
      </c>
      <c r="BK55" s="532">
        <f t="shared" ca="1" si="13"/>
        <v>0</v>
      </c>
      <c r="BP55" s="536">
        <f t="shared" ca="1" si="14"/>
        <v>2030</v>
      </c>
      <c r="BQ55" s="535">
        <f ca="1"/>
        <v>0</v>
      </c>
      <c r="BS55" s="530">
        <v>54</v>
      </c>
      <c r="BT55" s="531">
        <f t="shared" ca="1" si="42"/>
        <v>47810</v>
      </c>
      <c r="BU55" s="532">
        <f ca="1">IF(BU54=0,SUMIFS('Key Life Events'!$L$3:$L$28,'Key Life Events'!$H$3:$H$28,'Loan Amortization'!$BY$3,'Key Life Events'!$N$3:$N$28,'Loan Amortization'!BT55),BU54-BX54)</f>
        <v>0</v>
      </c>
      <c r="BV55" s="532">
        <f t="shared" ca="1" si="48"/>
        <v>0</v>
      </c>
      <c r="BW55" s="532">
        <f t="shared" ca="1" si="43"/>
        <v>0</v>
      </c>
      <c r="BX55" s="532">
        <f t="shared" ca="1" si="15"/>
        <v>0</v>
      </c>
      <c r="CC55" s="536">
        <f t="shared" ca="1" si="16"/>
        <v>2030</v>
      </c>
      <c r="CD55" s="535">
        <f ca="1"/>
        <v>0</v>
      </c>
      <c r="CF55" s="530">
        <v>54</v>
      </c>
      <c r="CG55" s="531">
        <f t="shared" ca="1" si="44"/>
        <v>47810</v>
      </c>
      <c r="CH55" s="532">
        <f ca="1">IF(CH54=0,SUMIFS('Key Life Events'!$L$3:$L$28,'Key Life Events'!$H$3:$H$28,'Loan Amortization'!$CL$3,'Key Life Events'!$N$3:$N$28,'Loan Amortization'!CG55),CH54-CK54)</f>
        <v>0</v>
      </c>
      <c r="CI55" s="532">
        <f t="shared" ca="1" si="45"/>
        <v>0</v>
      </c>
      <c r="CJ55" s="532">
        <f t="shared" ca="1" si="46"/>
        <v>0</v>
      </c>
      <c r="CK55" s="532">
        <f t="shared" ca="1" si="17"/>
        <v>0</v>
      </c>
      <c r="CP55" s="536">
        <f t="shared" ca="1" si="18"/>
        <v>2030</v>
      </c>
      <c r="CQ55" s="535">
        <f ca="1"/>
        <v>0</v>
      </c>
      <c r="CS55" s="100">
        <f t="shared" si="19"/>
        <v>54</v>
      </c>
      <c r="CT55" s="102">
        <f t="shared" ca="1" si="20"/>
        <v>0</v>
      </c>
      <c r="CU55" s="102">
        <f t="shared" ca="1" si="21"/>
        <v>0</v>
      </c>
      <c r="CV55" s="511">
        <f t="shared" ca="1" si="22"/>
        <v>2030</v>
      </c>
      <c r="CW55" s="1">
        <f t="shared" si="47"/>
        <v>637</v>
      </c>
      <c r="CX55" s="99">
        <f t="shared" ca="1" si="23"/>
        <v>0</v>
      </c>
    </row>
    <row r="56" spans="1:102" x14ac:dyDescent="0.3">
      <c r="A56" s="100">
        <v>55</v>
      </c>
      <c r="B56" s="131">
        <f t="shared" si="24"/>
        <v>818</v>
      </c>
      <c r="C56" s="102">
        <f t="shared" si="25"/>
        <v>0</v>
      </c>
      <c r="D56" s="102">
        <f t="shared" si="26"/>
        <v>0</v>
      </c>
      <c r="E56" s="102">
        <f t="shared" si="6"/>
        <v>0</v>
      </c>
      <c r="F56" s="102">
        <f t="shared" si="27"/>
        <v>0</v>
      </c>
      <c r="L56" s="100">
        <v>55</v>
      </c>
      <c r="M56" s="131">
        <f t="shared" ca="1" si="28"/>
        <v>47840</v>
      </c>
      <c r="N56" s="102">
        <f t="shared" si="29"/>
        <v>0</v>
      </c>
      <c r="O56" s="102">
        <f t="shared" si="30"/>
        <v>0</v>
      </c>
      <c r="P56" s="102">
        <f t="shared" si="7"/>
        <v>0</v>
      </c>
      <c r="Q56" s="102">
        <f t="shared" si="8"/>
        <v>0</v>
      </c>
      <c r="W56" s="100">
        <v>55</v>
      </c>
      <c r="X56" s="131">
        <f t="shared" ca="1" si="31"/>
        <v>47840</v>
      </c>
      <c r="Y56" s="102">
        <f t="shared" si="32"/>
        <v>0</v>
      </c>
      <c r="Z56" s="102">
        <f t="shared" si="33"/>
        <v>0</v>
      </c>
      <c r="AA56" s="102">
        <f t="shared" si="49"/>
        <v>0</v>
      </c>
      <c r="AB56" s="102">
        <f t="shared" si="9"/>
        <v>0</v>
      </c>
      <c r="AH56" s="100">
        <v>55</v>
      </c>
      <c r="AI56" s="131">
        <f t="shared" ca="1" si="34"/>
        <v>47840</v>
      </c>
      <c r="AJ56" s="102">
        <f t="shared" si="35"/>
        <v>0</v>
      </c>
      <c r="AK56" s="102">
        <f t="shared" si="36"/>
        <v>0</v>
      </c>
      <c r="AL56" s="102">
        <f t="shared" si="50"/>
        <v>0</v>
      </c>
      <c r="AM56" s="102">
        <f t="shared" si="10"/>
        <v>0</v>
      </c>
      <c r="AS56" s="530">
        <v>55</v>
      </c>
      <c r="AT56" s="531">
        <f t="shared" ca="1" si="37"/>
        <v>47840</v>
      </c>
      <c r="AU56" s="532">
        <f ca="1">IF(AU55=0,SUMIFS('Key Life Events'!$L$3:$L$28,'Key Life Events'!$H$3:$H$28,'Loan Amortization'!$AY$3,'Key Life Events'!$N$3:$N$28,'Loan Amortization'!AT56),AU55-AX55)</f>
        <v>0</v>
      </c>
      <c r="AV56" s="532">
        <f t="shared" ca="1" si="38"/>
        <v>0</v>
      </c>
      <c r="AW56" s="532">
        <f t="shared" ca="1" si="2"/>
        <v>0</v>
      </c>
      <c r="AX56" s="532">
        <f t="shared" ca="1" si="11"/>
        <v>0</v>
      </c>
      <c r="BC56" s="536">
        <f t="shared" ca="1" si="12"/>
        <v>2030</v>
      </c>
      <c r="BF56" s="530">
        <v>55</v>
      </c>
      <c r="BG56" s="531">
        <f t="shared" ca="1" si="39"/>
        <v>47840</v>
      </c>
      <c r="BH56" s="532">
        <f ca="1">IF(BH55=0,SUMIFS('Key Life Events'!$L$3:$L$28,'Key Life Events'!$H$3:$H$28,'Loan Amortization'!$BL$3,'Key Life Events'!$N$3:$N$28,'Loan Amortization'!BG56),BH55-BK55)</f>
        <v>0</v>
      </c>
      <c r="BI56" s="532">
        <f t="shared" ca="1" si="40"/>
        <v>0</v>
      </c>
      <c r="BJ56" s="532">
        <f t="shared" ca="1" si="41"/>
        <v>0</v>
      </c>
      <c r="BK56" s="532">
        <f t="shared" ca="1" si="13"/>
        <v>0</v>
      </c>
      <c r="BP56" s="536">
        <f t="shared" ca="1" si="14"/>
        <v>2030</v>
      </c>
      <c r="BQ56" s="535">
        <f ca="1"/>
        <v>0</v>
      </c>
      <c r="BS56" s="530">
        <v>55</v>
      </c>
      <c r="BT56" s="531">
        <f t="shared" ca="1" si="42"/>
        <v>47840</v>
      </c>
      <c r="BU56" s="532">
        <f ca="1">IF(BU55=0,SUMIFS('Key Life Events'!$L$3:$L$28,'Key Life Events'!$H$3:$H$28,'Loan Amortization'!$BY$3,'Key Life Events'!$N$3:$N$28,'Loan Amortization'!BT56),BU55-BX55)</f>
        <v>0</v>
      </c>
      <c r="BV56" s="532">
        <f t="shared" ca="1" si="48"/>
        <v>0</v>
      </c>
      <c r="BW56" s="532">
        <f t="shared" ca="1" si="43"/>
        <v>0</v>
      </c>
      <c r="BX56" s="532">
        <f t="shared" ca="1" si="15"/>
        <v>0</v>
      </c>
      <c r="CC56" s="536">
        <f t="shared" ca="1" si="16"/>
        <v>2030</v>
      </c>
      <c r="CD56" s="535">
        <f ca="1"/>
        <v>0</v>
      </c>
      <c r="CF56" s="530">
        <v>55</v>
      </c>
      <c r="CG56" s="531">
        <f t="shared" ca="1" si="44"/>
        <v>47840</v>
      </c>
      <c r="CH56" s="532">
        <f ca="1">IF(CH55=0,SUMIFS('Key Life Events'!$L$3:$L$28,'Key Life Events'!$H$3:$H$28,'Loan Amortization'!$CL$3,'Key Life Events'!$N$3:$N$28,'Loan Amortization'!CG56),CH55-CK55)</f>
        <v>0</v>
      </c>
      <c r="CI56" s="532">
        <f t="shared" ca="1" si="45"/>
        <v>0</v>
      </c>
      <c r="CJ56" s="532">
        <f t="shared" ca="1" si="46"/>
        <v>0</v>
      </c>
      <c r="CK56" s="532">
        <f t="shared" ca="1" si="17"/>
        <v>0</v>
      </c>
      <c r="CP56" s="536">
        <f t="shared" ca="1" si="18"/>
        <v>2030</v>
      </c>
      <c r="CQ56" s="535">
        <f ca="1"/>
        <v>0</v>
      </c>
      <c r="CS56" s="100">
        <f t="shared" si="19"/>
        <v>55</v>
      </c>
      <c r="CT56" s="102">
        <f t="shared" ca="1" si="20"/>
        <v>0</v>
      </c>
      <c r="CU56" s="102">
        <f t="shared" ca="1" si="21"/>
        <v>0</v>
      </c>
      <c r="CV56" s="511">
        <f t="shared" ca="1" si="22"/>
        <v>2030</v>
      </c>
      <c r="CW56" s="1">
        <f t="shared" si="47"/>
        <v>649</v>
      </c>
      <c r="CX56" s="99">
        <f t="shared" ca="1" si="23"/>
        <v>0</v>
      </c>
    </row>
    <row r="57" spans="1:102" x14ac:dyDescent="0.3">
      <c r="A57" s="100">
        <v>56</v>
      </c>
      <c r="B57" s="131">
        <f t="shared" si="24"/>
        <v>849</v>
      </c>
      <c r="C57" s="102">
        <f t="shared" si="25"/>
        <v>0</v>
      </c>
      <c r="D57" s="102">
        <f t="shared" si="26"/>
        <v>0</v>
      </c>
      <c r="E57" s="102">
        <f t="shared" si="6"/>
        <v>0</v>
      </c>
      <c r="F57" s="102">
        <f t="shared" si="27"/>
        <v>0</v>
      </c>
      <c r="L57" s="100">
        <v>56</v>
      </c>
      <c r="M57" s="131">
        <f t="shared" ca="1" si="28"/>
        <v>47871</v>
      </c>
      <c r="N57" s="102">
        <f t="shared" si="29"/>
        <v>0</v>
      </c>
      <c r="O57" s="102">
        <f t="shared" si="30"/>
        <v>0</v>
      </c>
      <c r="P57" s="102">
        <f t="shared" si="7"/>
        <v>0</v>
      </c>
      <c r="Q57" s="102">
        <f t="shared" si="8"/>
        <v>0</v>
      </c>
      <c r="W57" s="100">
        <v>56</v>
      </c>
      <c r="X57" s="131">
        <f t="shared" ca="1" si="31"/>
        <v>47871</v>
      </c>
      <c r="Y57" s="102">
        <f t="shared" si="32"/>
        <v>0</v>
      </c>
      <c r="Z57" s="102">
        <f t="shared" si="33"/>
        <v>0</v>
      </c>
      <c r="AA57" s="102">
        <f t="shared" si="49"/>
        <v>0</v>
      </c>
      <c r="AB57" s="102">
        <f t="shared" si="9"/>
        <v>0</v>
      </c>
      <c r="AH57" s="100">
        <v>56</v>
      </c>
      <c r="AI57" s="131">
        <f t="shared" ca="1" si="34"/>
        <v>47871</v>
      </c>
      <c r="AJ57" s="102">
        <f t="shared" si="35"/>
        <v>0</v>
      </c>
      <c r="AK57" s="102">
        <f t="shared" si="36"/>
        <v>0</v>
      </c>
      <c r="AL57" s="102">
        <f t="shared" si="50"/>
        <v>0</v>
      </c>
      <c r="AM57" s="102">
        <f t="shared" si="10"/>
        <v>0</v>
      </c>
      <c r="AS57" s="530">
        <v>56</v>
      </c>
      <c r="AT57" s="531">
        <f t="shared" ca="1" si="37"/>
        <v>47871</v>
      </c>
      <c r="AU57" s="532">
        <f ca="1">IF(AU56=0,SUMIFS('Key Life Events'!$L$3:$L$28,'Key Life Events'!$H$3:$H$28,'Loan Amortization'!$AY$3,'Key Life Events'!$N$3:$N$28,'Loan Amortization'!AT57),AU56-AX56)</f>
        <v>0</v>
      </c>
      <c r="AV57" s="532">
        <f t="shared" ca="1" si="38"/>
        <v>0</v>
      </c>
      <c r="AW57" s="532">
        <f t="shared" ca="1" si="2"/>
        <v>0</v>
      </c>
      <c r="AX57" s="532">
        <f t="shared" ca="1" si="11"/>
        <v>0</v>
      </c>
      <c r="BC57" s="536">
        <f t="shared" ca="1" si="12"/>
        <v>2031</v>
      </c>
      <c r="BF57" s="530">
        <v>56</v>
      </c>
      <c r="BG57" s="531">
        <f t="shared" ca="1" si="39"/>
        <v>47871</v>
      </c>
      <c r="BH57" s="532">
        <f ca="1">IF(BH56=0,SUMIFS('Key Life Events'!$L$3:$L$28,'Key Life Events'!$H$3:$H$28,'Loan Amortization'!$BL$3,'Key Life Events'!$N$3:$N$28,'Loan Amortization'!BG57),BH56-BK56)</f>
        <v>0</v>
      </c>
      <c r="BI57" s="532">
        <f t="shared" ca="1" si="40"/>
        <v>0</v>
      </c>
      <c r="BJ57" s="532">
        <f t="shared" ca="1" si="41"/>
        <v>0</v>
      </c>
      <c r="BK57" s="532">
        <f t="shared" ca="1" si="13"/>
        <v>0</v>
      </c>
      <c r="BP57" s="536">
        <f t="shared" ca="1" si="14"/>
        <v>2031</v>
      </c>
      <c r="BQ57" s="535">
        <f ca="1"/>
        <v>0</v>
      </c>
      <c r="BS57" s="530">
        <v>56</v>
      </c>
      <c r="BT57" s="531">
        <f t="shared" ca="1" si="42"/>
        <v>47871</v>
      </c>
      <c r="BU57" s="532">
        <f ca="1">IF(BU56=0,SUMIFS('Key Life Events'!$L$3:$L$28,'Key Life Events'!$H$3:$H$28,'Loan Amortization'!$BY$3,'Key Life Events'!$N$3:$N$28,'Loan Amortization'!BT57),BU56-BX56)</f>
        <v>0</v>
      </c>
      <c r="BV57" s="532">
        <f t="shared" ca="1" si="48"/>
        <v>0</v>
      </c>
      <c r="BW57" s="532">
        <f t="shared" ca="1" si="43"/>
        <v>0</v>
      </c>
      <c r="BX57" s="532">
        <f t="shared" ca="1" si="15"/>
        <v>0</v>
      </c>
      <c r="CC57" s="536">
        <f t="shared" ca="1" si="16"/>
        <v>2031</v>
      </c>
      <c r="CD57" s="535">
        <f ca="1"/>
        <v>0</v>
      </c>
      <c r="CF57" s="530">
        <v>56</v>
      </c>
      <c r="CG57" s="531">
        <f t="shared" ca="1" si="44"/>
        <v>47871</v>
      </c>
      <c r="CH57" s="532">
        <f ca="1">IF(CH56=0,SUMIFS('Key Life Events'!$L$3:$L$28,'Key Life Events'!$H$3:$H$28,'Loan Amortization'!$CL$3,'Key Life Events'!$N$3:$N$28,'Loan Amortization'!CG57),CH56-CK56)</f>
        <v>0</v>
      </c>
      <c r="CI57" s="532">
        <f t="shared" ca="1" si="45"/>
        <v>0</v>
      </c>
      <c r="CJ57" s="532">
        <f t="shared" ca="1" si="46"/>
        <v>0</v>
      </c>
      <c r="CK57" s="532">
        <f t="shared" ca="1" si="17"/>
        <v>0</v>
      </c>
      <c r="CP57" s="536">
        <f t="shared" ca="1" si="18"/>
        <v>2031</v>
      </c>
      <c r="CQ57" s="535">
        <f ca="1"/>
        <v>0</v>
      </c>
      <c r="CS57" s="100">
        <f t="shared" si="19"/>
        <v>56</v>
      </c>
      <c r="CT57" s="102">
        <f t="shared" ca="1" si="20"/>
        <v>0</v>
      </c>
      <c r="CU57" s="102">
        <f t="shared" ca="1" si="21"/>
        <v>0</v>
      </c>
      <c r="CV57" s="511">
        <f t="shared" ca="1" si="22"/>
        <v>2031</v>
      </c>
      <c r="CW57" s="1">
        <f t="shared" ref="CW57:CW120" si="51">CW56+12</f>
        <v>661</v>
      </c>
      <c r="CX57" s="99">
        <f t="shared" ref="CX57:CX120" ca="1" si="52">IFERROR(VLOOKUP(CW57,CS:CU,2,0),0)</f>
        <v>0</v>
      </c>
    </row>
    <row r="58" spans="1:102" x14ac:dyDescent="0.3">
      <c r="A58" s="100">
        <v>57</v>
      </c>
      <c r="B58" s="131">
        <f t="shared" si="24"/>
        <v>879</v>
      </c>
      <c r="C58" s="102">
        <f t="shared" si="25"/>
        <v>0</v>
      </c>
      <c r="D58" s="102">
        <f t="shared" si="26"/>
        <v>0</v>
      </c>
      <c r="E58" s="102">
        <f t="shared" si="6"/>
        <v>0</v>
      </c>
      <c r="F58" s="102">
        <f t="shared" si="27"/>
        <v>0</v>
      </c>
      <c r="L58" s="100">
        <v>57</v>
      </c>
      <c r="M58" s="131">
        <f t="shared" ca="1" si="28"/>
        <v>47902</v>
      </c>
      <c r="N58" s="102">
        <f t="shared" si="29"/>
        <v>0</v>
      </c>
      <c r="O58" s="102">
        <f t="shared" si="30"/>
        <v>0</v>
      </c>
      <c r="P58" s="102">
        <f t="shared" si="7"/>
        <v>0</v>
      </c>
      <c r="Q58" s="102">
        <f t="shared" si="8"/>
        <v>0</v>
      </c>
      <c r="W58" s="100">
        <v>57</v>
      </c>
      <c r="X58" s="131">
        <f t="shared" ca="1" si="31"/>
        <v>47902</v>
      </c>
      <c r="Y58" s="102">
        <f t="shared" si="32"/>
        <v>0</v>
      </c>
      <c r="Z58" s="102">
        <f t="shared" si="33"/>
        <v>0</v>
      </c>
      <c r="AA58" s="102">
        <f t="shared" si="49"/>
        <v>0</v>
      </c>
      <c r="AB58" s="102">
        <f t="shared" si="9"/>
        <v>0</v>
      </c>
      <c r="AH58" s="100">
        <v>57</v>
      </c>
      <c r="AI58" s="131">
        <f t="shared" ca="1" si="34"/>
        <v>47902</v>
      </c>
      <c r="AJ58" s="102">
        <f t="shared" si="35"/>
        <v>0</v>
      </c>
      <c r="AK58" s="102">
        <f t="shared" si="36"/>
        <v>0</v>
      </c>
      <c r="AL58" s="102">
        <f t="shared" si="50"/>
        <v>0</v>
      </c>
      <c r="AM58" s="102">
        <f t="shared" si="10"/>
        <v>0</v>
      </c>
      <c r="AS58" s="530">
        <v>57</v>
      </c>
      <c r="AT58" s="531">
        <f t="shared" ca="1" si="37"/>
        <v>47902</v>
      </c>
      <c r="AU58" s="532">
        <f ca="1">IF(AU57=0,SUMIFS('Key Life Events'!$L$3:$L$28,'Key Life Events'!$H$3:$H$28,'Loan Amortization'!$AY$3,'Key Life Events'!$N$3:$N$28,'Loan Amortization'!AT58),AU57-AX57)</f>
        <v>0</v>
      </c>
      <c r="AV58" s="532">
        <f t="shared" ca="1" si="38"/>
        <v>0</v>
      </c>
      <c r="AW58" s="532">
        <f t="shared" ca="1" si="2"/>
        <v>0</v>
      </c>
      <c r="AX58" s="532">
        <f t="shared" ca="1" si="11"/>
        <v>0</v>
      </c>
      <c r="BC58" s="536">
        <f t="shared" ca="1" si="12"/>
        <v>2031</v>
      </c>
      <c r="BF58" s="530">
        <v>57</v>
      </c>
      <c r="BG58" s="531">
        <f t="shared" ca="1" si="39"/>
        <v>47902</v>
      </c>
      <c r="BH58" s="532">
        <f ca="1">IF(BH57=0,SUMIFS('Key Life Events'!$L$3:$L$28,'Key Life Events'!$H$3:$H$28,'Loan Amortization'!$BL$3,'Key Life Events'!$N$3:$N$28,'Loan Amortization'!BG58),BH57-BK57)</f>
        <v>0</v>
      </c>
      <c r="BI58" s="532">
        <f t="shared" ca="1" si="40"/>
        <v>0</v>
      </c>
      <c r="BJ58" s="532">
        <f t="shared" ca="1" si="41"/>
        <v>0</v>
      </c>
      <c r="BK58" s="532">
        <f t="shared" ca="1" si="13"/>
        <v>0</v>
      </c>
      <c r="BP58" s="536">
        <f t="shared" ca="1" si="14"/>
        <v>2031</v>
      </c>
      <c r="BQ58" s="535">
        <f ca="1"/>
        <v>0</v>
      </c>
      <c r="BS58" s="530">
        <v>57</v>
      </c>
      <c r="BT58" s="531">
        <f t="shared" ca="1" si="42"/>
        <v>47902</v>
      </c>
      <c r="BU58" s="532">
        <f ca="1">IF(BU57=0,SUMIFS('Key Life Events'!$L$3:$L$28,'Key Life Events'!$H$3:$H$28,'Loan Amortization'!$BY$3,'Key Life Events'!$N$3:$N$28,'Loan Amortization'!BT58),BU57-BX57)</f>
        <v>0</v>
      </c>
      <c r="BV58" s="532">
        <f t="shared" ca="1" si="48"/>
        <v>0</v>
      </c>
      <c r="BW58" s="532">
        <f t="shared" ca="1" si="43"/>
        <v>0</v>
      </c>
      <c r="BX58" s="532">
        <f t="shared" ca="1" si="15"/>
        <v>0</v>
      </c>
      <c r="CC58" s="536">
        <f t="shared" ca="1" si="16"/>
        <v>2031</v>
      </c>
      <c r="CD58" s="535">
        <f ca="1"/>
        <v>0</v>
      </c>
      <c r="CF58" s="530">
        <v>57</v>
      </c>
      <c r="CG58" s="531">
        <f t="shared" ca="1" si="44"/>
        <v>47902</v>
      </c>
      <c r="CH58" s="532">
        <f ca="1">IF(CH57=0,SUMIFS('Key Life Events'!$L$3:$L$28,'Key Life Events'!$H$3:$H$28,'Loan Amortization'!$CL$3,'Key Life Events'!$N$3:$N$28,'Loan Amortization'!CG58),CH57-CK57)</f>
        <v>0</v>
      </c>
      <c r="CI58" s="532">
        <f t="shared" ca="1" si="45"/>
        <v>0</v>
      </c>
      <c r="CJ58" s="532">
        <f t="shared" ca="1" si="46"/>
        <v>0</v>
      </c>
      <c r="CK58" s="532">
        <f t="shared" ca="1" si="17"/>
        <v>0</v>
      </c>
      <c r="CP58" s="536">
        <f t="shared" ca="1" si="18"/>
        <v>2031</v>
      </c>
      <c r="CQ58" s="535">
        <f ca="1"/>
        <v>0</v>
      </c>
      <c r="CS58" s="100">
        <f t="shared" si="19"/>
        <v>57</v>
      </c>
      <c r="CT58" s="102">
        <f t="shared" ca="1" si="20"/>
        <v>0</v>
      </c>
      <c r="CU58" s="102">
        <f t="shared" ca="1" si="21"/>
        <v>0</v>
      </c>
      <c r="CV58" s="511">
        <f t="shared" ca="1" si="22"/>
        <v>2031</v>
      </c>
      <c r="CW58" s="1">
        <f t="shared" si="51"/>
        <v>673</v>
      </c>
      <c r="CX58" s="99">
        <f t="shared" ca="1" si="52"/>
        <v>0</v>
      </c>
    </row>
    <row r="59" spans="1:102" x14ac:dyDescent="0.3">
      <c r="A59" s="100">
        <v>58</v>
      </c>
      <c r="B59" s="131">
        <f t="shared" si="24"/>
        <v>910</v>
      </c>
      <c r="C59" s="102">
        <f t="shared" si="25"/>
        <v>0</v>
      </c>
      <c r="D59" s="102">
        <f t="shared" si="26"/>
        <v>0</v>
      </c>
      <c r="E59" s="102">
        <f t="shared" si="6"/>
        <v>0</v>
      </c>
      <c r="F59" s="102">
        <f t="shared" si="27"/>
        <v>0</v>
      </c>
      <c r="L59" s="100">
        <v>58</v>
      </c>
      <c r="M59" s="131">
        <f t="shared" ca="1" si="28"/>
        <v>47930</v>
      </c>
      <c r="N59" s="102">
        <f t="shared" si="29"/>
        <v>0</v>
      </c>
      <c r="O59" s="102">
        <f t="shared" si="30"/>
        <v>0</v>
      </c>
      <c r="P59" s="102">
        <f t="shared" si="7"/>
        <v>0</v>
      </c>
      <c r="Q59" s="102">
        <f t="shared" si="8"/>
        <v>0</v>
      </c>
      <c r="W59" s="100">
        <v>58</v>
      </c>
      <c r="X59" s="131">
        <f t="shared" ca="1" si="31"/>
        <v>47930</v>
      </c>
      <c r="Y59" s="102">
        <f t="shared" si="32"/>
        <v>0</v>
      </c>
      <c r="Z59" s="102">
        <f t="shared" si="33"/>
        <v>0</v>
      </c>
      <c r="AA59" s="102">
        <f t="shared" si="49"/>
        <v>0</v>
      </c>
      <c r="AB59" s="102">
        <f t="shared" si="9"/>
        <v>0</v>
      </c>
      <c r="AH59" s="100">
        <v>58</v>
      </c>
      <c r="AI59" s="131">
        <f t="shared" ca="1" si="34"/>
        <v>47930</v>
      </c>
      <c r="AJ59" s="102">
        <f t="shared" si="35"/>
        <v>0</v>
      </c>
      <c r="AK59" s="102">
        <f t="shared" si="36"/>
        <v>0</v>
      </c>
      <c r="AL59" s="102">
        <f t="shared" si="50"/>
        <v>0</v>
      </c>
      <c r="AM59" s="102">
        <f t="shared" si="10"/>
        <v>0</v>
      </c>
      <c r="AS59" s="530">
        <v>58</v>
      </c>
      <c r="AT59" s="531">
        <f t="shared" ca="1" si="37"/>
        <v>47930</v>
      </c>
      <c r="AU59" s="532">
        <f ca="1">IF(AU58=0,SUMIFS('Key Life Events'!$L$3:$L$28,'Key Life Events'!$H$3:$H$28,'Loan Amortization'!$AY$3,'Key Life Events'!$N$3:$N$28,'Loan Amortization'!AT59),AU58-AX58)</f>
        <v>0</v>
      </c>
      <c r="AV59" s="532">
        <f t="shared" ca="1" si="38"/>
        <v>0</v>
      </c>
      <c r="AW59" s="532">
        <f t="shared" ca="1" si="2"/>
        <v>0</v>
      </c>
      <c r="AX59" s="532">
        <f t="shared" ca="1" si="11"/>
        <v>0</v>
      </c>
      <c r="BC59" s="536">
        <f t="shared" ca="1" si="12"/>
        <v>2031</v>
      </c>
      <c r="BF59" s="530">
        <v>58</v>
      </c>
      <c r="BG59" s="531">
        <f t="shared" ca="1" si="39"/>
        <v>47930</v>
      </c>
      <c r="BH59" s="532">
        <f ca="1">IF(BH58=0,SUMIFS('Key Life Events'!$L$3:$L$28,'Key Life Events'!$H$3:$H$28,'Loan Amortization'!$BL$3,'Key Life Events'!$N$3:$N$28,'Loan Amortization'!BG59),BH58-BK58)</f>
        <v>0</v>
      </c>
      <c r="BI59" s="532">
        <f t="shared" ca="1" si="40"/>
        <v>0</v>
      </c>
      <c r="BJ59" s="532">
        <f t="shared" ca="1" si="41"/>
        <v>0</v>
      </c>
      <c r="BK59" s="532">
        <f t="shared" ca="1" si="13"/>
        <v>0</v>
      </c>
      <c r="BP59" s="536">
        <f t="shared" ca="1" si="14"/>
        <v>2031</v>
      </c>
      <c r="BQ59" s="535">
        <f ca="1"/>
        <v>0</v>
      </c>
      <c r="BS59" s="530">
        <v>58</v>
      </c>
      <c r="BT59" s="531">
        <f t="shared" ca="1" si="42"/>
        <v>47930</v>
      </c>
      <c r="BU59" s="532">
        <f ca="1">IF(BU58=0,SUMIFS('Key Life Events'!$L$3:$L$28,'Key Life Events'!$H$3:$H$28,'Loan Amortization'!$BY$3,'Key Life Events'!$N$3:$N$28,'Loan Amortization'!BT59),BU58-BX58)</f>
        <v>0</v>
      </c>
      <c r="BV59" s="532">
        <f t="shared" ca="1" si="48"/>
        <v>0</v>
      </c>
      <c r="BW59" s="532">
        <f t="shared" ca="1" si="43"/>
        <v>0</v>
      </c>
      <c r="BX59" s="532">
        <f t="shared" ca="1" si="15"/>
        <v>0</v>
      </c>
      <c r="CC59" s="536">
        <f t="shared" ca="1" si="16"/>
        <v>2031</v>
      </c>
      <c r="CD59" s="535">
        <f ca="1"/>
        <v>0</v>
      </c>
      <c r="CF59" s="530">
        <v>58</v>
      </c>
      <c r="CG59" s="531">
        <f t="shared" ca="1" si="44"/>
        <v>47930</v>
      </c>
      <c r="CH59" s="532">
        <f ca="1">IF(CH58=0,SUMIFS('Key Life Events'!$L$3:$L$28,'Key Life Events'!$H$3:$H$28,'Loan Amortization'!$CL$3,'Key Life Events'!$N$3:$N$28,'Loan Amortization'!CG59),CH58-CK58)</f>
        <v>0</v>
      </c>
      <c r="CI59" s="532">
        <f t="shared" ca="1" si="45"/>
        <v>0</v>
      </c>
      <c r="CJ59" s="532">
        <f t="shared" ca="1" si="46"/>
        <v>0</v>
      </c>
      <c r="CK59" s="532">
        <f t="shared" ca="1" si="17"/>
        <v>0</v>
      </c>
      <c r="CP59" s="536">
        <f t="shared" ca="1" si="18"/>
        <v>2031</v>
      </c>
      <c r="CQ59" s="535">
        <f ca="1"/>
        <v>0</v>
      </c>
      <c r="CS59" s="100">
        <f t="shared" si="19"/>
        <v>58</v>
      </c>
      <c r="CT59" s="102">
        <f t="shared" ca="1" si="20"/>
        <v>0</v>
      </c>
      <c r="CU59" s="102">
        <f t="shared" ca="1" si="21"/>
        <v>0</v>
      </c>
      <c r="CV59" s="511">
        <f t="shared" ca="1" si="22"/>
        <v>2031</v>
      </c>
      <c r="CW59" s="1">
        <f t="shared" si="51"/>
        <v>685</v>
      </c>
      <c r="CX59" s="99">
        <f t="shared" si="52"/>
        <v>0</v>
      </c>
    </row>
    <row r="60" spans="1:102" x14ac:dyDescent="0.3">
      <c r="A60" s="100">
        <v>59</v>
      </c>
      <c r="B60" s="131">
        <f t="shared" si="24"/>
        <v>940</v>
      </c>
      <c r="C60" s="102">
        <f t="shared" si="25"/>
        <v>0</v>
      </c>
      <c r="D60" s="102">
        <f t="shared" si="26"/>
        <v>0</v>
      </c>
      <c r="E60" s="102">
        <f t="shared" si="6"/>
        <v>0</v>
      </c>
      <c r="F60" s="102">
        <f t="shared" si="27"/>
        <v>0</v>
      </c>
      <c r="L60" s="100">
        <v>59</v>
      </c>
      <c r="M60" s="131">
        <f t="shared" ca="1" si="28"/>
        <v>47961</v>
      </c>
      <c r="N60" s="102">
        <f t="shared" si="29"/>
        <v>0</v>
      </c>
      <c r="O60" s="102">
        <f t="shared" si="30"/>
        <v>0</v>
      </c>
      <c r="P60" s="102">
        <f t="shared" si="7"/>
        <v>0</v>
      </c>
      <c r="Q60" s="102">
        <f t="shared" si="8"/>
        <v>0</v>
      </c>
      <c r="W60" s="100">
        <v>59</v>
      </c>
      <c r="X60" s="131">
        <f t="shared" ca="1" si="31"/>
        <v>47961</v>
      </c>
      <c r="Y60" s="102">
        <f t="shared" si="32"/>
        <v>0</v>
      </c>
      <c r="Z60" s="102">
        <f t="shared" si="33"/>
        <v>0</v>
      </c>
      <c r="AA60" s="102">
        <f t="shared" si="49"/>
        <v>0</v>
      </c>
      <c r="AB60" s="102">
        <f t="shared" si="9"/>
        <v>0</v>
      </c>
      <c r="AH60" s="100">
        <v>59</v>
      </c>
      <c r="AI60" s="131">
        <f t="shared" ca="1" si="34"/>
        <v>47961</v>
      </c>
      <c r="AJ60" s="102">
        <f t="shared" si="35"/>
        <v>0</v>
      </c>
      <c r="AK60" s="102">
        <f t="shared" si="36"/>
        <v>0</v>
      </c>
      <c r="AL60" s="102">
        <f t="shared" si="50"/>
        <v>0</v>
      </c>
      <c r="AM60" s="102">
        <f t="shared" si="10"/>
        <v>0</v>
      </c>
      <c r="AS60" s="530">
        <v>59</v>
      </c>
      <c r="AT60" s="531">
        <f t="shared" ca="1" si="37"/>
        <v>47961</v>
      </c>
      <c r="AU60" s="532">
        <f ca="1">IF(AU59=0,SUMIFS('Key Life Events'!$L$3:$L$28,'Key Life Events'!$H$3:$H$28,'Loan Amortization'!$AY$3,'Key Life Events'!$N$3:$N$28,'Loan Amortization'!AT60),AU59-AX59)</f>
        <v>0</v>
      </c>
      <c r="AV60" s="532">
        <f t="shared" ca="1" si="38"/>
        <v>0</v>
      </c>
      <c r="AW60" s="532">
        <f t="shared" ca="1" si="2"/>
        <v>0</v>
      </c>
      <c r="AX60" s="532">
        <f t="shared" ca="1" si="11"/>
        <v>0</v>
      </c>
      <c r="BC60" s="536">
        <f t="shared" ca="1" si="12"/>
        <v>2031</v>
      </c>
      <c r="BF60" s="530">
        <v>59</v>
      </c>
      <c r="BG60" s="531">
        <f t="shared" ca="1" si="39"/>
        <v>47961</v>
      </c>
      <c r="BH60" s="532">
        <f ca="1">IF(BH59=0,SUMIFS('Key Life Events'!$L$3:$L$28,'Key Life Events'!$H$3:$H$28,'Loan Amortization'!$BL$3,'Key Life Events'!$N$3:$N$28,'Loan Amortization'!BG60),BH59-BK59)</f>
        <v>0</v>
      </c>
      <c r="BI60" s="532">
        <f t="shared" ca="1" si="40"/>
        <v>0</v>
      </c>
      <c r="BJ60" s="532">
        <f t="shared" ca="1" si="41"/>
        <v>0</v>
      </c>
      <c r="BK60" s="532">
        <f t="shared" ca="1" si="13"/>
        <v>0</v>
      </c>
      <c r="BP60" s="536">
        <f t="shared" ca="1" si="14"/>
        <v>2031</v>
      </c>
      <c r="BQ60" s="535">
        <f ca="1"/>
        <v>0</v>
      </c>
      <c r="BS60" s="530">
        <v>59</v>
      </c>
      <c r="BT60" s="531">
        <f t="shared" ca="1" si="42"/>
        <v>47961</v>
      </c>
      <c r="BU60" s="532">
        <f ca="1">IF(BU59=0,SUMIFS('Key Life Events'!$L$3:$L$28,'Key Life Events'!$H$3:$H$28,'Loan Amortization'!$BY$3,'Key Life Events'!$N$3:$N$28,'Loan Amortization'!BT60),BU59-BX59)</f>
        <v>0</v>
      </c>
      <c r="BV60" s="532">
        <f t="shared" ca="1" si="48"/>
        <v>0</v>
      </c>
      <c r="BW60" s="532">
        <f t="shared" ca="1" si="43"/>
        <v>0</v>
      </c>
      <c r="BX60" s="532">
        <f t="shared" ca="1" si="15"/>
        <v>0</v>
      </c>
      <c r="CC60" s="536">
        <f t="shared" ca="1" si="16"/>
        <v>2031</v>
      </c>
      <c r="CD60" s="535">
        <f ca="1"/>
        <v>0</v>
      </c>
      <c r="CF60" s="530">
        <v>59</v>
      </c>
      <c r="CG60" s="531">
        <f t="shared" ca="1" si="44"/>
        <v>47961</v>
      </c>
      <c r="CH60" s="532">
        <f ca="1">IF(CH59=0,SUMIFS('Key Life Events'!$L$3:$L$28,'Key Life Events'!$H$3:$H$28,'Loan Amortization'!$CL$3,'Key Life Events'!$N$3:$N$28,'Loan Amortization'!CG60),CH59-CK59)</f>
        <v>0</v>
      </c>
      <c r="CI60" s="532">
        <f t="shared" ca="1" si="45"/>
        <v>0</v>
      </c>
      <c r="CJ60" s="532">
        <f t="shared" ca="1" si="46"/>
        <v>0</v>
      </c>
      <c r="CK60" s="532">
        <f t="shared" ca="1" si="17"/>
        <v>0</v>
      </c>
      <c r="CP60" s="536">
        <f t="shared" ca="1" si="18"/>
        <v>2031</v>
      </c>
      <c r="CQ60" s="535">
        <f ca="1"/>
        <v>0</v>
      </c>
      <c r="CS60" s="100">
        <f t="shared" si="19"/>
        <v>59</v>
      </c>
      <c r="CT60" s="102">
        <f t="shared" ca="1" si="20"/>
        <v>0</v>
      </c>
      <c r="CU60" s="102">
        <f t="shared" ca="1" si="21"/>
        <v>0</v>
      </c>
      <c r="CV60" s="511">
        <f t="shared" ca="1" si="22"/>
        <v>2031</v>
      </c>
      <c r="CW60" s="1">
        <f t="shared" si="51"/>
        <v>697</v>
      </c>
      <c r="CX60" s="99">
        <f t="shared" si="52"/>
        <v>0</v>
      </c>
    </row>
    <row r="61" spans="1:102" x14ac:dyDescent="0.3">
      <c r="A61" s="100">
        <v>60</v>
      </c>
      <c r="B61" s="131">
        <f t="shared" si="24"/>
        <v>971</v>
      </c>
      <c r="C61" s="102">
        <f t="shared" si="25"/>
        <v>0</v>
      </c>
      <c r="D61" s="102">
        <f t="shared" si="26"/>
        <v>0</v>
      </c>
      <c r="E61" s="102">
        <f t="shared" si="6"/>
        <v>0</v>
      </c>
      <c r="F61" s="102">
        <f t="shared" si="27"/>
        <v>0</v>
      </c>
      <c r="L61" s="100">
        <v>60</v>
      </c>
      <c r="M61" s="131">
        <f t="shared" ca="1" si="28"/>
        <v>47991</v>
      </c>
      <c r="N61" s="102">
        <f t="shared" si="29"/>
        <v>0</v>
      </c>
      <c r="O61" s="102">
        <f t="shared" si="30"/>
        <v>0</v>
      </c>
      <c r="P61" s="102">
        <f t="shared" si="7"/>
        <v>0</v>
      </c>
      <c r="Q61" s="102">
        <f t="shared" si="8"/>
        <v>0</v>
      </c>
      <c r="W61" s="100">
        <v>60</v>
      </c>
      <c r="X61" s="131">
        <f t="shared" ca="1" si="31"/>
        <v>47991</v>
      </c>
      <c r="Y61" s="102">
        <f t="shared" si="32"/>
        <v>0</v>
      </c>
      <c r="Z61" s="102">
        <f t="shared" si="33"/>
        <v>0</v>
      </c>
      <c r="AA61" s="102">
        <f t="shared" si="49"/>
        <v>0</v>
      </c>
      <c r="AB61" s="102">
        <f t="shared" si="9"/>
        <v>0</v>
      </c>
      <c r="AH61" s="100">
        <v>60</v>
      </c>
      <c r="AI61" s="131">
        <f t="shared" ca="1" si="34"/>
        <v>47991</v>
      </c>
      <c r="AJ61" s="102">
        <f t="shared" si="35"/>
        <v>0</v>
      </c>
      <c r="AK61" s="102">
        <f t="shared" si="36"/>
        <v>0</v>
      </c>
      <c r="AL61" s="102">
        <f t="shared" si="50"/>
        <v>0</v>
      </c>
      <c r="AM61" s="102">
        <f t="shared" si="10"/>
        <v>0</v>
      </c>
      <c r="AS61" s="530">
        <v>60</v>
      </c>
      <c r="AT61" s="531">
        <f t="shared" ca="1" si="37"/>
        <v>47991</v>
      </c>
      <c r="AU61" s="532">
        <f ca="1">IF(AU60=0,SUMIFS('Key Life Events'!$L$3:$L$28,'Key Life Events'!$H$3:$H$28,'Loan Amortization'!$AY$3,'Key Life Events'!$N$3:$N$28,'Loan Amortization'!AT61),AU60-AX60)</f>
        <v>0</v>
      </c>
      <c r="AV61" s="532">
        <f t="shared" ca="1" si="38"/>
        <v>0</v>
      </c>
      <c r="AW61" s="532">
        <f t="shared" ca="1" si="2"/>
        <v>0</v>
      </c>
      <c r="AX61" s="532">
        <f t="shared" ca="1" si="11"/>
        <v>0</v>
      </c>
      <c r="BC61" s="536">
        <f t="shared" ca="1" si="12"/>
        <v>2031</v>
      </c>
      <c r="BF61" s="530">
        <v>60</v>
      </c>
      <c r="BG61" s="531">
        <f t="shared" ca="1" si="39"/>
        <v>47991</v>
      </c>
      <c r="BH61" s="532">
        <f ca="1">IF(BH60=0,SUMIFS('Key Life Events'!$L$3:$L$28,'Key Life Events'!$H$3:$H$28,'Loan Amortization'!$BL$3,'Key Life Events'!$N$3:$N$28,'Loan Amortization'!BG61),BH60-BK60)</f>
        <v>0</v>
      </c>
      <c r="BI61" s="532">
        <f t="shared" ca="1" si="40"/>
        <v>0</v>
      </c>
      <c r="BJ61" s="532">
        <f t="shared" ca="1" si="41"/>
        <v>0</v>
      </c>
      <c r="BK61" s="532">
        <f t="shared" ca="1" si="13"/>
        <v>0</v>
      </c>
      <c r="BP61" s="536">
        <f t="shared" ca="1" si="14"/>
        <v>2031</v>
      </c>
      <c r="BQ61" s="535">
        <f ca="1"/>
        <v>0</v>
      </c>
      <c r="BS61" s="530">
        <v>60</v>
      </c>
      <c r="BT61" s="531">
        <f t="shared" ca="1" si="42"/>
        <v>47991</v>
      </c>
      <c r="BU61" s="532">
        <f ca="1">IF(BU60=0,SUMIFS('Key Life Events'!$L$3:$L$28,'Key Life Events'!$H$3:$H$28,'Loan Amortization'!$BY$3,'Key Life Events'!$N$3:$N$28,'Loan Amortization'!BT61),BU60-BX60)</f>
        <v>0</v>
      </c>
      <c r="BV61" s="532">
        <f t="shared" ca="1" si="48"/>
        <v>0</v>
      </c>
      <c r="BW61" s="532">
        <f t="shared" ca="1" si="43"/>
        <v>0</v>
      </c>
      <c r="BX61" s="532">
        <f t="shared" ca="1" si="15"/>
        <v>0</v>
      </c>
      <c r="CC61" s="536">
        <f t="shared" ca="1" si="16"/>
        <v>2031</v>
      </c>
      <c r="CD61" s="535">
        <f ca="1"/>
        <v>0</v>
      </c>
      <c r="CF61" s="530">
        <v>60</v>
      </c>
      <c r="CG61" s="531">
        <f t="shared" ca="1" si="44"/>
        <v>47991</v>
      </c>
      <c r="CH61" s="532">
        <f ca="1">IF(CH60=0,SUMIFS('Key Life Events'!$L$3:$L$28,'Key Life Events'!$H$3:$H$28,'Loan Amortization'!$CL$3,'Key Life Events'!$N$3:$N$28,'Loan Amortization'!CG61),CH60-CK60)</f>
        <v>0</v>
      </c>
      <c r="CI61" s="532">
        <f t="shared" ca="1" si="45"/>
        <v>0</v>
      </c>
      <c r="CJ61" s="532">
        <f t="shared" ca="1" si="46"/>
        <v>0</v>
      </c>
      <c r="CK61" s="532">
        <f t="shared" ca="1" si="17"/>
        <v>0</v>
      </c>
      <c r="CP61" s="536">
        <f t="shared" ca="1" si="18"/>
        <v>2031</v>
      </c>
      <c r="CQ61" s="535">
        <f ca="1"/>
        <v>0</v>
      </c>
      <c r="CS61" s="100">
        <f t="shared" si="19"/>
        <v>60</v>
      </c>
      <c r="CT61" s="102">
        <f t="shared" ca="1" si="20"/>
        <v>0</v>
      </c>
      <c r="CU61" s="102">
        <f t="shared" ca="1" si="21"/>
        <v>0</v>
      </c>
      <c r="CV61" s="511">
        <f t="shared" ca="1" si="22"/>
        <v>2031</v>
      </c>
      <c r="CW61" s="1">
        <f t="shared" si="51"/>
        <v>709</v>
      </c>
      <c r="CX61" s="99">
        <f t="shared" si="52"/>
        <v>0</v>
      </c>
    </row>
    <row r="62" spans="1:102" x14ac:dyDescent="0.3">
      <c r="A62" s="100">
        <v>61</v>
      </c>
      <c r="B62" s="131">
        <f t="shared" si="24"/>
        <v>1002</v>
      </c>
      <c r="C62" s="102">
        <f t="shared" si="25"/>
        <v>0</v>
      </c>
      <c r="D62" s="102">
        <f t="shared" si="26"/>
        <v>0</v>
      </c>
      <c r="E62" s="102">
        <f t="shared" si="6"/>
        <v>0</v>
      </c>
      <c r="F62" s="102">
        <f t="shared" si="27"/>
        <v>0</v>
      </c>
      <c r="L62" s="100">
        <v>61</v>
      </c>
      <c r="M62" s="131">
        <f t="shared" ca="1" si="28"/>
        <v>48022</v>
      </c>
      <c r="N62" s="102">
        <f t="shared" si="29"/>
        <v>0</v>
      </c>
      <c r="O62" s="102">
        <f t="shared" si="30"/>
        <v>0</v>
      </c>
      <c r="P62" s="102">
        <f t="shared" si="7"/>
        <v>0</v>
      </c>
      <c r="Q62" s="102">
        <f t="shared" si="8"/>
        <v>0</v>
      </c>
      <c r="W62" s="100">
        <v>61</v>
      </c>
      <c r="X62" s="131">
        <f t="shared" ca="1" si="31"/>
        <v>48022</v>
      </c>
      <c r="Y62" s="102">
        <f t="shared" si="32"/>
        <v>0</v>
      </c>
      <c r="Z62" s="102">
        <f t="shared" si="33"/>
        <v>0</v>
      </c>
      <c r="AA62" s="102">
        <f t="shared" si="49"/>
        <v>0</v>
      </c>
      <c r="AB62" s="102">
        <f t="shared" si="9"/>
        <v>0</v>
      </c>
      <c r="AH62" s="100">
        <v>61</v>
      </c>
      <c r="AI62" s="131">
        <f t="shared" ca="1" si="34"/>
        <v>48022</v>
      </c>
      <c r="AJ62" s="102">
        <f t="shared" si="35"/>
        <v>0</v>
      </c>
      <c r="AK62" s="102">
        <f t="shared" si="36"/>
        <v>0</v>
      </c>
      <c r="AL62" s="102">
        <f t="shared" si="50"/>
        <v>0</v>
      </c>
      <c r="AM62" s="102">
        <f t="shared" si="10"/>
        <v>0</v>
      </c>
      <c r="AS62" s="530">
        <v>61</v>
      </c>
      <c r="AT62" s="531">
        <f t="shared" ca="1" si="37"/>
        <v>48022</v>
      </c>
      <c r="AU62" s="532">
        <f ca="1">IF(AU61=0,SUMIFS('Key Life Events'!$L$3:$L$28,'Key Life Events'!$H$3:$H$28,'Loan Amortization'!$AY$3,'Key Life Events'!$N$3:$N$28,'Loan Amortization'!AT62),AU61-AX61)</f>
        <v>0</v>
      </c>
      <c r="AV62" s="532">
        <f t="shared" ca="1" si="38"/>
        <v>0</v>
      </c>
      <c r="AW62" s="532">
        <f t="shared" ca="1" si="2"/>
        <v>0</v>
      </c>
      <c r="AX62" s="532">
        <f t="shared" ca="1" si="11"/>
        <v>0</v>
      </c>
      <c r="BC62" s="536">
        <f t="shared" ca="1" si="12"/>
        <v>2031</v>
      </c>
      <c r="BF62" s="530">
        <v>61</v>
      </c>
      <c r="BG62" s="531">
        <f t="shared" ca="1" si="39"/>
        <v>48022</v>
      </c>
      <c r="BH62" s="532">
        <f ca="1">IF(BH61=0,SUMIFS('Key Life Events'!$L$3:$L$28,'Key Life Events'!$H$3:$H$28,'Loan Amortization'!$BL$3,'Key Life Events'!$N$3:$N$28,'Loan Amortization'!BG62),BH61-BK61)</f>
        <v>0</v>
      </c>
      <c r="BI62" s="532">
        <f t="shared" ca="1" si="40"/>
        <v>0</v>
      </c>
      <c r="BJ62" s="532">
        <f t="shared" ca="1" si="41"/>
        <v>0</v>
      </c>
      <c r="BK62" s="532">
        <f t="shared" ca="1" si="13"/>
        <v>0</v>
      </c>
      <c r="BP62" s="536">
        <f t="shared" ca="1" si="14"/>
        <v>2031</v>
      </c>
      <c r="BQ62" s="535">
        <f ca="1"/>
        <v>0</v>
      </c>
      <c r="BS62" s="530">
        <v>61</v>
      </c>
      <c r="BT62" s="531">
        <f t="shared" ca="1" si="42"/>
        <v>48022</v>
      </c>
      <c r="BU62" s="532">
        <f ca="1">IF(BU61=0,SUMIFS('Key Life Events'!$L$3:$L$28,'Key Life Events'!$H$3:$H$28,'Loan Amortization'!$BY$3,'Key Life Events'!$N$3:$N$28,'Loan Amortization'!BT62),BU61-BX61)</f>
        <v>0</v>
      </c>
      <c r="BV62" s="532">
        <f t="shared" ca="1" si="48"/>
        <v>0</v>
      </c>
      <c r="BW62" s="532">
        <f t="shared" ca="1" si="43"/>
        <v>0</v>
      </c>
      <c r="BX62" s="532">
        <f t="shared" ca="1" si="15"/>
        <v>0</v>
      </c>
      <c r="CC62" s="536">
        <f t="shared" ca="1" si="16"/>
        <v>2031</v>
      </c>
      <c r="CD62" s="535">
        <f ca="1"/>
        <v>0</v>
      </c>
      <c r="CF62" s="530">
        <v>61</v>
      </c>
      <c r="CG62" s="531">
        <f t="shared" ca="1" si="44"/>
        <v>48022</v>
      </c>
      <c r="CH62" s="532">
        <f ca="1">IF(CH61=0,SUMIFS('Key Life Events'!$L$3:$L$28,'Key Life Events'!$H$3:$H$28,'Loan Amortization'!$CL$3,'Key Life Events'!$N$3:$N$28,'Loan Amortization'!CG62),CH61-CK61)</f>
        <v>0</v>
      </c>
      <c r="CI62" s="532">
        <f t="shared" ca="1" si="45"/>
        <v>0</v>
      </c>
      <c r="CJ62" s="532">
        <f t="shared" ca="1" si="46"/>
        <v>0</v>
      </c>
      <c r="CK62" s="532">
        <f t="shared" ca="1" si="17"/>
        <v>0</v>
      </c>
      <c r="CP62" s="536">
        <f t="shared" ca="1" si="18"/>
        <v>2031</v>
      </c>
      <c r="CQ62" s="535">
        <f ca="1"/>
        <v>0</v>
      </c>
      <c r="CS62" s="100">
        <f t="shared" si="19"/>
        <v>61</v>
      </c>
      <c r="CT62" s="102">
        <f t="shared" ca="1" si="20"/>
        <v>0</v>
      </c>
      <c r="CU62" s="102">
        <f t="shared" ca="1" si="21"/>
        <v>0</v>
      </c>
      <c r="CV62" s="511">
        <f t="shared" ca="1" si="22"/>
        <v>2031</v>
      </c>
      <c r="CW62" s="1">
        <f t="shared" si="51"/>
        <v>721</v>
      </c>
      <c r="CX62" s="99">
        <f t="shared" si="52"/>
        <v>0</v>
      </c>
    </row>
    <row r="63" spans="1:102" x14ac:dyDescent="0.3">
      <c r="A63" s="100">
        <v>62</v>
      </c>
      <c r="B63" s="131">
        <f t="shared" si="24"/>
        <v>1032</v>
      </c>
      <c r="C63" s="102">
        <f t="shared" si="25"/>
        <v>0</v>
      </c>
      <c r="D63" s="102">
        <f t="shared" si="26"/>
        <v>0</v>
      </c>
      <c r="E63" s="102">
        <f t="shared" si="6"/>
        <v>0</v>
      </c>
      <c r="F63" s="102">
        <f t="shared" si="27"/>
        <v>0</v>
      </c>
      <c r="L63" s="100">
        <v>62</v>
      </c>
      <c r="M63" s="131">
        <f t="shared" ca="1" si="28"/>
        <v>48052</v>
      </c>
      <c r="N63" s="102">
        <f t="shared" si="29"/>
        <v>0</v>
      </c>
      <c r="O63" s="102">
        <f t="shared" si="30"/>
        <v>0</v>
      </c>
      <c r="P63" s="102">
        <f t="shared" si="7"/>
        <v>0</v>
      </c>
      <c r="Q63" s="102">
        <f t="shared" si="8"/>
        <v>0</v>
      </c>
      <c r="W63" s="100">
        <v>62</v>
      </c>
      <c r="X63" s="131">
        <f t="shared" ca="1" si="31"/>
        <v>48052</v>
      </c>
      <c r="Y63" s="102">
        <f t="shared" si="32"/>
        <v>0</v>
      </c>
      <c r="Z63" s="102">
        <f t="shared" si="33"/>
        <v>0</v>
      </c>
      <c r="AA63" s="102">
        <f t="shared" si="49"/>
        <v>0</v>
      </c>
      <c r="AB63" s="102">
        <f t="shared" si="9"/>
        <v>0</v>
      </c>
      <c r="AH63" s="100">
        <v>62</v>
      </c>
      <c r="AI63" s="131">
        <f t="shared" ca="1" si="34"/>
        <v>48052</v>
      </c>
      <c r="AJ63" s="102">
        <f t="shared" si="35"/>
        <v>0</v>
      </c>
      <c r="AK63" s="102">
        <f t="shared" si="36"/>
        <v>0</v>
      </c>
      <c r="AL63" s="102">
        <f t="shared" si="50"/>
        <v>0</v>
      </c>
      <c r="AM63" s="102">
        <f t="shared" si="10"/>
        <v>0</v>
      </c>
      <c r="AS63" s="530">
        <v>62</v>
      </c>
      <c r="AT63" s="531">
        <f t="shared" ca="1" si="37"/>
        <v>48052</v>
      </c>
      <c r="AU63" s="532">
        <f ca="1">IF(AU62=0,SUMIFS('Key Life Events'!$L$3:$L$28,'Key Life Events'!$H$3:$H$28,'Loan Amortization'!$AY$3,'Key Life Events'!$N$3:$N$28,'Loan Amortization'!AT63),AU62-AX62)</f>
        <v>0</v>
      </c>
      <c r="AV63" s="532">
        <f t="shared" ca="1" si="38"/>
        <v>0</v>
      </c>
      <c r="AW63" s="532">
        <f t="shared" ca="1" si="2"/>
        <v>0</v>
      </c>
      <c r="AX63" s="532">
        <f t="shared" ca="1" si="11"/>
        <v>0</v>
      </c>
      <c r="BC63" s="536">
        <f t="shared" ca="1" si="12"/>
        <v>2031</v>
      </c>
      <c r="BF63" s="530">
        <v>62</v>
      </c>
      <c r="BG63" s="531">
        <f t="shared" ca="1" si="39"/>
        <v>48052</v>
      </c>
      <c r="BH63" s="532">
        <f ca="1">IF(BH62=0,SUMIFS('Key Life Events'!$L$3:$L$28,'Key Life Events'!$H$3:$H$28,'Loan Amortization'!$BL$3,'Key Life Events'!$N$3:$N$28,'Loan Amortization'!BG63),BH62-BK62)</f>
        <v>0</v>
      </c>
      <c r="BI63" s="532">
        <f t="shared" ca="1" si="40"/>
        <v>0</v>
      </c>
      <c r="BJ63" s="532">
        <f t="shared" ca="1" si="41"/>
        <v>0</v>
      </c>
      <c r="BK63" s="532">
        <f t="shared" ca="1" si="13"/>
        <v>0</v>
      </c>
      <c r="BP63" s="536">
        <f t="shared" ca="1" si="14"/>
        <v>2031</v>
      </c>
      <c r="BQ63" s="535">
        <f ca="1"/>
        <v>0</v>
      </c>
      <c r="BS63" s="530">
        <v>62</v>
      </c>
      <c r="BT63" s="531">
        <f t="shared" ca="1" si="42"/>
        <v>48052</v>
      </c>
      <c r="BU63" s="532">
        <f ca="1">IF(BU62=0,SUMIFS('Key Life Events'!$L$3:$L$28,'Key Life Events'!$H$3:$H$28,'Loan Amortization'!$BY$3,'Key Life Events'!$N$3:$N$28,'Loan Amortization'!BT63),BU62-BX62)</f>
        <v>0</v>
      </c>
      <c r="BV63" s="532">
        <f t="shared" ca="1" si="48"/>
        <v>0</v>
      </c>
      <c r="BW63" s="532">
        <f t="shared" ca="1" si="43"/>
        <v>0</v>
      </c>
      <c r="BX63" s="532">
        <f t="shared" ca="1" si="15"/>
        <v>0</v>
      </c>
      <c r="CC63" s="536">
        <f t="shared" ca="1" si="16"/>
        <v>2031</v>
      </c>
      <c r="CD63" s="535">
        <f ca="1"/>
        <v>0</v>
      </c>
      <c r="CF63" s="530">
        <v>62</v>
      </c>
      <c r="CG63" s="531">
        <f t="shared" ca="1" si="44"/>
        <v>48052</v>
      </c>
      <c r="CH63" s="532">
        <f ca="1">IF(CH62=0,SUMIFS('Key Life Events'!$L$3:$L$28,'Key Life Events'!$H$3:$H$28,'Loan Amortization'!$CL$3,'Key Life Events'!$N$3:$N$28,'Loan Amortization'!CG63),CH62-CK62)</f>
        <v>0</v>
      </c>
      <c r="CI63" s="532">
        <f t="shared" ca="1" si="45"/>
        <v>0</v>
      </c>
      <c r="CJ63" s="532">
        <f t="shared" ca="1" si="46"/>
        <v>0</v>
      </c>
      <c r="CK63" s="532">
        <f t="shared" ca="1" si="17"/>
        <v>0</v>
      </c>
      <c r="CP63" s="536">
        <f t="shared" ca="1" si="18"/>
        <v>2031</v>
      </c>
      <c r="CQ63" s="535">
        <f ca="1"/>
        <v>0</v>
      </c>
      <c r="CS63" s="100">
        <f t="shared" si="19"/>
        <v>62</v>
      </c>
      <c r="CT63" s="102">
        <f t="shared" ca="1" si="20"/>
        <v>0</v>
      </c>
      <c r="CU63" s="102">
        <f t="shared" ca="1" si="21"/>
        <v>0</v>
      </c>
      <c r="CV63" s="511">
        <f t="shared" ca="1" si="22"/>
        <v>2031</v>
      </c>
      <c r="CW63" s="1">
        <f t="shared" si="51"/>
        <v>733</v>
      </c>
      <c r="CX63" s="99">
        <f t="shared" si="52"/>
        <v>0</v>
      </c>
    </row>
    <row r="64" spans="1:102" x14ac:dyDescent="0.3">
      <c r="A64" s="100">
        <v>63</v>
      </c>
      <c r="B64" s="131">
        <f t="shared" si="24"/>
        <v>1063</v>
      </c>
      <c r="C64" s="102">
        <f t="shared" si="25"/>
        <v>0</v>
      </c>
      <c r="D64" s="102">
        <f t="shared" si="26"/>
        <v>0</v>
      </c>
      <c r="E64" s="102">
        <f t="shared" si="6"/>
        <v>0</v>
      </c>
      <c r="F64" s="102">
        <f t="shared" si="27"/>
        <v>0</v>
      </c>
      <c r="L64" s="100">
        <v>63</v>
      </c>
      <c r="M64" s="131">
        <f t="shared" ca="1" si="28"/>
        <v>48083</v>
      </c>
      <c r="N64" s="102">
        <f t="shared" si="29"/>
        <v>0</v>
      </c>
      <c r="O64" s="102">
        <f t="shared" si="30"/>
        <v>0</v>
      </c>
      <c r="P64" s="102">
        <f t="shared" si="7"/>
        <v>0</v>
      </c>
      <c r="Q64" s="102">
        <f t="shared" si="8"/>
        <v>0</v>
      </c>
      <c r="W64" s="100">
        <v>63</v>
      </c>
      <c r="X64" s="131">
        <f t="shared" ca="1" si="31"/>
        <v>48083</v>
      </c>
      <c r="Y64" s="102">
        <f t="shared" si="32"/>
        <v>0</v>
      </c>
      <c r="Z64" s="102">
        <f t="shared" si="33"/>
        <v>0</v>
      </c>
      <c r="AA64" s="102">
        <f t="shared" si="49"/>
        <v>0</v>
      </c>
      <c r="AB64" s="102">
        <f t="shared" si="9"/>
        <v>0</v>
      </c>
      <c r="AH64" s="100">
        <v>63</v>
      </c>
      <c r="AI64" s="131">
        <f t="shared" ca="1" si="34"/>
        <v>48083</v>
      </c>
      <c r="AJ64" s="102">
        <f t="shared" si="35"/>
        <v>0</v>
      </c>
      <c r="AK64" s="102">
        <f t="shared" si="36"/>
        <v>0</v>
      </c>
      <c r="AL64" s="102">
        <f t="shared" si="50"/>
        <v>0</v>
      </c>
      <c r="AM64" s="102">
        <f t="shared" si="10"/>
        <v>0</v>
      </c>
      <c r="AS64" s="530">
        <v>63</v>
      </c>
      <c r="AT64" s="531">
        <f t="shared" ca="1" si="37"/>
        <v>48083</v>
      </c>
      <c r="AU64" s="532">
        <f ca="1">IF(AU63=0,SUMIFS('Key Life Events'!$L$3:$L$28,'Key Life Events'!$H$3:$H$28,'Loan Amortization'!$AY$3,'Key Life Events'!$N$3:$N$28,'Loan Amortization'!AT64),AU63-AX63)</f>
        <v>0</v>
      </c>
      <c r="AV64" s="532">
        <f t="shared" ca="1" si="38"/>
        <v>0</v>
      </c>
      <c r="AW64" s="532">
        <f t="shared" ca="1" si="2"/>
        <v>0</v>
      </c>
      <c r="AX64" s="532">
        <f t="shared" ca="1" si="11"/>
        <v>0</v>
      </c>
      <c r="BC64" s="536">
        <f t="shared" ca="1" si="12"/>
        <v>2031</v>
      </c>
      <c r="BF64" s="530">
        <v>63</v>
      </c>
      <c r="BG64" s="531">
        <f t="shared" ca="1" si="39"/>
        <v>48083</v>
      </c>
      <c r="BH64" s="532">
        <f ca="1">IF(BH63=0,SUMIFS('Key Life Events'!$L$3:$L$28,'Key Life Events'!$H$3:$H$28,'Loan Amortization'!$BL$3,'Key Life Events'!$N$3:$N$28,'Loan Amortization'!BG64),BH63-BK63)</f>
        <v>0</v>
      </c>
      <c r="BI64" s="532">
        <f t="shared" ca="1" si="40"/>
        <v>0</v>
      </c>
      <c r="BJ64" s="532">
        <f t="shared" ca="1" si="41"/>
        <v>0</v>
      </c>
      <c r="BK64" s="532">
        <f t="shared" ca="1" si="13"/>
        <v>0</v>
      </c>
      <c r="BP64" s="536">
        <f t="shared" ca="1" si="14"/>
        <v>2031</v>
      </c>
      <c r="BQ64" s="535">
        <f ca="1"/>
        <v>0</v>
      </c>
      <c r="BS64" s="530">
        <v>63</v>
      </c>
      <c r="BT64" s="531">
        <f t="shared" ca="1" si="42"/>
        <v>48083</v>
      </c>
      <c r="BU64" s="532">
        <f ca="1">IF(BU63=0,SUMIFS('Key Life Events'!$L$3:$L$28,'Key Life Events'!$H$3:$H$28,'Loan Amortization'!$BY$3,'Key Life Events'!$N$3:$N$28,'Loan Amortization'!BT64),BU63-BX63)</f>
        <v>0</v>
      </c>
      <c r="BV64" s="532">
        <f t="shared" ca="1" si="48"/>
        <v>0</v>
      </c>
      <c r="BW64" s="532">
        <f t="shared" ca="1" si="43"/>
        <v>0</v>
      </c>
      <c r="BX64" s="532">
        <f t="shared" ca="1" si="15"/>
        <v>0</v>
      </c>
      <c r="CC64" s="536">
        <f t="shared" ca="1" si="16"/>
        <v>2031</v>
      </c>
      <c r="CD64" s="535">
        <f ca="1"/>
        <v>0</v>
      </c>
      <c r="CF64" s="530">
        <v>63</v>
      </c>
      <c r="CG64" s="531">
        <f t="shared" ca="1" si="44"/>
        <v>48083</v>
      </c>
      <c r="CH64" s="532">
        <f ca="1">IF(CH63=0,SUMIFS('Key Life Events'!$L$3:$L$28,'Key Life Events'!$H$3:$H$28,'Loan Amortization'!$CL$3,'Key Life Events'!$N$3:$N$28,'Loan Amortization'!CG64),CH63-CK63)</f>
        <v>0</v>
      </c>
      <c r="CI64" s="532">
        <f t="shared" ca="1" si="45"/>
        <v>0</v>
      </c>
      <c r="CJ64" s="532">
        <f t="shared" ca="1" si="46"/>
        <v>0</v>
      </c>
      <c r="CK64" s="532">
        <f t="shared" ca="1" si="17"/>
        <v>0</v>
      </c>
      <c r="CP64" s="536">
        <f t="shared" ca="1" si="18"/>
        <v>2031</v>
      </c>
      <c r="CQ64" s="535">
        <f ca="1"/>
        <v>0</v>
      </c>
      <c r="CS64" s="100">
        <f t="shared" si="19"/>
        <v>63</v>
      </c>
      <c r="CT64" s="102">
        <f t="shared" ca="1" si="20"/>
        <v>0</v>
      </c>
      <c r="CU64" s="102">
        <f t="shared" ca="1" si="21"/>
        <v>0</v>
      </c>
      <c r="CV64" s="511">
        <f t="shared" ca="1" si="22"/>
        <v>2031</v>
      </c>
      <c r="CW64" s="1">
        <f t="shared" si="51"/>
        <v>745</v>
      </c>
      <c r="CX64" s="99">
        <f t="shared" si="52"/>
        <v>0</v>
      </c>
    </row>
    <row r="65" spans="1:102" x14ac:dyDescent="0.3">
      <c r="A65" s="100">
        <v>64</v>
      </c>
      <c r="B65" s="131">
        <f t="shared" si="24"/>
        <v>1093</v>
      </c>
      <c r="C65" s="102">
        <f t="shared" si="25"/>
        <v>0</v>
      </c>
      <c r="D65" s="102">
        <f t="shared" si="26"/>
        <v>0</v>
      </c>
      <c r="E65" s="102">
        <f t="shared" si="6"/>
        <v>0</v>
      </c>
      <c r="F65" s="102">
        <f t="shared" si="27"/>
        <v>0</v>
      </c>
      <c r="L65" s="100">
        <v>64</v>
      </c>
      <c r="M65" s="131">
        <f t="shared" ca="1" si="28"/>
        <v>48114</v>
      </c>
      <c r="N65" s="102">
        <f t="shared" si="29"/>
        <v>0</v>
      </c>
      <c r="O65" s="102">
        <f t="shared" si="30"/>
        <v>0</v>
      </c>
      <c r="P65" s="102">
        <f t="shared" si="7"/>
        <v>0</v>
      </c>
      <c r="Q65" s="102">
        <f t="shared" si="8"/>
        <v>0</v>
      </c>
      <c r="W65" s="100">
        <v>64</v>
      </c>
      <c r="X65" s="131">
        <f t="shared" ca="1" si="31"/>
        <v>48114</v>
      </c>
      <c r="Y65" s="102">
        <f t="shared" si="32"/>
        <v>0</v>
      </c>
      <c r="Z65" s="102">
        <f t="shared" si="33"/>
        <v>0</v>
      </c>
      <c r="AA65" s="102">
        <f t="shared" si="49"/>
        <v>0</v>
      </c>
      <c r="AB65" s="102">
        <f t="shared" si="9"/>
        <v>0</v>
      </c>
      <c r="AH65" s="100">
        <v>64</v>
      </c>
      <c r="AI65" s="131">
        <f t="shared" ca="1" si="34"/>
        <v>48114</v>
      </c>
      <c r="AJ65" s="102">
        <f t="shared" si="35"/>
        <v>0</v>
      </c>
      <c r="AK65" s="102">
        <f t="shared" si="36"/>
        <v>0</v>
      </c>
      <c r="AL65" s="102">
        <f t="shared" si="50"/>
        <v>0</v>
      </c>
      <c r="AM65" s="102">
        <f t="shared" si="10"/>
        <v>0</v>
      </c>
      <c r="AS65" s="530">
        <v>64</v>
      </c>
      <c r="AT65" s="531">
        <f t="shared" ca="1" si="37"/>
        <v>48114</v>
      </c>
      <c r="AU65" s="532">
        <f ca="1">IF(AU64=0,SUMIFS('Key Life Events'!$L$3:$L$28,'Key Life Events'!$H$3:$H$28,'Loan Amortization'!$AY$3,'Key Life Events'!$N$3:$N$28,'Loan Amortization'!AT65),AU64-AX64)</f>
        <v>0</v>
      </c>
      <c r="AV65" s="532">
        <f t="shared" ca="1" si="38"/>
        <v>0</v>
      </c>
      <c r="AW65" s="532">
        <f t="shared" ca="1" si="2"/>
        <v>0</v>
      </c>
      <c r="AX65" s="532">
        <f t="shared" ca="1" si="11"/>
        <v>0</v>
      </c>
      <c r="BC65" s="536">
        <f t="shared" ca="1" si="12"/>
        <v>2031</v>
      </c>
      <c r="BF65" s="530">
        <v>64</v>
      </c>
      <c r="BG65" s="531">
        <f t="shared" ca="1" si="39"/>
        <v>48114</v>
      </c>
      <c r="BH65" s="532">
        <f ca="1">IF(BH64=0,SUMIFS('Key Life Events'!$L$3:$L$28,'Key Life Events'!$H$3:$H$28,'Loan Amortization'!$BL$3,'Key Life Events'!$N$3:$N$28,'Loan Amortization'!BG65),BH64-BK64)</f>
        <v>0</v>
      </c>
      <c r="BI65" s="532">
        <f t="shared" ca="1" si="40"/>
        <v>0</v>
      </c>
      <c r="BJ65" s="532">
        <f t="shared" ca="1" si="41"/>
        <v>0</v>
      </c>
      <c r="BK65" s="532">
        <f t="shared" ca="1" si="13"/>
        <v>0</v>
      </c>
      <c r="BP65" s="536">
        <f t="shared" ca="1" si="14"/>
        <v>2031</v>
      </c>
      <c r="BQ65" s="535">
        <f ca="1"/>
        <v>0</v>
      </c>
      <c r="BS65" s="530">
        <v>64</v>
      </c>
      <c r="BT65" s="531">
        <f t="shared" ca="1" si="42"/>
        <v>48114</v>
      </c>
      <c r="BU65" s="532">
        <f ca="1">IF(BU64=0,SUMIFS('Key Life Events'!$L$3:$L$28,'Key Life Events'!$H$3:$H$28,'Loan Amortization'!$BY$3,'Key Life Events'!$N$3:$N$28,'Loan Amortization'!BT65),BU64-BX64)</f>
        <v>0</v>
      </c>
      <c r="BV65" s="532">
        <f t="shared" ca="1" si="48"/>
        <v>0</v>
      </c>
      <c r="BW65" s="532">
        <f t="shared" ca="1" si="43"/>
        <v>0</v>
      </c>
      <c r="BX65" s="532">
        <f t="shared" ca="1" si="15"/>
        <v>0</v>
      </c>
      <c r="CC65" s="536">
        <f t="shared" ca="1" si="16"/>
        <v>2031</v>
      </c>
      <c r="CD65" s="535">
        <f ca="1"/>
        <v>0</v>
      </c>
      <c r="CF65" s="530">
        <v>64</v>
      </c>
      <c r="CG65" s="531">
        <f t="shared" ca="1" si="44"/>
        <v>48114</v>
      </c>
      <c r="CH65" s="532">
        <f ca="1">IF(CH64=0,SUMIFS('Key Life Events'!$L$3:$L$28,'Key Life Events'!$H$3:$H$28,'Loan Amortization'!$CL$3,'Key Life Events'!$N$3:$N$28,'Loan Amortization'!CG65),CH64-CK64)</f>
        <v>0</v>
      </c>
      <c r="CI65" s="532">
        <f t="shared" ca="1" si="45"/>
        <v>0</v>
      </c>
      <c r="CJ65" s="532">
        <f t="shared" ca="1" si="46"/>
        <v>0</v>
      </c>
      <c r="CK65" s="532">
        <f t="shared" ca="1" si="17"/>
        <v>0</v>
      </c>
      <c r="CP65" s="536">
        <f t="shared" ca="1" si="18"/>
        <v>2031</v>
      </c>
      <c r="CQ65" s="535">
        <f ca="1"/>
        <v>0</v>
      </c>
      <c r="CS65" s="100">
        <f t="shared" si="19"/>
        <v>64</v>
      </c>
      <c r="CT65" s="102">
        <f t="shared" ca="1" si="20"/>
        <v>0</v>
      </c>
      <c r="CU65" s="102">
        <f t="shared" ca="1" si="21"/>
        <v>0</v>
      </c>
      <c r="CV65" s="511">
        <f t="shared" ca="1" si="22"/>
        <v>2031</v>
      </c>
      <c r="CW65" s="1">
        <f t="shared" si="51"/>
        <v>757</v>
      </c>
      <c r="CX65" s="99">
        <f t="shared" si="52"/>
        <v>0</v>
      </c>
    </row>
    <row r="66" spans="1:102" x14ac:dyDescent="0.3">
      <c r="A66" s="100">
        <v>65</v>
      </c>
      <c r="B66" s="131">
        <f t="shared" si="24"/>
        <v>1124</v>
      </c>
      <c r="C66" s="102">
        <f t="shared" si="25"/>
        <v>0</v>
      </c>
      <c r="D66" s="102">
        <f t="shared" si="26"/>
        <v>0</v>
      </c>
      <c r="E66" s="102">
        <f t="shared" si="6"/>
        <v>0</v>
      </c>
      <c r="F66" s="102">
        <f t="shared" si="27"/>
        <v>0</v>
      </c>
      <c r="L66" s="100">
        <v>65</v>
      </c>
      <c r="M66" s="131">
        <f t="shared" ca="1" si="28"/>
        <v>48144</v>
      </c>
      <c r="N66" s="102">
        <f t="shared" si="29"/>
        <v>0</v>
      </c>
      <c r="O66" s="102">
        <f t="shared" si="30"/>
        <v>0</v>
      </c>
      <c r="P66" s="102">
        <f t="shared" si="7"/>
        <v>0</v>
      </c>
      <c r="Q66" s="102">
        <f t="shared" si="8"/>
        <v>0</v>
      </c>
      <c r="W66" s="100">
        <v>65</v>
      </c>
      <c r="X66" s="131">
        <f t="shared" ca="1" si="31"/>
        <v>48144</v>
      </c>
      <c r="Y66" s="102">
        <f t="shared" si="32"/>
        <v>0</v>
      </c>
      <c r="Z66" s="102">
        <f t="shared" si="33"/>
        <v>0</v>
      </c>
      <c r="AA66" s="102">
        <f t="shared" si="49"/>
        <v>0</v>
      </c>
      <c r="AB66" s="102">
        <f t="shared" si="9"/>
        <v>0</v>
      </c>
      <c r="AH66" s="100">
        <v>65</v>
      </c>
      <c r="AI66" s="131">
        <f t="shared" ca="1" si="34"/>
        <v>48144</v>
      </c>
      <c r="AJ66" s="102">
        <f t="shared" si="35"/>
        <v>0</v>
      </c>
      <c r="AK66" s="102">
        <f t="shared" si="36"/>
        <v>0</v>
      </c>
      <c r="AL66" s="102">
        <f t="shared" si="50"/>
        <v>0</v>
      </c>
      <c r="AM66" s="102">
        <f t="shared" si="10"/>
        <v>0</v>
      </c>
      <c r="AS66" s="530">
        <v>65</v>
      </c>
      <c r="AT66" s="531">
        <f t="shared" ca="1" si="37"/>
        <v>48144</v>
      </c>
      <c r="AU66" s="532">
        <f ca="1">IF(AU65=0,SUMIFS('Key Life Events'!$L$3:$L$28,'Key Life Events'!$H$3:$H$28,'Loan Amortization'!$AY$3,'Key Life Events'!$N$3:$N$28,'Loan Amortization'!AT66),AU65-AX65)</f>
        <v>0</v>
      </c>
      <c r="AV66" s="532">
        <f t="shared" ca="1" si="38"/>
        <v>0</v>
      </c>
      <c r="AW66" s="532">
        <f t="shared" ref="AW66:AW129" ca="1" si="53">(AU66*AZ$1)/12</f>
        <v>0</v>
      </c>
      <c r="AX66" s="532">
        <f t="shared" ca="1" si="11"/>
        <v>0</v>
      </c>
      <c r="BC66" s="536">
        <f t="shared" ca="1" si="12"/>
        <v>2031</v>
      </c>
      <c r="BF66" s="530">
        <v>65</v>
      </c>
      <c r="BG66" s="531">
        <f t="shared" ca="1" si="39"/>
        <v>48144</v>
      </c>
      <c r="BH66" s="532">
        <f ca="1">IF(BH65=0,SUMIFS('Key Life Events'!$L$3:$L$28,'Key Life Events'!$H$3:$H$28,'Loan Amortization'!$BL$3,'Key Life Events'!$N$3:$N$28,'Loan Amortization'!BG66),BH65-BK65)</f>
        <v>0</v>
      </c>
      <c r="BI66" s="532">
        <f t="shared" ca="1" si="40"/>
        <v>0</v>
      </c>
      <c r="BJ66" s="532">
        <f t="shared" ca="1" si="41"/>
        <v>0</v>
      </c>
      <c r="BK66" s="532">
        <f t="shared" ca="1" si="13"/>
        <v>0</v>
      </c>
      <c r="BP66" s="536">
        <f t="shared" ca="1" si="14"/>
        <v>2031</v>
      </c>
      <c r="BQ66" s="535">
        <f ca="1"/>
        <v>0</v>
      </c>
      <c r="BS66" s="530">
        <v>65</v>
      </c>
      <c r="BT66" s="531">
        <f t="shared" ca="1" si="42"/>
        <v>48144</v>
      </c>
      <c r="BU66" s="532">
        <f ca="1">IF(BU65=0,SUMIFS('Key Life Events'!$L$3:$L$28,'Key Life Events'!$H$3:$H$28,'Loan Amortization'!$BY$3,'Key Life Events'!$N$3:$N$28,'Loan Amortization'!BT66),BU65-BX65)</f>
        <v>0</v>
      </c>
      <c r="BV66" s="532">
        <f t="shared" ca="1" si="48"/>
        <v>0</v>
      </c>
      <c r="BW66" s="532">
        <f t="shared" ca="1" si="43"/>
        <v>0</v>
      </c>
      <c r="BX66" s="532">
        <f t="shared" ca="1" si="15"/>
        <v>0</v>
      </c>
      <c r="CC66" s="536">
        <f t="shared" ca="1" si="16"/>
        <v>2031</v>
      </c>
      <c r="CD66" s="535">
        <f ca="1"/>
        <v>0</v>
      </c>
      <c r="CF66" s="530">
        <v>65</v>
      </c>
      <c r="CG66" s="531">
        <f t="shared" ca="1" si="44"/>
        <v>48144</v>
      </c>
      <c r="CH66" s="532">
        <f ca="1">IF(CH65=0,SUMIFS('Key Life Events'!$L$3:$L$28,'Key Life Events'!$H$3:$H$28,'Loan Amortization'!$CL$3,'Key Life Events'!$N$3:$N$28,'Loan Amortization'!CG66),CH65-CK65)</f>
        <v>0</v>
      </c>
      <c r="CI66" s="532">
        <f t="shared" ca="1" si="45"/>
        <v>0</v>
      </c>
      <c r="CJ66" s="532">
        <f t="shared" ca="1" si="46"/>
        <v>0</v>
      </c>
      <c r="CK66" s="532">
        <f t="shared" ca="1" si="17"/>
        <v>0</v>
      </c>
      <c r="CP66" s="536">
        <f t="shared" ca="1" si="18"/>
        <v>2031</v>
      </c>
      <c r="CQ66" s="535">
        <f ca="1"/>
        <v>0</v>
      </c>
      <c r="CS66" s="100">
        <f t="shared" si="19"/>
        <v>65</v>
      </c>
      <c r="CT66" s="102">
        <f t="shared" ca="1" si="20"/>
        <v>0</v>
      </c>
      <c r="CU66" s="102">
        <f t="shared" ca="1" si="21"/>
        <v>0</v>
      </c>
      <c r="CV66" s="511">
        <f t="shared" ca="1" si="22"/>
        <v>2031</v>
      </c>
      <c r="CW66" s="1">
        <f t="shared" si="51"/>
        <v>769</v>
      </c>
      <c r="CX66" s="99">
        <f t="shared" si="52"/>
        <v>0</v>
      </c>
    </row>
    <row r="67" spans="1:102" x14ac:dyDescent="0.3">
      <c r="A67" s="100">
        <v>66</v>
      </c>
      <c r="B67" s="131">
        <f t="shared" si="24"/>
        <v>1155</v>
      </c>
      <c r="C67" s="102">
        <f t="shared" si="25"/>
        <v>0</v>
      </c>
      <c r="D67" s="102">
        <f t="shared" si="26"/>
        <v>0</v>
      </c>
      <c r="E67" s="102">
        <f t="shared" ref="E67:E130" si="54">(C67*H$1)/12</f>
        <v>0</v>
      </c>
      <c r="F67" s="102">
        <f t="shared" ref="F67" si="55">D67-E67</f>
        <v>0</v>
      </c>
      <c r="L67" s="100">
        <v>66</v>
      </c>
      <c r="M67" s="131">
        <f t="shared" ca="1" si="28"/>
        <v>48175</v>
      </c>
      <c r="N67" s="102">
        <f t="shared" si="29"/>
        <v>0</v>
      </c>
      <c r="O67" s="102">
        <f t="shared" si="30"/>
        <v>0</v>
      </c>
      <c r="P67" s="102">
        <f t="shared" ref="P67:P130" si="56">(N67*S$1)/12</f>
        <v>0</v>
      </c>
      <c r="Q67" s="102">
        <f t="shared" ref="Q67:Q130" si="57">O67-P67</f>
        <v>0</v>
      </c>
      <c r="W67" s="100">
        <v>66</v>
      </c>
      <c r="X67" s="131">
        <f t="shared" ca="1" si="31"/>
        <v>48175</v>
      </c>
      <c r="Y67" s="102">
        <f t="shared" si="32"/>
        <v>0</v>
      </c>
      <c r="Z67" s="102">
        <f t="shared" si="33"/>
        <v>0</v>
      </c>
      <c r="AA67" s="102">
        <f t="shared" ref="AA67:AA130" si="58">(Y67*AD$1)/12</f>
        <v>0</v>
      </c>
      <c r="AB67" s="102">
        <f t="shared" ref="AB67:AB130" si="59">Z67-AA67</f>
        <v>0</v>
      </c>
      <c r="AH67" s="100">
        <v>66</v>
      </c>
      <c r="AI67" s="131">
        <f t="shared" ca="1" si="34"/>
        <v>48175</v>
      </c>
      <c r="AJ67" s="102">
        <f t="shared" si="35"/>
        <v>0</v>
      </c>
      <c r="AK67" s="102">
        <f t="shared" si="36"/>
        <v>0</v>
      </c>
      <c r="AL67" s="102">
        <f t="shared" si="50"/>
        <v>0</v>
      </c>
      <c r="AM67" s="102">
        <f t="shared" ref="AM67:AM130" si="60">AK67-AL67</f>
        <v>0</v>
      </c>
      <c r="AS67" s="530">
        <v>66</v>
      </c>
      <c r="AT67" s="531">
        <f t="shared" ca="1" si="37"/>
        <v>48175</v>
      </c>
      <c r="AU67" s="532">
        <f ca="1">IF(AU66=0,SUMIFS('Key Life Events'!$L$3:$L$28,'Key Life Events'!$H$3:$H$28,'Loan Amortization'!$AY$3,'Key Life Events'!$N$3:$N$28,'Loan Amortization'!AT67),AU66-AX66)</f>
        <v>0</v>
      </c>
      <c r="AV67" s="532">
        <f t="shared" ca="1" si="38"/>
        <v>0</v>
      </c>
      <c r="AW67" s="532">
        <f t="shared" ca="1" si="53"/>
        <v>0</v>
      </c>
      <c r="AX67" s="532">
        <f t="shared" ref="AX67:AX130" ca="1" si="61">AV67-AW67</f>
        <v>0</v>
      </c>
      <c r="BC67" s="536">
        <f t="shared" ref="BC67:BC130" ca="1" si="62">YEAR(AT67)</f>
        <v>2031</v>
      </c>
      <c r="BF67" s="530">
        <v>66</v>
      </c>
      <c r="BG67" s="531">
        <f t="shared" ca="1" si="39"/>
        <v>48175</v>
      </c>
      <c r="BH67" s="532">
        <f ca="1">IF(BH66=0,SUMIFS('Key Life Events'!$L$3:$L$28,'Key Life Events'!$H$3:$H$28,'Loan Amortization'!$BL$3,'Key Life Events'!$N$3:$N$28,'Loan Amortization'!BG67),BH66-BK66)</f>
        <v>0</v>
      </c>
      <c r="BI67" s="532">
        <f t="shared" ca="1" si="40"/>
        <v>0</v>
      </c>
      <c r="BJ67" s="532">
        <f t="shared" ca="1" si="41"/>
        <v>0</v>
      </c>
      <c r="BK67" s="532">
        <f t="shared" ref="BK67:BK130" ca="1" si="63">BI67-BJ67</f>
        <v>0</v>
      </c>
      <c r="BP67" s="536">
        <f t="shared" ref="BP67:BP130" ca="1" si="64">YEAR(BG67)</f>
        <v>2031</v>
      </c>
      <c r="BQ67" s="535">
        <f ca="1"/>
        <v>0</v>
      </c>
      <c r="BS67" s="530">
        <v>66</v>
      </c>
      <c r="BT67" s="531">
        <f t="shared" ca="1" si="42"/>
        <v>48175</v>
      </c>
      <c r="BU67" s="532">
        <f ca="1">IF(BU66=0,SUMIFS('Key Life Events'!$L$3:$L$28,'Key Life Events'!$H$3:$H$28,'Loan Amortization'!$BY$3,'Key Life Events'!$N$3:$N$28,'Loan Amortization'!BT67),BU66-BX66)</f>
        <v>0</v>
      </c>
      <c r="BV67" s="532">
        <f t="shared" ca="1" si="48"/>
        <v>0</v>
      </c>
      <c r="BW67" s="532">
        <f t="shared" ca="1" si="43"/>
        <v>0</v>
      </c>
      <c r="BX67" s="532">
        <f t="shared" ref="BX67:BX130" ca="1" si="65">BV67-BW67</f>
        <v>0</v>
      </c>
      <c r="CC67" s="536">
        <f t="shared" ref="CC67:CC130" ca="1" si="66">YEAR(BT67)</f>
        <v>2031</v>
      </c>
      <c r="CD67" s="535">
        <f ca="1"/>
        <v>0</v>
      </c>
      <c r="CF67" s="530">
        <v>66</v>
      </c>
      <c r="CG67" s="531">
        <f t="shared" ca="1" si="44"/>
        <v>48175</v>
      </c>
      <c r="CH67" s="532">
        <f ca="1">IF(CH66=0,SUMIFS('Key Life Events'!$L$3:$L$28,'Key Life Events'!$H$3:$H$28,'Loan Amortization'!$CL$3,'Key Life Events'!$N$3:$N$28,'Loan Amortization'!CG67),CH66-CK66)</f>
        <v>0</v>
      </c>
      <c r="CI67" s="532">
        <f t="shared" ca="1" si="45"/>
        <v>0</v>
      </c>
      <c r="CJ67" s="532">
        <f t="shared" ca="1" si="46"/>
        <v>0</v>
      </c>
      <c r="CK67" s="532">
        <f t="shared" ref="CK67:CK130" ca="1" si="67">CI67-CJ67</f>
        <v>0</v>
      </c>
      <c r="CP67" s="536">
        <f t="shared" ref="CP67:CP130" ca="1" si="68">YEAR(CG67)</f>
        <v>2031</v>
      </c>
      <c r="CQ67" s="535">
        <f ca="1"/>
        <v>0</v>
      </c>
      <c r="CS67" s="100">
        <f t="shared" ref="CS67:CS130" si="69">AH67</f>
        <v>66</v>
      </c>
      <c r="CT67" s="102">
        <f t="shared" ref="CT67:CT130" ca="1" si="70">C67+Y67+AJ67+N67+AU67+BH67+BU67+CH67</f>
        <v>0</v>
      </c>
      <c r="CU67" s="102">
        <f t="shared" ref="CU67:CU130" ca="1" si="71">D67+Z67+AK67+O67+AV67+BI67+BV67+CI67</f>
        <v>0</v>
      </c>
      <c r="CV67" s="511">
        <f t="shared" ref="CV67:CV130" ca="1" si="72">MAX(TEXT(B67,"yyyy"),TEXT(M67,"yyyy"),TEXT(X67,"yyyy"),TEXT(AT67,"yyyy"),TEXT(AI67,"yyyy"),TEXT(BG67,"yyyy"),TEXT(BT67,"yyyy"),TEXT(CG67,"yyyy"))</f>
        <v>2031</v>
      </c>
      <c r="CW67" s="1">
        <f t="shared" si="51"/>
        <v>781</v>
      </c>
      <c r="CX67" s="99">
        <f t="shared" si="52"/>
        <v>0</v>
      </c>
    </row>
    <row r="68" spans="1:102" x14ac:dyDescent="0.3">
      <c r="A68" s="100">
        <v>67</v>
      </c>
      <c r="B68" s="131">
        <f t="shared" ref="B68:B131" si="73">IF(C67&lt;D67,,EDATE(B67,1))</f>
        <v>1183</v>
      </c>
      <c r="C68" s="102">
        <f t="shared" ref="C68:C131" si="74">IF(C67&lt;D67,0,C67-F67)</f>
        <v>0</v>
      </c>
      <c r="D68" s="102">
        <f t="shared" ref="D68:D131" si="75">IF(C68&lt;=D67,C68+E68,D$2)</f>
        <v>0</v>
      </c>
      <c r="E68" s="102">
        <f t="shared" si="54"/>
        <v>0</v>
      </c>
      <c r="F68" s="102">
        <f t="shared" ref="F68:F131" si="76">D68-E68</f>
        <v>0</v>
      </c>
      <c r="L68" s="100">
        <v>67</v>
      </c>
      <c r="M68" s="131">
        <f t="shared" ref="M68:M131" ca="1" si="77">IF(N67&lt;O67,,EDATE(M67,1))</f>
        <v>48205</v>
      </c>
      <c r="N68" s="102">
        <f t="shared" ref="N68:N131" si="78">IF(N67&lt;O67,0,N67-Q67)</f>
        <v>0</v>
      </c>
      <c r="O68" s="102">
        <f t="shared" ref="O68:O131" si="79">IF(N68&lt;=O67,N68+P68,O$2)</f>
        <v>0</v>
      </c>
      <c r="P68" s="102">
        <f t="shared" si="56"/>
        <v>0</v>
      </c>
      <c r="Q68" s="102">
        <f t="shared" si="57"/>
        <v>0</v>
      </c>
      <c r="W68" s="100">
        <v>67</v>
      </c>
      <c r="X68" s="131">
        <f t="shared" ref="X68:X131" ca="1" si="80">IF(Y67&lt;Z67,,EDATE(X67,1))</f>
        <v>48205</v>
      </c>
      <c r="Y68" s="102">
        <f t="shared" ref="Y68:Y131" si="81">IF(Y67&lt;Z67,0,Y67-AB67)</f>
        <v>0</v>
      </c>
      <c r="Z68" s="102">
        <f t="shared" ref="Z68:Z131" si="82">IF(Y68&lt;=Z67,Y68+AA68,Z$2)</f>
        <v>0</v>
      </c>
      <c r="AA68" s="102">
        <f t="shared" si="58"/>
        <v>0</v>
      </c>
      <c r="AB68" s="102">
        <f t="shared" si="59"/>
        <v>0</v>
      </c>
      <c r="AH68" s="100">
        <v>67</v>
      </c>
      <c r="AI68" s="131">
        <f t="shared" ref="AI68:AI131" ca="1" si="83">IF(AJ67&lt;AK67,,EDATE(AI67,1))</f>
        <v>48205</v>
      </c>
      <c r="AJ68" s="102">
        <f t="shared" ref="AJ68:AJ131" si="84">IF(AJ67&lt;AK67,0,AJ67-AM67)</f>
        <v>0</v>
      </c>
      <c r="AK68" s="102">
        <f t="shared" ref="AK68:AK131" si="85">IF(AJ68&lt;=AK67,AJ68+AL68,AK$2)</f>
        <v>0</v>
      </c>
      <c r="AL68" s="102">
        <f t="shared" si="50"/>
        <v>0</v>
      </c>
      <c r="AM68" s="102">
        <f t="shared" si="60"/>
        <v>0</v>
      </c>
      <c r="AS68" s="530">
        <v>67</v>
      </c>
      <c r="AT68" s="531">
        <f t="shared" ref="AT68:AT131" ca="1" si="86">IF(AU67&lt;AV67,,EDATE(AT67,1))</f>
        <v>48205</v>
      </c>
      <c r="AU68" s="532">
        <f ca="1">IF(AU67=0,SUMIFS('Key Life Events'!$L$3:$L$28,'Key Life Events'!$H$3:$H$28,'Loan Amortization'!$AY$3,'Key Life Events'!$N$3:$N$28,'Loan Amortization'!AT68),AU67-AX67)</f>
        <v>0</v>
      </c>
      <c r="AV68" s="532">
        <f t="shared" ref="AV68:AV131" ca="1" si="87">IF(AND(AU67=0,AU68&gt;0),PMT($AZ$1/12,$BB$1*12,-AU68,0,0),IF(AU68&lt;=AV67,AU68+AW68,AV67))</f>
        <v>0</v>
      </c>
      <c r="AW68" s="532">
        <f t="shared" ca="1" si="53"/>
        <v>0</v>
      </c>
      <c r="AX68" s="532">
        <f t="shared" ca="1" si="61"/>
        <v>0</v>
      </c>
      <c r="BC68" s="536">
        <f t="shared" ca="1" si="62"/>
        <v>2031</v>
      </c>
      <c r="BF68" s="530">
        <v>67</v>
      </c>
      <c r="BG68" s="531">
        <f t="shared" ref="BG68:BG131" ca="1" si="88">IF(BH67&lt;BI67,,EDATE(BG67,1))</f>
        <v>48205</v>
      </c>
      <c r="BH68" s="532">
        <f ca="1">IF(BH67=0,SUMIFS('Key Life Events'!$L$3:$L$28,'Key Life Events'!$H$3:$H$28,'Loan Amortization'!$BL$3,'Key Life Events'!$N$3:$N$28,'Loan Amortization'!BG68),BH67-BK67)</f>
        <v>0</v>
      </c>
      <c r="BI68" s="532">
        <f t="shared" ref="BI68:BI131" ca="1" si="89">IF(AND(BH67=0,BH68&gt;0),PMT(BM$1/12,BO$1*12,-BH68,0,0),IF(BH68&lt;=BI67,BH68+BJ68,BI67))</f>
        <v>0</v>
      </c>
      <c r="BJ68" s="532">
        <f t="shared" ref="BJ68:BJ131" ca="1" si="90">(BH68*BM$1)/12</f>
        <v>0</v>
      </c>
      <c r="BK68" s="532">
        <f t="shared" ca="1" si="63"/>
        <v>0</v>
      </c>
      <c r="BP68" s="536">
        <f t="shared" ca="1" si="64"/>
        <v>2031</v>
      </c>
      <c r="BQ68" s="535">
        <f ca="1"/>
        <v>0</v>
      </c>
      <c r="BS68" s="530">
        <v>67</v>
      </c>
      <c r="BT68" s="531">
        <f t="shared" ref="BT68:BT131" ca="1" si="91">IF(BU67&lt;BV67,,EDATE(BT67,1))</f>
        <v>48205</v>
      </c>
      <c r="BU68" s="532">
        <f ca="1">IF(BU67=0,SUMIFS('Key Life Events'!$L$3:$L$28,'Key Life Events'!$H$3:$H$28,'Loan Amortization'!$BY$3,'Key Life Events'!$N$3:$N$28,'Loan Amortization'!BT68),BU67-BX67)</f>
        <v>0</v>
      </c>
      <c r="BV68" s="532">
        <f t="shared" ca="1" si="48"/>
        <v>0</v>
      </c>
      <c r="BW68" s="532">
        <f t="shared" ref="BW68:BW131" ca="1" si="92">(BU68*BZ$1)/12</f>
        <v>0</v>
      </c>
      <c r="BX68" s="532">
        <f t="shared" ca="1" si="65"/>
        <v>0</v>
      </c>
      <c r="CC68" s="536">
        <f t="shared" ca="1" si="66"/>
        <v>2031</v>
      </c>
      <c r="CD68" s="535">
        <f ca="1"/>
        <v>0</v>
      </c>
      <c r="CF68" s="530">
        <v>67</v>
      </c>
      <c r="CG68" s="531">
        <f t="shared" ref="CG68:CG131" ca="1" si="93">IF(CH67&lt;CI67,,EDATE(CG67,1))</f>
        <v>48205</v>
      </c>
      <c r="CH68" s="532">
        <f ca="1">IF(CH67=0,SUMIFS('Key Life Events'!$L$3:$L$28,'Key Life Events'!$H$3:$H$28,'Loan Amortization'!$CL$3,'Key Life Events'!$N$3:$N$28,'Loan Amortization'!CG68),CH67-CK67)</f>
        <v>0</v>
      </c>
      <c r="CI68" s="532">
        <f t="shared" ref="CI68:CI131" ca="1" si="94">IF(AND(CH67=0,CH68&gt;0),PMT(CM$1/12,CO$1*12,-CH68,0,0),IF(CH68&lt;=CI67,CH68+CJ68,CI67))</f>
        <v>0</v>
      </c>
      <c r="CJ68" s="532">
        <f t="shared" ref="CJ68:CJ131" ca="1" si="95">(CH68*CM$1)/12</f>
        <v>0</v>
      </c>
      <c r="CK68" s="532">
        <f t="shared" ca="1" si="67"/>
        <v>0</v>
      </c>
      <c r="CP68" s="536">
        <f t="shared" ca="1" si="68"/>
        <v>2031</v>
      </c>
      <c r="CQ68" s="535">
        <f ca="1"/>
        <v>0</v>
      </c>
      <c r="CS68" s="100">
        <f t="shared" si="69"/>
        <v>67</v>
      </c>
      <c r="CT68" s="102">
        <f t="shared" ca="1" si="70"/>
        <v>0</v>
      </c>
      <c r="CU68" s="102">
        <f t="shared" ca="1" si="71"/>
        <v>0</v>
      </c>
      <c r="CV68" s="511">
        <f t="shared" ca="1" si="72"/>
        <v>2031</v>
      </c>
      <c r="CW68" s="1">
        <f t="shared" si="51"/>
        <v>793</v>
      </c>
      <c r="CX68" s="99">
        <f t="shared" si="52"/>
        <v>0</v>
      </c>
    </row>
    <row r="69" spans="1:102" x14ac:dyDescent="0.3">
      <c r="A69" s="100">
        <v>68</v>
      </c>
      <c r="B69" s="131">
        <f t="shared" si="73"/>
        <v>1214</v>
      </c>
      <c r="C69" s="102">
        <f t="shared" si="74"/>
        <v>0</v>
      </c>
      <c r="D69" s="102">
        <f t="shared" si="75"/>
        <v>0</v>
      </c>
      <c r="E69" s="102">
        <f t="shared" si="54"/>
        <v>0</v>
      </c>
      <c r="F69" s="102">
        <f t="shared" si="76"/>
        <v>0</v>
      </c>
      <c r="L69" s="100">
        <v>68</v>
      </c>
      <c r="M69" s="131">
        <f t="shared" ca="1" si="77"/>
        <v>48236</v>
      </c>
      <c r="N69" s="102">
        <f t="shared" si="78"/>
        <v>0</v>
      </c>
      <c r="O69" s="102">
        <f t="shared" si="79"/>
        <v>0</v>
      </c>
      <c r="P69" s="102">
        <f t="shared" si="56"/>
        <v>0</v>
      </c>
      <c r="Q69" s="102">
        <f t="shared" si="57"/>
        <v>0</v>
      </c>
      <c r="W69" s="100">
        <v>68</v>
      </c>
      <c r="X69" s="131">
        <f t="shared" ca="1" si="80"/>
        <v>48236</v>
      </c>
      <c r="Y69" s="102">
        <f t="shared" si="81"/>
        <v>0</v>
      </c>
      <c r="Z69" s="102">
        <f t="shared" si="82"/>
        <v>0</v>
      </c>
      <c r="AA69" s="102">
        <f t="shared" si="58"/>
        <v>0</v>
      </c>
      <c r="AB69" s="102">
        <f t="shared" si="59"/>
        <v>0</v>
      </c>
      <c r="AH69" s="100">
        <v>68</v>
      </c>
      <c r="AI69" s="131">
        <f t="shared" ca="1" si="83"/>
        <v>48236</v>
      </c>
      <c r="AJ69" s="102">
        <f t="shared" si="84"/>
        <v>0</v>
      </c>
      <c r="AK69" s="102">
        <f t="shared" si="85"/>
        <v>0</v>
      </c>
      <c r="AL69" s="102">
        <f t="shared" si="50"/>
        <v>0</v>
      </c>
      <c r="AM69" s="102">
        <f t="shared" si="60"/>
        <v>0</v>
      </c>
      <c r="AS69" s="530">
        <v>68</v>
      </c>
      <c r="AT69" s="531">
        <f t="shared" ca="1" si="86"/>
        <v>48236</v>
      </c>
      <c r="AU69" s="532">
        <f ca="1">IF(AU68=0,SUMIFS('Key Life Events'!$L$3:$L$28,'Key Life Events'!$H$3:$H$28,'Loan Amortization'!$AY$3,'Key Life Events'!$N$3:$N$28,'Loan Amortization'!AT69),AU68-AX68)</f>
        <v>0</v>
      </c>
      <c r="AV69" s="532">
        <f t="shared" ca="1" si="87"/>
        <v>0</v>
      </c>
      <c r="AW69" s="532">
        <f t="shared" ca="1" si="53"/>
        <v>0</v>
      </c>
      <c r="AX69" s="532">
        <f t="shared" ca="1" si="61"/>
        <v>0</v>
      </c>
      <c r="BC69" s="536">
        <f t="shared" ca="1" si="62"/>
        <v>2032</v>
      </c>
      <c r="BF69" s="530">
        <v>68</v>
      </c>
      <c r="BG69" s="531">
        <f t="shared" ca="1" si="88"/>
        <v>48236</v>
      </c>
      <c r="BH69" s="532">
        <f ca="1">IF(BH68=0,SUMIFS('Key Life Events'!$L$3:$L$28,'Key Life Events'!$H$3:$H$28,'Loan Amortization'!$BL$3,'Key Life Events'!$N$3:$N$28,'Loan Amortization'!BG69),BH68-BK68)</f>
        <v>0</v>
      </c>
      <c r="BI69" s="532">
        <f t="shared" ca="1" si="89"/>
        <v>0</v>
      </c>
      <c r="BJ69" s="532">
        <f t="shared" ca="1" si="90"/>
        <v>0</v>
      </c>
      <c r="BK69" s="532">
        <f t="shared" ca="1" si="63"/>
        <v>0</v>
      </c>
      <c r="BP69" s="536">
        <f t="shared" ca="1" si="64"/>
        <v>2032</v>
      </c>
      <c r="BQ69" s="535">
        <f ca="1"/>
        <v>0</v>
      </c>
      <c r="BS69" s="530">
        <v>68</v>
      </c>
      <c r="BT69" s="531">
        <f t="shared" ca="1" si="91"/>
        <v>48236</v>
      </c>
      <c r="BU69" s="532">
        <f ca="1">IF(BU68=0,SUMIFS('Key Life Events'!$L$3:$L$28,'Key Life Events'!$H$3:$H$28,'Loan Amortization'!$BY$3,'Key Life Events'!$N$3:$N$28,'Loan Amortization'!BT69),BU68-BX68)</f>
        <v>0</v>
      </c>
      <c r="BV69" s="532">
        <f t="shared" ca="1" si="48"/>
        <v>0</v>
      </c>
      <c r="BW69" s="532">
        <f t="shared" ca="1" si="92"/>
        <v>0</v>
      </c>
      <c r="BX69" s="532">
        <f t="shared" ca="1" si="65"/>
        <v>0</v>
      </c>
      <c r="CC69" s="536">
        <f t="shared" ca="1" si="66"/>
        <v>2032</v>
      </c>
      <c r="CD69" s="535">
        <f ca="1"/>
        <v>0</v>
      </c>
      <c r="CF69" s="530">
        <v>68</v>
      </c>
      <c r="CG69" s="531">
        <f t="shared" ca="1" si="93"/>
        <v>48236</v>
      </c>
      <c r="CH69" s="532">
        <f ca="1">IF(CH68=0,SUMIFS('Key Life Events'!$L$3:$L$28,'Key Life Events'!$H$3:$H$28,'Loan Amortization'!$CL$3,'Key Life Events'!$N$3:$N$28,'Loan Amortization'!CG69),CH68-CK68)</f>
        <v>0</v>
      </c>
      <c r="CI69" s="532">
        <f t="shared" ca="1" si="94"/>
        <v>0</v>
      </c>
      <c r="CJ69" s="532">
        <f t="shared" ca="1" si="95"/>
        <v>0</v>
      </c>
      <c r="CK69" s="532">
        <f t="shared" ca="1" si="67"/>
        <v>0</v>
      </c>
      <c r="CP69" s="536">
        <f t="shared" ca="1" si="68"/>
        <v>2032</v>
      </c>
      <c r="CQ69" s="535">
        <f ca="1"/>
        <v>0</v>
      </c>
      <c r="CS69" s="100">
        <f t="shared" si="69"/>
        <v>68</v>
      </c>
      <c r="CT69" s="102">
        <f t="shared" ca="1" si="70"/>
        <v>0</v>
      </c>
      <c r="CU69" s="102">
        <f t="shared" ca="1" si="71"/>
        <v>0</v>
      </c>
      <c r="CV69" s="511">
        <f t="shared" ca="1" si="72"/>
        <v>2032</v>
      </c>
      <c r="CW69" s="1">
        <f t="shared" si="51"/>
        <v>805</v>
      </c>
      <c r="CX69" s="99">
        <f t="shared" si="52"/>
        <v>0</v>
      </c>
    </row>
    <row r="70" spans="1:102" x14ac:dyDescent="0.3">
      <c r="A70" s="100">
        <v>69</v>
      </c>
      <c r="B70" s="131">
        <f t="shared" si="73"/>
        <v>1244</v>
      </c>
      <c r="C70" s="102">
        <f t="shared" si="74"/>
        <v>0</v>
      </c>
      <c r="D70" s="102">
        <f t="shared" si="75"/>
        <v>0</v>
      </c>
      <c r="E70" s="102">
        <f t="shared" si="54"/>
        <v>0</v>
      </c>
      <c r="F70" s="102">
        <f t="shared" si="76"/>
        <v>0</v>
      </c>
      <c r="L70" s="100">
        <v>69</v>
      </c>
      <c r="M70" s="131">
        <f t="shared" ca="1" si="77"/>
        <v>48267</v>
      </c>
      <c r="N70" s="102">
        <f t="shared" si="78"/>
        <v>0</v>
      </c>
      <c r="O70" s="102">
        <f t="shared" si="79"/>
        <v>0</v>
      </c>
      <c r="P70" s="102">
        <f t="shared" si="56"/>
        <v>0</v>
      </c>
      <c r="Q70" s="102">
        <f t="shared" si="57"/>
        <v>0</v>
      </c>
      <c r="W70" s="100">
        <v>69</v>
      </c>
      <c r="X70" s="131">
        <f t="shared" ca="1" si="80"/>
        <v>48267</v>
      </c>
      <c r="Y70" s="102">
        <f t="shared" si="81"/>
        <v>0</v>
      </c>
      <c r="Z70" s="102">
        <f t="shared" si="82"/>
        <v>0</v>
      </c>
      <c r="AA70" s="102">
        <f t="shared" si="58"/>
        <v>0</v>
      </c>
      <c r="AB70" s="102">
        <f t="shared" si="59"/>
        <v>0</v>
      </c>
      <c r="AH70" s="100">
        <v>69</v>
      </c>
      <c r="AI70" s="131">
        <f t="shared" ca="1" si="83"/>
        <v>48267</v>
      </c>
      <c r="AJ70" s="102">
        <f t="shared" si="84"/>
        <v>0</v>
      </c>
      <c r="AK70" s="102">
        <f t="shared" si="85"/>
        <v>0</v>
      </c>
      <c r="AL70" s="102">
        <f t="shared" si="50"/>
        <v>0</v>
      </c>
      <c r="AM70" s="102">
        <f t="shared" si="60"/>
        <v>0</v>
      </c>
      <c r="AS70" s="530">
        <v>69</v>
      </c>
      <c r="AT70" s="531">
        <f t="shared" ca="1" si="86"/>
        <v>48267</v>
      </c>
      <c r="AU70" s="532">
        <f ca="1">IF(AU69=0,SUMIFS('Key Life Events'!$L$3:$L$28,'Key Life Events'!$H$3:$H$28,'Loan Amortization'!$AY$3,'Key Life Events'!$N$3:$N$28,'Loan Amortization'!AT70),AU69-AX69)</f>
        <v>0</v>
      </c>
      <c r="AV70" s="532">
        <f t="shared" ca="1" si="87"/>
        <v>0</v>
      </c>
      <c r="AW70" s="532">
        <f t="shared" ca="1" si="53"/>
        <v>0</v>
      </c>
      <c r="AX70" s="532">
        <f t="shared" ca="1" si="61"/>
        <v>0</v>
      </c>
      <c r="BC70" s="536">
        <f t="shared" ca="1" si="62"/>
        <v>2032</v>
      </c>
      <c r="BF70" s="530">
        <v>69</v>
      </c>
      <c r="BG70" s="531">
        <f t="shared" ca="1" si="88"/>
        <v>48267</v>
      </c>
      <c r="BH70" s="532">
        <f ca="1">IF(BH69=0,SUMIFS('Key Life Events'!$L$3:$L$28,'Key Life Events'!$H$3:$H$28,'Loan Amortization'!$BL$3,'Key Life Events'!$N$3:$N$28,'Loan Amortization'!BG70),BH69-BK69)</f>
        <v>0</v>
      </c>
      <c r="BI70" s="532">
        <f t="shared" ca="1" si="89"/>
        <v>0</v>
      </c>
      <c r="BJ70" s="532">
        <f t="shared" ca="1" si="90"/>
        <v>0</v>
      </c>
      <c r="BK70" s="532">
        <f t="shared" ca="1" si="63"/>
        <v>0</v>
      </c>
      <c r="BP70" s="536">
        <f t="shared" ca="1" si="64"/>
        <v>2032</v>
      </c>
      <c r="BQ70" s="535">
        <f ca="1"/>
        <v>0</v>
      </c>
      <c r="BS70" s="530">
        <v>69</v>
      </c>
      <c r="BT70" s="531">
        <f t="shared" ca="1" si="91"/>
        <v>48267</v>
      </c>
      <c r="BU70" s="532">
        <f ca="1">IF(BU69=0,SUMIFS('Key Life Events'!$L$3:$L$28,'Key Life Events'!$H$3:$H$28,'Loan Amortization'!$BY$3,'Key Life Events'!$N$3:$N$28,'Loan Amortization'!BT70),BU69-BX69)</f>
        <v>0</v>
      </c>
      <c r="BV70" s="532">
        <f t="shared" ref="BV70:BV133" ca="1" si="96">IF(AND(BU69=0,BU70&gt;0),PMT(BZ$1/12,CB$1*12,-BU70,0,0),IF(BU70&lt;=BV69,BU70+BW70,BV69))</f>
        <v>0</v>
      </c>
      <c r="BW70" s="532">
        <f t="shared" ca="1" si="92"/>
        <v>0</v>
      </c>
      <c r="BX70" s="532">
        <f t="shared" ca="1" si="65"/>
        <v>0</v>
      </c>
      <c r="CC70" s="536">
        <f t="shared" ca="1" si="66"/>
        <v>2032</v>
      </c>
      <c r="CD70" s="535">
        <f ca="1"/>
        <v>0</v>
      </c>
      <c r="CF70" s="530">
        <v>69</v>
      </c>
      <c r="CG70" s="531">
        <f t="shared" ca="1" si="93"/>
        <v>48267</v>
      </c>
      <c r="CH70" s="532">
        <f ca="1">IF(CH69=0,SUMIFS('Key Life Events'!$L$3:$L$28,'Key Life Events'!$H$3:$H$28,'Loan Amortization'!$CL$3,'Key Life Events'!$N$3:$N$28,'Loan Amortization'!CG70),CH69-CK69)</f>
        <v>0</v>
      </c>
      <c r="CI70" s="532">
        <f t="shared" ca="1" si="94"/>
        <v>0</v>
      </c>
      <c r="CJ70" s="532">
        <f t="shared" ca="1" si="95"/>
        <v>0</v>
      </c>
      <c r="CK70" s="532">
        <f t="shared" ca="1" si="67"/>
        <v>0</v>
      </c>
      <c r="CP70" s="536">
        <f t="shared" ca="1" si="68"/>
        <v>2032</v>
      </c>
      <c r="CQ70" s="535">
        <f ca="1"/>
        <v>0</v>
      </c>
      <c r="CS70" s="100">
        <f t="shared" si="69"/>
        <v>69</v>
      </c>
      <c r="CT70" s="102">
        <f t="shared" ca="1" si="70"/>
        <v>0</v>
      </c>
      <c r="CU70" s="102">
        <f t="shared" ca="1" si="71"/>
        <v>0</v>
      </c>
      <c r="CV70" s="511">
        <f t="shared" ca="1" si="72"/>
        <v>2032</v>
      </c>
      <c r="CW70" s="1">
        <f t="shared" si="51"/>
        <v>817</v>
      </c>
      <c r="CX70" s="99">
        <f t="shared" si="52"/>
        <v>0</v>
      </c>
    </row>
    <row r="71" spans="1:102" x14ac:dyDescent="0.3">
      <c r="A71" s="100">
        <v>70</v>
      </c>
      <c r="B71" s="131">
        <f t="shared" si="73"/>
        <v>1275</v>
      </c>
      <c r="C71" s="102">
        <f t="shared" si="74"/>
        <v>0</v>
      </c>
      <c r="D71" s="102">
        <f t="shared" si="75"/>
        <v>0</v>
      </c>
      <c r="E71" s="102">
        <f t="shared" si="54"/>
        <v>0</v>
      </c>
      <c r="F71" s="102">
        <f t="shared" si="76"/>
        <v>0</v>
      </c>
      <c r="L71" s="100">
        <v>70</v>
      </c>
      <c r="M71" s="131">
        <f t="shared" ca="1" si="77"/>
        <v>48296</v>
      </c>
      <c r="N71" s="102">
        <f t="shared" si="78"/>
        <v>0</v>
      </c>
      <c r="O71" s="102">
        <f t="shared" si="79"/>
        <v>0</v>
      </c>
      <c r="P71" s="102">
        <f t="shared" si="56"/>
        <v>0</v>
      </c>
      <c r="Q71" s="102">
        <f t="shared" si="57"/>
        <v>0</v>
      </c>
      <c r="W71" s="100">
        <v>70</v>
      </c>
      <c r="X71" s="131">
        <f t="shared" ca="1" si="80"/>
        <v>48296</v>
      </c>
      <c r="Y71" s="102">
        <f t="shared" si="81"/>
        <v>0</v>
      </c>
      <c r="Z71" s="102">
        <f t="shared" si="82"/>
        <v>0</v>
      </c>
      <c r="AA71" s="102">
        <f t="shared" si="58"/>
        <v>0</v>
      </c>
      <c r="AB71" s="102">
        <f t="shared" si="59"/>
        <v>0</v>
      </c>
      <c r="AH71" s="100">
        <v>70</v>
      </c>
      <c r="AI71" s="131">
        <f t="shared" ca="1" si="83"/>
        <v>48296</v>
      </c>
      <c r="AJ71" s="102">
        <f t="shared" si="84"/>
        <v>0</v>
      </c>
      <c r="AK71" s="102">
        <f t="shared" si="85"/>
        <v>0</v>
      </c>
      <c r="AL71" s="102">
        <f t="shared" si="50"/>
        <v>0</v>
      </c>
      <c r="AM71" s="102">
        <f t="shared" si="60"/>
        <v>0</v>
      </c>
      <c r="AS71" s="530">
        <v>70</v>
      </c>
      <c r="AT71" s="531">
        <f t="shared" ca="1" si="86"/>
        <v>48296</v>
      </c>
      <c r="AU71" s="532">
        <f ca="1">IF(AU70=0,SUMIFS('Key Life Events'!$L$3:$L$28,'Key Life Events'!$H$3:$H$28,'Loan Amortization'!$AY$3,'Key Life Events'!$N$3:$N$28,'Loan Amortization'!AT71),AU70-AX70)</f>
        <v>0</v>
      </c>
      <c r="AV71" s="532">
        <f t="shared" ca="1" si="87"/>
        <v>0</v>
      </c>
      <c r="AW71" s="532">
        <f t="shared" ca="1" si="53"/>
        <v>0</v>
      </c>
      <c r="AX71" s="532">
        <f t="shared" ca="1" si="61"/>
        <v>0</v>
      </c>
      <c r="BC71" s="536">
        <f t="shared" ca="1" si="62"/>
        <v>2032</v>
      </c>
      <c r="BF71" s="530">
        <v>70</v>
      </c>
      <c r="BG71" s="531">
        <f t="shared" ca="1" si="88"/>
        <v>48296</v>
      </c>
      <c r="BH71" s="532">
        <f ca="1">IF(BH70=0,SUMIFS('Key Life Events'!$L$3:$L$28,'Key Life Events'!$H$3:$H$28,'Loan Amortization'!$BL$3,'Key Life Events'!$N$3:$N$28,'Loan Amortization'!BG71),BH70-BK70)</f>
        <v>0</v>
      </c>
      <c r="BI71" s="532">
        <f t="shared" ca="1" si="89"/>
        <v>0</v>
      </c>
      <c r="BJ71" s="532">
        <f t="shared" ca="1" si="90"/>
        <v>0</v>
      </c>
      <c r="BK71" s="532">
        <f t="shared" ca="1" si="63"/>
        <v>0</v>
      </c>
      <c r="BP71" s="536">
        <f t="shared" ca="1" si="64"/>
        <v>2032</v>
      </c>
      <c r="BQ71" s="535">
        <f ca="1"/>
        <v>0</v>
      </c>
      <c r="BS71" s="530">
        <v>70</v>
      </c>
      <c r="BT71" s="531">
        <f t="shared" ca="1" si="91"/>
        <v>48296</v>
      </c>
      <c r="BU71" s="532">
        <f ca="1">IF(BU70=0,SUMIFS('Key Life Events'!$L$3:$L$28,'Key Life Events'!$H$3:$H$28,'Loan Amortization'!$BY$3,'Key Life Events'!$N$3:$N$28,'Loan Amortization'!BT71),BU70-BX70)</f>
        <v>0</v>
      </c>
      <c r="BV71" s="532">
        <f t="shared" ca="1" si="96"/>
        <v>0</v>
      </c>
      <c r="BW71" s="532">
        <f t="shared" ca="1" si="92"/>
        <v>0</v>
      </c>
      <c r="BX71" s="532">
        <f t="shared" ca="1" si="65"/>
        <v>0</v>
      </c>
      <c r="CC71" s="536">
        <f t="shared" ca="1" si="66"/>
        <v>2032</v>
      </c>
      <c r="CD71" s="535">
        <f ca="1"/>
        <v>0</v>
      </c>
      <c r="CF71" s="530">
        <v>70</v>
      </c>
      <c r="CG71" s="531">
        <f t="shared" ca="1" si="93"/>
        <v>48296</v>
      </c>
      <c r="CH71" s="532">
        <f ca="1">IF(CH70=0,SUMIFS('Key Life Events'!$L$3:$L$28,'Key Life Events'!$H$3:$H$28,'Loan Amortization'!$CL$3,'Key Life Events'!$N$3:$N$28,'Loan Amortization'!CG71),CH70-CK70)</f>
        <v>0</v>
      </c>
      <c r="CI71" s="532">
        <f t="shared" ca="1" si="94"/>
        <v>0</v>
      </c>
      <c r="CJ71" s="532">
        <f t="shared" ca="1" si="95"/>
        <v>0</v>
      </c>
      <c r="CK71" s="532">
        <f t="shared" ca="1" si="67"/>
        <v>0</v>
      </c>
      <c r="CP71" s="536">
        <f t="shared" ca="1" si="68"/>
        <v>2032</v>
      </c>
      <c r="CQ71" s="535">
        <f ca="1"/>
        <v>0</v>
      </c>
      <c r="CS71" s="100">
        <f t="shared" si="69"/>
        <v>70</v>
      </c>
      <c r="CT71" s="102">
        <f t="shared" ca="1" si="70"/>
        <v>0</v>
      </c>
      <c r="CU71" s="102">
        <f t="shared" ca="1" si="71"/>
        <v>0</v>
      </c>
      <c r="CV71" s="511">
        <f t="shared" ca="1" si="72"/>
        <v>2032</v>
      </c>
      <c r="CW71" s="1">
        <f t="shared" si="51"/>
        <v>829</v>
      </c>
      <c r="CX71" s="99">
        <f t="shared" si="52"/>
        <v>0</v>
      </c>
    </row>
    <row r="72" spans="1:102" x14ac:dyDescent="0.3">
      <c r="A72" s="100">
        <v>71</v>
      </c>
      <c r="B72" s="131">
        <f t="shared" si="73"/>
        <v>1305</v>
      </c>
      <c r="C72" s="102">
        <f t="shared" si="74"/>
        <v>0</v>
      </c>
      <c r="D72" s="102">
        <f t="shared" si="75"/>
        <v>0</v>
      </c>
      <c r="E72" s="102">
        <f t="shared" si="54"/>
        <v>0</v>
      </c>
      <c r="F72" s="102">
        <f t="shared" si="76"/>
        <v>0</v>
      </c>
      <c r="L72" s="100">
        <v>71</v>
      </c>
      <c r="M72" s="131">
        <f t="shared" ca="1" si="77"/>
        <v>48327</v>
      </c>
      <c r="N72" s="102">
        <f t="shared" si="78"/>
        <v>0</v>
      </c>
      <c r="O72" s="102">
        <f t="shared" si="79"/>
        <v>0</v>
      </c>
      <c r="P72" s="102">
        <f t="shared" si="56"/>
        <v>0</v>
      </c>
      <c r="Q72" s="102">
        <f t="shared" si="57"/>
        <v>0</v>
      </c>
      <c r="W72" s="100">
        <v>71</v>
      </c>
      <c r="X72" s="131">
        <f t="shared" ca="1" si="80"/>
        <v>48327</v>
      </c>
      <c r="Y72" s="102">
        <f t="shared" si="81"/>
        <v>0</v>
      </c>
      <c r="Z72" s="102">
        <f t="shared" si="82"/>
        <v>0</v>
      </c>
      <c r="AA72" s="102">
        <f t="shared" si="58"/>
        <v>0</v>
      </c>
      <c r="AB72" s="102">
        <f t="shared" si="59"/>
        <v>0</v>
      </c>
      <c r="AH72" s="100">
        <v>71</v>
      </c>
      <c r="AI72" s="131">
        <f t="shared" ca="1" si="83"/>
        <v>48327</v>
      </c>
      <c r="AJ72" s="102">
        <f t="shared" si="84"/>
        <v>0</v>
      </c>
      <c r="AK72" s="102">
        <f t="shared" si="85"/>
        <v>0</v>
      </c>
      <c r="AL72" s="102">
        <f t="shared" ref="AL72:AL135" si="97">(AJ72*AO$1)/12</f>
        <v>0</v>
      </c>
      <c r="AM72" s="102">
        <f t="shared" si="60"/>
        <v>0</v>
      </c>
      <c r="AS72" s="530">
        <v>71</v>
      </c>
      <c r="AT72" s="531">
        <f t="shared" ca="1" si="86"/>
        <v>48327</v>
      </c>
      <c r="AU72" s="532">
        <f ca="1">IF(AU71=0,SUMIFS('Key Life Events'!$L$3:$L$28,'Key Life Events'!$H$3:$H$28,'Loan Amortization'!$AY$3,'Key Life Events'!$N$3:$N$28,'Loan Amortization'!AT72),AU71-AX71)</f>
        <v>0</v>
      </c>
      <c r="AV72" s="532">
        <f t="shared" ca="1" si="87"/>
        <v>0</v>
      </c>
      <c r="AW72" s="532">
        <f t="shared" ca="1" si="53"/>
        <v>0</v>
      </c>
      <c r="AX72" s="532">
        <f t="shared" ca="1" si="61"/>
        <v>0</v>
      </c>
      <c r="BC72" s="536">
        <f t="shared" ca="1" si="62"/>
        <v>2032</v>
      </c>
      <c r="BF72" s="530">
        <v>71</v>
      </c>
      <c r="BG72" s="531">
        <f t="shared" ca="1" si="88"/>
        <v>48327</v>
      </c>
      <c r="BH72" s="532">
        <f ca="1">IF(BH71=0,SUMIFS('Key Life Events'!$L$3:$L$28,'Key Life Events'!$H$3:$H$28,'Loan Amortization'!$BL$3,'Key Life Events'!$N$3:$N$28,'Loan Amortization'!BG72),BH71-BK71)</f>
        <v>0</v>
      </c>
      <c r="BI72" s="532">
        <f t="shared" ca="1" si="89"/>
        <v>0</v>
      </c>
      <c r="BJ72" s="532">
        <f t="shared" ca="1" si="90"/>
        <v>0</v>
      </c>
      <c r="BK72" s="532">
        <f t="shared" ca="1" si="63"/>
        <v>0</v>
      </c>
      <c r="BP72" s="536">
        <f t="shared" ca="1" si="64"/>
        <v>2032</v>
      </c>
      <c r="BQ72" s="535">
        <f ca="1"/>
        <v>0</v>
      </c>
      <c r="BS72" s="530">
        <v>71</v>
      </c>
      <c r="BT72" s="531">
        <f t="shared" ca="1" si="91"/>
        <v>48327</v>
      </c>
      <c r="BU72" s="532">
        <f ca="1">IF(BU71=0,SUMIFS('Key Life Events'!$L$3:$L$28,'Key Life Events'!$H$3:$H$28,'Loan Amortization'!$BY$3,'Key Life Events'!$N$3:$N$28,'Loan Amortization'!BT72),BU71-BX71)</f>
        <v>0</v>
      </c>
      <c r="BV72" s="532">
        <f t="shared" ca="1" si="96"/>
        <v>0</v>
      </c>
      <c r="BW72" s="532">
        <f t="shared" ca="1" si="92"/>
        <v>0</v>
      </c>
      <c r="BX72" s="532">
        <f t="shared" ca="1" si="65"/>
        <v>0</v>
      </c>
      <c r="CC72" s="536">
        <f t="shared" ca="1" si="66"/>
        <v>2032</v>
      </c>
      <c r="CD72" s="535">
        <f ca="1"/>
        <v>0</v>
      </c>
      <c r="CF72" s="530">
        <v>71</v>
      </c>
      <c r="CG72" s="531">
        <f t="shared" ca="1" si="93"/>
        <v>48327</v>
      </c>
      <c r="CH72" s="532">
        <f ca="1">IF(CH71=0,SUMIFS('Key Life Events'!$L$3:$L$28,'Key Life Events'!$H$3:$H$28,'Loan Amortization'!$CL$3,'Key Life Events'!$N$3:$N$28,'Loan Amortization'!CG72),CH71-CK71)</f>
        <v>0</v>
      </c>
      <c r="CI72" s="532">
        <f t="shared" ca="1" si="94"/>
        <v>0</v>
      </c>
      <c r="CJ72" s="532">
        <f t="shared" ca="1" si="95"/>
        <v>0</v>
      </c>
      <c r="CK72" s="532">
        <f t="shared" ca="1" si="67"/>
        <v>0</v>
      </c>
      <c r="CP72" s="536">
        <f t="shared" ca="1" si="68"/>
        <v>2032</v>
      </c>
      <c r="CQ72" s="535">
        <f ca="1"/>
        <v>0</v>
      </c>
      <c r="CS72" s="100">
        <f t="shared" si="69"/>
        <v>71</v>
      </c>
      <c r="CT72" s="102">
        <f t="shared" ca="1" si="70"/>
        <v>0</v>
      </c>
      <c r="CU72" s="102">
        <f t="shared" ca="1" si="71"/>
        <v>0</v>
      </c>
      <c r="CV72" s="511">
        <f t="shared" ca="1" si="72"/>
        <v>2032</v>
      </c>
      <c r="CW72" s="1">
        <f t="shared" si="51"/>
        <v>841</v>
      </c>
      <c r="CX72" s="99">
        <f t="shared" si="52"/>
        <v>0</v>
      </c>
    </row>
    <row r="73" spans="1:102" x14ac:dyDescent="0.3">
      <c r="A73" s="100">
        <v>72</v>
      </c>
      <c r="B73" s="131">
        <f t="shared" si="73"/>
        <v>1336</v>
      </c>
      <c r="C73" s="102">
        <f t="shared" si="74"/>
        <v>0</v>
      </c>
      <c r="D73" s="102">
        <f t="shared" si="75"/>
        <v>0</v>
      </c>
      <c r="E73" s="102">
        <f t="shared" si="54"/>
        <v>0</v>
      </c>
      <c r="F73" s="102">
        <f t="shared" si="76"/>
        <v>0</v>
      </c>
      <c r="L73" s="100">
        <v>72</v>
      </c>
      <c r="M73" s="131">
        <f t="shared" ca="1" si="77"/>
        <v>48357</v>
      </c>
      <c r="N73" s="102">
        <f t="shared" si="78"/>
        <v>0</v>
      </c>
      <c r="O73" s="102">
        <f t="shared" si="79"/>
        <v>0</v>
      </c>
      <c r="P73" s="102">
        <f t="shared" si="56"/>
        <v>0</v>
      </c>
      <c r="Q73" s="102">
        <f t="shared" si="57"/>
        <v>0</v>
      </c>
      <c r="W73" s="100">
        <v>72</v>
      </c>
      <c r="X73" s="131">
        <f t="shared" ca="1" si="80"/>
        <v>48357</v>
      </c>
      <c r="Y73" s="102">
        <f t="shared" si="81"/>
        <v>0</v>
      </c>
      <c r="Z73" s="102">
        <f t="shared" si="82"/>
        <v>0</v>
      </c>
      <c r="AA73" s="102">
        <f t="shared" si="58"/>
        <v>0</v>
      </c>
      <c r="AB73" s="102">
        <f t="shared" si="59"/>
        <v>0</v>
      </c>
      <c r="AH73" s="100">
        <v>72</v>
      </c>
      <c r="AI73" s="131">
        <f t="shared" ca="1" si="83"/>
        <v>48357</v>
      </c>
      <c r="AJ73" s="102">
        <f t="shared" si="84"/>
        <v>0</v>
      </c>
      <c r="AK73" s="102">
        <f t="shared" si="85"/>
        <v>0</v>
      </c>
      <c r="AL73" s="102">
        <f t="shared" si="97"/>
        <v>0</v>
      </c>
      <c r="AM73" s="102">
        <f t="shared" si="60"/>
        <v>0</v>
      </c>
      <c r="AS73" s="530">
        <v>72</v>
      </c>
      <c r="AT73" s="531">
        <f t="shared" ca="1" si="86"/>
        <v>48357</v>
      </c>
      <c r="AU73" s="532">
        <f ca="1">IF(AU72=0,SUMIFS('Key Life Events'!$L$3:$L$28,'Key Life Events'!$H$3:$H$28,'Loan Amortization'!$AY$3,'Key Life Events'!$N$3:$N$28,'Loan Amortization'!AT73),AU72-AX72)</f>
        <v>0</v>
      </c>
      <c r="AV73" s="532">
        <f t="shared" ca="1" si="87"/>
        <v>0</v>
      </c>
      <c r="AW73" s="532">
        <f t="shared" ca="1" si="53"/>
        <v>0</v>
      </c>
      <c r="AX73" s="532">
        <f t="shared" ca="1" si="61"/>
        <v>0</v>
      </c>
      <c r="BC73" s="536">
        <f t="shared" ca="1" si="62"/>
        <v>2032</v>
      </c>
      <c r="BF73" s="530">
        <v>72</v>
      </c>
      <c r="BG73" s="531">
        <f t="shared" ca="1" si="88"/>
        <v>48357</v>
      </c>
      <c r="BH73" s="532">
        <f ca="1">IF(BH72=0,SUMIFS('Key Life Events'!$L$3:$L$28,'Key Life Events'!$H$3:$H$28,'Loan Amortization'!$BL$3,'Key Life Events'!$N$3:$N$28,'Loan Amortization'!BG73),BH72-BK72)</f>
        <v>0</v>
      </c>
      <c r="BI73" s="532">
        <f t="shared" ca="1" si="89"/>
        <v>0</v>
      </c>
      <c r="BJ73" s="532">
        <f t="shared" ca="1" si="90"/>
        <v>0</v>
      </c>
      <c r="BK73" s="532">
        <f t="shared" ca="1" si="63"/>
        <v>0</v>
      </c>
      <c r="BP73" s="536">
        <f t="shared" ca="1" si="64"/>
        <v>2032</v>
      </c>
      <c r="BQ73" s="535">
        <f ca="1"/>
        <v>0</v>
      </c>
      <c r="BS73" s="530">
        <v>72</v>
      </c>
      <c r="BT73" s="531">
        <f t="shared" ca="1" si="91"/>
        <v>48357</v>
      </c>
      <c r="BU73" s="532">
        <f ca="1">IF(BU72=0,SUMIFS('Key Life Events'!$L$3:$L$28,'Key Life Events'!$H$3:$H$28,'Loan Amortization'!$BY$3,'Key Life Events'!$N$3:$N$28,'Loan Amortization'!BT73),BU72-BX72)</f>
        <v>0</v>
      </c>
      <c r="BV73" s="532">
        <f t="shared" ca="1" si="96"/>
        <v>0</v>
      </c>
      <c r="BW73" s="532">
        <f t="shared" ca="1" si="92"/>
        <v>0</v>
      </c>
      <c r="BX73" s="532">
        <f t="shared" ca="1" si="65"/>
        <v>0</v>
      </c>
      <c r="CC73" s="536">
        <f t="shared" ca="1" si="66"/>
        <v>2032</v>
      </c>
      <c r="CD73" s="535">
        <f ca="1"/>
        <v>0</v>
      </c>
      <c r="CF73" s="530">
        <v>72</v>
      </c>
      <c r="CG73" s="531">
        <f t="shared" ca="1" si="93"/>
        <v>48357</v>
      </c>
      <c r="CH73" s="532">
        <f ca="1">IF(CH72=0,SUMIFS('Key Life Events'!$L$3:$L$28,'Key Life Events'!$H$3:$H$28,'Loan Amortization'!$CL$3,'Key Life Events'!$N$3:$N$28,'Loan Amortization'!CG73),CH72-CK72)</f>
        <v>0</v>
      </c>
      <c r="CI73" s="532">
        <f t="shared" ca="1" si="94"/>
        <v>0</v>
      </c>
      <c r="CJ73" s="532">
        <f t="shared" ca="1" si="95"/>
        <v>0</v>
      </c>
      <c r="CK73" s="532">
        <f t="shared" ca="1" si="67"/>
        <v>0</v>
      </c>
      <c r="CP73" s="536">
        <f t="shared" ca="1" si="68"/>
        <v>2032</v>
      </c>
      <c r="CQ73" s="535">
        <f ca="1"/>
        <v>0</v>
      </c>
      <c r="CS73" s="100">
        <f t="shared" si="69"/>
        <v>72</v>
      </c>
      <c r="CT73" s="102">
        <f t="shared" ca="1" si="70"/>
        <v>0</v>
      </c>
      <c r="CU73" s="102">
        <f t="shared" ca="1" si="71"/>
        <v>0</v>
      </c>
      <c r="CV73" s="511">
        <f t="shared" ca="1" si="72"/>
        <v>2032</v>
      </c>
      <c r="CW73" s="1">
        <f t="shared" si="51"/>
        <v>853</v>
      </c>
      <c r="CX73" s="99">
        <f t="shared" si="52"/>
        <v>0</v>
      </c>
    </row>
    <row r="74" spans="1:102" x14ac:dyDescent="0.3">
      <c r="A74" s="100">
        <v>73</v>
      </c>
      <c r="B74" s="131">
        <f t="shared" si="73"/>
        <v>1367</v>
      </c>
      <c r="C74" s="102">
        <f t="shared" si="74"/>
        <v>0</v>
      </c>
      <c r="D74" s="102">
        <f t="shared" si="75"/>
        <v>0</v>
      </c>
      <c r="E74" s="102">
        <f t="shared" si="54"/>
        <v>0</v>
      </c>
      <c r="F74" s="102">
        <f t="shared" si="76"/>
        <v>0</v>
      </c>
      <c r="L74" s="100">
        <v>73</v>
      </c>
      <c r="M74" s="131">
        <f t="shared" ca="1" si="77"/>
        <v>48388</v>
      </c>
      <c r="N74" s="102">
        <f t="shared" si="78"/>
        <v>0</v>
      </c>
      <c r="O74" s="102">
        <f t="shared" si="79"/>
        <v>0</v>
      </c>
      <c r="P74" s="102">
        <f t="shared" si="56"/>
        <v>0</v>
      </c>
      <c r="Q74" s="102">
        <f t="shared" si="57"/>
        <v>0</v>
      </c>
      <c r="W74" s="100">
        <v>73</v>
      </c>
      <c r="X74" s="131">
        <f t="shared" ca="1" si="80"/>
        <v>48388</v>
      </c>
      <c r="Y74" s="102">
        <f t="shared" si="81"/>
        <v>0</v>
      </c>
      <c r="Z74" s="102">
        <f t="shared" si="82"/>
        <v>0</v>
      </c>
      <c r="AA74" s="102">
        <f t="shared" si="58"/>
        <v>0</v>
      </c>
      <c r="AB74" s="102">
        <f t="shared" si="59"/>
        <v>0</v>
      </c>
      <c r="AH74" s="100">
        <v>73</v>
      </c>
      <c r="AI74" s="131">
        <f t="shared" ca="1" si="83"/>
        <v>48388</v>
      </c>
      <c r="AJ74" s="102">
        <f t="shared" si="84"/>
        <v>0</v>
      </c>
      <c r="AK74" s="102">
        <f t="shared" si="85"/>
        <v>0</v>
      </c>
      <c r="AL74" s="102">
        <f t="shared" si="97"/>
        <v>0</v>
      </c>
      <c r="AM74" s="102">
        <f t="shared" si="60"/>
        <v>0</v>
      </c>
      <c r="AS74" s="530">
        <v>73</v>
      </c>
      <c r="AT74" s="531">
        <f t="shared" ca="1" si="86"/>
        <v>48388</v>
      </c>
      <c r="AU74" s="532">
        <f ca="1">IF(AU73=0,SUMIFS('Key Life Events'!$L$3:$L$28,'Key Life Events'!$H$3:$H$28,'Loan Amortization'!$AY$3,'Key Life Events'!$N$3:$N$28,'Loan Amortization'!AT74),AU73-AX73)</f>
        <v>0</v>
      </c>
      <c r="AV74" s="532">
        <f t="shared" ca="1" si="87"/>
        <v>0</v>
      </c>
      <c r="AW74" s="532">
        <f t="shared" ca="1" si="53"/>
        <v>0</v>
      </c>
      <c r="AX74" s="532">
        <f t="shared" ca="1" si="61"/>
        <v>0</v>
      </c>
      <c r="BC74" s="536">
        <f t="shared" ca="1" si="62"/>
        <v>2032</v>
      </c>
      <c r="BF74" s="530">
        <v>73</v>
      </c>
      <c r="BG74" s="531">
        <f t="shared" ca="1" si="88"/>
        <v>48388</v>
      </c>
      <c r="BH74" s="532">
        <f ca="1">IF(BH73=0,SUMIFS('Key Life Events'!$L$3:$L$28,'Key Life Events'!$H$3:$H$28,'Loan Amortization'!$BL$3,'Key Life Events'!$N$3:$N$28,'Loan Amortization'!BG74),BH73-BK73)</f>
        <v>0</v>
      </c>
      <c r="BI74" s="532">
        <f t="shared" ca="1" si="89"/>
        <v>0</v>
      </c>
      <c r="BJ74" s="532">
        <f t="shared" ca="1" si="90"/>
        <v>0</v>
      </c>
      <c r="BK74" s="532">
        <f t="shared" ca="1" si="63"/>
        <v>0</v>
      </c>
      <c r="BP74" s="536">
        <f t="shared" ca="1" si="64"/>
        <v>2032</v>
      </c>
      <c r="BQ74" s="535">
        <f ca="1"/>
        <v>0</v>
      </c>
      <c r="BS74" s="530">
        <v>73</v>
      </c>
      <c r="BT74" s="531">
        <f t="shared" ca="1" si="91"/>
        <v>48388</v>
      </c>
      <c r="BU74" s="532">
        <f ca="1">IF(BU73=0,SUMIFS('Key Life Events'!$L$3:$L$28,'Key Life Events'!$H$3:$H$28,'Loan Amortization'!$BY$3,'Key Life Events'!$N$3:$N$28,'Loan Amortization'!BT74),BU73-BX73)</f>
        <v>0</v>
      </c>
      <c r="BV74" s="532">
        <f t="shared" ca="1" si="96"/>
        <v>0</v>
      </c>
      <c r="BW74" s="532">
        <f t="shared" ca="1" si="92"/>
        <v>0</v>
      </c>
      <c r="BX74" s="532">
        <f t="shared" ca="1" si="65"/>
        <v>0</v>
      </c>
      <c r="CC74" s="536">
        <f t="shared" ca="1" si="66"/>
        <v>2032</v>
      </c>
      <c r="CD74" s="535">
        <f ca="1"/>
        <v>0</v>
      </c>
      <c r="CF74" s="530">
        <v>73</v>
      </c>
      <c r="CG74" s="531">
        <f t="shared" ca="1" si="93"/>
        <v>48388</v>
      </c>
      <c r="CH74" s="532">
        <f ca="1">IF(CH73=0,SUMIFS('Key Life Events'!$L$3:$L$28,'Key Life Events'!$H$3:$H$28,'Loan Amortization'!$CL$3,'Key Life Events'!$N$3:$N$28,'Loan Amortization'!CG74),CH73-CK73)</f>
        <v>0</v>
      </c>
      <c r="CI74" s="532">
        <f t="shared" ca="1" si="94"/>
        <v>0</v>
      </c>
      <c r="CJ74" s="532">
        <f t="shared" ca="1" si="95"/>
        <v>0</v>
      </c>
      <c r="CK74" s="532">
        <f t="shared" ca="1" si="67"/>
        <v>0</v>
      </c>
      <c r="CP74" s="536">
        <f t="shared" ca="1" si="68"/>
        <v>2032</v>
      </c>
      <c r="CQ74" s="535">
        <f ca="1"/>
        <v>0</v>
      </c>
      <c r="CS74" s="100">
        <f t="shared" si="69"/>
        <v>73</v>
      </c>
      <c r="CT74" s="102">
        <f t="shared" ca="1" si="70"/>
        <v>0</v>
      </c>
      <c r="CU74" s="102">
        <f t="shared" ca="1" si="71"/>
        <v>0</v>
      </c>
      <c r="CV74" s="511">
        <f t="shared" ca="1" si="72"/>
        <v>2032</v>
      </c>
      <c r="CW74" s="1">
        <f t="shared" si="51"/>
        <v>865</v>
      </c>
      <c r="CX74" s="99">
        <f t="shared" si="52"/>
        <v>0</v>
      </c>
    </row>
    <row r="75" spans="1:102" x14ac:dyDescent="0.3">
      <c r="A75" s="100">
        <v>74</v>
      </c>
      <c r="B75" s="131">
        <f t="shared" si="73"/>
        <v>1397</v>
      </c>
      <c r="C75" s="102">
        <f t="shared" si="74"/>
        <v>0</v>
      </c>
      <c r="D75" s="102">
        <f t="shared" si="75"/>
        <v>0</v>
      </c>
      <c r="E75" s="102">
        <f t="shared" si="54"/>
        <v>0</v>
      </c>
      <c r="F75" s="102">
        <f t="shared" si="76"/>
        <v>0</v>
      </c>
      <c r="L75" s="100">
        <v>74</v>
      </c>
      <c r="M75" s="131">
        <f t="shared" ca="1" si="77"/>
        <v>48418</v>
      </c>
      <c r="N75" s="102">
        <f t="shared" si="78"/>
        <v>0</v>
      </c>
      <c r="O75" s="102">
        <f t="shared" si="79"/>
        <v>0</v>
      </c>
      <c r="P75" s="102">
        <f t="shared" si="56"/>
        <v>0</v>
      </c>
      <c r="Q75" s="102">
        <f t="shared" si="57"/>
        <v>0</v>
      </c>
      <c r="W75" s="100">
        <v>74</v>
      </c>
      <c r="X75" s="131">
        <f t="shared" ca="1" si="80"/>
        <v>48418</v>
      </c>
      <c r="Y75" s="102">
        <f t="shared" si="81"/>
        <v>0</v>
      </c>
      <c r="Z75" s="102">
        <f t="shared" si="82"/>
        <v>0</v>
      </c>
      <c r="AA75" s="102">
        <f t="shared" si="58"/>
        <v>0</v>
      </c>
      <c r="AB75" s="102">
        <f t="shared" si="59"/>
        <v>0</v>
      </c>
      <c r="AH75" s="100">
        <v>74</v>
      </c>
      <c r="AI75" s="131">
        <f t="shared" ca="1" si="83"/>
        <v>48418</v>
      </c>
      <c r="AJ75" s="102">
        <f t="shared" si="84"/>
        <v>0</v>
      </c>
      <c r="AK75" s="102">
        <f t="shared" si="85"/>
        <v>0</v>
      </c>
      <c r="AL75" s="102">
        <f t="shared" si="97"/>
        <v>0</v>
      </c>
      <c r="AM75" s="102">
        <f t="shared" si="60"/>
        <v>0</v>
      </c>
      <c r="AS75" s="530">
        <v>74</v>
      </c>
      <c r="AT75" s="531">
        <f t="shared" ca="1" si="86"/>
        <v>48418</v>
      </c>
      <c r="AU75" s="532">
        <f ca="1">IF(AU74=0,SUMIFS('Key Life Events'!$L$3:$L$28,'Key Life Events'!$H$3:$H$28,'Loan Amortization'!$AY$3,'Key Life Events'!$N$3:$N$28,'Loan Amortization'!AT75),AU74-AX74)</f>
        <v>0</v>
      </c>
      <c r="AV75" s="532">
        <f t="shared" ca="1" si="87"/>
        <v>0</v>
      </c>
      <c r="AW75" s="532">
        <f t="shared" ca="1" si="53"/>
        <v>0</v>
      </c>
      <c r="AX75" s="532">
        <f t="shared" ca="1" si="61"/>
        <v>0</v>
      </c>
      <c r="BC75" s="536">
        <f t="shared" ca="1" si="62"/>
        <v>2032</v>
      </c>
      <c r="BF75" s="530">
        <v>74</v>
      </c>
      <c r="BG75" s="531">
        <f t="shared" ca="1" si="88"/>
        <v>48418</v>
      </c>
      <c r="BH75" s="532">
        <f ca="1">IF(BH74=0,SUMIFS('Key Life Events'!$L$3:$L$28,'Key Life Events'!$H$3:$H$28,'Loan Amortization'!$BL$3,'Key Life Events'!$N$3:$N$28,'Loan Amortization'!BG75),BH74-BK74)</f>
        <v>0</v>
      </c>
      <c r="BI75" s="532">
        <f t="shared" ca="1" si="89"/>
        <v>0</v>
      </c>
      <c r="BJ75" s="532">
        <f t="shared" ca="1" si="90"/>
        <v>0</v>
      </c>
      <c r="BK75" s="532">
        <f t="shared" ca="1" si="63"/>
        <v>0</v>
      </c>
      <c r="BP75" s="536">
        <f t="shared" ca="1" si="64"/>
        <v>2032</v>
      </c>
      <c r="BQ75" s="535">
        <f ca="1"/>
        <v>0</v>
      </c>
      <c r="BS75" s="530">
        <v>74</v>
      </c>
      <c r="BT75" s="531">
        <f t="shared" ca="1" si="91"/>
        <v>48418</v>
      </c>
      <c r="BU75" s="532">
        <f ca="1">IF(BU74=0,SUMIFS('Key Life Events'!$L$3:$L$28,'Key Life Events'!$H$3:$H$28,'Loan Amortization'!$BY$3,'Key Life Events'!$N$3:$N$28,'Loan Amortization'!BT75),BU74-BX74)</f>
        <v>0</v>
      </c>
      <c r="BV75" s="532">
        <f t="shared" ca="1" si="96"/>
        <v>0</v>
      </c>
      <c r="BW75" s="532">
        <f t="shared" ca="1" si="92"/>
        <v>0</v>
      </c>
      <c r="BX75" s="532">
        <f t="shared" ca="1" si="65"/>
        <v>0</v>
      </c>
      <c r="CC75" s="536">
        <f t="shared" ca="1" si="66"/>
        <v>2032</v>
      </c>
      <c r="CD75" s="535">
        <f ca="1"/>
        <v>0</v>
      </c>
      <c r="CF75" s="530">
        <v>74</v>
      </c>
      <c r="CG75" s="531">
        <f t="shared" ca="1" si="93"/>
        <v>48418</v>
      </c>
      <c r="CH75" s="532">
        <f ca="1">IF(CH74=0,SUMIFS('Key Life Events'!$L$3:$L$28,'Key Life Events'!$H$3:$H$28,'Loan Amortization'!$CL$3,'Key Life Events'!$N$3:$N$28,'Loan Amortization'!CG75),CH74-CK74)</f>
        <v>0</v>
      </c>
      <c r="CI75" s="532">
        <f t="shared" ca="1" si="94"/>
        <v>0</v>
      </c>
      <c r="CJ75" s="532">
        <f t="shared" ca="1" si="95"/>
        <v>0</v>
      </c>
      <c r="CK75" s="532">
        <f t="shared" ca="1" si="67"/>
        <v>0</v>
      </c>
      <c r="CP75" s="536">
        <f t="shared" ca="1" si="68"/>
        <v>2032</v>
      </c>
      <c r="CQ75" s="535">
        <f ca="1"/>
        <v>0</v>
      </c>
      <c r="CS75" s="100">
        <f t="shared" si="69"/>
        <v>74</v>
      </c>
      <c r="CT75" s="102">
        <f t="shared" ca="1" si="70"/>
        <v>0</v>
      </c>
      <c r="CU75" s="102">
        <f t="shared" ca="1" si="71"/>
        <v>0</v>
      </c>
      <c r="CV75" s="511">
        <f t="shared" ca="1" si="72"/>
        <v>2032</v>
      </c>
      <c r="CW75" s="1">
        <f t="shared" si="51"/>
        <v>877</v>
      </c>
      <c r="CX75" s="99">
        <f t="shared" si="52"/>
        <v>0</v>
      </c>
    </row>
    <row r="76" spans="1:102" x14ac:dyDescent="0.3">
      <c r="A76" s="100">
        <v>75</v>
      </c>
      <c r="B76" s="131">
        <f t="shared" si="73"/>
        <v>1428</v>
      </c>
      <c r="C76" s="102">
        <f t="shared" si="74"/>
        <v>0</v>
      </c>
      <c r="D76" s="102">
        <f t="shared" si="75"/>
        <v>0</v>
      </c>
      <c r="E76" s="102">
        <f t="shared" si="54"/>
        <v>0</v>
      </c>
      <c r="F76" s="102">
        <f t="shared" si="76"/>
        <v>0</v>
      </c>
      <c r="L76" s="100">
        <v>75</v>
      </c>
      <c r="M76" s="131">
        <f t="shared" ca="1" si="77"/>
        <v>48449</v>
      </c>
      <c r="N76" s="102">
        <f t="shared" si="78"/>
        <v>0</v>
      </c>
      <c r="O76" s="102">
        <f t="shared" si="79"/>
        <v>0</v>
      </c>
      <c r="P76" s="102">
        <f t="shared" si="56"/>
        <v>0</v>
      </c>
      <c r="Q76" s="102">
        <f t="shared" si="57"/>
        <v>0</v>
      </c>
      <c r="W76" s="100">
        <v>75</v>
      </c>
      <c r="X76" s="131">
        <f t="shared" ca="1" si="80"/>
        <v>48449</v>
      </c>
      <c r="Y76" s="102">
        <f t="shared" si="81"/>
        <v>0</v>
      </c>
      <c r="Z76" s="102">
        <f t="shared" si="82"/>
        <v>0</v>
      </c>
      <c r="AA76" s="102">
        <f t="shared" si="58"/>
        <v>0</v>
      </c>
      <c r="AB76" s="102">
        <f t="shared" si="59"/>
        <v>0</v>
      </c>
      <c r="AH76" s="100">
        <v>75</v>
      </c>
      <c r="AI76" s="131">
        <f t="shared" ca="1" si="83"/>
        <v>48449</v>
      </c>
      <c r="AJ76" s="102">
        <f t="shared" si="84"/>
        <v>0</v>
      </c>
      <c r="AK76" s="102">
        <f t="shared" si="85"/>
        <v>0</v>
      </c>
      <c r="AL76" s="102">
        <f t="shared" si="97"/>
        <v>0</v>
      </c>
      <c r="AM76" s="102">
        <f t="shared" si="60"/>
        <v>0</v>
      </c>
      <c r="AS76" s="530">
        <v>75</v>
      </c>
      <c r="AT76" s="531">
        <f t="shared" ca="1" si="86"/>
        <v>48449</v>
      </c>
      <c r="AU76" s="532">
        <f ca="1">IF(AU75=0,SUMIFS('Key Life Events'!$L$3:$L$28,'Key Life Events'!$H$3:$H$28,'Loan Amortization'!$AY$3,'Key Life Events'!$N$3:$N$28,'Loan Amortization'!AT76),AU75-AX75)</f>
        <v>0</v>
      </c>
      <c r="AV76" s="532">
        <f t="shared" ca="1" si="87"/>
        <v>0</v>
      </c>
      <c r="AW76" s="532">
        <f t="shared" ca="1" si="53"/>
        <v>0</v>
      </c>
      <c r="AX76" s="532">
        <f t="shared" ca="1" si="61"/>
        <v>0</v>
      </c>
      <c r="BC76" s="536">
        <f t="shared" ca="1" si="62"/>
        <v>2032</v>
      </c>
      <c r="BF76" s="530">
        <v>75</v>
      </c>
      <c r="BG76" s="531">
        <f t="shared" ca="1" si="88"/>
        <v>48449</v>
      </c>
      <c r="BH76" s="532">
        <f ca="1">IF(BH75=0,SUMIFS('Key Life Events'!$L$3:$L$28,'Key Life Events'!$H$3:$H$28,'Loan Amortization'!$BL$3,'Key Life Events'!$N$3:$N$28,'Loan Amortization'!BG76),BH75-BK75)</f>
        <v>0</v>
      </c>
      <c r="BI76" s="532">
        <f t="shared" ca="1" si="89"/>
        <v>0</v>
      </c>
      <c r="BJ76" s="532">
        <f t="shared" ca="1" si="90"/>
        <v>0</v>
      </c>
      <c r="BK76" s="532">
        <f t="shared" ca="1" si="63"/>
        <v>0</v>
      </c>
      <c r="BP76" s="536">
        <f t="shared" ca="1" si="64"/>
        <v>2032</v>
      </c>
      <c r="BQ76" s="535">
        <f ca="1"/>
        <v>0</v>
      </c>
      <c r="BS76" s="530">
        <v>75</v>
      </c>
      <c r="BT76" s="531">
        <f t="shared" ca="1" si="91"/>
        <v>48449</v>
      </c>
      <c r="BU76" s="532">
        <f ca="1">IF(BU75=0,SUMIFS('Key Life Events'!$L$3:$L$28,'Key Life Events'!$H$3:$H$28,'Loan Amortization'!$BY$3,'Key Life Events'!$N$3:$N$28,'Loan Amortization'!BT76),BU75-BX75)</f>
        <v>0</v>
      </c>
      <c r="BV76" s="532">
        <f t="shared" ca="1" si="96"/>
        <v>0</v>
      </c>
      <c r="BW76" s="532">
        <f t="shared" ca="1" si="92"/>
        <v>0</v>
      </c>
      <c r="BX76" s="532">
        <f t="shared" ca="1" si="65"/>
        <v>0</v>
      </c>
      <c r="CC76" s="536">
        <f t="shared" ca="1" si="66"/>
        <v>2032</v>
      </c>
      <c r="CD76" s="535">
        <f ca="1"/>
        <v>0</v>
      </c>
      <c r="CF76" s="530">
        <v>75</v>
      </c>
      <c r="CG76" s="531">
        <f t="shared" ca="1" si="93"/>
        <v>48449</v>
      </c>
      <c r="CH76" s="532">
        <f ca="1">IF(CH75=0,SUMIFS('Key Life Events'!$L$3:$L$28,'Key Life Events'!$H$3:$H$28,'Loan Amortization'!$CL$3,'Key Life Events'!$N$3:$N$28,'Loan Amortization'!CG76),CH75-CK75)</f>
        <v>0</v>
      </c>
      <c r="CI76" s="532">
        <f t="shared" ca="1" si="94"/>
        <v>0</v>
      </c>
      <c r="CJ76" s="532">
        <f t="shared" ca="1" si="95"/>
        <v>0</v>
      </c>
      <c r="CK76" s="532">
        <f t="shared" ca="1" si="67"/>
        <v>0</v>
      </c>
      <c r="CP76" s="536">
        <f t="shared" ca="1" si="68"/>
        <v>2032</v>
      </c>
      <c r="CQ76" s="535">
        <f ca="1"/>
        <v>0</v>
      </c>
      <c r="CS76" s="100">
        <f t="shared" si="69"/>
        <v>75</v>
      </c>
      <c r="CT76" s="102">
        <f t="shared" ca="1" si="70"/>
        <v>0</v>
      </c>
      <c r="CU76" s="102">
        <f t="shared" ca="1" si="71"/>
        <v>0</v>
      </c>
      <c r="CV76" s="511">
        <f t="shared" ca="1" si="72"/>
        <v>2032</v>
      </c>
      <c r="CW76" s="1">
        <f t="shared" si="51"/>
        <v>889</v>
      </c>
      <c r="CX76" s="99">
        <f t="shared" si="52"/>
        <v>0</v>
      </c>
    </row>
    <row r="77" spans="1:102" x14ac:dyDescent="0.3">
      <c r="A77" s="100">
        <v>76</v>
      </c>
      <c r="B77" s="131">
        <f t="shared" si="73"/>
        <v>1458</v>
      </c>
      <c r="C77" s="102">
        <f t="shared" si="74"/>
        <v>0</v>
      </c>
      <c r="D77" s="102">
        <f t="shared" si="75"/>
        <v>0</v>
      </c>
      <c r="E77" s="102">
        <f t="shared" si="54"/>
        <v>0</v>
      </c>
      <c r="F77" s="102">
        <f t="shared" si="76"/>
        <v>0</v>
      </c>
      <c r="L77" s="100">
        <v>76</v>
      </c>
      <c r="M77" s="131">
        <f t="shared" ca="1" si="77"/>
        <v>48480</v>
      </c>
      <c r="N77" s="102">
        <f t="shared" si="78"/>
        <v>0</v>
      </c>
      <c r="O77" s="102">
        <f t="shared" si="79"/>
        <v>0</v>
      </c>
      <c r="P77" s="102">
        <f t="shared" si="56"/>
        <v>0</v>
      </c>
      <c r="Q77" s="102">
        <f t="shared" si="57"/>
        <v>0</v>
      </c>
      <c r="W77" s="100">
        <v>76</v>
      </c>
      <c r="X77" s="131">
        <f t="shared" ca="1" si="80"/>
        <v>48480</v>
      </c>
      <c r="Y77" s="102">
        <f t="shared" si="81"/>
        <v>0</v>
      </c>
      <c r="Z77" s="102">
        <f t="shared" si="82"/>
        <v>0</v>
      </c>
      <c r="AA77" s="102">
        <f t="shared" si="58"/>
        <v>0</v>
      </c>
      <c r="AB77" s="102">
        <f t="shared" si="59"/>
        <v>0</v>
      </c>
      <c r="AH77" s="100">
        <v>76</v>
      </c>
      <c r="AI77" s="131">
        <f t="shared" ca="1" si="83"/>
        <v>48480</v>
      </c>
      <c r="AJ77" s="102">
        <f t="shared" si="84"/>
        <v>0</v>
      </c>
      <c r="AK77" s="102">
        <f t="shared" si="85"/>
        <v>0</v>
      </c>
      <c r="AL77" s="102">
        <f t="shared" si="97"/>
        <v>0</v>
      </c>
      <c r="AM77" s="102">
        <f t="shared" si="60"/>
        <v>0</v>
      </c>
      <c r="AS77" s="530">
        <v>76</v>
      </c>
      <c r="AT77" s="531">
        <f t="shared" ca="1" si="86"/>
        <v>48480</v>
      </c>
      <c r="AU77" s="532">
        <f ca="1">IF(AU76=0,SUMIFS('Key Life Events'!$L$3:$L$28,'Key Life Events'!$H$3:$H$28,'Loan Amortization'!$AY$3,'Key Life Events'!$N$3:$N$28,'Loan Amortization'!AT77),AU76-AX76)</f>
        <v>0</v>
      </c>
      <c r="AV77" s="532">
        <f t="shared" ca="1" si="87"/>
        <v>0</v>
      </c>
      <c r="AW77" s="532">
        <f t="shared" ca="1" si="53"/>
        <v>0</v>
      </c>
      <c r="AX77" s="532">
        <f t="shared" ca="1" si="61"/>
        <v>0</v>
      </c>
      <c r="BC77" s="536">
        <f t="shared" ca="1" si="62"/>
        <v>2032</v>
      </c>
      <c r="BF77" s="530">
        <v>76</v>
      </c>
      <c r="BG77" s="531">
        <f t="shared" ca="1" si="88"/>
        <v>48480</v>
      </c>
      <c r="BH77" s="532">
        <f ca="1">IF(BH76=0,SUMIFS('Key Life Events'!$L$3:$L$28,'Key Life Events'!$H$3:$H$28,'Loan Amortization'!$BL$3,'Key Life Events'!$N$3:$N$28,'Loan Amortization'!BG77),BH76-BK76)</f>
        <v>0</v>
      </c>
      <c r="BI77" s="532">
        <f t="shared" ca="1" si="89"/>
        <v>0</v>
      </c>
      <c r="BJ77" s="532">
        <f t="shared" ca="1" si="90"/>
        <v>0</v>
      </c>
      <c r="BK77" s="532">
        <f t="shared" ca="1" si="63"/>
        <v>0</v>
      </c>
      <c r="BP77" s="536">
        <f t="shared" ca="1" si="64"/>
        <v>2032</v>
      </c>
      <c r="BQ77" s="535">
        <f ca="1"/>
        <v>0</v>
      </c>
      <c r="BS77" s="530">
        <v>76</v>
      </c>
      <c r="BT77" s="531">
        <f t="shared" ca="1" si="91"/>
        <v>48480</v>
      </c>
      <c r="BU77" s="532">
        <f ca="1">IF(BU76=0,SUMIFS('Key Life Events'!$L$3:$L$28,'Key Life Events'!$H$3:$H$28,'Loan Amortization'!$BY$3,'Key Life Events'!$N$3:$N$28,'Loan Amortization'!BT77),BU76-BX76)</f>
        <v>0</v>
      </c>
      <c r="BV77" s="532">
        <f t="shared" ca="1" si="96"/>
        <v>0</v>
      </c>
      <c r="BW77" s="532">
        <f t="shared" ca="1" si="92"/>
        <v>0</v>
      </c>
      <c r="BX77" s="532">
        <f t="shared" ca="1" si="65"/>
        <v>0</v>
      </c>
      <c r="CC77" s="536">
        <f t="shared" ca="1" si="66"/>
        <v>2032</v>
      </c>
      <c r="CD77" s="535">
        <f ca="1"/>
        <v>0</v>
      </c>
      <c r="CF77" s="530">
        <v>76</v>
      </c>
      <c r="CG77" s="531">
        <f t="shared" ca="1" si="93"/>
        <v>48480</v>
      </c>
      <c r="CH77" s="532">
        <f ca="1">IF(CH76=0,SUMIFS('Key Life Events'!$L$3:$L$28,'Key Life Events'!$H$3:$H$28,'Loan Amortization'!$CL$3,'Key Life Events'!$N$3:$N$28,'Loan Amortization'!CG77),CH76-CK76)</f>
        <v>0</v>
      </c>
      <c r="CI77" s="532">
        <f t="shared" ca="1" si="94"/>
        <v>0</v>
      </c>
      <c r="CJ77" s="532">
        <f t="shared" ca="1" si="95"/>
        <v>0</v>
      </c>
      <c r="CK77" s="532">
        <f t="shared" ca="1" si="67"/>
        <v>0</v>
      </c>
      <c r="CP77" s="536">
        <f t="shared" ca="1" si="68"/>
        <v>2032</v>
      </c>
      <c r="CQ77" s="535">
        <f ca="1"/>
        <v>0</v>
      </c>
      <c r="CS77" s="100">
        <f t="shared" si="69"/>
        <v>76</v>
      </c>
      <c r="CT77" s="102">
        <f t="shared" ca="1" si="70"/>
        <v>0</v>
      </c>
      <c r="CU77" s="102">
        <f t="shared" ca="1" si="71"/>
        <v>0</v>
      </c>
      <c r="CV77" s="511">
        <f t="shared" ca="1" si="72"/>
        <v>2032</v>
      </c>
      <c r="CW77" s="1">
        <f t="shared" si="51"/>
        <v>901</v>
      </c>
      <c r="CX77" s="99">
        <f t="shared" si="52"/>
        <v>0</v>
      </c>
    </row>
    <row r="78" spans="1:102" x14ac:dyDescent="0.3">
      <c r="A78" s="100">
        <v>77</v>
      </c>
      <c r="B78" s="131">
        <f t="shared" si="73"/>
        <v>1489</v>
      </c>
      <c r="C78" s="102">
        <f t="shared" si="74"/>
        <v>0</v>
      </c>
      <c r="D78" s="102">
        <f t="shared" si="75"/>
        <v>0</v>
      </c>
      <c r="E78" s="102">
        <f t="shared" si="54"/>
        <v>0</v>
      </c>
      <c r="F78" s="102">
        <f t="shared" si="76"/>
        <v>0</v>
      </c>
      <c r="L78" s="100">
        <v>77</v>
      </c>
      <c r="M78" s="131">
        <f t="shared" ca="1" si="77"/>
        <v>48510</v>
      </c>
      <c r="N78" s="102">
        <f t="shared" si="78"/>
        <v>0</v>
      </c>
      <c r="O78" s="102">
        <f t="shared" si="79"/>
        <v>0</v>
      </c>
      <c r="P78" s="102">
        <f t="shared" si="56"/>
        <v>0</v>
      </c>
      <c r="Q78" s="102">
        <f t="shared" si="57"/>
        <v>0</v>
      </c>
      <c r="W78" s="100">
        <v>77</v>
      </c>
      <c r="X78" s="131">
        <f t="shared" ca="1" si="80"/>
        <v>48510</v>
      </c>
      <c r="Y78" s="102">
        <f t="shared" si="81"/>
        <v>0</v>
      </c>
      <c r="Z78" s="102">
        <f t="shared" si="82"/>
        <v>0</v>
      </c>
      <c r="AA78" s="102">
        <f t="shared" si="58"/>
        <v>0</v>
      </c>
      <c r="AB78" s="102">
        <f t="shared" si="59"/>
        <v>0</v>
      </c>
      <c r="AH78" s="100">
        <v>77</v>
      </c>
      <c r="AI78" s="131">
        <f t="shared" ca="1" si="83"/>
        <v>48510</v>
      </c>
      <c r="AJ78" s="102">
        <f t="shared" si="84"/>
        <v>0</v>
      </c>
      <c r="AK78" s="102">
        <f t="shared" si="85"/>
        <v>0</v>
      </c>
      <c r="AL78" s="102">
        <f t="shared" si="97"/>
        <v>0</v>
      </c>
      <c r="AM78" s="102">
        <f t="shared" si="60"/>
        <v>0</v>
      </c>
      <c r="AS78" s="530">
        <v>77</v>
      </c>
      <c r="AT78" s="531">
        <f t="shared" ca="1" si="86"/>
        <v>48510</v>
      </c>
      <c r="AU78" s="532">
        <f ca="1">IF(AU77=0,SUMIFS('Key Life Events'!$L$3:$L$28,'Key Life Events'!$H$3:$H$28,'Loan Amortization'!$AY$3,'Key Life Events'!$N$3:$N$28,'Loan Amortization'!AT78),AU77-AX77)</f>
        <v>0</v>
      </c>
      <c r="AV78" s="532">
        <f t="shared" ca="1" si="87"/>
        <v>0</v>
      </c>
      <c r="AW78" s="532">
        <f t="shared" ca="1" si="53"/>
        <v>0</v>
      </c>
      <c r="AX78" s="532">
        <f t="shared" ca="1" si="61"/>
        <v>0</v>
      </c>
      <c r="BC78" s="536">
        <f t="shared" ca="1" si="62"/>
        <v>2032</v>
      </c>
      <c r="BF78" s="530">
        <v>77</v>
      </c>
      <c r="BG78" s="531">
        <f t="shared" ca="1" si="88"/>
        <v>48510</v>
      </c>
      <c r="BH78" s="532">
        <f ca="1">IF(BH77=0,SUMIFS('Key Life Events'!$L$3:$L$28,'Key Life Events'!$H$3:$H$28,'Loan Amortization'!$BL$3,'Key Life Events'!$N$3:$N$28,'Loan Amortization'!BG78),BH77-BK77)</f>
        <v>0</v>
      </c>
      <c r="BI78" s="532">
        <f t="shared" ca="1" si="89"/>
        <v>0</v>
      </c>
      <c r="BJ78" s="532">
        <f t="shared" ca="1" si="90"/>
        <v>0</v>
      </c>
      <c r="BK78" s="532">
        <f t="shared" ca="1" si="63"/>
        <v>0</v>
      </c>
      <c r="BP78" s="536">
        <f t="shared" ca="1" si="64"/>
        <v>2032</v>
      </c>
      <c r="BQ78" s="535">
        <f ca="1"/>
        <v>0</v>
      </c>
      <c r="BS78" s="530">
        <v>77</v>
      </c>
      <c r="BT78" s="531">
        <f t="shared" ca="1" si="91"/>
        <v>48510</v>
      </c>
      <c r="BU78" s="532">
        <f ca="1">IF(BU77=0,SUMIFS('Key Life Events'!$L$3:$L$28,'Key Life Events'!$H$3:$H$28,'Loan Amortization'!$BY$3,'Key Life Events'!$N$3:$N$28,'Loan Amortization'!BT78),BU77-BX77)</f>
        <v>0</v>
      </c>
      <c r="BV78" s="532">
        <f t="shared" ca="1" si="96"/>
        <v>0</v>
      </c>
      <c r="BW78" s="532">
        <f t="shared" ca="1" si="92"/>
        <v>0</v>
      </c>
      <c r="BX78" s="532">
        <f t="shared" ca="1" si="65"/>
        <v>0</v>
      </c>
      <c r="CC78" s="536">
        <f t="shared" ca="1" si="66"/>
        <v>2032</v>
      </c>
      <c r="CD78" s="535">
        <f ca="1"/>
        <v>0</v>
      </c>
      <c r="CF78" s="530">
        <v>77</v>
      </c>
      <c r="CG78" s="531">
        <f t="shared" ca="1" si="93"/>
        <v>48510</v>
      </c>
      <c r="CH78" s="532">
        <f ca="1">IF(CH77=0,SUMIFS('Key Life Events'!$L$3:$L$28,'Key Life Events'!$H$3:$H$28,'Loan Amortization'!$CL$3,'Key Life Events'!$N$3:$N$28,'Loan Amortization'!CG78),CH77-CK77)</f>
        <v>0</v>
      </c>
      <c r="CI78" s="532">
        <f t="shared" ca="1" si="94"/>
        <v>0</v>
      </c>
      <c r="CJ78" s="532">
        <f t="shared" ca="1" si="95"/>
        <v>0</v>
      </c>
      <c r="CK78" s="532">
        <f t="shared" ca="1" si="67"/>
        <v>0</v>
      </c>
      <c r="CP78" s="536">
        <f t="shared" ca="1" si="68"/>
        <v>2032</v>
      </c>
      <c r="CQ78" s="535">
        <f ca="1"/>
        <v>0</v>
      </c>
      <c r="CS78" s="100">
        <f t="shared" si="69"/>
        <v>77</v>
      </c>
      <c r="CT78" s="102">
        <f t="shared" ca="1" si="70"/>
        <v>0</v>
      </c>
      <c r="CU78" s="102">
        <f t="shared" ca="1" si="71"/>
        <v>0</v>
      </c>
      <c r="CV78" s="511">
        <f t="shared" ca="1" si="72"/>
        <v>2032</v>
      </c>
      <c r="CW78" s="1">
        <f t="shared" si="51"/>
        <v>913</v>
      </c>
      <c r="CX78" s="99">
        <f t="shared" si="52"/>
        <v>0</v>
      </c>
    </row>
    <row r="79" spans="1:102" x14ac:dyDescent="0.3">
      <c r="A79" s="100">
        <v>78</v>
      </c>
      <c r="B79" s="131">
        <f t="shared" si="73"/>
        <v>1520</v>
      </c>
      <c r="C79" s="102">
        <f t="shared" si="74"/>
        <v>0</v>
      </c>
      <c r="D79" s="102">
        <f t="shared" si="75"/>
        <v>0</v>
      </c>
      <c r="E79" s="102">
        <f t="shared" si="54"/>
        <v>0</v>
      </c>
      <c r="F79" s="102">
        <f t="shared" si="76"/>
        <v>0</v>
      </c>
      <c r="L79" s="100">
        <v>78</v>
      </c>
      <c r="M79" s="131">
        <f t="shared" ca="1" si="77"/>
        <v>48541</v>
      </c>
      <c r="N79" s="102">
        <f t="shared" si="78"/>
        <v>0</v>
      </c>
      <c r="O79" s="102">
        <f t="shared" si="79"/>
        <v>0</v>
      </c>
      <c r="P79" s="102">
        <f t="shared" si="56"/>
        <v>0</v>
      </c>
      <c r="Q79" s="102">
        <f t="shared" si="57"/>
        <v>0</v>
      </c>
      <c r="W79" s="100">
        <v>78</v>
      </c>
      <c r="X79" s="131">
        <f t="shared" ca="1" si="80"/>
        <v>48541</v>
      </c>
      <c r="Y79" s="102">
        <f t="shared" si="81"/>
        <v>0</v>
      </c>
      <c r="Z79" s="102">
        <f t="shared" si="82"/>
        <v>0</v>
      </c>
      <c r="AA79" s="102">
        <f t="shared" si="58"/>
        <v>0</v>
      </c>
      <c r="AB79" s="102">
        <f t="shared" si="59"/>
        <v>0</v>
      </c>
      <c r="AH79" s="100">
        <v>78</v>
      </c>
      <c r="AI79" s="131">
        <f t="shared" ca="1" si="83"/>
        <v>48541</v>
      </c>
      <c r="AJ79" s="102">
        <f t="shared" si="84"/>
        <v>0</v>
      </c>
      <c r="AK79" s="102">
        <f t="shared" si="85"/>
        <v>0</v>
      </c>
      <c r="AL79" s="102">
        <f t="shared" si="97"/>
        <v>0</v>
      </c>
      <c r="AM79" s="102">
        <f t="shared" si="60"/>
        <v>0</v>
      </c>
      <c r="AS79" s="530">
        <v>78</v>
      </c>
      <c r="AT79" s="531">
        <f t="shared" ca="1" si="86"/>
        <v>48541</v>
      </c>
      <c r="AU79" s="532">
        <f ca="1">IF(AU78=0,SUMIFS('Key Life Events'!$L$3:$L$28,'Key Life Events'!$H$3:$H$28,'Loan Amortization'!$AY$3,'Key Life Events'!$N$3:$N$28,'Loan Amortization'!AT79),AU78-AX78)</f>
        <v>0</v>
      </c>
      <c r="AV79" s="532">
        <f t="shared" ca="1" si="87"/>
        <v>0</v>
      </c>
      <c r="AW79" s="532">
        <f t="shared" ca="1" si="53"/>
        <v>0</v>
      </c>
      <c r="AX79" s="532">
        <f t="shared" ca="1" si="61"/>
        <v>0</v>
      </c>
      <c r="BC79" s="536">
        <f t="shared" ca="1" si="62"/>
        <v>2032</v>
      </c>
      <c r="BF79" s="530">
        <v>78</v>
      </c>
      <c r="BG79" s="531">
        <f t="shared" ca="1" si="88"/>
        <v>48541</v>
      </c>
      <c r="BH79" s="532">
        <f ca="1">IF(BH78=0,SUMIFS('Key Life Events'!$L$3:$L$28,'Key Life Events'!$H$3:$H$28,'Loan Amortization'!$BL$3,'Key Life Events'!$N$3:$N$28,'Loan Amortization'!BG79),BH78-BK78)</f>
        <v>0</v>
      </c>
      <c r="BI79" s="532">
        <f t="shared" ca="1" si="89"/>
        <v>0</v>
      </c>
      <c r="BJ79" s="532">
        <f t="shared" ca="1" si="90"/>
        <v>0</v>
      </c>
      <c r="BK79" s="532">
        <f t="shared" ca="1" si="63"/>
        <v>0</v>
      </c>
      <c r="BP79" s="536">
        <f t="shared" ca="1" si="64"/>
        <v>2032</v>
      </c>
      <c r="BQ79" s="535">
        <f ca="1"/>
        <v>0</v>
      </c>
      <c r="BS79" s="530">
        <v>78</v>
      </c>
      <c r="BT79" s="531">
        <f t="shared" ca="1" si="91"/>
        <v>48541</v>
      </c>
      <c r="BU79" s="532">
        <f ca="1">IF(BU78=0,SUMIFS('Key Life Events'!$L$3:$L$28,'Key Life Events'!$H$3:$H$28,'Loan Amortization'!$BY$3,'Key Life Events'!$N$3:$N$28,'Loan Amortization'!BT79),BU78-BX78)</f>
        <v>0</v>
      </c>
      <c r="BV79" s="532">
        <f t="shared" ca="1" si="96"/>
        <v>0</v>
      </c>
      <c r="BW79" s="532">
        <f t="shared" ca="1" si="92"/>
        <v>0</v>
      </c>
      <c r="BX79" s="532">
        <f t="shared" ca="1" si="65"/>
        <v>0</v>
      </c>
      <c r="CC79" s="536">
        <f t="shared" ca="1" si="66"/>
        <v>2032</v>
      </c>
      <c r="CD79" s="535">
        <f ca="1"/>
        <v>0</v>
      </c>
      <c r="CF79" s="530">
        <v>78</v>
      </c>
      <c r="CG79" s="531">
        <f t="shared" ca="1" si="93"/>
        <v>48541</v>
      </c>
      <c r="CH79" s="532">
        <f ca="1">IF(CH78=0,SUMIFS('Key Life Events'!$L$3:$L$28,'Key Life Events'!$H$3:$H$28,'Loan Amortization'!$CL$3,'Key Life Events'!$N$3:$N$28,'Loan Amortization'!CG79),CH78-CK78)</f>
        <v>0</v>
      </c>
      <c r="CI79" s="532">
        <f t="shared" ca="1" si="94"/>
        <v>0</v>
      </c>
      <c r="CJ79" s="532">
        <f t="shared" ca="1" si="95"/>
        <v>0</v>
      </c>
      <c r="CK79" s="532">
        <f t="shared" ca="1" si="67"/>
        <v>0</v>
      </c>
      <c r="CP79" s="536">
        <f t="shared" ca="1" si="68"/>
        <v>2032</v>
      </c>
      <c r="CQ79" s="535">
        <f ca="1"/>
        <v>0</v>
      </c>
      <c r="CS79" s="100">
        <f t="shared" si="69"/>
        <v>78</v>
      </c>
      <c r="CT79" s="102">
        <f t="shared" ca="1" si="70"/>
        <v>0</v>
      </c>
      <c r="CU79" s="102">
        <f t="shared" ca="1" si="71"/>
        <v>0</v>
      </c>
      <c r="CV79" s="511">
        <f t="shared" ca="1" si="72"/>
        <v>2032</v>
      </c>
      <c r="CW79" s="1">
        <f t="shared" si="51"/>
        <v>925</v>
      </c>
      <c r="CX79" s="99">
        <f t="shared" si="52"/>
        <v>0</v>
      </c>
    </row>
    <row r="80" spans="1:102" x14ac:dyDescent="0.3">
      <c r="A80" s="100">
        <v>79</v>
      </c>
      <c r="B80" s="131">
        <f t="shared" si="73"/>
        <v>1549</v>
      </c>
      <c r="C80" s="102">
        <f t="shared" si="74"/>
        <v>0</v>
      </c>
      <c r="D80" s="102">
        <f t="shared" si="75"/>
        <v>0</v>
      </c>
      <c r="E80" s="102">
        <f t="shared" si="54"/>
        <v>0</v>
      </c>
      <c r="F80" s="102">
        <f t="shared" si="76"/>
        <v>0</v>
      </c>
      <c r="L80" s="100">
        <v>79</v>
      </c>
      <c r="M80" s="131">
        <f t="shared" ca="1" si="77"/>
        <v>48571</v>
      </c>
      <c r="N80" s="102">
        <f t="shared" si="78"/>
        <v>0</v>
      </c>
      <c r="O80" s="102">
        <f t="shared" si="79"/>
        <v>0</v>
      </c>
      <c r="P80" s="102">
        <f t="shared" si="56"/>
        <v>0</v>
      </c>
      <c r="Q80" s="102">
        <f t="shared" si="57"/>
        <v>0</v>
      </c>
      <c r="W80" s="100">
        <v>79</v>
      </c>
      <c r="X80" s="131">
        <f t="shared" ca="1" si="80"/>
        <v>48571</v>
      </c>
      <c r="Y80" s="102">
        <f t="shared" si="81"/>
        <v>0</v>
      </c>
      <c r="Z80" s="102">
        <f t="shared" si="82"/>
        <v>0</v>
      </c>
      <c r="AA80" s="102">
        <f t="shared" si="58"/>
        <v>0</v>
      </c>
      <c r="AB80" s="102">
        <f t="shared" si="59"/>
        <v>0</v>
      </c>
      <c r="AH80" s="100">
        <v>79</v>
      </c>
      <c r="AI80" s="131">
        <f t="shared" ca="1" si="83"/>
        <v>48571</v>
      </c>
      <c r="AJ80" s="102">
        <f t="shared" si="84"/>
        <v>0</v>
      </c>
      <c r="AK80" s="102">
        <f t="shared" si="85"/>
        <v>0</v>
      </c>
      <c r="AL80" s="102">
        <f t="shared" si="97"/>
        <v>0</v>
      </c>
      <c r="AM80" s="102">
        <f t="shared" si="60"/>
        <v>0</v>
      </c>
      <c r="AS80" s="530">
        <v>79</v>
      </c>
      <c r="AT80" s="531">
        <f t="shared" ca="1" si="86"/>
        <v>48571</v>
      </c>
      <c r="AU80" s="532">
        <f ca="1">IF(AU79=0,SUMIFS('Key Life Events'!$L$3:$L$28,'Key Life Events'!$H$3:$H$28,'Loan Amortization'!$AY$3,'Key Life Events'!$N$3:$N$28,'Loan Amortization'!AT80),AU79-AX79)</f>
        <v>0</v>
      </c>
      <c r="AV80" s="532">
        <f t="shared" ca="1" si="87"/>
        <v>0</v>
      </c>
      <c r="AW80" s="532">
        <f t="shared" ca="1" si="53"/>
        <v>0</v>
      </c>
      <c r="AX80" s="532">
        <f t="shared" ca="1" si="61"/>
        <v>0</v>
      </c>
      <c r="BC80" s="536">
        <f t="shared" ca="1" si="62"/>
        <v>2032</v>
      </c>
      <c r="BF80" s="530">
        <v>79</v>
      </c>
      <c r="BG80" s="531">
        <f t="shared" ca="1" si="88"/>
        <v>48571</v>
      </c>
      <c r="BH80" s="532">
        <f ca="1">IF(BH79=0,SUMIFS('Key Life Events'!$L$3:$L$28,'Key Life Events'!$H$3:$H$28,'Loan Amortization'!$BL$3,'Key Life Events'!$N$3:$N$28,'Loan Amortization'!BG80),BH79-BK79)</f>
        <v>0</v>
      </c>
      <c r="BI80" s="532">
        <f t="shared" ca="1" si="89"/>
        <v>0</v>
      </c>
      <c r="BJ80" s="532">
        <f t="shared" ca="1" si="90"/>
        <v>0</v>
      </c>
      <c r="BK80" s="532">
        <f t="shared" ca="1" si="63"/>
        <v>0</v>
      </c>
      <c r="BP80" s="536">
        <f t="shared" ca="1" si="64"/>
        <v>2032</v>
      </c>
      <c r="BQ80" s="535">
        <f ca="1"/>
        <v>0</v>
      </c>
      <c r="BS80" s="530">
        <v>79</v>
      </c>
      <c r="BT80" s="531">
        <f t="shared" ca="1" si="91"/>
        <v>48571</v>
      </c>
      <c r="BU80" s="532">
        <f ca="1">IF(BU79=0,SUMIFS('Key Life Events'!$L$3:$L$28,'Key Life Events'!$H$3:$H$28,'Loan Amortization'!$BY$3,'Key Life Events'!$N$3:$N$28,'Loan Amortization'!BT80),BU79-BX79)</f>
        <v>0</v>
      </c>
      <c r="BV80" s="532">
        <f t="shared" ca="1" si="96"/>
        <v>0</v>
      </c>
      <c r="BW80" s="532">
        <f t="shared" ca="1" si="92"/>
        <v>0</v>
      </c>
      <c r="BX80" s="532">
        <f t="shared" ca="1" si="65"/>
        <v>0</v>
      </c>
      <c r="CC80" s="536">
        <f t="shared" ca="1" si="66"/>
        <v>2032</v>
      </c>
      <c r="CD80" s="535">
        <f ca="1"/>
        <v>0</v>
      </c>
      <c r="CF80" s="530">
        <v>79</v>
      </c>
      <c r="CG80" s="531">
        <f t="shared" ca="1" si="93"/>
        <v>48571</v>
      </c>
      <c r="CH80" s="532">
        <f ca="1">IF(CH79=0,SUMIFS('Key Life Events'!$L$3:$L$28,'Key Life Events'!$H$3:$H$28,'Loan Amortization'!$CL$3,'Key Life Events'!$N$3:$N$28,'Loan Amortization'!CG80),CH79-CK79)</f>
        <v>0</v>
      </c>
      <c r="CI80" s="532">
        <f t="shared" ca="1" si="94"/>
        <v>0</v>
      </c>
      <c r="CJ80" s="532">
        <f t="shared" ca="1" si="95"/>
        <v>0</v>
      </c>
      <c r="CK80" s="532">
        <f t="shared" ca="1" si="67"/>
        <v>0</v>
      </c>
      <c r="CP80" s="536">
        <f t="shared" ca="1" si="68"/>
        <v>2032</v>
      </c>
      <c r="CQ80" s="535">
        <f ca="1"/>
        <v>0</v>
      </c>
      <c r="CS80" s="100">
        <f t="shared" si="69"/>
        <v>79</v>
      </c>
      <c r="CT80" s="102">
        <f t="shared" ca="1" si="70"/>
        <v>0</v>
      </c>
      <c r="CU80" s="102">
        <f t="shared" ca="1" si="71"/>
        <v>0</v>
      </c>
      <c r="CV80" s="511">
        <f t="shared" ca="1" si="72"/>
        <v>2032</v>
      </c>
      <c r="CW80" s="1">
        <f t="shared" si="51"/>
        <v>937</v>
      </c>
      <c r="CX80" s="99">
        <f t="shared" si="52"/>
        <v>0</v>
      </c>
    </row>
    <row r="81" spans="1:102" x14ac:dyDescent="0.3">
      <c r="A81" s="100">
        <v>80</v>
      </c>
      <c r="B81" s="131">
        <f t="shared" si="73"/>
        <v>1580</v>
      </c>
      <c r="C81" s="102">
        <f t="shared" si="74"/>
        <v>0</v>
      </c>
      <c r="D81" s="102">
        <f t="shared" si="75"/>
        <v>0</v>
      </c>
      <c r="E81" s="102">
        <f t="shared" si="54"/>
        <v>0</v>
      </c>
      <c r="F81" s="102">
        <f t="shared" si="76"/>
        <v>0</v>
      </c>
      <c r="L81" s="100">
        <v>80</v>
      </c>
      <c r="M81" s="131">
        <f t="shared" ca="1" si="77"/>
        <v>48602</v>
      </c>
      <c r="N81" s="102">
        <f t="shared" si="78"/>
        <v>0</v>
      </c>
      <c r="O81" s="102">
        <f t="shared" si="79"/>
        <v>0</v>
      </c>
      <c r="P81" s="102">
        <f t="shared" si="56"/>
        <v>0</v>
      </c>
      <c r="Q81" s="102">
        <f t="shared" si="57"/>
        <v>0</v>
      </c>
      <c r="W81" s="100">
        <v>80</v>
      </c>
      <c r="X81" s="131">
        <f t="shared" ca="1" si="80"/>
        <v>48602</v>
      </c>
      <c r="Y81" s="102">
        <f t="shared" si="81"/>
        <v>0</v>
      </c>
      <c r="Z81" s="102">
        <f t="shared" si="82"/>
        <v>0</v>
      </c>
      <c r="AA81" s="102">
        <f t="shared" si="58"/>
        <v>0</v>
      </c>
      <c r="AB81" s="102">
        <f t="shared" si="59"/>
        <v>0</v>
      </c>
      <c r="AH81" s="100">
        <v>80</v>
      </c>
      <c r="AI81" s="131">
        <f t="shared" ca="1" si="83"/>
        <v>48602</v>
      </c>
      <c r="AJ81" s="102">
        <f t="shared" si="84"/>
        <v>0</v>
      </c>
      <c r="AK81" s="102">
        <f t="shared" si="85"/>
        <v>0</v>
      </c>
      <c r="AL81" s="102">
        <f t="shared" si="97"/>
        <v>0</v>
      </c>
      <c r="AM81" s="102">
        <f t="shared" si="60"/>
        <v>0</v>
      </c>
      <c r="AS81" s="530">
        <v>80</v>
      </c>
      <c r="AT81" s="531">
        <f t="shared" ca="1" si="86"/>
        <v>48602</v>
      </c>
      <c r="AU81" s="532">
        <f ca="1">IF(AU80=0,SUMIFS('Key Life Events'!$L$3:$L$28,'Key Life Events'!$H$3:$H$28,'Loan Amortization'!$AY$3,'Key Life Events'!$N$3:$N$28,'Loan Amortization'!AT81),AU80-AX80)</f>
        <v>0</v>
      </c>
      <c r="AV81" s="532">
        <f t="shared" ca="1" si="87"/>
        <v>0</v>
      </c>
      <c r="AW81" s="532">
        <f t="shared" ca="1" si="53"/>
        <v>0</v>
      </c>
      <c r="AX81" s="532">
        <f t="shared" ca="1" si="61"/>
        <v>0</v>
      </c>
      <c r="BC81" s="536">
        <f t="shared" ca="1" si="62"/>
        <v>2033</v>
      </c>
      <c r="BF81" s="530">
        <v>80</v>
      </c>
      <c r="BG81" s="531">
        <f t="shared" ca="1" si="88"/>
        <v>48602</v>
      </c>
      <c r="BH81" s="532">
        <f ca="1">IF(BH80=0,SUMIFS('Key Life Events'!$L$3:$L$28,'Key Life Events'!$H$3:$H$28,'Loan Amortization'!$BL$3,'Key Life Events'!$N$3:$N$28,'Loan Amortization'!BG81),BH80-BK80)</f>
        <v>0</v>
      </c>
      <c r="BI81" s="532">
        <f t="shared" ca="1" si="89"/>
        <v>0</v>
      </c>
      <c r="BJ81" s="532">
        <f t="shared" ca="1" si="90"/>
        <v>0</v>
      </c>
      <c r="BK81" s="532">
        <f t="shared" ca="1" si="63"/>
        <v>0</v>
      </c>
      <c r="BP81" s="536">
        <f t="shared" ca="1" si="64"/>
        <v>2033</v>
      </c>
      <c r="BQ81" s="535">
        <f ca="1"/>
        <v>0</v>
      </c>
      <c r="BS81" s="530">
        <v>80</v>
      </c>
      <c r="BT81" s="531">
        <f t="shared" ca="1" si="91"/>
        <v>48602</v>
      </c>
      <c r="BU81" s="532">
        <f ca="1">IF(BU80=0,SUMIFS('Key Life Events'!$L$3:$L$28,'Key Life Events'!$H$3:$H$28,'Loan Amortization'!$BY$3,'Key Life Events'!$N$3:$N$28,'Loan Amortization'!BT81),BU80-BX80)</f>
        <v>0</v>
      </c>
      <c r="BV81" s="532">
        <f t="shared" ca="1" si="96"/>
        <v>0</v>
      </c>
      <c r="BW81" s="532">
        <f t="shared" ca="1" si="92"/>
        <v>0</v>
      </c>
      <c r="BX81" s="532">
        <f t="shared" ca="1" si="65"/>
        <v>0</v>
      </c>
      <c r="CC81" s="536">
        <f t="shared" ca="1" si="66"/>
        <v>2033</v>
      </c>
      <c r="CD81" s="535">
        <f ca="1"/>
        <v>0</v>
      </c>
      <c r="CF81" s="530">
        <v>80</v>
      </c>
      <c r="CG81" s="531">
        <f t="shared" ca="1" si="93"/>
        <v>48602</v>
      </c>
      <c r="CH81" s="532">
        <f ca="1">IF(CH80=0,SUMIFS('Key Life Events'!$L$3:$L$28,'Key Life Events'!$H$3:$H$28,'Loan Amortization'!$CL$3,'Key Life Events'!$N$3:$N$28,'Loan Amortization'!CG81),CH80-CK80)</f>
        <v>0</v>
      </c>
      <c r="CI81" s="532">
        <f t="shared" ca="1" si="94"/>
        <v>0</v>
      </c>
      <c r="CJ81" s="532">
        <f t="shared" ca="1" si="95"/>
        <v>0</v>
      </c>
      <c r="CK81" s="532">
        <f t="shared" ca="1" si="67"/>
        <v>0</v>
      </c>
      <c r="CP81" s="536">
        <f t="shared" ca="1" si="68"/>
        <v>2033</v>
      </c>
      <c r="CQ81" s="535">
        <f ca="1"/>
        <v>0</v>
      </c>
      <c r="CS81" s="100">
        <f t="shared" si="69"/>
        <v>80</v>
      </c>
      <c r="CT81" s="102">
        <f t="shared" ca="1" si="70"/>
        <v>0</v>
      </c>
      <c r="CU81" s="102">
        <f t="shared" ca="1" si="71"/>
        <v>0</v>
      </c>
      <c r="CV81" s="511">
        <f t="shared" ca="1" si="72"/>
        <v>2033</v>
      </c>
      <c r="CW81" s="1">
        <f t="shared" si="51"/>
        <v>949</v>
      </c>
      <c r="CX81" s="99">
        <f t="shared" si="52"/>
        <v>0</v>
      </c>
    </row>
    <row r="82" spans="1:102" x14ac:dyDescent="0.3">
      <c r="A82" s="100">
        <v>81</v>
      </c>
      <c r="B82" s="131">
        <f t="shared" si="73"/>
        <v>1610</v>
      </c>
      <c r="C82" s="102">
        <f t="shared" si="74"/>
        <v>0</v>
      </c>
      <c r="D82" s="102">
        <f t="shared" si="75"/>
        <v>0</v>
      </c>
      <c r="E82" s="102">
        <f t="shared" si="54"/>
        <v>0</v>
      </c>
      <c r="F82" s="102">
        <f t="shared" si="76"/>
        <v>0</v>
      </c>
      <c r="L82" s="100">
        <v>81</v>
      </c>
      <c r="M82" s="131">
        <f t="shared" ca="1" si="77"/>
        <v>48633</v>
      </c>
      <c r="N82" s="102">
        <f t="shared" si="78"/>
        <v>0</v>
      </c>
      <c r="O82" s="102">
        <f t="shared" si="79"/>
        <v>0</v>
      </c>
      <c r="P82" s="102">
        <f t="shared" si="56"/>
        <v>0</v>
      </c>
      <c r="Q82" s="102">
        <f t="shared" si="57"/>
        <v>0</v>
      </c>
      <c r="W82" s="100">
        <v>81</v>
      </c>
      <c r="X82" s="131">
        <f t="shared" ca="1" si="80"/>
        <v>48633</v>
      </c>
      <c r="Y82" s="102">
        <f t="shared" si="81"/>
        <v>0</v>
      </c>
      <c r="Z82" s="102">
        <f t="shared" si="82"/>
        <v>0</v>
      </c>
      <c r="AA82" s="102">
        <f t="shared" si="58"/>
        <v>0</v>
      </c>
      <c r="AB82" s="102">
        <f t="shared" si="59"/>
        <v>0</v>
      </c>
      <c r="AH82" s="100">
        <v>81</v>
      </c>
      <c r="AI82" s="131">
        <f t="shared" ca="1" si="83"/>
        <v>48633</v>
      </c>
      <c r="AJ82" s="102">
        <f t="shared" si="84"/>
        <v>0</v>
      </c>
      <c r="AK82" s="102">
        <f t="shared" si="85"/>
        <v>0</v>
      </c>
      <c r="AL82" s="102">
        <f t="shared" si="97"/>
        <v>0</v>
      </c>
      <c r="AM82" s="102">
        <f t="shared" si="60"/>
        <v>0</v>
      </c>
      <c r="AS82" s="530">
        <v>81</v>
      </c>
      <c r="AT82" s="531">
        <f t="shared" ca="1" si="86"/>
        <v>48633</v>
      </c>
      <c r="AU82" s="532">
        <f ca="1">IF(AU81=0,SUMIFS('Key Life Events'!$L$3:$L$28,'Key Life Events'!$H$3:$H$28,'Loan Amortization'!$AY$3,'Key Life Events'!$N$3:$N$28,'Loan Amortization'!AT82),AU81-AX81)</f>
        <v>0</v>
      </c>
      <c r="AV82" s="532">
        <f t="shared" ca="1" si="87"/>
        <v>0</v>
      </c>
      <c r="AW82" s="532">
        <f t="shared" ca="1" si="53"/>
        <v>0</v>
      </c>
      <c r="AX82" s="532">
        <f t="shared" ca="1" si="61"/>
        <v>0</v>
      </c>
      <c r="BC82" s="536">
        <f t="shared" ca="1" si="62"/>
        <v>2033</v>
      </c>
      <c r="BF82" s="530">
        <v>81</v>
      </c>
      <c r="BG82" s="531">
        <f t="shared" ca="1" si="88"/>
        <v>48633</v>
      </c>
      <c r="BH82" s="532">
        <f ca="1">IF(BH81=0,SUMIFS('Key Life Events'!$L$3:$L$28,'Key Life Events'!$H$3:$H$28,'Loan Amortization'!$BL$3,'Key Life Events'!$N$3:$N$28,'Loan Amortization'!BG82),BH81-BK81)</f>
        <v>0</v>
      </c>
      <c r="BI82" s="532">
        <f t="shared" ca="1" si="89"/>
        <v>0</v>
      </c>
      <c r="BJ82" s="532">
        <f t="shared" ca="1" si="90"/>
        <v>0</v>
      </c>
      <c r="BK82" s="532">
        <f t="shared" ca="1" si="63"/>
        <v>0</v>
      </c>
      <c r="BP82" s="536">
        <f t="shared" ca="1" si="64"/>
        <v>2033</v>
      </c>
      <c r="BQ82" s="535">
        <f ca="1"/>
        <v>0</v>
      </c>
      <c r="BS82" s="530">
        <v>81</v>
      </c>
      <c r="BT82" s="531">
        <f t="shared" ca="1" si="91"/>
        <v>48633</v>
      </c>
      <c r="BU82" s="532">
        <f ca="1">IF(BU81=0,SUMIFS('Key Life Events'!$L$3:$L$28,'Key Life Events'!$H$3:$H$28,'Loan Amortization'!$BY$3,'Key Life Events'!$N$3:$N$28,'Loan Amortization'!BT82),BU81-BX81)</f>
        <v>0</v>
      </c>
      <c r="BV82" s="532">
        <f t="shared" ca="1" si="96"/>
        <v>0</v>
      </c>
      <c r="BW82" s="532">
        <f t="shared" ca="1" si="92"/>
        <v>0</v>
      </c>
      <c r="BX82" s="532">
        <f t="shared" ca="1" si="65"/>
        <v>0</v>
      </c>
      <c r="CC82" s="536">
        <f t="shared" ca="1" si="66"/>
        <v>2033</v>
      </c>
      <c r="CD82" s="535">
        <f ca="1"/>
        <v>0</v>
      </c>
      <c r="CF82" s="530">
        <v>81</v>
      </c>
      <c r="CG82" s="531">
        <f t="shared" ca="1" si="93"/>
        <v>48633</v>
      </c>
      <c r="CH82" s="532">
        <f ca="1">IF(CH81=0,SUMIFS('Key Life Events'!$L$3:$L$28,'Key Life Events'!$H$3:$H$28,'Loan Amortization'!$CL$3,'Key Life Events'!$N$3:$N$28,'Loan Amortization'!CG82),CH81-CK81)</f>
        <v>0</v>
      </c>
      <c r="CI82" s="532">
        <f t="shared" ca="1" si="94"/>
        <v>0</v>
      </c>
      <c r="CJ82" s="532">
        <f t="shared" ca="1" si="95"/>
        <v>0</v>
      </c>
      <c r="CK82" s="532">
        <f t="shared" ca="1" si="67"/>
        <v>0</v>
      </c>
      <c r="CP82" s="536">
        <f t="shared" ca="1" si="68"/>
        <v>2033</v>
      </c>
      <c r="CQ82" s="535">
        <f ca="1"/>
        <v>0</v>
      </c>
      <c r="CS82" s="100">
        <f t="shared" si="69"/>
        <v>81</v>
      </c>
      <c r="CT82" s="102">
        <f t="shared" ca="1" si="70"/>
        <v>0</v>
      </c>
      <c r="CU82" s="102">
        <f t="shared" ca="1" si="71"/>
        <v>0</v>
      </c>
      <c r="CV82" s="511">
        <f t="shared" ca="1" si="72"/>
        <v>2033</v>
      </c>
      <c r="CW82" s="1">
        <f t="shared" si="51"/>
        <v>961</v>
      </c>
      <c r="CX82" s="99">
        <f t="shared" si="52"/>
        <v>0</v>
      </c>
    </row>
    <row r="83" spans="1:102" x14ac:dyDescent="0.3">
      <c r="A83" s="100">
        <v>82</v>
      </c>
      <c r="B83" s="131">
        <f t="shared" si="73"/>
        <v>1641</v>
      </c>
      <c r="C83" s="102">
        <f t="shared" si="74"/>
        <v>0</v>
      </c>
      <c r="D83" s="102">
        <f t="shared" si="75"/>
        <v>0</v>
      </c>
      <c r="E83" s="102">
        <f t="shared" si="54"/>
        <v>0</v>
      </c>
      <c r="F83" s="102">
        <f t="shared" si="76"/>
        <v>0</v>
      </c>
      <c r="L83" s="100">
        <v>82</v>
      </c>
      <c r="M83" s="131">
        <f t="shared" ca="1" si="77"/>
        <v>48661</v>
      </c>
      <c r="N83" s="102">
        <f t="shared" si="78"/>
        <v>0</v>
      </c>
      <c r="O83" s="102">
        <f t="shared" si="79"/>
        <v>0</v>
      </c>
      <c r="P83" s="102">
        <f t="shared" si="56"/>
        <v>0</v>
      </c>
      <c r="Q83" s="102">
        <f t="shared" si="57"/>
        <v>0</v>
      </c>
      <c r="W83" s="100">
        <v>82</v>
      </c>
      <c r="X83" s="131">
        <f t="shared" ca="1" si="80"/>
        <v>48661</v>
      </c>
      <c r="Y83" s="102">
        <f t="shared" si="81"/>
        <v>0</v>
      </c>
      <c r="Z83" s="102">
        <f t="shared" si="82"/>
        <v>0</v>
      </c>
      <c r="AA83" s="102">
        <f t="shared" si="58"/>
        <v>0</v>
      </c>
      <c r="AB83" s="102">
        <f t="shared" si="59"/>
        <v>0</v>
      </c>
      <c r="AH83" s="100">
        <v>82</v>
      </c>
      <c r="AI83" s="131">
        <f t="shared" ca="1" si="83"/>
        <v>48661</v>
      </c>
      <c r="AJ83" s="102">
        <f t="shared" si="84"/>
        <v>0</v>
      </c>
      <c r="AK83" s="102">
        <f t="shared" si="85"/>
        <v>0</v>
      </c>
      <c r="AL83" s="102">
        <f t="shared" si="97"/>
        <v>0</v>
      </c>
      <c r="AM83" s="102">
        <f t="shared" si="60"/>
        <v>0</v>
      </c>
      <c r="AS83" s="530">
        <v>82</v>
      </c>
      <c r="AT83" s="531">
        <f t="shared" ca="1" si="86"/>
        <v>48661</v>
      </c>
      <c r="AU83" s="532">
        <f ca="1">IF(AU82=0,SUMIFS('Key Life Events'!$L$3:$L$28,'Key Life Events'!$H$3:$H$28,'Loan Amortization'!$AY$3,'Key Life Events'!$N$3:$N$28,'Loan Amortization'!AT83),AU82-AX82)</f>
        <v>0</v>
      </c>
      <c r="AV83" s="532">
        <f t="shared" ca="1" si="87"/>
        <v>0</v>
      </c>
      <c r="AW83" s="532">
        <f t="shared" ca="1" si="53"/>
        <v>0</v>
      </c>
      <c r="AX83" s="532">
        <f t="shared" ca="1" si="61"/>
        <v>0</v>
      </c>
      <c r="BC83" s="536">
        <f t="shared" ca="1" si="62"/>
        <v>2033</v>
      </c>
      <c r="BF83" s="530">
        <v>82</v>
      </c>
      <c r="BG83" s="531">
        <f t="shared" ca="1" si="88"/>
        <v>48661</v>
      </c>
      <c r="BH83" s="532">
        <f ca="1">IF(BH82=0,SUMIFS('Key Life Events'!$L$3:$L$28,'Key Life Events'!$H$3:$H$28,'Loan Amortization'!$BL$3,'Key Life Events'!$N$3:$N$28,'Loan Amortization'!BG83),BH82-BK82)</f>
        <v>0</v>
      </c>
      <c r="BI83" s="532">
        <f t="shared" ca="1" si="89"/>
        <v>0</v>
      </c>
      <c r="BJ83" s="532">
        <f t="shared" ca="1" si="90"/>
        <v>0</v>
      </c>
      <c r="BK83" s="532">
        <f t="shared" ca="1" si="63"/>
        <v>0</v>
      </c>
      <c r="BP83" s="536">
        <f t="shared" ca="1" si="64"/>
        <v>2033</v>
      </c>
      <c r="BQ83" s="535">
        <f ca="1"/>
        <v>0</v>
      </c>
      <c r="BS83" s="530">
        <v>82</v>
      </c>
      <c r="BT83" s="531">
        <f t="shared" ca="1" si="91"/>
        <v>48661</v>
      </c>
      <c r="BU83" s="532">
        <f ca="1">IF(BU82=0,SUMIFS('Key Life Events'!$L$3:$L$28,'Key Life Events'!$H$3:$H$28,'Loan Amortization'!$BY$3,'Key Life Events'!$N$3:$N$28,'Loan Amortization'!BT83),BU82-BX82)</f>
        <v>0</v>
      </c>
      <c r="BV83" s="532">
        <f t="shared" ca="1" si="96"/>
        <v>0</v>
      </c>
      <c r="BW83" s="532">
        <f t="shared" ca="1" si="92"/>
        <v>0</v>
      </c>
      <c r="BX83" s="532">
        <f t="shared" ca="1" si="65"/>
        <v>0</v>
      </c>
      <c r="CC83" s="536">
        <f t="shared" ca="1" si="66"/>
        <v>2033</v>
      </c>
      <c r="CD83" s="535">
        <f ca="1"/>
        <v>0</v>
      </c>
      <c r="CF83" s="530">
        <v>82</v>
      </c>
      <c r="CG83" s="531">
        <f t="shared" ca="1" si="93"/>
        <v>48661</v>
      </c>
      <c r="CH83" s="532">
        <f ca="1">IF(CH82=0,SUMIFS('Key Life Events'!$L$3:$L$28,'Key Life Events'!$H$3:$H$28,'Loan Amortization'!$CL$3,'Key Life Events'!$N$3:$N$28,'Loan Amortization'!CG83),CH82-CK82)</f>
        <v>0</v>
      </c>
      <c r="CI83" s="532">
        <f t="shared" ca="1" si="94"/>
        <v>0</v>
      </c>
      <c r="CJ83" s="532">
        <f t="shared" ca="1" si="95"/>
        <v>0</v>
      </c>
      <c r="CK83" s="532">
        <f t="shared" ca="1" si="67"/>
        <v>0</v>
      </c>
      <c r="CP83" s="536">
        <f t="shared" ca="1" si="68"/>
        <v>2033</v>
      </c>
      <c r="CQ83" s="535">
        <f ca="1"/>
        <v>0</v>
      </c>
      <c r="CS83" s="100">
        <f t="shared" si="69"/>
        <v>82</v>
      </c>
      <c r="CT83" s="102">
        <f t="shared" ca="1" si="70"/>
        <v>0</v>
      </c>
      <c r="CU83" s="102">
        <f t="shared" ca="1" si="71"/>
        <v>0</v>
      </c>
      <c r="CV83" s="511">
        <f t="shared" ca="1" si="72"/>
        <v>2033</v>
      </c>
      <c r="CW83" s="1">
        <f t="shared" si="51"/>
        <v>973</v>
      </c>
      <c r="CX83" s="99">
        <f t="shared" si="52"/>
        <v>0</v>
      </c>
    </row>
    <row r="84" spans="1:102" x14ac:dyDescent="0.3">
      <c r="A84" s="100">
        <v>83</v>
      </c>
      <c r="B84" s="131">
        <f t="shared" si="73"/>
        <v>1671</v>
      </c>
      <c r="C84" s="102">
        <f t="shared" si="74"/>
        <v>0</v>
      </c>
      <c r="D84" s="102">
        <f t="shared" si="75"/>
        <v>0</v>
      </c>
      <c r="E84" s="102">
        <f t="shared" si="54"/>
        <v>0</v>
      </c>
      <c r="F84" s="102">
        <f t="shared" si="76"/>
        <v>0</v>
      </c>
      <c r="L84" s="100">
        <v>83</v>
      </c>
      <c r="M84" s="131">
        <f t="shared" ca="1" si="77"/>
        <v>48692</v>
      </c>
      <c r="N84" s="102">
        <f t="shared" si="78"/>
        <v>0</v>
      </c>
      <c r="O84" s="102">
        <f t="shared" si="79"/>
        <v>0</v>
      </c>
      <c r="P84" s="102">
        <f t="shared" si="56"/>
        <v>0</v>
      </c>
      <c r="Q84" s="102">
        <f t="shared" si="57"/>
        <v>0</v>
      </c>
      <c r="W84" s="100">
        <v>83</v>
      </c>
      <c r="X84" s="131">
        <f t="shared" ca="1" si="80"/>
        <v>48692</v>
      </c>
      <c r="Y84" s="102">
        <f t="shared" si="81"/>
        <v>0</v>
      </c>
      <c r="Z84" s="102">
        <f t="shared" si="82"/>
        <v>0</v>
      </c>
      <c r="AA84" s="102">
        <f t="shared" si="58"/>
        <v>0</v>
      </c>
      <c r="AB84" s="102">
        <f t="shared" si="59"/>
        <v>0</v>
      </c>
      <c r="AH84" s="100">
        <v>83</v>
      </c>
      <c r="AI84" s="131">
        <f t="shared" ca="1" si="83"/>
        <v>48692</v>
      </c>
      <c r="AJ84" s="102">
        <f t="shared" si="84"/>
        <v>0</v>
      </c>
      <c r="AK84" s="102">
        <f t="shared" si="85"/>
        <v>0</v>
      </c>
      <c r="AL84" s="102">
        <f t="shared" si="97"/>
        <v>0</v>
      </c>
      <c r="AM84" s="102">
        <f t="shared" si="60"/>
        <v>0</v>
      </c>
      <c r="AS84" s="530">
        <v>83</v>
      </c>
      <c r="AT84" s="531">
        <f t="shared" ca="1" si="86"/>
        <v>48692</v>
      </c>
      <c r="AU84" s="532">
        <f ca="1">IF(AU83=0,SUMIFS('Key Life Events'!$L$3:$L$28,'Key Life Events'!$H$3:$H$28,'Loan Amortization'!$AY$3,'Key Life Events'!$N$3:$N$28,'Loan Amortization'!AT84),AU83-AX83)</f>
        <v>0</v>
      </c>
      <c r="AV84" s="532">
        <f t="shared" ca="1" si="87"/>
        <v>0</v>
      </c>
      <c r="AW84" s="532">
        <f t="shared" ca="1" si="53"/>
        <v>0</v>
      </c>
      <c r="AX84" s="532">
        <f t="shared" ca="1" si="61"/>
        <v>0</v>
      </c>
      <c r="BC84" s="536">
        <f t="shared" ca="1" si="62"/>
        <v>2033</v>
      </c>
      <c r="BF84" s="530">
        <v>83</v>
      </c>
      <c r="BG84" s="531">
        <f t="shared" ca="1" si="88"/>
        <v>48692</v>
      </c>
      <c r="BH84" s="532">
        <f ca="1">IF(BH83=0,SUMIFS('Key Life Events'!$L$3:$L$28,'Key Life Events'!$H$3:$H$28,'Loan Amortization'!$BL$3,'Key Life Events'!$N$3:$N$28,'Loan Amortization'!BG84),BH83-BK83)</f>
        <v>0</v>
      </c>
      <c r="BI84" s="532">
        <f t="shared" ca="1" si="89"/>
        <v>0</v>
      </c>
      <c r="BJ84" s="532">
        <f t="shared" ca="1" si="90"/>
        <v>0</v>
      </c>
      <c r="BK84" s="532">
        <f t="shared" ca="1" si="63"/>
        <v>0</v>
      </c>
      <c r="BP84" s="536">
        <f t="shared" ca="1" si="64"/>
        <v>2033</v>
      </c>
      <c r="BQ84" s="535">
        <f ca="1"/>
        <v>0</v>
      </c>
      <c r="BS84" s="530">
        <v>83</v>
      </c>
      <c r="BT84" s="531">
        <f t="shared" ca="1" si="91"/>
        <v>48692</v>
      </c>
      <c r="BU84" s="532">
        <f ca="1">IF(BU83=0,SUMIFS('Key Life Events'!$L$3:$L$28,'Key Life Events'!$H$3:$H$28,'Loan Amortization'!$BY$3,'Key Life Events'!$N$3:$N$28,'Loan Amortization'!BT84),BU83-BX83)</f>
        <v>0</v>
      </c>
      <c r="BV84" s="532">
        <f t="shared" ca="1" si="96"/>
        <v>0</v>
      </c>
      <c r="BW84" s="532">
        <f t="shared" ca="1" si="92"/>
        <v>0</v>
      </c>
      <c r="BX84" s="532">
        <f t="shared" ca="1" si="65"/>
        <v>0</v>
      </c>
      <c r="CC84" s="536">
        <f t="shared" ca="1" si="66"/>
        <v>2033</v>
      </c>
      <c r="CD84" s="535">
        <f ca="1"/>
        <v>0</v>
      </c>
      <c r="CF84" s="530">
        <v>83</v>
      </c>
      <c r="CG84" s="531">
        <f t="shared" ca="1" si="93"/>
        <v>48692</v>
      </c>
      <c r="CH84" s="532">
        <f ca="1">IF(CH83=0,SUMIFS('Key Life Events'!$L$3:$L$28,'Key Life Events'!$H$3:$H$28,'Loan Amortization'!$CL$3,'Key Life Events'!$N$3:$N$28,'Loan Amortization'!CG84),CH83-CK83)</f>
        <v>0</v>
      </c>
      <c r="CI84" s="532">
        <f t="shared" ca="1" si="94"/>
        <v>0</v>
      </c>
      <c r="CJ84" s="532">
        <f t="shared" ca="1" si="95"/>
        <v>0</v>
      </c>
      <c r="CK84" s="532">
        <f t="shared" ca="1" si="67"/>
        <v>0</v>
      </c>
      <c r="CP84" s="536">
        <f t="shared" ca="1" si="68"/>
        <v>2033</v>
      </c>
      <c r="CQ84" s="535">
        <f ca="1"/>
        <v>0</v>
      </c>
      <c r="CS84" s="100">
        <f t="shared" si="69"/>
        <v>83</v>
      </c>
      <c r="CT84" s="102">
        <f t="shared" ca="1" si="70"/>
        <v>0</v>
      </c>
      <c r="CU84" s="102">
        <f t="shared" ca="1" si="71"/>
        <v>0</v>
      </c>
      <c r="CV84" s="511">
        <f t="shared" ca="1" si="72"/>
        <v>2033</v>
      </c>
      <c r="CW84" s="1">
        <f t="shared" si="51"/>
        <v>985</v>
      </c>
      <c r="CX84" s="99">
        <f t="shared" si="52"/>
        <v>0</v>
      </c>
    </row>
    <row r="85" spans="1:102" x14ac:dyDescent="0.3">
      <c r="A85" s="100">
        <v>84</v>
      </c>
      <c r="B85" s="131">
        <f t="shared" si="73"/>
        <v>1702</v>
      </c>
      <c r="C85" s="102">
        <f t="shared" si="74"/>
        <v>0</v>
      </c>
      <c r="D85" s="102">
        <f t="shared" si="75"/>
        <v>0</v>
      </c>
      <c r="E85" s="102">
        <f t="shared" si="54"/>
        <v>0</v>
      </c>
      <c r="F85" s="102">
        <f t="shared" si="76"/>
        <v>0</v>
      </c>
      <c r="L85" s="100">
        <v>84</v>
      </c>
      <c r="M85" s="131">
        <f t="shared" ca="1" si="77"/>
        <v>48722</v>
      </c>
      <c r="N85" s="102">
        <f t="shared" si="78"/>
        <v>0</v>
      </c>
      <c r="O85" s="102">
        <f t="shared" si="79"/>
        <v>0</v>
      </c>
      <c r="P85" s="102">
        <f t="shared" si="56"/>
        <v>0</v>
      </c>
      <c r="Q85" s="102">
        <f t="shared" si="57"/>
        <v>0</v>
      </c>
      <c r="W85" s="100">
        <v>84</v>
      </c>
      <c r="X85" s="131">
        <f t="shared" ca="1" si="80"/>
        <v>48722</v>
      </c>
      <c r="Y85" s="102">
        <f t="shared" si="81"/>
        <v>0</v>
      </c>
      <c r="Z85" s="102">
        <f t="shared" si="82"/>
        <v>0</v>
      </c>
      <c r="AA85" s="102">
        <f t="shared" si="58"/>
        <v>0</v>
      </c>
      <c r="AB85" s="102">
        <f t="shared" si="59"/>
        <v>0</v>
      </c>
      <c r="AH85" s="100">
        <v>84</v>
      </c>
      <c r="AI85" s="131">
        <f t="shared" ca="1" si="83"/>
        <v>48722</v>
      </c>
      <c r="AJ85" s="102">
        <f t="shared" si="84"/>
        <v>0</v>
      </c>
      <c r="AK85" s="102">
        <f t="shared" si="85"/>
        <v>0</v>
      </c>
      <c r="AL85" s="102">
        <f t="shared" si="97"/>
        <v>0</v>
      </c>
      <c r="AM85" s="102">
        <f t="shared" si="60"/>
        <v>0</v>
      </c>
      <c r="AS85" s="530">
        <v>84</v>
      </c>
      <c r="AT85" s="531">
        <f t="shared" ca="1" si="86"/>
        <v>48722</v>
      </c>
      <c r="AU85" s="532">
        <f ca="1">IF(AU84=0,SUMIFS('Key Life Events'!$L$3:$L$28,'Key Life Events'!$H$3:$H$28,'Loan Amortization'!$AY$3,'Key Life Events'!$N$3:$N$28,'Loan Amortization'!AT85),AU84-AX84)</f>
        <v>0</v>
      </c>
      <c r="AV85" s="532">
        <f t="shared" ca="1" si="87"/>
        <v>0</v>
      </c>
      <c r="AW85" s="532">
        <f t="shared" ca="1" si="53"/>
        <v>0</v>
      </c>
      <c r="AX85" s="532">
        <f t="shared" ca="1" si="61"/>
        <v>0</v>
      </c>
      <c r="BC85" s="536">
        <f t="shared" ca="1" si="62"/>
        <v>2033</v>
      </c>
      <c r="BF85" s="530">
        <v>84</v>
      </c>
      <c r="BG85" s="531">
        <f t="shared" ca="1" si="88"/>
        <v>48722</v>
      </c>
      <c r="BH85" s="532">
        <f ca="1">IF(BH84=0,SUMIFS('Key Life Events'!$L$3:$L$28,'Key Life Events'!$H$3:$H$28,'Loan Amortization'!$BL$3,'Key Life Events'!$N$3:$N$28,'Loan Amortization'!BG85),BH84-BK84)</f>
        <v>0</v>
      </c>
      <c r="BI85" s="532">
        <f t="shared" ca="1" si="89"/>
        <v>0</v>
      </c>
      <c r="BJ85" s="532">
        <f t="shared" ca="1" si="90"/>
        <v>0</v>
      </c>
      <c r="BK85" s="532">
        <f t="shared" ca="1" si="63"/>
        <v>0</v>
      </c>
      <c r="BP85" s="536">
        <f t="shared" ca="1" si="64"/>
        <v>2033</v>
      </c>
      <c r="BQ85" s="535">
        <f ca="1"/>
        <v>0</v>
      </c>
      <c r="BS85" s="530">
        <v>84</v>
      </c>
      <c r="BT85" s="531">
        <f t="shared" ca="1" si="91"/>
        <v>48722</v>
      </c>
      <c r="BU85" s="532">
        <f ca="1">IF(BU84=0,SUMIFS('Key Life Events'!$L$3:$L$28,'Key Life Events'!$H$3:$H$28,'Loan Amortization'!$BY$3,'Key Life Events'!$N$3:$N$28,'Loan Amortization'!BT85),BU84-BX84)</f>
        <v>0</v>
      </c>
      <c r="BV85" s="532">
        <f t="shared" ca="1" si="96"/>
        <v>0</v>
      </c>
      <c r="BW85" s="532">
        <f t="shared" ca="1" si="92"/>
        <v>0</v>
      </c>
      <c r="BX85" s="532">
        <f t="shared" ca="1" si="65"/>
        <v>0</v>
      </c>
      <c r="CC85" s="536">
        <f t="shared" ca="1" si="66"/>
        <v>2033</v>
      </c>
      <c r="CD85" s="535">
        <f ca="1"/>
        <v>0</v>
      </c>
      <c r="CF85" s="530">
        <v>84</v>
      </c>
      <c r="CG85" s="531">
        <f t="shared" ca="1" si="93"/>
        <v>48722</v>
      </c>
      <c r="CH85" s="532">
        <f ca="1">IF(CH84=0,SUMIFS('Key Life Events'!$L$3:$L$28,'Key Life Events'!$H$3:$H$28,'Loan Amortization'!$CL$3,'Key Life Events'!$N$3:$N$28,'Loan Amortization'!CG85),CH84-CK84)</f>
        <v>0</v>
      </c>
      <c r="CI85" s="532">
        <f t="shared" ca="1" si="94"/>
        <v>0</v>
      </c>
      <c r="CJ85" s="532">
        <f t="shared" ca="1" si="95"/>
        <v>0</v>
      </c>
      <c r="CK85" s="532">
        <f t="shared" ca="1" si="67"/>
        <v>0</v>
      </c>
      <c r="CP85" s="536">
        <f t="shared" ca="1" si="68"/>
        <v>2033</v>
      </c>
      <c r="CQ85" s="535">
        <f ca="1"/>
        <v>0</v>
      </c>
      <c r="CS85" s="100">
        <f t="shared" si="69"/>
        <v>84</v>
      </c>
      <c r="CT85" s="102">
        <f t="shared" ca="1" si="70"/>
        <v>0</v>
      </c>
      <c r="CU85" s="102">
        <f t="shared" ca="1" si="71"/>
        <v>0</v>
      </c>
      <c r="CV85" s="511">
        <f t="shared" ca="1" si="72"/>
        <v>2033</v>
      </c>
      <c r="CW85" s="1">
        <f t="shared" si="51"/>
        <v>997</v>
      </c>
      <c r="CX85" s="99">
        <f t="shared" si="52"/>
        <v>0</v>
      </c>
    </row>
    <row r="86" spans="1:102" x14ac:dyDescent="0.3">
      <c r="A86" s="100">
        <v>85</v>
      </c>
      <c r="B86" s="131">
        <f t="shared" si="73"/>
        <v>1733</v>
      </c>
      <c r="C86" s="102">
        <f t="shared" si="74"/>
        <v>0</v>
      </c>
      <c r="D86" s="102">
        <f t="shared" si="75"/>
        <v>0</v>
      </c>
      <c r="E86" s="102">
        <f t="shared" si="54"/>
        <v>0</v>
      </c>
      <c r="F86" s="102">
        <f t="shared" si="76"/>
        <v>0</v>
      </c>
      <c r="L86" s="100">
        <v>85</v>
      </c>
      <c r="M86" s="131">
        <f t="shared" ca="1" si="77"/>
        <v>48753</v>
      </c>
      <c r="N86" s="102">
        <f t="shared" si="78"/>
        <v>0</v>
      </c>
      <c r="O86" s="102">
        <f t="shared" si="79"/>
        <v>0</v>
      </c>
      <c r="P86" s="102">
        <f t="shared" si="56"/>
        <v>0</v>
      </c>
      <c r="Q86" s="102">
        <f t="shared" si="57"/>
        <v>0</v>
      </c>
      <c r="W86" s="100">
        <v>85</v>
      </c>
      <c r="X86" s="131">
        <f t="shared" ca="1" si="80"/>
        <v>48753</v>
      </c>
      <c r="Y86" s="102">
        <f t="shared" si="81"/>
        <v>0</v>
      </c>
      <c r="Z86" s="102">
        <f t="shared" si="82"/>
        <v>0</v>
      </c>
      <c r="AA86" s="102">
        <f t="shared" si="58"/>
        <v>0</v>
      </c>
      <c r="AB86" s="102">
        <f t="shared" si="59"/>
        <v>0</v>
      </c>
      <c r="AH86" s="100">
        <v>85</v>
      </c>
      <c r="AI86" s="131">
        <f t="shared" ca="1" si="83"/>
        <v>48753</v>
      </c>
      <c r="AJ86" s="102">
        <f t="shared" si="84"/>
        <v>0</v>
      </c>
      <c r="AK86" s="102">
        <f t="shared" si="85"/>
        <v>0</v>
      </c>
      <c r="AL86" s="102">
        <f t="shared" si="97"/>
        <v>0</v>
      </c>
      <c r="AM86" s="102">
        <f t="shared" si="60"/>
        <v>0</v>
      </c>
      <c r="AS86" s="530">
        <v>85</v>
      </c>
      <c r="AT86" s="531">
        <f t="shared" ca="1" si="86"/>
        <v>48753</v>
      </c>
      <c r="AU86" s="532">
        <f ca="1">IF(AU85=0,SUMIFS('Key Life Events'!$L$3:$L$28,'Key Life Events'!$H$3:$H$28,'Loan Amortization'!$AY$3,'Key Life Events'!$N$3:$N$28,'Loan Amortization'!AT86),AU85-AX85)</f>
        <v>0</v>
      </c>
      <c r="AV86" s="532">
        <f t="shared" ca="1" si="87"/>
        <v>0</v>
      </c>
      <c r="AW86" s="532">
        <f t="shared" ca="1" si="53"/>
        <v>0</v>
      </c>
      <c r="AX86" s="532">
        <f t="shared" ca="1" si="61"/>
        <v>0</v>
      </c>
      <c r="BC86" s="536">
        <f t="shared" ca="1" si="62"/>
        <v>2033</v>
      </c>
      <c r="BF86" s="530">
        <v>85</v>
      </c>
      <c r="BG86" s="531">
        <f t="shared" ca="1" si="88"/>
        <v>48753</v>
      </c>
      <c r="BH86" s="532">
        <f ca="1">IF(BH85=0,SUMIFS('Key Life Events'!$L$3:$L$28,'Key Life Events'!$H$3:$H$28,'Loan Amortization'!$BL$3,'Key Life Events'!$N$3:$N$28,'Loan Amortization'!BG86),BH85-BK85)</f>
        <v>0</v>
      </c>
      <c r="BI86" s="532">
        <f t="shared" ca="1" si="89"/>
        <v>0</v>
      </c>
      <c r="BJ86" s="532">
        <f t="shared" ca="1" si="90"/>
        <v>0</v>
      </c>
      <c r="BK86" s="532">
        <f t="shared" ca="1" si="63"/>
        <v>0</v>
      </c>
      <c r="BP86" s="536">
        <f t="shared" ca="1" si="64"/>
        <v>2033</v>
      </c>
      <c r="BQ86" s="535">
        <f ca="1"/>
        <v>0</v>
      </c>
      <c r="BS86" s="530">
        <v>85</v>
      </c>
      <c r="BT86" s="531">
        <f t="shared" ca="1" si="91"/>
        <v>48753</v>
      </c>
      <c r="BU86" s="532">
        <f ca="1">IF(BU85=0,SUMIFS('Key Life Events'!$L$3:$L$28,'Key Life Events'!$H$3:$H$28,'Loan Amortization'!$BY$3,'Key Life Events'!$N$3:$N$28,'Loan Amortization'!BT86),BU85-BX85)</f>
        <v>0</v>
      </c>
      <c r="BV86" s="532">
        <f t="shared" ca="1" si="96"/>
        <v>0</v>
      </c>
      <c r="BW86" s="532">
        <f t="shared" ca="1" si="92"/>
        <v>0</v>
      </c>
      <c r="BX86" s="532">
        <f t="shared" ca="1" si="65"/>
        <v>0</v>
      </c>
      <c r="CC86" s="536">
        <f t="shared" ca="1" si="66"/>
        <v>2033</v>
      </c>
      <c r="CD86" s="535">
        <f ca="1"/>
        <v>0</v>
      </c>
      <c r="CF86" s="530">
        <v>85</v>
      </c>
      <c r="CG86" s="531">
        <f t="shared" ca="1" si="93"/>
        <v>48753</v>
      </c>
      <c r="CH86" s="532">
        <f ca="1">IF(CH85=0,SUMIFS('Key Life Events'!$L$3:$L$28,'Key Life Events'!$H$3:$H$28,'Loan Amortization'!$CL$3,'Key Life Events'!$N$3:$N$28,'Loan Amortization'!CG86),CH85-CK85)</f>
        <v>0</v>
      </c>
      <c r="CI86" s="532">
        <f t="shared" ca="1" si="94"/>
        <v>0</v>
      </c>
      <c r="CJ86" s="532">
        <f t="shared" ca="1" si="95"/>
        <v>0</v>
      </c>
      <c r="CK86" s="532">
        <f t="shared" ca="1" si="67"/>
        <v>0</v>
      </c>
      <c r="CP86" s="536">
        <f t="shared" ca="1" si="68"/>
        <v>2033</v>
      </c>
      <c r="CQ86" s="535">
        <f ca="1"/>
        <v>0</v>
      </c>
      <c r="CS86" s="100">
        <f t="shared" si="69"/>
        <v>85</v>
      </c>
      <c r="CT86" s="102">
        <f t="shared" ca="1" si="70"/>
        <v>0</v>
      </c>
      <c r="CU86" s="102">
        <f t="shared" ca="1" si="71"/>
        <v>0</v>
      </c>
      <c r="CV86" s="511">
        <f t="shared" ca="1" si="72"/>
        <v>2033</v>
      </c>
      <c r="CW86" s="1">
        <f t="shared" si="51"/>
        <v>1009</v>
      </c>
      <c r="CX86" s="99">
        <f t="shared" si="52"/>
        <v>0</v>
      </c>
    </row>
    <row r="87" spans="1:102" x14ac:dyDescent="0.3">
      <c r="A87" s="100">
        <v>86</v>
      </c>
      <c r="B87" s="131">
        <f t="shared" si="73"/>
        <v>1763</v>
      </c>
      <c r="C87" s="102">
        <f t="shared" si="74"/>
        <v>0</v>
      </c>
      <c r="D87" s="102">
        <f t="shared" si="75"/>
        <v>0</v>
      </c>
      <c r="E87" s="102">
        <f t="shared" si="54"/>
        <v>0</v>
      </c>
      <c r="F87" s="102">
        <f t="shared" si="76"/>
        <v>0</v>
      </c>
      <c r="L87" s="100">
        <v>86</v>
      </c>
      <c r="M87" s="131">
        <f t="shared" ca="1" si="77"/>
        <v>48783</v>
      </c>
      <c r="N87" s="102">
        <f t="shared" si="78"/>
        <v>0</v>
      </c>
      <c r="O87" s="102">
        <f t="shared" si="79"/>
        <v>0</v>
      </c>
      <c r="P87" s="102">
        <f t="shared" si="56"/>
        <v>0</v>
      </c>
      <c r="Q87" s="102">
        <f t="shared" si="57"/>
        <v>0</v>
      </c>
      <c r="W87" s="100">
        <v>86</v>
      </c>
      <c r="X87" s="131">
        <f t="shared" ca="1" si="80"/>
        <v>48783</v>
      </c>
      <c r="Y87" s="102">
        <f t="shared" si="81"/>
        <v>0</v>
      </c>
      <c r="Z87" s="102">
        <f t="shared" si="82"/>
        <v>0</v>
      </c>
      <c r="AA87" s="102">
        <f t="shared" si="58"/>
        <v>0</v>
      </c>
      <c r="AB87" s="102">
        <f t="shared" si="59"/>
        <v>0</v>
      </c>
      <c r="AH87" s="100">
        <v>86</v>
      </c>
      <c r="AI87" s="131">
        <f t="shared" ca="1" si="83"/>
        <v>48783</v>
      </c>
      <c r="AJ87" s="102">
        <f t="shared" si="84"/>
        <v>0</v>
      </c>
      <c r="AK87" s="102">
        <f t="shared" si="85"/>
        <v>0</v>
      </c>
      <c r="AL87" s="102">
        <f t="shared" si="97"/>
        <v>0</v>
      </c>
      <c r="AM87" s="102">
        <f t="shared" si="60"/>
        <v>0</v>
      </c>
      <c r="AS87" s="530">
        <v>86</v>
      </c>
      <c r="AT87" s="531">
        <f t="shared" ca="1" si="86"/>
        <v>48783</v>
      </c>
      <c r="AU87" s="532">
        <f ca="1">IF(AU86=0,SUMIFS('Key Life Events'!$L$3:$L$28,'Key Life Events'!$H$3:$H$28,'Loan Amortization'!$AY$3,'Key Life Events'!$N$3:$N$28,'Loan Amortization'!AT87),AU86-AX86)</f>
        <v>0</v>
      </c>
      <c r="AV87" s="532">
        <f t="shared" ca="1" si="87"/>
        <v>0</v>
      </c>
      <c r="AW87" s="532">
        <f t="shared" ca="1" si="53"/>
        <v>0</v>
      </c>
      <c r="AX87" s="532">
        <f t="shared" ca="1" si="61"/>
        <v>0</v>
      </c>
      <c r="BC87" s="536">
        <f t="shared" ca="1" si="62"/>
        <v>2033</v>
      </c>
      <c r="BF87" s="530">
        <v>86</v>
      </c>
      <c r="BG87" s="531">
        <f t="shared" ca="1" si="88"/>
        <v>48783</v>
      </c>
      <c r="BH87" s="532">
        <f ca="1">IF(BH86=0,SUMIFS('Key Life Events'!$L$3:$L$28,'Key Life Events'!$H$3:$H$28,'Loan Amortization'!$BL$3,'Key Life Events'!$N$3:$N$28,'Loan Amortization'!BG87),BH86-BK86)</f>
        <v>0</v>
      </c>
      <c r="BI87" s="532">
        <f t="shared" ca="1" si="89"/>
        <v>0</v>
      </c>
      <c r="BJ87" s="532">
        <f t="shared" ca="1" si="90"/>
        <v>0</v>
      </c>
      <c r="BK87" s="532">
        <f t="shared" ca="1" si="63"/>
        <v>0</v>
      </c>
      <c r="BP87" s="536">
        <f t="shared" ca="1" si="64"/>
        <v>2033</v>
      </c>
      <c r="BQ87" s="535">
        <f ca="1"/>
        <v>0</v>
      </c>
      <c r="BS87" s="530">
        <v>86</v>
      </c>
      <c r="BT87" s="531">
        <f t="shared" ca="1" si="91"/>
        <v>48783</v>
      </c>
      <c r="BU87" s="532">
        <f ca="1">IF(BU86=0,SUMIFS('Key Life Events'!$L$3:$L$28,'Key Life Events'!$H$3:$H$28,'Loan Amortization'!$BY$3,'Key Life Events'!$N$3:$N$28,'Loan Amortization'!BT87),BU86-BX86)</f>
        <v>0</v>
      </c>
      <c r="BV87" s="532">
        <f t="shared" ca="1" si="96"/>
        <v>0</v>
      </c>
      <c r="BW87" s="532">
        <f t="shared" ca="1" si="92"/>
        <v>0</v>
      </c>
      <c r="BX87" s="532">
        <f t="shared" ca="1" si="65"/>
        <v>0</v>
      </c>
      <c r="CC87" s="536">
        <f t="shared" ca="1" si="66"/>
        <v>2033</v>
      </c>
      <c r="CD87" s="535">
        <f ca="1"/>
        <v>0</v>
      </c>
      <c r="CF87" s="530">
        <v>86</v>
      </c>
      <c r="CG87" s="531">
        <f t="shared" ca="1" si="93"/>
        <v>48783</v>
      </c>
      <c r="CH87" s="532">
        <f ca="1">IF(CH86=0,SUMIFS('Key Life Events'!$L$3:$L$28,'Key Life Events'!$H$3:$H$28,'Loan Amortization'!$CL$3,'Key Life Events'!$N$3:$N$28,'Loan Amortization'!CG87),CH86-CK86)</f>
        <v>0</v>
      </c>
      <c r="CI87" s="532">
        <f t="shared" ca="1" si="94"/>
        <v>0</v>
      </c>
      <c r="CJ87" s="532">
        <f t="shared" ca="1" si="95"/>
        <v>0</v>
      </c>
      <c r="CK87" s="532">
        <f t="shared" ca="1" si="67"/>
        <v>0</v>
      </c>
      <c r="CP87" s="536">
        <f t="shared" ca="1" si="68"/>
        <v>2033</v>
      </c>
      <c r="CQ87" s="535">
        <f ca="1"/>
        <v>0</v>
      </c>
      <c r="CS87" s="100">
        <f t="shared" si="69"/>
        <v>86</v>
      </c>
      <c r="CT87" s="102">
        <f t="shared" ca="1" si="70"/>
        <v>0</v>
      </c>
      <c r="CU87" s="102">
        <f t="shared" ca="1" si="71"/>
        <v>0</v>
      </c>
      <c r="CV87" s="511">
        <f t="shared" ca="1" si="72"/>
        <v>2033</v>
      </c>
      <c r="CW87" s="1">
        <f t="shared" si="51"/>
        <v>1021</v>
      </c>
      <c r="CX87" s="99">
        <f t="shared" si="52"/>
        <v>0</v>
      </c>
    </row>
    <row r="88" spans="1:102" x14ac:dyDescent="0.3">
      <c r="A88" s="100">
        <v>87</v>
      </c>
      <c r="B88" s="131">
        <f t="shared" si="73"/>
        <v>1794</v>
      </c>
      <c r="C88" s="102">
        <f t="shared" si="74"/>
        <v>0</v>
      </c>
      <c r="D88" s="102">
        <f t="shared" si="75"/>
        <v>0</v>
      </c>
      <c r="E88" s="102">
        <f t="shared" si="54"/>
        <v>0</v>
      </c>
      <c r="F88" s="102">
        <f t="shared" si="76"/>
        <v>0</v>
      </c>
      <c r="L88" s="100">
        <v>87</v>
      </c>
      <c r="M88" s="131">
        <f t="shared" ca="1" si="77"/>
        <v>48814</v>
      </c>
      <c r="N88" s="102">
        <f t="shared" si="78"/>
        <v>0</v>
      </c>
      <c r="O88" s="102">
        <f t="shared" si="79"/>
        <v>0</v>
      </c>
      <c r="P88" s="102">
        <f t="shared" si="56"/>
        <v>0</v>
      </c>
      <c r="Q88" s="102">
        <f t="shared" si="57"/>
        <v>0</v>
      </c>
      <c r="W88" s="100">
        <v>87</v>
      </c>
      <c r="X88" s="131">
        <f t="shared" ca="1" si="80"/>
        <v>48814</v>
      </c>
      <c r="Y88" s="102">
        <f t="shared" si="81"/>
        <v>0</v>
      </c>
      <c r="Z88" s="102">
        <f t="shared" si="82"/>
        <v>0</v>
      </c>
      <c r="AA88" s="102">
        <f t="shared" si="58"/>
        <v>0</v>
      </c>
      <c r="AB88" s="102">
        <f t="shared" si="59"/>
        <v>0</v>
      </c>
      <c r="AH88" s="100">
        <v>87</v>
      </c>
      <c r="AI88" s="131">
        <f t="shared" ca="1" si="83"/>
        <v>48814</v>
      </c>
      <c r="AJ88" s="102">
        <f t="shared" si="84"/>
        <v>0</v>
      </c>
      <c r="AK88" s="102">
        <f t="shared" si="85"/>
        <v>0</v>
      </c>
      <c r="AL88" s="102">
        <f t="shared" si="97"/>
        <v>0</v>
      </c>
      <c r="AM88" s="102">
        <f t="shared" si="60"/>
        <v>0</v>
      </c>
      <c r="AS88" s="530">
        <v>87</v>
      </c>
      <c r="AT88" s="531">
        <f t="shared" ca="1" si="86"/>
        <v>48814</v>
      </c>
      <c r="AU88" s="532">
        <f ca="1">IF(AU87=0,SUMIFS('Key Life Events'!$L$3:$L$28,'Key Life Events'!$H$3:$H$28,'Loan Amortization'!$AY$3,'Key Life Events'!$N$3:$N$28,'Loan Amortization'!AT88),AU87-AX87)</f>
        <v>0</v>
      </c>
      <c r="AV88" s="532">
        <f t="shared" ca="1" si="87"/>
        <v>0</v>
      </c>
      <c r="AW88" s="532">
        <f t="shared" ca="1" si="53"/>
        <v>0</v>
      </c>
      <c r="AX88" s="532">
        <f t="shared" ca="1" si="61"/>
        <v>0</v>
      </c>
      <c r="BC88" s="536">
        <f t="shared" ca="1" si="62"/>
        <v>2033</v>
      </c>
      <c r="BF88" s="530">
        <v>87</v>
      </c>
      <c r="BG88" s="531">
        <f t="shared" ca="1" si="88"/>
        <v>48814</v>
      </c>
      <c r="BH88" s="532">
        <f ca="1">IF(BH87=0,SUMIFS('Key Life Events'!$L$3:$L$28,'Key Life Events'!$H$3:$H$28,'Loan Amortization'!$BL$3,'Key Life Events'!$N$3:$N$28,'Loan Amortization'!BG88),BH87-BK87)</f>
        <v>0</v>
      </c>
      <c r="BI88" s="532">
        <f t="shared" ca="1" si="89"/>
        <v>0</v>
      </c>
      <c r="BJ88" s="532">
        <f t="shared" ca="1" si="90"/>
        <v>0</v>
      </c>
      <c r="BK88" s="532">
        <f t="shared" ca="1" si="63"/>
        <v>0</v>
      </c>
      <c r="BP88" s="536">
        <f t="shared" ca="1" si="64"/>
        <v>2033</v>
      </c>
      <c r="BQ88" s="535">
        <f ca="1"/>
        <v>0</v>
      </c>
      <c r="BS88" s="530">
        <v>87</v>
      </c>
      <c r="BT88" s="531">
        <f t="shared" ca="1" si="91"/>
        <v>48814</v>
      </c>
      <c r="BU88" s="532">
        <f ca="1">IF(BU87=0,SUMIFS('Key Life Events'!$L$3:$L$28,'Key Life Events'!$H$3:$H$28,'Loan Amortization'!$BY$3,'Key Life Events'!$N$3:$N$28,'Loan Amortization'!BT88),BU87-BX87)</f>
        <v>0</v>
      </c>
      <c r="BV88" s="532">
        <f t="shared" ca="1" si="96"/>
        <v>0</v>
      </c>
      <c r="BW88" s="532">
        <f t="shared" ca="1" si="92"/>
        <v>0</v>
      </c>
      <c r="BX88" s="532">
        <f t="shared" ca="1" si="65"/>
        <v>0</v>
      </c>
      <c r="CC88" s="536">
        <f t="shared" ca="1" si="66"/>
        <v>2033</v>
      </c>
      <c r="CD88" s="535">
        <f ca="1"/>
        <v>0</v>
      </c>
      <c r="CF88" s="530">
        <v>87</v>
      </c>
      <c r="CG88" s="531">
        <f t="shared" ca="1" si="93"/>
        <v>48814</v>
      </c>
      <c r="CH88" s="532">
        <f ca="1">IF(CH87=0,SUMIFS('Key Life Events'!$L$3:$L$28,'Key Life Events'!$H$3:$H$28,'Loan Amortization'!$CL$3,'Key Life Events'!$N$3:$N$28,'Loan Amortization'!CG88),CH87-CK87)</f>
        <v>0</v>
      </c>
      <c r="CI88" s="532">
        <f t="shared" ca="1" si="94"/>
        <v>0</v>
      </c>
      <c r="CJ88" s="532">
        <f t="shared" ca="1" si="95"/>
        <v>0</v>
      </c>
      <c r="CK88" s="532">
        <f t="shared" ca="1" si="67"/>
        <v>0</v>
      </c>
      <c r="CP88" s="536">
        <f t="shared" ca="1" si="68"/>
        <v>2033</v>
      </c>
      <c r="CQ88" s="535">
        <f ca="1"/>
        <v>0</v>
      </c>
      <c r="CS88" s="100">
        <f t="shared" si="69"/>
        <v>87</v>
      </c>
      <c r="CT88" s="102">
        <f t="shared" ca="1" si="70"/>
        <v>0</v>
      </c>
      <c r="CU88" s="102">
        <f t="shared" ca="1" si="71"/>
        <v>0</v>
      </c>
      <c r="CV88" s="511">
        <f t="shared" ca="1" si="72"/>
        <v>2033</v>
      </c>
      <c r="CW88" s="1">
        <f t="shared" si="51"/>
        <v>1033</v>
      </c>
      <c r="CX88" s="99">
        <f t="shared" si="52"/>
        <v>0</v>
      </c>
    </row>
    <row r="89" spans="1:102" x14ac:dyDescent="0.3">
      <c r="A89" s="100">
        <v>88</v>
      </c>
      <c r="B89" s="131">
        <f t="shared" si="73"/>
        <v>1824</v>
      </c>
      <c r="C89" s="102">
        <f t="shared" si="74"/>
        <v>0</v>
      </c>
      <c r="D89" s="102">
        <f t="shared" si="75"/>
        <v>0</v>
      </c>
      <c r="E89" s="102">
        <f t="shared" si="54"/>
        <v>0</v>
      </c>
      <c r="F89" s="102">
        <f t="shared" si="76"/>
        <v>0</v>
      </c>
      <c r="L89" s="100">
        <v>88</v>
      </c>
      <c r="M89" s="131">
        <f t="shared" ca="1" si="77"/>
        <v>48845</v>
      </c>
      <c r="N89" s="102">
        <f t="shared" si="78"/>
        <v>0</v>
      </c>
      <c r="O89" s="102">
        <f t="shared" si="79"/>
        <v>0</v>
      </c>
      <c r="P89" s="102">
        <f t="shared" si="56"/>
        <v>0</v>
      </c>
      <c r="Q89" s="102">
        <f t="shared" si="57"/>
        <v>0</v>
      </c>
      <c r="W89" s="100">
        <v>88</v>
      </c>
      <c r="X89" s="131">
        <f t="shared" ca="1" si="80"/>
        <v>48845</v>
      </c>
      <c r="Y89" s="102">
        <f t="shared" si="81"/>
        <v>0</v>
      </c>
      <c r="Z89" s="102">
        <f t="shared" si="82"/>
        <v>0</v>
      </c>
      <c r="AA89" s="102">
        <f t="shared" si="58"/>
        <v>0</v>
      </c>
      <c r="AB89" s="102">
        <f t="shared" si="59"/>
        <v>0</v>
      </c>
      <c r="AH89" s="100">
        <v>88</v>
      </c>
      <c r="AI89" s="131">
        <f t="shared" ca="1" si="83"/>
        <v>48845</v>
      </c>
      <c r="AJ89" s="102">
        <f t="shared" si="84"/>
        <v>0</v>
      </c>
      <c r="AK89" s="102">
        <f t="shared" si="85"/>
        <v>0</v>
      </c>
      <c r="AL89" s="102">
        <f t="shared" si="97"/>
        <v>0</v>
      </c>
      <c r="AM89" s="102">
        <f t="shared" si="60"/>
        <v>0</v>
      </c>
      <c r="AS89" s="530">
        <v>88</v>
      </c>
      <c r="AT89" s="531">
        <f t="shared" ca="1" si="86"/>
        <v>48845</v>
      </c>
      <c r="AU89" s="532">
        <f ca="1">IF(AU88=0,SUMIFS('Key Life Events'!$L$3:$L$28,'Key Life Events'!$H$3:$H$28,'Loan Amortization'!$AY$3,'Key Life Events'!$N$3:$N$28,'Loan Amortization'!AT89),AU88-AX88)</f>
        <v>0</v>
      </c>
      <c r="AV89" s="532">
        <f t="shared" ca="1" si="87"/>
        <v>0</v>
      </c>
      <c r="AW89" s="532">
        <f t="shared" ca="1" si="53"/>
        <v>0</v>
      </c>
      <c r="AX89" s="532">
        <f t="shared" ca="1" si="61"/>
        <v>0</v>
      </c>
      <c r="BC89" s="536">
        <f t="shared" ca="1" si="62"/>
        <v>2033</v>
      </c>
      <c r="BF89" s="530">
        <v>88</v>
      </c>
      <c r="BG89" s="531">
        <f t="shared" ca="1" si="88"/>
        <v>48845</v>
      </c>
      <c r="BH89" s="532">
        <f ca="1">IF(BH88=0,SUMIFS('Key Life Events'!$L$3:$L$28,'Key Life Events'!$H$3:$H$28,'Loan Amortization'!$BL$3,'Key Life Events'!$N$3:$N$28,'Loan Amortization'!BG89),BH88-BK88)</f>
        <v>0</v>
      </c>
      <c r="BI89" s="532">
        <f t="shared" ca="1" si="89"/>
        <v>0</v>
      </c>
      <c r="BJ89" s="532">
        <f t="shared" ca="1" si="90"/>
        <v>0</v>
      </c>
      <c r="BK89" s="532">
        <f t="shared" ca="1" si="63"/>
        <v>0</v>
      </c>
      <c r="BP89" s="536">
        <f t="shared" ca="1" si="64"/>
        <v>2033</v>
      </c>
      <c r="BQ89" s="535">
        <f ca="1"/>
        <v>0</v>
      </c>
      <c r="BS89" s="530">
        <v>88</v>
      </c>
      <c r="BT89" s="531">
        <f t="shared" ca="1" si="91"/>
        <v>48845</v>
      </c>
      <c r="BU89" s="532">
        <f ca="1">IF(BU88=0,SUMIFS('Key Life Events'!$L$3:$L$28,'Key Life Events'!$H$3:$H$28,'Loan Amortization'!$BY$3,'Key Life Events'!$N$3:$N$28,'Loan Amortization'!BT89),BU88-BX88)</f>
        <v>0</v>
      </c>
      <c r="BV89" s="532">
        <f t="shared" ca="1" si="96"/>
        <v>0</v>
      </c>
      <c r="BW89" s="532">
        <f t="shared" ca="1" si="92"/>
        <v>0</v>
      </c>
      <c r="BX89" s="532">
        <f t="shared" ca="1" si="65"/>
        <v>0</v>
      </c>
      <c r="CC89" s="536">
        <f t="shared" ca="1" si="66"/>
        <v>2033</v>
      </c>
      <c r="CD89" s="535">
        <f ca="1"/>
        <v>0</v>
      </c>
      <c r="CF89" s="530">
        <v>88</v>
      </c>
      <c r="CG89" s="531">
        <f t="shared" ca="1" si="93"/>
        <v>48845</v>
      </c>
      <c r="CH89" s="532">
        <f ca="1">IF(CH88=0,SUMIFS('Key Life Events'!$L$3:$L$28,'Key Life Events'!$H$3:$H$28,'Loan Amortization'!$CL$3,'Key Life Events'!$N$3:$N$28,'Loan Amortization'!CG89),CH88-CK88)</f>
        <v>0</v>
      </c>
      <c r="CI89" s="532">
        <f t="shared" ca="1" si="94"/>
        <v>0</v>
      </c>
      <c r="CJ89" s="532">
        <f t="shared" ca="1" si="95"/>
        <v>0</v>
      </c>
      <c r="CK89" s="532">
        <f t="shared" ca="1" si="67"/>
        <v>0</v>
      </c>
      <c r="CP89" s="536">
        <f t="shared" ca="1" si="68"/>
        <v>2033</v>
      </c>
      <c r="CQ89" s="535">
        <f ca="1"/>
        <v>0</v>
      </c>
      <c r="CS89" s="100">
        <f t="shared" si="69"/>
        <v>88</v>
      </c>
      <c r="CT89" s="102">
        <f t="shared" ca="1" si="70"/>
        <v>0</v>
      </c>
      <c r="CU89" s="102">
        <f t="shared" ca="1" si="71"/>
        <v>0</v>
      </c>
      <c r="CV89" s="511">
        <f t="shared" ca="1" si="72"/>
        <v>2033</v>
      </c>
      <c r="CW89" s="1">
        <f t="shared" si="51"/>
        <v>1045</v>
      </c>
      <c r="CX89" s="99">
        <f t="shared" si="52"/>
        <v>0</v>
      </c>
    </row>
    <row r="90" spans="1:102" x14ac:dyDescent="0.3">
      <c r="A90" s="100">
        <v>89</v>
      </c>
      <c r="B90" s="131">
        <f t="shared" si="73"/>
        <v>1855</v>
      </c>
      <c r="C90" s="102">
        <f t="shared" si="74"/>
        <v>0</v>
      </c>
      <c r="D90" s="102">
        <f t="shared" si="75"/>
        <v>0</v>
      </c>
      <c r="E90" s="102">
        <f t="shared" si="54"/>
        <v>0</v>
      </c>
      <c r="F90" s="102">
        <f t="shared" si="76"/>
        <v>0</v>
      </c>
      <c r="L90" s="100">
        <v>89</v>
      </c>
      <c r="M90" s="131">
        <f t="shared" ca="1" si="77"/>
        <v>48875</v>
      </c>
      <c r="N90" s="102">
        <f t="shared" si="78"/>
        <v>0</v>
      </c>
      <c r="O90" s="102">
        <f t="shared" si="79"/>
        <v>0</v>
      </c>
      <c r="P90" s="102">
        <f t="shared" si="56"/>
        <v>0</v>
      </c>
      <c r="Q90" s="102">
        <f t="shared" si="57"/>
        <v>0</v>
      </c>
      <c r="W90" s="100">
        <v>89</v>
      </c>
      <c r="X90" s="131">
        <f t="shared" ca="1" si="80"/>
        <v>48875</v>
      </c>
      <c r="Y90" s="102">
        <f t="shared" si="81"/>
        <v>0</v>
      </c>
      <c r="Z90" s="102">
        <f t="shared" si="82"/>
        <v>0</v>
      </c>
      <c r="AA90" s="102">
        <f t="shared" si="58"/>
        <v>0</v>
      </c>
      <c r="AB90" s="102">
        <f t="shared" si="59"/>
        <v>0</v>
      </c>
      <c r="AH90" s="100">
        <v>89</v>
      </c>
      <c r="AI90" s="131">
        <f t="shared" ca="1" si="83"/>
        <v>48875</v>
      </c>
      <c r="AJ90" s="102">
        <f t="shared" si="84"/>
        <v>0</v>
      </c>
      <c r="AK90" s="102">
        <f t="shared" si="85"/>
        <v>0</v>
      </c>
      <c r="AL90" s="102">
        <f t="shared" si="97"/>
        <v>0</v>
      </c>
      <c r="AM90" s="102">
        <f t="shared" si="60"/>
        <v>0</v>
      </c>
      <c r="AS90" s="530">
        <v>89</v>
      </c>
      <c r="AT90" s="531">
        <f t="shared" ca="1" si="86"/>
        <v>48875</v>
      </c>
      <c r="AU90" s="532">
        <f ca="1">IF(AU89=0,SUMIFS('Key Life Events'!$L$3:$L$28,'Key Life Events'!$H$3:$H$28,'Loan Amortization'!$AY$3,'Key Life Events'!$N$3:$N$28,'Loan Amortization'!AT90),AU89-AX89)</f>
        <v>0</v>
      </c>
      <c r="AV90" s="532">
        <f t="shared" ca="1" si="87"/>
        <v>0</v>
      </c>
      <c r="AW90" s="532">
        <f t="shared" ca="1" si="53"/>
        <v>0</v>
      </c>
      <c r="AX90" s="532">
        <f t="shared" ca="1" si="61"/>
        <v>0</v>
      </c>
      <c r="BC90" s="536">
        <f t="shared" ca="1" si="62"/>
        <v>2033</v>
      </c>
      <c r="BF90" s="530">
        <v>89</v>
      </c>
      <c r="BG90" s="531">
        <f t="shared" ca="1" si="88"/>
        <v>48875</v>
      </c>
      <c r="BH90" s="532">
        <f ca="1">IF(BH89=0,SUMIFS('Key Life Events'!$L$3:$L$28,'Key Life Events'!$H$3:$H$28,'Loan Amortization'!$BL$3,'Key Life Events'!$N$3:$N$28,'Loan Amortization'!BG90),BH89-BK89)</f>
        <v>0</v>
      </c>
      <c r="BI90" s="532">
        <f t="shared" ca="1" si="89"/>
        <v>0</v>
      </c>
      <c r="BJ90" s="532">
        <f t="shared" ca="1" si="90"/>
        <v>0</v>
      </c>
      <c r="BK90" s="532">
        <f t="shared" ca="1" si="63"/>
        <v>0</v>
      </c>
      <c r="BP90" s="536">
        <f t="shared" ca="1" si="64"/>
        <v>2033</v>
      </c>
      <c r="BQ90" s="535">
        <f ca="1"/>
        <v>0</v>
      </c>
      <c r="BS90" s="530">
        <v>89</v>
      </c>
      <c r="BT90" s="531">
        <f t="shared" ca="1" si="91"/>
        <v>48875</v>
      </c>
      <c r="BU90" s="532">
        <f ca="1">IF(BU89=0,SUMIFS('Key Life Events'!$L$3:$L$28,'Key Life Events'!$H$3:$H$28,'Loan Amortization'!$BY$3,'Key Life Events'!$N$3:$N$28,'Loan Amortization'!BT90),BU89-BX89)</f>
        <v>0</v>
      </c>
      <c r="BV90" s="532">
        <f t="shared" ca="1" si="96"/>
        <v>0</v>
      </c>
      <c r="BW90" s="532">
        <f t="shared" ca="1" si="92"/>
        <v>0</v>
      </c>
      <c r="BX90" s="532">
        <f t="shared" ca="1" si="65"/>
        <v>0</v>
      </c>
      <c r="CC90" s="536">
        <f t="shared" ca="1" si="66"/>
        <v>2033</v>
      </c>
      <c r="CD90" s="535">
        <f ca="1"/>
        <v>0</v>
      </c>
      <c r="CF90" s="530">
        <v>89</v>
      </c>
      <c r="CG90" s="531">
        <f t="shared" ca="1" si="93"/>
        <v>48875</v>
      </c>
      <c r="CH90" s="532">
        <f ca="1">IF(CH89=0,SUMIFS('Key Life Events'!$L$3:$L$28,'Key Life Events'!$H$3:$H$28,'Loan Amortization'!$CL$3,'Key Life Events'!$N$3:$N$28,'Loan Amortization'!CG90),CH89-CK89)</f>
        <v>0</v>
      </c>
      <c r="CI90" s="532">
        <f t="shared" ca="1" si="94"/>
        <v>0</v>
      </c>
      <c r="CJ90" s="532">
        <f t="shared" ca="1" si="95"/>
        <v>0</v>
      </c>
      <c r="CK90" s="532">
        <f t="shared" ca="1" si="67"/>
        <v>0</v>
      </c>
      <c r="CP90" s="536">
        <f t="shared" ca="1" si="68"/>
        <v>2033</v>
      </c>
      <c r="CQ90" s="535">
        <f ca="1"/>
        <v>0</v>
      </c>
      <c r="CS90" s="100">
        <f t="shared" si="69"/>
        <v>89</v>
      </c>
      <c r="CT90" s="102">
        <f t="shared" ca="1" si="70"/>
        <v>0</v>
      </c>
      <c r="CU90" s="102">
        <f t="shared" ca="1" si="71"/>
        <v>0</v>
      </c>
      <c r="CV90" s="511">
        <f t="shared" ca="1" si="72"/>
        <v>2033</v>
      </c>
      <c r="CW90" s="1">
        <f t="shared" si="51"/>
        <v>1057</v>
      </c>
      <c r="CX90" s="99">
        <f t="shared" si="52"/>
        <v>0</v>
      </c>
    </row>
    <row r="91" spans="1:102" x14ac:dyDescent="0.3">
      <c r="A91" s="100">
        <v>90</v>
      </c>
      <c r="B91" s="131">
        <f t="shared" si="73"/>
        <v>1886</v>
      </c>
      <c r="C91" s="102">
        <f t="shared" si="74"/>
        <v>0</v>
      </c>
      <c r="D91" s="102">
        <f t="shared" si="75"/>
        <v>0</v>
      </c>
      <c r="E91" s="102">
        <f t="shared" si="54"/>
        <v>0</v>
      </c>
      <c r="F91" s="102">
        <f t="shared" si="76"/>
        <v>0</v>
      </c>
      <c r="L91" s="100">
        <v>90</v>
      </c>
      <c r="M91" s="131">
        <f t="shared" ca="1" si="77"/>
        <v>48906</v>
      </c>
      <c r="N91" s="102">
        <f t="shared" si="78"/>
        <v>0</v>
      </c>
      <c r="O91" s="102">
        <f t="shared" si="79"/>
        <v>0</v>
      </c>
      <c r="P91" s="102">
        <f t="shared" si="56"/>
        <v>0</v>
      </c>
      <c r="Q91" s="102">
        <f t="shared" si="57"/>
        <v>0</v>
      </c>
      <c r="W91" s="100">
        <v>90</v>
      </c>
      <c r="X91" s="131">
        <f t="shared" ca="1" si="80"/>
        <v>48906</v>
      </c>
      <c r="Y91" s="102">
        <f t="shared" si="81"/>
        <v>0</v>
      </c>
      <c r="Z91" s="102">
        <f t="shared" si="82"/>
        <v>0</v>
      </c>
      <c r="AA91" s="102">
        <f t="shared" si="58"/>
        <v>0</v>
      </c>
      <c r="AB91" s="102">
        <f t="shared" si="59"/>
        <v>0</v>
      </c>
      <c r="AH91" s="100">
        <v>90</v>
      </c>
      <c r="AI91" s="131">
        <f t="shared" ca="1" si="83"/>
        <v>48906</v>
      </c>
      <c r="AJ91" s="102">
        <f t="shared" si="84"/>
        <v>0</v>
      </c>
      <c r="AK91" s="102">
        <f t="shared" si="85"/>
        <v>0</v>
      </c>
      <c r="AL91" s="102">
        <f t="shared" si="97"/>
        <v>0</v>
      </c>
      <c r="AM91" s="102">
        <f t="shared" si="60"/>
        <v>0</v>
      </c>
      <c r="AS91" s="530">
        <v>90</v>
      </c>
      <c r="AT91" s="531">
        <f t="shared" ca="1" si="86"/>
        <v>48906</v>
      </c>
      <c r="AU91" s="532">
        <f ca="1">IF(AU90=0,SUMIFS('Key Life Events'!$L$3:$L$28,'Key Life Events'!$H$3:$H$28,'Loan Amortization'!$AY$3,'Key Life Events'!$N$3:$N$28,'Loan Amortization'!AT91),AU90-AX90)</f>
        <v>0</v>
      </c>
      <c r="AV91" s="532">
        <f t="shared" ca="1" si="87"/>
        <v>0</v>
      </c>
      <c r="AW91" s="532">
        <f t="shared" ca="1" si="53"/>
        <v>0</v>
      </c>
      <c r="AX91" s="532">
        <f t="shared" ca="1" si="61"/>
        <v>0</v>
      </c>
      <c r="BC91" s="536">
        <f t="shared" ca="1" si="62"/>
        <v>2033</v>
      </c>
      <c r="BF91" s="530">
        <v>90</v>
      </c>
      <c r="BG91" s="531">
        <f t="shared" ca="1" si="88"/>
        <v>48906</v>
      </c>
      <c r="BH91" s="532">
        <f ca="1">IF(BH90=0,SUMIFS('Key Life Events'!$L$3:$L$28,'Key Life Events'!$H$3:$H$28,'Loan Amortization'!$BL$3,'Key Life Events'!$N$3:$N$28,'Loan Amortization'!BG91),BH90-BK90)</f>
        <v>0</v>
      </c>
      <c r="BI91" s="532">
        <f t="shared" ca="1" si="89"/>
        <v>0</v>
      </c>
      <c r="BJ91" s="532">
        <f t="shared" ca="1" si="90"/>
        <v>0</v>
      </c>
      <c r="BK91" s="532">
        <f t="shared" ca="1" si="63"/>
        <v>0</v>
      </c>
      <c r="BP91" s="536">
        <f t="shared" ca="1" si="64"/>
        <v>2033</v>
      </c>
      <c r="BQ91" s="535">
        <f ca="1"/>
        <v>0</v>
      </c>
      <c r="BS91" s="530">
        <v>90</v>
      </c>
      <c r="BT91" s="531">
        <f t="shared" ca="1" si="91"/>
        <v>48906</v>
      </c>
      <c r="BU91" s="532">
        <f ca="1">IF(BU90=0,SUMIFS('Key Life Events'!$L$3:$L$28,'Key Life Events'!$H$3:$H$28,'Loan Amortization'!$BY$3,'Key Life Events'!$N$3:$N$28,'Loan Amortization'!BT91),BU90-BX90)</f>
        <v>0</v>
      </c>
      <c r="BV91" s="532">
        <f t="shared" ca="1" si="96"/>
        <v>0</v>
      </c>
      <c r="BW91" s="532">
        <f t="shared" ca="1" si="92"/>
        <v>0</v>
      </c>
      <c r="BX91" s="532">
        <f t="shared" ca="1" si="65"/>
        <v>0</v>
      </c>
      <c r="CC91" s="536">
        <f t="shared" ca="1" si="66"/>
        <v>2033</v>
      </c>
      <c r="CD91" s="535">
        <f ca="1"/>
        <v>0</v>
      </c>
      <c r="CF91" s="530">
        <v>90</v>
      </c>
      <c r="CG91" s="531">
        <f t="shared" ca="1" si="93"/>
        <v>48906</v>
      </c>
      <c r="CH91" s="532">
        <f ca="1">IF(CH90=0,SUMIFS('Key Life Events'!$L$3:$L$28,'Key Life Events'!$H$3:$H$28,'Loan Amortization'!$CL$3,'Key Life Events'!$N$3:$N$28,'Loan Amortization'!CG91),CH90-CK90)</f>
        <v>0</v>
      </c>
      <c r="CI91" s="532">
        <f t="shared" ca="1" si="94"/>
        <v>0</v>
      </c>
      <c r="CJ91" s="532">
        <f t="shared" ca="1" si="95"/>
        <v>0</v>
      </c>
      <c r="CK91" s="532">
        <f t="shared" ca="1" si="67"/>
        <v>0</v>
      </c>
      <c r="CP91" s="536">
        <f t="shared" ca="1" si="68"/>
        <v>2033</v>
      </c>
      <c r="CQ91" s="535">
        <f ca="1"/>
        <v>0</v>
      </c>
      <c r="CS91" s="100">
        <f t="shared" si="69"/>
        <v>90</v>
      </c>
      <c r="CT91" s="102">
        <f t="shared" ca="1" si="70"/>
        <v>0</v>
      </c>
      <c r="CU91" s="102">
        <f t="shared" ca="1" si="71"/>
        <v>0</v>
      </c>
      <c r="CV91" s="511">
        <f t="shared" ca="1" si="72"/>
        <v>2033</v>
      </c>
      <c r="CW91" s="1">
        <f t="shared" si="51"/>
        <v>1069</v>
      </c>
      <c r="CX91" s="99">
        <f t="shared" si="52"/>
        <v>0</v>
      </c>
    </row>
    <row r="92" spans="1:102" x14ac:dyDescent="0.3">
      <c r="A92" s="100">
        <v>91</v>
      </c>
      <c r="B92" s="131">
        <f t="shared" si="73"/>
        <v>1914</v>
      </c>
      <c r="C92" s="102">
        <f t="shared" si="74"/>
        <v>0</v>
      </c>
      <c r="D92" s="102">
        <f t="shared" si="75"/>
        <v>0</v>
      </c>
      <c r="E92" s="102">
        <f t="shared" si="54"/>
        <v>0</v>
      </c>
      <c r="F92" s="102">
        <f t="shared" si="76"/>
        <v>0</v>
      </c>
      <c r="L92" s="100">
        <v>91</v>
      </c>
      <c r="M92" s="131">
        <f t="shared" ca="1" si="77"/>
        <v>48936</v>
      </c>
      <c r="N92" s="102">
        <f t="shared" si="78"/>
        <v>0</v>
      </c>
      <c r="O92" s="102">
        <f t="shared" si="79"/>
        <v>0</v>
      </c>
      <c r="P92" s="102">
        <f t="shared" si="56"/>
        <v>0</v>
      </c>
      <c r="Q92" s="102">
        <f t="shared" si="57"/>
        <v>0</v>
      </c>
      <c r="W92" s="100">
        <v>91</v>
      </c>
      <c r="X92" s="131">
        <f t="shared" ca="1" si="80"/>
        <v>48936</v>
      </c>
      <c r="Y92" s="102">
        <f t="shared" si="81"/>
        <v>0</v>
      </c>
      <c r="Z92" s="102">
        <f t="shared" si="82"/>
        <v>0</v>
      </c>
      <c r="AA92" s="102">
        <f t="shared" si="58"/>
        <v>0</v>
      </c>
      <c r="AB92" s="102">
        <f t="shared" si="59"/>
        <v>0</v>
      </c>
      <c r="AH92" s="100">
        <v>91</v>
      </c>
      <c r="AI92" s="131">
        <f t="shared" ca="1" si="83"/>
        <v>48936</v>
      </c>
      <c r="AJ92" s="102">
        <f t="shared" si="84"/>
        <v>0</v>
      </c>
      <c r="AK92" s="102">
        <f t="shared" si="85"/>
        <v>0</v>
      </c>
      <c r="AL92" s="102">
        <f t="shared" si="97"/>
        <v>0</v>
      </c>
      <c r="AM92" s="102">
        <f t="shared" si="60"/>
        <v>0</v>
      </c>
      <c r="AS92" s="530">
        <v>91</v>
      </c>
      <c r="AT92" s="531">
        <f t="shared" ca="1" si="86"/>
        <v>48936</v>
      </c>
      <c r="AU92" s="532">
        <f ca="1">IF(AU91=0,SUMIFS('Key Life Events'!$L$3:$L$28,'Key Life Events'!$H$3:$H$28,'Loan Amortization'!$AY$3,'Key Life Events'!$N$3:$N$28,'Loan Amortization'!AT92),AU91-AX91)</f>
        <v>0</v>
      </c>
      <c r="AV92" s="532">
        <f t="shared" ca="1" si="87"/>
        <v>0</v>
      </c>
      <c r="AW92" s="532">
        <f t="shared" ca="1" si="53"/>
        <v>0</v>
      </c>
      <c r="AX92" s="532">
        <f t="shared" ca="1" si="61"/>
        <v>0</v>
      </c>
      <c r="BC92" s="536">
        <f t="shared" ca="1" si="62"/>
        <v>2033</v>
      </c>
      <c r="BF92" s="530">
        <v>91</v>
      </c>
      <c r="BG92" s="531">
        <f t="shared" ca="1" si="88"/>
        <v>48936</v>
      </c>
      <c r="BH92" s="532">
        <f ca="1">IF(BH91=0,SUMIFS('Key Life Events'!$L$3:$L$28,'Key Life Events'!$H$3:$H$28,'Loan Amortization'!$BL$3,'Key Life Events'!$N$3:$N$28,'Loan Amortization'!BG92),BH91-BK91)</f>
        <v>0</v>
      </c>
      <c r="BI92" s="532">
        <f t="shared" ca="1" si="89"/>
        <v>0</v>
      </c>
      <c r="BJ92" s="532">
        <f t="shared" ca="1" si="90"/>
        <v>0</v>
      </c>
      <c r="BK92" s="532">
        <f t="shared" ca="1" si="63"/>
        <v>0</v>
      </c>
      <c r="BP92" s="536">
        <f t="shared" ca="1" si="64"/>
        <v>2033</v>
      </c>
      <c r="BQ92" s="535">
        <f ca="1"/>
        <v>0</v>
      </c>
      <c r="BS92" s="530">
        <v>91</v>
      </c>
      <c r="BT92" s="531">
        <f t="shared" ca="1" si="91"/>
        <v>48936</v>
      </c>
      <c r="BU92" s="532">
        <f ca="1">IF(BU91=0,SUMIFS('Key Life Events'!$L$3:$L$28,'Key Life Events'!$H$3:$H$28,'Loan Amortization'!$BY$3,'Key Life Events'!$N$3:$N$28,'Loan Amortization'!BT92),BU91-BX91)</f>
        <v>0</v>
      </c>
      <c r="BV92" s="532">
        <f t="shared" ca="1" si="96"/>
        <v>0</v>
      </c>
      <c r="BW92" s="532">
        <f t="shared" ca="1" si="92"/>
        <v>0</v>
      </c>
      <c r="BX92" s="532">
        <f t="shared" ca="1" si="65"/>
        <v>0</v>
      </c>
      <c r="CC92" s="536">
        <f t="shared" ca="1" si="66"/>
        <v>2033</v>
      </c>
      <c r="CD92" s="535">
        <f ca="1"/>
        <v>0</v>
      </c>
      <c r="CF92" s="530">
        <v>91</v>
      </c>
      <c r="CG92" s="531">
        <f t="shared" ca="1" si="93"/>
        <v>48936</v>
      </c>
      <c r="CH92" s="532">
        <f ca="1">IF(CH91=0,SUMIFS('Key Life Events'!$L$3:$L$28,'Key Life Events'!$H$3:$H$28,'Loan Amortization'!$CL$3,'Key Life Events'!$N$3:$N$28,'Loan Amortization'!CG92),CH91-CK91)</f>
        <v>0</v>
      </c>
      <c r="CI92" s="532">
        <f t="shared" ca="1" si="94"/>
        <v>0</v>
      </c>
      <c r="CJ92" s="532">
        <f t="shared" ca="1" si="95"/>
        <v>0</v>
      </c>
      <c r="CK92" s="532">
        <f t="shared" ca="1" si="67"/>
        <v>0</v>
      </c>
      <c r="CP92" s="536">
        <f t="shared" ca="1" si="68"/>
        <v>2033</v>
      </c>
      <c r="CQ92" s="535">
        <f ca="1"/>
        <v>0</v>
      </c>
      <c r="CS92" s="100">
        <f t="shared" si="69"/>
        <v>91</v>
      </c>
      <c r="CT92" s="102">
        <f t="shared" ca="1" si="70"/>
        <v>0</v>
      </c>
      <c r="CU92" s="102">
        <f t="shared" ca="1" si="71"/>
        <v>0</v>
      </c>
      <c r="CV92" s="511">
        <f t="shared" ca="1" si="72"/>
        <v>2033</v>
      </c>
      <c r="CW92" s="1">
        <f t="shared" si="51"/>
        <v>1081</v>
      </c>
      <c r="CX92" s="99">
        <f t="shared" si="52"/>
        <v>0</v>
      </c>
    </row>
    <row r="93" spans="1:102" x14ac:dyDescent="0.3">
      <c r="A93" s="100">
        <v>92</v>
      </c>
      <c r="B93" s="131">
        <f t="shared" si="73"/>
        <v>1945</v>
      </c>
      <c r="C93" s="102">
        <f t="shared" si="74"/>
        <v>0</v>
      </c>
      <c r="D93" s="102">
        <f t="shared" si="75"/>
        <v>0</v>
      </c>
      <c r="E93" s="102">
        <f t="shared" si="54"/>
        <v>0</v>
      </c>
      <c r="F93" s="102">
        <f t="shared" si="76"/>
        <v>0</v>
      </c>
      <c r="L93" s="100">
        <v>92</v>
      </c>
      <c r="M93" s="131">
        <f t="shared" ca="1" si="77"/>
        <v>48967</v>
      </c>
      <c r="N93" s="102">
        <f t="shared" si="78"/>
        <v>0</v>
      </c>
      <c r="O93" s="102">
        <f t="shared" si="79"/>
        <v>0</v>
      </c>
      <c r="P93" s="102">
        <f t="shared" si="56"/>
        <v>0</v>
      </c>
      <c r="Q93" s="102">
        <f t="shared" si="57"/>
        <v>0</v>
      </c>
      <c r="W93" s="100">
        <v>92</v>
      </c>
      <c r="X93" s="131">
        <f t="shared" ca="1" si="80"/>
        <v>48967</v>
      </c>
      <c r="Y93" s="102">
        <f t="shared" si="81"/>
        <v>0</v>
      </c>
      <c r="Z93" s="102">
        <f t="shared" si="82"/>
        <v>0</v>
      </c>
      <c r="AA93" s="102">
        <f t="shared" si="58"/>
        <v>0</v>
      </c>
      <c r="AB93" s="102">
        <f t="shared" si="59"/>
        <v>0</v>
      </c>
      <c r="AH93" s="100">
        <v>92</v>
      </c>
      <c r="AI93" s="131">
        <f t="shared" ca="1" si="83"/>
        <v>48967</v>
      </c>
      <c r="AJ93" s="102">
        <f t="shared" si="84"/>
        <v>0</v>
      </c>
      <c r="AK93" s="102">
        <f t="shared" si="85"/>
        <v>0</v>
      </c>
      <c r="AL93" s="102">
        <f t="shared" si="97"/>
        <v>0</v>
      </c>
      <c r="AM93" s="102">
        <f t="shared" si="60"/>
        <v>0</v>
      </c>
      <c r="AS93" s="530">
        <v>92</v>
      </c>
      <c r="AT93" s="531">
        <f t="shared" ca="1" si="86"/>
        <v>48967</v>
      </c>
      <c r="AU93" s="532">
        <f ca="1">IF(AU92=0,SUMIFS('Key Life Events'!$L$3:$L$28,'Key Life Events'!$H$3:$H$28,'Loan Amortization'!$AY$3,'Key Life Events'!$N$3:$N$28,'Loan Amortization'!AT93),AU92-AX92)</f>
        <v>0</v>
      </c>
      <c r="AV93" s="532">
        <f t="shared" ca="1" si="87"/>
        <v>0</v>
      </c>
      <c r="AW93" s="532">
        <f t="shared" ca="1" si="53"/>
        <v>0</v>
      </c>
      <c r="AX93" s="532">
        <f t="shared" ca="1" si="61"/>
        <v>0</v>
      </c>
      <c r="BC93" s="536">
        <f t="shared" ca="1" si="62"/>
        <v>2034</v>
      </c>
      <c r="BF93" s="530">
        <v>92</v>
      </c>
      <c r="BG93" s="531">
        <f t="shared" ca="1" si="88"/>
        <v>48967</v>
      </c>
      <c r="BH93" s="532">
        <f ca="1">IF(BH92=0,SUMIFS('Key Life Events'!$L$3:$L$28,'Key Life Events'!$H$3:$H$28,'Loan Amortization'!$BL$3,'Key Life Events'!$N$3:$N$28,'Loan Amortization'!BG93),BH92-BK92)</f>
        <v>0</v>
      </c>
      <c r="BI93" s="532">
        <f t="shared" ca="1" si="89"/>
        <v>0</v>
      </c>
      <c r="BJ93" s="532">
        <f t="shared" ca="1" si="90"/>
        <v>0</v>
      </c>
      <c r="BK93" s="532">
        <f t="shared" ca="1" si="63"/>
        <v>0</v>
      </c>
      <c r="BP93" s="536">
        <f t="shared" ca="1" si="64"/>
        <v>2034</v>
      </c>
      <c r="BQ93" s="535">
        <f ca="1"/>
        <v>0</v>
      </c>
      <c r="BS93" s="530">
        <v>92</v>
      </c>
      <c r="BT93" s="531">
        <f t="shared" ca="1" si="91"/>
        <v>48967</v>
      </c>
      <c r="BU93" s="532">
        <f ca="1">IF(BU92=0,SUMIFS('Key Life Events'!$L$3:$L$28,'Key Life Events'!$H$3:$H$28,'Loan Amortization'!$BY$3,'Key Life Events'!$N$3:$N$28,'Loan Amortization'!BT93),BU92-BX92)</f>
        <v>0</v>
      </c>
      <c r="BV93" s="532">
        <f t="shared" ca="1" si="96"/>
        <v>0</v>
      </c>
      <c r="BW93" s="532">
        <f t="shared" ca="1" si="92"/>
        <v>0</v>
      </c>
      <c r="BX93" s="532">
        <f t="shared" ca="1" si="65"/>
        <v>0</v>
      </c>
      <c r="CC93" s="536">
        <f t="shared" ca="1" si="66"/>
        <v>2034</v>
      </c>
      <c r="CD93" s="535">
        <f ca="1"/>
        <v>0</v>
      </c>
      <c r="CF93" s="530">
        <v>92</v>
      </c>
      <c r="CG93" s="531">
        <f t="shared" ca="1" si="93"/>
        <v>48967</v>
      </c>
      <c r="CH93" s="532">
        <f ca="1">IF(CH92=0,SUMIFS('Key Life Events'!$L$3:$L$28,'Key Life Events'!$H$3:$H$28,'Loan Amortization'!$CL$3,'Key Life Events'!$N$3:$N$28,'Loan Amortization'!CG93),CH92-CK92)</f>
        <v>0</v>
      </c>
      <c r="CI93" s="532">
        <f t="shared" ca="1" si="94"/>
        <v>0</v>
      </c>
      <c r="CJ93" s="532">
        <f t="shared" ca="1" si="95"/>
        <v>0</v>
      </c>
      <c r="CK93" s="532">
        <f t="shared" ca="1" si="67"/>
        <v>0</v>
      </c>
      <c r="CP93" s="536">
        <f t="shared" ca="1" si="68"/>
        <v>2034</v>
      </c>
      <c r="CQ93" s="535">
        <f ca="1"/>
        <v>0</v>
      </c>
      <c r="CS93" s="100">
        <f t="shared" si="69"/>
        <v>92</v>
      </c>
      <c r="CT93" s="102">
        <f t="shared" ca="1" si="70"/>
        <v>0</v>
      </c>
      <c r="CU93" s="102">
        <f t="shared" ca="1" si="71"/>
        <v>0</v>
      </c>
      <c r="CV93" s="511">
        <f t="shared" ca="1" si="72"/>
        <v>2034</v>
      </c>
      <c r="CW93" s="1">
        <f t="shared" si="51"/>
        <v>1093</v>
      </c>
      <c r="CX93" s="99">
        <f t="shared" si="52"/>
        <v>0</v>
      </c>
    </row>
    <row r="94" spans="1:102" x14ac:dyDescent="0.3">
      <c r="A94" s="100">
        <v>93</v>
      </c>
      <c r="B94" s="131">
        <f t="shared" si="73"/>
        <v>1975</v>
      </c>
      <c r="C94" s="102">
        <f t="shared" si="74"/>
        <v>0</v>
      </c>
      <c r="D94" s="102">
        <f t="shared" si="75"/>
        <v>0</v>
      </c>
      <c r="E94" s="102">
        <f t="shared" si="54"/>
        <v>0</v>
      </c>
      <c r="F94" s="102">
        <f t="shared" si="76"/>
        <v>0</v>
      </c>
      <c r="L94" s="100">
        <v>93</v>
      </c>
      <c r="M94" s="131">
        <f t="shared" ca="1" si="77"/>
        <v>48998</v>
      </c>
      <c r="N94" s="102">
        <f t="shared" si="78"/>
        <v>0</v>
      </c>
      <c r="O94" s="102">
        <f t="shared" si="79"/>
        <v>0</v>
      </c>
      <c r="P94" s="102">
        <f t="shared" si="56"/>
        <v>0</v>
      </c>
      <c r="Q94" s="102">
        <f t="shared" si="57"/>
        <v>0</v>
      </c>
      <c r="W94" s="100">
        <v>93</v>
      </c>
      <c r="X94" s="131">
        <f t="shared" ca="1" si="80"/>
        <v>48998</v>
      </c>
      <c r="Y94" s="102">
        <f t="shared" si="81"/>
        <v>0</v>
      </c>
      <c r="Z94" s="102">
        <f t="shared" si="82"/>
        <v>0</v>
      </c>
      <c r="AA94" s="102">
        <f t="shared" si="58"/>
        <v>0</v>
      </c>
      <c r="AB94" s="102">
        <f t="shared" si="59"/>
        <v>0</v>
      </c>
      <c r="AH94" s="100">
        <v>93</v>
      </c>
      <c r="AI94" s="131">
        <f t="shared" ca="1" si="83"/>
        <v>48998</v>
      </c>
      <c r="AJ94" s="102">
        <f t="shared" si="84"/>
        <v>0</v>
      </c>
      <c r="AK94" s="102">
        <f t="shared" si="85"/>
        <v>0</v>
      </c>
      <c r="AL94" s="102">
        <f t="shared" si="97"/>
        <v>0</v>
      </c>
      <c r="AM94" s="102">
        <f t="shared" si="60"/>
        <v>0</v>
      </c>
      <c r="AS94" s="530">
        <v>93</v>
      </c>
      <c r="AT94" s="531">
        <f t="shared" ca="1" si="86"/>
        <v>48998</v>
      </c>
      <c r="AU94" s="532">
        <f ca="1">IF(AU93=0,SUMIFS('Key Life Events'!$L$3:$L$28,'Key Life Events'!$H$3:$H$28,'Loan Amortization'!$AY$3,'Key Life Events'!$N$3:$N$28,'Loan Amortization'!AT94),AU93-AX93)</f>
        <v>0</v>
      </c>
      <c r="AV94" s="532">
        <f t="shared" ca="1" si="87"/>
        <v>0</v>
      </c>
      <c r="AW94" s="532">
        <f t="shared" ca="1" si="53"/>
        <v>0</v>
      </c>
      <c r="AX94" s="532">
        <f t="shared" ca="1" si="61"/>
        <v>0</v>
      </c>
      <c r="BC94" s="536">
        <f t="shared" ca="1" si="62"/>
        <v>2034</v>
      </c>
      <c r="BF94" s="530">
        <v>93</v>
      </c>
      <c r="BG94" s="531">
        <f t="shared" ca="1" si="88"/>
        <v>48998</v>
      </c>
      <c r="BH94" s="532">
        <f ca="1">IF(BH93=0,SUMIFS('Key Life Events'!$L$3:$L$28,'Key Life Events'!$H$3:$H$28,'Loan Amortization'!$BL$3,'Key Life Events'!$N$3:$N$28,'Loan Amortization'!BG94),BH93-BK93)</f>
        <v>0</v>
      </c>
      <c r="BI94" s="532">
        <f t="shared" ca="1" si="89"/>
        <v>0</v>
      </c>
      <c r="BJ94" s="532">
        <f t="shared" ca="1" si="90"/>
        <v>0</v>
      </c>
      <c r="BK94" s="532">
        <f t="shared" ca="1" si="63"/>
        <v>0</v>
      </c>
      <c r="BP94" s="536">
        <f t="shared" ca="1" si="64"/>
        <v>2034</v>
      </c>
      <c r="BQ94" s="535">
        <f ca="1"/>
        <v>0</v>
      </c>
      <c r="BS94" s="530">
        <v>93</v>
      </c>
      <c r="BT94" s="531">
        <f t="shared" ca="1" si="91"/>
        <v>48998</v>
      </c>
      <c r="BU94" s="532">
        <f ca="1">IF(BU93=0,SUMIFS('Key Life Events'!$L$3:$L$28,'Key Life Events'!$H$3:$H$28,'Loan Amortization'!$BY$3,'Key Life Events'!$N$3:$N$28,'Loan Amortization'!BT94),BU93-BX93)</f>
        <v>0</v>
      </c>
      <c r="BV94" s="532">
        <f t="shared" ca="1" si="96"/>
        <v>0</v>
      </c>
      <c r="BW94" s="532">
        <f t="shared" ca="1" si="92"/>
        <v>0</v>
      </c>
      <c r="BX94" s="532">
        <f t="shared" ca="1" si="65"/>
        <v>0</v>
      </c>
      <c r="CC94" s="536">
        <f t="shared" ca="1" si="66"/>
        <v>2034</v>
      </c>
      <c r="CD94" s="535">
        <f ca="1"/>
        <v>0</v>
      </c>
      <c r="CF94" s="530">
        <v>93</v>
      </c>
      <c r="CG94" s="531">
        <f t="shared" ca="1" si="93"/>
        <v>48998</v>
      </c>
      <c r="CH94" s="532">
        <f ca="1">IF(CH93=0,SUMIFS('Key Life Events'!$L$3:$L$28,'Key Life Events'!$H$3:$H$28,'Loan Amortization'!$CL$3,'Key Life Events'!$N$3:$N$28,'Loan Amortization'!CG94),CH93-CK93)</f>
        <v>0</v>
      </c>
      <c r="CI94" s="532">
        <f t="shared" ca="1" si="94"/>
        <v>0</v>
      </c>
      <c r="CJ94" s="532">
        <f t="shared" ca="1" si="95"/>
        <v>0</v>
      </c>
      <c r="CK94" s="532">
        <f t="shared" ca="1" si="67"/>
        <v>0</v>
      </c>
      <c r="CP94" s="536">
        <f t="shared" ca="1" si="68"/>
        <v>2034</v>
      </c>
      <c r="CQ94" s="535">
        <f ca="1"/>
        <v>0</v>
      </c>
      <c r="CS94" s="100">
        <f t="shared" si="69"/>
        <v>93</v>
      </c>
      <c r="CT94" s="102">
        <f t="shared" ca="1" si="70"/>
        <v>0</v>
      </c>
      <c r="CU94" s="102">
        <f t="shared" ca="1" si="71"/>
        <v>0</v>
      </c>
      <c r="CV94" s="511">
        <f t="shared" ca="1" si="72"/>
        <v>2034</v>
      </c>
      <c r="CW94" s="1">
        <f t="shared" si="51"/>
        <v>1105</v>
      </c>
      <c r="CX94" s="99">
        <f t="shared" si="52"/>
        <v>0</v>
      </c>
    </row>
    <row r="95" spans="1:102" x14ac:dyDescent="0.3">
      <c r="A95" s="100">
        <v>94</v>
      </c>
      <c r="B95" s="131">
        <f t="shared" si="73"/>
        <v>2006</v>
      </c>
      <c r="C95" s="102">
        <f t="shared" si="74"/>
        <v>0</v>
      </c>
      <c r="D95" s="102">
        <f t="shared" si="75"/>
        <v>0</v>
      </c>
      <c r="E95" s="102">
        <f t="shared" si="54"/>
        <v>0</v>
      </c>
      <c r="F95" s="102">
        <f t="shared" si="76"/>
        <v>0</v>
      </c>
      <c r="L95" s="100">
        <v>94</v>
      </c>
      <c r="M95" s="131">
        <f t="shared" ca="1" si="77"/>
        <v>49026</v>
      </c>
      <c r="N95" s="102">
        <f t="shared" si="78"/>
        <v>0</v>
      </c>
      <c r="O95" s="102">
        <f t="shared" si="79"/>
        <v>0</v>
      </c>
      <c r="P95" s="102">
        <f t="shared" si="56"/>
        <v>0</v>
      </c>
      <c r="Q95" s="102">
        <f t="shared" si="57"/>
        <v>0</v>
      </c>
      <c r="W95" s="100">
        <v>94</v>
      </c>
      <c r="X95" s="131">
        <f t="shared" ca="1" si="80"/>
        <v>49026</v>
      </c>
      <c r="Y95" s="102">
        <f t="shared" si="81"/>
        <v>0</v>
      </c>
      <c r="Z95" s="102">
        <f t="shared" si="82"/>
        <v>0</v>
      </c>
      <c r="AA95" s="102">
        <f t="shared" si="58"/>
        <v>0</v>
      </c>
      <c r="AB95" s="102">
        <f t="shared" si="59"/>
        <v>0</v>
      </c>
      <c r="AH95" s="100">
        <v>94</v>
      </c>
      <c r="AI95" s="131">
        <f t="shared" ca="1" si="83"/>
        <v>49026</v>
      </c>
      <c r="AJ95" s="102">
        <f t="shared" si="84"/>
        <v>0</v>
      </c>
      <c r="AK95" s="102">
        <f t="shared" si="85"/>
        <v>0</v>
      </c>
      <c r="AL95" s="102">
        <f t="shared" si="97"/>
        <v>0</v>
      </c>
      <c r="AM95" s="102">
        <f t="shared" si="60"/>
        <v>0</v>
      </c>
      <c r="AS95" s="530">
        <v>94</v>
      </c>
      <c r="AT95" s="531">
        <f t="shared" ca="1" si="86"/>
        <v>49026</v>
      </c>
      <c r="AU95" s="532">
        <f ca="1">IF(AU94=0,SUMIFS('Key Life Events'!$L$3:$L$28,'Key Life Events'!$H$3:$H$28,'Loan Amortization'!$AY$3,'Key Life Events'!$N$3:$N$28,'Loan Amortization'!AT95),AU94-AX94)</f>
        <v>0</v>
      </c>
      <c r="AV95" s="532">
        <f t="shared" ca="1" si="87"/>
        <v>0</v>
      </c>
      <c r="AW95" s="532">
        <f t="shared" ca="1" si="53"/>
        <v>0</v>
      </c>
      <c r="AX95" s="532">
        <f t="shared" ca="1" si="61"/>
        <v>0</v>
      </c>
      <c r="BC95" s="536">
        <f t="shared" ca="1" si="62"/>
        <v>2034</v>
      </c>
      <c r="BF95" s="530">
        <v>94</v>
      </c>
      <c r="BG95" s="531">
        <f t="shared" ca="1" si="88"/>
        <v>49026</v>
      </c>
      <c r="BH95" s="532">
        <f ca="1">IF(BH94=0,SUMIFS('Key Life Events'!$L$3:$L$28,'Key Life Events'!$H$3:$H$28,'Loan Amortization'!$BL$3,'Key Life Events'!$N$3:$N$28,'Loan Amortization'!BG95),BH94-BK94)</f>
        <v>0</v>
      </c>
      <c r="BI95" s="532">
        <f t="shared" ca="1" si="89"/>
        <v>0</v>
      </c>
      <c r="BJ95" s="532">
        <f t="shared" ca="1" si="90"/>
        <v>0</v>
      </c>
      <c r="BK95" s="532">
        <f t="shared" ca="1" si="63"/>
        <v>0</v>
      </c>
      <c r="BP95" s="536">
        <f t="shared" ca="1" si="64"/>
        <v>2034</v>
      </c>
      <c r="BQ95" s="535">
        <f ca="1"/>
        <v>0</v>
      </c>
      <c r="BS95" s="530">
        <v>94</v>
      </c>
      <c r="BT95" s="531">
        <f t="shared" ca="1" si="91"/>
        <v>49026</v>
      </c>
      <c r="BU95" s="532">
        <f ca="1">IF(BU94=0,SUMIFS('Key Life Events'!$L$3:$L$28,'Key Life Events'!$H$3:$H$28,'Loan Amortization'!$BY$3,'Key Life Events'!$N$3:$N$28,'Loan Amortization'!BT95),BU94-BX94)</f>
        <v>0</v>
      </c>
      <c r="BV95" s="532">
        <f t="shared" ca="1" si="96"/>
        <v>0</v>
      </c>
      <c r="BW95" s="532">
        <f t="shared" ca="1" si="92"/>
        <v>0</v>
      </c>
      <c r="BX95" s="532">
        <f t="shared" ca="1" si="65"/>
        <v>0</v>
      </c>
      <c r="CC95" s="536">
        <f t="shared" ca="1" si="66"/>
        <v>2034</v>
      </c>
      <c r="CD95" s="535">
        <f ca="1"/>
        <v>0</v>
      </c>
      <c r="CF95" s="530">
        <v>94</v>
      </c>
      <c r="CG95" s="531">
        <f t="shared" ca="1" si="93"/>
        <v>49026</v>
      </c>
      <c r="CH95" s="532">
        <f ca="1">IF(CH94=0,SUMIFS('Key Life Events'!$L$3:$L$28,'Key Life Events'!$H$3:$H$28,'Loan Amortization'!$CL$3,'Key Life Events'!$N$3:$N$28,'Loan Amortization'!CG95),CH94-CK94)</f>
        <v>0</v>
      </c>
      <c r="CI95" s="532">
        <f t="shared" ca="1" si="94"/>
        <v>0</v>
      </c>
      <c r="CJ95" s="532">
        <f t="shared" ca="1" si="95"/>
        <v>0</v>
      </c>
      <c r="CK95" s="532">
        <f t="shared" ca="1" si="67"/>
        <v>0</v>
      </c>
      <c r="CP95" s="536">
        <f t="shared" ca="1" si="68"/>
        <v>2034</v>
      </c>
      <c r="CQ95" s="535">
        <f ca="1"/>
        <v>0</v>
      </c>
      <c r="CS95" s="100">
        <f t="shared" si="69"/>
        <v>94</v>
      </c>
      <c r="CT95" s="102">
        <f t="shared" ca="1" si="70"/>
        <v>0</v>
      </c>
      <c r="CU95" s="102">
        <f t="shared" ca="1" si="71"/>
        <v>0</v>
      </c>
      <c r="CV95" s="511">
        <f t="shared" ca="1" si="72"/>
        <v>2034</v>
      </c>
      <c r="CW95" s="1">
        <f t="shared" si="51"/>
        <v>1117</v>
      </c>
      <c r="CX95" s="99">
        <f t="shared" si="52"/>
        <v>0</v>
      </c>
    </row>
    <row r="96" spans="1:102" x14ac:dyDescent="0.3">
      <c r="A96" s="100">
        <v>95</v>
      </c>
      <c r="B96" s="131">
        <f t="shared" si="73"/>
        <v>2036</v>
      </c>
      <c r="C96" s="102">
        <f t="shared" si="74"/>
        <v>0</v>
      </c>
      <c r="D96" s="102">
        <f t="shared" si="75"/>
        <v>0</v>
      </c>
      <c r="E96" s="102">
        <f t="shared" si="54"/>
        <v>0</v>
      </c>
      <c r="F96" s="102">
        <f t="shared" si="76"/>
        <v>0</v>
      </c>
      <c r="L96" s="100">
        <v>95</v>
      </c>
      <c r="M96" s="131">
        <f t="shared" ca="1" si="77"/>
        <v>49057</v>
      </c>
      <c r="N96" s="102">
        <f t="shared" si="78"/>
        <v>0</v>
      </c>
      <c r="O96" s="102">
        <f t="shared" si="79"/>
        <v>0</v>
      </c>
      <c r="P96" s="102">
        <f t="shared" si="56"/>
        <v>0</v>
      </c>
      <c r="Q96" s="102">
        <f t="shared" si="57"/>
        <v>0</v>
      </c>
      <c r="W96" s="100">
        <v>95</v>
      </c>
      <c r="X96" s="131">
        <f t="shared" ca="1" si="80"/>
        <v>49057</v>
      </c>
      <c r="Y96" s="102">
        <f t="shared" si="81"/>
        <v>0</v>
      </c>
      <c r="Z96" s="102">
        <f t="shared" si="82"/>
        <v>0</v>
      </c>
      <c r="AA96" s="102">
        <f t="shared" si="58"/>
        <v>0</v>
      </c>
      <c r="AB96" s="102">
        <f t="shared" si="59"/>
        <v>0</v>
      </c>
      <c r="AH96" s="100">
        <v>95</v>
      </c>
      <c r="AI96" s="131">
        <f t="shared" ca="1" si="83"/>
        <v>49057</v>
      </c>
      <c r="AJ96" s="102">
        <f t="shared" si="84"/>
        <v>0</v>
      </c>
      <c r="AK96" s="102">
        <f t="shared" si="85"/>
        <v>0</v>
      </c>
      <c r="AL96" s="102">
        <f t="shared" si="97"/>
        <v>0</v>
      </c>
      <c r="AM96" s="102">
        <f t="shared" si="60"/>
        <v>0</v>
      </c>
      <c r="AS96" s="530">
        <v>95</v>
      </c>
      <c r="AT96" s="531">
        <f t="shared" ca="1" si="86"/>
        <v>49057</v>
      </c>
      <c r="AU96" s="532">
        <f ca="1">IF(AU95=0,SUMIFS('Key Life Events'!$L$3:$L$28,'Key Life Events'!$H$3:$H$28,'Loan Amortization'!$AY$3,'Key Life Events'!$N$3:$N$28,'Loan Amortization'!AT96),AU95-AX95)</f>
        <v>0</v>
      </c>
      <c r="AV96" s="532">
        <f t="shared" ca="1" si="87"/>
        <v>0</v>
      </c>
      <c r="AW96" s="532">
        <f t="shared" ca="1" si="53"/>
        <v>0</v>
      </c>
      <c r="AX96" s="532">
        <f t="shared" ca="1" si="61"/>
        <v>0</v>
      </c>
      <c r="BC96" s="536">
        <f t="shared" ca="1" si="62"/>
        <v>2034</v>
      </c>
      <c r="BF96" s="530">
        <v>95</v>
      </c>
      <c r="BG96" s="531">
        <f t="shared" ca="1" si="88"/>
        <v>49057</v>
      </c>
      <c r="BH96" s="532">
        <f ca="1">IF(BH95=0,SUMIFS('Key Life Events'!$L$3:$L$28,'Key Life Events'!$H$3:$H$28,'Loan Amortization'!$BL$3,'Key Life Events'!$N$3:$N$28,'Loan Amortization'!BG96),BH95-BK95)</f>
        <v>0</v>
      </c>
      <c r="BI96" s="532">
        <f t="shared" ca="1" si="89"/>
        <v>0</v>
      </c>
      <c r="BJ96" s="532">
        <f t="shared" ca="1" si="90"/>
        <v>0</v>
      </c>
      <c r="BK96" s="532">
        <f t="shared" ca="1" si="63"/>
        <v>0</v>
      </c>
      <c r="BP96" s="536">
        <f t="shared" ca="1" si="64"/>
        <v>2034</v>
      </c>
      <c r="BQ96" s="535">
        <f ca="1"/>
        <v>0</v>
      </c>
      <c r="BS96" s="530">
        <v>95</v>
      </c>
      <c r="BT96" s="531">
        <f t="shared" ca="1" si="91"/>
        <v>49057</v>
      </c>
      <c r="BU96" s="532">
        <f ca="1">IF(BU95=0,SUMIFS('Key Life Events'!$L$3:$L$28,'Key Life Events'!$H$3:$H$28,'Loan Amortization'!$BY$3,'Key Life Events'!$N$3:$N$28,'Loan Amortization'!BT96),BU95-BX95)</f>
        <v>0</v>
      </c>
      <c r="BV96" s="532">
        <f t="shared" ca="1" si="96"/>
        <v>0</v>
      </c>
      <c r="BW96" s="532">
        <f t="shared" ca="1" si="92"/>
        <v>0</v>
      </c>
      <c r="BX96" s="532">
        <f t="shared" ca="1" si="65"/>
        <v>0</v>
      </c>
      <c r="CC96" s="536">
        <f t="shared" ca="1" si="66"/>
        <v>2034</v>
      </c>
      <c r="CD96" s="535">
        <f ca="1"/>
        <v>0</v>
      </c>
      <c r="CF96" s="530">
        <v>95</v>
      </c>
      <c r="CG96" s="531">
        <f t="shared" ca="1" si="93"/>
        <v>49057</v>
      </c>
      <c r="CH96" s="532">
        <f ca="1">IF(CH95=0,SUMIFS('Key Life Events'!$L$3:$L$28,'Key Life Events'!$H$3:$H$28,'Loan Amortization'!$CL$3,'Key Life Events'!$N$3:$N$28,'Loan Amortization'!CG96),CH95-CK95)</f>
        <v>0</v>
      </c>
      <c r="CI96" s="532">
        <f t="shared" ca="1" si="94"/>
        <v>0</v>
      </c>
      <c r="CJ96" s="532">
        <f t="shared" ca="1" si="95"/>
        <v>0</v>
      </c>
      <c r="CK96" s="532">
        <f t="shared" ca="1" si="67"/>
        <v>0</v>
      </c>
      <c r="CP96" s="536">
        <f t="shared" ca="1" si="68"/>
        <v>2034</v>
      </c>
      <c r="CQ96" s="535">
        <f ca="1"/>
        <v>0</v>
      </c>
      <c r="CS96" s="100">
        <f t="shared" si="69"/>
        <v>95</v>
      </c>
      <c r="CT96" s="102">
        <f t="shared" ca="1" si="70"/>
        <v>0</v>
      </c>
      <c r="CU96" s="102">
        <f t="shared" ca="1" si="71"/>
        <v>0</v>
      </c>
      <c r="CV96" s="511">
        <f t="shared" ca="1" si="72"/>
        <v>2034</v>
      </c>
      <c r="CW96" s="1">
        <f t="shared" si="51"/>
        <v>1129</v>
      </c>
      <c r="CX96" s="99">
        <f t="shared" si="52"/>
        <v>0</v>
      </c>
    </row>
    <row r="97" spans="1:102" x14ac:dyDescent="0.3">
      <c r="A97" s="100">
        <v>96</v>
      </c>
      <c r="B97" s="131">
        <f t="shared" si="73"/>
        <v>2067</v>
      </c>
      <c r="C97" s="102">
        <f t="shared" si="74"/>
        <v>0</v>
      </c>
      <c r="D97" s="102">
        <f t="shared" si="75"/>
        <v>0</v>
      </c>
      <c r="E97" s="102">
        <f t="shared" si="54"/>
        <v>0</v>
      </c>
      <c r="F97" s="102">
        <f t="shared" si="76"/>
        <v>0</v>
      </c>
      <c r="L97" s="100">
        <v>96</v>
      </c>
      <c r="M97" s="131">
        <f t="shared" ca="1" si="77"/>
        <v>49087</v>
      </c>
      <c r="N97" s="102">
        <f t="shared" si="78"/>
        <v>0</v>
      </c>
      <c r="O97" s="102">
        <f t="shared" si="79"/>
        <v>0</v>
      </c>
      <c r="P97" s="102">
        <f t="shared" si="56"/>
        <v>0</v>
      </c>
      <c r="Q97" s="102">
        <f t="shared" si="57"/>
        <v>0</v>
      </c>
      <c r="W97" s="100">
        <v>96</v>
      </c>
      <c r="X97" s="131">
        <f t="shared" ca="1" si="80"/>
        <v>49087</v>
      </c>
      <c r="Y97" s="102">
        <f t="shared" si="81"/>
        <v>0</v>
      </c>
      <c r="Z97" s="102">
        <f t="shared" si="82"/>
        <v>0</v>
      </c>
      <c r="AA97" s="102">
        <f t="shared" si="58"/>
        <v>0</v>
      </c>
      <c r="AB97" s="102">
        <f t="shared" si="59"/>
        <v>0</v>
      </c>
      <c r="AH97" s="100">
        <v>96</v>
      </c>
      <c r="AI97" s="131">
        <f t="shared" ca="1" si="83"/>
        <v>49087</v>
      </c>
      <c r="AJ97" s="102">
        <f t="shared" si="84"/>
        <v>0</v>
      </c>
      <c r="AK97" s="102">
        <f t="shared" si="85"/>
        <v>0</v>
      </c>
      <c r="AL97" s="102">
        <f t="shared" si="97"/>
        <v>0</v>
      </c>
      <c r="AM97" s="102">
        <f t="shared" si="60"/>
        <v>0</v>
      </c>
      <c r="AS97" s="530">
        <v>96</v>
      </c>
      <c r="AT97" s="531">
        <f t="shared" ca="1" si="86"/>
        <v>49087</v>
      </c>
      <c r="AU97" s="532">
        <f ca="1">IF(AU96=0,SUMIFS('Key Life Events'!$L$3:$L$28,'Key Life Events'!$H$3:$H$28,'Loan Amortization'!$AY$3,'Key Life Events'!$N$3:$N$28,'Loan Amortization'!AT97),AU96-AX96)</f>
        <v>0</v>
      </c>
      <c r="AV97" s="532">
        <f t="shared" ca="1" si="87"/>
        <v>0</v>
      </c>
      <c r="AW97" s="532">
        <f t="shared" ca="1" si="53"/>
        <v>0</v>
      </c>
      <c r="AX97" s="532">
        <f t="shared" ca="1" si="61"/>
        <v>0</v>
      </c>
      <c r="BC97" s="536">
        <f t="shared" ca="1" si="62"/>
        <v>2034</v>
      </c>
      <c r="BF97" s="530">
        <v>96</v>
      </c>
      <c r="BG97" s="531">
        <f t="shared" ca="1" si="88"/>
        <v>49087</v>
      </c>
      <c r="BH97" s="532">
        <f ca="1">IF(BH96=0,SUMIFS('Key Life Events'!$L$3:$L$28,'Key Life Events'!$H$3:$H$28,'Loan Amortization'!$BL$3,'Key Life Events'!$N$3:$N$28,'Loan Amortization'!BG97),BH96-BK96)</f>
        <v>0</v>
      </c>
      <c r="BI97" s="532">
        <f t="shared" ca="1" si="89"/>
        <v>0</v>
      </c>
      <c r="BJ97" s="532">
        <f t="shared" ca="1" si="90"/>
        <v>0</v>
      </c>
      <c r="BK97" s="532">
        <f t="shared" ca="1" si="63"/>
        <v>0</v>
      </c>
      <c r="BP97" s="536">
        <f t="shared" ca="1" si="64"/>
        <v>2034</v>
      </c>
      <c r="BQ97" s="535">
        <f ca="1"/>
        <v>0</v>
      </c>
      <c r="BS97" s="530">
        <v>96</v>
      </c>
      <c r="BT97" s="531">
        <f t="shared" ca="1" si="91"/>
        <v>49087</v>
      </c>
      <c r="BU97" s="532">
        <f ca="1">IF(BU96=0,SUMIFS('Key Life Events'!$L$3:$L$28,'Key Life Events'!$H$3:$H$28,'Loan Amortization'!$BY$3,'Key Life Events'!$N$3:$N$28,'Loan Amortization'!BT97),BU96-BX96)</f>
        <v>0</v>
      </c>
      <c r="BV97" s="532">
        <f t="shared" ca="1" si="96"/>
        <v>0</v>
      </c>
      <c r="BW97" s="532">
        <f t="shared" ca="1" si="92"/>
        <v>0</v>
      </c>
      <c r="BX97" s="532">
        <f t="shared" ca="1" si="65"/>
        <v>0</v>
      </c>
      <c r="CC97" s="536">
        <f t="shared" ca="1" si="66"/>
        <v>2034</v>
      </c>
      <c r="CD97" s="535">
        <f ca="1"/>
        <v>0</v>
      </c>
      <c r="CF97" s="530">
        <v>96</v>
      </c>
      <c r="CG97" s="531">
        <f t="shared" ca="1" si="93"/>
        <v>49087</v>
      </c>
      <c r="CH97" s="532">
        <f ca="1">IF(CH96=0,SUMIFS('Key Life Events'!$L$3:$L$28,'Key Life Events'!$H$3:$H$28,'Loan Amortization'!$CL$3,'Key Life Events'!$N$3:$N$28,'Loan Amortization'!CG97),CH96-CK96)</f>
        <v>0</v>
      </c>
      <c r="CI97" s="532">
        <f t="shared" ca="1" si="94"/>
        <v>0</v>
      </c>
      <c r="CJ97" s="532">
        <f t="shared" ca="1" si="95"/>
        <v>0</v>
      </c>
      <c r="CK97" s="532">
        <f t="shared" ca="1" si="67"/>
        <v>0</v>
      </c>
      <c r="CP97" s="536">
        <f t="shared" ca="1" si="68"/>
        <v>2034</v>
      </c>
      <c r="CQ97" s="535">
        <f ca="1"/>
        <v>0</v>
      </c>
      <c r="CS97" s="100">
        <f t="shared" si="69"/>
        <v>96</v>
      </c>
      <c r="CT97" s="102">
        <f t="shared" ca="1" si="70"/>
        <v>0</v>
      </c>
      <c r="CU97" s="102">
        <f t="shared" ca="1" si="71"/>
        <v>0</v>
      </c>
      <c r="CV97" s="511">
        <f t="shared" ca="1" si="72"/>
        <v>2034</v>
      </c>
      <c r="CW97" s="1">
        <f t="shared" si="51"/>
        <v>1141</v>
      </c>
      <c r="CX97" s="99">
        <f t="shared" si="52"/>
        <v>0</v>
      </c>
    </row>
    <row r="98" spans="1:102" x14ac:dyDescent="0.3">
      <c r="A98" s="100">
        <v>97</v>
      </c>
      <c r="B98" s="131">
        <f t="shared" si="73"/>
        <v>2098</v>
      </c>
      <c r="C98" s="102">
        <f t="shared" si="74"/>
        <v>0</v>
      </c>
      <c r="D98" s="102">
        <f t="shared" si="75"/>
        <v>0</v>
      </c>
      <c r="E98" s="102">
        <f t="shared" si="54"/>
        <v>0</v>
      </c>
      <c r="F98" s="102">
        <f t="shared" si="76"/>
        <v>0</v>
      </c>
      <c r="L98" s="100">
        <v>97</v>
      </c>
      <c r="M98" s="131">
        <f t="shared" ca="1" si="77"/>
        <v>49118</v>
      </c>
      <c r="N98" s="102">
        <f t="shared" si="78"/>
        <v>0</v>
      </c>
      <c r="O98" s="102">
        <f t="shared" si="79"/>
        <v>0</v>
      </c>
      <c r="P98" s="102">
        <f t="shared" si="56"/>
        <v>0</v>
      </c>
      <c r="Q98" s="102">
        <f t="shared" si="57"/>
        <v>0</v>
      </c>
      <c r="W98" s="100">
        <v>97</v>
      </c>
      <c r="X98" s="131">
        <f t="shared" ca="1" si="80"/>
        <v>49118</v>
      </c>
      <c r="Y98" s="102">
        <f t="shared" si="81"/>
        <v>0</v>
      </c>
      <c r="Z98" s="102">
        <f t="shared" si="82"/>
        <v>0</v>
      </c>
      <c r="AA98" s="102">
        <f t="shared" si="58"/>
        <v>0</v>
      </c>
      <c r="AB98" s="102">
        <f t="shared" si="59"/>
        <v>0</v>
      </c>
      <c r="AH98" s="100">
        <v>97</v>
      </c>
      <c r="AI98" s="131">
        <f t="shared" ca="1" si="83"/>
        <v>49118</v>
      </c>
      <c r="AJ98" s="102">
        <f t="shared" si="84"/>
        <v>0</v>
      </c>
      <c r="AK98" s="102">
        <f t="shared" si="85"/>
        <v>0</v>
      </c>
      <c r="AL98" s="102">
        <f t="shared" si="97"/>
        <v>0</v>
      </c>
      <c r="AM98" s="102">
        <f t="shared" si="60"/>
        <v>0</v>
      </c>
      <c r="AS98" s="530">
        <v>97</v>
      </c>
      <c r="AT98" s="531">
        <f t="shared" ca="1" si="86"/>
        <v>49118</v>
      </c>
      <c r="AU98" s="532">
        <f ca="1">IF(AU97=0,SUMIFS('Key Life Events'!$L$3:$L$28,'Key Life Events'!$H$3:$H$28,'Loan Amortization'!$AY$3,'Key Life Events'!$N$3:$N$28,'Loan Amortization'!AT98),AU97-AX97)</f>
        <v>0</v>
      </c>
      <c r="AV98" s="532">
        <f t="shared" ca="1" si="87"/>
        <v>0</v>
      </c>
      <c r="AW98" s="532">
        <f t="shared" ca="1" si="53"/>
        <v>0</v>
      </c>
      <c r="AX98" s="532">
        <f t="shared" ca="1" si="61"/>
        <v>0</v>
      </c>
      <c r="BC98" s="536">
        <f t="shared" ca="1" si="62"/>
        <v>2034</v>
      </c>
      <c r="BF98" s="530">
        <v>97</v>
      </c>
      <c r="BG98" s="531">
        <f t="shared" ca="1" si="88"/>
        <v>49118</v>
      </c>
      <c r="BH98" s="532">
        <f ca="1">IF(BH97=0,SUMIFS('Key Life Events'!$L$3:$L$28,'Key Life Events'!$H$3:$H$28,'Loan Amortization'!$BL$3,'Key Life Events'!$N$3:$N$28,'Loan Amortization'!BG98),BH97-BK97)</f>
        <v>0</v>
      </c>
      <c r="BI98" s="532">
        <f t="shared" ca="1" si="89"/>
        <v>0</v>
      </c>
      <c r="BJ98" s="532">
        <f t="shared" ca="1" si="90"/>
        <v>0</v>
      </c>
      <c r="BK98" s="532">
        <f t="shared" ca="1" si="63"/>
        <v>0</v>
      </c>
      <c r="BP98" s="536">
        <f t="shared" ca="1" si="64"/>
        <v>2034</v>
      </c>
      <c r="BQ98" s="535">
        <f ca="1"/>
        <v>0</v>
      </c>
      <c r="BS98" s="530">
        <v>97</v>
      </c>
      <c r="BT98" s="531">
        <f t="shared" ca="1" si="91"/>
        <v>49118</v>
      </c>
      <c r="BU98" s="532">
        <f ca="1">IF(BU97=0,SUMIFS('Key Life Events'!$L$3:$L$28,'Key Life Events'!$H$3:$H$28,'Loan Amortization'!$BY$3,'Key Life Events'!$N$3:$N$28,'Loan Amortization'!BT98),BU97-BX97)</f>
        <v>0</v>
      </c>
      <c r="BV98" s="532">
        <f t="shared" ca="1" si="96"/>
        <v>0</v>
      </c>
      <c r="BW98" s="532">
        <f t="shared" ca="1" si="92"/>
        <v>0</v>
      </c>
      <c r="BX98" s="532">
        <f t="shared" ca="1" si="65"/>
        <v>0</v>
      </c>
      <c r="CC98" s="536">
        <f t="shared" ca="1" si="66"/>
        <v>2034</v>
      </c>
      <c r="CD98" s="535">
        <f ca="1"/>
        <v>0</v>
      </c>
      <c r="CF98" s="530">
        <v>97</v>
      </c>
      <c r="CG98" s="531">
        <f t="shared" ca="1" si="93"/>
        <v>49118</v>
      </c>
      <c r="CH98" s="532">
        <f ca="1">IF(CH97=0,SUMIFS('Key Life Events'!$L$3:$L$28,'Key Life Events'!$H$3:$H$28,'Loan Amortization'!$CL$3,'Key Life Events'!$N$3:$N$28,'Loan Amortization'!CG98),CH97-CK97)</f>
        <v>0</v>
      </c>
      <c r="CI98" s="532">
        <f t="shared" ca="1" si="94"/>
        <v>0</v>
      </c>
      <c r="CJ98" s="532">
        <f t="shared" ca="1" si="95"/>
        <v>0</v>
      </c>
      <c r="CK98" s="532">
        <f t="shared" ca="1" si="67"/>
        <v>0</v>
      </c>
      <c r="CP98" s="536">
        <f t="shared" ca="1" si="68"/>
        <v>2034</v>
      </c>
      <c r="CQ98" s="535">
        <f ca="1"/>
        <v>0</v>
      </c>
      <c r="CS98" s="100">
        <f t="shared" si="69"/>
        <v>97</v>
      </c>
      <c r="CT98" s="102">
        <f t="shared" ca="1" si="70"/>
        <v>0</v>
      </c>
      <c r="CU98" s="102">
        <f t="shared" ca="1" si="71"/>
        <v>0</v>
      </c>
      <c r="CV98" s="511">
        <f t="shared" ca="1" si="72"/>
        <v>2034</v>
      </c>
      <c r="CW98" s="1">
        <f t="shared" si="51"/>
        <v>1153</v>
      </c>
      <c r="CX98" s="99">
        <f t="shared" si="52"/>
        <v>0</v>
      </c>
    </row>
    <row r="99" spans="1:102" x14ac:dyDescent="0.3">
      <c r="A99" s="100">
        <v>98</v>
      </c>
      <c r="B99" s="131">
        <f t="shared" si="73"/>
        <v>2128</v>
      </c>
      <c r="C99" s="102">
        <f t="shared" si="74"/>
        <v>0</v>
      </c>
      <c r="D99" s="102">
        <f t="shared" si="75"/>
        <v>0</v>
      </c>
      <c r="E99" s="102">
        <f t="shared" si="54"/>
        <v>0</v>
      </c>
      <c r="F99" s="102">
        <f t="shared" si="76"/>
        <v>0</v>
      </c>
      <c r="L99" s="100">
        <v>98</v>
      </c>
      <c r="M99" s="131">
        <f t="shared" ca="1" si="77"/>
        <v>49148</v>
      </c>
      <c r="N99" s="102">
        <f t="shared" si="78"/>
        <v>0</v>
      </c>
      <c r="O99" s="102">
        <f t="shared" si="79"/>
        <v>0</v>
      </c>
      <c r="P99" s="102">
        <f t="shared" si="56"/>
        <v>0</v>
      </c>
      <c r="Q99" s="102">
        <f t="shared" si="57"/>
        <v>0</v>
      </c>
      <c r="W99" s="100">
        <v>98</v>
      </c>
      <c r="X99" s="131">
        <f t="shared" ca="1" si="80"/>
        <v>49148</v>
      </c>
      <c r="Y99" s="102">
        <f t="shared" si="81"/>
        <v>0</v>
      </c>
      <c r="Z99" s="102">
        <f t="shared" si="82"/>
        <v>0</v>
      </c>
      <c r="AA99" s="102">
        <f t="shared" si="58"/>
        <v>0</v>
      </c>
      <c r="AB99" s="102">
        <f t="shared" si="59"/>
        <v>0</v>
      </c>
      <c r="AH99" s="100">
        <v>98</v>
      </c>
      <c r="AI99" s="131">
        <f t="shared" ca="1" si="83"/>
        <v>49148</v>
      </c>
      <c r="AJ99" s="102">
        <f t="shared" si="84"/>
        <v>0</v>
      </c>
      <c r="AK99" s="102">
        <f t="shared" si="85"/>
        <v>0</v>
      </c>
      <c r="AL99" s="102">
        <f t="shared" si="97"/>
        <v>0</v>
      </c>
      <c r="AM99" s="102">
        <f t="shared" si="60"/>
        <v>0</v>
      </c>
      <c r="AS99" s="530">
        <v>98</v>
      </c>
      <c r="AT99" s="531">
        <f t="shared" ca="1" si="86"/>
        <v>49148</v>
      </c>
      <c r="AU99" s="532">
        <f ca="1">IF(AU98=0,SUMIFS('Key Life Events'!$L$3:$L$28,'Key Life Events'!$H$3:$H$28,'Loan Amortization'!$AY$3,'Key Life Events'!$N$3:$N$28,'Loan Amortization'!AT99),AU98-AX98)</f>
        <v>0</v>
      </c>
      <c r="AV99" s="532">
        <f t="shared" ca="1" si="87"/>
        <v>0</v>
      </c>
      <c r="AW99" s="532">
        <f t="shared" ca="1" si="53"/>
        <v>0</v>
      </c>
      <c r="AX99" s="532">
        <f t="shared" ca="1" si="61"/>
        <v>0</v>
      </c>
      <c r="BC99" s="536">
        <f t="shared" ca="1" si="62"/>
        <v>2034</v>
      </c>
      <c r="BF99" s="530">
        <v>98</v>
      </c>
      <c r="BG99" s="531">
        <f t="shared" ca="1" si="88"/>
        <v>49148</v>
      </c>
      <c r="BH99" s="532">
        <f ca="1">IF(BH98=0,SUMIFS('Key Life Events'!$L$3:$L$28,'Key Life Events'!$H$3:$H$28,'Loan Amortization'!$BL$3,'Key Life Events'!$N$3:$N$28,'Loan Amortization'!BG99),BH98-BK98)</f>
        <v>0</v>
      </c>
      <c r="BI99" s="532">
        <f t="shared" ca="1" si="89"/>
        <v>0</v>
      </c>
      <c r="BJ99" s="532">
        <f t="shared" ca="1" si="90"/>
        <v>0</v>
      </c>
      <c r="BK99" s="532">
        <f t="shared" ca="1" si="63"/>
        <v>0</v>
      </c>
      <c r="BP99" s="536">
        <f t="shared" ca="1" si="64"/>
        <v>2034</v>
      </c>
      <c r="BQ99" s="535">
        <f ca="1"/>
        <v>0</v>
      </c>
      <c r="BS99" s="530">
        <v>98</v>
      </c>
      <c r="BT99" s="531">
        <f t="shared" ca="1" si="91"/>
        <v>49148</v>
      </c>
      <c r="BU99" s="532">
        <f ca="1">IF(BU98=0,SUMIFS('Key Life Events'!$L$3:$L$28,'Key Life Events'!$H$3:$H$28,'Loan Amortization'!$BY$3,'Key Life Events'!$N$3:$N$28,'Loan Amortization'!BT99),BU98-BX98)</f>
        <v>0</v>
      </c>
      <c r="BV99" s="532">
        <f t="shared" ca="1" si="96"/>
        <v>0</v>
      </c>
      <c r="BW99" s="532">
        <f t="shared" ca="1" si="92"/>
        <v>0</v>
      </c>
      <c r="BX99" s="532">
        <f t="shared" ca="1" si="65"/>
        <v>0</v>
      </c>
      <c r="CC99" s="536">
        <f t="shared" ca="1" si="66"/>
        <v>2034</v>
      </c>
      <c r="CD99" s="535">
        <f ca="1"/>
        <v>0</v>
      </c>
      <c r="CF99" s="530">
        <v>98</v>
      </c>
      <c r="CG99" s="531">
        <f t="shared" ca="1" si="93"/>
        <v>49148</v>
      </c>
      <c r="CH99" s="532">
        <f ca="1">IF(CH98=0,SUMIFS('Key Life Events'!$L$3:$L$28,'Key Life Events'!$H$3:$H$28,'Loan Amortization'!$CL$3,'Key Life Events'!$N$3:$N$28,'Loan Amortization'!CG99),CH98-CK98)</f>
        <v>0</v>
      </c>
      <c r="CI99" s="532">
        <f t="shared" ca="1" si="94"/>
        <v>0</v>
      </c>
      <c r="CJ99" s="532">
        <f t="shared" ca="1" si="95"/>
        <v>0</v>
      </c>
      <c r="CK99" s="532">
        <f t="shared" ca="1" si="67"/>
        <v>0</v>
      </c>
      <c r="CP99" s="536">
        <f t="shared" ca="1" si="68"/>
        <v>2034</v>
      </c>
      <c r="CQ99" s="535">
        <f ca="1"/>
        <v>0</v>
      </c>
      <c r="CS99" s="100">
        <f t="shared" si="69"/>
        <v>98</v>
      </c>
      <c r="CT99" s="102">
        <f t="shared" ca="1" si="70"/>
        <v>0</v>
      </c>
      <c r="CU99" s="102">
        <f t="shared" ca="1" si="71"/>
        <v>0</v>
      </c>
      <c r="CV99" s="511">
        <f t="shared" ca="1" si="72"/>
        <v>2034</v>
      </c>
      <c r="CW99" s="1">
        <f t="shared" si="51"/>
        <v>1165</v>
      </c>
      <c r="CX99" s="99">
        <f t="shared" si="52"/>
        <v>0</v>
      </c>
    </row>
    <row r="100" spans="1:102" x14ac:dyDescent="0.3">
      <c r="A100" s="100">
        <v>99</v>
      </c>
      <c r="B100" s="131">
        <f t="shared" si="73"/>
        <v>2159</v>
      </c>
      <c r="C100" s="102">
        <f t="shared" si="74"/>
        <v>0</v>
      </c>
      <c r="D100" s="102">
        <f t="shared" si="75"/>
        <v>0</v>
      </c>
      <c r="E100" s="102">
        <f t="shared" si="54"/>
        <v>0</v>
      </c>
      <c r="F100" s="102">
        <f t="shared" si="76"/>
        <v>0</v>
      </c>
      <c r="L100" s="100">
        <v>99</v>
      </c>
      <c r="M100" s="131">
        <f t="shared" ca="1" si="77"/>
        <v>49179</v>
      </c>
      <c r="N100" s="102">
        <f t="shared" si="78"/>
        <v>0</v>
      </c>
      <c r="O100" s="102">
        <f t="shared" si="79"/>
        <v>0</v>
      </c>
      <c r="P100" s="102">
        <f t="shared" si="56"/>
        <v>0</v>
      </c>
      <c r="Q100" s="102">
        <f t="shared" si="57"/>
        <v>0</v>
      </c>
      <c r="W100" s="100">
        <v>99</v>
      </c>
      <c r="X100" s="131">
        <f t="shared" ca="1" si="80"/>
        <v>49179</v>
      </c>
      <c r="Y100" s="102">
        <f t="shared" si="81"/>
        <v>0</v>
      </c>
      <c r="Z100" s="102">
        <f t="shared" si="82"/>
        <v>0</v>
      </c>
      <c r="AA100" s="102">
        <f t="shared" si="58"/>
        <v>0</v>
      </c>
      <c r="AB100" s="102">
        <f t="shared" si="59"/>
        <v>0</v>
      </c>
      <c r="AH100" s="100">
        <v>99</v>
      </c>
      <c r="AI100" s="131">
        <f t="shared" ca="1" si="83"/>
        <v>49179</v>
      </c>
      <c r="AJ100" s="102">
        <f t="shared" si="84"/>
        <v>0</v>
      </c>
      <c r="AK100" s="102">
        <f t="shared" si="85"/>
        <v>0</v>
      </c>
      <c r="AL100" s="102">
        <f t="shared" si="97"/>
        <v>0</v>
      </c>
      <c r="AM100" s="102">
        <f t="shared" si="60"/>
        <v>0</v>
      </c>
      <c r="AS100" s="530">
        <v>99</v>
      </c>
      <c r="AT100" s="531">
        <f t="shared" ca="1" si="86"/>
        <v>49179</v>
      </c>
      <c r="AU100" s="532">
        <f ca="1">IF(AU99=0,SUMIFS('Key Life Events'!$L$3:$L$28,'Key Life Events'!$H$3:$H$28,'Loan Amortization'!$AY$3,'Key Life Events'!$N$3:$N$28,'Loan Amortization'!AT100),AU99-AX99)</f>
        <v>0</v>
      </c>
      <c r="AV100" s="532">
        <f t="shared" ca="1" si="87"/>
        <v>0</v>
      </c>
      <c r="AW100" s="532">
        <f t="shared" ca="1" si="53"/>
        <v>0</v>
      </c>
      <c r="AX100" s="532">
        <f t="shared" ca="1" si="61"/>
        <v>0</v>
      </c>
      <c r="BC100" s="536">
        <f t="shared" ca="1" si="62"/>
        <v>2034</v>
      </c>
      <c r="BF100" s="530">
        <v>99</v>
      </c>
      <c r="BG100" s="531">
        <f t="shared" ca="1" si="88"/>
        <v>49179</v>
      </c>
      <c r="BH100" s="532">
        <f ca="1">IF(BH99=0,SUMIFS('Key Life Events'!$L$3:$L$28,'Key Life Events'!$H$3:$H$28,'Loan Amortization'!$BL$3,'Key Life Events'!$N$3:$N$28,'Loan Amortization'!BG100),BH99-BK99)</f>
        <v>0</v>
      </c>
      <c r="BI100" s="532">
        <f t="shared" ca="1" si="89"/>
        <v>0</v>
      </c>
      <c r="BJ100" s="532">
        <f t="shared" ca="1" si="90"/>
        <v>0</v>
      </c>
      <c r="BK100" s="532">
        <f t="shared" ca="1" si="63"/>
        <v>0</v>
      </c>
      <c r="BP100" s="536">
        <f t="shared" ca="1" si="64"/>
        <v>2034</v>
      </c>
      <c r="BQ100" s="535">
        <f ca="1"/>
        <v>0</v>
      </c>
      <c r="BS100" s="530">
        <v>99</v>
      </c>
      <c r="BT100" s="531">
        <f t="shared" ca="1" si="91"/>
        <v>49179</v>
      </c>
      <c r="BU100" s="532">
        <f ca="1">IF(BU99=0,SUMIFS('Key Life Events'!$L$3:$L$28,'Key Life Events'!$H$3:$H$28,'Loan Amortization'!$BY$3,'Key Life Events'!$N$3:$N$28,'Loan Amortization'!BT100),BU99-BX99)</f>
        <v>0</v>
      </c>
      <c r="BV100" s="532">
        <f t="shared" ca="1" si="96"/>
        <v>0</v>
      </c>
      <c r="BW100" s="532">
        <f t="shared" ca="1" si="92"/>
        <v>0</v>
      </c>
      <c r="BX100" s="532">
        <f t="shared" ca="1" si="65"/>
        <v>0</v>
      </c>
      <c r="CC100" s="536">
        <f t="shared" ca="1" si="66"/>
        <v>2034</v>
      </c>
      <c r="CD100" s="535">
        <f ca="1"/>
        <v>0</v>
      </c>
      <c r="CF100" s="530">
        <v>99</v>
      </c>
      <c r="CG100" s="531">
        <f t="shared" ca="1" si="93"/>
        <v>49179</v>
      </c>
      <c r="CH100" s="532">
        <f ca="1">IF(CH99=0,SUMIFS('Key Life Events'!$L$3:$L$28,'Key Life Events'!$H$3:$H$28,'Loan Amortization'!$CL$3,'Key Life Events'!$N$3:$N$28,'Loan Amortization'!CG100),CH99-CK99)</f>
        <v>0</v>
      </c>
      <c r="CI100" s="532">
        <f t="shared" ca="1" si="94"/>
        <v>0</v>
      </c>
      <c r="CJ100" s="532">
        <f t="shared" ca="1" si="95"/>
        <v>0</v>
      </c>
      <c r="CK100" s="532">
        <f t="shared" ca="1" si="67"/>
        <v>0</v>
      </c>
      <c r="CP100" s="536">
        <f t="shared" ca="1" si="68"/>
        <v>2034</v>
      </c>
      <c r="CQ100" s="535">
        <f ca="1"/>
        <v>0</v>
      </c>
      <c r="CS100" s="100">
        <f t="shared" si="69"/>
        <v>99</v>
      </c>
      <c r="CT100" s="102">
        <f t="shared" ca="1" si="70"/>
        <v>0</v>
      </c>
      <c r="CU100" s="102">
        <f t="shared" ca="1" si="71"/>
        <v>0</v>
      </c>
      <c r="CV100" s="511">
        <f t="shared" ca="1" si="72"/>
        <v>2034</v>
      </c>
      <c r="CW100" s="1">
        <f t="shared" si="51"/>
        <v>1177</v>
      </c>
      <c r="CX100" s="99">
        <f t="shared" si="52"/>
        <v>0</v>
      </c>
    </row>
    <row r="101" spans="1:102" x14ac:dyDescent="0.3">
      <c r="A101" s="100">
        <v>100</v>
      </c>
      <c r="B101" s="131">
        <f t="shared" si="73"/>
        <v>2189</v>
      </c>
      <c r="C101" s="102">
        <f t="shared" si="74"/>
        <v>0</v>
      </c>
      <c r="D101" s="102">
        <f t="shared" si="75"/>
        <v>0</v>
      </c>
      <c r="E101" s="102">
        <f t="shared" si="54"/>
        <v>0</v>
      </c>
      <c r="F101" s="102">
        <f t="shared" si="76"/>
        <v>0</v>
      </c>
      <c r="L101" s="100">
        <v>100</v>
      </c>
      <c r="M101" s="131">
        <f t="shared" ca="1" si="77"/>
        <v>49210</v>
      </c>
      <c r="N101" s="102">
        <f t="shared" si="78"/>
        <v>0</v>
      </c>
      <c r="O101" s="102">
        <f t="shared" si="79"/>
        <v>0</v>
      </c>
      <c r="P101" s="102">
        <f t="shared" si="56"/>
        <v>0</v>
      </c>
      <c r="Q101" s="102">
        <f t="shared" si="57"/>
        <v>0</v>
      </c>
      <c r="W101" s="100">
        <v>100</v>
      </c>
      <c r="X101" s="131">
        <f t="shared" ca="1" si="80"/>
        <v>49210</v>
      </c>
      <c r="Y101" s="102">
        <f t="shared" si="81"/>
        <v>0</v>
      </c>
      <c r="Z101" s="102">
        <f t="shared" si="82"/>
        <v>0</v>
      </c>
      <c r="AA101" s="102">
        <f t="shared" si="58"/>
        <v>0</v>
      </c>
      <c r="AB101" s="102">
        <f t="shared" si="59"/>
        <v>0</v>
      </c>
      <c r="AH101" s="100">
        <v>100</v>
      </c>
      <c r="AI101" s="131">
        <f t="shared" ca="1" si="83"/>
        <v>49210</v>
      </c>
      <c r="AJ101" s="102">
        <f t="shared" si="84"/>
        <v>0</v>
      </c>
      <c r="AK101" s="102">
        <f t="shared" si="85"/>
        <v>0</v>
      </c>
      <c r="AL101" s="102">
        <f t="shared" si="97"/>
        <v>0</v>
      </c>
      <c r="AM101" s="102">
        <f t="shared" si="60"/>
        <v>0</v>
      </c>
      <c r="AS101" s="530">
        <v>100</v>
      </c>
      <c r="AT101" s="531">
        <f t="shared" ca="1" si="86"/>
        <v>49210</v>
      </c>
      <c r="AU101" s="532">
        <f ca="1">IF(AU100=0,SUMIFS('Key Life Events'!$L$3:$L$28,'Key Life Events'!$H$3:$H$28,'Loan Amortization'!$AY$3,'Key Life Events'!$N$3:$N$28,'Loan Amortization'!AT101),AU100-AX100)</f>
        <v>0</v>
      </c>
      <c r="AV101" s="532">
        <f t="shared" ca="1" si="87"/>
        <v>0</v>
      </c>
      <c r="AW101" s="532">
        <f t="shared" ca="1" si="53"/>
        <v>0</v>
      </c>
      <c r="AX101" s="532">
        <f t="shared" ca="1" si="61"/>
        <v>0</v>
      </c>
      <c r="BC101" s="536">
        <f t="shared" ca="1" si="62"/>
        <v>2034</v>
      </c>
      <c r="BF101" s="530">
        <v>100</v>
      </c>
      <c r="BG101" s="531">
        <f t="shared" ca="1" si="88"/>
        <v>49210</v>
      </c>
      <c r="BH101" s="532">
        <f ca="1">IF(BH100=0,SUMIFS('Key Life Events'!$L$3:$L$28,'Key Life Events'!$H$3:$H$28,'Loan Amortization'!$BL$3,'Key Life Events'!$N$3:$N$28,'Loan Amortization'!BG101),BH100-BK100)</f>
        <v>0</v>
      </c>
      <c r="BI101" s="532">
        <f t="shared" ca="1" si="89"/>
        <v>0</v>
      </c>
      <c r="BJ101" s="532">
        <f t="shared" ca="1" si="90"/>
        <v>0</v>
      </c>
      <c r="BK101" s="532">
        <f t="shared" ca="1" si="63"/>
        <v>0</v>
      </c>
      <c r="BP101" s="536">
        <f t="shared" ca="1" si="64"/>
        <v>2034</v>
      </c>
      <c r="BQ101" s="535">
        <f ca="1"/>
        <v>0</v>
      </c>
      <c r="BS101" s="530">
        <v>100</v>
      </c>
      <c r="BT101" s="531">
        <f t="shared" ca="1" si="91"/>
        <v>49210</v>
      </c>
      <c r="BU101" s="532">
        <f ca="1">IF(BU100=0,SUMIFS('Key Life Events'!$L$3:$L$28,'Key Life Events'!$H$3:$H$28,'Loan Amortization'!$BY$3,'Key Life Events'!$N$3:$N$28,'Loan Amortization'!BT101),BU100-BX100)</f>
        <v>0</v>
      </c>
      <c r="BV101" s="532">
        <f t="shared" ca="1" si="96"/>
        <v>0</v>
      </c>
      <c r="BW101" s="532">
        <f t="shared" ca="1" si="92"/>
        <v>0</v>
      </c>
      <c r="BX101" s="532">
        <f t="shared" ca="1" si="65"/>
        <v>0</v>
      </c>
      <c r="CC101" s="536">
        <f t="shared" ca="1" si="66"/>
        <v>2034</v>
      </c>
      <c r="CD101" s="535">
        <f ca="1"/>
        <v>0</v>
      </c>
      <c r="CF101" s="530">
        <v>100</v>
      </c>
      <c r="CG101" s="531">
        <f t="shared" ca="1" si="93"/>
        <v>49210</v>
      </c>
      <c r="CH101" s="532">
        <f ca="1">IF(CH100=0,SUMIFS('Key Life Events'!$L$3:$L$28,'Key Life Events'!$H$3:$H$28,'Loan Amortization'!$CL$3,'Key Life Events'!$N$3:$N$28,'Loan Amortization'!CG101),CH100-CK100)</f>
        <v>0</v>
      </c>
      <c r="CI101" s="532">
        <f t="shared" ca="1" si="94"/>
        <v>0</v>
      </c>
      <c r="CJ101" s="532">
        <f t="shared" ca="1" si="95"/>
        <v>0</v>
      </c>
      <c r="CK101" s="532">
        <f t="shared" ca="1" si="67"/>
        <v>0</v>
      </c>
      <c r="CP101" s="536">
        <f t="shared" ca="1" si="68"/>
        <v>2034</v>
      </c>
      <c r="CQ101" s="535">
        <f ca="1"/>
        <v>0</v>
      </c>
      <c r="CS101" s="100">
        <f t="shared" si="69"/>
        <v>100</v>
      </c>
      <c r="CT101" s="102">
        <f t="shared" ca="1" si="70"/>
        <v>0</v>
      </c>
      <c r="CU101" s="102">
        <f t="shared" ca="1" si="71"/>
        <v>0</v>
      </c>
      <c r="CV101" s="511">
        <f t="shared" ca="1" si="72"/>
        <v>2034</v>
      </c>
      <c r="CW101" s="1">
        <f t="shared" si="51"/>
        <v>1189</v>
      </c>
      <c r="CX101" s="99">
        <f t="shared" si="52"/>
        <v>0</v>
      </c>
    </row>
    <row r="102" spans="1:102" x14ac:dyDescent="0.3">
      <c r="A102" s="100">
        <v>101</v>
      </c>
      <c r="B102" s="131">
        <f t="shared" si="73"/>
        <v>2220</v>
      </c>
      <c r="C102" s="102">
        <f t="shared" si="74"/>
        <v>0</v>
      </c>
      <c r="D102" s="102">
        <f t="shared" si="75"/>
        <v>0</v>
      </c>
      <c r="E102" s="102">
        <f t="shared" si="54"/>
        <v>0</v>
      </c>
      <c r="F102" s="102">
        <f t="shared" si="76"/>
        <v>0</v>
      </c>
      <c r="L102" s="100">
        <v>101</v>
      </c>
      <c r="M102" s="131">
        <f t="shared" ca="1" si="77"/>
        <v>49240</v>
      </c>
      <c r="N102" s="102">
        <f t="shared" si="78"/>
        <v>0</v>
      </c>
      <c r="O102" s="102">
        <f t="shared" si="79"/>
        <v>0</v>
      </c>
      <c r="P102" s="102">
        <f t="shared" si="56"/>
        <v>0</v>
      </c>
      <c r="Q102" s="102">
        <f t="shared" si="57"/>
        <v>0</v>
      </c>
      <c r="W102" s="100">
        <v>101</v>
      </c>
      <c r="X102" s="131">
        <f t="shared" ca="1" si="80"/>
        <v>49240</v>
      </c>
      <c r="Y102" s="102">
        <f t="shared" si="81"/>
        <v>0</v>
      </c>
      <c r="Z102" s="102">
        <f t="shared" si="82"/>
        <v>0</v>
      </c>
      <c r="AA102" s="102">
        <f t="shared" si="58"/>
        <v>0</v>
      </c>
      <c r="AB102" s="102">
        <f t="shared" si="59"/>
        <v>0</v>
      </c>
      <c r="AH102" s="100">
        <v>101</v>
      </c>
      <c r="AI102" s="131">
        <f t="shared" ca="1" si="83"/>
        <v>49240</v>
      </c>
      <c r="AJ102" s="102">
        <f t="shared" si="84"/>
        <v>0</v>
      </c>
      <c r="AK102" s="102">
        <f t="shared" si="85"/>
        <v>0</v>
      </c>
      <c r="AL102" s="102">
        <f t="shared" si="97"/>
        <v>0</v>
      </c>
      <c r="AM102" s="102">
        <f t="shared" si="60"/>
        <v>0</v>
      </c>
      <c r="AS102" s="530">
        <v>101</v>
      </c>
      <c r="AT102" s="531">
        <f t="shared" ca="1" si="86"/>
        <v>49240</v>
      </c>
      <c r="AU102" s="532">
        <f ca="1">IF(AU101=0,SUMIFS('Key Life Events'!$L$3:$L$28,'Key Life Events'!$H$3:$H$28,'Loan Amortization'!$AY$3,'Key Life Events'!$N$3:$N$28,'Loan Amortization'!AT102),AU101-AX101)</f>
        <v>0</v>
      </c>
      <c r="AV102" s="532">
        <f t="shared" ca="1" si="87"/>
        <v>0</v>
      </c>
      <c r="AW102" s="532">
        <f t="shared" ca="1" si="53"/>
        <v>0</v>
      </c>
      <c r="AX102" s="532">
        <f t="shared" ca="1" si="61"/>
        <v>0</v>
      </c>
      <c r="BC102" s="536">
        <f t="shared" ca="1" si="62"/>
        <v>2034</v>
      </c>
      <c r="BF102" s="530">
        <v>101</v>
      </c>
      <c r="BG102" s="531">
        <f t="shared" ca="1" si="88"/>
        <v>49240</v>
      </c>
      <c r="BH102" s="532">
        <f ca="1">IF(BH101=0,SUMIFS('Key Life Events'!$L$3:$L$28,'Key Life Events'!$H$3:$H$28,'Loan Amortization'!$BL$3,'Key Life Events'!$N$3:$N$28,'Loan Amortization'!BG102),BH101-BK101)</f>
        <v>0</v>
      </c>
      <c r="BI102" s="532">
        <f t="shared" ca="1" si="89"/>
        <v>0</v>
      </c>
      <c r="BJ102" s="532">
        <f t="shared" ca="1" si="90"/>
        <v>0</v>
      </c>
      <c r="BK102" s="532">
        <f t="shared" ca="1" si="63"/>
        <v>0</v>
      </c>
      <c r="BP102" s="536">
        <f t="shared" ca="1" si="64"/>
        <v>2034</v>
      </c>
      <c r="BQ102" s="535">
        <f ca="1"/>
        <v>0</v>
      </c>
      <c r="BS102" s="530">
        <v>101</v>
      </c>
      <c r="BT102" s="531">
        <f t="shared" ca="1" si="91"/>
        <v>49240</v>
      </c>
      <c r="BU102" s="532">
        <f ca="1">IF(BU101=0,SUMIFS('Key Life Events'!$L$3:$L$28,'Key Life Events'!$H$3:$H$28,'Loan Amortization'!$BY$3,'Key Life Events'!$N$3:$N$28,'Loan Amortization'!BT102),BU101-BX101)</f>
        <v>0</v>
      </c>
      <c r="BV102" s="532">
        <f t="shared" ca="1" si="96"/>
        <v>0</v>
      </c>
      <c r="BW102" s="532">
        <f t="shared" ca="1" si="92"/>
        <v>0</v>
      </c>
      <c r="BX102" s="532">
        <f t="shared" ca="1" si="65"/>
        <v>0</v>
      </c>
      <c r="CC102" s="536">
        <f t="shared" ca="1" si="66"/>
        <v>2034</v>
      </c>
      <c r="CD102" s="535">
        <f ca="1"/>
        <v>0</v>
      </c>
      <c r="CF102" s="530">
        <v>101</v>
      </c>
      <c r="CG102" s="531">
        <f t="shared" ca="1" si="93"/>
        <v>49240</v>
      </c>
      <c r="CH102" s="532">
        <f ca="1">IF(CH101=0,SUMIFS('Key Life Events'!$L$3:$L$28,'Key Life Events'!$H$3:$H$28,'Loan Amortization'!$CL$3,'Key Life Events'!$N$3:$N$28,'Loan Amortization'!CG102),CH101-CK101)</f>
        <v>0</v>
      </c>
      <c r="CI102" s="532">
        <f t="shared" ca="1" si="94"/>
        <v>0</v>
      </c>
      <c r="CJ102" s="532">
        <f t="shared" ca="1" si="95"/>
        <v>0</v>
      </c>
      <c r="CK102" s="532">
        <f t="shared" ca="1" si="67"/>
        <v>0</v>
      </c>
      <c r="CP102" s="536">
        <f t="shared" ca="1" si="68"/>
        <v>2034</v>
      </c>
      <c r="CQ102" s="535">
        <f ca="1"/>
        <v>0</v>
      </c>
      <c r="CS102" s="100">
        <f t="shared" si="69"/>
        <v>101</v>
      </c>
      <c r="CT102" s="102">
        <f t="shared" ca="1" si="70"/>
        <v>0</v>
      </c>
      <c r="CU102" s="102">
        <f t="shared" ca="1" si="71"/>
        <v>0</v>
      </c>
      <c r="CV102" s="511">
        <f t="shared" ca="1" si="72"/>
        <v>2034</v>
      </c>
      <c r="CW102" s="1">
        <f t="shared" si="51"/>
        <v>1201</v>
      </c>
      <c r="CX102" s="99">
        <f t="shared" si="52"/>
        <v>0</v>
      </c>
    </row>
    <row r="103" spans="1:102" x14ac:dyDescent="0.3">
      <c r="A103" s="100">
        <v>102</v>
      </c>
      <c r="B103" s="131">
        <f t="shared" si="73"/>
        <v>2251</v>
      </c>
      <c r="C103" s="102">
        <f t="shared" si="74"/>
        <v>0</v>
      </c>
      <c r="D103" s="102">
        <f t="shared" si="75"/>
        <v>0</v>
      </c>
      <c r="E103" s="102">
        <f t="shared" si="54"/>
        <v>0</v>
      </c>
      <c r="F103" s="102">
        <f t="shared" si="76"/>
        <v>0</v>
      </c>
      <c r="L103" s="100">
        <v>102</v>
      </c>
      <c r="M103" s="131">
        <f t="shared" ca="1" si="77"/>
        <v>49271</v>
      </c>
      <c r="N103" s="102">
        <f t="shared" si="78"/>
        <v>0</v>
      </c>
      <c r="O103" s="102">
        <f t="shared" si="79"/>
        <v>0</v>
      </c>
      <c r="P103" s="102">
        <f t="shared" si="56"/>
        <v>0</v>
      </c>
      <c r="Q103" s="102">
        <f t="shared" si="57"/>
        <v>0</v>
      </c>
      <c r="W103" s="100">
        <v>102</v>
      </c>
      <c r="X103" s="131">
        <f t="shared" ca="1" si="80"/>
        <v>49271</v>
      </c>
      <c r="Y103" s="102">
        <f t="shared" si="81"/>
        <v>0</v>
      </c>
      <c r="Z103" s="102">
        <f t="shared" si="82"/>
        <v>0</v>
      </c>
      <c r="AA103" s="102">
        <f t="shared" si="58"/>
        <v>0</v>
      </c>
      <c r="AB103" s="102">
        <f t="shared" si="59"/>
        <v>0</v>
      </c>
      <c r="AH103" s="100">
        <v>102</v>
      </c>
      <c r="AI103" s="131">
        <f t="shared" ca="1" si="83"/>
        <v>49271</v>
      </c>
      <c r="AJ103" s="102">
        <f t="shared" si="84"/>
        <v>0</v>
      </c>
      <c r="AK103" s="102">
        <f t="shared" si="85"/>
        <v>0</v>
      </c>
      <c r="AL103" s="102">
        <f t="shared" si="97"/>
        <v>0</v>
      </c>
      <c r="AM103" s="102">
        <f t="shared" si="60"/>
        <v>0</v>
      </c>
      <c r="AS103" s="530">
        <v>102</v>
      </c>
      <c r="AT103" s="531">
        <f t="shared" ca="1" si="86"/>
        <v>49271</v>
      </c>
      <c r="AU103" s="532">
        <f ca="1">IF(AU102=0,SUMIFS('Key Life Events'!$L$3:$L$28,'Key Life Events'!$H$3:$H$28,'Loan Amortization'!$AY$3,'Key Life Events'!$N$3:$N$28,'Loan Amortization'!AT103),AU102-AX102)</f>
        <v>0</v>
      </c>
      <c r="AV103" s="532">
        <f t="shared" ca="1" si="87"/>
        <v>0</v>
      </c>
      <c r="AW103" s="532">
        <f t="shared" ca="1" si="53"/>
        <v>0</v>
      </c>
      <c r="AX103" s="532">
        <f t="shared" ca="1" si="61"/>
        <v>0</v>
      </c>
      <c r="BC103" s="536">
        <f t="shared" ca="1" si="62"/>
        <v>2034</v>
      </c>
      <c r="BF103" s="530">
        <v>102</v>
      </c>
      <c r="BG103" s="531">
        <f t="shared" ca="1" si="88"/>
        <v>49271</v>
      </c>
      <c r="BH103" s="532">
        <f ca="1">IF(BH102=0,SUMIFS('Key Life Events'!$L$3:$L$28,'Key Life Events'!$H$3:$H$28,'Loan Amortization'!$BL$3,'Key Life Events'!$N$3:$N$28,'Loan Amortization'!BG103),BH102-BK102)</f>
        <v>0</v>
      </c>
      <c r="BI103" s="532">
        <f t="shared" ca="1" si="89"/>
        <v>0</v>
      </c>
      <c r="BJ103" s="532">
        <f t="shared" ca="1" si="90"/>
        <v>0</v>
      </c>
      <c r="BK103" s="532">
        <f t="shared" ca="1" si="63"/>
        <v>0</v>
      </c>
      <c r="BP103" s="536">
        <f t="shared" ca="1" si="64"/>
        <v>2034</v>
      </c>
      <c r="BQ103" s="535">
        <f ca="1"/>
        <v>0</v>
      </c>
      <c r="BS103" s="530">
        <v>102</v>
      </c>
      <c r="BT103" s="531">
        <f t="shared" ca="1" si="91"/>
        <v>49271</v>
      </c>
      <c r="BU103" s="532">
        <f ca="1">IF(BU102=0,SUMIFS('Key Life Events'!$L$3:$L$28,'Key Life Events'!$H$3:$H$28,'Loan Amortization'!$BY$3,'Key Life Events'!$N$3:$N$28,'Loan Amortization'!BT103),BU102-BX102)</f>
        <v>0</v>
      </c>
      <c r="BV103" s="532">
        <f t="shared" ca="1" si="96"/>
        <v>0</v>
      </c>
      <c r="BW103" s="532">
        <f t="shared" ca="1" si="92"/>
        <v>0</v>
      </c>
      <c r="BX103" s="532">
        <f t="shared" ca="1" si="65"/>
        <v>0</v>
      </c>
      <c r="CC103" s="536">
        <f t="shared" ca="1" si="66"/>
        <v>2034</v>
      </c>
      <c r="CD103" s="535">
        <f ca="1"/>
        <v>0</v>
      </c>
      <c r="CF103" s="530">
        <v>102</v>
      </c>
      <c r="CG103" s="531">
        <f t="shared" ca="1" si="93"/>
        <v>49271</v>
      </c>
      <c r="CH103" s="532">
        <f ca="1">IF(CH102=0,SUMIFS('Key Life Events'!$L$3:$L$28,'Key Life Events'!$H$3:$H$28,'Loan Amortization'!$CL$3,'Key Life Events'!$N$3:$N$28,'Loan Amortization'!CG103),CH102-CK102)</f>
        <v>0</v>
      </c>
      <c r="CI103" s="532">
        <f t="shared" ca="1" si="94"/>
        <v>0</v>
      </c>
      <c r="CJ103" s="532">
        <f t="shared" ca="1" si="95"/>
        <v>0</v>
      </c>
      <c r="CK103" s="532">
        <f t="shared" ca="1" si="67"/>
        <v>0</v>
      </c>
      <c r="CP103" s="536">
        <f t="shared" ca="1" si="68"/>
        <v>2034</v>
      </c>
      <c r="CQ103" s="535">
        <f ca="1"/>
        <v>0</v>
      </c>
      <c r="CS103" s="100">
        <f t="shared" si="69"/>
        <v>102</v>
      </c>
      <c r="CT103" s="102">
        <f t="shared" ca="1" si="70"/>
        <v>0</v>
      </c>
      <c r="CU103" s="102">
        <f t="shared" ca="1" si="71"/>
        <v>0</v>
      </c>
      <c r="CV103" s="511">
        <f t="shared" ca="1" si="72"/>
        <v>2034</v>
      </c>
      <c r="CW103" s="1">
        <f t="shared" si="51"/>
        <v>1213</v>
      </c>
      <c r="CX103" s="99">
        <f t="shared" si="52"/>
        <v>0</v>
      </c>
    </row>
    <row r="104" spans="1:102" x14ac:dyDescent="0.3">
      <c r="A104" s="100">
        <v>103</v>
      </c>
      <c r="B104" s="131">
        <f t="shared" si="73"/>
        <v>2279</v>
      </c>
      <c r="C104" s="102">
        <f t="shared" si="74"/>
        <v>0</v>
      </c>
      <c r="D104" s="102">
        <f t="shared" si="75"/>
        <v>0</v>
      </c>
      <c r="E104" s="102">
        <f t="shared" si="54"/>
        <v>0</v>
      </c>
      <c r="F104" s="102">
        <f t="shared" si="76"/>
        <v>0</v>
      </c>
      <c r="L104" s="100">
        <v>103</v>
      </c>
      <c r="M104" s="131">
        <f t="shared" ca="1" si="77"/>
        <v>49301</v>
      </c>
      <c r="N104" s="102">
        <f t="shared" si="78"/>
        <v>0</v>
      </c>
      <c r="O104" s="102">
        <f t="shared" si="79"/>
        <v>0</v>
      </c>
      <c r="P104" s="102">
        <f t="shared" si="56"/>
        <v>0</v>
      </c>
      <c r="Q104" s="102">
        <f t="shared" si="57"/>
        <v>0</v>
      </c>
      <c r="W104" s="100">
        <v>103</v>
      </c>
      <c r="X104" s="131">
        <f t="shared" ca="1" si="80"/>
        <v>49301</v>
      </c>
      <c r="Y104" s="102">
        <f t="shared" si="81"/>
        <v>0</v>
      </c>
      <c r="Z104" s="102">
        <f t="shared" si="82"/>
        <v>0</v>
      </c>
      <c r="AA104" s="102">
        <f t="shared" si="58"/>
        <v>0</v>
      </c>
      <c r="AB104" s="102">
        <f t="shared" si="59"/>
        <v>0</v>
      </c>
      <c r="AH104" s="100">
        <v>103</v>
      </c>
      <c r="AI104" s="131">
        <f t="shared" ca="1" si="83"/>
        <v>49301</v>
      </c>
      <c r="AJ104" s="102">
        <f t="shared" si="84"/>
        <v>0</v>
      </c>
      <c r="AK104" s="102">
        <f t="shared" si="85"/>
        <v>0</v>
      </c>
      <c r="AL104" s="102">
        <f t="shared" si="97"/>
        <v>0</v>
      </c>
      <c r="AM104" s="102">
        <f t="shared" si="60"/>
        <v>0</v>
      </c>
      <c r="AS104" s="530">
        <v>103</v>
      </c>
      <c r="AT104" s="531">
        <f t="shared" ca="1" si="86"/>
        <v>49301</v>
      </c>
      <c r="AU104" s="532">
        <f ca="1">IF(AU103=0,SUMIFS('Key Life Events'!$L$3:$L$28,'Key Life Events'!$H$3:$H$28,'Loan Amortization'!$AY$3,'Key Life Events'!$N$3:$N$28,'Loan Amortization'!AT104),AU103-AX103)</f>
        <v>0</v>
      </c>
      <c r="AV104" s="532">
        <f t="shared" ca="1" si="87"/>
        <v>0</v>
      </c>
      <c r="AW104" s="532">
        <f t="shared" ca="1" si="53"/>
        <v>0</v>
      </c>
      <c r="AX104" s="532">
        <f t="shared" ca="1" si="61"/>
        <v>0</v>
      </c>
      <c r="BC104" s="536">
        <f t="shared" ca="1" si="62"/>
        <v>2034</v>
      </c>
      <c r="BF104" s="530">
        <v>103</v>
      </c>
      <c r="BG104" s="531">
        <f t="shared" ca="1" si="88"/>
        <v>49301</v>
      </c>
      <c r="BH104" s="532">
        <f ca="1">IF(BH103=0,SUMIFS('Key Life Events'!$L$3:$L$28,'Key Life Events'!$H$3:$H$28,'Loan Amortization'!$BL$3,'Key Life Events'!$N$3:$N$28,'Loan Amortization'!BG104),BH103-BK103)</f>
        <v>0</v>
      </c>
      <c r="BI104" s="532">
        <f t="shared" ca="1" si="89"/>
        <v>0</v>
      </c>
      <c r="BJ104" s="532">
        <f t="shared" ca="1" si="90"/>
        <v>0</v>
      </c>
      <c r="BK104" s="532">
        <f t="shared" ca="1" si="63"/>
        <v>0</v>
      </c>
      <c r="BP104" s="536">
        <f t="shared" ca="1" si="64"/>
        <v>2034</v>
      </c>
      <c r="BQ104" s="535">
        <f ca="1"/>
        <v>0</v>
      </c>
      <c r="BS104" s="530">
        <v>103</v>
      </c>
      <c r="BT104" s="531">
        <f t="shared" ca="1" si="91"/>
        <v>49301</v>
      </c>
      <c r="BU104" s="532">
        <f ca="1">IF(BU103=0,SUMIFS('Key Life Events'!$L$3:$L$28,'Key Life Events'!$H$3:$H$28,'Loan Amortization'!$BY$3,'Key Life Events'!$N$3:$N$28,'Loan Amortization'!BT104),BU103-BX103)</f>
        <v>0</v>
      </c>
      <c r="BV104" s="532">
        <f t="shared" ca="1" si="96"/>
        <v>0</v>
      </c>
      <c r="BW104" s="532">
        <f t="shared" ca="1" si="92"/>
        <v>0</v>
      </c>
      <c r="BX104" s="532">
        <f t="shared" ca="1" si="65"/>
        <v>0</v>
      </c>
      <c r="CC104" s="536">
        <f t="shared" ca="1" si="66"/>
        <v>2034</v>
      </c>
      <c r="CD104" s="535">
        <f ca="1"/>
        <v>0</v>
      </c>
      <c r="CF104" s="530">
        <v>103</v>
      </c>
      <c r="CG104" s="531">
        <f t="shared" ca="1" si="93"/>
        <v>49301</v>
      </c>
      <c r="CH104" s="532">
        <f ca="1">IF(CH103=0,SUMIFS('Key Life Events'!$L$3:$L$28,'Key Life Events'!$H$3:$H$28,'Loan Amortization'!$CL$3,'Key Life Events'!$N$3:$N$28,'Loan Amortization'!CG104),CH103-CK103)</f>
        <v>0</v>
      </c>
      <c r="CI104" s="532">
        <f t="shared" ca="1" si="94"/>
        <v>0</v>
      </c>
      <c r="CJ104" s="532">
        <f t="shared" ca="1" si="95"/>
        <v>0</v>
      </c>
      <c r="CK104" s="532">
        <f t="shared" ca="1" si="67"/>
        <v>0</v>
      </c>
      <c r="CP104" s="536">
        <f t="shared" ca="1" si="68"/>
        <v>2034</v>
      </c>
      <c r="CQ104" s="535">
        <f ca="1"/>
        <v>0</v>
      </c>
      <c r="CS104" s="100">
        <f t="shared" si="69"/>
        <v>103</v>
      </c>
      <c r="CT104" s="102">
        <f t="shared" ca="1" si="70"/>
        <v>0</v>
      </c>
      <c r="CU104" s="102">
        <f t="shared" ca="1" si="71"/>
        <v>0</v>
      </c>
      <c r="CV104" s="511">
        <f t="shared" ca="1" si="72"/>
        <v>2034</v>
      </c>
      <c r="CW104" s="1">
        <f t="shared" si="51"/>
        <v>1225</v>
      </c>
      <c r="CX104" s="99">
        <f t="shared" si="52"/>
        <v>0</v>
      </c>
    </row>
    <row r="105" spans="1:102" x14ac:dyDescent="0.3">
      <c r="A105" s="100">
        <v>104</v>
      </c>
      <c r="B105" s="131">
        <f t="shared" si="73"/>
        <v>2310</v>
      </c>
      <c r="C105" s="102">
        <f t="shared" si="74"/>
        <v>0</v>
      </c>
      <c r="D105" s="102">
        <f t="shared" si="75"/>
        <v>0</v>
      </c>
      <c r="E105" s="102">
        <f t="shared" si="54"/>
        <v>0</v>
      </c>
      <c r="F105" s="102">
        <f t="shared" si="76"/>
        <v>0</v>
      </c>
      <c r="L105" s="100">
        <v>104</v>
      </c>
      <c r="M105" s="131">
        <f t="shared" ca="1" si="77"/>
        <v>49332</v>
      </c>
      <c r="N105" s="102">
        <f t="shared" si="78"/>
        <v>0</v>
      </c>
      <c r="O105" s="102">
        <f t="shared" si="79"/>
        <v>0</v>
      </c>
      <c r="P105" s="102">
        <f t="shared" si="56"/>
        <v>0</v>
      </c>
      <c r="Q105" s="102">
        <f t="shared" si="57"/>
        <v>0</v>
      </c>
      <c r="W105" s="100">
        <v>104</v>
      </c>
      <c r="X105" s="131">
        <f t="shared" ca="1" si="80"/>
        <v>49332</v>
      </c>
      <c r="Y105" s="102">
        <f t="shared" si="81"/>
        <v>0</v>
      </c>
      <c r="Z105" s="102">
        <f t="shared" si="82"/>
        <v>0</v>
      </c>
      <c r="AA105" s="102">
        <f t="shared" si="58"/>
        <v>0</v>
      </c>
      <c r="AB105" s="102">
        <f t="shared" si="59"/>
        <v>0</v>
      </c>
      <c r="AH105" s="100">
        <v>104</v>
      </c>
      <c r="AI105" s="131">
        <f t="shared" ca="1" si="83"/>
        <v>49332</v>
      </c>
      <c r="AJ105" s="102">
        <f t="shared" si="84"/>
        <v>0</v>
      </c>
      <c r="AK105" s="102">
        <f t="shared" si="85"/>
        <v>0</v>
      </c>
      <c r="AL105" s="102">
        <f t="shared" si="97"/>
        <v>0</v>
      </c>
      <c r="AM105" s="102">
        <f t="shared" si="60"/>
        <v>0</v>
      </c>
      <c r="AS105" s="530">
        <v>104</v>
      </c>
      <c r="AT105" s="531">
        <f t="shared" ca="1" si="86"/>
        <v>49332</v>
      </c>
      <c r="AU105" s="532">
        <f ca="1">IF(AU104=0,SUMIFS('Key Life Events'!$L$3:$L$28,'Key Life Events'!$H$3:$H$28,'Loan Amortization'!$AY$3,'Key Life Events'!$N$3:$N$28,'Loan Amortization'!AT105),AU104-AX104)</f>
        <v>0</v>
      </c>
      <c r="AV105" s="532">
        <f t="shared" ca="1" si="87"/>
        <v>0</v>
      </c>
      <c r="AW105" s="532">
        <f t="shared" ca="1" si="53"/>
        <v>0</v>
      </c>
      <c r="AX105" s="532">
        <f t="shared" ca="1" si="61"/>
        <v>0</v>
      </c>
      <c r="BC105" s="536">
        <f t="shared" ca="1" si="62"/>
        <v>2035</v>
      </c>
      <c r="BF105" s="530">
        <v>104</v>
      </c>
      <c r="BG105" s="531">
        <f t="shared" ca="1" si="88"/>
        <v>49332</v>
      </c>
      <c r="BH105" s="532">
        <f ca="1">IF(BH104=0,SUMIFS('Key Life Events'!$L$3:$L$28,'Key Life Events'!$H$3:$H$28,'Loan Amortization'!$BL$3,'Key Life Events'!$N$3:$N$28,'Loan Amortization'!BG105),BH104-BK104)</f>
        <v>0</v>
      </c>
      <c r="BI105" s="532">
        <f t="shared" ca="1" si="89"/>
        <v>0</v>
      </c>
      <c r="BJ105" s="532">
        <f t="shared" ca="1" si="90"/>
        <v>0</v>
      </c>
      <c r="BK105" s="532">
        <f t="shared" ca="1" si="63"/>
        <v>0</v>
      </c>
      <c r="BP105" s="536">
        <f t="shared" ca="1" si="64"/>
        <v>2035</v>
      </c>
      <c r="BQ105" s="535">
        <f ca="1"/>
        <v>0</v>
      </c>
      <c r="BS105" s="530">
        <v>104</v>
      </c>
      <c r="BT105" s="531">
        <f t="shared" ca="1" si="91"/>
        <v>49332</v>
      </c>
      <c r="BU105" s="532">
        <f ca="1">IF(BU104=0,SUMIFS('Key Life Events'!$L$3:$L$28,'Key Life Events'!$H$3:$H$28,'Loan Amortization'!$BY$3,'Key Life Events'!$N$3:$N$28,'Loan Amortization'!BT105),BU104-BX104)</f>
        <v>0</v>
      </c>
      <c r="BV105" s="532">
        <f t="shared" ca="1" si="96"/>
        <v>0</v>
      </c>
      <c r="BW105" s="532">
        <f t="shared" ca="1" si="92"/>
        <v>0</v>
      </c>
      <c r="BX105" s="532">
        <f t="shared" ca="1" si="65"/>
        <v>0</v>
      </c>
      <c r="CC105" s="536">
        <f t="shared" ca="1" si="66"/>
        <v>2035</v>
      </c>
      <c r="CD105" s="535">
        <f ca="1"/>
        <v>0</v>
      </c>
      <c r="CF105" s="530">
        <v>104</v>
      </c>
      <c r="CG105" s="531">
        <f t="shared" ca="1" si="93"/>
        <v>49332</v>
      </c>
      <c r="CH105" s="532">
        <f ca="1">IF(CH104=0,SUMIFS('Key Life Events'!$L$3:$L$28,'Key Life Events'!$H$3:$H$28,'Loan Amortization'!$CL$3,'Key Life Events'!$N$3:$N$28,'Loan Amortization'!CG105),CH104-CK104)</f>
        <v>0</v>
      </c>
      <c r="CI105" s="532">
        <f t="shared" ca="1" si="94"/>
        <v>0</v>
      </c>
      <c r="CJ105" s="532">
        <f t="shared" ca="1" si="95"/>
        <v>0</v>
      </c>
      <c r="CK105" s="532">
        <f t="shared" ca="1" si="67"/>
        <v>0</v>
      </c>
      <c r="CP105" s="536">
        <f t="shared" ca="1" si="68"/>
        <v>2035</v>
      </c>
      <c r="CQ105" s="535">
        <f ca="1"/>
        <v>0</v>
      </c>
      <c r="CS105" s="100">
        <f t="shared" si="69"/>
        <v>104</v>
      </c>
      <c r="CT105" s="102">
        <f t="shared" ca="1" si="70"/>
        <v>0</v>
      </c>
      <c r="CU105" s="102">
        <f t="shared" ca="1" si="71"/>
        <v>0</v>
      </c>
      <c r="CV105" s="511">
        <f t="shared" ca="1" si="72"/>
        <v>2035</v>
      </c>
      <c r="CW105" s="1">
        <f t="shared" si="51"/>
        <v>1237</v>
      </c>
      <c r="CX105" s="99">
        <f t="shared" si="52"/>
        <v>0</v>
      </c>
    </row>
    <row r="106" spans="1:102" x14ac:dyDescent="0.3">
      <c r="A106" s="100">
        <v>105</v>
      </c>
      <c r="B106" s="131">
        <f t="shared" si="73"/>
        <v>2340</v>
      </c>
      <c r="C106" s="102">
        <f t="shared" si="74"/>
        <v>0</v>
      </c>
      <c r="D106" s="102">
        <f t="shared" si="75"/>
        <v>0</v>
      </c>
      <c r="E106" s="102">
        <f t="shared" si="54"/>
        <v>0</v>
      </c>
      <c r="F106" s="102">
        <f t="shared" si="76"/>
        <v>0</v>
      </c>
      <c r="L106" s="100">
        <v>105</v>
      </c>
      <c r="M106" s="131">
        <f t="shared" ca="1" si="77"/>
        <v>49363</v>
      </c>
      <c r="N106" s="102">
        <f t="shared" si="78"/>
        <v>0</v>
      </c>
      <c r="O106" s="102">
        <f t="shared" si="79"/>
        <v>0</v>
      </c>
      <c r="P106" s="102">
        <f t="shared" si="56"/>
        <v>0</v>
      </c>
      <c r="Q106" s="102">
        <f t="shared" si="57"/>
        <v>0</v>
      </c>
      <c r="W106" s="100">
        <v>105</v>
      </c>
      <c r="X106" s="131">
        <f t="shared" ca="1" si="80"/>
        <v>49363</v>
      </c>
      <c r="Y106" s="102">
        <f t="shared" si="81"/>
        <v>0</v>
      </c>
      <c r="Z106" s="102">
        <f t="shared" si="82"/>
        <v>0</v>
      </c>
      <c r="AA106" s="102">
        <f t="shared" si="58"/>
        <v>0</v>
      </c>
      <c r="AB106" s="102">
        <f t="shared" si="59"/>
        <v>0</v>
      </c>
      <c r="AH106" s="100">
        <v>105</v>
      </c>
      <c r="AI106" s="131">
        <f t="shared" ca="1" si="83"/>
        <v>49363</v>
      </c>
      <c r="AJ106" s="102">
        <f t="shared" si="84"/>
        <v>0</v>
      </c>
      <c r="AK106" s="102">
        <f t="shared" si="85"/>
        <v>0</v>
      </c>
      <c r="AL106" s="102">
        <f t="shared" si="97"/>
        <v>0</v>
      </c>
      <c r="AM106" s="102">
        <f t="shared" si="60"/>
        <v>0</v>
      </c>
      <c r="AS106" s="530">
        <v>105</v>
      </c>
      <c r="AT106" s="531">
        <f t="shared" ca="1" si="86"/>
        <v>49363</v>
      </c>
      <c r="AU106" s="532">
        <f ca="1">IF(AU105=0,SUMIFS('Key Life Events'!$L$3:$L$28,'Key Life Events'!$H$3:$H$28,'Loan Amortization'!$AY$3,'Key Life Events'!$N$3:$N$28,'Loan Amortization'!AT106),AU105-AX105)</f>
        <v>0</v>
      </c>
      <c r="AV106" s="532">
        <f t="shared" ca="1" si="87"/>
        <v>0</v>
      </c>
      <c r="AW106" s="532">
        <f t="shared" ca="1" si="53"/>
        <v>0</v>
      </c>
      <c r="AX106" s="532">
        <f t="shared" ca="1" si="61"/>
        <v>0</v>
      </c>
      <c r="BC106" s="536">
        <f t="shared" ca="1" si="62"/>
        <v>2035</v>
      </c>
      <c r="BF106" s="530">
        <v>105</v>
      </c>
      <c r="BG106" s="531">
        <f t="shared" ca="1" si="88"/>
        <v>49363</v>
      </c>
      <c r="BH106" s="532">
        <f ca="1">IF(BH105=0,SUMIFS('Key Life Events'!$L$3:$L$28,'Key Life Events'!$H$3:$H$28,'Loan Amortization'!$BL$3,'Key Life Events'!$N$3:$N$28,'Loan Amortization'!BG106),BH105-BK105)</f>
        <v>0</v>
      </c>
      <c r="BI106" s="532">
        <f t="shared" ca="1" si="89"/>
        <v>0</v>
      </c>
      <c r="BJ106" s="532">
        <f t="shared" ca="1" si="90"/>
        <v>0</v>
      </c>
      <c r="BK106" s="532">
        <f t="shared" ca="1" si="63"/>
        <v>0</v>
      </c>
      <c r="BP106" s="536">
        <f t="shared" ca="1" si="64"/>
        <v>2035</v>
      </c>
      <c r="BQ106" s="535">
        <f ca="1"/>
        <v>0</v>
      </c>
      <c r="BS106" s="530">
        <v>105</v>
      </c>
      <c r="BT106" s="531">
        <f t="shared" ca="1" si="91"/>
        <v>49363</v>
      </c>
      <c r="BU106" s="532">
        <f ca="1">IF(BU105=0,SUMIFS('Key Life Events'!$L$3:$L$28,'Key Life Events'!$H$3:$H$28,'Loan Amortization'!$BY$3,'Key Life Events'!$N$3:$N$28,'Loan Amortization'!BT106),BU105-BX105)</f>
        <v>0</v>
      </c>
      <c r="BV106" s="532">
        <f t="shared" ca="1" si="96"/>
        <v>0</v>
      </c>
      <c r="BW106" s="532">
        <f t="shared" ca="1" si="92"/>
        <v>0</v>
      </c>
      <c r="BX106" s="532">
        <f t="shared" ca="1" si="65"/>
        <v>0</v>
      </c>
      <c r="CC106" s="536">
        <f t="shared" ca="1" si="66"/>
        <v>2035</v>
      </c>
      <c r="CD106" s="535">
        <f ca="1"/>
        <v>0</v>
      </c>
      <c r="CF106" s="530">
        <v>105</v>
      </c>
      <c r="CG106" s="531">
        <f t="shared" ca="1" si="93"/>
        <v>49363</v>
      </c>
      <c r="CH106" s="532">
        <f ca="1">IF(CH105=0,SUMIFS('Key Life Events'!$L$3:$L$28,'Key Life Events'!$H$3:$H$28,'Loan Amortization'!$CL$3,'Key Life Events'!$N$3:$N$28,'Loan Amortization'!CG106),CH105-CK105)</f>
        <v>0</v>
      </c>
      <c r="CI106" s="532">
        <f t="shared" ca="1" si="94"/>
        <v>0</v>
      </c>
      <c r="CJ106" s="532">
        <f t="shared" ca="1" si="95"/>
        <v>0</v>
      </c>
      <c r="CK106" s="532">
        <f t="shared" ca="1" si="67"/>
        <v>0</v>
      </c>
      <c r="CP106" s="536">
        <f t="shared" ca="1" si="68"/>
        <v>2035</v>
      </c>
      <c r="CQ106" s="535">
        <f ca="1"/>
        <v>0</v>
      </c>
      <c r="CS106" s="100">
        <f t="shared" si="69"/>
        <v>105</v>
      </c>
      <c r="CT106" s="102">
        <f t="shared" ca="1" si="70"/>
        <v>0</v>
      </c>
      <c r="CU106" s="102">
        <f t="shared" ca="1" si="71"/>
        <v>0</v>
      </c>
      <c r="CV106" s="511">
        <f t="shared" ca="1" si="72"/>
        <v>2035</v>
      </c>
      <c r="CW106" s="1">
        <f t="shared" si="51"/>
        <v>1249</v>
      </c>
      <c r="CX106" s="99">
        <f t="shared" si="52"/>
        <v>0</v>
      </c>
    </row>
    <row r="107" spans="1:102" x14ac:dyDescent="0.3">
      <c r="A107" s="100">
        <v>106</v>
      </c>
      <c r="B107" s="131">
        <f t="shared" si="73"/>
        <v>2371</v>
      </c>
      <c r="C107" s="102">
        <f t="shared" si="74"/>
        <v>0</v>
      </c>
      <c r="D107" s="102">
        <f t="shared" si="75"/>
        <v>0</v>
      </c>
      <c r="E107" s="102">
        <f t="shared" si="54"/>
        <v>0</v>
      </c>
      <c r="F107" s="102">
        <f t="shared" si="76"/>
        <v>0</v>
      </c>
      <c r="L107" s="100">
        <v>106</v>
      </c>
      <c r="M107" s="131">
        <f t="shared" ca="1" si="77"/>
        <v>49391</v>
      </c>
      <c r="N107" s="102">
        <f t="shared" si="78"/>
        <v>0</v>
      </c>
      <c r="O107" s="102">
        <f t="shared" si="79"/>
        <v>0</v>
      </c>
      <c r="P107" s="102">
        <f t="shared" si="56"/>
        <v>0</v>
      </c>
      <c r="Q107" s="102">
        <f t="shared" si="57"/>
        <v>0</v>
      </c>
      <c r="W107" s="100">
        <v>106</v>
      </c>
      <c r="X107" s="131">
        <f t="shared" ca="1" si="80"/>
        <v>49391</v>
      </c>
      <c r="Y107" s="102">
        <f t="shared" si="81"/>
        <v>0</v>
      </c>
      <c r="Z107" s="102">
        <f t="shared" si="82"/>
        <v>0</v>
      </c>
      <c r="AA107" s="102">
        <f t="shared" si="58"/>
        <v>0</v>
      </c>
      <c r="AB107" s="102">
        <f t="shared" si="59"/>
        <v>0</v>
      </c>
      <c r="AH107" s="100">
        <v>106</v>
      </c>
      <c r="AI107" s="131">
        <f t="shared" ca="1" si="83"/>
        <v>49391</v>
      </c>
      <c r="AJ107" s="102">
        <f t="shared" si="84"/>
        <v>0</v>
      </c>
      <c r="AK107" s="102">
        <f t="shared" si="85"/>
        <v>0</v>
      </c>
      <c r="AL107" s="102">
        <f t="shared" si="97"/>
        <v>0</v>
      </c>
      <c r="AM107" s="102">
        <f t="shared" si="60"/>
        <v>0</v>
      </c>
      <c r="AS107" s="530">
        <v>106</v>
      </c>
      <c r="AT107" s="531">
        <f t="shared" ca="1" si="86"/>
        <v>49391</v>
      </c>
      <c r="AU107" s="532">
        <f ca="1">IF(AU106=0,SUMIFS('Key Life Events'!$L$3:$L$28,'Key Life Events'!$H$3:$H$28,'Loan Amortization'!$AY$3,'Key Life Events'!$N$3:$N$28,'Loan Amortization'!AT107),AU106-AX106)</f>
        <v>0</v>
      </c>
      <c r="AV107" s="532">
        <f t="shared" ca="1" si="87"/>
        <v>0</v>
      </c>
      <c r="AW107" s="532">
        <f t="shared" ca="1" si="53"/>
        <v>0</v>
      </c>
      <c r="AX107" s="532">
        <f t="shared" ca="1" si="61"/>
        <v>0</v>
      </c>
      <c r="BC107" s="536">
        <f t="shared" ca="1" si="62"/>
        <v>2035</v>
      </c>
      <c r="BF107" s="530">
        <v>106</v>
      </c>
      <c r="BG107" s="531">
        <f t="shared" ca="1" si="88"/>
        <v>49391</v>
      </c>
      <c r="BH107" s="532">
        <f ca="1">IF(BH106=0,SUMIFS('Key Life Events'!$L$3:$L$28,'Key Life Events'!$H$3:$H$28,'Loan Amortization'!$BL$3,'Key Life Events'!$N$3:$N$28,'Loan Amortization'!BG107),BH106-BK106)</f>
        <v>0</v>
      </c>
      <c r="BI107" s="532">
        <f t="shared" ca="1" si="89"/>
        <v>0</v>
      </c>
      <c r="BJ107" s="532">
        <f t="shared" ca="1" si="90"/>
        <v>0</v>
      </c>
      <c r="BK107" s="532">
        <f t="shared" ca="1" si="63"/>
        <v>0</v>
      </c>
      <c r="BP107" s="536">
        <f t="shared" ca="1" si="64"/>
        <v>2035</v>
      </c>
      <c r="BQ107" s="535">
        <f ca="1"/>
        <v>0</v>
      </c>
      <c r="BS107" s="530">
        <v>106</v>
      </c>
      <c r="BT107" s="531">
        <f t="shared" ca="1" si="91"/>
        <v>49391</v>
      </c>
      <c r="BU107" s="532">
        <f ca="1">IF(BU106=0,SUMIFS('Key Life Events'!$L$3:$L$28,'Key Life Events'!$H$3:$H$28,'Loan Amortization'!$BY$3,'Key Life Events'!$N$3:$N$28,'Loan Amortization'!BT107),BU106-BX106)</f>
        <v>0</v>
      </c>
      <c r="BV107" s="532">
        <f t="shared" ca="1" si="96"/>
        <v>0</v>
      </c>
      <c r="BW107" s="532">
        <f t="shared" ca="1" si="92"/>
        <v>0</v>
      </c>
      <c r="BX107" s="532">
        <f t="shared" ca="1" si="65"/>
        <v>0</v>
      </c>
      <c r="CC107" s="536">
        <f t="shared" ca="1" si="66"/>
        <v>2035</v>
      </c>
      <c r="CD107" s="535">
        <f ca="1"/>
        <v>0</v>
      </c>
      <c r="CF107" s="530">
        <v>106</v>
      </c>
      <c r="CG107" s="531">
        <f t="shared" ca="1" si="93"/>
        <v>49391</v>
      </c>
      <c r="CH107" s="532">
        <f ca="1">IF(CH106=0,SUMIFS('Key Life Events'!$L$3:$L$28,'Key Life Events'!$H$3:$H$28,'Loan Amortization'!$CL$3,'Key Life Events'!$N$3:$N$28,'Loan Amortization'!CG107),CH106-CK106)</f>
        <v>0</v>
      </c>
      <c r="CI107" s="532">
        <f t="shared" ca="1" si="94"/>
        <v>0</v>
      </c>
      <c r="CJ107" s="532">
        <f t="shared" ca="1" si="95"/>
        <v>0</v>
      </c>
      <c r="CK107" s="532">
        <f t="shared" ca="1" si="67"/>
        <v>0</v>
      </c>
      <c r="CP107" s="536">
        <f t="shared" ca="1" si="68"/>
        <v>2035</v>
      </c>
      <c r="CQ107" s="535">
        <f ca="1"/>
        <v>0</v>
      </c>
      <c r="CS107" s="100">
        <f t="shared" si="69"/>
        <v>106</v>
      </c>
      <c r="CT107" s="102">
        <f t="shared" ca="1" si="70"/>
        <v>0</v>
      </c>
      <c r="CU107" s="102">
        <f t="shared" ca="1" si="71"/>
        <v>0</v>
      </c>
      <c r="CV107" s="511">
        <f t="shared" ca="1" si="72"/>
        <v>2035</v>
      </c>
      <c r="CW107" s="1">
        <f t="shared" si="51"/>
        <v>1261</v>
      </c>
      <c r="CX107" s="99">
        <f t="shared" si="52"/>
        <v>0</v>
      </c>
    </row>
    <row r="108" spans="1:102" x14ac:dyDescent="0.3">
      <c r="A108" s="100">
        <v>107</v>
      </c>
      <c r="B108" s="131">
        <f t="shared" si="73"/>
        <v>2401</v>
      </c>
      <c r="C108" s="102">
        <f t="shared" si="74"/>
        <v>0</v>
      </c>
      <c r="D108" s="102">
        <f t="shared" si="75"/>
        <v>0</v>
      </c>
      <c r="E108" s="102">
        <f t="shared" si="54"/>
        <v>0</v>
      </c>
      <c r="F108" s="102">
        <f t="shared" si="76"/>
        <v>0</v>
      </c>
      <c r="L108" s="100">
        <v>107</v>
      </c>
      <c r="M108" s="131">
        <f t="shared" ca="1" si="77"/>
        <v>49422</v>
      </c>
      <c r="N108" s="102">
        <f t="shared" si="78"/>
        <v>0</v>
      </c>
      <c r="O108" s="102">
        <f t="shared" si="79"/>
        <v>0</v>
      </c>
      <c r="P108" s="102">
        <f t="shared" si="56"/>
        <v>0</v>
      </c>
      <c r="Q108" s="102">
        <f t="shared" si="57"/>
        <v>0</v>
      </c>
      <c r="W108" s="100">
        <v>107</v>
      </c>
      <c r="X108" s="131">
        <f t="shared" ca="1" si="80"/>
        <v>49422</v>
      </c>
      <c r="Y108" s="102">
        <f t="shared" si="81"/>
        <v>0</v>
      </c>
      <c r="Z108" s="102">
        <f t="shared" si="82"/>
        <v>0</v>
      </c>
      <c r="AA108" s="102">
        <f t="shared" si="58"/>
        <v>0</v>
      </c>
      <c r="AB108" s="102">
        <f t="shared" si="59"/>
        <v>0</v>
      </c>
      <c r="AH108" s="100">
        <v>107</v>
      </c>
      <c r="AI108" s="131">
        <f t="shared" ca="1" si="83"/>
        <v>49422</v>
      </c>
      <c r="AJ108" s="102">
        <f t="shared" si="84"/>
        <v>0</v>
      </c>
      <c r="AK108" s="102">
        <f t="shared" si="85"/>
        <v>0</v>
      </c>
      <c r="AL108" s="102">
        <f t="shared" si="97"/>
        <v>0</v>
      </c>
      <c r="AM108" s="102">
        <f t="shared" si="60"/>
        <v>0</v>
      </c>
      <c r="AS108" s="530">
        <v>107</v>
      </c>
      <c r="AT108" s="531">
        <f t="shared" ca="1" si="86"/>
        <v>49422</v>
      </c>
      <c r="AU108" s="532">
        <f ca="1">IF(AU107=0,SUMIFS('Key Life Events'!$L$3:$L$28,'Key Life Events'!$H$3:$H$28,'Loan Amortization'!$AY$3,'Key Life Events'!$N$3:$N$28,'Loan Amortization'!AT108),AU107-AX107)</f>
        <v>0</v>
      </c>
      <c r="AV108" s="532">
        <f t="shared" ca="1" si="87"/>
        <v>0</v>
      </c>
      <c r="AW108" s="532">
        <f t="shared" ca="1" si="53"/>
        <v>0</v>
      </c>
      <c r="AX108" s="532">
        <f t="shared" ca="1" si="61"/>
        <v>0</v>
      </c>
      <c r="BC108" s="536">
        <f t="shared" ca="1" si="62"/>
        <v>2035</v>
      </c>
      <c r="BF108" s="530">
        <v>107</v>
      </c>
      <c r="BG108" s="531">
        <f t="shared" ca="1" si="88"/>
        <v>49422</v>
      </c>
      <c r="BH108" s="532">
        <f ca="1">IF(BH107=0,SUMIFS('Key Life Events'!$L$3:$L$28,'Key Life Events'!$H$3:$H$28,'Loan Amortization'!$BL$3,'Key Life Events'!$N$3:$N$28,'Loan Amortization'!BG108),BH107-BK107)</f>
        <v>0</v>
      </c>
      <c r="BI108" s="532">
        <f t="shared" ca="1" si="89"/>
        <v>0</v>
      </c>
      <c r="BJ108" s="532">
        <f t="shared" ca="1" si="90"/>
        <v>0</v>
      </c>
      <c r="BK108" s="532">
        <f t="shared" ca="1" si="63"/>
        <v>0</v>
      </c>
      <c r="BP108" s="536">
        <f t="shared" ca="1" si="64"/>
        <v>2035</v>
      </c>
      <c r="BQ108" s="535">
        <f ca="1"/>
        <v>0</v>
      </c>
      <c r="BS108" s="530">
        <v>107</v>
      </c>
      <c r="BT108" s="531">
        <f t="shared" ca="1" si="91"/>
        <v>49422</v>
      </c>
      <c r="BU108" s="532">
        <f ca="1">IF(BU107=0,SUMIFS('Key Life Events'!$L$3:$L$28,'Key Life Events'!$H$3:$H$28,'Loan Amortization'!$BY$3,'Key Life Events'!$N$3:$N$28,'Loan Amortization'!BT108),BU107-BX107)</f>
        <v>0</v>
      </c>
      <c r="BV108" s="532">
        <f t="shared" ca="1" si="96"/>
        <v>0</v>
      </c>
      <c r="BW108" s="532">
        <f t="shared" ca="1" si="92"/>
        <v>0</v>
      </c>
      <c r="BX108" s="532">
        <f t="shared" ca="1" si="65"/>
        <v>0</v>
      </c>
      <c r="CC108" s="536">
        <f t="shared" ca="1" si="66"/>
        <v>2035</v>
      </c>
      <c r="CD108" s="535">
        <f ca="1"/>
        <v>0</v>
      </c>
      <c r="CF108" s="530">
        <v>107</v>
      </c>
      <c r="CG108" s="531">
        <f t="shared" ca="1" si="93"/>
        <v>49422</v>
      </c>
      <c r="CH108" s="532">
        <f ca="1">IF(CH107=0,SUMIFS('Key Life Events'!$L$3:$L$28,'Key Life Events'!$H$3:$H$28,'Loan Amortization'!$CL$3,'Key Life Events'!$N$3:$N$28,'Loan Amortization'!CG108),CH107-CK107)</f>
        <v>0</v>
      </c>
      <c r="CI108" s="532">
        <f t="shared" ca="1" si="94"/>
        <v>0</v>
      </c>
      <c r="CJ108" s="532">
        <f t="shared" ca="1" si="95"/>
        <v>0</v>
      </c>
      <c r="CK108" s="532">
        <f t="shared" ca="1" si="67"/>
        <v>0</v>
      </c>
      <c r="CP108" s="536">
        <f t="shared" ca="1" si="68"/>
        <v>2035</v>
      </c>
      <c r="CQ108" s="535">
        <f ca="1"/>
        <v>0</v>
      </c>
      <c r="CS108" s="100">
        <f t="shared" si="69"/>
        <v>107</v>
      </c>
      <c r="CT108" s="102">
        <f t="shared" ca="1" si="70"/>
        <v>0</v>
      </c>
      <c r="CU108" s="102">
        <f t="shared" ca="1" si="71"/>
        <v>0</v>
      </c>
      <c r="CV108" s="511">
        <f t="shared" ca="1" si="72"/>
        <v>2035</v>
      </c>
      <c r="CW108" s="1">
        <f t="shared" si="51"/>
        <v>1273</v>
      </c>
      <c r="CX108" s="99">
        <f t="shared" si="52"/>
        <v>0</v>
      </c>
    </row>
    <row r="109" spans="1:102" x14ac:dyDescent="0.3">
      <c r="A109" s="100">
        <v>108</v>
      </c>
      <c r="B109" s="131">
        <f t="shared" si="73"/>
        <v>2432</v>
      </c>
      <c r="C109" s="102">
        <f t="shared" si="74"/>
        <v>0</v>
      </c>
      <c r="D109" s="102">
        <f t="shared" si="75"/>
        <v>0</v>
      </c>
      <c r="E109" s="102">
        <f t="shared" si="54"/>
        <v>0</v>
      </c>
      <c r="F109" s="102">
        <f t="shared" si="76"/>
        <v>0</v>
      </c>
      <c r="L109" s="100">
        <v>108</v>
      </c>
      <c r="M109" s="131">
        <f t="shared" ca="1" si="77"/>
        <v>49452</v>
      </c>
      <c r="N109" s="102">
        <f t="shared" si="78"/>
        <v>0</v>
      </c>
      <c r="O109" s="102">
        <f t="shared" si="79"/>
        <v>0</v>
      </c>
      <c r="P109" s="102">
        <f t="shared" si="56"/>
        <v>0</v>
      </c>
      <c r="Q109" s="102">
        <f t="shared" si="57"/>
        <v>0</v>
      </c>
      <c r="W109" s="100">
        <v>108</v>
      </c>
      <c r="X109" s="131">
        <f t="shared" ca="1" si="80"/>
        <v>49452</v>
      </c>
      <c r="Y109" s="102">
        <f t="shared" si="81"/>
        <v>0</v>
      </c>
      <c r="Z109" s="102">
        <f t="shared" si="82"/>
        <v>0</v>
      </c>
      <c r="AA109" s="102">
        <f t="shared" si="58"/>
        <v>0</v>
      </c>
      <c r="AB109" s="102">
        <f t="shared" si="59"/>
        <v>0</v>
      </c>
      <c r="AH109" s="100">
        <v>108</v>
      </c>
      <c r="AI109" s="131">
        <f t="shared" ca="1" si="83"/>
        <v>49452</v>
      </c>
      <c r="AJ109" s="102">
        <f t="shared" si="84"/>
        <v>0</v>
      </c>
      <c r="AK109" s="102">
        <f t="shared" si="85"/>
        <v>0</v>
      </c>
      <c r="AL109" s="102">
        <f t="shared" si="97"/>
        <v>0</v>
      </c>
      <c r="AM109" s="102">
        <f t="shared" si="60"/>
        <v>0</v>
      </c>
      <c r="AS109" s="530">
        <v>108</v>
      </c>
      <c r="AT109" s="531">
        <f t="shared" ca="1" si="86"/>
        <v>49452</v>
      </c>
      <c r="AU109" s="532">
        <f ca="1">IF(AU108=0,SUMIFS('Key Life Events'!$L$3:$L$28,'Key Life Events'!$H$3:$H$28,'Loan Amortization'!$AY$3,'Key Life Events'!$N$3:$N$28,'Loan Amortization'!AT109),AU108-AX108)</f>
        <v>0</v>
      </c>
      <c r="AV109" s="532">
        <f t="shared" ca="1" si="87"/>
        <v>0</v>
      </c>
      <c r="AW109" s="532">
        <f t="shared" ca="1" si="53"/>
        <v>0</v>
      </c>
      <c r="AX109" s="532">
        <f t="shared" ca="1" si="61"/>
        <v>0</v>
      </c>
      <c r="BC109" s="536">
        <f t="shared" ca="1" si="62"/>
        <v>2035</v>
      </c>
      <c r="BF109" s="530">
        <v>108</v>
      </c>
      <c r="BG109" s="531">
        <f t="shared" ca="1" si="88"/>
        <v>49452</v>
      </c>
      <c r="BH109" s="532">
        <f ca="1">IF(BH108=0,SUMIFS('Key Life Events'!$L$3:$L$28,'Key Life Events'!$H$3:$H$28,'Loan Amortization'!$BL$3,'Key Life Events'!$N$3:$N$28,'Loan Amortization'!BG109),BH108-BK108)</f>
        <v>0</v>
      </c>
      <c r="BI109" s="532">
        <f t="shared" ca="1" si="89"/>
        <v>0</v>
      </c>
      <c r="BJ109" s="532">
        <f t="shared" ca="1" si="90"/>
        <v>0</v>
      </c>
      <c r="BK109" s="532">
        <f t="shared" ca="1" si="63"/>
        <v>0</v>
      </c>
      <c r="BP109" s="536">
        <f t="shared" ca="1" si="64"/>
        <v>2035</v>
      </c>
      <c r="BQ109" s="535">
        <f ca="1"/>
        <v>0</v>
      </c>
      <c r="BS109" s="530">
        <v>108</v>
      </c>
      <c r="BT109" s="531">
        <f t="shared" ca="1" si="91"/>
        <v>49452</v>
      </c>
      <c r="BU109" s="532">
        <f ca="1">IF(BU108=0,SUMIFS('Key Life Events'!$L$3:$L$28,'Key Life Events'!$H$3:$H$28,'Loan Amortization'!$BY$3,'Key Life Events'!$N$3:$N$28,'Loan Amortization'!BT109),BU108-BX108)</f>
        <v>0</v>
      </c>
      <c r="BV109" s="532">
        <f t="shared" ca="1" si="96"/>
        <v>0</v>
      </c>
      <c r="BW109" s="532">
        <f t="shared" ca="1" si="92"/>
        <v>0</v>
      </c>
      <c r="BX109" s="532">
        <f t="shared" ca="1" si="65"/>
        <v>0</v>
      </c>
      <c r="CC109" s="536">
        <f t="shared" ca="1" si="66"/>
        <v>2035</v>
      </c>
      <c r="CD109" s="535">
        <f ca="1"/>
        <v>0</v>
      </c>
      <c r="CF109" s="530">
        <v>108</v>
      </c>
      <c r="CG109" s="531">
        <f t="shared" ca="1" si="93"/>
        <v>49452</v>
      </c>
      <c r="CH109" s="532">
        <f ca="1">IF(CH108=0,SUMIFS('Key Life Events'!$L$3:$L$28,'Key Life Events'!$H$3:$H$28,'Loan Amortization'!$CL$3,'Key Life Events'!$N$3:$N$28,'Loan Amortization'!CG109),CH108-CK108)</f>
        <v>0</v>
      </c>
      <c r="CI109" s="532">
        <f t="shared" ca="1" si="94"/>
        <v>0</v>
      </c>
      <c r="CJ109" s="532">
        <f t="shared" ca="1" si="95"/>
        <v>0</v>
      </c>
      <c r="CK109" s="532">
        <f t="shared" ca="1" si="67"/>
        <v>0</v>
      </c>
      <c r="CP109" s="536">
        <f t="shared" ca="1" si="68"/>
        <v>2035</v>
      </c>
      <c r="CQ109" s="535">
        <f ca="1"/>
        <v>0</v>
      </c>
      <c r="CS109" s="100">
        <f t="shared" si="69"/>
        <v>108</v>
      </c>
      <c r="CT109" s="102">
        <f t="shared" ca="1" si="70"/>
        <v>0</v>
      </c>
      <c r="CU109" s="102">
        <f t="shared" ca="1" si="71"/>
        <v>0</v>
      </c>
      <c r="CV109" s="511">
        <f t="shared" ca="1" si="72"/>
        <v>2035</v>
      </c>
      <c r="CW109" s="1">
        <f t="shared" si="51"/>
        <v>1285</v>
      </c>
      <c r="CX109" s="99">
        <f t="shared" si="52"/>
        <v>0</v>
      </c>
    </row>
    <row r="110" spans="1:102" x14ac:dyDescent="0.3">
      <c r="A110" s="100">
        <v>109</v>
      </c>
      <c r="B110" s="131">
        <f t="shared" si="73"/>
        <v>2463</v>
      </c>
      <c r="C110" s="102">
        <f t="shared" si="74"/>
        <v>0</v>
      </c>
      <c r="D110" s="102">
        <f t="shared" si="75"/>
        <v>0</v>
      </c>
      <c r="E110" s="102">
        <f t="shared" si="54"/>
        <v>0</v>
      </c>
      <c r="F110" s="102">
        <f t="shared" si="76"/>
        <v>0</v>
      </c>
      <c r="L110" s="100">
        <v>109</v>
      </c>
      <c r="M110" s="131">
        <f t="shared" ca="1" si="77"/>
        <v>49483</v>
      </c>
      <c r="N110" s="102">
        <f t="shared" si="78"/>
        <v>0</v>
      </c>
      <c r="O110" s="102">
        <f t="shared" si="79"/>
        <v>0</v>
      </c>
      <c r="P110" s="102">
        <f t="shared" si="56"/>
        <v>0</v>
      </c>
      <c r="Q110" s="102">
        <f t="shared" si="57"/>
        <v>0</v>
      </c>
      <c r="W110" s="100">
        <v>109</v>
      </c>
      <c r="X110" s="131">
        <f t="shared" ca="1" si="80"/>
        <v>49483</v>
      </c>
      <c r="Y110" s="102">
        <f t="shared" si="81"/>
        <v>0</v>
      </c>
      <c r="Z110" s="102">
        <f t="shared" si="82"/>
        <v>0</v>
      </c>
      <c r="AA110" s="102">
        <f t="shared" si="58"/>
        <v>0</v>
      </c>
      <c r="AB110" s="102">
        <f t="shared" si="59"/>
        <v>0</v>
      </c>
      <c r="AH110" s="100">
        <v>109</v>
      </c>
      <c r="AI110" s="131">
        <f t="shared" ca="1" si="83"/>
        <v>49483</v>
      </c>
      <c r="AJ110" s="102">
        <f t="shared" si="84"/>
        <v>0</v>
      </c>
      <c r="AK110" s="102">
        <f t="shared" si="85"/>
        <v>0</v>
      </c>
      <c r="AL110" s="102">
        <f t="shared" si="97"/>
        <v>0</v>
      </c>
      <c r="AM110" s="102">
        <f t="shared" si="60"/>
        <v>0</v>
      </c>
      <c r="AS110" s="530">
        <v>109</v>
      </c>
      <c r="AT110" s="531">
        <f t="shared" ca="1" si="86"/>
        <v>49483</v>
      </c>
      <c r="AU110" s="532">
        <f ca="1">IF(AU109=0,SUMIFS('Key Life Events'!$L$3:$L$28,'Key Life Events'!$H$3:$H$28,'Loan Amortization'!$AY$3,'Key Life Events'!$N$3:$N$28,'Loan Amortization'!AT110),AU109-AX109)</f>
        <v>0</v>
      </c>
      <c r="AV110" s="532">
        <f t="shared" ca="1" si="87"/>
        <v>0</v>
      </c>
      <c r="AW110" s="532">
        <f t="shared" ca="1" si="53"/>
        <v>0</v>
      </c>
      <c r="AX110" s="532">
        <f t="shared" ca="1" si="61"/>
        <v>0</v>
      </c>
      <c r="BC110" s="536">
        <f t="shared" ca="1" si="62"/>
        <v>2035</v>
      </c>
      <c r="BF110" s="530">
        <v>109</v>
      </c>
      <c r="BG110" s="531">
        <f t="shared" ca="1" si="88"/>
        <v>49483</v>
      </c>
      <c r="BH110" s="532">
        <f ca="1">IF(BH109=0,SUMIFS('Key Life Events'!$L$3:$L$28,'Key Life Events'!$H$3:$H$28,'Loan Amortization'!$BL$3,'Key Life Events'!$N$3:$N$28,'Loan Amortization'!BG110),BH109-BK109)</f>
        <v>0</v>
      </c>
      <c r="BI110" s="532">
        <f t="shared" ca="1" si="89"/>
        <v>0</v>
      </c>
      <c r="BJ110" s="532">
        <f t="shared" ca="1" si="90"/>
        <v>0</v>
      </c>
      <c r="BK110" s="532">
        <f t="shared" ca="1" si="63"/>
        <v>0</v>
      </c>
      <c r="BP110" s="536">
        <f t="shared" ca="1" si="64"/>
        <v>2035</v>
      </c>
      <c r="BQ110" s="535">
        <f ca="1"/>
        <v>0</v>
      </c>
      <c r="BS110" s="530">
        <v>109</v>
      </c>
      <c r="BT110" s="531">
        <f t="shared" ca="1" si="91"/>
        <v>49483</v>
      </c>
      <c r="BU110" s="532">
        <f ca="1">IF(BU109=0,SUMIFS('Key Life Events'!$L$3:$L$28,'Key Life Events'!$H$3:$H$28,'Loan Amortization'!$BY$3,'Key Life Events'!$N$3:$N$28,'Loan Amortization'!BT110),BU109-BX109)</f>
        <v>0</v>
      </c>
      <c r="BV110" s="532">
        <f t="shared" ca="1" si="96"/>
        <v>0</v>
      </c>
      <c r="BW110" s="532">
        <f t="shared" ca="1" si="92"/>
        <v>0</v>
      </c>
      <c r="BX110" s="532">
        <f t="shared" ca="1" si="65"/>
        <v>0</v>
      </c>
      <c r="CC110" s="536">
        <f t="shared" ca="1" si="66"/>
        <v>2035</v>
      </c>
      <c r="CD110" s="535">
        <f ca="1"/>
        <v>0</v>
      </c>
      <c r="CF110" s="530">
        <v>109</v>
      </c>
      <c r="CG110" s="531">
        <f t="shared" ca="1" si="93"/>
        <v>49483</v>
      </c>
      <c r="CH110" s="532">
        <f ca="1">IF(CH109=0,SUMIFS('Key Life Events'!$L$3:$L$28,'Key Life Events'!$H$3:$H$28,'Loan Amortization'!$CL$3,'Key Life Events'!$N$3:$N$28,'Loan Amortization'!CG110),CH109-CK109)</f>
        <v>0</v>
      </c>
      <c r="CI110" s="532">
        <f t="shared" ca="1" si="94"/>
        <v>0</v>
      </c>
      <c r="CJ110" s="532">
        <f t="shared" ca="1" si="95"/>
        <v>0</v>
      </c>
      <c r="CK110" s="532">
        <f t="shared" ca="1" si="67"/>
        <v>0</v>
      </c>
      <c r="CP110" s="536">
        <f t="shared" ca="1" si="68"/>
        <v>2035</v>
      </c>
      <c r="CQ110" s="535">
        <f ca="1"/>
        <v>0</v>
      </c>
      <c r="CS110" s="100">
        <f t="shared" si="69"/>
        <v>109</v>
      </c>
      <c r="CT110" s="102">
        <f t="shared" ca="1" si="70"/>
        <v>0</v>
      </c>
      <c r="CU110" s="102">
        <f t="shared" ca="1" si="71"/>
        <v>0</v>
      </c>
      <c r="CV110" s="511">
        <f t="shared" ca="1" si="72"/>
        <v>2035</v>
      </c>
      <c r="CW110" s="1">
        <f t="shared" si="51"/>
        <v>1297</v>
      </c>
      <c r="CX110" s="99">
        <f t="shared" si="52"/>
        <v>0</v>
      </c>
    </row>
    <row r="111" spans="1:102" x14ac:dyDescent="0.3">
      <c r="A111" s="100">
        <v>110</v>
      </c>
      <c r="B111" s="131">
        <f t="shared" si="73"/>
        <v>2493</v>
      </c>
      <c r="C111" s="102">
        <f t="shared" si="74"/>
        <v>0</v>
      </c>
      <c r="D111" s="102">
        <f t="shared" si="75"/>
        <v>0</v>
      </c>
      <c r="E111" s="102">
        <f t="shared" si="54"/>
        <v>0</v>
      </c>
      <c r="F111" s="102">
        <f t="shared" si="76"/>
        <v>0</v>
      </c>
      <c r="L111" s="100">
        <v>110</v>
      </c>
      <c r="M111" s="131">
        <f t="shared" ca="1" si="77"/>
        <v>49513</v>
      </c>
      <c r="N111" s="102">
        <f t="shared" si="78"/>
        <v>0</v>
      </c>
      <c r="O111" s="102">
        <f t="shared" si="79"/>
        <v>0</v>
      </c>
      <c r="P111" s="102">
        <f t="shared" si="56"/>
        <v>0</v>
      </c>
      <c r="Q111" s="102">
        <f t="shared" si="57"/>
        <v>0</v>
      </c>
      <c r="W111" s="100">
        <v>110</v>
      </c>
      <c r="X111" s="131">
        <f t="shared" ca="1" si="80"/>
        <v>49513</v>
      </c>
      <c r="Y111" s="102">
        <f t="shared" si="81"/>
        <v>0</v>
      </c>
      <c r="Z111" s="102">
        <f t="shared" si="82"/>
        <v>0</v>
      </c>
      <c r="AA111" s="102">
        <f t="shared" si="58"/>
        <v>0</v>
      </c>
      <c r="AB111" s="102">
        <f t="shared" si="59"/>
        <v>0</v>
      </c>
      <c r="AH111" s="100">
        <v>110</v>
      </c>
      <c r="AI111" s="131">
        <f t="shared" ca="1" si="83"/>
        <v>49513</v>
      </c>
      <c r="AJ111" s="102">
        <f t="shared" si="84"/>
        <v>0</v>
      </c>
      <c r="AK111" s="102">
        <f t="shared" si="85"/>
        <v>0</v>
      </c>
      <c r="AL111" s="102">
        <f t="shared" si="97"/>
        <v>0</v>
      </c>
      <c r="AM111" s="102">
        <f t="shared" si="60"/>
        <v>0</v>
      </c>
      <c r="AS111" s="530">
        <v>110</v>
      </c>
      <c r="AT111" s="531">
        <f t="shared" ca="1" si="86"/>
        <v>49513</v>
      </c>
      <c r="AU111" s="532">
        <f ca="1">IF(AU110=0,SUMIFS('Key Life Events'!$L$3:$L$28,'Key Life Events'!$H$3:$H$28,'Loan Amortization'!$AY$3,'Key Life Events'!$N$3:$N$28,'Loan Amortization'!AT111),AU110-AX110)</f>
        <v>0</v>
      </c>
      <c r="AV111" s="532">
        <f t="shared" ca="1" si="87"/>
        <v>0</v>
      </c>
      <c r="AW111" s="532">
        <f t="shared" ca="1" si="53"/>
        <v>0</v>
      </c>
      <c r="AX111" s="532">
        <f t="shared" ca="1" si="61"/>
        <v>0</v>
      </c>
      <c r="BC111" s="536">
        <f t="shared" ca="1" si="62"/>
        <v>2035</v>
      </c>
      <c r="BF111" s="530">
        <v>110</v>
      </c>
      <c r="BG111" s="531">
        <f t="shared" ca="1" si="88"/>
        <v>49513</v>
      </c>
      <c r="BH111" s="532">
        <f ca="1">IF(BH110=0,SUMIFS('Key Life Events'!$L$3:$L$28,'Key Life Events'!$H$3:$H$28,'Loan Amortization'!$BL$3,'Key Life Events'!$N$3:$N$28,'Loan Amortization'!BG111),BH110-BK110)</f>
        <v>0</v>
      </c>
      <c r="BI111" s="532">
        <f t="shared" ca="1" si="89"/>
        <v>0</v>
      </c>
      <c r="BJ111" s="532">
        <f t="shared" ca="1" si="90"/>
        <v>0</v>
      </c>
      <c r="BK111" s="532">
        <f t="shared" ca="1" si="63"/>
        <v>0</v>
      </c>
      <c r="BP111" s="536">
        <f t="shared" ca="1" si="64"/>
        <v>2035</v>
      </c>
      <c r="BQ111" s="535">
        <f ca="1"/>
        <v>0</v>
      </c>
      <c r="BS111" s="530">
        <v>110</v>
      </c>
      <c r="BT111" s="531">
        <f t="shared" ca="1" si="91"/>
        <v>49513</v>
      </c>
      <c r="BU111" s="532">
        <f ca="1">IF(BU110=0,SUMIFS('Key Life Events'!$L$3:$L$28,'Key Life Events'!$H$3:$H$28,'Loan Amortization'!$BY$3,'Key Life Events'!$N$3:$N$28,'Loan Amortization'!BT111),BU110-BX110)</f>
        <v>0</v>
      </c>
      <c r="BV111" s="532">
        <f t="shared" ca="1" si="96"/>
        <v>0</v>
      </c>
      <c r="BW111" s="532">
        <f t="shared" ca="1" si="92"/>
        <v>0</v>
      </c>
      <c r="BX111" s="532">
        <f t="shared" ca="1" si="65"/>
        <v>0</v>
      </c>
      <c r="CC111" s="536">
        <f t="shared" ca="1" si="66"/>
        <v>2035</v>
      </c>
      <c r="CD111" s="535">
        <f ca="1"/>
        <v>0</v>
      </c>
      <c r="CF111" s="530">
        <v>110</v>
      </c>
      <c r="CG111" s="531">
        <f t="shared" ca="1" si="93"/>
        <v>49513</v>
      </c>
      <c r="CH111" s="532">
        <f ca="1">IF(CH110=0,SUMIFS('Key Life Events'!$L$3:$L$28,'Key Life Events'!$H$3:$H$28,'Loan Amortization'!$CL$3,'Key Life Events'!$N$3:$N$28,'Loan Amortization'!CG111),CH110-CK110)</f>
        <v>0</v>
      </c>
      <c r="CI111" s="532">
        <f t="shared" ca="1" si="94"/>
        <v>0</v>
      </c>
      <c r="CJ111" s="532">
        <f t="shared" ca="1" si="95"/>
        <v>0</v>
      </c>
      <c r="CK111" s="532">
        <f t="shared" ca="1" si="67"/>
        <v>0</v>
      </c>
      <c r="CP111" s="536">
        <f t="shared" ca="1" si="68"/>
        <v>2035</v>
      </c>
      <c r="CQ111" s="535">
        <f ca="1"/>
        <v>0</v>
      </c>
      <c r="CS111" s="100">
        <f t="shared" si="69"/>
        <v>110</v>
      </c>
      <c r="CT111" s="102">
        <f t="shared" ca="1" si="70"/>
        <v>0</v>
      </c>
      <c r="CU111" s="102">
        <f t="shared" ca="1" si="71"/>
        <v>0</v>
      </c>
      <c r="CV111" s="511">
        <f t="shared" ca="1" si="72"/>
        <v>2035</v>
      </c>
      <c r="CW111" s="1">
        <f t="shared" si="51"/>
        <v>1309</v>
      </c>
      <c r="CX111" s="99">
        <f t="shared" si="52"/>
        <v>0</v>
      </c>
    </row>
    <row r="112" spans="1:102" x14ac:dyDescent="0.3">
      <c r="A112" s="100">
        <v>111</v>
      </c>
      <c r="B112" s="131">
        <f t="shared" si="73"/>
        <v>2524</v>
      </c>
      <c r="C112" s="102">
        <f t="shared" si="74"/>
        <v>0</v>
      </c>
      <c r="D112" s="102">
        <f t="shared" si="75"/>
        <v>0</v>
      </c>
      <c r="E112" s="102">
        <f t="shared" si="54"/>
        <v>0</v>
      </c>
      <c r="F112" s="102">
        <f t="shared" si="76"/>
        <v>0</v>
      </c>
      <c r="L112" s="100">
        <v>111</v>
      </c>
      <c r="M112" s="131">
        <f t="shared" ca="1" si="77"/>
        <v>49544</v>
      </c>
      <c r="N112" s="102">
        <f t="shared" si="78"/>
        <v>0</v>
      </c>
      <c r="O112" s="102">
        <f t="shared" si="79"/>
        <v>0</v>
      </c>
      <c r="P112" s="102">
        <f t="shared" si="56"/>
        <v>0</v>
      </c>
      <c r="Q112" s="102">
        <f t="shared" si="57"/>
        <v>0</v>
      </c>
      <c r="W112" s="100">
        <v>111</v>
      </c>
      <c r="X112" s="131">
        <f t="shared" ca="1" si="80"/>
        <v>49544</v>
      </c>
      <c r="Y112" s="102">
        <f t="shared" si="81"/>
        <v>0</v>
      </c>
      <c r="Z112" s="102">
        <f t="shared" si="82"/>
        <v>0</v>
      </c>
      <c r="AA112" s="102">
        <f t="shared" si="58"/>
        <v>0</v>
      </c>
      <c r="AB112" s="102">
        <f t="shared" si="59"/>
        <v>0</v>
      </c>
      <c r="AH112" s="100">
        <v>111</v>
      </c>
      <c r="AI112" s="131">
        <f t="shared" ca="1" si="83"/>
        <v>49544</v>
      </c>
      <c r="AJ112" s="102">
        <f t="shared" si="84"/>
        <v>0</v>
      </c>
      <c r="AK112" s="102">
        <f t="shared" si="85"/>
        <v>0</v>
      </c>
      <c r="AL112" s="102">
        <f t="shared" si="97"/>
        <v>0</v>
      </c>
      <c r="AM112" s="102">
        <f t="shared" si="60"/>
        <v>0</v>
      </c>
      <c r="AS112" s="530">
        <v>111</v>
      </c>
      <c r="AT112" s="531">
        <f t="shared" ca="1" si="86"/>
        <v>49544</v>
      </c>
      <c r="AU112" s="532">
        <f ca="1">IF(AU111=0,SUMIFS('Key Life Events'!$L$3:$L$28,'Key Life Events'!$H$3:$H$28,'Loan Amortization'!$AY$3,'Key Life Events'!$N$3:$N$28,'Loan Amortization'!AT112),AU111-AX111)</f>
        <v>0</v>
      </c>
      <c r="AV112" s="532">
        <f t="shared" ca="1" si="87"/>
        <v>0</v>
      </c>
      <c r="AW112" s="532">
        <f t="shared" ca="1" si="53"/>
        <v>0</v>
      </c>
      <c r="AX112" s="532">
        <f t="shared" ca="1" si="61"/>
        <v>0</v>
      </c>
      <c r="BC112" s="536">
        <f t="shared" ca="1" si="62"/>
        <v>2035</v>
      </c>
      <c r="BF112" s="530">
        <v>111</v>
      </c>
      <c r="BG112" s="531">
        <f t="shared" ca="1" si="88"/>
        <v>49544</v>
      </c>
      <c r="BH112" s="532">
        <f ca="1">IF(BH111=0,SUMIFS('Key Life Events'!$L$3:$L$28,'Key Life Events'!$H$3:$H$28,'Loan Amortization'!$BL$3,'Key Life Events'!$N$3:$N$28,'Loan Amortization'!BG112),BH111-BK111)</f>
        <v>0</v>
      </c>
      <c r="BI112" s="532">
        <f t="shared" ca="1" si="89"/>
        <v>0</v>
      </c>
      <c r="BJ112" s="532">
        <f t="shared" ca="1" si="90"/>
        <v>0</v>
      </c>
      <c r="BK112" s="532">
        <f t="shared" ca="1" si="63"/>
        <v>0</v>
      </c>
      <c r="BP112" s="536">
        <f t="shared" ca="1" si="64"/>
        <v>2035</v>
      </c>
      <c r="BQ112" s="535">
        <f ca="1"/>
        <v>0</v>
      </c>
      <c r="BS112" s="530">
        <v>111</v>
      </c>
      <c r="BT112" s="531">
        <f t="shared" ca="1" si="91"/>
        <v>49544</v>
      </c>
      <c r="BU112" s="532">
        <f ca="1">IF(BU111=0,SUMIFS('Key Life Events'!$L$3:$L$28,'Key Life Events'!$H$3:$H$28,'Loan Amortization'!$BY$3,'Key Life Events'!$N$3:$N$28,'Loan Amortization'!BT112),BU111-BX111)</f>
        <v>0</v>
      </c>
      <c r="BV112" s="532">
        <f t="shared" ca="1" si="96"/>
        <v>0</v>
      </c>
      <c r="BW112" s="532">
        <f t="shared" ca="1" si="92"/>
        <v>0</v>
      </c>
      <c r="BX112" s="532">
        <f t="shared" ca="1" si="65"/>
        <v>0</v>
      </c>
      <c r="CC112" s="536">
        <f t="shared" ca="1" si="66"/>
        <v>2035</v>
      </c>
      <c r="CD112" s="535">
        <f ca="1"/>
        <v>0</v>
      </c>
      <c r="CF112" s="530">
        <v>111</v>
      </c>
      <c r="CG112" s="531">
        <f t="shared" ca="1" si="93"/>
        <v>49544</v>
      </c>
      <c r="CH112" s="532">
        <f ca="1">IF(CH111=0,SUMIFS('Key Life Events'!$L$3:$L$28,'Key Life Events'!$H$3:$H$28,'Loan Amortization'!$CL$3,'Key Life Events'!$N$3:$N$28,'Loan Amortization'!CG112),CH111-CK111)</f>
        <v>0</v>
      </c>
      <c r="CI112" s="532">
        <f t="shared" ca="1" si="94"/>
        <v>0</v>
      </c>
      <c r="CJ112" s="532">
        <f t="shared" ca="1" si="95"/>
        <v>0</v>
      </c>
      <c r="CK112" s="532">
        <f t="shared" ca="1" si="67"/>
        <v>0</v>
      </c>
      <c r="CP112" s="536">
        <f t="shared" ca="1" si="68"/>
        <v>2035</v>
      </c>
      <c r="CQ112" s="535">
        <f ca="1"/>
        <v>0</v>
      </c>
      <c r="CS112" s="100">
        <f t="shared" si="69"/>
        <v>111</v>
      </c>
      <c r="CT112" s="102">
        <f t="shared" ca="1" si="70"/>
        <v>0</v>
      </c>
      <c r="CU112" s="102">
        <f t="shared" ca="1" si="71"/>
        <v>0</v>
      </c>
      <c r="CV112" s="511">
        <f t="shared" ca="1" si="72"/>
        <v>2035</v>
      </c>
      <c r="CW112" s="1">
        <f t="shared" si="51"/>
        <v>1321</v>
      </c>
      <c r="CX112" s="99">
        <f t="shared" si="52"/>
        <v>0</v>
      </c>
    </row>
    <row r="113" spans="1:102" x14ac:dyDescent="0.3">
      <c r="A113" s="100">
        <v>112</v>
      </c>
      <c r="B113" s="131">
        <f t="shared" si="73"/>
        <v>2554</v>
      </c>
      <c r="C113" s="102">
        <f t="shared" si="74"/>
        <v>0</v>
      </c>
      <c r="D113" s="102">
        <f t="shared" si="75"/>
        <v>0</v>
      </c>
      <c r="E113" s="102">
        <f t="shared" si="54"/>
        <v>0</v>
      </c>
      <c r="F113" s="102">
        <f t="shared" si="76"/>
        <v>0</v>
      </c>
      <c r="L113" s="100">
        <v>112</v>
      </c>
      <c r="M113" s="131">
        <f t="shared" ca="1" si="77"/>
        <v>49575</v>
      </c>
      <c r="N113" s="102">
        <f t="shared" si="78"/>
        <v>0</v>
      </c>
      <c r="O113" s="102">
        <f t="shared" si="79"/>
        <v>0</v>
      </c>
      <c r="P113" s="102">
        <f t="shared" si="56"/>
        <v>0</v>
      </c>
      <c r="Q113" s="102">
        <f t="shared" si="57"/>
        <v>0</v>
      </c>
      <c r="W113" s="100">
        <v>112</v>
      </c>
      <c r="X113" s="131">
        <f t="shared" ca="1" si="80"/>
        <v>49575</v>
      </c>
      <c r="Y113" s="102">
        <f t="shared" si="81"/>
        <v>0</v>
      </c>
      <c r="Z113" s="102">
        <f t="shared" si="82"/>
        <v>0</v>
      </c>
      <c r="AA113" s="102">
        <f t="shared" si="58"/>
        <v>0</v>
      </c>
      <c r="AB113" s="102">
        <f t="shared" si="59"/>
        <v>0</v>
      </c>
      <c r="AH113" s="100">
        <v>112</v>
      </c>
      <c r="AI113" s="131">
        <f t="shared" ca="1" si="83"/>
        <v>49575</v>
      </c>
      <c r="AJ113" s="102">
        <f t="shared" si="84"/>
        <v>0</v>
      </c>
      <c r="AK113" s="102">
        <f t="shared" si="85"/>
        <v>0</v>
      </c>
      <c r="AL113" s="102">
        <f t="shared" si="97"/>
        <v>0</v>
      </c>
      <c r="AM113" s="102">
        <f t="shared" si="60"/>
        <v>0</v>
      </c>
      <c r="AS113" s="530">
        <v>112</v>
      </c>
      <c r="AT113" s="531">
        <f t="shared" ca="1" si="86"/>
        <v>49575</v>
      </c>
      <c r="AU113" s="532">
        <f ca="1">IF(AU112=0,SUMIFS('Key Life Events'!$L$3:$L$28,'Key Life Events'!$H$3:$H$28,'Loan Amortization'!$AY$3,'Key Life Events'!$N$3:$N$28,'Loan Amortization'!AT113),AU112-AX112)</f>
        <v>0</v>
      </c>
      <c r="AV113" s="532">
        <f t="shared" ca="1" si="87"/>
        <v>0</v>
      </c>
      <c r="AW113" s="532">
        <f t="shared" ca="1" si="53"/>
        <v>0</v>
      </c>
      <c r="AX113" s="532">
        <f t="shared" ca="1" si="61"/>
        <v>0</v>
      </c>
      <c r="BC113" s="536">
        <f t="shared" ca="1" si="62"/>
        <v>2035</v>
      </c>
      <c r="BF113" s="530">
        <v>112</v>
      </c>
      <c r="BG113" s="531">
        <f t="shared" ca="1" si="88"/>
        <v>49575</v>
      </c>
      <c r="BH113" s="532">
        <f ca="1">IF(BH112=0,SUMIFS('Key Life Events'!$L$3:$L$28,'Key Life Events'!$H$3:$H$28,'Loan Amortization'!$BL$3,'Key Life Events'!$N$3:$N$28,'Loan Amortization'!BG113),BH112-BK112)</f>
        <v>0</v>
      </c>
      <c r="BI113" s="532">
        <f t="shared" ca="1" si="89"/>
        <v>0</v>
      </c>
      <c r="BJ113" s="532">
        <f t="shared" ca="1" si="90"/>
        <v>0</v>
      </c>
      <c r="BK113" s="532">
        <f t="shared" ca="1" si="63"/>
        <v>0</v>
      </c>
      <c r="BP113" s="536">
        <f t="shared" ca="1" si="64"/>
        <v>2035</v>
      </c>
      <c r="BQ113" s="535">
        <f ca="1"/>
        <v>0</v>
      </c>
      <c r="BS113" s="530">
        <v>112</v>
      </c>
      <c r="BT113" s="531">
        <f t="shared" ca="1" si="91"/>
        <v>49575</v>
      </c>
      <c r="BU113" s="532">
        <f ca="1">IF(BU112=0,SUMIFS('Key Life Events'!$L$3:$L$28,'Key Life Events'!$H$3:$H$28,'Loan Amortization'!$BY$3,'Key Life Events'!$N$3:$N$28,'Loan Amortization'!BT113),BU112-BX112)</f>
        <v>0</v>
      </c>
      <c r="BV113" s="532">
        <f t="shared" ca="1" si="96"/>
        <v>0</v>
      </c>
      <c r="BW113" s="532">
        <f t="shared" ca="1" si="92"/>
        <v>0</v>
      </c>
      <c r="BX113" s="532">
        <f t="shared" ca="1" si="65"/>
        <v>0</v>
      </c>
      <c r="CC113" s="536">
        <f t="shared" ca="1" si="66"/>
        <v>2035</v>
      </c>
      <c r="CD113" s="535">
        <f ca="1"/>
        <v>0</v>
      </c>
      <c r="CF113" s="530">
        <v>112</v>
      </c>
      <c r="CG113" s="531">
        <f t="shared" ca="1" si="93"/>
        <v>49575</v>
      </c>
      <c r="CH113" s="532">
        <f ca="1">IF(CH112=0,SUMIFS('Key Life Events'!$L$3:$L$28,'Key Life Events'!$H$3:$H$28,'Loan Amortization'!$CL$3,'Key Life Events'!$N$3:$N$28,'Loan Amortization'!CG113),CH112-CK112)</f>
        <v>0</v>
      </c>
      <c r="CI113" s="532">
        <f t="shared" ca="1" si="94"/>
        <v>0</v>
      </c>
      <c r="CJ113" s="532">
        <f t="shared" ca="1" si="95"/>
        <v>0</v>
      </c>
      <c r="CK113" s="532">
        <f t="shared" ca="1" si="67"/>
        <v>0</v>
      </c>
      <c r="CP113" s="536">
        <f t="shared" ca="1" si="68"/>
        <v>2035</v>
      </c>
      <c r="CQ113" s="535">
        <f ca="1"/>
        <v>0</v>
      </c>
      <c r="CS113" s="100">
        <f t="shared" si="69"/>
        <v>112</v>
      </c>
      <c r="CT113" s="102">
        <f t="shared" ca="1" si="70"/>
        <v>0</v>
      </c>
      <c r="CU113" s="102">
        <f t="shared" ca="1" si="71"/>
        <v>0</v>
      </c>
      <c r="CV113" s="511">
        <f t="shared" ca="1" si="72"/>
        <v>2035</v>
      </c>
      <c r="CW113" s="1">
        <f t="shared" si="51"/>
        <v>1333</v>
      </c>
      <c r="CX113" s="99">
        <f t="shared" si="52"/>
        <v>0</v>
      </c>
    </row>
    <row r="114" spans="1:102" x14ac:dyDescent="0.3">
      <c r="A114" s="100">
        <v>113</v>
      </c>
      <c r="B114" s="131">
        <f t="shared" si="73"/>
        <v>2585</v>
      </c>
      <c r="C114" s="102">
        <f t="shared" si="74"/>
        <v>0</v>
      </c>
      <c r="D114" s="102">
        <f t="shared" si="75"/>
        <v>0</v>
      </c>
      <c r="E114" s="102">
        <f t="shared" si="54"/>
        <v>0</v>
      </c>
      <c r="F114" s="102">
        <f t="shared" si="76"/>
        <v>0</v>
      </c>
      <c r="L114" s="100">
        <v>113</v>
      </c>
      <c r="M114" s="131">
        <f t="shared" ca="1" si="77"/>
        <v>49605</v>
      </c>
      <c r="N114" s="102">
        <f t="shared" si="78"/>
        <v>0</v>
      </c>
      <c r="O114" s="102">
        <f t="shared" si="79"/>
        <v>0</v>
      </c>
      <c r="P114" s="102">
        <f t="shared" si="56"/>
        <v>0</v>
      </c>
      <c r="Q114" s="102">
        <f t="shared" si="57"/>
        <v>0</v>
      </c>
      <c r="W114" s="100">
        <v>113</v>
      </c>
      <c r="X114" s="131">
        <f t="shared" ca="1" si="80"/>
        <v>49605</v>
      </c>
      <c r="Y114" s="102">
        <f t="shared" si="81"/>
        <v>0</v>
      </c>
      <c r="Z114" s="102">
        <f t="shared" si="82"/>
        <v>0</v>
      </c>
      <c r="AA114" s="102">
        <f t="shared" si="58"/>
        <v>0</v>
      </c>
      <c r="AB114" s="102">
        <f t="shared" si="59"/>
        <v>0</v>
      </c>
      <c r="AH114" s="100">
        <v>113</v>
      </c>
      <c r="AI114" s="131">
        <f t="shared" ca="1" si="83"/>
        <v>49605</v>
      </c>
      <c r="AJ114" s="102">
        <f t="shared" si="84"/>
        <v>0</v>
      </c>
      <c r="AK114" s="102">
        <f t="shared" si="85"/>
        <v>0</v>
      </c>
      <c r="AL114" s="102">
        <f t="shared" si="97"/>
        <v>0</v>
      </c>
      <c r="AM114" s="102">
        <f t="shared" si="60"/>
        <v>0</v>
      </c>
      <c r="AS114" s="530">
        <v>113</v>
      </c>
      <c r="AT114" s="531">
        <f t="shared" ca="1" si="86"/>
        <v>49605</v>
      </c>
      <c r="AU114" s="532">
        <f ca="1">IF(AU113=0,SUMIFS('Key Life Events'!$L$3:$L$28,'Key Life Events'!$H$3:$H$28,'Loan Amortization'!$AY$3,'Key Life Events'!$N$3:$N$28,'Loan Amortization'!AT114),AU113-AX113)</f>
        <v>0</v>
      </c>
      <c r="AV114" s="532">
        <f t="shared" ca="1" si="87"/>
        <v>0</v>
      </c>
      <c r="AW114" s="532">
        <f t="shared" ca="1" si="53"/>
        <v>0</v>
      </c>
      <c r="AX114" s="532">
        <f t="shared" ca="1" si="61"/>
        <v>0</v>
      </c>
      <c r="BC114" s="536">
        <f t="shared" ca="1" si="62"/>
        <v>2035</v>
      </c>
      <c r="BF114" s="530">
        <v>113</v>
      </c>
      <c r="BG114" s="531">
        <f t="shared" ca="1" si="88"/>
        <v>49605</v>
      </c>
      <c r="BH114" s="532">
        <f ca="1">IF(BH113=0,SUMIFS('Key Life Events'!$L$3:$L$28,'Key Life Events'!$H$3:$H$28,'Loan Amortization'!$BL$3,'Key Life Events'!$N$3:$N$28,'Loan Amortization'!BG114),BH113-BK113)</f>
        <v>0</v>
      </c>
      <c r="BI114" s="532">
        <f t="shared" ca="1" si="89"/>
        <v>0</v>
      </c>
      <c r="BJ114" s="532">
        <f t="shared" ca="1" si="90"/>
        <v>0</v>
      </c>
      <c r="BK114" s="532">
        <f t="shared" ca="1" si="63"/>
        <v>0</v>
      </c>
      <c r="BP114" s="536">
        <f t="shared" ca="1" si="64"/>
        <v>2035</v>
      </c>
      <c r="BQ114" s="535">
        <f ca="1"/>
        <v>0</v>
      </c>
      <c r="BS114" s="530">
        <v>113</v>
      </c>
      <c r="BT114" s="531">
        <f t="shared" ca="1" si="91"/>
        <v>49605</v>
      </c>
      <c r="BU114" s="532">
        <f ca="1">IF(BU113=0,SUMIFS('Key Life Events'!$L$3:$L$28,'Key Life Events'!$H$3:$H$28,'Loan Amortization'!$BY$3,'Key Life Events'!$N$3:$N$28,'Loan Amortization'!BT114),BU113-BX113)</f>
        <v>0</v>
      </c>
      <c r="BV114" s="532">
        <f t="shared" ca="1" si="96"/>
        <v>0</v>
      </c>
      <c r="BW114" s="532">
        <f t="shared" ca="1" si="92"/>
        <v>0</v>
      </c>
      <c r="BX114" s="532">
        <f t="shared" ca="1" si="65"/>
        <v>0</v>
      </c>
      <c r="CC114" s="536">
        <f t="shared" ca="1" si="66"/>
        <v>2035</v>
      </c>
      <c r="CD114" s="535">
        <f ca="1"/>
        <v>0</v>
      </c>
      <c r="CF114" s="530">
        <v>113</v>
      </c>
      <c r="CG114" s="531">
        <f t="shared" ca="1" si="93"/>
        <v>49605</v>
      </c>
      <c r="CH114" s="532">
        <f ca="1">IF(CH113=0,SUMIFS('Key Life Events'!$L$3:$L$28,'Key Life Events'!$H$3:$H$28,'Loan Amortization'!$CL$3,'Key Life Events'!$N$3:$N$28,'Loan Amortization'!CG114),CH113-CK113)</f>
        <v>0</v>
      </c>
      <c r="CI114" s="532">
        <f t="shared" ca="1" si="94"/>
        <v>0</v>
      </c>
      <c r="CJ114" s="532">
        <f t="shared" ca="1" si="95"/>
        <v>0</v>
      </c>
      <c r="CK114" s="532">
        <f t="shared" ca="1" si="67"/>
        <v>0</v>
      </c>
      <c r="CP114" s="536">
        <f t="shared" ca="1" si="68"/>
        <v>2035</v>
      </c>
      <c r="CQ114" s="535">
        <f ca="1"/>
        <v>0</v>
      </c>
      <c r="CS114" s="100">
        <f t="shared" si="69"/>
        <v>113</v>
      </c>
      <c r="CT114" s="102">
        <f t="shared" ca="1" si="70"/>
        <v>0</v>
      </c>
      <c r="CU114" s="102">
        <f t="shared" ca="1" si="71"/>
        <v>0</v>
      </c>
      <c r="CV114" s="511">
        <f t="shared" ca="1" si="72"/>
        <v>2035</v>
      </c>
      <c r="CW114" s="1">
        <f t="shared" si="51"/>
        <v>1345</v>
      </c>
      <c r="CX114" s="99">
        <f t="shared" si="52"/>
        <v>0</v>
      </c>
    </row>
    <row r="115" spans="1:102" x14ac:dyDescent="0.3">
      <c r="A115" s="100">
        <v>114</v>
      </c>
      <c r="B115" s="131">
        <f t="shared" si="73"/>
        <v>2616</v>
      </c>
      <c r="C115" s="102">
        <f t="shared" si="74"/>
        <v>0</v>
      </c>
      <c r="D115" s="102">
        <f t="shared" si="75"/>
        <v>0</v>
      </c>
      <c r="E115" s="102">
        <f t="shared" si="54"/>
        <v>0</v>
      </c>
      <c r="F115" s="102">
        <f t="shared" si="76"/>
        <v>0</v>
      </c>
      <c r="L115" s="100">
        <v>114</v>
      </c>
      <c r="M115" s="131">
        <f t="shared" ca="1" si="77"/>
        <v>49636</v>
      </c>
      <c r="N115" s="102">
        <f t="shared" si="78"/>
        <v>0</v>
      </c>
      <c r="O115" s="102">
        <f t="shared" si="79"/>
        <v>0</v>
      </c>
      <c r="P115" s="102">
        <f t="shared" si="56"/>
        <v>0</v>
      </c>
      <c r="Q115" s="102">
        <f t="shared" si="57"/>
        <v>0</v>
      </c>
      <c r="W115" s="100">
        <v>114</v>
      </c>
      <c r="X115" s="131">
        <f t="shared" ca="1" si="80"/>
        <v>49636</v>
      </c>
      <c r="Y115" s="102">
        <f t="shared" si="81"/>
        <v>0</v>
      </c>
      <c r="Z115" s="102">
        <f t="shared" si="82"/>
        <v>0</v>
      </c>
      <c r="AA115" s="102">
        <f t="shared" si="58"/>
        <v>0</v>
      </c>
      <c r="AB115" s="102">
        <f t="shared" si="59"/>
        <v>0</v>
      </c>
      <c r="AH115" s="100">
        <v>114</v>
      </c>
      <c r="AI115" s="131">
        <f t="shared" ca="1" si="83"/>
        <v>49636</v>
      </c>
      <c r="AJ115" s="102">
        <f t="shared" si="84"/>
        <v>0</v>
      </c>
      <c r="AK115" s="102">
        <f t="shared" si="85"/>
        <v>0</v>
      </c>
      <c r="AL115" s="102">
        <f t="shared" si="97"/>
        <v>0</v>
      </c>
      <c r="AM115" s="102">
        <f t="shared" si="60"/>
        <v>0</v>
      </c>
      <c r="AS115" s="530">
        <v>114</v>
      </c>
      <c r="AT115" s="531">
        <f t="shared" ca="1" si="86"/>
        <v>49636</v>
      </c>
      <c r="AU115" s="532">
        <f ca="1">IF(AU114=0,SUMIFS('Key Life Events'!$L$3:$L$28,'Key Life Events'!$H$3:$H$28,'Loan Amortization'!$AY$3,'Key Life Events'!$N$3:$N$28,'Loan Amortization'!AT115),AU114-AX114)</f>
        <v>0</v>
      </c>
      <c r="AV115" s="532">
        <f t="shared" ca="1" si="87"/>
        <v>0</v>
      </c>
      <c r="AW115" s="532">
        <f t="shared" ca="1" si="53"/>
        <v>0</v>
      </c>
      <c r="AX115" s="532">
        <f t="shared" ca="1" si="61"/>
        <v>0</v>
      </c>
      <c r="BC115" s="536">
        <f t="shared" ca="1" si="62"/>
        <v>2035</v>
      </c>
      <c r="BF115" s="530">
        <v>114</v>
      </c>
      <c r="BG115" s="531">
        <f t="shared" ca="1" si="88"/>
        <v>49636</v>
      </c>
      <c r="BH115" s="532">
        <f ca="1">IF(BH114=0,SUMIFS('Key Life Events'!$L$3:$L$28,'Key Life Events'!$H$3:$H$28,'Loan Amortization'!$BL$3,'Key Life Events'!$N$3:$N$28,'Loan Amortization'!BG115),BH114-BK114)</f>
        <v>0</v>
      </c>
      <c r="BI115" s="532">
        <f t="shared" ca="1" si="89"/>
        <v>0</v>
      </c>
      <c r="BJ115" s="532">
        <f t="shared" ca="1" si="90"/>
        <v>0</v>
      </c>
      <c r="BK115" s="532">
        <f t="shared" ca="1" si="63"/>
        <v>0</v>
      </c>
      <c r="BP115" s="536">
        <f t="shared" ca="1" si="64"/>
        <v>2035</v>
      </c>
      <c r="BQ115" s="535">
        <f ca="1"/>
        <v>0</v>
      </c>
      <c r="BS115" s="530">
        <v>114</v>
      </c>
      <c r="BT115" s="531">
        <f t="shared" ca="1" si="91"/>
        <v>49636</v>
      </c>
      <c r="BU115" s="532">
        <f ca="1">IF(BU114=0,SUMIFS('Key Life Events'!$L$3:$L$28,'Key Life Events'!$H$3:$H$28,'Loan Amortization'!$BY$3,'Key Life Events'!$N$3:$N$28,'Loan Amortization'!BT115),BU114-BX114)</f>
        <v>0</v>
      </c>
      <c r="BV115" s="532">
        <f t="shared" ca="1" si="96"/>
        <v>0</v>
      </c>
      <c r="BW115" s="532">
        <f t="shared" ca="1" si="92"/>
        <v>0</v>
      </c>
      <c r="BX115" s="532">
        <f t="shared" ca="1" si="65"/>
        <v>0</v>
      </c>
      <c r="CC115" s="536">
        <f t="shared" ca="1" si="66"/>
        <v>2035</v>
      </c>
      <c r="CD115" s="535">
        <f ca="1"/>
        <v>0</v>
      </c>
      <c r="CF115" s="530">
        <v>114</v>
      </c>
      <c r="CG115" s="531">
        <f t="shared" ca="1" si="93"/>
        <v>49636</v>
      </c>
      <c r="CH115" s="532">
        <f ca="1">IF(CH114=0,SUMIFS('Key Life Events'!$L$3:$L$28,'Key Life Events'!$H$3:$H$28,'Loan Amortization'!$CL$3,'Key Life Events'!$N$3:$N$28,'Loan Amortization'!CG115),CH114-CK114)</f>
        <v>0</v>
      </c>
      <c r="CI115" s="532">
        <f t="shared" ca="1" si="94"/>
        <v>0</v>
      </c>
      <c r="CJ115" s="532">
        <f t="shared" ca="1" si="95"/>
        <v>0</v>
      </c>
      <c r="CK115" s="532">
        <f t="shared" ca="1" si="67"/>
        <v>0</v>
      </c>
      <c r="CP115" s="536">
        <f t="shared" ca="1" si="68"/>
        <v>2035</v>
      </c>
      <c r="CQ115" s="535">
        <f ca="1"/>
        <v>0</v>
      </c>
      <c r="CS115" s="100">
        <f t="shared" si="69"/>
        <v>114</v>
      </c>
      <c r="CT115" s="102">
        <f t="shared" ca="1" si="70"/>
        <v>0</v>
      </c>
      <c r="CU115" s="102">
        <f t="shared" ca="1" si="71"/>
        <v>0</v>
      </c>
      <c r="CV115" s="511">
        <f t="shared" ca="1" si="72"/>
        <v>2035</v>
      </c>
      <c r="CW115" s="1">
        <f t="shared" si="51"/>
        <v>1357</v>
      </c>
      <c r="CX115" s="99">
        <f t="shared" si="52"/>
        <v>0</v>
      </c>
    </row>
    <row r="116" spans="1:102" x14ac:dyDescent="0.3">
      <c r="A116" s="100">
        <v>115</v>
      </c>
      <c r="B116" s="131">
        <f t="shared" si="73"/>
        <v>2644</v>
      </c>
      <c r="C116" s="102">
        <f t="shared" si="74"/>
        <v>0</v>
      </c>
      <c r="D116" s="102">
        <f t="shared" si="75"/>
        <v>0</v>
      </c>
      <c r="E116" s="102">
        <f t="shared" si="54"/>
        <v>0</v>
      </c>
      <c r="F116" s="102">
        <f t="shared" si="76"/>
        <v>0</v>
      </c>
      <c r="L116" s="100">
        <v>115</v>
      </c>
      <c r="M116" s="131">
        <f t="shared" ca="1" si="77"/>
        <v>49666</v>
      </c>
      <c r="N116" s="102">
        <f t="shared" si="78"/>
        <v>0</v>
      </c>
      <c r="O116" s="102">
        <f t="shared" si="79"/>
        <v>0</v>
      </c>
      <c r="P116" s="102">
        <f t="shared" si="56"/>
        <v>0</v>
      </c>
      <c r="Q116" s="102">
        <f t="shared" si="57"/>
        <v>0</v>
      </c>
      <c r="W116" s="100">
        <v>115</v>
      </c>
      <c r="X116" s="131">
        <f t="shared" ca="1" si="80"/>
        <v>49666</v>
      </c>
      <c r="Y116" s="102">
        <f t="shared" si="81"/>
        <v>0</v>
      </c>
      <c r="Z116" s="102">
        <f t="shared" si="82"/>
        <v>0</v>
      </c>
      <c r="AA116" s="102">
        <f t="shared" si="58"/>
        <v>0</v>
      </c>
      <c r="AB116" s="102">
        <f t="shared" si="59"/>
        <v>0</v>
      </c>
      <c r="AH116" s="100">
        <v>115</v>
      </c>
      <c r="AI116" s="131">
        <f t="shared" ca="1" si="83"/>
        <v>49666</v>
      </c>
      <c r="AJ116" s="102">
        <f t="shared" si="84"/>
        <v>0</v>
      </c>
      <c r="AK116" s="102">
        <f t="shared" si="85"/>
        <v>0</v>
      </c>
      <c r="AL116" s="102">
        <f t="shared" si="97"/>
        <v>0</v>
      </c>
      <c r="AM116" s="102">
        <f t="shared" si="60"/>
        <v>0</v>
      </c>
      <c r="AS116" s="530">
        <v>115</v>
      </c>
      <c r="AT116" s="531">
        <f t="shared" ca="1" si="86"/>
        <v>49666</v>
      </c>
      <c r="AU116" s="532">
        <f ca="1">IF(AU115=0,SUMIFS('Key Life Events'!$L$3:$L$28,'Key Life Events'!$H$3:$H$28,'Loan Amortization'!$AY$3,'Key Life Events'!$N$3:$N$28,'Loan Amortization'!AT116),AU115-AX115)</f>
        <v>0</v>
      </c>
      <c r="AV116" s="532">
        <f t="shared" ca="1" si="87"/>
        <v>0</v>
      </c>
      <c r="AW116" s="532">
        <f t="shared" ca="1" si="53"/>
        <v>0</v>
      </c>
      <c r="AX116" s="532">
        <f t="shared" ca="1" si="61"/>
        <v>0</v>
      </c>
      <c r="BC116" s="536">
        <f t="shared" ca="1" si="62"/>
        <v>2035</v>
      </c>
      <c r="BF116" s="530">
        <v>115</v>
      </c>
      <c r="BG116" s="531">
        <f t="shared" ca="1" si="88"/>
        <v>49666</v>
      </c>
      <c r="BH116" s="532">
        <f ca="1">IF(BH115=0,SUMIFS('Key Life Events'!$L$3:$L$28,'Key Life Events'!$H$3:$H$28,'Loan Amortization'!$BL$3,'Key Life Events'!$N$3:$N$28,'Loan Amortization'!BG116),BH115-BK115)</f>
        <v>0</v>
      </c>
      <c r="BI116" s="532">
        <f t="shared" ca="1" si="89"/>
        <v>0</v>
      </c>
      <c r="BJ116" s="532">
        <f t="shared" ca="1" si="90"/>
        <v>0</v>
      </c>
      <c r="BK116" s="532">
        <f t="shared" ca="1" si="63"/>
        <v>0</v>
      </c>
      <c r="BP116" s="536">
        <f t="shared" ca="1" si="64"/>
        <v>2035</v>
      </c>
      <c r="BQ116" s="535">
        <f ca="1"/>
        <v>0</v>
      </c>
      <c r="BS116" s="530">
        <v>115</v>
      </c>
      <c r="BT116" s="531">
        <f t="shared" ca="1" si="91"/>
        <v>49666</v>
      </c>
      <c r="BU116" s="532">
        <f ca="1">IF(BU115=0,SUMIFS('Key Life Events'!$L$3:$L$28,'Key Life Events'!$H$3:$H$28,'Loan Amortization'!$BY$3,'Key Life Events'!$N$3:$N$28,'Loan Amortization'!BT116),BU115-BX115)</f>
        <v>0</v>
      </c>
      <c r="BV116" s="532">
        <f t="shared" ca="1" si="96"/>
        <v>0</v>
      </c>
      <c r="BW116" s="532">
        <f t="shared" ca="1" si="92"/>
        <v>0</v>
      </c>
      <c r="BX116" s="532">
        <f t="shared" ca="1" si="65"/>
        <v>0</v>
      </c>
      <c r="CC116" s="536">
        <f t="shared" ca="1" si="66"/>
        <v>2035</v>
      </c>
      <c r="CD116" s="535">
        <f ca="1"/>
        <v>0</v>
      </c>
      <c r="CF116" s="530">
        <v>115</v>
      </c>
      <c r="CG116" s="531">
        <f t="shared" ca="1" si="93"/>
        <v>49666</v>
      </c>
      <c r="CH116" s="532">
        <f ca="1">IF(CH115=0,SUMIFS('Key Life Events'!$L$3:$L$28,'Key Life Events'!$H$3:$H$28,'Loan Amortization'!$CL$3,'Key Life Events'!$N$3:$N$28,'Loan Amortization'!CG116),CH115-CK115)</f>
        <v>0</v>
      </c>
      <c r="CI116" s="532">
        <f t="shared" ca="1" si="94"/>
        <v>0</v>
      </c>
      <c r="CJ116" s="532">
        <f t="shared" ca="1" si="95"/>
        <v>0</v>
      </c>
      <c r="CK116" s="532">
        <f t="shared" ca="1" si="67"/>
        <v>0</v>
      </c>
      <c r="CP116" s="536">
        <f t="shared" ca="1" si="68"/>
        <v>2035</v>
      </c>
      <c r="CQ116" s="535">
        <f ca="1"/>
        <v>0</v>
      </c>
      <c r="CS116" s="100">
        <f t="shared" si="69"/>
        <v>115</v>
      </c>
      <c r="CT116" s="102">
        <f t="shared" ca="1" si="70"/>
        <v>0</v>
      </c>
      <c r="CU116" s="102">
        <f t="shared" ca="1" si="71"/>
        <v>0</v>
      </c>
      <c r="CV116" s="511">
        <f t="shared" ca="1" si="72"/>
        <v>2035</v>
      </c>
      <c r="CW116" s="1">
        <f t="shared" si="51"/>
        <v>1369</v>
      </c>
      <c r="CX116" s="99">
        <f t="shared" si="52"/>
        <v>0</v>
      </c>
    </row>
    <row r="117" spans="1:102" x14ac:dyDescent="0.3">
      <c r="A117" s="100">
        <v>116</v>
      </c>
      <c r="B117" s="131">
        <f t="shared" si="73"/>
        <v>2675</v>
      </c>
      <c r="C117" s="102">
        <f t="shared" si="74"/>
        <v>0</v>
      </c>
      <c r="D117" s="102">
        <f t="shared" si="75"/>
        <v>0</v>
      </c>
      <c r="E117" s="102">
        <f t="shared" si="54"/>
        <v>0</v>
      </c>
      <c r="F117" s="102">
        <f t="shared" si="76"/>
        <v>0</v>
      </c>
      <c r="L117" s="100">
        <v>116</v>
      </c>
      <c r="M117" s="131">
        <f t="shared" ca="1" si="77"/>
        <v>49697</v>
      </c>
      <c r="N117" s="102">
        <f t="shared" si="78"/>
        <v>0</v>
      </c>
      <c r="O117" s="102">
        <f t="shared" si="79"/>
        <v>0</v>
      </c>
      <c r="P117" s="102">
        <f t="shared" si="56"/>
        <v>0</v>
      </c>
      <c r="Q117" s="102">
        <f t="shared" si="57"/>
        <v>0</v>
      </c>
      <c r="W117" s="100">
        <v>116</v>
      </c>
      <c r="X117" s="131">
        <f t="shared" ca="1" si="80"/>
        <v>49697</v>
      </c>
      <c r="Y117" s="102">
        <f t="shared" si="81"/>
        <v>0</v>
      </c>
      <c r="Z117" s="102">
        <f t="shared" si="82"/>
        <v>0</v>
      </c>
      <c r="AA117" s="102">
        <f t="shared" si="58"/>
        <v>0</v>
      </c>
      <c r="AB117" s="102">
        <f t="shared" si="59"/>
        <v>0</v>
      </c>
      <c r="AH117" s="100">
        <v>116</v>
      </c>
      <c r="AI117" s="131">
        <f t="shared" ca="1" si="83"/>
        <v>49697</v>
      </c>
      <c r="AJ117" s="102">
        <f t="shared" si="84"/>
        <v>0</v>
      </c>
      <c r="AK117" s="102">
        <f t="shared" si="85"/>
        <v>0</v>
      </c>
      <c r="AL117" s="102">
        <f t="shared" si="97"/>
        <v>0</v>
      </c>
      <c r="AM117" s="102">
        <f t="shared" si="60"/>
        <v>0</v>
      </c>
      <c r="AS117" s="530">
        <v>116</v>
      </c>
      <c r="AT117" s="531">
        <f t="shared" ca="1" si="86"/>
        <v>49697</v>
      </c>
      <c r="AU117" s="532">
        <f ca="1">IF(AU116=0,SUMIFS('Key Life Events'!$L$3:$L$28,'Key Life Events'!$H$3:$H$28,'Loan Amortization'!$AY$3,'Key Life Events'!$N$3:$N$28,'Loan Amortization'!AT117),AU116-AX116)</f>
        <v>0</v>
      </c>
      <c r="AV117" s="532">
        <f t="shared" ca="1" si="87"/>
        <v>0</v>
      </c>
      <c r="AW117" s="532">
        <f t="shared" ca="1" si="53"/>
        <v>0</v>
      </c>
      <c r="AX117" s="532">
        <f t="shared" ca="1" si="61"/>
        <v>0</v>
      </c>
      <c r="BC117" s="536">
        <f t="shared" ca="1" si="62"/>
        <v>2036</v>
      </c>
      <c r="BF117" s="530">
        <v>116</v>
      </c>
      <c r="BG117" s="531">
        <f t="shared" ca="1" si="88"/>
        <v>49697</v>
      </c>
      <c r="BH117" s="532">
        <f ca="1">IF(BH116=0,SUMIFS('Key Life Events'!$L$3:$L$28,'Key Life Events'!$H$3:$H$28,'Loan Amortization'!$BL$3,'Key Life Events'!$N$3:$N$28,'Loan Amortization'!BG117),BH116-BK116)</f>
        <v>0</v>
      </c>
      <c r="BI117" s="532">
        <f t="shared" ca="1" si="89"/>
        <v>0</v>
      </c>
      <c r="BJ117" s="532">
        <f t="shared" ca="1" si="90"/>
        <v>0</v>
      </c>
      <c r="BK117" s="532">
        <f t="shared" ca="1" si="63"/>
        <v>0</v>
      </c>
      <c r="BP117" s="536">
        <f t="shared" ca="1" si="64"/>
        <v>2036</v>
      </c>
      <c r="BQ117" s="535">
        <f ca="1"/>
        <v>0</v>
      </c>
      <c r="BS117" s="530">
        <v>116</v>
      </c>
      <c r="BT117" s="531">
        <f t="shared" ca="1" si="91"/>
        <v>49697</v>
      </c>
      <c r="BU117" s="532">
        <f ca="1">IF(BU116=0,SUMIFS('Key Life Events'!$L$3:$L$28,'Key Life Events'!$H$3:$H$28,'Loan Amortization'!$BY$3,'Key Life Events'!$N$3:$N$28,'Loan Amortization'!BT117),BU116-BX116)</f>
        <v>0</v>
      </c>
      <c r="BV117" s="532">
        <f t="shared" ca="1" si="96"/>
        <v>0</v>
      </c>
      <c r="BW117" s="532">
        <f t="shared" ca="1" si="92"/>
        <v>0</v>
      </c>
      <c r="BX117" s="532">
        <f t="shared" ca="1" si="65"/>
        <v>0</v>
      </c>
      <c r="CC117" s="536">
        <f t="shared" ca="1" si="66"/>
        <v>2036</v>
      </c>
      <c r="CD117" s="535">
        <f ca="1"/>
        <v>0</v>
      </c>
      <c r="CF117" s="530">
        <v>116</v>
      </c>
      <c r="CG117" s="531">
        <f t="shared" ca="1" si="93"/>
        <v>49697</v>
      </c>
      <c r="CH117" s="532">
        <f ca="1">IF(CH116=0,SUMIFS('Key Life Events'!$L$3:$L$28,'Key Life Events'!$H$3:$H$28,'Loan Amortization'!$CL$3,'Key Life Events'!$N$3:$N$28,'Loan Amortization'!CG117),CH116-CK116)</f>
        <v>0</v>
      </c>
      <c r="CI117" s="532">
        <f t="shared" ca="1" si="94"/>
        <v>0</v>
      </c>
      <c r="CJ117" s="532">
        <f t="shared" ca="1" si="95"/>
        <v>0</v>
      </c>
      <c r="CK117" s="532">
        <f t="shared" ca="1" si="67"/>
        <v>0</v>
      </c>
      <c r="CP117" s="536">
        <f t="shared" ca="1" si="68"/>
        <v>2036</v>
      </c>
      <c r="CQ117" s="535">
        <f ca="1"/>
        <v>0</v>
      </c>
      <c r="CS117" s="100">
        <f t="shared" si="69"/>
        <v>116</v>
      </c>
      <c r="CT117" s="102">
        <f t="shared" ca="1" si="70"/>
        <v>0</v>
      </c>
      <c r="CU117" s="102">
        <f t="shared" ca="1" si="71"/>
        <v>0</v>
      </c>
      <c r="CV117" s="511">
        <f t="shared" ca="1" si="72"/>
        <v>2036</v>
      </c>
      <c r="CW117" s="1">
        <f t="shared" si="51"/>
        <v>1381</v>
      </c>
      <c r="CX117" s="99">
        <f t="shared" si="52"/>
        <v>0</v>
      </c>
    </row>
    <row r="118" spans="1:102" x14ac:dyDescent="0.3">
      <c r="A118" s="100">
        <v>117</v>
      </c>
      <c r="B118" s="131">
        <f t="shared" si="73"/>
        <v>2705</v>
      </c>
      <c r="C118" s="102">
        <f t="shared" si="74"/>
        <v>0</v>
      </c>
      <c r="D118" s="102">
        <f t="shared" si="75"/>
        <v>0</v>
      </c>
      <c r="E118" s="102">
        <f t="shared" si="54"/>
        <v>0</v>
      </c>
      <c r="F118" s="102">
        <f t="shared" si="76"/>
        <v>0</v>
      </c>
      <c r="L118" s="100">
        <v>117</v>
      </c>
      <c r="M118" s="131">
        <f t="shared" ca="1" si="77"/>
        <v>49728</v>
      </c>
      <c r="N118" s="102">
        <f t="shared" si="78"/>
        <v>0</v>
      </c>
      <c r="O118" s="102">
        <f t="shared" si="79"/>
        <v>0</v>
      </c>
      <c r="P118" s="102">
        <f t="shared" si="56"/>
        <v>0</v>
      </c>
      <c r="Q118" s="102">
        <f t="shared" si="57"/>
        <v>0</v>
      </c>
      <c r="W118" s="100">
        <v>117</v>
      </c>
      <c r="X118" s="131">
        <f t="shared" ca="1" si="80"/>
        <v>49728</v>
      </c>
      <c r="Y118" s="102">
        <f t="shared" si="81"/>
        <v>0</v>
      </c>
      <c r="Z118" s="102">
        <f t="shared" si="82"/>
        <v>0</v>
      </c>
      <c r="AA118" s="102">
        <f t="shared" si="58"/>
        <v>0</v>
      </c>
      <c r="AB118" s="102">
        <f t="shared" si="59"/>
        <v>0</v>
      </c>
      <c r="AH118" s="100">
        <v>117</v>
      </c>
      <c r="AI118" s="131">
        <f t="shared" ca="1" si="83"/>
        <v>49728</v>
      </c>
      <c r="AJ118" s="102">
        <f t="shared" si="84"/>
        <v>0</v>
      </c>
      <c r="AK118" s="102">
        <f t="shared" si="85"/>
        <v>0</v>
      </c>
      <c r="AL118" s="102">
        <f t="shared" si="97"/>
        <v>0</v>
      </c>
      <c r="AM118" s="102">
        <f t="shared" si="60"/>
        <v>0</v>
      </c>
      <c r="AS118" s="530">
        <v>117</v>
      </c>
      <c r="AT118" s="531">
        <f t="shared" ca="1" si="86"/>
        <v>49728</v>
      </c>
      <c r="AU118" s="532">
        <f ca="1">IF(AU117=0,SUMIFS('Key Life Events'!$L$3:$L$28,'Key Life Events'!$H$3:$H$28,'Loan Amortization'!$AY$3,'Key Life Events'!$N$3:$N$28,'Loan Amortization'!AT118),AU117-AX117)</f>
        <v>0</v>
      </c>
      <c r="AV118" s="532">
        <f t="shared" ca="1" si="87"/>
        <v>0</v>
      </c>
      <c r="AW118" s="532">
        <f t="shared" ca="1" si="53"/>
        <v>0</v>
      </c>
      <c r="AX118" s="532">
        <f t="shared" ca="1" si="61"/>
        <v>0</v>
      </c>
      <c r="BC118" s="536">
        <f t="shared" ca="1" si="62"/>
        <v>2036</v>
      </c>
      <c r="BF118" s="530">
        <v>117</v>
      </c>
      <c r="BG118" s="531">
        <f t="shared" ca="1" si="88"/>
        <v>49728</v>
      </c>
      <c r="BH118" s="532">
        <f ca="1">IF(BH117=0,SUMIFS('Key Life Events'!$L$3:$L$28,'Key Life Events'!$H$3:$H$28,'Loan Amortization'!$BL$3,'Key Life Events'!$N$3:$N$28,'Loan Amortization'!BG118),BH117-BK117)</f>
        <v>0</v>
      </c>
      <c r="BI118" s="532">
        <f t="shared" ca="1" si="89"/>
        <v>0</v>
      </c>
      <c r="BJ118" s="532">
        <f t="shared" ca="1" si="90"/>
        <v>0</v>
      </c>
      <c r="BK118" s="532">
        <f t="shared" ca="1" si="63"/>
        <v>0</v>
      </c>
      <c r="BP118" s="536">
        <f t="shared" ca="1" si="64"/>
        <v>2036</v>
      </c>
      <c r="BQ118" s="535">
        <f ca="1"/>
        <v>0</v>
      </c>
      <c r="BS118" s="530">
        <v>117</v>
      </c>
      <c r="BT118" s="531">
        <f t="shared" ca="1" si="91"/>
        <v>49728</v>
      </c>
      <c r="BU118" s="532">
        <f ca="1">IF(BU117=0,SUMIFS('Key Life Events'!$L$3:$L$28,'Key Life Events'!$H$3:$H$28,'Loan Amortization'!$BY$3,'Key Life Events'!$N$3:$N$28,'Loan Amortization'!BT118),BU117-BX117)</f>
        <v>0</v>
      </c>
      <c r="BV118" s="532">
        <f t="shared" ca="1" si="96"/>
        <v>0</v>
      </c>
      <c r="BW118" s="532">
        <f t="shared" ca="1" si="92"/>
        <v>0</v>
      </c>
      <c r="BX118" s="532">
        <f t="shared" ca="1" si="65"/>
        <v>0</v>
      </c>
      <c r="CC118" s="536">
        <f t="shared" ca="1" si="66"/>
        <v>2036</v>
      </c>
      <c r="CD118" s="535">
        <f ca="1"/>
        <v>0</v>
      </c>
      <c r="CF118" s="530">
        <v>117</v>
      </c>
      <c r="CG118" s="531">
        <f t="shared" ca="1" si="93"/>
        <v>49728</v>
      </c>
      <c r="CH118" s="532">
        <f ca="1">IF(CH117=0,SUMIFS('Key Life Events'!$L$3:$L$28,'Key Life Events'!$H$3:$H$28,'Loan Amortization'!$CL$3,'Key Life Events'!$N$3:$N$28,'Loan Amortization'!CG118),CH117-CK117)</f>
        <v>0</v>
      </c>
      <c r="CI118" s="532">
        <f t="shared" ca="1" si="94"/>
        <v>0</v>
      </c>
      <c r="CJ118" s="532">
        <f t="shared" ca="1" si="95"/>
        <v>0</v>
      </c>
      <c r="CK118" s="532">
        <f t="shared" ca="1" si="67"/>
        <v>0</v>
      </c>
      <c r="CP118" s="536">
        <f t="shared" ca="1" si="68"/>
        <v>2036</v>
      </c>
      <c r="CQ118" s="535">
        <f ca="1"/>
        <v>0</v>
      </c>
      <c r="CS118" s="100">
        <f t="shared" si="69"/>
        <v>117</v>
      </c>
      <c r="CT118" s="102">
        <f t="shared" ca="1" si="70"/>
        <v>0</v>
      </c>
      <c r="CU118" s="102">
        <f t="shared" ca="1" si="71"/>
        <v>0</v>
      </c>
      <c r="CV118" s="511">
        <f t="shared" ca="1" si="72"/>
        <v>2036</v>
      </c>
      <c r="CW118" s="1">
        <f t="shared" si="51"/>
        <v>1393</v>
      </c>
      <c r="CX118" s="99">
        <f t="shared" si="52"/>
        <v>0</v>
      </c>
    </row>
    <row r="119" spans="1:102" x14ac:dyDescent="0.3">
      <c r="A119" s="100">
        <v>118</v>
      </c>
      <c r="B119" s="131">
        <f t="shared" si="73"/>
        <v>2736</v>
      </c>
      <c r="C119" s="102">
        <f t="shared" si="74"/>
        <v>0</v>
      </c>
      <c r="D119" s="102">
        <f t="shared" si="75"/>
        <v>0</v>
      </c>
      <c r="E119" s="102">
        <f t="shared" si="54"/>
        <v>0</v>
      </c>
      <c r="F119" s="102">
        <f t="shared" si="76"/>
        <v>0</v>
      </c>
      <c r="L119" s="100">
        <v>118</v>
      </c>
      <c r="M119" s="131">
        <f t="shared" ca="1" si="77"/>
        <v>49757</v>
      </c>
      <c r="N119" s="102">
        <f t="shared" si="78"/>
        <v>0</v>
      </c>
      <c r="O119" s="102">
        <f t="shared" si="79"/>
        <v>0</v>
      </c>
      <c r="P119" s="102">
        <f t="shared" si="56"/>
        <v>0</v>
      </c>
      <c r="Q119" s="102">
        <f t="shared" si="57"/>
        <v>0</v>
      </c>
      <c r="W119" s="100">
        <v>118</v>
      </c>
      <c r="X119" s="131">
        <f t="shared" ca="1" si="80"/>
        <v>49757</v>
      </c>
      <c r="Y119" s="102">
        <f t="shared" si="81"/>
        <v>0</v>
      </c>
      <c r="Z119" s="102">
        <f t="shared" si="82"/>
        <v>0</v>
      </c>
      <c r="AA119" s="102">
        <f t="shared" si="58"/>
        <v>0</v>
      </c>
      <c r="AB119" s="102">
        <f t="shared" si="59"/>
        <v>0</v>
      </c>
      <c r="AH119" s="100">
        <v>118</v>
      </c>
      <c r="AI119" s="131">
        <f t="shared" ca="1" si="83"/>
        <v>49757</v>
      </c>
      <c r="AJ119" s="102">
        <f t="shared" si="84"/>
        <v>0</v>
      </c>
      <c r="AK119" s="102">
        <f t="shared" si="85"/>
        <v>0</v>
      </c>
      <c r="AL119" s="102">
        <f t="shared" si="97"/>
        <v>0</v>
      </c>
      <c r="AM119" s="102">
        <f t="shared" si="60"/>
        <v>0</v>
      </c>
      <c r="AS119" s="530">
        <v>118</v>
      </c>
      <c r="AT119" s="531">
        <f t="shared" ca="1" si="86"/>
        <v>49757</v>
      </c>
      <c r="AU119" s="532">
        <f ca="1">IF(AU118=0,SUMIFS('Key Life Events'!$L$3:$L$28,'Key Life Events'!$H$3:$H$28,'Loan Amortization'!$AY$3,'Key Life Events'!$N$3:$N$28,'Loan Amortization'!AT119),AU118-AX118)</f>
        <v>0</v>
      </c>
      <c r="AV119" s="532">
        <f t="shared" ca="1" si="87"/>
        <v>0</v>
      </c>
      <c r="AW119" s="532">
        <f t="shared" ca="1" si="53"/>
        <v>0</v>
      </c>
      <c r="AX119" s="532">
        <f t="shared" ca="1" si="61"/>
        <v>0</v>
      </c>
      <c r="BC119" s="536">
        <f t="shared" ca="1" si="62"/>
        <v>2036</v>
      </c>
      <c r="BF119" s="530">
        <v>118</v>
      </c>
      <c r="BG119" s="531">
        <f t="shared" ca="1" si="88"/>
        <v>49757</v>
      </c>
      <c r="BH119" s="532">
        <f ca="1">IF(BH118=0,SUMIFS('Key Life Events'!$L$3:$L$28,'Key Life Events'!$H$3:$H$28,'Loan Amortization'!$BL$3,'Key Life Events'!$N$3:$N$28,'Loan Amortization'!BG119),BH118-BK118)</f>
        <v>0</v>
      </c>
      <c r="BI119" s="532">
        <f t="shared" ca="1" si="89"/>
        <v>0</v>
      </c>
      <c r="BJ119" s="532">
        <f t="shared" ca="1" si="90"/>
        <v>0</v>
      </c>
      <c r="BK119" s="532">
        <f t="shared" ca="1" si="63"/>
        <v>0</v>
      </c>
      <c r="BP119" s="536">
        <f t="shared" ca="1" si="64"/>
        <v>2036</v>
      </c>
      <c r="BQ119" s="535">
        <f ca="1"/>
        <v>0</v>
      </c>
      <c r="BS119" s="530">
        <v>118</v>
      </c>
      <c r="BT119" s="531">
        <f t="shared" ca="1" si="91"/>
        <v>49757</v>
      </c>
      <c r="BU119" s="532">
        <f ca="1">IF(BU118=0,SUMIFS('Key Life Events'!$L$3:$L$28,'Key Life Events'!$H$3:$H$28,'Loan Amortization'!$BY$3,'Key Life Events'!$N$3:$N$28,'Loan Amortization'!BT119),BU118-BX118)</f>
        <v>0</v>
      </c>
      <c r="BV119" s="532">
        <f t="shared" ca="1" si="96"/>
        <v>0</v>
      </c>
      <c r="BW119" s="532">
        <f t="shared" ca="1" si="92"/>
        <v>0</v>
      </c>
      <c r="BX119" s="532">
        <f t="shared" ca="1" si="65"/>
        <v>0</v>
      </c>
      <c r="CC119" s="536">
        <f t="shared" ca="1" si="66"/>
        <v>2036</v>
      </c>
      <c r="CD119" s="535">
        <f ca="1"/>
        <v>0</v>
      </c>
      <c r="CF119" s="530">
        <v>118</v>
      </c>
      <c r="CG119" s="531">
        <f t="shared" ca="1" si="93"/>
        <v>49757</v>
      </c>
      <c r="CH119" s="532">
        <f ca="1">IF(CH118=0,SUMIFS('Key Life Events'!$L$3:$L$28,'Key Life Events'!$H$3:$H$28,'Loan Amortization'!$CL$3,'Key Life Events'!$N$3:$N$28,'Loan Amortization'!CG119),CH118-CK118)</f>
        <v>0</v>
      </c>
      <c r="CI119" s="532">
        <f t="shared" ca="1" si="94"/>
        <v>0</v>
      </c>
      <c r="CJ119" s="532">
        <f t="shared" ca="1" si="95"/>
        <v>0</v>
      </c>
      <c r="CK119" s="532">
        <f t="shared" ca="1" si="67"/>
        <v>0</v>
      </c>
      <c r="CP119" s="536">
        <f t="shared" ca="1" si="68"/>
        <v>2036</v>
      </c>
      <c r="CQ119" s="535">
        <f ca="1"/>
        <v>0</v>
      </c>
      <c r="CS119" s="100">
        <f t="shared" si="69"/>
        <v>118</v>
      </c>
      <c r="CT119" s="102">
        <f t="shared" ca="1" si="70"/>
        <v>0</v>
      </c>
      <c r="CU119" s="102">
        <f t="shared" ca="1" si="71"/>
        <v>0</v>
      </c>
      <c r="CV119" s="511">
        <f t="shared" ca="1" si="72"/>
        <v>2036</v>
      </c>
      <c r="CW119" s="1">
        <f t="shared" si="51"/>
        <v>1405</v>
      </c>
      <c r="CX119" s="99">
        <f t="shared" si="52"/>
        <v>0</v>
      </c>
    </row>
    <row r="120" spans="1:102" x14ac:dyDescent="0.3">
      <c r="A120" s="100">
        <v>119</v>
      </c>
      <c r="B120" s="131">
        <f t="shared" si="73"/>
        <v>2766</v>
      </c>
      <c r="C120" s="102">
        <f t="shared" si="74"/>
        <v>0</v>
      </c>
      <c r="D120" s="102">
        <f t="shared" si="75"/>
        <v>0</v>
      </c>
      <c r="E120" s="102">
        <f t="shared" si="54"/>
        <v>0</v>
      </c>
      <c r="F120" s="102">
        <f t="shared" si="76"/>
        <v>0</v>
      </c>
      <c r="L120" s="100">
        <v>119</v>
      </c>
      <c r="M120" s="131">
        <f t="shared" ca="1" si="77"/>
        <v>49788</v>
      </c>
      <c r="N120" s="102">
        <f t="shared" si="78"/>
        <v>0</v>
      </c>
      <c r="O120" s="102">
        <f t="shared" si="79"/>
        <v>0</v>
      </c>
      <c r="P120" s="102">
        <f t="shared" si="56"/>
        <v>0</v>
      </c>
      <c r="Q120" s="102">
        <f t="shared" si="57"/>
        <v>0</v>
      </c>
      <c r="W120" s="100">
        <v>119</v>
      </c>
      <c r="X120" s="131">
        <f t="shared" ca="1" si="80"/>
        <v>49788</v>
      </c>
      <c r="Y120" s="102">
        <f t="shared" si="81"/>
        <v>0</v>
      </c>
      <c r="Z120" s="102">
        <f t="shared" si="82"/>
        <v>0</v>
      </c>
      <c r="AA120" s="102">
        <f t="shared" si="58"/>
        <v>0</v>
      </c>
      <c r="AB120" s="102">
        <f t="shared" si="59"/>
        <v>0</v>
      </c>
      <c r="AH120" s="100">
        <v>119</v>
      </c>
      <c r="AI120" s="131">
        <f t="shared" ca="1" si="83"/>
        <v>49788</v>
      </c>
      <c r="AJ120" s="102">
        <f t="shared" si="84"/>
        <v>0</v>
      </c>
      <c r="AK120" s="102">
        <f t="shared" si="85"/>
        <v>0</v>
      </c>
      <c r="AL120" s="102">
        <f t="shared" si="97"/>
        <v>0</v>
      </c>
      <c r="AM120" s="102">
        <f t="shared" si="60"/>
        <v>0</v>
      </c>
      <c r="AS120" s="530">
        <v>119</v>
      </c>
      <c r="AT120" s="531">
        <f t="shared" ca="1" si="86"/>
        <v>49788</v>
      </c>
      <c r="AU120" s="532">
        <f ca="1">IF(AU119=0,SUMIFS('Key Life Events'!$L$3:$L$28,'Key Life Events'!$H$3:$H$28,'Loan Amortization'!$AY$3,'Key Life Events'!$N$3:$N$28,'Loan Amortization'!AT120),AU119-AX119)</f>
        <v>0</v>
      </c>
      <c r="AV120" s="532">
        <f t="shared" ca="1" si="87"/>
        <v>0</v>
      </c>
      <c r="AW120" s="532">
        <f t="shared" ca="1" si="53"/>
        <v>0</v>
      </c>
      <c r="AX120" s="532">
        <f t="shared" ca="1" si="61"/>
        <v>0</v>
      </c>
      <c r="BC120" s="536">
        <f t="shared" ca="1" si="62"/>
        <v>2036</v>
      </c>
      <c r="BF120" s="530">
        <v>119</v>
      </c>
      <c r="BG120" s="531">
        <f t="shared" ca="1" si="88"/>
        <v>49788</v>
      </c>
      <c r="BH120" s="532">
        <f ca="1">IF(BH119=0,SUMIFS('Key Life Events'!$L$3:$L$28,'Key Life Events'!$H$3:$H$28,'Loan Amortization'!$BL$3,'Key Life Events'!$N$3:$N$28,'Loan Amortization'!BG120),BH119-BK119)</f>
        <v>0</v>
      </c>
      <c r="BI120" s="532">
        <f t="shared" ca="1" si="89"/>
        <v>0</v>
      </c>
      <c r="BJ120" s="532">
        <f t="shared" ca="1" si="90"/>
        <v>0</v>
      </c>
      <c r="BK120" s="532">
        <f t="shared" ca="1" si="63"/>
        <v>0</v>
      </c>
      <c r="BP120" s="536">
        <f t="shared" ca="1" si="64"/>
        <v>2036</v>
      </c>
      <c r="BQ120" s="535">
        <f ca="1"/>
        <v>0</v>
      </c>
      <c r="BS120" s="530">
        <v>119</v>
      </c>
      <c r="BT120" s="531">
        <f t="shared" ca="1" si="91"/>
        <v>49788</v>
      </c>
      <c r="BU120" s="532">
        <f ca="1">IF(BU119=0,SUMIFS('Key Life Events'!$L$3:$L$28,'Key Life Events'!$H$3:$H$28,'Loan Amortization'!$BY$3,'Key Life Events'!$N$3:$N$28,'Loan Amortization'!BT120),BU119-BX119)</f>
        <v>0</v>
      </c>
      <c r="BV120" s="532">
        <f t="shared" ca="1" si="96"/>
        <v>0</v>
      </c>
      <c r="BW120" s="532">
        <f t="shared" ca="1" si="92"/>
        <v>0</v>
      </c>
      <c r="BX120" s="532">
        <f t="shared" ca="1" si="65"/>
        <v>0</v>
      </c>
      <c r="CC120" s="536">
        <f t="shared" ca="1" si="66"/>
        <v>2036</v>
      </c>
      <c r="CD120" s="535">
        <f ca="1"/>
        <v>0</v>
      </c>
      <c r="CF120" s="530">
        <v>119</v>
      </c>
      <c r="CG120" s="531">
        <f t="shared" ca="1" si="93"/>
        <v>49788</v>
      </c>
      <c r="CH120" s="532">
        <f ca="1">IF(CH119=0,SUMIFS('Key Life Events'!$L$3:$L$28,'Key Life Events'!$H$3:$H$28,'Loan Amortization'!$CL$3,'Key Life Events'!$N$3:$N$28,'Loan Amortization'!CG120),CH119-CK119)</f>
        <v>0</v>
      </c>
      <c r="CI120" s="532">
        <f t="shared" ca="1" si="94"/>
        <v>0</v>
      </c>
      <c r="CJ120" s="532">
        <f t="shared" ca="1" si="95"/>
        <v>0</v>
      </c>
      <c r="CK120" s="532">
        <f t="shared" ca="1" si="67"/>
        <v>0</v>
      </c>
      <c r="CP120" s="536">
        <f t="shared" ca="1" si="68"/>
        <v>2036</v>
      </c>
      <c r="CQ120" s="535">
        <f ca="1"/>
        <v>0</v>
      </c>
      <c r="CS120" s="100">
        <f t="shared" si="69"/>
        <v>119</v>
      </c>
      <c r="CT120" s="102">
        <f t="shared" ca="1" si="70"/>
        <v>0</v>
      </c>
      <c r="CU120" s="102">
        <f t="shared" ca="1" si="71"/>
        <v>0</v>
      </c>
      <c r="CV120" s="511">
        <f t="shared" ca="1" si="72"/>
        <v>2036</v>
      </c>
      <c r="CW120" s="1">
        <f t="shared" si="51"/>
        <v>1417</v>
      </c>
      <c r="CX120" s="99">
        <f t="shared" si="52"/>
        <v>0</v>
      </c>
    </row>
    <row r="121" spans="1:102" x14ac:dyDescent="0.3">
      <c r="A121" s="100">
        <v>120</v>
      </c>
      <c r="B121" s="131">
        <f t="shared" si="73"/>
        <v>2797</v>
      </c>
      <c r="C121" s="102">
        <f t="shared" si="74"/>
        <v>0</v>
      </c>
      <c r="D121" s="102">
        <f t="shared" si="75"/>
        <v>0</v>
      </c>
      <c r="E121" s="102">
        <f t="shared" si="54"/>
        <v>0</v>
      </c>
      <c r="F121" s="102">
        <f t="shared" si="76"/>
        <v>0</v>
      </c>
      <c r="L121" s="100">
        <v>120</v>
      </c>
      <c r="M121" s="131">
        <f t="shared" ca="1" si="77"/>
        <v>49818</v>
      </c>
      <c r="N121" s="102">
        <f t="shared" si="78"/>
        <v>0</v>
      </c>
      <c r="O121" s="102">
        <f t="shared" si="79"/>
        <v>0</v>
      </c>
      <c r="P121" s="102">
        <f t="shared" si="56"/>
        <v>0</v>
      </c>
      <c r="Q121" s="102">
        <f t="shared" si="57"/>
        <v>0</v>
      </c>
      <c r="W121" s="100">
        <v>120</v>
      </c>
      <c r="X121" s="131">
        <f t="shared" ca="1" si="80"/>
        <v>49818</v>
      </c>
      <c r="Y121" s="102">
        <f t="shared" si="81"/>
        <v>0</v>
      </c>
      <c r="Z121" s="102">
        <f t="shared" si="82"/>
        <v>0</v>
      </c>
      <c r="AA121" s="102">
        <f t="shared" si="58"/>
        <v>0</v>
      </c>
      <c r="AB121" s="102">
        <f t="shared" si="59"/>
        <v>0</v>
      </c>
      <c r="AH121" s="100">
        <v>120</v>
      </c>
      <c r="AI121" s="131">
        <f t="shared" ca="1" si="83"/>
        <v>49818</v>
      </c>
      <c r="AJ121" s="102">
        <f t="shared" si="84"/>
        <v>0</v>
      </c>
      <c r="AK121" s="102">
        <f t="shared" si="85"/>
        <v>0</v>
      </c>
      <c r="AL121" s="102">
        <f t="shared" si="97"/>
        <v>0</v>
      </c>
      <c r="AM121" s="102">
        <f t="shared" si="60"/>
        <v>0</v>
      </c>
      <c r="AS121" s="530">
        <v>120</v>
      </c>
      <c r="AT121" s="531">
        <f t="shared" ca="1" si="86"/>
        <v>49818</v>
      </c>
      <c r="AU121" s="532">
        <f ca="1">IF(AU120=0,SUMIFS('Key Life Events'!$L$3:$L$28,'Key Life Events'!$H$3:$H$28,'Loan Amortization'!$AY$3,'Key Life Events'!$N$3:$N$28,'Loan Amortization'!AT121),AU120-AX120)</f>
        <v>0</v>
      </c>
      <c r="AV121" s="532">
        <f t="shared" ca="1" si="87"/>
        <v>0</v>
      </c>
      <c r="AW121" s="532">
        <f t="shared" ca="1" si="53"/>
        <v>0</v>
      </c>
      <c r="AX121" s="532">
        <f t="shared" ca="1" si="61"/>
        <v>0</v>
      </c>
      <c r="BC121" s="536">
        <f t="shared" ca="1" si="62"/>
        <v>2036</v>
      </c>
      <c r="BF121" s="530">
        <v>120</v>
      </c>
      <c r="BG121" s="531">
        <f t="shared" ca="1" si="88"/>
        <v>49818</v>
      </c>
      <c r="BH121" s="532">
        <f ca="1">IF(BH120=0,SUMIFS('Key Life Events'!$L$3:$L$28,'Key Life Events'!$H$3:$H$28,'Loan Amortization'!$BL$3,'Key Life Events'!$N$3:$N$28,'Loan Amortization'!BG121),BH120-BK120)</f>
        <v>0</v>
      </c>
      <c r="BI121" s="532">
        <f t="shared" ca="1" si="89"/>
        <v>0</v>
      </c>
      <c r="BJ121" s="532">
        <f t="shared" ca="1" si="90"/>
        <v>0</v>
      </c>
      <c r="BK121" s="532">
        <f t="shared" ca="1" si="63"/>
        <v>0</v>
      </c>
      <c r="BP121" s="536">
        <f t="shared" ca="1" si="64"/>
        <v>2036</v>
      </c>
      <c r="BQ121" s="535">
        <f ca="1"/>
        <v>0</v>
      </c>
      <c r="BS121" s="530">
        <v>120</v>
      </c>
      <c r="BT121" s="531">
        <f t="shared" ca="1" si="91"/>
        <v>49818</v>
      </c>
      <c r="BU121" s="532">
        <f ca="1">IF(BU120=0,SUMIFS('Key Life Events'!$L$3:$L$28,'Key Life Events'!$H$3:$H$28,'Loan Amortization'!$BY$3,'Key Life Events'!$N$3:$N$28,'Loan Amortization'!BT121),BU120-BX120)</f>
        <v>0</v>
      </c>
      <c r="BV121" s="532">
        <f t="shared" ca="1" si="96"/>
        <v>0</v>
      </c>
      <c r="BW121" s="532">
        <f t="shared" ca="1" si="92"/>
        <v>0</v>
      </c>
      <c r="BX121" s="532">
        <f t="shared" ca="1" si="65"/>
        <v>0</v>
      </c>
      <c r="CC121" s="536">
        <f t="shared" ca="1" si="66"/>
        <v>2036</v>
      </c>
      <c r="CD121" s="535">
        <f ca="1"/>
        <v>0</v>
      </c>
      <c r="CF121" s="530">
        <v>120</v>
      </c>
      <c r="CG121" s="531">
        <f t="shared" ca="1" si="93"/>
        <v>49818</v>
      </c>
      <c r="CH121" s="532">
        <f ca="1">IF(CH120=0,SUMIFS('Key Life Events'!$L$3:$L$28,'Key Life Events'!$H$3:$H$28,'Loan Amortization'!$CL$3,'Key Life Events'!$N$3:$N$28,'Loan Amortization'!CG121),CH120-CK120)</f>
        <v>0</v>
      </c>
      <c r="CI121" s="532">
        <f t="shared" ca="1" si="94"/>
        <v>0</v>
      </c>
      <c r="CJ121" s="532">
        <f t="shared" ca="1" si="95"/>
        <v>0</v>
      </c>
      <c r="CK121" s="532">
        <f t="shared" ca="1" si="67"/>
        <v>0</v>
      </c>
      <c r="CP121" s="536">
        <f t="shared" ca="1" si="68"/>
        <v>2036</v>
      </c>
      <c r="CQ121" s="535">
        <f ca="1"/>
        <v>0</v>
      </c>
      <c r="CS121" s="100">
        <f t="shared" si="69"/>
        <v>120</v>
      </c>
      <c r="CT121" s="102">
        <f t="shared" ca="1" si="70"/>
        <v>0</v>
      </c>
      <c r="CU121" s="102">
        <f t="shared" ca="1" si="71"/>
        <v>0</v>
      </c>
      <c r="CV121" s="511">
        <f t="shared" ca="1" si="72"/>
        <v>2036</v>
      </c>
      <c r="CW121" s="1">
        <f t="shared" ref="CW121:CW184" si="98">CW120+12</f>
        <v>1429</v>
      </c>
      <c r="CX121" s="99">
        <f t="shared" ref="CX121:CX184" si="99">IFERROR(VLOOKUP(CW121,CS:CU,2,0),0)</f>
        <v>0</v>
      </c>
    </row>
    <row r="122" spans="1:102" x14ac:dyDescent="0.3">
      <c r="A122" s="100">
        <v>121</v>
      </c>
      <c r="B122" s="131">
        <f t="shared" si="73"/>
        <v>2828</v>
      </c>
      <c r="C122" s="102">
        <f t="shared" si="74"/>
        <v>0</v>
      </c>
      <c r="D122" s="102">
        <f t="shared" si="75"/>
        <v>0</v>
      </c>
      <c r="E122" s="102">
        <f t="shared" si="54"/>
        <v>0</v>
      </c>
      <c r="F122" s="102">
        <f t="shared" si="76"/>
        <v>0</v>
      </c>
      <c r="L122" s="100">
        <v>121</v>
      </c>
      <c r="M122" s="131">
        <f t="shared" ca="1" si="77"/>
        <v>49849</v>
      </c>
      <c r="N122" s="102">
        <f t="shared" si="78"/>
        <v>0</v>
      </c>
      <c r="O122" s="102">
        <f t="shared" si="79"/>
        <v>0</v>
      </c>
      <c r="P122" s="102">
        <f t="shared" si="56"/>
        <v>0</v>
      </c>
      <c r="Q122" s="102">
        <f t="shared" si="57"/>
        <v>0</v>
      </c>
      <c r="W122" s="100">
        <v>121</v>
      </c>
      <c r="X122" s="131">
        <f t="shared" ca="1" si="80"/>
        <v>49849</v>
      </c>
      <c r="Y122" s="102">
        <f t="shared" si="81"/>
        <v>0</v>
      </c>
      <c r="Z122" s="102">
        <f t="shared" si="82"/>
        <v>0</v>
      </c>
      <c r="AA122" s="102">
        <f t="shared" si="58"/>
        <v>0</v>
      </c>
      <c r="AB122" s="102">
        <f t="shared" si="59"/>
        <v>0</v>
      </c>
      <c r="AH122" s="100">
        <v>121</v>
      </c>
      <c r="AI122" s="131">
        <f t="shared" ca="1" si="83"/>
        <v>49849</v>
      </c>
      <c r="AJ122" s="102">
        <f t="shared" si="84"/>
        <v>0</v>
      </c>
      <c r="AK122" s="102">
        <f t="shared" si="85"/>
        <v>0</v>
      </c>
      <c r="AL122" s="102">
        <f t="shared" si="97"/>
        <v>0</v>
      </c>
      <c r="AM122" s="102">
        <f t="shared" si="60"/>
        <v>0</v>
      </c>
      <c r="AS122" s="530">
        <v>121</v>
      </c>
      <c r="AT122" s="531">
        <f t="shared" ca="1" si="86"/>
        <v>49849</v>
      </c>
      <c r="AU122" s="532">
        <f ca="1">IF(AU121=0,SUMIFS('Key Life Events'!$L$3:$L$28,'Key Life Events'!$H$3:$H$28,'Loan Amortization'!$AY$3,'Key Life Events'!$N$3:$N$28,'Loan Amortization'!AT122),AU121-AX121)</f>
        <v>0</v>
      </c>
      <c r="AV122" s="532">
        <f t="shared" ca="1" si="87"/>
        <v>0</v>
      </c>
      <c r="AW122" s="532">
        <f t="shared" ca="1" si="53"/>
        <v>0</v>
      </c>
      <c r="AX122" s="532">
        <f t="shared" ca="1" si="61"/>
        <v>0</v>
      </c>
      <c r="BC122" s="536">
        <f t="shared" ca="1" si="62"/>
        <v>2036</v>
      </c>
      <c r="BF122" s="530">
        <v>121</v>
      </c>
      <c r="BG122" s="531">
        <f t="shared" ca="1" si="88"/>
        <v>49849</v>
      </c>
      <c r="BH122" s="532">
        <f ca="1">IF(BH121=0,SUMIFS('Key Life Events'!$L$3:$L$28,'Key Life Events'!$H$3:$H$28,'Loan Amortization'!$BL$3,'Key Life Events'!$N$3:$N$28,'Loan Amortization'!BG122),BH121-BK121)</f>
        <v>0</v>
      </c>
      <c r="BI122" s="532">
        <f t="shared" ca="1" si="89"/>
        <v>0</v>
      </c>
      <c r="BJ122" s="532">
        <f t="shared" ca="1" si="90"/>
        <v>0</v>
      </c>
      <c r="BK122" s="532">
        <f t="shared" ca="1" si="63"/>
        <v>0</v>
      </c>
      <c r="BP122" s="536">
        <f t="shared" ca="1" si="64"/>
        <v>2036</v>
      </c>
      <c r="BQ122" s="535">
        <f ca="1"/>
        <v>0</v>
      </c>
      <c r="BS122" s="530">
        <v>121</v>
      </c>
      <c r="BT122" s="531">
        <f t="shared" ca="1" si="91"/>
        <v>49849</v>
      </c>
      <c r="BU122" s="532">
        <f ca="1">IF(BU121=0,SUMIFS('Key Life Events'!$L$3:$L$28,'Key Life Events'!$H$3:$H$28,'Loan Amortization'!$BY$3,'Key Life Events'!$N$3:$N$28,'Loan Amortization'!BT122),BU121-BX121)</f>
        <v>0</v>
      </c>
      <c r="BV122" s="532">
        <f t="shared" ca="1" si="96"/>
        <v>0</v>
      </c>
      <c r="BW122" s="532">
        <f t="shared" ca="1" si="92"/>
        <v>0</v>
      </c>
      <c r="BX122" s="532">
        <f t="shared" ca="1" si="65"/>
        <v>0</v>
      </c>
      <c r="CC122" s="536">
        <f t="shared" ca="1" si="66"/>
        <v>2036</v>
      </c>
      <c r="CD122" s="535">
        <f ca="1"/>
        <v>0</v>
      </c>
      <c r="CF122" s="530">
        <v>121</v>
      </c>
      <c r="CG122" s="531">
        <f t="shared" ca="1" si="93"/>
        <v>49849</v>
      </c>
      <c r="CH122" s="532">
        <f ca="1">IF(CH121=0,SUMIFS('Key Life Events'!$L$3:$L$28,'Key Life Events'!$H$3:$H$28,'Loan Amortization'!$CL$3,'Key Life Events'!$N$3:$N$28,'Loan Amortization'!CG122),CH121-CK121)</f>
        <v>0</v>
      </c>
      <c r="CI122" s="532">
        <f t="shared" ca="1" si="94"/>
        <v>0</v>
      </c>
      <c r="CJ122" s="532">
        <f t="shared" ca="1" si="95"/>
        <v>0</v>
      </c>
      <c r="CK122" s="532">
        <f t="shared" ca="1" si="67"/>
        <v>0</v>
      </c>
      <c r="CP122" s="536">
        <f t="shared" ca="1" si="68"/>
        <v>2036</v>
      </c>
      <c r="CQ122" s="535">
        <f ca="1"/>
        <v>0</v>
      </c>
      <c r="CS122" s="100">
        <f t="shared" si="69"/>
        <v>121</v>
      </c>
      <c r="CT122" s="102">
        <f t="shared" ca="1" si="70"/>
        <v>0</v>
      </c>
      <c r="CU122" s="102">
        <f t="shared" ca="1" si="71"/>
        <v>0</v>
      </c>
      <c r="CV122" s="511">
        <f t="shared" ca="1" si="72"/>
        <v>2036</v>
      </c>
      <c r="CW122" s="1">
        <f t="shared" si="98"/>
        <v>1441</v>
      </c>
      <c r="CX122" s="99">
        <f t="shared" si="99"/>
        <v>0</v>
      </c>
    </row>
    <row r="123" spans="1:102" x14ac:dyDescent="0.3">
      <c r="A123" s="100">
        <v>122</v>
      </c>
      <c r="B123" s="131">
        <f t="shared" si="73"/>
        <v>2858</v>
      </c>
      <c r="C123" s="102">
        <f t="shared" si="74"/>
        <v>0</v>
      </c>
      <c r="D123" s="102">
        <f t="shared" si="75"/>
        <v>0</v>
      </c>
      <c r="E123" s="102">
        <f t="shared" si="54"/>
        <v>0</v>
      </c>
      <c r="F123" s="102">
        <f t="shared" si="76"/>
        <v>0</v>
      </c>
      <c r="L123" s="100">
        <v>122</v>
      </c>
      <c r="M123" s="131">
        <f t="shared" ca="1" si="77"/>
        <v>49879</v>
      </c>
      <c r="N123" s="102">
        <f t="shared" si="78"/>
        <v>0</v>
      </c>
      <c r="O123" s="102">
        <f t="shared" si="79"/>
        <v>0</v>
      </c>
      <c r="P123" s="102">
        <f t="shared" si="56"/>
        <v>0</v>
      </c>
      <c r="Q123" s="102">
        <f t="shared" si="57"/>
        <v>0</v>
      </c>
      <c r="W123" s="100">
        <v>122</v>
      </c>
      <c r="X123" s="131">
        <f t="shared" ca="1" si="80"/>
        <v>49879</v>
      </c>
      <c r="Y123" s="102">
        <f t="shared" si="81"/>
        <v>0</v>
      </c>
      <c r="Z123" s="102">
        <f t="shared" si="82"/>
        <v>0</v>
      </c>
      <c r="AA123" s="102">
        <f t="shared" si="58"/>
        <v>0</v>
      </c>
      <c r="AB123" s="102">
        <f t="shared" si="59"/>
        <v>0</v>
      </c>
      <c r="AH123" s="100">
        <v>122</v>
      </c>
      <c r="AI123" s="131">
        <f t="shared" ca="1" si="83"/>
        <v>49879</v>
      </c>
      <c r="AJ123" s="102">
        <f t="shared" si="84"/>
        <v>0</v>
      </c>
      <c r="AK123" s="102">
        <f t="shared" si="85"/>
        <v>0</v>
      </c>
      <c r="AL123" s="102">
        <f t="shared" si="97"/>
        <v>0</v>
      </c>
      <c r="AM123" s="102">
        <f t="shared" si="60"/>
        <v>0</v>
      </c>
      <c r="AS123" s="530">
        <v>122</v>
      </c>
      <c r="AT123" s="531">
        <f t="shared" ca="1" si="86"/>
        <v>49879</v>
      </c>
      <c r="AU123" s="532">
        <f ca="1">IF(AU122=0,SUMIFS('Key Life Events'!$L$3:$L$28,'Key Life Events'!$H$3:$H$28,'Loan Amortization'!$AY$3,'Key Life Events'!$N$3:$N$28,'Loan Amortization'!AT123),AU122-AX122)</f>
        <v>0</v>
      </c>
      <c r="AV123" s="532">
        <f t="shared" ca="1" si="87"/>
        <v>0</v>
      </c>
      <c r="AW123" s="532">
        <f t="shared" ca="1" si="53"/>
        <v>0</v>
      </c>
      <c r="AX123" s="532">
        <f t="shared" ca="1" si="61"/>
        <v>0</v>
      </c>
      <c r="BC123" s="536">
        <f t="shared" ca="1" si="62"/>
        <v>2036</v>
      </c>
      <c r="BF123" s="530">
        <v>122</v>
      </c>
      <c r="BG123" s="531">
        <f t="shared" ca="1" si="88"/>
        <v>49879</v>
      </c>
      <c r="BH123" s="532">
        <f ca="1">IF(BH122=0,SUMIFS('Key Life Events'!$L$3:$L$28,'Key Life Events'!$H$3:$H$28,'Loan Amortization'!$BL$3,'Key Life Events'!$N$3:$N$28,'Loan Amortization'!BG123),BH122-BK122)</f>
        <v>0</v>
      </c>
      <c r="BI123" s="532">
        <f t="shared" ca="1" si="89"/>
        <v>0</v>
      </c>
      <c r="BJ123" s="532">
        <f t="shared" ca="1" si="90"/>
        <v>0</v>
      </c>
      <c r="BK123" s="532">
        <f t="shared" ca="1" si="63"/>
        <v>0</v>
      </c>
      <c r="BP123" s="536">
        <f t="shared" ca="1" si="64"/>
        <v>2036</v>
      </c>
      <c r="BQ123" s="535">
        <f ca="1"/>
        <v>0</v>
      </c>
      <c r="BS123" s="530">
        <v>122</v>
      </c>
      <c r="BT123" s="531">
        <f t="shared" ca="1" si="91"/>
        <v>49879</v>
      </c>
      <c r="BU123" s="532">
        <f ca="1">IF(BU122=0,SUMIFS('Key Life Events'!$L$3:$L$28,'Key Life Events'!$H$3:$H$28,'Loan Amortization'!$BY$3,'Key Life Events'!$N$3:$N$28,'Loan Amortization'!BT123),BU122-BX122)</f>
        <v>0</v>
      </c>
      <c r="BV123" s="532">
        <f t="shared" ca="1" si="96"/>
        <v>0</v>
      </c>
      <c r="BW123" s="532">
        <f t="shared" ca="1" si="92"/>
        <v>0</v>
      </c>
      <c r="BX123" s="532">
        <f t="shared" ca="1" si="65"/>
        <v>0</v>
      </c>
      <c r="CC123" s="536">
        <f t="shared" ca="1" si="66"/>
        <v>2036</v>
      </c>
      <c r="CD123" s="535">
        <f ca="1"/>
        <v>0</v>
      </c>
      <c r="CF123" s="530">
        <v>122</v>
      </c>
      <c r="CG123" s="531">
        <f t="shared" ca="1" si="93"/>
        <v>49879</v>
      </c>
      <c r="CH123" s="532">
        <f ca="1">IF(CH122=0,SUMIFS('Key Life Events'!$L$3:$L$28,'Key Life Events'!$H$3:$H$28,'Loan Amortization'!$CL$3,'Key Life Events'!$N$3:$N$28,'Loan Amortization'!CG123),CH122-CK122)</f>
        <v>0</v>
      </c>
      <c r="CI123" s="532">
        <f t="shared" ca="1" si="94"/>
        <v>0</v>
      </c>
      <c r="CJ123" s="532">
        <f t="shared" ca="1" si="95"/>
        <v>0</v>
      </c>
      <c r="CK123" s="532">
        <f t="shared" ca="1" si="67"/>
        <v>0</v>
      </c>
      <c r="CP123" s="536">
        <f t="shared" ca="1" si="68"/>
        <v>2036</v>
      </c>
      <c r="CQ123" s="535">
        <f ca="1"/>
        <v>0</v>
      </c>
      <c r="CS123" s="100">
        <f t="shared" si="69"/>
        <v>122</v>
      </c>
      <c r="CT123" s="102">
        <f t="shared" ca="1" si="70"/>
        <v>0</v>
      </c>
      <c r="CU123" s="102">
        <f t="shared" ca="1" si="71"/>
        <v>0</v>
      </c>
      <c r="CV123" s="511">
        <f t="shared" ca="1" si="72"/>
        <v>2036</v>
      </c>
      <c r="CW123" s="1">
        <f t="shared" si="98"/>
        <v>1453</v>
      </c>
      <c r="CX123" s="99">
        <f t="shared" si="99"/>
        <v>0</v>
      </c>
    </row>
    <row r="124" spans="1:102" x14ac:dyDescent="0.3">
      <c r="A124" s="100">
        <v>123</v>
      </c>
      <c r="B124" s="131">
        <f t="shared" si="73"/>
        <v>2889</v>
      </c>
      <c r="C124" s="102">
        <f t="shared" si="74"/>
        <v>0</v>
      </c>
      <c r="D124" s="102">
        <f t="shared" si="75"/>
        <v>0</v>
      </c>
      <c r="E124" s="102">
        <f t="shared" si="54"/>
        <v>0</v>
      </c>
      <c r="F124" s="102">
        <f t="shared" si="76"/>
        <v>0</v>
      </c>
      <c r="L124" s="100">
        <v>123</v>
      </c>
      <c r="M124" s="131">
        <f t="shared" ca="1" si="77"/>
        <v>49910</v>
      </c>
      <c r="N124" s="102">
        <f t="shared" si="78"/>
        <v>0</v>
      </c>
      <c r="O124" s="102">
        <f t="shared" si="79"/>
        <v>0</v>
      </c>
      <c r="P124" s="102">
        <f t="shared" si="56"/>
        <v>0</v>
      </c>
      <c r="Q124" s="102">
        <f t="shared" si="57"/>
        <v>0</v>
      </c>
      <c r="W124" s="100">
        <v>123</v>
      </c>
      <c r="X124" s="131">
        <f t="shared" ca="1" si="80"/>
        <v>49910</v>
      </c>
      <c r="Y124" s="102">
        <f t="shared" si="81"/>
        <v>0</v>
      </c>
      <c r="Z124" s="102">
        <f t="shared" si="82"/>
        <v>0</v>
      </c>
      <c r="AA124" s="102">
        <f t="shared" si="58"/>
        <v>0</v>
      </c>
      <c r="AB124" s="102">
        <f t="shared" si="59"/>
        <v>0</v>
      </c>
      <c r="AH124" s="100">
        <v>123</v>
      </c>
      <c r="AI124" s="131">
        <f t="shared" ca="1" si="83"/>
        <v>49910</v>
      </c>
      <c r="AJ124" s="102">
        <f t="shared" si="84"/>
        <v>0</v>
      </c>
      <c r="AK124" s="102">
        <f t="shared" si="85"/>
        <v>0</v>
      </c>
      <c r="AL124" s="102">
        <f t="shared" si="97"/>
        <v>0</v>
      </c>
      <c r="AM124" s="102">
        <f t="shared" si="60"/>
        <v>0</v>
      </c>
      <c r="AS124" s="530">
        <v>123</v>
      </c>
      <c r="AT124" s="531">
        <f t="shared" ca="1" si="86"/>
        <v>49910</v>
      </c>
      <c r="AU124" s="532">
        <f ca="1">IF(AU123=0,SUMIFS('Key Life Events'!$L$3:$L$28,'Key Life Events'!$H$3:$H$28,'Loan Amortization'!$AY$3,'Key Life Events'!$N$3:$N$28,'Loan Amortization'!AT124),AU123-AX123)</f>
        <v>0</v>
      </c>
      <c r="AV124" s="532">
        <f t="shared" ca="1" si="87"/>
        <v>0</v>
      </c>
      <c r="AW124" s="532">
        <f t="shared" ca="1" si="53"/>
        <v>0</v>
      </c>
      <c r="AX124" s="532">
        <f t="shared" ca="1" si="61"/>
        <v>0</v>
      </c>
      <c r="BC124" s="536">
        <f t="shared" ca="1" si="62"/>
        <v>2036</v>
      </c>
      <c r="BF124" s="530">
        <v>123</v>
      </c>
      <c r="BG124" s="531">
        <f t="shared" ca="1" si="88"/>
        <v>49910</v>
      </c>
      <c r="BH124" s="532">
        <f ca="1">IF(BH123=0,SUMIFS('Key Life Events'!$L$3:$L$28,'Key Life Events'!$H$3:$H$28,'Loan Amortization'!$BL$3,'Key Life Events'!$N$3:$N$28,'Loan Amortization'!BG124),BH123-BK123)</f>
        <v>0</v>
      </c>
      <c r="BI124" s="532">
        <f t="shared" ca="1" si="89"/>
        <v>0</v>
      </c>
      <c r="BJ124" s="532">
        <f t="shared" ca="1" si="90"/>
        <v>0</v>
      </c>
      <c r="BK124" s="532">
        <f t="shared" ca="1" si="63"/>
        <v>0</v>
      </c>
      <c r="BP124" s="536">
        <f t="shared" ca="1" si="64"/>
        <v>2036</v>
      </c>
      <c r="BQ124" s="535">
        <f ca="1"/>
        <v>0</v>
      </c>
      <c r="BS124" s="530">
        <v>123</v>
      </c>
      <c r="BT124" s="531">
        <f t="shared" ca="1" si="91"/>
        <v>49910</v>
      </c>
      <c r="BU124" s="532">
        <f ca="1">IF(BU123=0,SUMIFS('Key Life Events'!$L$3:$L$28,'Key Life Events'!$H$3:$H$28,'Loan Amortization'!$BY$3,'Key Life Events'!$N$3:$N$28,'Loan Amortization'!BT124),BU123-BX123)</f>
        <v>0</v>
      </c>
      <c r="BV124" s="532">
        <f t="shared" ca="1" si="96"/>
        <v>0</v>
      </c>
      <c r="BW124" s="532">
        <f t="shared" ca="1" si="92"/>
        <v>0</v>
      </c>
      <c r="BX124" s="532">
        <f t="shared" ca="1" si="65"/>
        <v>0</v>
      </c>
      <c r="CC124" s="536">
        <f t="shared" ca="1" si="66"/>
        <v>2036</v>
      </c>
      <c r="CD124" s="535">
        <f ca="1"/>
        <v>0</v>
      </c>
      <c r="CF124" s="530">
        <v>123</v>
      </c>
      <c r="CG124" s="531">
        <f t="shared" ca="1" si="93"/>
        <v>49910</v>
      </c>
      <c r="CH124" s="532">
        <f ca="1">IF(CH123=0,SUMIFS('Key Life Events'!$L$3:$L$28,'Key Life Events'!$H$3:$H$28,'Loan Amortization'!$CL$3,'Key Life Events'!$N$3:$N$28,'Loan Amortization'!CG124),CH123-CK123)</f>
        <v>0</v>
      </c>
      <c r="CI124" s="532">
        <f t="shared" ca="1" si="94"/>
        <v>0</v>
      </c>
      <c r="CJ124" s="532">
        <f t="shared" ca="1" si="95"/>
        <v>0</v>
      </c>
      <c r="CK124" s="532">
        <f t="shared" ca="1" si="67"/>
        <v>0</v>
      </c>
      <c r="CP124" s="536">
        <f t="shared" ca="1" si="68"/>
        <v>2036</v>
      </c>
      <c r="CQ124" s="535">
        <f ca="1"/>
        <v>0</v>
      </c>
      <c r="CS124" s="100">
        <f t="shared" si="69"/>
        <v>123</v>
      </c>
      <c r="CT124" s="102">
        <f t="shared" ca="1" si="70"/>
        <v>0</v>
      </c>
      <c r="CU124" s="102">
        <f t="shared" ca="1" si="71"/>
        <v>0</v>
      </c>
      <c r="CV124" s="511">
        <f t="shared" ca="1" si="72"/>
        <v>2036</v>
      </c>
      <c r="CW124" s="1">
        <f t="shared" si="98"/>
        <v>1465</v>
      </c>
      <c r="CX124" s="99">
        <f t="shared" si="99"/>
        <v>0</v>
      </c>
    </row>
    <row r="125" spans="1:102" x14ac:dyDescent="0.3">
      <c r="A125" s="100">
        <v>124</v>
      </c>
      <c r="B125" s="131">
        <f t="shared" si="73"/>
        <v>2919</v>
      </c>
      <c r="C125" s="102">
        <f t="shared" si="74"/>
        <v>0</v>
      </c>
      <c r="D125" s="102">
        <f t="shared" si="75"/>
        <v>0</v>
      </c>
      <c r="E125" s="102">
        <f t="shared" si="54"/>
        <v>0</v>
      </c>
      <c r="F125" s="102">
        <f t="shared" si="76"/>
        <v>0</v>
      </c>
      <c r="L125" s="100">
        <v>124</v>
      </c>
      <c r="M125" s="131">
        <f t="shared" ca="1" si="77"/>
        <v>49941</v>
      </c>
      <c r="N125" s="102">
        <f t="shared" si="78"/>
        <v>0</v>
      </c>
      <c r="O125" s="102">
        <f t="shared" si="79"/>
        <v>0</v>
      </c>
      <c r="P125" s="102">
        <f t="shared" si="56"/>
        <v>0</v>
      </c>
      <c r="Q125" s="102">
        <f t="shared" si="57"/>
        <v>0</v>
      </c>
      <c r="W125" s="100">
        <v>124</v>
      </c>
      <c r="X125" s="131">
        <f t="shared" ca="1" si="80"/>
        <v>49941</v>
      </c>
      <c r="Y125" s="102">
        <f t="shared" si="81"/>
        <v>0</v>
      </c>
      <c r="Z125" s="102">
        <f t="shared" si="82"/>
        <v>0</v>
      </c>
      <c r="AA125" s="102">
        <f t="shared" si="58"/>
        <v>0</v>
      </c>
      <c r="AB125" s="102">
        <f t="shared" si="59"/>
        <v>0</v>
      </c>
      <c r="AH125" s="100">
        <v>124</v>
      </c>
      <c r="AI125" s="131">
        <f t="shared" ca="1" si="83"/>
        <v>49941</v>
      </c>
      <c r="AJ125" s="102">
        <f t="shared" si="84"/>
        <v>0</v>
      </c>
      <c r="AK125" s="102">
        <f t="shared" si="85"/>
        <v>0</v>
      </c>
      <c r="AL125" s="102">
        <f t="shared" si="97"/>
        <v>0</v>
      </c>
      <c r="AM125" s="102">
        <f t="shared" si="60"/>
        <v>0</v>
      </c>
      <c r="AS125" s="530">
        <v>124</v>
      </c>
      <c r="AT125" s="531">
        <f t="shared" ca="1" si="86"/>
        <v>49941</v>
      </c>
      <c r="AU125" s="532">
        <f ca="1">IF(AU124=0,SUMIFS('Key Life Events'!$L$3:$L$28,'Key Life Events'!$H$3:$H$28,'Loan Amortization'!$AY$3,'Key Life Events'!$N$3:$N$28,'Loan Amortization'!AT125),AU124-AX124)</f>
        <v>0</v>
      </c>
      <c r="AV125" s="532">
        <f t="shared" ca="1" si="87"/>
        <v>0</v>
      </c>
      <c r="AW125" s="532">
        <f t="shared" ca="1" si="53"/>
        <v>0</v>
      </c>
      <c r="AX125" s="532">
        <f t="shared" ca="1" si="61"/>
        <v>0</v>
      </c>
      <c r="BC125" s="536">
        <f t="shared" ca="1" si="62"/>
        <v>2036</v>
      </c>
      <c r="BF125" s="530">
        <v>124</v>
      </c>
      <c r="BG125" s="531">
        <f t="shared" ca="1" si="88"/>
        <v>49941</v>
      </c>
      <c r="BH125" s="532">
        <f ca="1">IF(BH124=0,SUMIFS('Key Life Events'!$L$3:$L$28,'Key Life Events'!$H$3:$H$28,'Loan Amortization'!$BL$3,'Key Life Events'!$N$3:$N$28,'Loan Amortization'!BG125),BH124-BK124)</f>
        <v>0</v>
      </c>
      <c r="BI125" s="532">
        <f t="shared" ca="1" si="89"/>
        <v>0</v>
      </c>
      <c r="BJ125" s="532">
        <f t="shared" ca="1" si="90"/>
        <v>0</v>
      </c>
      <c r="BK125" s="532">
        <f t="shared" ca="1" si="63"/>
        <v>0</v>
      </c>
      <c r="BP125" s="536">
        <f t="shared" ca="1" si="64"/>
        <v>2036</v>
      </c>
      <c r="BQ125" s="535">
        <f ca="1"/>
        <v>0</v>
      </c>
      <c r="BS125" s="530">
        <v>124</v>
      </c>
      <c r="BT125" s="531">
        <f t="shared" ca="1" si="91"/>
        <v>49941</v>
      </c>
      <c r="BU125" s="532">
        <f ca="1">IF(BU124=0,SUMIFS('Key Life Events'!$L$3:$L$28,'Key Life Events'!$H$3:$H$28,'Loan Amortization'!$BY$3,'Key Life Events'!$N$3:$N$28,'Loan Amortization'!BT125),BU124-BX124)</f>
        <v>0</v>
      </c>
      <c r="BV125" s="532">
        <f t="shared" ca="1" si="96"/>
        <v>0</v>
      </c>
      <c r="BW125" s="532">
        <f t="shared" ca="1" si="92"/>
        <v>0</v>
      </c>
      <c r="BX125" s="532">
        <f t="shared" ca="1" si="65"/>
        <v>0</v>
      </c>
      <c r="CC125" s="536">
        <f t="shared" ca="1" si="66"/>
        <v>2036</v>
      </c>
      <c r="CD125" s="535">
        <f ca="1"/>
        <v>0</v>
      </c>
      <c r="CF125" s="530">
        <v>124</v>
      </c>
      <c r="CG125" s="531">
        <f t="shared" ca="1" si="93"/>
        <v>49941</v>
      </c>
      <c r="CH125" s="532">
        <f ca="1">IF(CH124=0,SUMIFS('Key Life Events'!$L$3:$L$28,'Key Life Events'!$H$3:$H$28,'Loan Amortization'!$CL$3,'Key Life Events'!$N$3:$N$28,'Loan Amortization'!CG125),CH124-CK124)</f>
        <v>0</v>
      </c>
      <c r="CI125" s="532">
        <f t="shared" ca="1" si="94"/>
        <v>0</v>
      </c>
      <c r="CJ125" s="532">
        <f t="shared" ca="1" si="95"/>
        <v>0</v>
      </c>
      <c r="CK125" s="532">
        <f t="shared" ca="1" si="67"/>
        <v>0</v>
      </c>
      <c r="CP125" s="536">
        <f t="shared" ca="1" si="68"/>
        <v>2036</v>
      </c>
      <c r="CQ125" s="535">
        <f ca="1"/>
        <v>0</v>
      </c>
      <c r="CS125" s="100">
        <f t="shared" si="69"/>
        <v>124</v>
      </c>
      <c r="CT125" s="102">
        <f t="shared" ca="1" si="70"/>
        <v>0</v>
      </c>
      <c r="CU125" s="102">
        <f t="shared" ca="1" si="71"/>
        <v>0</v>
      </c>
      <c r="CV125" s="511">
        <f t="shared" ca="1" si="72"/>
        <v>2036</v>
      </c>
      <c r="CW125" s="1">
        <f t="shared" si="98"/>
        <v>1477</v>
      </c>
      <c r="CX125" s="99">
        <f t="shared" si="99"/>
        <v>0</v>
      </c>
    </row>
    <row r="126" spans="1:102" x14ac:dyDescent="0.3">
      <c r="A126" s="100">
        <v>125</v>
      </c>
      <c r="B126" s="131">
        <f t="shared" si="73"/>
        <v>2950</v>
      </c>
      <c r="C126" s="102">
        <f t="shared" si="74"/>
        <v>0</v>
      </c>
      <c r="D126" s="102">
        <f t="shared" si="75"/>
        <v>0</v>
      </c>
      <c r="E126" s="102">
        <f t="shared" si="54"/>
        <v>0</v>
      </c>
      <c r="F126" s="102">
        <f t="shared" si="76"/>
        <v>0</v>
      </c>
      <c r="L126" s="100">
        <v>125</v>
      </c>
      <c r="M126" s="131">
        <f t="shared" ca="1" si="77"/>
        <v>49971</v>
      </c>
      <c r="N126" s="102">
        <f t="shared" si="78"/>
        <v>0</v>
      </c>
      <c r="O126" s="102">
        <f t="shared" si="79"/>
        <v>0</v>
      </c>
      <c r="P126" s="102">
        <f t="shared" si="56"/>
        <v>0</v>
      </c>
      <c r="Q126" s="102">
        <f t="shared" si="57"/>
        <v>0</v>
      </c>
      <c r="W126" s="100">
        <v>125</v>
      </c>
      <c r="X126" s="131">
        <f t="shared" ca="1" si="80"/>
        <v>49971</v>
      </c>
      <c r="Y126" s="102">
        <f t="shared" si="81"/>
        <v>0</v>
      </c>
      <c r="Z126" s="102">
        <f t="shared" si="82"/>
        <v>0</v>
      </c>
      <c r="AA126" s="102">
        <f t="shared" si="58"/>
        <v>0</v>
      </c>
      <c r="AB126" s="102">
        <f t="shared" si="59"/>
        <v>0</v>
      </c>
      <c r="AH126" s="100">
        <v>125</v>
      </c>
      <c r="AI126" s="131">
        <f t="shared" ca="1" si="83"/>
        <v>49971</v>
      </c>
      <c r="AJ126" s="102">
        <f t="shared" si="84"/>
        <v>0</v>
      </c>
      <c r="AK126" s="102">
        <f t="shared" si="85"/>
        <v>0</v>
      </c>
      <c r="AL126" s="102">
        <f t="shared" si="97"/>
        <v>0</v>
      </c>
      <c r="AM126" s="102">
        <f t="shared" si="60"/>
        <v>0</v>
      </c>
      <c r="AS126" s="530">
        <v>125</v>
      </c>
      <c r="AT126" s="531">
        <f t="shared" ca="1" si="86"/>
        <v>49971</v>
      </c>
      <c r="AU126" s="532">
        <f ca="1">IF(AU125=0,SUMIFS('Key Life Events'!$L$3:$L$28,'Key Life Events'!$H$3:$H$28,'Loan Amortization'!$AY$3,'Key Life Events'!$N$3:$N$28,'Loan Amortization'!AT126),AU125-AX125)</f>
        <v>0</v>
      </c>
      <c r="AV126" s="532">
        <f t="shared" ca="1" si="87"/>
        <v>0</v>
      </c>
      <c r="AW126" s="532">
        <f t="shared" ca="1" si="53"/>
        <v>0</v>
      </c>
      <c r="AX126" s="532">
        <f t="shared" ca="1" si="61"/>
        <v>0</v>
      </c>
      <c r="BC126" s="536">
        <f t="shared" ca="1" si="62"/>
        <v>2036</v>
      </c>
      <c r="BF126" s="530">
        <v>125</v>
      </c>
      <c r="BG126" s="531">
        <f t="shared" ca="1" si="88"/>
        <v>49971</v>
      </c>
      <c r="BH126" s="532">
        <f ca="1">IF(BH125=0,SUMIFS('Key Life Events'!$L$3:$L$28,'Key Life Events'!$H$3:$H$28,'Loan Amortization'!$BL$3,'Key Life Events'!$N$3:$N$28,'Loan Amortization'!BG126),BH125-BK125)</f>
        <v>0</v>
      </c>
      <c r="BI126" s="532">
        <f t="shared" ca="1" si="89"/>
        <v>0</v>
      </c>
      <c r="BJ126" s="532">
        <f t="shared" ca="1" si="90"/>
        <v>0</v>
      </c>
      <c r="BK126" s="532">
        <f t="shared" ca="1" si="63"/>
        <v>0</v>
      </c>
      <c r="BP126" s="536">
        <f t="shared" ca="1" si="64"/>
        <v>2036</v>
      </c>
      <c r="BQ126" s="535">
        <f ca="1"/>
        <v>0</v>
      </c>
      <c r="BS126" s="530">
        <v>125</v>
      </c>
      <c r="BT126" s="531">
        <f t="shared" ca="1" si="91"/>
        <v>49971</v>
      </c>
      <c r="BU126" s="532">
        <f ca="1">IF(BU125=0,SUMIFS('Key Life Events'!$L$3:$L$28,'Key Life Events'!$H$3:$H$28,'Loan Amortization'!$BY$3,'Key Life Events'!$N$3:$N$28,'Loan Amortization'!BT126),BU125-BX125)</f>
        <v>0</v>
      </c>
      <c r="BV126" s="532">
        <f t="shared" ca="1" si="96"/>
        <v>0</v>
      </c>
      <c r="BW126" s="532">
        <f t="shared" ca="1" si="92"/>
        <v>0</v>
      </c>
      <c r="BX126" s="532">
        <f t="shared" ca="1" si="65"/>
        <v>0</v>
      </c>
      <c r="CC126" s="536">
        <f t="shared" ca="1" si="66"/>
        <v>2036</v>
      </c>
      <c r="CD126" s="535">
        <f ca="1"/>
        <v>0</v>
      </c>
      <c r="CF126" s="530">
        <v>125</v>
      </c>
      <c r="CG126" s="531">
        <f t="shared" ca="1" si="93"/>
        <v>49971</v>
      </c>
      <c r="CH126" s="532">
        <f ca="1">IF(CH125=0,SUMIFS('Key Life Events'!$L$3:$L$28,'Key Life Events'!$H$3:$H$28,'Loan Amortization'!$CL$3,'Key Life Events'!$N$3:$N$28,'Loan Amortization'!CG126),CH125-CK125)</f>
        <v>0</v>
      </c>
      <c r="CI126" s="532">
        <f t="shared" ca="1" si="94"/>
        <v>0</v>
      </c>
      <c r="CJ126" s="532">
        <f t="shared" ca="1" si="95"/>
        <v>0</v>
      </c>
      <c r="CK126" s="532">
        <f t="shared" ca="1" si="67"/>
        <v>0</v>
      </c>
      <c r="CP126" s="536">
        <f t="shared" ca="1" si="68"/>
        <v>2036</v>
      </c>
      <c r="CQ126" s="535">
        <f ca="1"/>
        <v>0</v>
      </c>
      <c r="CS126" s="100">
        <f t="shared" si="69"/>
        <v>125</v>
      </c>
      <c r="CT126" s="102">
        <f t="shared" ca="1" si="70"/>
        <v>0</v>
      </c>
      <c r="CU126" s="102">
        <f t="shared" ca="1" si="71"/>
        <v>0</v>
      </c>
      <c r="CV126" s="511">
        <f t="shared" ca="1" si="72"/>
        <v>2036</v>
      </c>
      <c r="CW126" s="1">
        <f t="shared" si="98"/>
        <v>1489</v>
      </c>
      <c r="CX126" s="99">
        <f t="shared" si="99"/>
        <v>0</v>
      </c>
    </row>
    <row r="127" spans="1:102" x14ac:dyDescent="0.3">
      <c r="A127" s="100">
        <v>126</v>
      </c>
      <c r="B127" s="131">
        <f t="shared" si="73"/>
        <v>2981</v>
      </c>
      <c r="C127" s="102">
        <f t="shared" si="74"/>
        <v>0</v>
      </c>
      <c r="D127" s="102">
        <f t="shared" si="75"/>
        <v>0</v>
      </c>
      <c r="E127" s="102">
        <f t="shared" si="54"/>
        <v>0</v>
      </c>
      <c r="F127" s="102">
        <f t="shared" si="76"/>
        <v>0</v>
      </c>
      <c r="L127" s="100">
        <v>126</v>
      </c>
      <c r="M127" s="131">
        <f t="shared" ca="1" si="77"/>
        <v>50002</v>
      </c>
      <c r="N127" s="102">
        <f t="shared" si="78"/>
        <v>0</v>
      </c>
      <c r="O127" s="102">
        <f t="shared" si="79"/>
        <v>0</v>
      </c>
      <c r="P127" s="102">
        <f t="shared" si="56"/>
        <v>0</v>
      </c>
      <c r="Q127" s="102">
        <f t="shared" si="57"/>
        <v>0</v>
      </c>
      <c r="W127" s="100">
        <v>126</v>
      </c>
      <c r="X127" s="131">
        <f t="shared" ca="1" si="80"/>
        <v>50002</v>
      </c>
      <c r="Y127" s="102">
        <f t="shared" si="81"/>
        <v>0</v>
      </c>
      <c r="Z127" s="102">
        <f t="shared" si="82"/>
        <v>0</v>
      </c>
      <c r="AA127" s="102">
        <f t="shared" si="58"/>
        <v>0</v>
      </c>
      <c r="AB127" s="102">
        <f t="shared" si="59"/>
        <v>0</v>
      </c>
      <c r="AH127" s="100">
        <v>126</v>
      </c>
      <c r="AI127" s="131">
        <f t="shared" ca="1" si="83"/>
        <v>50002</v>
      </c>
      <c r="AJ127" s="102">
        <f t="shared" si="84"/>
        <v>0</v>
      </c>
      <c r="AK127" s="102">
        <f t="shared" si="85"/>
        <v>0</v>
      </c>
      <c r="AL127" s="102">
        <f t="shared" si="97"/>
        <v>0</v>
      </c>
      <c r="AM127" s="102">
        <f t="shared" si="60"/>
        <v>0</v>
      </c>
      <c r="AS127" s="530">
        <v>126</v>
      </c>
      <c r="AT127" s="531">
        <f t="shared" ca="1" si="86"/>
        <v>50002</v>
      </c>
      <c r="AU127" s="532">
        <f ca="1">IF(AU126=0,SUMIFS('Key Life Events'!$L$3:$L$28,'Key Life Events'!$H$3:$H$28,'Loan Amortization'!$AY$3,'Key Life Events'!$N$3:$N$28,'Loan Amortization'!AT127),AU126-AX126)</f>
        <v>0</v>
      </c>
      <c r="AV127" s="532">
        <f t="shared" ca="1" si="87"/>
        <v>0</v>
      </c>
      <c r="AW127" s="532">
        <f t="shared" ca="1" si="53"/>
        <v>0</v>
      </c>
      <c r="AX127" s="532">
        <f t="shared" ca="1" si="61"/>
        <v>0</v>
      </c>
      <c r="BC127" s="536">
        <f t="shared" ca="1" si="62"/>
        <v>2036</v>
      </c>
      <c r="BF127" s="530">
        <v>126</v>
      </c>
      <c r="BG127" s="531">
        <f t="shared" ca="1" si="88"/>
        <v>50002</v>
      </c>
      <c r="BH127" s="532">
        <f ca="1">IF(BH126=0,SUMIFS('Key Life Events'!$L$3:$L$28,'Key Life Events'!$H$3:$H$28,'Loan Amortization'!$BL$3,'Key Life Events'!$N$3:$N$28,'Loan Amortization'!BG127),BH126-BK126)</f>
        <v>0</v>
      </c>
      <c r="BI127" s="532">
        <f t="shared" ca="1" si="89"/>
        <v>0</v>
      </c>
      <c r="BJ127" s="532">
        <f t="shared" ca="1" si="90"/>
        <v>0</v>
      </c>
      <c r="BK127" s="532">
        <f t="shared" ca="1" si="63"/>
        <v>0</v>
      </c>
      <c r="BP127" s="536">
        <f t="shared" ca="1" si="64"/>
        <v>2036</v>
      </c>
      <c r="BQ127" s="535">
        <f ca="1"/>
        <v>0</v>
      </c>
      <c r="BS127" s="530">
        <v>126</v>
      </c>
      <c r="BT127" s="531">
        <f t="shared" ca="1" si="91"/>
        <v>50002</v>
      </c>
      <c r="BU127" s="532">
        <f ca="1">IF(BU126=0,SUMIFS('Key Life Events'!$L$3:$L$28,'Key Life Events'!$H$3:$H$28,'Loan Amortization'!$BY$3,'Key Life Events'!$N$3:$N$28,'Loan Amortization'!BT127),BU126-BX126)</f>
        <v>0</v>
      </c>
      <c r="BV127" s="532">
        <f t="shared" ca="1" si="96"/>
        <v>0</v>
      </c>
      <c r="BW127" s="532">
        <f t="shared" ca="1" si="92"/>
        <v>0</v>
      </c>
      <c r="BX127" s="532">
        <f t="shared" ca="1" si="65"/>
        <v>0</v>
      </c>
      <c r="CC127" s="536">
        <f t="shared" ca="1" si="66"/>
        <v>2036</v>
      </c>
      <c r="CD127" s="535">
        <f ca="1"/>
        <v>0</v>
      </c>
      <c r="CF127" s="530">
        <v>126</v>
      </c>
      <c r="CG127" s="531">
        <f t="shared" ca="1" si="93"/>
        <v>50002</v>
      </c>
      <c r="CH127" s="532">
        <f ca="1">IF(CH126=0,SUMIFS('Key Life Events'!$L$3:$L$28,'Key Life Events'!$H$3:$H$28,'Loan Amortization'!$CL$3,'Key Life Events'!$N$3:$N$28,'Loan Amortization'!CG127),CH126-CK126)</f>
        <v>0</v>
      </c>
      <c r="CI127" s="532">
        <f t="shared" ca="1" si="94"/>
        <v>0</v>
      </c>
      <c r="CJ127" s="532">
        <f t="shared" ca="1" si="95"/>
        <v>0</v>
      </c>
      <c r="CK127" s="532">
        <f t="shared" ca="1" si="67"/>
        <v>0</v>
      </c>
      <c r="CP127" s="536">
        <f t="shared" ca="1" si="68"/>
        <v>2036</v>
      </c>
      <c r="CQ127" s="535">
        <f ca="1"/>
        <v>0</v>
      </c>
      <c r="CS127" s="100">
        <f t="shared" si="69"/>
        <v>126</v>
      </c>
      <c r="CT127" s="102">
        <f t="shared" ca="1" si="70"/>
        <v>0</v>
      </c>
      <c r="CU127" s="102">
        <f t="shared" ca="1" si="71"/>
        <v>0</v>
      </c>
      <c r="CV127" s="511">
        <f t="shared" ca="1" si="72"/>
        <v>2036</v>
      </c>
      <c r="CW127" s="1">
        <f t="shared" si="98"/>
        <v>1501</v>
      </c>
      <c r="CX127" s="99">
        <f t="shared" si="99"/>
        <v>0</v>
      </c>
    </row>
    <row r="128" spans="1:102" x14ac:dyDescent="0.3">
      <c r="A128" s="100">
        <v>127</v>
      </c>
      <c r="B128" s="131">
        <f t="shared" si="73"/>
        <v>3010</v>
      </c>
      <c r="C128" s="102">
        <f t="shared" si="74"/>
        <v>0</v>
      </c>
      <c r="D128" s="102">
        <f t="shared" si="75"/>
        <v>0</v>
      </c>
      <c r="E128" s="102">
        <f t="shared" si="54"/>
        <v>0</v>
      </c>
      <c r="F128" s="102">
        <f t="shared" si="76"/>
        <v>0</v>
      </c>
      <c r="L128" s="100">
        <v>127</v>
      </c>
      <c r="M128" s="131">
        <f t="shared" ca="1" si="77"/>
        <v>50032</v>
      </c>
      <c r="N128" s="102">
        <f t="shared" si="78"/>
        <v>0</v>
      </c>
      <c r="O128" s="102">
        <f t="shared" si="79"/>
        <v>0</v>
      </c>
      <c r="P128" s="102">
        <f t="shared" si="56"/>
        <v>0</v>
      </c>
      <c r="Q128" s="102">
        <f t="shared" si="57"/>
        <v>0</v>
      </c>
      <c r="W128" s="100">
        <v>127</v>
      </c>
      <c r="X128" s="131">
        <f t="shared" ca="1" si="80"/>
        <v>50032</v>
      </c>
      <c r="Y128" s="102">
        <f t="shared" si="81"/>
        <v>0</v>
      </c>
      <c r="Z128" s="102">
        <f t="shared" si="82"/>
        <v>0</v>
      </c>
      <c r="AA128" s="102">
        <f t="shared" si="58"/>
        <v>0</v>
      </c>
      <c r="AB128" s="102">
        <f t="shared" si="59"/>
        <v>0</v>
      </c>
      <c r="AH128" s="100">
        <v>127</v>
      </c>
      <c r="AI128" s="131">
        <f t="shared" ca="1" si="83"/>
        <v>50032</v>
      </c>
      <c r="AJ128" s="102">
        <f t="shared" si="84"/>
        <v>0</v>
      </c>
      <c r="AK128" s="102">
        <f t="shared" si="85"/>
        <v>0</v>
      </c>
      <c r="AL128" s="102">
        <f t="shared" si="97"/>
        <v>0</v>
      </c>
      <c r="AM128" s="102">
        <f t="shared" si="60"/>
        <v>0</v>
      </c>
      <c r="AS128" s="530">
        <v>127</v>
      </c>
      <c r="AT128" s="531">
        <f t="shared" ca="1" si="86"/>
        <v>50032</v>
      </c>
      <c r="AU128" s="532">
        <f ca="1">IF(AU127=0,SUMIFS('Key Life Events'!$L$3:$L$28,'Key Life Events'!$H$3:$H$28,'Loan Amortization'!$AY$3,'Key Life Events'!$N$3:$N$28,'Loan Amortization'!AT128),AU127-AX127)</f>
        <v>0</v>
      </c>
      <c r="AV128" s="532">
        <f t="shared" ca="1" si="87"/>
        <v>0</v>
      </c>
      <c r="AW128" s="532">
        <f t="shared" ca="1" si="53"/>
        <v>0</v>
      </c>
      <c r="AX128" s="532">
        <f t="shared" ca="1" si="61"/>
        <v>0</v>
      </c>
      <c r="BC128" s="536">
        <f t="shared" ca="1" si="62"/>
        <v>2036</v>
      </c>
      <c r="BF128" s="530">
        <v>127</v>
      </c>
      <c r="BG128" s="531">
        <f t="shared" ca="1" si="88"/>
        <v>50032</v>
      </c>
      <c r="BH128" s="532">
        <f ca="1">IF(BH127=0,SUMIFS('Key Life Events'!$L$3:$L$28,'Key Life Events'!$H$3:$H$28,'Loan Amortization'!$BL$3,'Key Life Events'!$N$3:$N$28,'Loan Amortization'!BG128),BH127-BK127)</f>
        <v>0</v>
      </c>
      <c r="BI128" s="532">
        <f t="shared" ca="1" si="89"/>
        <v>0</v>
      </c>
      <c r="BJ128" s="532">
        <f t="shared" ca="1" si="90"/>
        <v>0</v>
      </c>
      <c r="BK128" s="532">
        <f t="shared" ca="1" si="63"/>
        <v>0</v>
      </c>
      <c r="BP128" s="536">
        <f t="shared" ca="1" si="64"/>
        <v>2036</v>
      </c>
      <c r="BQ128" s="535">
        <f ca="1"/>
        <v>0</v>
      </c>
      <c r="BS128" s="530">
        <v>127</v>
      </c>
      <c r="BT128" s="531">
        <f t="shared" ca="1" si="91"/>
        <v>50032</v>
      </c>
      <c r="BU128" s="532">
        <f ca="1">IF(BU127=0,SUMIFS('Key Life Events'!$L$3:$L$28,'Key Life Events'!$H$3:$H$28,'Loan Amortization'!$BY$3,'Key Life Events'!$N$3:$N$28,'Loan Amortization'!BT128),BU127-BX127)</f>
        <v>0</v>
      </c>
      <c r="BV128" s="532">
        <f t="shared" ca="1" si="96"/>
        <v>0</v>
      </c>
      <c r="BW128" s="532">
        <f t="shared" ca="1" si="92"/>
        <v>0</v>
      </c>
      <c r="BX128" s="532">
        <f t="shared" ca="1" si="65"/>
        <v>0</v>
      </c>
      <c r="CC128" s="536">
        <f t="shared" ca="1" si="66"/>
        <v>2036</v>
      </c>
      <c r="CD128" s="535">
        <f ca="1"/>
        <v>0</v>
      </c>
      <c r="CF128" s="530">
        <v>127</v>
      </c>
      <c r="CG128" s="531">
        <f t="shared" ca="1" si="93"/>
        <v>50032</v>
      </c>
      <c r="CH128" s="532">
        <f ca="1">IF(CH127=0,SUMIFS('Key Life Events'!$L$3:$L$28,'Key Life Events'!$H$3:$H$28,'Loan Amortization'!$CL$3,'Key Life Events'!$N$3:$N$28,'Loan Amortization'!CG128),CH127-CK127)</f>
        <v>0</v>
      </c>
      <c r="CI128" s="532">
        <f t="shared" ca="1" si="94"/>
        <v>0</v>
      </c>
      <c r="CJ128" s="532">
        <f t="shared" ca="1" si="95"/>
        <v>0</v>
      </c>
      <c r="CK128" s="532">
        <f t="shared" ca="1" si="67"/>
        <v>0</v>
      </c>
      <c r="CP128" s="536">
        <f t="shared" ca="1" si="68"/>
        <v>2036</v>
      </c>
      <c r="CQ128" s="535">
        <f ca="1"/>
        <v>0</v>
      </c>
      <c r="CS128" s="100">
        <f t="shared" si="69"/>
        <v>127</v>
      </c>
      <c r="CT128" s="102">
        <f t="shared" ca="1" si="70"/>
        <v>0</v>
      </c>
      <c r="CU128" s="102">
        <f t="shared" ca="1" si="71"/>
        <v>0</v>
      </c>
      <c r="CV128" s="511">
        <f t="shared" ca="1" si="72"/>
        <v>2036</v>
      </c>
      <c r="CW128" s="1">
        <f t="shared" si="98"/>
        <v>1513</v>
      </c>
      <c r="CX128" s="99">
        <f t="shared" si="99"/>
        <v>0</v>
      </c>
    </row>
    <row r="129" spans="1:102" x14ac:dyDescent="0.3">
      <c r="A129" s="100">
        <v>128</v>
      </c>
      <c r="B129" s="131">
        <f t="shared" si="73"/>
        <v>3041</v>
      </c>
      <c r="C129" s="102">
        <f t="shared" si="74"/>
        <v>0</v>
      </c>
      <c r="D129" s="102">
        <f t="shared" si="75"/>
        <v>0</v>
      </c>
      <c r="E129" s="102">
        <f t="shared" si="54"/>
        <v>0</v>
      </c>
      <c r="F129" s="102">
        <f t="shared" si="76"/>
        <v>0</v>
      </c>
      <c r="L129" s="100">
        <v>128</v>
      </c>
      <c r="M129" s="131">
        <f t="shared" ca="1" si="77"/>
        <v>50063</v>
      </c>
      <c r="N129" s="102">
        <f t="shared" si="78"/>
        <v>0</v>
      </c>
      <c r="O129" s="102">
        <f t="shared" si="79"/>
        <v>0</v>
      </c>
      <c r="P129" s="102">
        <f t="shared" si="56"/>
        <v>0</v>
      </c>
      <c r="Q129" s="102">
        <f t="shared" si="57"/>
        <v>0</v>
      </c>
      <c r="W129" s="100">
        <v>128</v>
      </c>
      <c r="X129" s="131">
        <f t="shared" ca="1" si="80"/>
        <v>50063</v>
      </c>
      <c r="Y129" s="102">
        <f t="shared" si="81"/>
        <v>0</v>
      </c>
      <c r="Z129" s="102">
        <f t="shared" si="82"/>
        <v>0</v>
      </c>
      <c r="AA129" s="102">
        <f t="shared" si="58"/>
        <v>0</v>
      </c>
      <c r="AB129" s="102">
        <f t="shared" si="59"/>
        <v>0</v>
      </c>
      <c r="AH129" s="100">
        <v>128</v>
      </c>
      <c r="AI129" s="131">
        <f t="shared" ca="1" si="83"/>
        <v>50063</v>
      </c>
      <c r="AJ129" s="102">
        <f t="shared" si="84"/>
        <v>0</v>
      </c>
      <c r="AK129" s="102">
        <f t="shared" si="85"/>
        <v>0</v>
      </c>
      <c r="AL129" s="102">
        <f t="shared" si="97"/>
        <v>0</v>
      </c>
      <c r="AM129" s="102">
        <f t="shared" si="60"/>
        <v>0</v>
      </c>
      <c r="AS129" s="530">
        <v>128</v>
      </c>
      <c r="AT129" s="531">
        <f t="shared" ca="1" si="86"/>
        <v>50063</v>
      </c>
      <c r="AU129" s="532">
        <f ca="1">IF(AU128=0,SUMIFS('Key Life Events'!$L$3:$L$28,'Key Life Events'!$H$3:$H$28,'Loan Amortization'!$AY$3,'Key Life Events'!$N$3:$N$28,'Loan Amortization'!AT129),AU128-AX128)</f>
        <v>0</v>
      </c>
      <c r="AV129" s="532">
        <f t="shared" ca="1" si="87"/>
        <v>0</v>
      </c>
      <c r="AW129" s="532">
        <f t="shared" ca="1" si="53"/>
        <v>0</v>
      </c>
      <c r="AX129" s="532">
        <f t="shared" ca="1" si="61"/>
        <v>0</v>
      </c>
      <c r="BC129" s="536">
        <f t="shared" ca="1" si="62"/>
        <v>2037</v>
      </c>
      <c r="BF129" s="530">
        <v>128</v>
      </c>
      <c r="BG129" s="531">
        <f t="shared" ca="1" si="88"/>
        <v>50063</v>
      </c>
      <c r="BH129" s="532">
        <f ca="1">IF(BH128=0,SUMIFS('Key Life Events'!$L$3:$L$28,'Key Life Events'!$H$3:$H$28,'Loan Amortization'!$BL$3,'Key Life Events'!$N$3:$N$28,'Loan Amortization'!BG129),BH128-BK128)</f>
        <v>0</v>
      </c>
      <c r="BI129" s="532">
        <f t="shared" ca="1" si="89"/>
        <v>0</v>
      </c>
      <c r="BJ129" s="532">
        <f t="shared" ca="1" si="90"/>
        <v>0</v>
      </c>
      <c r="BK129" s="532">
        <f t="shared" ca="1" si="63"/>
        <v>0</v>
      </c>
      <c r="BP129" s="536">
        <f t="shared" ca="1" si="64"/>
        <v>2037</v>
      </c>
      <c r="BQ129" s="535">
        <f ca="1"/>
        <v>0</v>
      </c>
      <c r="BS129" s="530">
        <v>128</v>
      </c>
      <c r="BT129" s="531">
        <f t="shared" ca="1" si="91"/>
        <v>50063</v>
      </c>
      <c r="BU129" s="532">
        <f ca="1">IF(BU128=0,SUMIFS('Key Life Events'!$L$3:$L$28,'Key Life Events'!$H$3:$H$28,'Loan Amortization'!$BY$3,'Key Life Events'!$N$3:$N$28,'Loan Amortization'!BT129),BU128-BX128)</f>
        <v>0</v>
      </c>
      <c r="BV129" s="532">
        <f t="shared" ca="1" si="96"/>
        <v>0</v>
      </c>
      <c r="BW129" s="532">
        <f t="shared" ca="1" si="92"/>
        <v>0</v>
      </c>
      <c r="BX129" s="532">
        <f t="shared" ca="1" si="65"/>
        <v>0</v>
      </c>
      <c r="CC129" s="536">
        <f t="shared" ca="1" si="66"/>
        <v>2037</v>
      </c>
      <c r="CD129" s="535">
        <f ca="1"/>
        <v>0</v>
      </c>
      <c r="CF129" s="530">
        <v>128</v>
      </c>
      <c r="CG129" s="531">
        <f t="shared" ca="1" si="93"/>
        <v>50063</v>
      </c>
      <c r="CH129" s="532">
        <f ca="1">IF(CH128=0,SUMIFS('Key Life Events'!$L$3:$L$28,'Key Life Events'!$H$3:$H$28,'Loan Amortization'!$CL$3,'Key Life Events'!$N$3:$N$28,'Loan Amortization'!CG129),CH128-CK128)</f>
        <v>0</v>
      </c>
      <c r="CI129" s="532">
        <f t="shared" ca="1" si="94"/>
        <v>0</v>
      </c>
      <c r="CJ129" s="532">
        <f t="shared" ca="1" si="95"/>
        <v>0</v>
      </c>
      <c r="CK129" s="532">
        <f t="shared" ca="1" si="67"/>
        <v>0</v>
      </c>
      <c r="CP129" s="536">
        <f t="shared" ca="1" si="68"/>
        <v>2037</v>
      </c>
      <c r="CQ129" s="535">
        <f ca="1"/>
        <v>0</v>
      </c>
      <c r="CS129" s="100">
        <f t="shared" si="69"/>
        <v>128</v>
      </c>
      <c r="CT129" s="102">
        <f t="shared" ca="1" si="70"/>
        <v>0</v>
      </c>
      <c r="CU129" s="102">
        <f t="shared" ca="1" si="71"/>
        <v>0</v>
      </c>
      <c r="CV129" s="511">
        <f t="shared" ca="1" si="72"/>
        <v>2037</v>
      </c>
      <c r="CW129" s="1">
        <f t="shared" si="98"/>
        <v>1525</v>
      </c>
      <c r="CX129" s="99">
        <f t="shared" si="99"/>
        <v>0</v>
      </c>
    </row>
    <row r="130" spans="1:102" x14ac:dyDescent="0.3">
      <c r="A130" s="100">
        <v>129</v>
      </c>
      <c r="B130" s="131">
        <f t="shared" si="73"/>
        <v>3071</v>
      </c>
      <c r="C130" s="102">
        <f t="shared" si="74"/>
        <v>0</v>
      </c>
      <c r="D130" s="102">
        <f t="shared" si="75"/>
        <v>0</v>
      </c>
      <c r="E130" s="102">
        <f t="shared" si="54"/>
        <v>0</v>
      </c>
      <c r="F130" s="102">
        <f t="shared" si="76"/>
        <v>0</v>
      </c>
      <c r="L130" s="100">
        <v>129</v>
      </c>
      <c r="M130" s="131">
        <f t="shared" ca="1" si="77"/>
        <v>50094</v>
      </c>
      <c r="N130" s="102">
        <f t="shared" si="78"/>
        <v>0</v>
      </c>
      <c r="O130" s="102">
        <f t="shared" si="79"/>
        <v>0</v>
      </c>
      <c r="P130" s="102">
        <f t="shared" si="56"/>
        <v>0</v>
      </c>
      <c r="Q130" s="102">
        <f t="shared" si="57"/>
        <v>0</v>
      </c>
      <c r="W130" s="100">
        <v>129</v>
      </c>
      <c r="X130" s="131">
        <f t="shared" ca="1" si="80"/>
        <v>50094</v>
      </c>
      <c r="Y130" s="102">
        <f t="shared" si="81"/>
        <v>0</v>
      </c>
      <c r="Z130" s="102">
        <f t="shared" si="82"/>
        <v>0</v>
      </c>
      <c r="AA130" s="102">
        <f t="shared" si="58"/>
        <v>0</v>
      </c>
      <c r="AB130" s="102">
        <f t="shared" si="59"/>
        <v>0</v>
      </c>
      <c r="AH130" s="100">
        <v>129</v>
      </c>
      <c r="AI130" s="131">
        <f t="shared" ca="1" si="83"/>
        <v>50094</v>
      </c>
      <c r="AJ130" s="102">
        <f t="shared" si="84"/>
        <v>0</v>
      </c>
      <c r="AK130" s="102">
        <f t="shared" si="85"/>
        <v>0</v>
      </c>
      <c r="AL130" s="102">
        <f t="shared" si="97"/>
        <v>0</v>
      </c>
      <c r="AM130" s="102">
        <f t="shared" si="60"/>
        <v>0</v>
      </c>
      <c r="AS130" s="530">
        <v>129</v>
      </c>
      <c r="AT130" s="531">
        <f t="shared" ca="1" si="86"/>
        <v>50094</v>
      </c>
      <c r="AU130" s="532">
        <f ca="1">IF(AU129=0,SUMIFS('Key Life Events'!$L$3:$L$28,'Key Life Events'!$H$3:$H$28,'Loan Amortization'!$AY$3,'Key Life Events'!$N$3:$N$28,'Loan Amortization'!AT130),AU129-AX129)</f>
        <v>0</v>
      </c>
      <c r="AV130" s="532">
        <f t="shared" ca="1" si="87"/>
        <v>0</v>
      </c>
      <c r="AW130" s="532">
        <f t="shared" ref="AW130:AW193" ca="1" si="100">(AU130*AZ$1)/12</f>
        <v>0</v>
      </c>
      <c r="AX130" s="532">
        <f t="shared" ca="1" si="61"/>
        <v>0</v>
      </c>
      <c r="BC130" s="536">
        <f t="shared" ca="1" si="62"/>
        <v>2037</v>
      </c>
      <c r="BF130" s="530">
        <v>129</v>
      </c>
      <c r="BG130" s="531">
        <f t="shared" ca="1" si="88"/>
        <v>50094</v>
      </c>
      <c r="BH130" s="532">
        <f ca="1">IF(BH129=0,SUMIFS('Key Life Events'!$L$3:$L$28,'Key Life Events'!$H$3:$H$28,'Loan Amortization'!$BL$3,'Key Life Events'!$N$3:$N$28,'Loan Amortization'!BG130),BH129-BK129)</f>
        <v>0</v>
      </c>
      <c r="BI130" s="532">
        <f t="shared" ca="1" si="89"/>
        <v>0</v>
      </c>
      <c r="BJ130" s="532">
        <f t="shared" ca="1" si="90"/>
        <v>0</v>
      </c>
      <c r="BK130" s="532">
        <f t="shared" ca="1" si="63"/>
        <v>0</v>
      </c>
      <c r="BP130" s="536">
        <f t="shared" ca="1" si="64"/>
        <v>2037</v>
      </c>
      <c r="BQ130" s="535">
        <f ca="1"/>
        <v>0</v>
      </c>
      <c r="BS130" s="530">
        <v>129</v>
      </c>
      <c r="BT130" s="531">
        <f t="shared" ca="1" si="91"/>
        <v>50094</v>
      </c>
      <c r="BU130" s="532">
        <f ca="1">IF(BU129=0,SUMIFS('Key Life Events'!$L$3:$L$28,'Key Life Events'!$H$3:$H$28,'Loan Amortization'!$BY$3,'Key Life Events'!$N$3:$N$28,'Loan Amortization'!BT130),BU129-BX129)</f>
        <v>0</v>
      </c>
      <c r="BV130" s="532">
        <f t="shared" ca="1" si="96"/>
        <v>0</v>
      </c>
      <c r="BW130" s="532">
        <f t="shared" ca="1" si="92"/>
        <v>0</v>
      </c>
      <c r="BX130" s="532">
        <f t="shared" ca="1" si="65"/>
        <v>0</v>
      </c>
      <c r="CC130" s="536">
        <f t="shared" ca="1" si="66"/>
        <v>2037</v>
      </c>
      <c r="CD130" s="535">
        <f ca="1"/>
        <v>0</v>
      </c>
      <c r="CF130" s="530">
        <v>129</v>
      </c>
      <c r="CG130" s="531">
        <f t="shared" ca="1" si="93"/>
        <v>50094</v>
      </c>
      <c r="CH130" s="532">
        <f ca="1">IF(CH129=0,SUMIFS('Key Life Events'!$L$3:$L$28,'Key Life Events'!$H$3:$H$28,'Loan Amortization'!$CL$3,'Key Life Events'!$N$3:$N$28,'Loan Amortization'!CG130),CH129-CK129)</f>
        <v>0</v>
      </c>
      <c r="CI130" s="532">
        <f t="shared" ca="1" si="94"/>
        <v>0</v>
      </c>
      <c r="CJ130" s="532">
        <f t="shared" ca="1" si="95"/>
        <v>0</v>
      </c>
      <c r="CK130" s="532">
        <f t="shared" ca="1" si="67"/>
        <v>0</v>
      </c>
      <c r="CP130" s="536">
        <f t="shared" ca="1" si="68"/>
        <v>2037</v>
      </c>
      <c r="CQ130" s="535">
        <f ca="1"/>
        <v>0</v>
      </c>
      <c r="CS130" s="100">
        <f t="shared" si="69"/>
        <v>129</v>
      </c>
      <c r="CT130" s="102">
        <f t="shared" ca="1" si="70"/>
        <v>0</v>
      </c>
      <c r="CU130" s="102">
        <f t="shared" ca="1" si="71"/>
        <v>0</v>
      </c>
      <c r="CV130" s="511">
        <f t="shared" ca="1" si="72"/>
        <v>2037</v>
      </c>
      <c r="CW130" s="1">
        <f t="shared" si="98"/>
        <v>1537</v>
      </c>
      <c r="CX130" s="99">
        <f t="shared" si="99"/>
        <v>0</v>
      </c>
    </row>
    <row r="131" spans="1:102" x14ac:dyDescent="0.3">
      <c r="A131" s="100">
        <v>130</v>
      </c>
      <c r="B131" s="131">
        <f t="shared" si="73"/>
        <v>3102</v>
      </c>
      <c r="C131" s="102">
        <f t="shared" si="74"/>
        <v>0</v>
      </c>
      <c r="D131" s="102">
        <f t="shared" si="75"/>
        <v>0</v>
      </c>
      <c r="E131" s="102">
        <f t="shared" ref="E131:E194" si="101">(C131*H$1)/12</f>
        <v>0</v>
      </c>
      <c r="F131" s="102">
        <f t="shared" si="76"/>
        <v>0</v>
      </c>
      <c r="L131" s="100">
        <v>130</v>
      </c>
      <c r="M131" s="131">
        <f t="shared" ca="1" si="77"/>
        <v>50122</v>
      </c>
      <c r="N131" s="102">
        <f t="shared" si="78"/>
        <v>0</v>
      </c>
      <c r="O131" s="102">
        <f t="shared" si="79"/>
        <v>0</v>
      </c>
      <c r="P131" s="102">
        <f t="shared" ref="P131:P194" si="102">(N131*S$1)/12</f>
        <v>0</v>
      </c>
      <c r="Q131" s="102">
        <f t="shared" ref="Q131:Q194" si="103">O131-P131</f>
        <v>0</v>
      </c>
      <c r="W131" s="100">
        <v>130</v>
      </c>
      <c r="X131" s="131">
        <f t="shared" ca="1" si="80"/>
        <v>50122</v>
      </c>
      <c r="Y131" s="102">
        <f t="shared" si="81"/>
        <v>0</v>
      </c>
      <c r="Z131" s="102">
        <f t="shared" si="82"/>
        <v>0</v>
      </c>
      <c r="AA131" s="102">
        <f t="shared" ref="AA131:AA194" si="104">(Y131*AD$1)/12</f>
        <v>0</v>
      </c>
      <c r="AB131" s="102">
        <f t="shared" ref="AB131:AB194" si="105">Z131-AA131</f>
        <v>0</v>
      </c>
      <c r="AH131" s="100">
        <v>130</v>
      </c>
      <c r="AI131" s="131">
        <f t="shared" ca="1" si="83"/>
        <v>50122</v>
      </c>
      <c r="AJ131" s="102">
        <f t="shared" si="84"/>
        <v>0</v>
      </c>
      <c r="AK131" s="102">
        <f t="shared" si="85"/>
        <v>0</v>
      </c>
      <c r="AL131" s="102">
        <f t="shared" si="97"/>
        <v>0</v>
      </c>
      <c r="AM131" s="102">
        <f t="shared" ref="AM131:AM194" si="106">AK131-AL131</f>
        <v>0</v>
      </c>
      <c r="AS131" s="530">
        <v>130</v>
      </c>
      <c r="AT131" s="531">
        <f t="shared" ca="1" si="86"/>
        <v>50122</v>
      </c>
      <c r="AU131" s="532">
        <f ca="1">IF(AU130=0,SUMIFS('Key Life Events'!$L$3:$L$28,'Key Life Events'!$H$3:$H$28,'Loan Amortization'!$AY$3,'Key Life Events'!$N$3:$N$28,'Loan Amortization'!AT131),AU130-AX130)</f>
        <v>0</v>
      </c>
      <c r="AV131" s="532">
        <f t="shared" ca="1" si="87"/>
        <v>0</v>
      </c>
      <c r="AW131" s="532">
        <f t="shared" ca="1" si="100"/>
        <v>0</v>
      </c>
      <c r="AX131" s="532">
        <f t="shared" ref="AX131:AX194" ca="1" si="107">AV131-AW131</f>
        <v>0</v>
      </c>
      <c r="BC131" s="536">
        <f t="shared" ref="BC131:BC194" ca="1" si="108">YEAR(AT131)</f>
        <v>2037</v>
      </c>
      <c r="BF131" s="530">
        <v>130</v>
      </c>
      <c r="BG131" s="531">
        <f t="shared" ca="1" si="88"/>
        <v>50122</v>
      </c>
      <c r="BH131" s="532">
        <f ca="1">IF(BH130=0,SUMIFS('Key Life Events'!$L$3:$L$28,'Key Life Events'!$H$3:$H$28,'Loan Amortization'!$BL$3,'Key Life Events'!$N$3:$N$28,'Loan Amortization'!BG131),BH130-BK130)</f>
        <v>0</v>
      </c>
      <c r="BI131" s="532">
        <f t="shared" ca="1" si="89"/>
        <v>0</v>
      </c>
      <c r="BJ131" s="532">
        <f t="shared" ca="1" si="90"/>
        <v>0</v>
      </c>
      <c r="BK131" s="532">
        <f t="shared" ref="BK131:BK194" ca="1" si="109">BI131-BJ131</f>
        <v>0</v>
      </c>
      <c r="BP131" s="536">
        <f t="shared" ref="BP131:BP194" ca="1" si="110">YEAR(BG131)</f>
        <v>2037</v>
      </c>
      <c r="BQ131" s="535">
        <f ca="1"/>
        <v>0</v>
      </c>
      <c r="BS131" s="530">
        <v>130</v>
      </c>
      <c r="BT131" s="531">
        <f t="shared" ca="1" si="91"/>
        <v>50122</v>
      </c>
      <c r="BU131" s="532">
        <f ca="1">IF(BU130=0,SUMIFS('Key Life Events'!$L$3:$L$28,'Key Life Events'!$H$3:$H$28,'Loan Amortization'!$BY$3,'Key Life Events'!$N$3:$N$28,'Loan Amortization'!BT131),BU130-BX130)</f>
        <v>0</v>
      </c>
      <c r="BV131" s="532">
        <f t="shared" ca="1" si="96"/>
        <v>0</v>
      </c>
      <c r="BW131" s="532">
        <f t="shared" ca="1" si="92"/>
        <v>0</v>
      </c>
      <c r="BX131" s="532">
        <f t="shared" ref="BX131:BX194" ca="1" si="111">BV131-BW131</f>
        <v>0</v>
      </c>
      <c r="CC131" s="536">
        <f t="shared" ref="CC131:CC194" ca="1" si="112">YEAR(BT131)</f>
        <v>2037</v>
      </c>
      <c r="CD131" s="535">
        <f ca="1"/>
        <v>0</v>
      </c>
      <c r="CF131" s="530">
        <v>130</v>
      </c>
      <c r="CG131" s="531">
        <f t="shared" ca="1" si="93"/>
        <v>50122</v>
      </c>
      <c r="CH131" s="532">
        <f ca="1">IF(CH130=0,SUMIFS('Key Life Events'!$L$3:$L$28,'Key Life Events'!$H$3:$H$28,'Loan Amortization'!$CL$3,'Key Life Events'!$N$3:$N$28,'Loan Amortization'!CG131),CH130-CK130)</f>
        <v>0</v>
      </c>
      <c r="CI131" s="532">
        <f t="shared" ca="1" si="94"/>
        <v>0</v>
      </c>
      <c r="CJ131" s="532">
        <f t="shared" ca="1" si="95"/>
        <v>0</v>
      </c>
      <c r="CK131" s="532">
        <f t="shared" ref="CK131:CK194" ca="1" si="113">CI131-CJ131</f>
        <v>0</v>
      </c>
      <c r="CP131" s="536">
        <f t="shared" ref="CP131:CP194" ca="1" si="114">YEAR(CG131)</f>
        <v>2037</v>
      </c>
      <c r="CQ131" s="535">
        <f ca="1"/>
        <v>0</v>
      </c>
      <c r="CS131" s="100">
        <f t="shared" ref="CS131:CS194" si="115">AH131</f>
        <v>130</v>
      </c>
      <c r="CT131" s="102">
        <f t="shared" ref="CT131:CT194" ca="1" si="116">C131+Y131+AJ131+N131+AU131+BH131+BU131+CH131</f>
        <v>0</v>
      </c>
      <c r="CU131" s="102">
        <f t="shared" ref="CU131:CU194" ca="1" si="117">D131+Z131+AK131+O131+AV131+BI131+BV131+CI131</f>
        <v>0</v>
      </c>
      <c r="CV131" s="511">
        <f t="shared" ref="CV131:CV194" ca="1" si="118">MAX(TEXT(B131,"yyyy"),TEXT(M131,"yyyy"),TEXT(X131,"yyyy"),TEXT(AT131,"yyyy"),TEXT(AI131,"yyyy"),TEXT(BG131,"yyyy"),TEXT(BT131,"yyyy"),TEXT(CG131,"yyyy"))</f>
        <v>2037</v>
      </c>
      <c r="CW131" s="1">
        <f t="shared" si="98"/>
        <v>1549</v>
      </c>
      <c r="CX131" s="99">
        <f t="shared" si="99"/>
        <v>0</v>
      </c>
    </row>
    <row r="132" spans="1:102" x14ac:dyDescent="0.3">
      <c r="A132" s="100">
        <v>131</v>
      </c>
      <c r="B132" s="131">
        <f t="shared" ref="B132:B195" si="119">IF(C131&lt;D131,,EDATE(B131,1))</f>
        <v>3132</v>
      </c>
      <c r="C132" s="102">
        <f t="shared" ref="C132:C195" si="120">IF(C131&lt;D131,0,C131-F131)</f>
        <v>0</v>
      </c>
      <c r="D132" s="102">
        <f t="shared" ref="D132:D195" si="121">IF(C132&lt;=D131,C132+E132,D$2)</f>
        <v>0</v>
      </c>
      <c r="E132" s="102">
        <f t="shared" si="101"/>
        <v>0</v>
      </c>
      <c r="F132" s="102">
        <f t="shared" ref="F132:F195" si="122">D132-E132</f>
        <v>0</v>
      </c>
      <c r="L132" s="100">
        <v>131</v>
      </c>
      <c r="M132" s="131">
        <f t="shared" ref="M132:M195" ca="1" si="123">IF(N131&lt;O131,,EDATE(M131,1))</f>
        <v>50153</v>
      </c>
      <c r="N132" s="102">
        <f t="shared" ref="N132:N195" si="124">IF(N131&lt;O131,0,N131-Q131)</f>
        <v>0</v>
      </c>
      <c r="O132" s="102">
        <f t="shared" ref="O132:O195" si="125">IF(N132&lt;=O131,N132+P132,O$2)</f>
        <v>0</v>
      </c>
      <c r="P132" s="102">
        <f t="shared" si="102"/>
        <v>0</v>
      </c>
      <c r="Q132" s="102">
        <f t="shared" si="103"/>
        <v>0</v>
      </c>
      <c r="W132" s="100">
        <v>131</v>
      </c>
      <c r="X132" s="131">
        <f t="shared" ref="X132:X195" ca="1" si="126">IF(Y131&lt;Z131,,EDATE(X131,1))</f>
        <v>50153</v>
      </c>
      <c r="Y132" s="102">
        <f t="shared" ref="Y132:Y195" si="127">IF(Y131&lt;Z131,0,Y131-AB131)</f>
        <v>0</v>
      </c>
      <c r="Z132" s="102">
        <f t="shared" ref="Z132:Z195" si="128">IF(Y132&lt;=Z131,Y132+AA132,Z$2)</f>
        <v>0</v>
      </c>
      <c r="AA132" s="102">
        <f t="shared" si="104"/>
        <v>0</v>
      </c>
      <c r="AB132" s="102">
        <f t="shared" si="105"/>
        <v>0</v>
      </c>
      <c r="AH132" s="100">
        <v>131</v>
      </c>
      <c r="AI132" s="131">
        <f t="shared" ref="AI132:AI195" ca="1" si="129">IF(AJ131&lt;AK131,,EDATE(AI131,1))</f>
        <v>50153</v>
      </c>
      <c r="AJ132" s="102">
        <f t="shared" ref="AJ132:AJ195" si="130">IF(AJ131&lt;AK131,0,AJ131-AM131)</f>
        <v>0</v>
      </c>
      <c r="AK132" s="102">
        <f t="shared" ref="AK132:AK195" si="131">IF(AJ132&lt;=AK131,AJ132+AL132,AK$2)</f>
        <v>0</v>
      </c>
      <c r="AL132" s="102">
        <f t="shared" si="97"/>
        <v>0</v>
      </c>
      <c r="AM132" s="102">
        <f t="shared" si="106"/>
        <v>0</v>
      </c>
      <c r="AS132" s="530">
        <v>131</v>
      </c>
      <c r="AT132" s="531">
        <f t="shared" ref="AT132:AT195" ca="1" si="132">IF(AU131&lt;AV131,,EDATE(AT131,1))</f>
        <v>50153</v>
      </c>
      <c r="AU132" s="532">
        <f ca="1">IF(AU131=0,SUMIFS('Key Life Events'!$L$3:$L$28,'Key Life Events'!$H$3:$H$28,'Loan Amortization'!$AY$3,'Key Life Events'!$N$3:$N$28,'Loan Amortization'!AT132),AU131-AX131)</f>
        <v>0</v>
      </c>
      <c r="AV132" s="532">
        <f t="shared" ref="AV132:AV195" ca="1" si="133">IF(AND(AU131=0,AU132&gt;0),PMT($AZ$1/12,$BB$1*12,-AU132,0,0),IF(AU132&lt;=AV131,AU132+AW132,AV131))</f>
        <v>0</v>
      </c>
      <c r="AW132" s="532">
        <f t="shared" ca="1" si="100"/>
        <v>0</v>
      </c>
      <c r="AX132" s="532">
        <f t="shared" ca="1" si="107"/>
        <v>0</v>
      </c>
      <c r="BC132" s="536">
        <f t="shared" ca="1" si="108"/>
        <v>2037</v>
      </c>
      <c r="BF132" s="530">
        <v>131</v>
      </c>
      <c r="BG132" s="531">
        <f t="shared" ref="BG132:BG195" ca="1" si="134">IF(BH131&lt;BI131,,EDATE(BG131,1))</f>
        <v>50153</v>
      </c>
      <c r="BH132" s="532">
        <f ca="1">IF(BH131=0,SUMIFS('Key Life Events'!$L$3:$L$28,'Key Life Events'!$H$3:$H$28,'Loan Amortization'!$BL$3,'Key Life Events'!$N$3:$N$28,'Loan Amortization'!BG132),BH131-BK131)</f>
        <v>0</v>
      </c>
      <c r="BI132" s="532">
        <f t="shared" ref="BI132:BI195" ca="1" si="135">IF(AND(BH131=0,BH132&gt;0),PMT(BM$1/12,BO$1*12,-BH132,0,0),IF(BH132&lt;=BI131,BH132+BJ132,BI131))</f>
        <v>0</v>
      </c>
      <c r="BJ132" s="532">
        <f t="shared" ref="BJ132:BJ195" ca="1" si="136">(BH132*BM$1)/12</f>
        <v>0</v>
      </c>
      <c r="BK132" s="532">
        <f t="shared" ca="1" si="109"/>
        <v>0</v>
      </c>
      <c r="BP132" s="536">
        <f t="shared" ca="1" si="110"/>
        <v>2037</v>
      </c>
      <c r="BQ132" s="535">
        <f ca="1"/>
        <v>0</v>
      </c>
      <c r="BS132" s="530">
        <v>131</v>
      </c>
      <c r="BT132" s="531">
        <f t="shared" ref="BT132:BT195" ca="1" si="137">IF(BU131&lt;BV131,,EDATE(BT131,1))</f>
        <v>50153</v>
      </c>
      <c r="BU132" s="532">
        <f ca="1">IF(BU131=0,SUMIFS('Key Life Events'!$L$3:$L$28,'Key Life Events'!$H$3:$H$28,'Loan Amortization'!$BY$3,'Key Life Events'!$N$3:$N$28,'Loan Amortization'!BT132),BU131-BX131)</f>
        <v>0</v>
      </c>
      <c r="BV132" s="532">
        <f t="shared" ca="1" si="96"/>
        <v>0</v>
      </c>
      <c r="BW132" s="532">
        <f t="shared" ref="BW132:BW195" ca="1" si="138">(BU132*BZ$1)/12</f>
        <v>0</v>
      </c>
      <c r="BX132" s="532">
        <f t="shared" ca="1" si="111"/>
        <v>0</v>
      </c>
      <c r="CC132" s="536">
        <f t="shared" ca="1" si="112"/>
        <v>2037</v>
      </c>
      <c r="CD132" s="535">
        <f ca="1"/>
        <v>0</v>
      </c>
      <c r="CF132" s="530">
        <v>131</v>
      </c>
      <c r="CG132" s="531">
        <f t="shared" ref="CG132:CG195" ca="1" si="139">IF(CH131&lt;CI131,,EDATE(CG131,1))</f>
        <v>50153</v>
      </c>
      <c r="CH132" s="532">
        <f ca="1">IF(CH131=0,SUMIFS('Key Life Events'!$L$3:$L$28,'Key Life Events'!$H$3:$H$28,'Loan Amortization'!$CL$3,'Key Life Events'!$N$3:$N$28,'Loan Amortization'!CG132),CH131-CK131)</f>
        <v>0</v>
      </c>
      <c r="CI132" s="532">
        <f t="shared" ref="CI132:CI195" ca="1" si="140">IF(AND(CH131=0,CH132&gt;0),PMT(CM$1/12,CO$1*12,-CH132,0,0),IF(CH132&lt;=CI131,CH132+CJ132,CI131))</f>
        <v>0</v>
      </c>
      <c r="CJ132" s="532">
        <f t="shared" ref="CJ132:CJ195" ca="1" si="141">(CH132*CM$1)/12</f>
        <v>0</v>
      </c>
      <c r="CK132" s="532">
        <f t="shared" ca="1" si="113"/>
        <v>0</v>
      </c>
      <c r="CP132" s="536">
        <f t="shared" ca="1" si="114"/>
        <v>2037</v>
      </c>
      <c r="CQ132" s="535">
        <f ca="1"/>
        <v>0</v>
      </c>
      <c r="CS132" s="100">
        <f t="shared" si="115"/>
        <v>131</v>
      </c>
      <c r="CT132" s="102">
        <f t="shared" ca="1" si="116"/>
        <v>0</v>
      </c>
      <c r="CU132" s="102">
        <f t="shared" ca="1" si="117"/>
        <v>0</v>
      </c>
      <c r="CV132" s="511">
        <f t="shared" ca="1" si="118"/>
        <v>2037</v>
      </c>
      <c r="CW132" s="1">
        <f t="shared" si="98"/>
        <v>1561</v>
      </c>
      <c r="CX132" s="99">
        <f t="shared" si="99"/>
        <v>0</v>
      </c>
    </row>
    <row r="133" spans="1:102" x14ac:dyDescent="0.3">
      <c r="A133" s="100">
        <v>132</v>
      </c>
      <c r="B133" s="131">
        <f t="shared" si="119"/>
        <v>3163</v>
      </c>
      <c r="C133" s="102">
        <f t="shared" si="120"/>
        <v>0</v>
      </c>
      <c r="D133" s="102">
        <f t="shared" si="121"/>
        <v>0</v>
      </c>
      <c r="E133" s="102">
        <f t="shared" si="101"/>
        <v>0</v>
      </c>
      <c r="F133" s="102">
        <f t="shared" si="122"/>
        <v>0</v>
      </c>
      <c r="L133" s="100">
        <v>132</v>
      </c>
      <c r="M133" s="131">
        <f t="shared" ca="1" si="123"/>
        <v>50183</v>
      </c>
      <c r="N133" s="102">
        <f t="shared" si="124"/>
        <v>0</v>
      </c>
      <c r="O133" s="102">
        <f t="shared" si="125"/>
        <v>0</v>
      </c>
      <c r="P133" s="102">
        <f t="shared" si="102"/>
        <v>0</v>
      </c>
      <c r="Q133" s="102">
        <f t="shared" si="103"/>
        <v>0</v>
      </c>
      <c r="W133" s="100">
        <v>132</v>
      </c>
      <c r="X133" s="131">
        <f t="shared" ca="1" si="126"/>
        <v>50183</v>
      </c>
      <c r="Y133" s="102">
        <f t="shared" si="127"/>
        <v>0</v>
      </c>
      <c r="Z133" s="102">
        <f t="shared" si="128"/>
        <v>0</v>
      </c>
      <c r="AA133" s="102">
        <f t="shared" si="104"/>
        <v>0</v>
      </c>
      <c r="AB133" s="102">
        <f t="shared" si="105"/>
        <v>0</v>
      </c>
      <c r="AH133" s="100">
        <v>132</v>
      </c>
      <c r="AI133" s="131">
        <f t="shared" ca="1" si="129"/>
        <v>50183</v>
      </c>
      <c r="AJ133" s="102">
        <f t="shared" si="130"/>
        <v>0</v>
      </c>
      <c r="AK133" s="102">
        <f t="shared" si="131"/>
        <v>0</v>
      </c>
      <c r="AL133" s="102">
        <f t="shared" si="97"/>
        <v>0</v>
      </c>
      <c r="AM133" s="102">
        <f t="shared" si="106"/>
        <v>0</v>
      </c>
      <c r="AS133" s="530">
        <v>132</v>
      </c>
      <c r="AT133" s="531">
        <f t="shared" ca="1" si="132"/>
        <v>50183</v>
      </c>
      <c r="AU133" s="532">
        <f ca="1">IF(AU132=0,SUMIFS('Key Life Events'!$L$3:$L$28,'Key Life Events'!$H$3:$H$28,'Loan Amortization'!$AY$3,'Key Life Events'!$N$3:$N$28,'Loan Amortization'!AT133),AU132-AX132)</f>
        <v>0</v>
      </c>
      <c r="AV133" s="532">
        <f t="shared" ca="1" si="133"/>
        <v>0</v>
      </c>
      <c r="AW133" s="532">
        <f t="shared" ca="1" si="100"/>
        <v>0</v>
      </c>
      <c r="AX133" s="532">
        <f t="shared" ca="1" si="107"/>
        <v>0</v>
      </c>
      <c r="BC133" s="536">
        <f t="shared" ca="1" si="108"/>
        <v>2037</v>
      </c>
      <c r="BF133" s="530">
        <v>132</v>
      </c>
      <c r="BG133" s="531">
        <f t="shared" ca="1" si="134"/>
        <v>50183</v>
      </c>
      <c r="BH133" s="532">
        <f ca="1">IF(BH132=0,SUMIFS('Key Life Events'!$L$3:$L$28,'Key Life Events'!$H$3:$H$28,'Loan Amortization'!$BL$3,'Key Life Events'!$N$3:$N$28,'Loan Amortization'!BG133),BH132-BK132)</f>
        <v>0</v>
      </c>
      <c r="BI133" s="532">
        <f t="shared" ca="1" si="135"/>
        <v>0</v>
      </c>
      <c r="BJ133" s="532">
        <f t="shared" ca="1" si="136"/>
        <v>0</v>
      </c>
      <c r="BK133" s="532">
        <f t="shared" ca="1" si="109"/>
        <v>0</v>
      </c>
      <c r="BP133" s="536">
        <f t="shared" ca="1" si="110"/>
        <v>2037</v>
      </c>
      <c r="BQ133" s="535">
        <f ca="1"/>
        <v>0</v>
      </c>
      <c r="BS133" s="530">
        <v>132</v>
      </c>
      <c r="BT133" s="531">
        <f t="shared" ca="1" si="137"/>
        <v>50183</v>
      </c>
      <c r="BU133" s="532">
        <f ca="1">IF(BU132=0,SUMIFS('Key Life Events'!$L$3:$L$28,'Key Life Events'!$H$3:$H$28,'Loan Amortization'!$BY$3,'Key Life Events'!$N$3:$N$28,'Loan Amortization'!BT133),BU132-BX132)</f>
        <v>0</v>
      </c>
      <c r="BV133" s="532">
        <f t="shared" ca="1" si="96"/>
        <v>0</v>
      </c>
      <c r="BW133" s="532">
        <f t="shared" ca="1" si="138"/>
        <v>0</v>
      </c>
      <c r="BX133" s="532">
        <f t="shared" ca="1" si="111"/>
        <v>0</v>
      </c>
      <c r="CC133" s="536">
        <f t="shared" ca="1" si="112"/>
        <v>2037</v>
      </c>
      <c r="CD133" s="535">
        <f ca="1"/>
        <v>0</v>
      </c>
      <c r="CF133" s="530">
        <v>132</v>
      </c>
      <c r="CG133" s="531">
        <f t="shared" ca="1" si="139"/>
        <v>50183</v>
      </c>
      <c r="CH133" s="532">
        <f ca="1">IF(CH132=0,SUMIFS('Key Life Events'!$L$3:$L$28,'Key Life Events'!$H$3:$H$28,'Loan Amortization'!$CL$3,'Key Life Events'!$N$3:$N$28,'Loan Amortization'!CG133),CH132-CK132)</f>
        <v>0</v>
      </c>
      <c r="CI133" s="532">
        <f t="shared" ca="1" si="140"/>
        <v>0</v>
      </c>
      <c r="CJ133" s="532">
        <f t="shared" ca="1" si="141"/>
        <v>0</v>
      </c>
      <c r="CK133" s="532">
        <f t="shared" ca="1" si="113"/>
        <v>0</v>
      </c>
      <c r="CP133" s="536">
        <f t="shared" ca="1" si="114"/>
        <v>2037</v>
      </c>
      <c r="CQ133" s="535">
        <f ca="1"/>
        <v>0</v>
      </c>
      <c r="CS133" s="100">
        <f t="shared" si="115"/>
        <v>132</v>
      </c>
      <c r="CT133" s="102">
        <f t="shared" ca="1" si="116"/>
        <v>0</v>
      </c>
      <c r="CU133" s="102">
        <f t="shared" ca="1" si="117"/>
        <v>0</v>
      </c>
      <c r="CV133" s="511">
        <f t="shared" ca="1" si="118"/>
        <v>2037</v>
      </c>
      <c r="CW133" s="1">
        <f t="shared" si="98"/>
        <v>1573</v>
      </c>
      <c r="CX133" s="99">
        <f t="shared" si="99"/>
        <v>0</v>
      </c>
    </row>
    <row r="134" spans="1:102" x14ac:dyDescent="0.3">
      <c r="A134" s="100">
        <v>133</v>
      </c>
      <c r="B134" s="131">
        <f t="shared" si="119"/>
        <v>3194</v>
      </c>
      <c r="C134" s="102">
        <f t="shared" si="120"/>
        <v>0</v>
      </c>
      <c r="D134" s="102">
        <f t="shared" si="121"/>
        <v>0</v>
      </c>
      <c r="E134" s="102">
        <f t="shared" si="101"/>
        <v>0</v>
      </c>
      <c r="F134" s="102">
        <f t="shared" si="122"/>
        <v>0</v>
      </c>
      <c r="L134" s="100">
        <v>133</v>
      </c>
      <c r="M134" s="131">
        <f t="shared" ca="1" si="123"/>
        <v>50214</v>
      </c>
      <c r="N134" s="102">
        <f t="shared" si="124"/>
        <v>0</v>
      </c>
      <c r="O134" s="102">
        <f t="shared" si="125"/>
        <v>0</v>
      </c>
      <c r="P134" s="102">
        <f t="shared" si="102"/>
        <v>0</v>
      </c>
      <c r="Q134" s="102">
        <f t="shared" si="103"/>
        <v>0</v>
      </c>
      <c r="W134" s="100">
        <v>133</v>
      </c>
      <c r="X134" s="131">
        <f t="shared" ca="1" si="126"/>
        <v>50214</v>
      </c>
      <c r="Y134" s="102">
        <f t="shared" si="127"/>
        <v>0</v>
      </c>
      <c r="Z134" s="102">
        <f t="shared" si="128"/>
        <v>0</v>
      </c>
      <c r="AA134" s="102">
        <f t="shared" si="104"/>
        <v>0</v>
      </c>
      <c r="AB134" s="102">
        <f t="shared" si="105"/>
        <v>0</v>
      </c>
      <c r="AH134" s="100">
        <v>133</v>
      </c>
      <c r="AI134" s="131">
        <f t="shared" ca="1" si="129"/>
        <v>50214</v>
      </c>
      <c r="AJ134" s="102">
        <f t="shared" si="130"/>
        <v>0</v>
      </c>
      <c r="AK134" s="102">
        <f t="shared" si="131"/>
        <v>0</v>
      </c>
      <c r="AL134" s="102">
        <f t="shared" si="97"/>
        <v>0</v>
      </c>
      <c r="AM134" s="102">
        <f t="shared" si="106"/>
        <v>0</v>
      </c>
      <c r="AS134" s="530">
        <v>133</v>
      </c>
      <c r="AT134" s="531">
        <f t="shared" ca="1" si="132"/>
        <v>50214</v>
      </c>
      <c r="AU134" s="532">
        <f ca="1">IF(AU133=0,SUMIFS('Key Life Events'!$L$3:$L$28,'Key Life Events'!$H$3:$H$28,'Loan Amortization'!$AY$3,'Key Life Events'!$N$3:$N$28,'Loan Amortization'!AT134),AU133-AX133)</f>
        <v>0</v>
      </c>
      <c r="AV134" s="532">
        <f t="shared" ca="1" si="133"/>
        <v>0</v>
      </c>
      <c r="AW134" s="532">
        <f t="shared" ca="1" si="100"/>
        <v>0</v>
      </c>
      <c r="AX134" s="532">
        <f t="shared" ca="1" si="107"/>
        <v>0</v>
      </c>
      <c r="BC134" s="536">
        <f t="shared" ca="1" si="108"/>
        <v>2037</v>
      </c>
      <c r="BF134" s="530">
        <v>133</v>
      </c>
      <c r="BG134" s="531">
        <f t="shared" ca="1" si="134"/>
        <v>50214</v>
      </c>
      <c r="BH134" s="532">
        <f ca="1">IF(BH133=0,SUMIFS('Key Life Events'!$L$3:$L$28,'Key Life Events'!$H$3:$H$28,'Loan Amortization'!$BL$3,'Key Life Events'!$N$3:$N$28,'Loan Amortization'!BG134),BH133-BK133)</f>
        <v>0</v>
      </c>
      <c r="BI134" s="532">
        <f t="shared" ca="1" si="135"/>
        <v>0</v>
      </c>
      <c r="BJ134" s="532">
        <f t="shared" ca="1" si="136"/>
        <v>0</v>
      </c>
      <c r="BK134" s="532">
        <f t="shared" ca="1" si="109"/>
        <v>0</v>
      </c>
      <c r="BP134" s="536">
        <f t="shared" ca="1" si="110"/>
        <v>2037</v>
      </c>
      <c r="BQ134" s="535">
        <f ca="1"/>
        <v>0</v>
      </c>
      <c r="BS134" s="530">
        <v>133</v>
      </c>
      <c r="BT134" s="531">
        <f t="shared" ca="1" si="137"/>
        <v>50214</v>
      </c>
      <c r="BU134" s="532">
        <f ca="1">IF(BU133=0,SUMIFS('Key Life Events'!$L$3:$L$28,'Key Life Events'!$H$3:$H$28,'Loan Amortization'!$BY$3,'Key Life Events'!$N$3:$N$28,'Loan Amortization'!BT134),BU133-BX133)</f>
        <v>0</v>
      </c>
      <c r="BV134" s="532">
        <f t="shared" ref="BV134:BV197" ca="1" si="142">IF(AND(BU133=0,BU134&gt;0),PMT(BZ$1/12,CB$1*12,-BU134,0,0),IF(BU134&lt;=BV133,BU134+BW134,BV133))</f>
        <v>0</v>
      </c>
      <c r="BW134" s="532">
        <f t="shared" ca="1" si="138"/>
        <v>0</v>
      </c>
      <c r="BX134" s="532">
        <f t="shared" ca="1" si="111"/>
        <v>0</v>
      </c>
      <c r="CC134" s="536">
        <f t="shared" ca="1" si="112"/>
        <v>2037</v>
      </c>
      <c r="CD134" s="535">
        <f ca="1"/>
        <v>0</v>
      </c>
      <c r="CF134" s="530">
        <v>133</v>
      </c>
      <c r="CG134" s="531">
        <f t="shared" ca="1" si="139"/>
        <v>50214</v>
      </c>
      <c r="CH134" s="532">
        <f ca="1">IF(CH133=0,SUMIFS('Key Life Events'!$L$3:$L$28,'Key Life Events'!$H$3:$H$28,'Loan Amortization'!$CL$3,'Key Life Events'!$N$3:$N$28,'Loan Amortization'!CG134),CH133-CK133)</f>
        <v>0</v>
      </c>
      <c r="CI134" s="532">
        <f t="shared" ca="1" si="140"/>
        <v>0</v>
      </c>
      <c r="CJ134" s="532">
        <f t="shared" ca="1" si="141"/>
        <v>0</v>
      </c>
      <c r="CK134" s="532">
        <f t="shared" ca="1" si="113"/>
        <v>0</v>
      </c>
      <c r="CP134" s="536">
        <f t="shared" ca="1" si="114"/>
        <v>2037</v>
      </c>
      <c r="CQ134" s="535">
        <f ca="1"/>
        <v>0</v>
      </c>
      <c r="CS134" s="100">
        <f t="shared" si="115"/>
        <v>133</v>
      </c>
      <c r="CT134" s="102">
        <f t="shared" ca="1" si="116"/>
        <v>0</v>
      </c>
      <c r="CU134" s="102">
        <f t="shared" ca="1" si="117"/>
        <v>0</v>
      </c>
      <c r="CV134" s="511">
        <f t="shared" ca="1" si="118"/>
        <v>2037</v>
      </c>
      <c r="CW134" s="1">
        <f t="shared" si="98"/>
        <v>1585</v>
      </c>
      <c r="CX134" s="99">
        <f t="shared" si="99"/>
        <v>0</v>
      </c>
    </row>
    <row r="135" spans="1:102" x14ac:dyDescent="0.3">
      <c r="A135" s="100">
        <v>134</v>
      </c>
      <c r="B135" s="131">
        <f t="shared" si="119"/>
        <v>3224</v>
      </c>
      <c r="C135" s="102">
        <f t="shared" si="120"/>
        <v>0</v>
      </c>
      <c r="D135" s="102">
        <f t="shared" si="121"/>
        <v>0</v>
      </c>
      <c r="E135" s="102">
        <f t="shared" si="101"/>
        <v>0</v>
      </c>
      <c r="F135" s="102">
        <f t="shared" si="122"/>
        <v>0</v>
      </c>
      <c r="L135" s="100">
        <v>134</v>
      </c>
      <c r="M135" s="131">
        <f t="shared" ca="1" si="123"/>
        <v>50244</v>
      </c>
      <c r="N135" s="102">
        <f t="shared" si="124"/>
        <v>0</v>
      </c>
      <c r="O135" s="102">
        <f t="shared" si="125"/>
        <v>0</v>
      </c>
      <c r="P135" s="102">
        <f t="shared" si="102"/>
        <v>0</v>
      </c>
      <c r="Q135" s="102">
        <f t="shared" si="103"/>
        <v>0</v>
      </c>
      <c r="W135" s="100">
        <v>134</v>
      </c>
      <c r="X135" s="131">
        <f t="shared" ca="1" si="126"/>
        <v>50244</v>
      </c>
      <c r="Y135" s="102">
        <f t="shared" si="127"/>
        <v>0</v>
      </c>
      <c r="Z135" s="102">
        <f t="shared" si="128"/>
        <v>0</v>
      </c>
      <c r="AA135" s="102">
        <f t="shared" si="104"/>
        <v>0</v>
      </c>
      <c r="AB135" s="102">
        <f t="shared" si="105"/>
        <v>0</v>
      </c>
      <c r="AH135" s="100">
        <v>134</v>
      </c>
      <c r="AI135" s="131">
        <f t="shared" ca="1" si="129"/>
        <v>50244</v>
      </c>
      <c r="AJ135" s="102">
        <f t="shared" si="130"/>
        <v>0</v>
      </c>
      <c r="AK135" s="102">
        <f t="shared" si="131"/>
        <v>0</v>
      </c>
      <c r="AL135" s="102">
        <f t="shared" si="97"/>
        <v>0</v>
      </c>
      <c r="AM135" s="102">
        <f t="shared" si="106"/>
        <v>0</v>
      </c>
      <c r="AS135" s="530">
        <v>134</v>
      </c>
      <c r="AT135" s="531">
        <f t="shared" ca="1" si="132"/>
        <v>50244</v>
      </c>
      <c r="AU135" s="532">
        <f ca="1">IF(AU134=0,SUMIFS('Key Life Events'!$L$3:$L$28,'Key Life Events'!$H$3:$H$28,'Loan Amortization'!$AY$3,'Key Life Events'!$N$3:$N$28,'Loan Amortization'!AT135),AU134-AX134)</f>
        <v>0</v>
      </c>
      <c r="AV135" s="532">
        <f t="shared" ca="1" si="133"/>
        <v>0</v>
      </c>
      <c r="AW135" s="532">
        <f t="shared" ca="1" si="100"/>
        <v>0</v>
      </c>
      <c r="AX135" s="532">
        <f t="shared" ca="1" si="107"/>
        <v>0</v>
      </c>
      <c r="BC135" s="536">
        <f t="shared" ca="1" si="108"/>
        <v>2037</v>
      </c>
      <c r="BF135" s="530">
        <v>134</v>
      </c>
      <c r="BG135" s="531">
        <f t="shared" ca="1" si="134"/>
        <v>50244</v>
      </c>
      <c r="BH135" s="532">
        <f ca="1">IF(BH134=0,SUMIFS('Key Life Events'!$L$3:$L$28,'Key Life Events'!$H$3:$H$28,'Loan Amortization'!$BL$3,'Key Life Events'!$N$3:$N$28,'Loan Amortization'!BG135),BH134-BK134)</f>
        <v>0</v>
      </c>
      <c r="BI135" s="532">
        <f t="shared" ca="1" si="135"/>
        <v>0</v>
      </c>
      <c r="BJ135" s="532">
        <f t="shared" ca="1" si="136"/>
        <v>0</v>
      </c>
      <c r="BK135" s="532">
        <f t="shared" ca="1" si="109"/>
        <v>0</v>
      </c>
      <c r="BP135" s="536">
        <f t="shared" ca="1" si="110"/>
        <v>2037</v>
      </c>
      <c r="BQ135" s="535">
        <f ca="1"/>
        <v>0</v>
      </c>
      <c r="BS135" s="530">
        <v>134</v>
      </c>
      <c r="BT135" s="531">
        <f t="shared" ca="1" si="137"/>
        <v>50244</v>
      </c>
      <c r="BU135" s="532">
        <f ca="1">IF(BU134=0,SUMIFS('Key Life Events'!$L$3:$L$28,'Key Life Events'!$H$3:$H$28,'Loan Amortization'!$BY$3,'Key Life Events'!$N$3:$N$28,'Loan Amortization'!BT135),BU134-BX134)</f>
        <v>0</v>
      </c>
      <c r="BV135" s="532">
        <f t="shared" ca="1" si="142"/>
        <v>0</v>
      </c>
      <c r="BW135" s="532">
        <f t="shared" ca="1" si="138"/>
        <v>0</v>
      </c>
      <c r="BX135" s="532">
        <f t="shared" ca="1" si="111"/>
        <v>0</v>
      </c>
      <c r="CC135" s="536">
        <f t="shared" ca="1" si="112"/>
        <v>2037</v>
      </c>
      <c r="CD135" s="535">
        <f ca="1"/>
        <v>0</v>
      </c>
      <c r="CF135" s="530">
        <v>134</v>
      </c>
      <c r="CG135" s="531">
        <f t="shared" ca="1" si="139"/>
        <v>50244</v>
      </c>
      <c r="CH135" s="532">
        <f ca="1">IF(CH134=0,SUMIFS('Key Life Events'!$L$3:$L$28,'Key Life Events'!$H$3:$H$28,'Loan Amortization'!$CL$3,'Key Life Events'!$N$3:$N$28,'Loan Amortization'!CG135),CH134-CK134)</f>
        <v>0</v>
      </c>
      <c r="CI135" s="532">
        <f t="shared" ca="1" si="140"/>
        <v>0</v>
      </c>
      <c r="CJ135" s="532">
        <f t="shared" ca="1" si="141"/>
        <v>0</v>
      </c>
      <c r="CK135" s="532">
        <f t="shared" ca="1" si="113"/>
        <v>0</v>
      </c>
      <c r="CP135" s="536">
        <f t="shared" ca="1" si="114"/>
        <v>2037</v>
      </c>
      <c r="CQ135" s="535">
        <f ca="1"/>
        <v>0</v>
      </c>
      <c r="CS135" s="100">
        <f t="shared" si="115"/>
        <v>134</v>
      </c>
      <c r="CT135" s="102">
        <f t="shared" ca="1" si="116"/>
        <v>0</v>
      </c>
      <c r="CU135" s="102">
        <f t="shared" ca="1" si="117"/>
        <v>0</v>
      </c>
      <c r="CV135" s="511">
        <f t="shared" ca="1" si="118"/>
        <v>2037</v>
      </c>
      <c r="CW135" s="1">
        <f t="shared" si="98"/>
        <v>1597</v>
      </c>
      <c r="CX135" s="99">
        <f t="shared" si="99"/>
        <v>0</v>
      </c>
    </row>
    <row r="136" spans="1:102" x14ac:dyDescent="0.3">
      <c r="A136" s="100">
        <v>135</v>
      </c>
      <c r="B136" s="131">
        <f t="shared" si="119"/>
        <v>3255</v>
      </c>
      <c r="C136" s="102">
        <f t="shared" si="120"/>
        <v>0</v>
      </c>
      <c r="D136" s="102">
        <f t="shared" si="121"/>
        <v>0</v>
      </c>
      <c r="E136" s="102">
        <f t="shared" si="101"/>
        <v>0</v>
      </c>
      <c r="F136" s="102">
        <f t="shared" si="122"/>
        <v>0</v>
      </c>
      <c r="L136" s="100">
        <v>135</v>
      </c>
      <c r="M136" s="131">
        <f t="shared" ca="1" si="123"/>
        <v>50275</v>
      </c>
      <c r="N136" s="102">
        <f t="shared" si="124"/>
        <v>0</v>
      </c>
      <c r="O136" s="102">
        <f t="shared" si="125"/>
        <v>0</v>
      </c>
      <c r="P136" s="102">
        <f t="shared" si="102"/>
        <v>0</v>
      </c>
      <c r="Q136" s="102">
        <f t="shared" si="103"/>
        <v>0</v>
      </c>
      <c r="W136" s="100">
        <v>135</v>
      </c>
      <c r="X136" s="131">
        <f t="shared" ca="1" si="126"/>
        <v>50275</v>
      </c>
      <c r="Y136" s="102">
        <f t="shared" si="127"/>
        <v>0</v>
      </c>
      <c r="Z136" s="102">
        <f t="shared" si="128"/>
        <v>0</v>
      </c>
      <c r="AA136" s="102">
        <f t="shared" si="104"/>
        <v>0</v>
      </c>
      <c r="AB136" s="102">
        <f t="shared" si="105"/>
        <v>0</v>
      </c>
      <c r="AH136" s="100">
        <v>135</v>
      </c>
      <c r="AI136" s="131">
        <f t="shared" ca="1" si="129"/>
        <v>50275</v>
      </c>
      <c r="AJ136" s="102">
        <f t="shared" si="130"/>
        <v>0</v>
      </c>
      <c r="AK136" s="102">
        <f t="shared" si="131"/>
        <v>0</v>
      </c>
      <c r="AL136" s="102">
        <f t="shared" ref="AL136:AL199" si="143">(AJ136*AO$1)/12</f>
        <v>0</v>
      </c>
      <c r="AM136" s="102">
        <f t="shared" si="106"/>
        <v>0</v>
      </c>
      <c r="AS136" s="530">
        <v>135</v>
      </c>
      <c r="AT136" s="531">
        <f t="shared" ca="1" si="132"/>
        <v>50275</v>
      </c>
      <c r="AU136" s="532">
        <f ca="1">IF(AU135=0,SUMIFS('Key Life Events'!$L$3:$L$28,'Key Life Events'!$H$3:$H$28,'Loan Amortization'!$AY$3,'Key Life Events'!$N$3:$N$28,'Loan Amortization'!AT136),AU135-AX135)</f>
        <v>0</v>
      </c>
      <c r="AV136" s="532">
        <f t="shared" ca="1" si="133"/>
        <v>0</v>
      </c>
      <c r="AW136" s="532">
        <f t="shared" ca="1" si="100"/>
        <v>0</v>
      </c>
      <c r="AX136" s="532">
        <f t="shared" ca="1" si="107"/>
        <v>0</v>
      </c>
      <c r="BC136" s="536">
        <f t="shared" ca="1" si="108"/>
        <v>2037</v>
      </c>
      <c r="BF136" s="530">
        <v>135</v>
      </c>
      <c r="BG136" s="531">
        <f t="shared" ca="1" si="134"/>
        <v>50275</v>
      </c>
      <c r="BH136" s="532">
        <f ca="1">IF(BH135=0,SUMIFS('Key Life Events'!$L$3:$L$28,'Key Life Events'!$H$3:$H$28,'Loan Amortization'!$BL$3,'Key Life Events'!$N$3:$N$28,'Loan Amortization'!BG136),BH135-BK135)</f>
        <v>0</v>
      </c>
      <c r="BI136" s="532">
        <f t="shared" ca="1" si="135"/>
        <v>0</v>
      </c>
      <c r="BJ136" s="532">
        <f t="shared" ca="1" si="136"/>
        <v>0</v>
      </c>
      <c r="BK136" s="532">
        <f t="shared" ca="1" si="109"/>
        <v>0</v>
      </c>
      <c r="BP136" s="536">
        <f t="shared" ca="1" si="110"/>
        <v>2037</v>
      </c>
      <c r="BQ136" s="535">
        <f ca="1"/>
        <v>0</v>
      </c>
      <c r="BS136" s="530">
        <v>135</v>
      </c>
      <c r="BT136" s="531">
        <f t="shared" ca="1" si="137"/>
        <v>50275</v>
      </c>
      <c r="BU136" s="532">
        <f ca="1">IF(BU135=0,SUMIFS('Key Life Events'!$L$3:$L$28,'Key Life Events'!$H$3:$H$28,'Loan Amortization'!$BY$3,'Key Life Events'!$N$3:$N$28,'Loan Amortization'!BT136),BU135-BX135)</f>
        <v>0</v>
      </c>
      <c r="BV136" s="532">
        <f t="shared" ca="1" si="142"/>
        <v>0</v>
      </c>
      <c r="BW136" s="532">
        <f t="shared" ca="1" si="138"/>
        <v>0</v>
      </c>
      <c r="BX136" s="532">
        <f t="shared" ca="1" si="111"/>
        <v>0</v>
      </c>
      <c r="CC136" s="536">
        <f t="shared" ca="1" si="112"/>
        <v>2037</v>
      </c>
      <c r="CD136" s="535">
        <f ca="1"/>
        <v>0</v>
      </c>
      <c r="CF136" s="530">
        <v>135</v>
      </c>
      <c r="CG136" s="531">
        <f t="shared" ca="1" si="139"/>
        <v>50275</v>
      </c>
      <c r="CH136" s="532">
        <f ca="1">IF(CH135=0,SUMIFS('Key Life Events'!$L$3:$L$28,'Key Life Events'!$H$3:$H$28,'Loan Amortization'!$CL$3,'Key Life Events'!$N$3:$N$28,'Loan Amortization'!CG136),CH135-CK135)</f>
        <v>0</v>
      </c>
      <c r="CI136" s="532">
        <f t="shared" ca="1" si="140"/>
        <v>0</v>
      </c>
      <c r="CJ136" s="532">
        <f t="shared" ca="1" si="141"/>
        <v>0</v>
      </c>
      <c r="CK136" s="532">
        <f t="shared" ca="1" si="113"/>
        <v>0</v>
      </c>
      <c r="CP136" s="536">
        <f t="shared" ca="1" si="114"/>
        <v>2037</v>
      </c>
      <c r="CQ136" s="535">
        <f ca="1"/>
        <v>0</v>
      </c>
      <c r="CS136" s="100">
        <f t="shared" si="115"/>
        <v>135</v>
      </c>
      <c r="CT136" s="102">
        <f t="shared" ca="1" si="116"/>
        <v>0</v>
      </c>
      <c r="CU136" s="102">
        <f t="shared" ca="1" si="117"/>
        <v>0</v>
      </c>
      <c r="CV136" s="511">
        <f t="shared" ca="1" si="118"/>
        <v>2037</v>
      </c>
      <c r="CW136" s="1">
        <f t="shared" si="98"/>
        <v>1609</v>
      </c>
      <c r="CX136" s="99">
        <f t="shared" si="99"/>
        <v>0</v>
      </c>
    </row>
    <row r="137" spans="1:102" x14ac:dyDescent="0.3">
      <c r="A137" s="100">
        <v>136</v>
      </c>
      <c r="B137" s="131">
        <f t="shared" si="119"/>
        <v>3285</v>
      </c>
      <c r="C137" s="102">
        <f t="shared" si="120"/>
        <v>0</v>
      </c>
      <c r="D137" s="102">
        <f t="shared" si="121"/>
        <v>0</v>
      </c>
      <c r="E137" s="102">
        <f t="shared" si="101"/>
        <v>0</v>
      </c>
      <c r="F137" s="102">
        <f t="shared" si="122"/>
        <v>0</v>
      </c>
      <c r="L137" s="100">
        <v>136</v>
      </c>
      <c r="M137" s="131">
        <f t="shared" ca="1" si="123"/>
        <v>50306</v>
      </c>
      <c r="N137" s="102">
        <f t="shared" si="124"/>
        <v>0</v>
      </c>
      <c r="O137" s="102">
        <f t="shared" si="125"/>
        <v>0</v>
      </c>
      <c r="P137" s="102">
        <f t="shared" si="102"/>
        <v>0</v>
      </c>
      <c r="Q137" s="102">
        <f t="shared" si="103"/>
        <v>0</v>
      </c>
      <c r="W137" s="100">
        <v>136</v>
      </c>
      <c r="X137" s="131">
        <f t="shared" ca="1" si="126"/>
        <v>50306</v>
      </c>
      <c r="Y137" s="102">
        <f t="shared" si="127"/>
        <v>0</v>
      </c>
      <c r="Z137" s="102">
        <f t="shared" si="128"/>
        <v>0</v>
      </c>
      <c r="AA137" s="102">
        <f t="shared" si="104"/>
        <v>0</v>
      </c>
      <c r="AB137" s="102">
        <f t="shared" si="105"/>
        <v>0</v>
      </c>
      <c r="AH137" s="100">
        <v>136</v>
      </c>
      <c r="AI137" s="131">
        <f t="shared" ca="1" si="129"/>
        <v>50306</v>
      </c>
      <c r="AJ137" s="102">
        <f t="shared" si="130"/>
        <v>0</v>
      </c>
      <c r="AK137" s="102">
        <f t="shared" si="131"/>
        <v>0</v>
      </c>
      <c r="AL137" s="102">
        <f t="shared" si="143"/>
        <v>0</v>
      </c>
      <c r="AM137" s="102">
        <f t="shared" si="106"/>
        <v>0</v>
      </c>
      <c r="AS137" s="530">
        <v>136</v>
      </c>
      <c r="AT137" s="531">
        <f t="shared" ca="1" si="132"/>
        <v>50306</v>
      </c>
      <c r="AU137" s="532">
        <f ca="1">IF(AU136=0,SUMIFS('Key Life Events'!$L$3:$L$28,'Key Life Events'!$H$3:$H$28,'Loan Amortization'!$AY$3,'Key Life Events'!$N$3:$N$28,'Loan Amortization'!AT137),AU136-AX136)</f>
        <v>0</v>
      </c>
      <c r="AV137" s="532">
        <f t="shared" ca="1" si="133"/>
        <v>0</v>
      </c>
      <c r="AW137" s="532">
        <f t="shared" ca="1" si="100"/>
        <v>0</v>
      </c>
      <c r="AX137" s="532">
        <f t="shared" ca="1" si="107"/>
        <v>0</v>
      </c>
      <c r="BC137" s="536">
        <f t="shared" ca="1" si="108"/>
        <v>2037</v>
      </c>
      <c r="BF137" s="530">
        <v>136</v>
      </c>
      <c r="BG137" s="531">
        <f t="shared" ca="1" si="134"/>
        <v>50306</v>
      </c>
      <c r="BH137" s="532">
        <f ca="1">IF(BH136=0,SUMIFS('Key Life Events'!$L$3:$L$28,'Key Life Events'!$H$3:$H$28,'Loan Amortization'!$BL$3,'Key Life Events'!$N$3:$N$28,'Loan Amortization'!BG137),BH136-BK136)</f>
        <v>0</v>
      </c>
      <c r="BI137" s="532">
        <f t="shared" ca="1" si="135"/>
        <v>0</v>
      </c>
      <c r="BJ137" s="532">
        <f t="shared" ca="1" si="136"/>
        <v>0</v>
      </c>
      <c r="BK137" s="532">
        <f t="shared" ca="1" si="109"/>
        <v>0</v>
      </c>
      <c r="BP137" s="536">
        <f t="shared" ca="1" si="110"/>
        <v>2037</v>
      </c>
      <c r="BQ137" s="535">
        <f ca="1"/>
        <v>0</v>
      </c>
      <c r="BS137" s="530">
        <v>136</v>
      </c>
      <c r="BT137" s="531">
        <f t="shared" ca="1" si="137"/>
        <v>50306</v>
      </c>
      <c r="BU137" s="532">
        <f ca="1">IF(BU136=0,SUMIFS('Key Life Events'!$L$3:$L$28,'Key Life Events'!$H$3:$H$28,'Loan Amortization'!$BY$3,'Key Life Events'!$N$3:$N$28,'Loan Amortization'!BT137),BU136-BX136)</f>
        <v>0</v>
      </c>
      <c r="BV137" s="532">
        <f t="shared" ca="1" si="142"/>
        <v>0</v>
      </c>
      <c r="BW137" s="532">
        <f t="shared" ca="1" si="138"/>
        <v>0</v>
      </c>
      <c r="BX137" s="532">
        <f t="shared" ca="1" si="111"/>
        <v>0</v>
      </c>
      <c r="CC137" s="536">
        <f t="shared" ca="1" si="112"/>
        <v>2037</v>
      </c>
      <c r="CD137" s="535">
        <f ca="1"/>
        <v>0</v>
      </c>
      <c r="CF137" s="530">
        <v>136</v>
      </c>
      <c r="CG137" s="531">
        <f t="shared" ca="1" si="139"/>
        <v>50306</v>
      </c>
      <c r="CH137" s="532">
        <f ca="1">IF(CH136=0,SUMIFS('Key Life Events'!$L$3:$L$28,'Key Life Events'!$H$3:$H$28,'Loan Amortization'!$CL$3,'Key Life Events'!$N$3:$N$28,'Loan Amortization'!CG137),CH136-CK136)</f>
        <v>0</v>
      </c>
      <c r="CI137" s="532">
        <f t="shared" ca="1" si="140"/>
        <v>0</v>
      </c>
      <c r="CJ137" s="532">
        <f t="shared" ca="1" si="141"/>
        <v>0</v>
      </c>
      <c r="CK137" s="532">
        <f t="shared" ca="1" si="113"/>
        <v>0</v>
      </c>
      <c r="CP137" s="536">
        <f t="shared" ca="1" si="114"/>
        <v>2037</v>
      </c>
      <c r="CQ137" s="535">
        <f ca="1"/>
        <v>0</v>
      </c>
      <c r="CS137" s="100">
        <f t="shared" si="115"/>
        <v>136</v>
      </c>
      <c r="CT137" s="102">
        <f t="shared" ca="1" si="116"/>
        <v>0</v>
      </c>
      <c r="CU137" s="102">
        <f t="shared" ca="1" si="117"/>
        <v>0</v>
      </c>
      <c r="CV137" s="511">
        <f t="shared" ca="1" si="118"/>
        <v>2037</v>
      </c>
      <c r="CW137" s="1">
        <f t="shared" si="98"/>
        <v>1621</v>
      </c>
      <c r="CX137" s="99">
        <f t="shared" si="99"/>
        <v>0</v>
      </c>
    </row>
    <row r="138" spans="1:102" x14ac:dyDescent="0.3">
      <c r="A138" s="100">
        <v>137</v>
      </c>
      <c r="B138" s="131">
        <f t="shared" si="119"/>
        <v>3316</v>
      </c>
      <c r="C138" s="102">
        <f t="shared" si="120"/>
        <v>0</v>
      </c>
      <c r="D138" s="102">
        <f t="shared" si="121"/>
        <v>0</v>
      </c>
      <c r="E138" s="102">
        <f t="shared" si="101"/>
        <v>0</v>
      </c>
      <c r="F138" s="102">
        <f t="shared" si="122"/>
        <v>0</v>
      </c>
      <c r="L138" s="100">
        <v>137</v>
      </c>
      <c r="M138" s="131">
        <f t="shared" ca="1" si="123"/>
        <v>50336</v>
      </c>
      <c r="N138" s="102">
        <f t="shared" si="124"/>
        <v>0</v>
      </c>
      <c r="O138" s="102">
        <f t="shared" si="125"/>
        <v>0</v>
      </c>
      <c r="P138" s="102">
        <f t="shared" si="102"/>
        <v>0</v>
      </c>
      <c r="Q138" s="102">
        <f t="shared" si="103"/>
        <v>0</v>
      </c>
      <c r="W138" s="100">
        <v>137</v>
      </c>
      <c r="X138" s="131">
        <f t="shared" ca="1" si="126"/>
        <v>50336</v>
      </c>
      <c r="Y138" s="102">
        <f t="shared" si="127"/>
        <v>0</v>
      </c>
      <c r="Z138" s="102">
        <f t="shared" si="128"/>
        <v>0</v>
      </c>
      <c r="AA138" s="102">
        <f t="shared" si="104"/>
        <v>0</v>
      </c>
      <c r="AB138" s="102">
        <f t="shared" si="105"/>
        <v>0</v>
      </c>
      <c r="AH138" s="100">
        <v>137</v>
      </c>
      <c r="AI138" s="131">
        <f t="shared" ca="1" si="129"/>
        <v>50336</v>
      </c>
      <c r="AJ138" s="102">
        <f t="shared" si="130"/>
        <v>0</v>
      </c>
      <c r="AK138" s="102">
        <f t="shared" si="131"/>
        <v>0</v>
      </c>
      <c r="AL138" s="102">
        <f t="shared" si="143"/>
        <v>0</v>
      </c>
      <c r="AM138" s="102">
        <f t="shared" si="106"/>
        <v>0</v>
      </c>
      <c r="AS138" s="530">
        <v>137</v>
      </c>
      <c r="AT138" s="531">
        <f t="shared" ca="1" si="132"/>
        <v>50336</v>
      </c>
      <c r="AU138" s="532">
        <f ca="1">IF(AU137=0,SUMIFS('Key Life Events'!$L$3:$L$28,'Key Life Events'!$H$3:$H$28,'Loan Amortization'!$AY$3,'Key Life Events'!$N$3:$N$28,'Loan Amortization'!AT138),AU137-AX137)</f>
        <v>0</v>
      </c>
      <c r="AV138" s="532">
        <f t="shared" ca="1" si="133"/>
        <v>0</v>
      </c>
      <c r="AW138" s="532">
        <f t="shared" ca="1" si="100"/>
        <v>0</v>
      </c>
      <c r="AX138" s="532">
        <f t="shared" ca="1" si="107"/>
        <v>0</v>
      </c>
      <c r="BC138" s="536">
        <f t="shared" ca="1" si="108"/>
        <v>2037</v>
      </c>
      <c r="BF138" s="530">
        <v>137</v>
      </c>
      <c r="BG138" s="531">
        <f t="shared" ca="1" si="134"/>
        <v>50336</v>
      </c>
      <c r="BH138" s="532">
        <f ca="1">IF(BH137=0,SUMIFS('Key Life Events'!$L$3:$L$28,'Key Life Events'!$H$3:$H$28,'Loan Amortization'!$BL$3,'Key Life Events'!$N$3:$N$28,'Loan Amortization'!BG138),BH137-BK137)</f>
        <v>0</v>
      </c>
      <c r="BI138" s="532">
        <f t="shared" ca="1" si="135"/>
        <v>0</v>
      </c>
      <c r="BJ138" s="532">
        <f t="shared" ca="1" si="136"/>
        <v>0</v>
      </c>
      <c r="BK138" s="532">
        <f t="shared" ca="1" si="109"/>
        <v>0</v>
      </c>
      <c r="BP138" s="536">
        <f t="shared" ca="1" si="110"/>
        <v>2037</v>
      </c>
      <c r="BQ138" s="535">
        <f ca="1"/>
        <v>0</v>
      </c>
      <c r="BS138" s="530">
        <v>137</v>
      </c>
      <c r="BT138" s="531">
        <f t="shared" ca="1" si="137"/>
        <v>50336</v>
      </c>
      <c r="BU138" s="532">
        <f ca="1">IF(BU137=0,SUMIFS('Key Life Events'!$L$3:$L$28,'Key Life Events'!$H$3:$H$28,'Loan Amortization'!$BY$3,'Key Life Events'!$N$3:$N$28,'Loan Amortization'!BT138),BU137-BX137)</f>
        <v>0</v>
      </c>
      <c r="BV138" s="532">
        <f t="shared" ca="1" si="142"/>
        <v>0</v>
      </c>
      <c r="BW138" s="532">
        <f t="shared" ca="1" si="138"/>
        <v>0</v>
      </c>
      <c r="BX138" s="532">
        <f t="shared" ca="1" si="111"/>
        <v>0</v>
      </c>
      <c r="CC138" s="536">
        <f t="shared" ca="1" si="112"/>
        <v>2037</v>
      </c>
      <c r="CD138" s="535">
        <f ca="1"/>
        <v>0</v>
      </c>
      <c r="CF138" s="530">
        <v>137</v>
      </c>
      <c r="CG138" s="531">
        <f t="shared" ca="1" si="139"/>
        <v>50336</v>
      </c>
      <c r="CH138" s="532">
        <f ca="1">IF(CH137=0,SUMIFS('Key Life Events'!$L$3:$L$28,'Key Life Events'!$H$3:$H$28,'Loan Amortization'!$CL$3,'Key Life Events'!$N$3:$N$28,'Loan Amortization'!CG138),CH137-CK137)</f>
        <v>0</v>
      </c>
      <c r="CI138" s="532">
        <f t="shared" ca="1" si="140"/>
        <v>0</v>
      </c>
      <c r="CJ138" s="532">
        <f t="shared" ca="1" si="141"/>
        <v>0</v>
      </c>
      <c r="CK138" s="532">
        <f t="shared" ca="1" si="113"/>
        <v>0</v>
      </c>
      <c r="CP138" s="536">
        <f t="shared" ca="1" si="114"/>
        <v>2037</v>
      </c>
      <c r="CQ138" s="535">
        <f ca="1"/>
        <v>0</v>
      </c>
      <c r="CS138" s="100">
        <f t="shared" si="115"/>
        <v>137</v>
      </c>
      <c r="CT138" s="102">
        <f t="shared" ca="1" si="116"/>
        <v>0</v>
      </c>
      <c r="CU138" s="102">
        <f t="shared" ca="1" si="117"/>
        <v>0</v>
      </c>
      <c r="CV138" s="511">
        <f t="shared" ca="1" si="118"/>
        <v>2037</v>
      </c>
      <c r="CW138" s="1">
        <f t="shared" si="98"/>
        <v>1633</v>
      </c>
      <c r="CX138" s="99">
        <f t="shared" si="99"/>
        <v>0</v>
      </c>
    </row>
    <row r="139" spans="1:102" x14ac:dyDescent="0.3">
      <c r="A139" s="100">
        <v>138</v>
      </c>
      <c r="B139" s="131">
        <f t="shared" si="119"/>
        <v>3347</v>
      </c>
      <c r="C139" s="102">
        <f t="shared" si="120"/>
        <v>0</v>
      </c>
      <c r="D139" s="102">
        <f t="shared" si="121"/>
        <v>0</v>
      </c>
      <c r="E139" s="102">
        <f t="shared" si="101"/>
        <v>0</v>
      </c>
      <c r="F139" s="102">
        <f t="shared" si="122"/>
        <v>0</v>
      </c>
      <c r="L139" s="100">
        <v>138</v>
      </c>
      <c r="M139" s="131">
        <f t="shared" ca="1" si="123"/>
        <v>50367</v>
      </c>
      <c r="N139" s="102">
        <f t="shared" si="124"/>
        <v>0</v>
      </c>
      <c r="O139" s="102">
        <f t="shared" si="125"/>
        <v>0</v>
      </c>
      <c r="P139" s="102">
        <f t="shared" si="102"/>
        <v>0</v>
      </c>
      <c r="Q139" s="102">
        <f t="shared" si="103"/>
        <v>0</v>
      </c>
      <c r="W139" s="100">
        <v>138</v>
      </c>
      <c r="X139" s="131">
        <f t="shared" ca="1" si="126"/>
        <v>50367</v>
      </c>
      <c r="Y139" s="102">
        <f t="shared" si="127"/>
        <v>0</v>
      </c>
      <c r="Z139" s="102">
        <f t="shared" si="128"/>
        <v>0</v>
      </c>
      <c r="AA139" s="102">
        <f t="shared" si="104"/>
        <v>0</v>
      </c>
      <c r="AB139" s="102">
        <f t="shared" si="105"/>
        <v>0</v>
      </c>
      <c r="AH139" s="100">
        <v>138</v>
      </c>
      <c r="AI139" s="131">
        <f t="shared" ca="1" si="129"/>
        <v>50367</v>
      </c>
      <c r="AJ139" s="102">
        <f t="shared" si="130"/>
        <v>0</v>
      </c>
      <c r="AK139" s="102">
        <f t="shared" si="131"/>
        <v>0</v>
      </c>
      <c r="AL139" s="102">
        <f t="shared" si="143"/>
        <v>0</v>
      </c>
      <c r="AM139" s="102">
        <f t="shared" si="106"/>
        <v>0</v>
      </c>
      <c r="AS139" s="530">
        <v>138</v>
      </c>
      <c r="AT139" s="531">
        <f t="shared" ca="1" si="132"/>
        <v>50367</v>
      </c>
      <c r="AU139" s="532">
        <f ca="1">IF(AU138=0,SUMIFS('Key Life Events'!$L$3:$L$28,'Key Life Events'!$H$3:$H$28,'Loan Amortization'!$AY$3,'Key Life Events'!$N$3:$N$28,'Loan Amortization'!AT139),AU138-AX138)</f>
        <v>0</v>
      </c>
      <c r="AV139" s="532">
        <f t="shared" ca="1" si="133"/>
        <v>0</v>
      </c>
      <c r="AW139" s="532">
        <f t="shared" ca="1" si="100"/>
        <v>0</v>
      </c>
      <c r="AX139" s="532">
        <f t="shared" ca="1" si="107"/>
        <v>0</v>
      </c>
      <c r="BC139" s="536">
        <f t="shared" ca="1" si="108"/>
        <v>2037</v>
      </c>
      <c r="BF139" s="530">
        <v>138</v>
      </c>
      <c r="BG139" s="531">
        <f t="shared" ca="1" si="134"/>
        <v>50367</v>
      </c>
      <c r="BH139" s="532">
        <f ca="1">IF(BH138=0,SUMIFS('Key Life Events'!$L$3:$L$28,'Key Life Events'!$H$3:$H$28,'Loan Amortization'!$BL$3,'Key Life Events'!$N$3:$N$28,'Loan Amortization'!BG139),BH138-BK138)</f>
        <v>0</v>
      </c>
      <c r="BI139" s="532">
        <f t="shared" ca="1" si="135"/>
        <v>0</v>
      </c>
      <c r="BJ139" s="532">
        <f t="shared" ca="1" si="136"/>
        <v>0</v>
      </c>
      <c r="BK139" s="532">
        <f t="shared" ca="1" si="109"/>
        <v>0</v>
      </c>
      <c r="BP139" s="536">
        <f t="shared" ca="1" si="110"/>
        <v>2037</v>
      </c>
      <c r="BQ139" s="535">
        <f ca="1"/>
        <v>0</v>
      </c>
      <c r="BS139" s="530">
        <v>138</v>
      </c>
      <c r="BT139" s="531">
        <f t="shared" ca="1" si="137"/>
        <v>50367</v>
      </c>
      <c r="BU139" s="532">
        <f ca="1">IF(BU138=0,SUMIFS('Key Life Events'!$L$3:$L$28,'Key Life Events'!$H$3:$H$28,'Loan Amortization'!$BY$3,'Key Life Events'!$N$3:$N$28,'Loan Amortization'!BT139),BU138-BX138)</f>
        <v>0</v>
      </c>
      <c r="BV139" s="532">
        <f t="shared" ca="1" si="142"/>
        <v>0</v>
      </c>
      <c r="BW139" s="532">
        <f t="shared" ca="1" si="138"/>
        <v>0</v>
      </c>
      <c r="BX139" s="532">
        <f t="shared" ca="1" si="111"/>
        <v>0</v>
      </c>
      <c r="CC139" s="536">
        <f t="shared" ca="1" si="112"/>
        <v>2037</v>
      </c>
      <c r="CD139" s="535">
        <f ca="1"/>
        <v>0</v>
      </c>
      <c r="CF139" s="530">
        <v>138</v>
      </c>
      <c r="CG139" s="531">
        <f t="shared" ca="1" si="139"/>
        <v>50367</v>
      </c>
      <c r="CH139" s="532">
        <f ca="1">IF(CH138=0,SUMIFS('Key Life Events'!$L$3:$L$28,'Key Life Events'!$H$3:$H$28,'Loan Amortization'!$CL$3,'Key Life Events'!$N$3:$N$28,'Loan Amortization'!CG139),CH138-CK138)</f>
        <v>0</v>
      </c>
      <c r="CI139" s="532">
        <f t="shared" ca="1" si="140"/>
        <v>0</v>
      </c>
      <c r="CJ139" s="532">
        <f t="shared" ca="1" si="141"/>
        <v>0</v>
      </c>
      <c r="CK139" s="532">
        <f t="shared" ca="1" si="113"/>
        <v>0</v>
      </c>
      <c r="CP139" s="536">
        <f t="shared" ca="1" si="114"/>
        <v>2037</v>
      </c>
      <c r="CQ139" s="535">
        <f ca="1"/>
        <v>0</v>
      </c>
      <c r="CS139" s="100">
        <f t="shared" si="115"/>
        <v>138</v>
      </c>
      <c r="CT139" s="102">
        <f t="shared" ca="1" si="116"/>
        <v>0</v>
      </c>
      <c r="CU139" s="102">
        <f t="shared" ca="1" si="117"/>
        <v>0</v>
      </c>
      <c r="CV139" s="511">
        <f t="shared" ca="1" si="118"/>
        <v>2037</v>
      </c>
      <c r="CW139" s="1">
        <f t="shared" si="98"/>
        <v>1645</v>
      </c>
      <c r="CX139" s="99">
        <f t="shared" si="99"/>
        <v>0</v>
      </c>
    </row>
    <row r="140" spans="1:102" x14ac:dyDescent="0.3">
      <c r="A140" s="100">
        <v>139</v>
      </c>
      <c r="B140" s="131">
        <f t="shared" si="119"/>
        <v>3375</v>
      </c>
      <c r="C140" s="102">
        <f t="shared" si="120"/>
        <v>0</v>
      </c>
      <c r="D140" s="102">
        <f t="shared" si="121"/>
        <v>0</v>
      </c>
      <c r="E140" s="102">
        <f t="shared" si="101"/>
        <v>0</v>
      </c>
      <c r="F140" s="102">
        <f t="shared" si="122"/>
        <v>0</v>
      </c>
      <c r="L140" s="100">
        <v>139</v>
      </c>
      <c r="M140" s="131">
        <f t="shared" ca="1" si="123"/>
        <v>50397</v>
      </c>
      <c r="N140" s="102">
        <f t="shared" si="124"/>
        <v>0</v>
      </c>
      <c r="O140" s="102">
        <f t="shared" si="125"/>
        <v>0</v>
      </c>
      <c r="P140" s="102">
        <f t="shared" si="102"/>
        <v>0</v>
      </c>
      <c r="Q140" s="102">
        <f t="shared" si="103"/>
        <v>0</v>
      </c>
      <c r="W140" s="100">
        <v>139</v>
      </c>
      <c r="X140" s="131">
        <f t="shared" ca="1" si="126"/>
        <v>50397</v>
      </c>
      <c r="Y140" s="102">
        <f t="shared" si="127"/>
        <v>0</v>
      </c>
      <c r="Z140" s="102">
        <f t="shared" si="128"/>
        <v>0</v>
      </c>
      <c r="AA140" s="102">
        <f t="shared" si="104"/>
        <v>0</v>
      </c>
      <c r="AB140" s="102">
        <f t="shared" si="105"/>
        <v>0</v>
      </c>
      <c r="AH140" s="100">
        <v>139</v>
      </c>
      <c r="AI140" s="131">
        <f t="shared" ca="1" si="129"/>
        <v>50397</v>
      </c>
      <c r="AJ140" s="102">
        <f t="shared" si="130"/>
        <v>0</v>
      </c>
      <c r="AK140" s="102">
        <f t="shared" si="131"/>
        <v>0</v>
      </c>
      <c r="AL140" s="102">
        <f t="shared" si="143"/>
        <v>0</v>
      </c>
      <c r="AM140" s="102">
        <f t="shared" si="106"/>
        <v>0</v>
      </c>
      <c r="AS140" s="530">
        <v>139</v>
      </c>
      <c r="AT140" s="531">
        <f t="shared" ca="1" si="132"/>
        <v>50397</v>
      </c>
      <c r="AU140" s="532">
        <f ca="1">IF(AU139=0,SUMIFS('Key Life Events'!$L$3:$L$28,'Key Life Events'!$H$3:$H$28,'Loan Amortization'!$AY$3,'Key Life Events'!$N$3:$N$28,'Loan Amortization'!AT140),AU139-AX139)</f>
        <v>0</v>
      </c>
      <c r="AV140" s="532">
        <f t="shared" ca="1" si="133"/>
        <v>0</v>
      </c>
      <c r="AW140" s="532">
        <f t="shared" ca="1" si="100"/>
        <v>0</v>
      </c>
      <c r="AX140" s="532">
        <f t="shared" ca="1" si="107"/>
        <v>0</v>
      </c>
      <c r="BC140" s="536">
        <f t="shared" ca="1" si="108"/>
        <v>2037</v>
      </c>
      <c r="BF140" s="530">
        <v>139</v>
      </c>
      <c r="BG140" s="531">
        <f t="shared" ca="1" si="134"/>
        <v>50397</v>
      </c>
      <c r="BH140" s="532">
        <f ca="1">IF(BH139=0,SUMIFS('Key Life Events'!$L$3:$L$28,'Key Life Events'!$H$3:$H$28,'Loan Amortization'!$BL$3,'Key Life Events'!$N$3:$N$28,'Loan Amortization'!BG140),BH139-BK139)</f>
        <v>0</v>
      </c>
      <c r="BI140" s="532">
        <f t="shared" ca="1" si="135"/>
        <v>0</v>
      </c>
      <c r="BJ140" s="532">
        <f t="shared" ca="1" si="136"/>
        <v>0</v>
      </c>
      <c r="BK140" s="532">
        <f t="shared" ca="1" si="109"/>
        <v>0</v>
      </c>
      <c r="BP140" s="536">
        <f t="shared" ca="1" si="110"/>
        <v>2037</v>
      </c>
      <c r="BQ140" s="535">
        <f ca="1"/>
        <v>0</v>
      </c>
      <c r="BS140" s="530">
        <v>139</v>
      </c>
      <c r="BT140" s="531">
        <f t="shared" ca="1" si="137"/>
        <v>50397</v>
      </c>
      <c r="BU140" s="532">
        <f ca="1">IF(BU139=0,SUMIFS('Key Life Events'!$L$3:$L$28,'Key Life Events'!$H$3:$H$28,'Loan Amortization'!$BY$3,'Key Life Events'!$N$3:$N$28,'Loan Amortization'!BT140),BU139-BX139)</f>
        <v>0</v>
      </c>
      <c r="BV140" s="532">
        <f t="shared" ca="1" si="142"/>
        <v>0</v>
      </c>
      <c r="BW140" s="532">
        <f t="shared" ca="1" si="138"/>
        <v>0</v>
      </c>
      <c r="BX140" s="532">
        <f t="shared" ca="1" si="111"/>
        <v>0</v>
      </c>
      <c r="CC140" s="536">
        <f t="shared" ca="1" si="112"/>
        <v>2037</v>
      </c>
      <c r="CD140" s="535">
        <f ca="1"/>
        <v>0</v>
      </c>
      <c r="CF140" s="530">
        <v>139</v>
      </c>
      <c r="CG140" s="531">
        <f t="shared" ca="1" si="139"/>
        <v>50397</v>
      </c>
      <c r="CH140" s="532">
        <f ca="1">IF(CH139=0,SUMIFS('Key Life Events'!$L$3:$L$28,'Key Life Events'!$H$3:$H$28,'Loan Amortization'!$CL$3,'Key Life Events'!$N$3:$N$28,'Loan Amortization'!CG140),CH139-CK139)</f>
        <v>0</v>
      </c>
      <c r="CI140" s="532">
        <f t="shared" ca="1" si="140"/>
        <v>0</v>
      </c>
      <c r="CJ140" s="532">
        <f t="shared" ca="1" si="141"/>
        <v>0</v>
      </c>
      <c r="CK140" s="532">
        <f t="shared" ca="1" si="113"/>
        <v>0</v>
      </c>
      <c r="CP140" s="536">
        <f t="shared" ca="1" si="114"/>
        <v>2037</v>
      </c>
      <c r="CQ140" s="535">
        <f ca="1"/>
        <v>0</v>
      </c>
      <c r="CS140" s="100">
        <f t="shared" si="115"/>
        <v>139</v>
      </c>
      <c r="CT140" s="102">
        <f t="shared" ca="1" si="116"/>
        <v>0</v>
      </c>
      <c r="CU140" s="102">
        <f t="shared" ca="1" si="117"/>
        <v>0</v>
      </c>
      <c r="CV140" s="511">
        <f t="shared" ca="1" si="118"/>
        <v>2037</v>
      </c>
      <c r="CW140" s="1">
        <f t="shared" si="98"/>
        <v>1657</v>
      </c>
      <c r="CX140" s="99">
        <f t="shared" si="99"/>
        <v>0</v>
      </c>
    </row>
    <row r="141" spans="1:102" x14ac:dyDescent="0.3">
      <c r="A141" s="100">
        <v>140</v>
      </c>
      <c r="B141" s="131">
        <f t="shared" si="119"/>
        <v>3406</v>
      </c>
      <c r="C141" s="102">
        <f t="shared" si="120"/>
        <v>0</v>
      </c>
      <c r="D141" s="102">
        <f t="shared" si="121"/>
        <v>0</v>
      </c>
      <c r="E141" s="102">
        <f t="shared" si="101"/>
        <v>0</v>
      </c>
      <c r="F141" s="102">
        <f t="shared" si="122"/>
        <v>0</v>
      </c>
      <c r="L141" s="100">
        <v>140</v>
      </c>
      <c r="M141" s="131">
        <f t="shared" ca="1" si="123"/>
        <v>50428</v>
      </c>
      <c r="N141" s="102">
        <f t="shared" si="124"/>
        <v>0</v>
      </c>
      <c r="O141" s="102">
        <f t="shared" si="125"/>
        <v>0</v>
      </c>
      <c r="P141" s="102">
        <f t="shared" si="102"/>
        <v>0</v>
      </c>
      <c r="Q141" s="102">
        <f t="shared" si="103"/>
        <v>0</v>
      </c>
      <c r="W141" s="100">
        <v>140</v>
      </c>
      <c r="X141" s="131">
        <f t="shared" ca="1" si="126"/>
        <v>50428</v>
      </c>
      <c r="Y141" s="102">
        <f t="shared" si="127"/>
        <v>0</v>
      </c>
      <c r="Z141" s="102">
        <f t="shared" si="128"/>
        <v>0</v>
      </c>
      <c r="AA141" s="102">
        <f t="shared" si="104"/>
        <v>0</v>
      </c>
      <c r="AB141" s="102">
        <f t="shared" si="105"/>
        <v>0</v>
      </c>
      <c r="AH141" s="100">
        <v>140</v>
      </c>
      <c r="AI141" s="131">
        <f t="shared" ca="1" si="129"/>
        <v>50428</v>
      </c>
      <c r="AJ141" s="102">
        <f t="shared" si="130"/>
        <v>0</v>
      </c>
      <c r="AK141" s="102">
        <f t="shared" si="131"/>
        <v>0</v>
      </c>
      <c r="AL141" s="102">
        <f t="shared" si="143"/>
        <v>0</v>
      </c>
      <c r="AM141" s="102">
        <f t="shared" si="106"/>
        <v>0</v>
      </c>
      <c r="AS141" s="530">
        <v>140</v>
      </c>
      <c r="AT141" s="531">
        <f t="shared" ca="1" si="132"/>
        <v>50428</v>
      </c>
      <c r="AU141" s="532">
        <f ca="1">IF(AU140=0,SUMIFS('Key Life Events'!$L$3:$L$28,'Key Life Events'!$H$3:$H$28,'Loan Amortization'!$AY$3,'Key Life Events'!$N$3:$N$28,'Loan Amortization'!AT141),AU140-AX140)</f>
        <v>0</v>
      </c>
      <c r="AV141" s="532">
        <f t="shared" ca="1" si="133"/>
        <v>0</v>
      </c>
      <c r="AW141" s="532">
        <f t="shared" ca="1" si="100"/>
        <v>0</v>
      </c>
      <c r="AX141" s="532">
        <f t="shared" ca="1" si="107"/>
        <v>0</v>
      </c>
      <c r="BC141" s="536">
        <f t="shared" ca="1" si="108"/>
        <v>2038</v>
      </c>
      <c r="BF141" s="530">
        <v>140</v>
      </c>
      <c r="BG141" s="531">
        <f t="shared" ca="1" si="134"/>
        <v>50428</v>
      </c>
      <c r="BH141" s="532">
        <f ca="1">IF(BH140=0,SUMIFS('Key Life Events'!$L$3:$L$28,'Key Life Events'!$H$3:$H$28,'Loan Amortization'!$BL$3,'Key Life Events'!$N$3:$N$28,'Loan Amortization'!BG141),BH140-BK140)</f>
        <v>0</v>
      </c>
      <c r="BI141" s="532">
        <f t="shared" ca="1" si="135"/>
        <v>0</v>
      </c>
      <c r="BJ141" s="532">
        <f t="shared" ca="1" si="136"/>
        <v>0</v>
      </c>
      <c r="BK141" s="532">
        <f t="shared" ca="1" si="109"/>
        <v>0</v>
      </c>
      <c r="BP141" s="536">
        <f t="shared" ca="1" si="110"/>
        <v>2038</v>
      </c>
      <c r="BQ141" s="535">
        <f ca="1"/>
        <v>0</v>
      </c>
      <c r="BS141" s="530">
        <v>140</v>
      </c>
      <c r="BT141" s="531">
        <f t="shared" ca="1" si="137"/>
        <v>50428</v>
      </c>
      <c r="BU141" s="532">
        <f ca="1">IF(BU140=0,SUMIFS('Key Life Events'!$L$3:$L$28,'Key Life Events'!$H$3:$H$28,'Loan Amortization'!$BY$3,'Key Life Events'!$N$3:$N$28,'Loan Amortization'!BT141),BU140-BX140)</f>
        <v>0</v>
      </c>
      <c r="BV141" s="532">
        <f t="shared" ca="1" si="142"/>
        <v>0</v>
      </c>
      <c r="BW141" s="532">
        <f t="shared" ca="1" si="138"/>
        <v>0</v>
      </c>
      <c r="BX141" s="532">
        <f t="shared" ca="1" si="111"/>
        <v>0</v>
      </c>
      <c r="CC141" s="536">
        <f t="shared" ca="1" si="112"/>
        <v>2038</v>
      </c>
      <c r="CD141" s="535">
        <f ca="1"/>
        <v>0</v>
      </c>
      <c r="CF141" s="530">
        <v>140</v>
      </c>
      <c r="CG141" s="531">
        <f t="shared" ca="1" si="139"/>
        <v>50428</v>
      </c>
      <c r="CH141" s="532">
        <f ca="1">IF(CH140=0,SUMIFS('Key Life Events'!$L$3:$L$28,'Key Life Events'!$H$3:$H$28,'Loan Amortization'!$CL$3,'Key Life Events'!$N$3:$N$28,'Loan Amortization'!CG141),CH140-CK140)</f>
        <v>0</v>
      </c>
      <c r="CI141" s="532">
        <f t="shared" ca="1" si="140"/>
        <v>0</v>
      </c>
      <c r="CJ141" s="532">
        <f t="shared" ca="1" si="141"/>
        <v>0</v>
      </c>
      <c r="CK141" s="532">
        <f t="shared" ca="1" si="113"/>
        <v>0</v>
      </c>
      <c r="CP141" s="536">
        <f t="shared" ca="1" si="114"/>
        <v>2038</v>
      </c>
      <c r="CQ141" s="535">
        <f ca="1"/>
        <v>0</v>
      </c>
      <c r="CS141" s="100">
        <f t="shared" si="115"/>
        <v>140</v>
      </c>
      <c r="CT141" s="102">
        <f t="shared" ca="1" si="116"/>
        <v>0</v>
      </c>
      <c r="CU141" s="102">
        <f t="shared" ca="1" si="117"/>
        <v>0</v>
      </c>
      <c r="CV141" s="511">
        <f t="shared" ca="1" si="118"/>
        <v>2038</v>
      </c>
      <c r="CW141" s="1">
        <f t="shared" si="98"/>
        <v>1669</v>
      </c>
      <c r="CX141" s="99">
        <f t="shared" si="99"/>
        <v>0</v>
      </c>
    </row>
    <row r="142" spans="1:102" x14ac:dyDescent="0.3">
      <c r="A142" s="100">
        <v>141</v>
      </c>
      <c r="B142" s="131">
        <f t="shared" si="119"/>
        <v>3436</v>
      </c>
      <c r="C142" s="102">
        <f t="shared" si="120"/>
        <v>0</v>
      </c>
      <c r="D142" s="102">
        <f t="shared" si="121"/>
        <v>0</v>
      </c>
      <c r="E142" s="102">
        <f t="shared" si="101"/>
        <v>0</v>
      </c>
      <c r="F142" s="102">
        <f t="shared" si="122"/>
        <v>0</v>
      </c>
      <c r="L142" s="100">
        <v>141</v>
      </c>
      <c r="M142" s="131">
        <f t="shared" ca="1" si="123"/>
        <v>50459</v>
      </c>
      <c r="N142" s="102">
        <f t="shared" si="124"/>
        <v>0</v>
      </c>
      <c r="O142" s="102">
        <f t="shared" si="125"/>
        <v>0</v>
      </c>
      <c r="P142" s="102">
        <f t="shared" si="102"/>
        <v>0</v>
      </c>
      <c r="Q142" s="102">
        <f t="shared" si="103"/>
        <v>0</v>
      </c>
      <c r="W142" s="100">
        <v>141</v>
      </c>
      <c r="X142" s="131">
        <f t="shared" ca="1" si="126"/>
        <v>50459</v>
      </c>
      <c r="Y142" s="102">
        <f t="shared" si="127"/>
        <v>0</v>
      </c>
      <c r="Z142" s="102">
        <f t="shared" si="128"/>
        <v>0</v>
      </c>
      <c r="AA142" s="102">
        <f t="shared" si="104"/>
        <v>0</v>
      </c>
      <c r="AB142" s="102">
        <f t="shared" si="105"/>
        <v>0</v>
      </c>
      <c r="AH142" s="100">
        <v>141</v>
      </c>
      <c r="AI142" s="131">
        <f t="shared" ca="1" si="129"/>
        <v>50459</v>
      </c>
      <c r="AJ142" s="102">
        <f t="shared" si="130"/>
        <v>0</v>
      </c>
      <c r="AK142" s="102">
        <f t="shared" si="131"/>
        <v>0</v>
      </c>
      <c r="AL142" s="102">
        <f t="shared" si="143"/>
        <v>0</v>
      </c>
      <c r="AM142" s="102">
        <f t="shared" si="106"/>
        <v>0</v>
      </c>
      <c r="AS142" s="530">
        <v>141</v>
      </c>
      <c r="AT142" s="531">
        <f t="shared" ca="1" si="132"/>
        <v>50459</v>
      </c>
      <c r="AU142" s="532">
        <f ca="1">IF(AU141=0,SUMIFS('Key Life Events'!$L$3:$L$28,'Key Life Events'!$H$3:$H$28,'Loan Amortization'!$AY$3,'Key Life Events'!$N$3:$N$28,'Loan Amortization'!AT142),AU141-AX141)</f>
        <v>0</v>
      </c>
      <c r="AV142" s="532">
        <f t="shared" ca="1" si="133"/>
        <v>0</v>
      </c>
      <c r="AW142" s="532">
        <f t="shared" ca="1" si="100"/>
        <v>0</v>
      </c>
      <c r="AX142" s="532">
        <f t="shared" ca="1" si="107"/>
        <v>0</v>
      </c>
      <c r="BC142" s="536">
        <f t="shared" ca="1" si="108"/>
        <v>2038</v>
      </c>
      <c r="BF142" s="530">
        <v>141</v>
      </c>
      <c r="BG142" s="531">
        <f t="shared" ca="1" si="134"/>
        <v>50459</v>
      </c>
      <c r="BH142" s="532">
        <f ca="1">IF(BH141=0,SUMIFS('Key Life Events'!$L$3:$L$28,'Key Life Events'!$H$3:$H$28,'Loan Amortization'!$BL$3,'Key Life Events'!$N$3:$N$28,'Loan Amortization'!BG142),BH141-BK141)</f>
        <v>0</v>
      </c>
      <c r="BI142" s="532">
        <f t="shared" ca="1" si="135"/>
        <v>0</v>
      </c>
      <c r="BJ142" s="532">
        <f t="shared" ca="1" si="136"/>
        <v>0</v>
      </c>
      <c r="BK142" s="532">
        <f t="shared" ca="1" si="109"/>
        <v>0</v>
      </c>
      <c r="BP142" s="536">
        <f t="shared" ca="1" si="110"/>
        <v>2038</v>
      </c>
      <c r="BQ142" s="535">
        <f ca="1"/>
        <v>0</v>
      </c>
      <c r="BS142" s="530">
        <v>141</v>
      </c>
      <c r="BT142" s="531">
        <f t="shared" ca="1" si="137"/>
        <v>50459</v>
      </c>
      <c r="BU142" s="532">
        <f ca="1">IF(BU141=0,SUMIFS('Key Life Events'!$L$3:$L$28,'Key Life Events'!$H$3:$H$28,'Loan Amortization'!$BY$3,'Key Life Events'!$N$3:$N$28,'Loan Amortization'!BT142),BU141-BX141)</f>
        <v>0</v>
      </c>
      <c r="BV142" s="532">
        <f t="shared" ca="1" si="142"/>
        <v>0</v>
      </c>
      <c r="BW142" s="532">
        <f t="shared" ca="1" si="138"/>
        <v>0</v>
      </c>
      <c r="BX142" s="532">
        <f t="shared" ca="1" si="111"/>
        <v>0</v>
      </c>
      <c r="CC142" s="536">
        <f t="shared" ca="1" si="112"/>
        <v>2038</v>
      </c>
      <c r="CD142" s="535">
        <f ca="1"/>
        <v>0</v>
      </c>
      <c r="CF142" s="530">
        <v>141</v>
      </c>
      <c r="CG142" s="531">
        <f t="shared" ca="1" si="139"/>
        <v>50459</v>
      </c>
      <c r="CH142" s="532">
        <f ca="1">IF(CH141=0,SUMIFS('Key Life Events'!$L$3:$L$28,'Key Life Events'!$H$3:$H$28,'Loan Amortization'!$CL$3,'Key Life Events'!$N$3:$N$28,'Loan Amortization'!CG142),CH141-CK141)</f>
        <v>0</v>
      </c>
      <c r="CI142" s="532">
        <f t="shared" ca="1" si="140"/>
        <v>0</v>
      </c>
      <c r="CJ142" s="532">
        <f t="shared" ca="1" si="141"/>
        <v>0</v>
      </c>
      <c r="CK142" s="532">
        <f t="shared" ca="1" si="113"/>
        <v>0</v>
      </c>
      <c r="CP142" s="536">
        <f t="shared" ca="1" si="114"/>
        <v>2038</v>
      </c>
      <c r="CQ142" s="535">
        <f ca="1"/>
        <v>0</v>
      </c>
      <c r="CS142" s="100">
        <f t="shared" si="115"/>
        <v>141</v>
      </c>
      <c r="CT142" s="102">
        <f t="shared" ca="1" si="116"/>
        <v>0</v>
      </c>
      <c r="CU142" s="102">
        <f t="shared" ca="1" si="117"/>
        <v>0</v>
      </c>
      <c r="CV142" s="511">
        <f t="shared" ca="1" si="118"/>
        <v>2038</v>
      </c>
      <c r="CW142" s="1">
        <f t="shared" si="98"/>
        <v>1681</v>
      </c>
      <c r="CX142" s="99">
        <f t="shared" si="99"/>
        <v>0</v>
      </c>
    </row>
    <row r="143" spans="1:102" x14ac:dyDescent="0.3">
      <c r="A143" s="100">
        <v>142</v>
      </c>
      <c r="B143" s="131">
        <f t="shared" si="119"/>
        <v>3467</v>
      </c>
      <c r="C143" s="102">
        <f t="shared" si="120"/>
        <v>0</v>
      </c>
      <c r="D143" s="102">
        <f t="shared" si="121"/>
        <v>0</v>
      </c>
      <c r="E143" s="102">
        <f t="shared" si="101"/>
        <v>0</v>
      </c>
      <c r="F143" s="102">
        <f t="shared" si="122"/>
        <v>0</v>
      </c>
      <c r="L143" s="100">
        <v>142</v>
      </c>
      <c r="M143" s="131">
        <f t="shared" ca="1" si="123"/>
        <v>50487</v>
      </c>
      <c r="N143" s="102">
        <f t="shared" si="124"/>
        <v>0</v>
      </c>
      <c r="O143" s="102">
        <f t="shared" si="125"/>
        <v>0</v>
      </c>
      <c r="P143" s="102">
        <f t="shared" si="102"/>
        <v>0</v>
      </c>
      <c r="Q143" s="102">
        <f t="shared" si="103"/>
        <v>0</v>
      </c>
      <c r="W143" s="100">
        <v>142</v>
      </c>
      <c r="X143" s="131">
        <f t="shared" ca="1" si="126"/>
        <v>50487</v>
      </c>
      <c r="Y143" s="102">
        <f t="shared" si="127"/>
        <v>0</v>
      </c>
      <c r="Z143" s="102">
        <f t="shared" si="128"/>
        <v>0</v>
      </c>
      <c r="AA143" s="102">
        <f t="shared" si="104"/>
        <v>0</v>
      </c>
      <c r="AB143" s="102">
        <f t="shared" si="105"/>
        <v>0</v>
      </c>
      <c r="AH143" s="100">
        <v>142</v>
      </c>
      <c r="AI143" s="131">
        <f t="shared" ca="1" si="129"/>
        <v>50487</v>
      </c>
      <c r="AJ143" s="102">
        <f t="shared" si="130"/>
        <v>0</v>
      </c>
      <c r="AK143" s="102">
        <f t="shared" si="131"/>
        <v>0</v>
      </c>
      <c r="AL143" s="102">
        <f t="shared" si="143"/>
        <v>0</v>
      </c>
      <c r="AM143" s="102">
        <f t="shared" si="106"/>
        <v>0</v>
      </c>
      <c r="AS143" s="530">
        <v>142</v>
      </c>
      <c r="AT143" s="531">
        <f t="shared" ca="1" si="132"/>
        <v>50487</v>
      </c>
      <c r="AU143" s="532">
        <f ca="1">IF(AU142=0,SUMIFS('Key Life Events'!$L$3:$L$28,'Key Life Events'!$H$3:$H$28,'Loan Amortization'!$AY$3,'Key Life Events'!$N$3:$N$28,'Loan Amortization'!AT143),AU142-AX142)</f>
        <v>0</v>
      </c>
      <c r="AV143" s="532">
        <f t="shared" ca="1" si="133"/>
        <v>0</v>
      </c>
      <c r="AW143" s="532">
        <f t="shared" ca="1" si="100"/>
        <v>0</v>
      </c>
      <c r="AX143" s="532">
        <f t="shared" ca="1" si="107"/>
        <v>0</v>
      </c>
      <c r="BC143" s="536">
        <f t="shared" ca="1" si="108"/>
        <v>2038</v>
      </c>
      <c r="BF143" s="530">
        <v>142</v>
      </c>
      <c r="BG143" s="531">
        <f t="shared" ca="1" si="134"/>
        <v>50487</v>
      </c>
      <c r="BH143" s="532">
        <f ca="1">IF(BH142=0,SUMIFS('Key Life Events'!$L$3:$L$28,'Key Life Events'!$H$3:$H$28,'Loan Amortization'!$BL$3,'Key Life Events'!$N$3:$N$28,'Loan Amortization'!BG143),BH142-BK142)</f>
        <v>0</v>
      </c>
      <c r="BI143" s="532">
        <f t="shared" ca="1" si="135"/>
        <v>0</v>
      </c>
      <c r="BJ143" s="532">
        <f t="shared" ca="1" si="136"/>
        <v>0</v>
      </c>
      <c r="BK143" s="532">
        <f t="shared" ca="1" si="109"/>
        <v>0</v>
      </c>
      <c r="BP143" s="536">
        <f t="shared" ca="1" si="110"/>
        <v>2038</v>
      </c>
      <c r="BQ143" s="535">
        <f ca="1"/>
        <v>0</v>
      </c>
      <c r="BS143" s="530">
        <v>142</v>
      </c>
      <c r="BT143" s="531">
        <f t="shared" ca="1" si="137"/>
        <v>50487</v>
      </c>
      <c r="BU143" s="532">
        <f ca="1">IF(BU142=0,SUMIFS('Key Life Events'!$L$3:$L$28,'Key Life Events'!$H$3:$H$28,'Loan Amortization'!$BY$3,'Key Life Events'!$N$3:$N$28,'Loan Amortization'!BT143),BU142-BX142)</f>
        <v>0</v>
      </c>
      <c r="BV143" s="532">
        <f t="shared" ca="1" si="142"/>
        <v>0</v>
      </c>
      <c r="BW143" s="532">
        <f t="shared" ca="1" si="138"/>
        <v>0</v>
      </c>
      <c r="BX143" s="532">
        <f t="shared" ca="1" si="111"/>
        <v>0</v>
      </c>
      <c r="CC143" s="536">
        <f t="shared" ca="1" si="112"/>
        <v>2038</v>
      </c>
      <c r="CD143" s="535">
        <f ca="1"/>
        <v>0</v>
      </c>
      <c r="CF143" s="530">
        <v>142</v>
      </c>
      <c r="CG143" s="531">
        <f t="shared" ca="1" si="139"/>
        <v>50487</v>
      </c>
      <c r="CH143" s="532">
        <f ca="1">IF(CH142=0,SUMIFS('Key Life Events'!$L$3:$L$28,'Key Life Events'!$H$3:$H$28,'Loan Amortization'!$CL$3,'Key Life Events'!$N$3:$N$28,'Loan Amortization'!CG143),CH142-CK142)</f>
        <v>0</v>
      </c>
      <c r="CI143" s="532">
        <f t="shared" ca="1" si="140"/>
        <v>0</v>
      </c>
      <c r="CJ143" s="532">
        <f t="shared" ca="1" si="141"/>
        <v>0</v>
      </c>
      <c r="CK143" s="532">
        <f t="shared" ca="1" si="113"/>
        <v>0</v>
      </c>
      <c r="CP143" s="536">
        <f t="shared" ca="1" si="114"/>
        <v>2038</v>
      </c>
      <c r="CQ143" s="535">
        <f ca="1"/>
        <v>0</v>
      </c>
      <c r="CS143" s="100">
        <f t="shared" si="115"/>
        <v>142</v>
      </c>
      <c r="CT143" s="102">
        <f t="shared" ca="1" si="116"/>
        <v>0</v>
      </c>
      <c r="CU143" s="102">
        <f t="shared" ca="1" si="117"/>
        <v>0</v>
      </c>
      <c r="CV143" s="511">
        <f t="shared" ca="1" si="118"/>
        <v>2038</v>
      </c>
      <c r="CW143" s="1">
        <f t="shared" si="98"/>
        <v>1693</v>
      </c>
      <c r="CX143" s="99">
        <f t="shared" si="99"/>
        <v>0</v>
      </c>
    </row>
    <row r="144" spans="1:102" x14ac:dyDescent="0.3">
      <c r="A144" s="100">
        <v>143</v>
      </c>
      <c r="B144" s="131">
        <f t="shared" si="119"/>
        <v>3497</v>
      </c>
      <c r="C144" s="102">
        <f t="shared" si="120"/>
        <v>0</v>
      </c>
      <c r="D144" s="102">
        <f t="shared" si="121"/>
        <v>0</v>
      </c>
      <c r="E144" s="102">
        <f t="shared" si="101"/>
        <v>0</v>
      </c>
      <c r="F144" s="102">
        <f t="shared" si="122"/>
        <v>0</v>
      </c>
      <c r="L144" s="100">
        <v>143</v>
      </c>
      <c r="M144" s="131">
        <f t="shared" ca="1" si="123"/>
        <v>50518</v>
      </c>
      <c r="N144" s="102">
        <f t="shared" si="124"/>
        <v>0</v>
      </c>
      <c r="O144" s="102">
        <f t="shared" si="125"/>
        <v>0</v>
      </c>
      <c r="P144" s="102">
        <f t="shared" si="102"/>
        <v>0</v>
      </c>
      <c r="Q144" s="102">
        <f t="shared" si="103"/>
        <v>0</v>
      </c>
      <c r="W144" s="100">
        <v>143</v>
      </c>
      <c r="X144" s="131">
        <f t="shared" ca="1" si="126"/>
        <v>50518</v>
      </c>
      <c r="Y144" s="102">
        <f t="shared" si="127"/>
        <v>0</v>
      </c>
      <c r="Z144" s="102">
        <f t="shared" si="128"/>
        <v>0</v>
      </c>
      <c r="AA144" s="102">
        <f t="shared" si="104"/>
        <v>0</v>
      </c>
      <c r="AB144" s="102">
        <f t="shared" si="105"/>
        <v>0</v>
      </c>
      <c r="AH144" s="100">
        <v>143</v>
      </c>
      <c r="AI144" s="131">
        <f t="shared" ca="1" si="129"/>
        <v>50518</v>
      </c>
      <c r="AJ144" s="102">
        <f t="shared" si="130"/>
        <v>0</v>
      </c>
      <c r="AK144" s="102">
        <f t="shared" si="131"/>
        <v>0</v>
      </c>
      <c r="AL144" s="102">
        <f t="shared" si="143"/>
        <v>0</v>
      </c>
      <c r="AM144" s="102">
        <f t="shared" si="106"/>
        <v>0</v>
      </c>
      <c r="AS144" s="530">
        <v>143</v>
      </c>
      <c r="AT144" s="531">
        <f t="shared" ca="1" si="132"/>
        <v>50518</v>
      </c>
      <c r="AU144" s="532">
        <f ca="1">IF(AU143=0,SUMIFS('Key Life Events'!$L$3:$L$28,'Key Life Events'!$H$3:$H$28,'Loan Amortization'!$AY$3,'Key Life Events'!$N$3:$N$28,'Loan Amortization'!AT144),AU143-AX143)</f>
        <v>0</v>
      </c>
      <c r="AV144" s="532">
        <f t="shared" ca="1" si="133"/>
        <v>0</v>
      </c>
      <c r="AW144" s="532">
        <f t="shared" ca="1" si="100"/>
        <v>0</v>
      </c>
      <c r="AX144" s="532">
        <f t="shared" ca="1" si="107"/>
        <v>0</v>
      </c>
      <c r="BC144" s="536">
        <f t="shared" ca="1" si="108"/>
        <v>2038</v>
      </c>
      <c r="BF144" s="530">
        <v>143</v>
      </c>
      <c r="BG144" s="531">
        <f t="shared" ca="1" si="134"/>
        <v>50518</v>
      </c>
      <c r="BH144" s="532">
        <f ca="1">IF(BH143=0,SUMIFS('Key Life Events'!$L$3:$L$28,'Key Life Events'!$H$3:$H$28,'Loan Amortization'!$BL$3,'Key Life Events'!$N$3:$N$28,'Loan Amortization'!BG144),BH143-BK143)</f>
        <v>0</v>
      </c>
      <c r="BI144" s="532">
        <f t="shared" ca="1" si="135"/>
        <v>0</v>
      </c>
      <c r="BJ144" s="532">
        <f t="shared" ca="1" si="136"/>
        <v>0</v>
      </c>
      <c r="BK144" s="532">
        <f t="shared" ca="1" si="109"/>
        <v>0</v>
      </c>
      <c r="BP144" s="536">
        <f t="shared" ca="1" si="110"/>
        <v>2038</v>
      </c>
      <c r="BQ144" s="535">
        <f ca="1"/>
        <v>0</v>
      </c>
      <c r="BS144" s="530">
        <v>143</v>
      </c>
      <c r="BT144" s="531">
        <f t="shared" ca="1" si="137"/>
        <v>50518</v>
      </c>
      <c r="BU144" s="532">
        <f ca="1">IF(BU143=0,SUMIFS('Key Life Events'!$L$3:$L$28,'Key Life Events'!$H$3:$H$28,'Loan Amortization'!$BY$3,'Key Life Events'!$N$3:$N$28,'Loan Amortization'!BT144),BU143-BX143)</f>
        <v>0</v>
      </c>
      <c r="BV144" s="532">
        <f t="shared" ca="1" si="142"/>
        <v>0</v>
      </c>
      <c r="BW144" s="532">
        <f t="shared" ca="1" si="138"/>
        <v>0</v>
      </c>
      <c r="BX144" s="532">
        <f t="shared" ca="1" si="111"/>
        <v>0</v>
      </c>
      <c r="CC144" s="536">
        <f t="shared" ca="1" si="112"/>
        <v>2038</v>
      </c>
      <c r="CD144" s="535">
        <f ca="1"/>
        <v>0</v>
      </c>
      <c r="CF144" s="530">
        <v>143</v>
      </c>
      <c r="CG144" s="531">
        <f t="shared" ca="1" si="139"/>
        <v>50518</v>
      </c>
      <c r="CH144" s="532">
        <f ca="1">IF(CH143=0,SUMIFS('Key Life Events'!$L$3:$L$28,'Key Life Events'!$H$3:$H$28,'Loan Amortization'!$CL$3,'Key Life Events'!$N$3:$N$28,'Loan Amortization'!CG144),CH143-CK143)</f>
        <v>0</v>
      </c>
      <c r="CI144" s="532">
        <f t="shared" ca="1" si="140"/>
        <v>0</v>
      </c>
      <c r="CJ144" s="532">
        <f t="shared" ca="1" si="141"/>
        <v>0</v>
      </c>
      <c r="CK144" s="532">
        <f t="shared" ca="1" si="113"/>
        <v>0</v>
      </c>
      <c r="CP144" s="536">
        <f t="shared" ca="1" si="114"/>
        <v>2038</v>
      </c>
      <c r="CQ144" s="535">
        <f ca="1"/>
        <v>0</v>
      </c>
      <c r="CS144" s="100">
        <f t="shared" si="115"/>
        <v>143</v>
      </c>
      <c r="CT144" s="102">
        <f t="shared" ca="1" si="116"/>
        <v>0</v>
      </c>
      <c r="CU144" s="102">
        <f t="shared" ca="1" si="117"/>
        <v>0</v>
      </c>
      <c r="CV144" s="511">
        <f t="shared" ca="1" si="118"/>
        <v>2038</v>
      </c>
      <c r="CW144" s="1">
        <f t="shared" si="98"/>
        <v>1705</v>
      </c>
      <c r="CX144" s="99">
        <f t="shared" si="99"/>
        <v>0</v>
      </c>
    </row>
    <row r="145" spans="1:102" x14ac:dyDescent="0.3">
      <c r="A145" s="100">
        <v>144</v>
      </c>
      <c r="B145" s="131">
        <f t="shared" si="119"/>
        <v>3528</v>
      </c>
      <c r="C145" s="102">
        <f t="shared" si="120"/>
        <v>0</v>
      </c>
      <c r="D145" s="102">
        <f t="shared" si="121"/>
        <v>0</v>
      </c>
      <c r="E145" s="102">
        <f t="shared" si="101"/>
        <v>0</v>
      </c>
      <c r="F145" s="102">
        <f t="shared" si="122"/>
        <v>0</v>
      </c>
      <c r="L145" s="100">
        <v>144</v>
      </c>
      <c r="M145" s="131">
        <f t="shared" ca="1" si="123"/>
        <v>50548</v>
      </c>
      <c r="N145" s="102">
        <f t="shared" si="124"/>
        <v>0</v>
      </c>
      <c r="O145" s="102">
        <f t="shared" si="125"/>
        <v>0</v>
      </c>
      <c r="P145" s="102">
        <f t="shared" si="102"/>
        <v>0</v>
      </c>
      <c r="Q145" s="102">
        <f t="shared" si="103"/>
        <v>0</v>
      </c>
      <c r="W145" s="100">
        <v>144</v>
      </c>
      <c r="X145" s="131">
        <f t="shared" ca="1" si="126"/>
        <v>50548</v>
      </c>
      <c r="Y145" s="102">
        <f t="shared" si="127"/>
        <v>0</v>
      </c>
      <c r="Z145" s="102">
        <f t="shared" si="128"/>
        <v>0</v>
      </c>
      <c r="AA145" s="102">
        <f t="shared" si="104"/>
        <v>0</v>
      </c>
      <c r="AB145" s="102">
        <f t="shared" si="105"/>
        <v>0</v>
      </c>
      <c r="AH145" s="100">
        <v>144</v>
      </c>
      <c r="AI145" s="131">
        <f t="shared" ca="1" si="129"/>
        <v>50548</v>
      </c>
      <c r="AJ145" s="102">
        <f t="shared" si="130"/>
        <v>0</v>
      </c>
      <c r="AK145" s="102">
        <f t="shared" si="131"/>
        <v>0</v>
      </c>
      <c r="AL145" s="102">
        <f t="shared" si="143"/>
        <v>0</v>
      </c>
      <c r="AM145" s="102">
        <f t="shared" si="106"/>
        <v>0</v>
      </c>
      <c r="AS145" s="530">
        <v>144</v>
      </c>
      <c r="AT145" s="531">
        <f t="shared" ca="1" si="132"/>
        <v>50548</v>
      </c>
      <c r="AU145" s="532">
        <f ca="1">IF(AU144=0,SUMIFS('Key Life Events'!$L$3:$L$28,'Key Life Events'!$H$3:$H$28,'Loan Amortization'!$AY$3,'Key Life Events'!$N$3:$N$28,'Loan Amortization'!AT145),AU144-AX144)</f>
        <v>0</v>
      </c>
      <c r="AV145" s="532">
        <f t="shared" ca="1" si="133"/>
        <v>0</v>
      </c>
      <c r="AW145" s="532">
        <f t="shared" ca="1" si="100"/>
        <v>0</v>
      </c>
      <c r="AX145" s="532">
        <f t="shared" ca="1" si="107"/>
        <v>0</v>
      </c>
      <c r="BC145" s="536">
        <f t="shared" ca="1" si="108"/>
        <v>2038</v>
      </c>
      <c r="BF145" s="530">
        <v>144</v>
      </c>
      <c r="BG145" s="531">
        <f t="shared" ca="1" si="134"/>
        <v>50548</v>
      </c>
      <c r="BH145" s="532">
        <f ca="1">IF(BH144=0,SUMIFS('Key Life Events'!$L$3:$L$28,'Key Life Events'!$H$3:$H$28,'Loan Amortization'!$BL$3,'Key Life Events'!$N$3:$N$28,'Loan Amortization'!BG145),BH144-BK144)</f>
        <v>0</v>
      </c>
      <c r="BI145" s="532">
        <f t="shared" ca="1" si="135"/>
        <v>0</v>
      </c>
      <c r="BJ145" s="532">
        <f t="shared" ca="1" si="136"/>
        <v>0</v>
      </c>
      <c r="BK145" s="532">
        <f t="shared" ca="1" si="109"/>
        <v>0</v>
      </c>
      <c r="BP145" s="536">
        <f t="shared" ca="1" si="110"/>
        <v>2038</v>
      </c>
      <c r="BQ145" s="535">
        <f ca="1"/>
        <v>0</v>
      </c>
      <c r="BS145" s="530">
        <v>144</v>
      </c>
      <c r="BT145" s="531">
        <f t="shared" ca="1" si="137"/>
        <v>50548</v>
      </c>
      <c r="BU145" s="532">
        <f ca="1">IF(BU144=0,SUMIFS('Key Life Events'!$L$3:$L$28,'Key Life Events'!$H$3:$H$28,'Loan Amortization'!$BY$3,'Key Life Events'!$N$3:$N$28,'Loan Amortization'!BT145),BU144-BX144)</f>
        <v>0</v>
      </c>
      <c r="BV145" s="532">
        <f t="shared" ca="1" si="142"/>
        <v>0</v>
      </c>
      <c r="BW145" s="532">
        <f t="shared" ca="1" si="138"/>
        <v>0</v>
      </c>
      <c r="BX145" s="532">
        <f t="shared" ca="1" si="111"/>
        <v>0</v>
      </c>
      <c r="CC145" s="536">
        <f t="shared" ca="1" si="112"/>
        <v>2038</v>
      </c>
      <c r="CD145" s="535">
        <f ca="1"/>
        <v>0</v>
      </c>
      <c r="CF145" s="530">
        <v>144</v>
      </c>
      <c r="CG145" s="531">
        <f t="shared" ca="1" si="139"/>
        <v>50548</v>
      </c>
      <c r="CH145" s="532">
        <f ca="1">IF(CH144=0,SUMIFS('Key Life Events'!$L$3:$L$28,'Key Life Events'!$H$3:$H$28,'Loan Amortization'!$CL$3,'Key Life Events'!$N$3:$N$28,'Loan Amortization'!CG145),CH144-CK144)</f>
        <v>0</v>
      </c>
      <c r="CI145" s="532">
        <f t="shared" ca="1" si="140"/>
        <v>0</v>
      </c>
      <c r="CJ145" s="532">
        <f t="shared" ca="1" si="141"/>
        <v>0</v>
      </c>
      <c r="CK145" s="532">
        <f t="shared" ca="1" si="113"/>
        <v>0</v>
      </c>
      <c r="CP145" s="536">
        <f t="shared" ca="1" si="114"/>
        <v>2038</v>
      </c>
      <c r="CQ145" s="535">
        <f ca="1"/>
        <v>0</v>
      </c>
      <c r="CS145" s="100">
        <f t="shared" si="115"/>
        <v>144</v>
      </c>
      <c r="CT145" s="102">
        <f t="shared" ca="1" si="116"/>
        <v>0</v>
      </c>
      <c r="CU145" s="102">
        <f t="shared" ca="1" si="117"/>
        <v>0</v>
      </c>
      <c r="CV145" s="511">
        <f t="shared" ca="1" si="118"/>
        <v>2038</v>
      </c>
      <c r="CW145" s="1">
        <f t="shared" si="98"/>
        <v>1717</v>
      </c>
      <c r="CX145" s="99">
        <f t="shared" si="99"/>
        <v>0</v>
      </c>
    </row>
    <row r="146" spans="1:102" x14ac:dyDescent="0.3">
      <c r="A146" s="100">
        <v>145</v>
      </c>
      <c r="B146" s="131">
        <f t="shared" si="119"/>
        <v>3559</v>
      </c>
      <c r="C146" s="102">
        <f t="shared" si="120"/>
        <v>0</v>
      </c>
      <c r="D146" s="102">
        <f t="shared" si="121"/>
        <v>0</v>
      </c>
      <c r="E146" s="102">
        <f t="shared" si="101"/>
        <v>0</v>
      </c>
      <c r="F146" s="102">
        <f t="shared" si="122"/>
        <v>0</v>
      </c>
      <c r="L146" s="100">
        <v>145</v>
      </c>
      <c r="M146" s="131">
        <f t="shared" ca="1" si="123"/>
        <v>50579</v>
      </c>
      <c r="N146" s="102">
        <f t="shared" si="124"/>
        <v>0</v>
      </c>
      <c r="O146" s="102">
        <f t="shared" si="125"/>
        <v>0</v>
      </c>
      <c r="P146" s="102">
        <f t="shared" si="102"/>
        <v>0</v>
      </c>
      <c r="Q146" s="102">
        <f t="shared" si="103"/>
        <v>0</v>
      </c>
      <c r="W146" s="100">
        <v>145</v>
      </c>
      <c r="X146" s="131">
        <f t="shared" ca="1" si="126"/>
        <v>50579</v>
      </c>
      <c r="Y146" s="102">
        <f t="shared" si="127"/>
        <v>0</v>
      </c>
      <c r="Z146" s="102">
        <f t="shared" si="128"/>
        <v>0</v>
      </c>
      <c r="AA146" s="102">
        <f t="shared" si="104"/>
        <v>0</v>
      </c>
      <c r="AB146" s="102">
        <f t="shared" si="105"/>
        <v>0</v>
      </c>
      <c r="AH146" s="100">
        <v>145</v>
      </c>
      <c r="AI146" s="131">
        <f t="shared" ca="1" si="129"/>
        <v>50579</v>
      </c>
      <c r="AJ146" s="102">
        <f t="shared" si="130"/>
        <v>0</v>
      </c>
      <c r="AK146" s="102">
        <f t="shared" si="131"/>
        <v>0</v>
      </c>
      <c r="AL146" s="102">
        <f t="shared" si="143"/>
        <v>0</v>
      </c>
      <c r="AM146" s="102">
        <f t="shared" si="106"/>
        <v>0</v>
      </c>
      <c r="AS146" s="530">
        <v>145</v>
      </c>
      <c r="AT146" s="531">
        <f t="shared" ca="1" si="132"/>
        <v>50579</v>
      </c>
      <c r="AU146" s="532">
        <f ca="1">IF(AU145=0,SUMIFS('Key Life Events'!$L$3:$L$28,'Key Life Events'!$H$3:$H$28,'Loan Amortization'!$AY$3,'Key Life Events'!$N$3:$N$28,'Loan Amortization'!AT146),AU145-AX145)</f>
        <v>0</v>
      </c>
      <c r="AV146" s="532">
        <f t="shared" ca="1" si="133"/>
        <v>0</v>
      </c>
      <c r="AW146" s="532">
        <f t="shared" ca="1" si="100"/>
        <v>0</v>
      </c>
      <c r="AX146" s="532">
        <f t="shared" ca="1" si="107"/>
        <v>0</v>
      </c>
      <c r="BC146" s="536">
        <f t="shared" ca="1" si="108"/>
        <v>2038</v>
      </c>
      <c r="BF146" s="530">
        <v>145</v>
      </c>
      <c r="BG146" s="531">
        <f t="shared" ca="1" si="134"/>
        <v>50579</v>
      </c>
      <c r="BH146" s="532">
        <f ca="1">IF(BH145=0,SUMIFS('Key Life Events'!$L$3:$L$28,'Key Life Events'!$H$3:$H$28,'Loan Amortization'!$BL$3,'Key Life Events'!$N$3:$N$28,'Loan Amortization'!BG146),BH145-BK145)</f>
        <v>0</v>
      </c>
      <c r="BI146" s="532">
        <f t="shared" ca="1" si="135"/>
        <v>0</v>
      </c>
      <c r="BJ146" s="532">
        <f t="shared" ca="1" si="136"/>
        <v>0</v>
      </c>
      <c r="BK146" s="532">
        <f t="shared" ca="1" si="109"/>
        <v>0</v>
      </c>
      <c r="BP146" s="536">
        <f t="shared" ca="1" si="110"/>
        <v>2038</v>
      </c>
      <c r="BQ146" s="535">
        <f ca="1"/>
        <v>0</v>
      </c>
      <c r="BS146" s="530">
        <v>145</v>
      </c>
      <c r="BT146" s="531">
        <f t="shared" ca="1" si="137"/>
        <v>50579</v>
      </c>
      <c r="BU146" s="532">
        <f ca="1">IF(BU145=0,SUMIFS('Key Life Events'!$L$3:$L$28,'Key Life Events'!$H$3:$H$28,'Loan Amortization'!$BY$3,'Key Life Events'!$N$3:$N$28,'Loan Amortization'!BT146),BU145-BX145)</f>
        <v>0</v>
      </c>
      <c r="BV146" s="532">
        <f t="shared" ca="1" si="142"/>
        <v>0</v>
      </c>
      <c r="BW146" s="532">
        <f t="shared" ca="1" si="138"/>
        <v>0</v>
      </c>
      <c r="BX146" s="532">
        <f t="shared" ca="1" si="111"/>
        <v>0</v>
      </c>
      <c r="CC146" s="536">
        <f t="shared" ca="1" si="112"/>
        <v>2038</v>
      </c>
      <c r="CD146" s="535">
        <f ca="1"/>
        <v>0</v>
      </c>
      <c r="CF146" s="530">
        <v>145</v>
      </c>
      <c r="CG146" s="531">
        <f t="shared" ca="1" si="139"/>
        <v>50579</v>
      </c>
      <c r="CH146" s="532">
        <f ca="1">IF(CH145=0,SUMIFS('Key Life Events'!$L$3:$L$28,'Key Life Events'!$H$3:$H$28,'Loan Amortization'!$CL$3,'Key Life Events'!$N$3:$N$28,'Loan Amortization'!CG146),CH145-CK145)</f>
        <v>0</v>
      </c>
      <c r="CI146" s="532">
        <f t="shared" ca="1" si="140"/>
        <v>0</v>
      </c>
      <c r="CJ146" s="532">
        <f t="shared" ca="1" si="141"/>
        <v>0</v>
      </c>
      <c r="CK146" s="532">
        <f t="shared" ca="1" si="113"/>
        <v>0</v>
      </c>
      <c r="CP146" s="536">
        <f t="shared" ca="1" si="114"/>
        <v>2038</v>
      </c>
      <c r="CQ146" s="535">
        <f ca="1"/>
        <v>0</v>
      </c>
      <c r="CS146" s="100">
        <f t="shared" si="115"/>
        <v>145</v>
      </c>
      <c r="CT146" s="102">
        <f t="shared" ca="1" si="116"/>
        <v>0</v>
      </c>
      <c r="CU146" s="102">
        <f t="shared" ca="1" si="117"/>
        <v>0</v>
      </c>
      <c r="CV146" s="511">
        <f t="shared" ca="1" si="118"/>
        <v>2038</v>
      </c>
      <c r="CW146" s="1">
        <f t="shared" si="98"/>
        <v>1729</v>
      </c>
      <c r="CX146" s="99">
        <f t="shared" si="99"/>
        <v>0</v>
      </c>
    </row>
    <row r="147" spans="1:102" x14ac:dyDescent="0.3">
      <c r="A147" s="100">
        <v>146</v>
      </c>
      <c r="B147" s="131">
        <f t="shared" si="119"/>
        <v>3589</v>
      </c>
      <c r="C147" s="102">
        <f t="shared" si="120"/>
        <v>0</v>
      </c>
      <c r="D147" s="102">
        <f t="shared" si="121"/>
        <v>0</v>
      </c>
      <c r="E147" s="102">
        <f t="shared" si="101"/>
        <v>0</v>
      </c>
      <c r="F147" s="102">
        <f t="shared" si="122"/>
        <v>0</v>
      </c>
      <c r="L147" s="100">
        <v>146</v>
      </c>
      <c r="M147" s="131">
        <f t="shared" ca="1" si="123"/>
        <v>50609</v>
      </c>
      <c r="N147" s="102">
        <f t="shared" si="124"/>
        <v>0</v>
      </c>
      <c r="O147" s="102">
        <f t="shared" si="125"/>
        <v>0</v>
      </c>
      <c r="P147" s="102">
        <f t="shared" si="102"/>
        <v>0</v>
      </c>
      <c r="Q147" s="102">
        <f t="shared" si="103"/>
        <v>0</v>
      </c>
      <c r="W147" s="100">
        <v>146</v>
      </c>
      <c r="X147" s="131">
        <f t="shared" ca="1" si="126"/>
        <v>50609</v>
      </c>
      <c r="Y147" s="102">
        <f t="shared" si="127"/>
        <v>0</v>
      </c>
      <c r="Z147" s="102">
        <f t="shared" si="128"/>
        <v>0</v>
      </c>
      <c r="AA147" s="102">
        <f t="shared" si="104"/>
        <v>0</v>
      </c>
      <c r="AB147" s="102">
        <f t="shared" si="105"/>
        <v>0</v>
      </c>
      <c r="AH147" s="100">
        <v>146</v>
      </c>
      <c r="AI147" s="131">
        <f t="shared" ca="1" si="129"/>
        <v>50609</v>
      </c>
      <c r="AJ147" s="102">
        <f t="shared" si="130"/>
        <v>0</v>
      </c>
      <c r="AK147" s="102">
        <f t="shared" si="131"/>
        <v>0</v>
      </c>
      <c r="AL147" s="102">
        <f t="shared" si="143"/>
        <v>0</v>
      </c>
      <c r="AM147" s="102">
        <f t="shared" si="106"/>
        <v>0</v>
      </c>
      <c r="AS147" s="530">
        <v>146</v>
      </c>
      <c r="AT147" s="531">
        <f t="shared" ca="1" si="132"/>
        <v>50609</v>
      </c>
      <c r="AU147" s="532">
        <f ca="1">IF(AU146=0,SUMIFS('Key Life Events'!$L$3:$L$28,'Key Life Events'!$H$3:$H$28,'Loan Amortization'!$AY$3,'Key Life Events'!$N$3:$N$28,'Loan Amortization'!AT147),AU146-AX146)</f>
        <v>0</v>
      </c>
      <c r="AV147" s="532">
        <f t="shared" ca="1" si="133"/>
        <v>0</v>
      </c>
      <c r="AW147" s="532">
        <f t="shared" ca="1" si="100"/>
        <v>0</v>
      </c>
      <c r="AX147" s="532">
        <f t="shared" ca="1" si="107"/>
        <v>0</v>
      </c>
      <c r="BC147" s="536">
        <f t="shared" ca="1" si="108"/>
        <v>2038</v>
      </c>
      <c r="BF147" s="530">
        <v>146</v>
      </c>
      <c r="BG147" s="531">
        <f t="shared" ca="1" si="134"/>
        <v>50609</v>
      </c>
      <c r="BH147" s="532">
        <f ca="1">IF(BH146=0,SUMIFS('Key Life Events'!$L$3:$L$28,'Key Life Events'!$H$3:$H$28,'Loan Amortization'!$BL$3,'Key Life Events'!$N$3:$N$28,'Loan Amortization'!BG147),BH146-BK146)</f>
        <v>0</v>
      </c>
      <c r="BI147" s="532">
        <f t="shared" ca="1" si="135"/>
        <v>0</v>
      </c>
      <c r="BJ147" s="532">
        <f t="shared" ca="1" si="136"/>
        <v>0</v>
      </c>
      <c r="BK147" s="532">
        <f t="shared" ca="1" si="109"/>
        <v>0</v>
      </c>
      <c r="BP147" s="536">
        <f t="shared" ca="1" si="110"/>
        <v>2038</v>
      </c>
      <c r="BQ147" s="535">
        <f ca="1"/>
        <v>0</v>
      </c>
      <c r="BS147" s="530">
        <v>146</v>
      </c>
      <c r="BT147" s="531">
        <f t="shared" ca="1" si="137"/>
        <v>50609</v>
      </c>
      <c r="BU147" s="532">
        <f ca="1">IF(BU146=0,SUMIFS('Key Life Events'!$L$3:$L$28,'Key Life Events'!$H$3:$H$28,'Loan Amortization'!$BY$3,'Key Life Events'!$N$3:$N$28,'Loan Amortization'!BT147),BU146-BX146)</f>
        <v>0</v>
      </c>
      <c r="BV147" s="532">
        <f t="shared" ca="1" si="142"/>
        <v>0</v>
      </c>
      <c r="BW147" s="532">
        <f t="shared" ca="1" si="138"/>
        <v>0</v>
      </c>
      <c r="BX147" s="532">
        <f t="shared" ca="1" si="111"/>
        <v>0</v>
      </c>
      <c r="CC147" s="536">
        <f t="shared" ca="1" si="112"/>
        <v>2038</v>
      </c>
      <c r="CD147" s="535">
        <f ca="1"/>
        <v>0</v>
      </c>
      <c r="CF147" s="530">
        <v>146</v>
      </c>
      <c r="CG147" s="531">
        <f t="shared" ca="1" si="139"/>
        <v>50609</v>
      </c>
      <c r="CH147" s="532">
        <f ca="1">IF(CH146=0,SUMIFS('Key Life Events'!$L$3:$L$28,'Key Life Events'!$H$3:$H$28,'Loan Amortization'!$CL$3,'Key Life Events'!$N$3:$N$28,'Loan Amortization'!CG147),CH146-CK146)</f>
        <v>0</v>
      </c>
      <c r="CI147" s="532">
        <f t="shared" ca="1" si="140"/>
        <v>0</v>
      </c>
      <c r="CJ147" s="532">
        <f t="shared" ca="1" si="141"/>
        <v>0</v>
      </c>
      <c r="CK147" s="532">
        <f t="shared" ca="1" si="113"/>
        <v>0</v>
      </c>
      <c r="CP147" s="536">
        <f t="shared" ca="1" si="114"/>
        <v>2038</v>
      </c>
      <c r="CQ147" s="535">
        <f ca="1"/>
        <v>0</v>
      </c>
      <c r="CS147" s="100">
        <f t="shared" si="115"/>
        <v>146</v>
      </c>
      <c r="CT147" s="102">
        <f t="shared" ca="1" si="116"/>
        <v>0</v>
      </c>
      <c r="CU147" s="102">
        <f t="shared" ca="1" si="117"/>
        <v>0</v>
      </c>
      <c r="CV147" s="511">
        <f t="shared" ca="1" si="118"/>
        <v>2038</v>
      </c>
      <c r="CW147" s="1">
        <f t="shared" si="98"/>
        <v>1741</v>
      </c>
      <c r="CX147" s="99">
        <f t="shared" si="99"/>
        <v>0</v>
      </c>
    </row>
    <row r="148" spans="1:102" x14ac:dyDescent="0.3">
      <c r="A148" s="100">
        <v>147</v>
      </c>
      <c r="B148" s="131">
        <f t="shared" si="119"/>
        <v>3620</v>
      </c>
      <c r="C148" s="102">
        <f t="shared" si="120"/>
        <v>0</v>
      </c>
      <c r="D148" s="102">
        <f t="shared" si="121"/>
        <v>0</v>
      </c>
      <c r="E148" s="102">
        <f t="shared" si="101"/>
        <v>0</v>
      </c>
      <c r="F148" s="102">
        <f t="shared" si="122"/>
        <v>0</v>
      </c>
      <c r="L148" s="100">
        <v>147</v>
      </c>
      <c r="M148" s="131">
        <f t="shared" ca="1" si="123"/>
        <v>50640</v>
      </c>
      <c r="N148" s="102">
        <f t="shared" si="124"/>
        <v>0</v>
      </c>
      <c r="O148" s="102">
        <f t="shared" si="125"/>
        <v>0</v>
      </c>
      <c r="P148" s="102">
        <f t="shared" si="102"/>
        <v>0</v>
      </c>
      <c r="Q148" s="102">
        <f t="shared" si="103"/>
        <v>0</v>
      </c>
      <c r="W148" s="100">
        <v>147</v>
      </c>
      <c r="X148" s="131">
        <f t="shared" ca="1" si="126"/>
        <v>50640</v>
      </c>
      <c r="Y148" s="102">
        <f t="shared" si="127"/>
        <v>0</v>
      </c>
      <c r="Z148" s="102">
        <f t="shared" si="128"/>
        <v>0</v>
      </c>
      <c r="AA148" s="102">
        <f t="shared" si="104"/>
        <v>0</v>
      </c>
      <c r="AB148" s="102">
        <f t="shared" si="105"/>
        <v>0</v>
      </c>
      <c r="AH148" s="100">
        <v>147</v>
      </c>
      <c r="AI148" s="131">
        <f t="shared" ca="1" si="129"/>
        <v>50640</v>
      </c>
      <c r="AJ148" s="102">
        <f t="shared" si="130"/>
        <v>0</v>
      </c>
      <c r="AK148" s="102">
        <f t="shared" si="131"/>
        <v>0</v>
      </c>
      <c r="AL148" s="102">
        <f t="shared" si="143"/>
        <v>0</v>
      </c>
      <c r="AM148" s="102">
        <f t="shared" si="106"/>
        <v>0</v>
      </c>
      <c r="AS148" s="530">
        <v>147</v>
      </c>
      <c r="AT148" s="531">
        <f t="shared" ca="1" si="132"/>
        <v>50640</v>
      </c>
      <c r="AU148" s="532">
        <f ca="1">IF(AU147=0,SUMIFS('Key Life Events'!$L$3:$L$28,'Key Life Events'!$H$3:$H$28,'Loan Amortization'!$AY$3,'Key Life Events'!$N$3:$N$28,'Loan Amortization'!AT148),AU147-AX147)</f>
        <v>0</v>
      </c>
      <c r="AV148" s="532">
        <f t="shared" ca="1" si="133"/>
        <v>0</v>
      </c>
      <c r="AW148" s="532">
        <f t="shared" ca="1" si="100"/>
        <v>0</v>
      </c>
      <c r="AX148" s="532">
        <f t="shared" ca="1" si="107"/>
        <v>0</v>
      </c>
      <c r="BC148" s="536">
        <f t="shared" ca="1" si="108"/>
        <v>2038</v>
      </c>
      <c r="BF148" s="530">
        <v>147</v>
      </c>
      <c r="BG148" s="531">
        <f t="shared" ca="1" si="134"/>
        <v>50640</v>
      </c>
      <c r="BH148" s="532">
        <f ca="1">IF(BH147=0,SUMIFS('Key Life Events'!$L$3:$L$28,'Key Life Events'!$H$3:$H$28,'Loan Amortization'!$BL$3,'Key Life Events'!$N$3:$N$28,'Loan Amortization'!BG148),BH147-BK147)</f>
        <v>0</v>
      </c>
      <c r="BI148" s="532">
        <f t="shared" ca="1" si="135"/>
        <v>0</v>
      </c>
      <c r="BJ148" s="532">
        <f t="shared" ca="1" si="136"/>
        <v>0</v>
      </c>
      <c r="BK148" s="532">
        <f t="shared" ca="1" si="109"/>
        <v>0</v>
      </c>
      <c r="BP148" s="536">
        <f t="shared" ca="1" si="110"/>
        <v>2038</v>
      </c>
      <c r="BQ148" s="535">
        <f ca="1"/>
        <v>0</v>
      </c>
      <c r="BS148" s="530">
        <v>147</v>
      </c>
      <c r="BT148" s="531">
        <f t="shared" ca="1" si="137"/>
        <v>50640</v>
      </c>
      <c r="BU148" s="532">
        <f ca="1">IF(BU147=0,SUMIFS('Key Life Events'!$L$3:$L$28,'Key Life Events'!$H$3:$H$28,'Loan Amortization'!$BY$3,'Key Life Events'!$N$3:$N$28,'Loan Amortization'!BT148),BU147-BX147)</f>
        <v>0</v>
      </c>
      <c r="BV148" s="532">
        <f t="shared" ca="1" si="142"/>
        <v>0</v>
      </c>
      <c r="BW148" s="532">
        <f t="shared" ca="1" si="138"/>
        <v>0</v>
      </c>
      <c r="BX148" s="532">
        <f t="shared" ca="1" si="111"/>
        <v>0</v>
      </c>
      <c r="CC148" s="536">
        <f t="shared" ca="1" si="112"/>
        <v>2038</v>
      </c>
      <c r="CD148" s="535">
        <f ca="1"/>
        <v>0</v>
      </c>
      <c r="CF148" s="530">
        <v>147</v>
      </c>
      <c r="CG148" s="531">
        <f t="shared" ca="1" si="139"/>
        <v>50640</v>
      </c>
      <c r="CH148" s="532">
        <f ca="1">IF(CH147=0,SUMIFS('Key Life Events'!$L$3:$L$28,'Key Life Events'!$H$3:$H$28,'Loan Amortization'!$CL$3,'Key Life Events'!$N$3:$N$28,'Loan Amortization'!CG148),CH147-CK147)</f>
        <v>0</v>
      </c>
      <c r="CI148" s="532">
        <f t="shared" ca="1" si="140"/>
        <v>0</v>
      </c>
      <c r="CJ148" s="532">
        <f t="shared" ca="1" si="141"/>
        <v>0</v>
      </c>
      <c r="CK148" s="532">
        <f t="shared" ca="1" si="113"/>
        <v>0</v>
      </c>
      <c r="CP148" s="536">
        <f t="shared" ca="1" si="114"/>
        <v>2038</v>
      </c>
      <c r="CQ148" s="535">
        <f ca="1"/>
        <v>0</v>
      </c>
      <c r="CS148" s="100">
        <f t="shared" si="115"/>
        <v>147</v>
      </c>
      <c r="CT148" s="102">
        <f t="shared" ca="1" si="116"/>
        <v>0</v>
      </c>
      <c r="CU148" s="102">
        <f t="shared" ca="1" si="117"/>
        <v>0</v>
      </c>
      <c r="CV148" s="511">
        <f t="shared" ca="1" si="118"/>
        <v>2038</v>
      </c>
      <c r="CW148" s="1">
        <f t="shared" si="98"/>
        <v>1753</v>
      </c>
      <c r="CX148" s="99">
        <f t="shared" si="99"/>
        <v>0</v>
      </c>
    </row>
    <row r="149" spans="1:102" x14ac:dyDescent="0.3">
      <c r="A149" s="100">
        <v>148</v>
      </c>
      <c r="B149" s="131">
        <f t="shared" si="119"/>
        <v>3650</v>
      </c>
      <c r="C149" s="102">
        <f t="shared" si="120"/>
        <v>0</v>
      </c>
      <c r="D149" s="102">
        <f t="shared" si="121"/>
        <v>0</v>
      </c>
      <c r="E149" s="102">
        <f t="shared" si="101"/>
        <v>0</v>
      </c>
      <c r="F149" s="102">
        <f t="shared" si="122"/>
        <v>0</v>
      </c>
      <c r="L149" s="100">
        <v>148</v>
      </c>
      <c r="M149" s="131">
        <f t="shared" ca="1" si="123"/>
        <v>50671</v>
      </c>
      <c r="N149" s="102">
        <f t="shared" si="124"/>
        <v>0</v>
      </c>
      <c r="O149" s="102">
        <f t="shared" si="125"/>
        <v>0</v>
      </c>
      <c r="P149" s="102">
        <f t="shared" si="102"/>
        <v>0</v>
      </c>
      <c r="Q149" s="102">
        <f t="shared" si="103"/>
        <v>0</v>
      </c>
      <c r="W149" s="100">
        <v>148</v>
      </c>
      <c r="X149" s="131">
        <f t="shared" ca="1" si="126"/>
        <v>50671</v>
      </c>
      <c r="Y149" s="102">
        <f t="shared" si="127"/>
        <v>0</v>
      </c>
      <c r="Z149" s="102">
        <f t="shared" si="128"/>
        <v>0</v>
      </c>
      <c r="AA149" s="102">
        <f t="shared" si="104"/>
        <v>0</v>
      </c>
      <c r="AB149" s="102">
        <f t="shared" si="105"/>
        <v>0</v>
      </c>
      <c r="AH149" s="100">
        <v>148</v>
      </c>
      <c r="AI149" s="131">
        <f t="shared" ca="1" si="129"/>
        <v>50671</v>
      </c>
      <c r="AJ149" s="102">
        <f t="shared" si="130"/>
        <v>0</v>
      </c>
      <c r="AK149" s="102">
        <f t="shared" si="131"/>
        <v>0</v>
      </c>
      <c r="AL149" s="102">
        <f t="shared" si="143"/>
        <v>0</v>
      </c>
      <c r="AM149" s="102">
        <f t="shared" si="106"/>
        <v>0</v>
      </c>
      <c r="AS149" s="530">
        <v>148</v>
      </c>
      <c r="AT149" s="531">
        <f t="shared" ca="1" si="132"/>
        <v>50671</v>
      </c>
      <c r="AU149" s="532">
        <f ca="1">IF(AU148=0,SUMIFS('Key Life Events'!$L$3:$L$28,'Key Life Events'!$H$3:$H$28,'Loan Amortization'!$AY$3,'Key Life Events'!$N$3:$N$28,'Loan Amortization'!AT149),AU148-AX148)</f>
        <v>0</v>
      </c>
      <c r="AV149" s="532">
        <f t="shared" ca="1" si="133"/>
        <v>0</v>
      </c>
      <c r="AW149" s="532">
        <f t="shared" ca="1" si="100"/>
        <v>0</v>
      </c>
      <c r="AX149" s="532">
        <f t="shared" ca="1" si="107"/>
        <v>0</v>
      </c>
      <c r="BC149" s="536">
        <f t="shared" ca="1" si="108"/>
        <v>2038</v>
      </c>
      <c r="BF149" s="530">
        <v>148</v>
      </c>
      <c r="BG149" s="531">
        <f t="shared" ca="1" si="134"/>
        <v>50671</v>
      </c>
      <c r="BH149" s="532">
        <f ca="1">IF(BH148=0,SUMIFS('Key Life Events'!$L$3:$L$28,'Key Life Events'!$H$3:$H$28,'Loan Amortization'!$BL$3,'Key Life Events'!$N$3:$N$28,'Loan Amortization'!BG149),BH148-BK148)</f>
        <v>0</v>
      </c>
      <c r="BI149" s="532">
        <f t="shared" ca="1" si="135"/>
        <v>0</v>
      </c>
      <c r="BJ149" s="532">
        <f t="shared" ca="1" si="136"/>
        <v>0</v>
      </c>
      <c r="BK149" s="532">
        <f t="shared" ca="1" si="109"/>
        <v>0</v>
      </c>
      <c r="BP149" s="536">
        <f t="shared" ca="1" si="110"/>
        <v>2038</v>
      </c>
      <c r="BQ149" s="535">
        <f ca="1"/>
        <v>0</v>
      </c>
      <c r="BS149" s="530">
        <v>148</v>
      </c>
      <c r="BT149" s="531">
        <f t="shared" ca="1" si="137"/>
        <v>50671</v>
      </c>
      <c r="BU149" s="532">
        <f ca="1">IF(BU148=0,SUMIFS('Key Life Events'!$L$3:$L$28,'Key Life Events'!$H$3:$H$28,'Loan Amortization'!$BY$3,'Key Life Events'!$N$3:$N$28,'Loan Amortization'!BT149),BU148-BX148)</f>
        <v>0</v>
      </c>
      <c r="BV149" s="532">
        <f t="shared" ca="1" si="142"/>
        <v>0</v>
      </c>
      <c r="BW149" s="532">
        <f t="shared" ca="1" si="138"/>
        <v>0</v>
      </c>
      <c r="BX149" s="532">
        <f t="shared" ca="1" si="111"/>
        <v>0</v>
      </c>
      <c r="CC149" s="536">
        <f t="shared" ca="1" si="112"/>
        <v>2038</v>
      </c>
      <c r="CD149" s="535">
        <f ca="1"/>
        <v>0</v>
      </c>
      <c r="CF149" s="530">
        <v>148</v>
      </c>
      <c r="CG149" s="531">
        <f t="shared" ca="1" si="139"/>
        <v>50671</v>
      </c>
      <c r="CH149" s="532">
        <f ca="1">IF(CH148=0,SUMIFS('Key Life Events'!$L$3:$L$28,'Key Life Events'!$H$3:$H$28,'Loan Amortization'!$CL$3,'Key Life Events'!$N$3:$N$28,'Loan Amortization'!CG149),CH148-CK148)</f>
        <v>0</v>
      </c>
      <c r="CI149" s="532">
        <f t="shared" ca="1" si="140"/>
        <v>0</v>
      </c>
      <c r="CJ149" s="532">
        <f t="shared" ca="1" si="141"/>
        <v>0</v>
      </c>
      <c r="CK149" s="532">
        <f t="shared" ca="1" si="113"/>
        <v>0</v>
      </c>
      <c r="CP149" s="536">
        <f t="shared" ca="1" si="114"/>
        <v>2038</v>
      </c>
      <c r="CQ149" s="535">
        <f ca="1"/>
        <v>0</v>
      </c>
      <c r="CS149" s="100">
        <f t="shared" si="115"/>
        <v>148</v>
      </c>
      <c r="CT149" s="102">
        <f t="shared" ca="1" si="116"/>
        <v>0</v>
      </c>
      <c r="CU149" s="102">
        <f t="shared" ca="1" si="117"/>
        <v>0</v>
      </c>
      <c r="CV149" s="511">
        <f t="shared" ca="1" si="118"/>
        <v>2038</v>
      </c>
      <c r="CW149" s="1">
        <f t="shared" si="98"/>
        <v>1765</v>
      </c>
      <c r="CX149" s="99">
        <f t="shared" si="99"/>
        <v>0</v>
      </c>
    </row>
    <row r="150" spans="1:102" x14ac:dyDescent="0.3">
      <c r="A150" s="100">
        <v>149</v>
      </c>
      <c r="B150" s="131">
        <f t="shared" si="119"/>
        <v>3681</v>
      </c>
      <c r="C150" s="102">
        <f t="shared" si="120"/>
        <v>0</v>
      </c>
      <c r="D150" s="102">
        <f t="shared" si="121"/>
        <v>0</v>
      </c>
      <c r="E150" s="102">
        <f t="shared" si="101"/>
        <v>0</v>
      </c>
      <c r="F150" s="102">
        <f t="shared" si="122"/>
        <v>0</v>
      </c>
      <c r="L150" s="100">
        <v>149</v>
      </c>
      <c r="M150" s="131">
        <f t="shared" ca="1" si="123"/>
        <v>50701</v>
      </c>
      <c r="N150" s="102">
        <f t="shared" si="124"/>
        <v>0</v>
      </c>
      <c r="O150" s="102">
        <f t="shared" si="125"/>
        <v>0</v>
      </c>
      <c r="P150" s="102">
        <f t="shared" si="102"/>
        <v>0</v>
      </c>
      <c r="Q150" s="102">
        <f t="shared" si="103"/>
        <v>0</v>
      </c>
      <c r="W150" s="100">
        <v>149</v>
      </c>
      <c r="X150" s="131">
        <f t="shared" ca="1" si="126"/>
        <v>50701</v>
      </c>
      <c r="Y150" s="102">
        <f t="shared" si="127"/>
        <v>0</v>
      </c>
      <c r="Z150" s="102">
        <f t="shared" si="128"/>
        <v>0</v>
      </c>
      <c r="AA150" s="102">
        <f t="shared" si="104"/>
        <v>0</v>
      </c>
      <c r="AB150" s="102">
        <f t="shared" si="105"/>
        <v>0</v>
      </c>
      <c r="AH150" s="100">
        <v>149</v>
      </c>
      <c r="AI150" s="131">
        <f t="shared" ca="1" si="129"/>
        <v>50701</v>
      </c>
      <c r="AJ150" s="102">
        <f t="shared" si="130"/>
        <v>0</v>
      </c>
      <c r="AK150" s="102">
        <f t="shared" si="131"/>
        <v>0</v>
      </c>
      <c r="AL150" s="102">
        <f t="shared" si="143"/>
        <v>0</v>
      </c>
      <c r="AM150" s="102">
        <f t="shared" si="106"/>
        <v>0</v>
      </c>
      <c r="AS150" s="530">
        <v>149</v>
      </c>
      <c r="AT150" s="531">
        <f t="shared" ca="1" si="132"/>
        <v>50701</v>
      </c>
      <c r="AU150" s="532">
        <f ca="1">IF(AU149=0,SUMIFS('Key Life Events'!$L$3:$L$28,'Key Life Events'!$H$3:$H$28,'Loan Amortization'!$AY$3,'Key Life Events'!$N$3:$N$28,'Loan Amortization'!AT150),AU149-AX149)</f>
        <v>0</v>
      </c>
      <c r="AV150" s="532">
        <f t="shared" ca="1" si="133"/>
        <v>0</v>
      </c>
      <c r="AW150" s="532">
        <f t="shared" ca="1" si="100"/>
        <v>0</v>
      </c>
      <c r="AX150" s="532">
        <f t="shared" ca="1" si="107"/>
        <v>0</v>
      </c>
      <c r="BC150" s="536">
        <f t="shared" ca="1" si="108"/>
        <v>2038</v>
      </c>
      <c r="BF150" s="530">
        <v>149</v>
      </c>
      <c r="BG150" s="531">
        <f t="shared" ca="1" si="134"/>
        <v>50701</v>
      </c>
      <c r="BH150" s="532">
        <f ca="1">IF(BH149=0,SUMIFS('Key Life Events'!$L$3:$L$28,'Key Life Events'!$H$3:$H$28,'Loan Amortization'!$BL$3,'Key Life Events'!$N$3:$N$28,'Loan Amortization'!BG150),BH149-BK149)</f>
        <v>0</v>
      </c>
      <c r="BI150" s="532">
        <f t="shared" ca="1" si="135"/>
        <v>0</v>
      </c>
      <c r="BJ150" s="532">
        <f t="shared" ca="1" si="136"/>
        <v>0</v>
      </c>
      <c r="BK150" s="532">
        <f t="shared" ca="1" si="109"/>
        <v>0</v>
      </c>
      <c r="BP150" s="536">
        <f t="shared" ca="1" si="110"/>
        <v>2038</v>
      </c>
      <c r="BQ150" s="535">
        <f ca="1"/>
        <v>0</v>
      </c>
      <c r="BS150" s="530">
        <v>149</v>
      </c>
      <c r="BT150" s="531">
        <f t="shared" ca="1" si="137"/>
        <v>50701</v>
      </c>
      <c r="BU150" s="532">
        <f ca="1">IF(BU149=0,SUMIFS('Key Life Events'!$L$3:$L$28,'Key Life Events'!$H$3:$H$28,'Loan Amortization'!$BY$3,'Key Life Events'!$N$3:$N$28,'Loan Amortization'!BT150),BU149-BX149)</f>
        <v>0</v>
      </c>
      <c r="BV150" s="532">
        <f t="shared" ca="1" si="142"/>
        <v>0</v>
      </c>
      <c r="BW150" s="532">
        <f t="shared" ca="1" si="138"/>
        <v>0</v>
      </c>
      <c r="BX150" s="532">
        <f t="shared" ca="1" si="111"/>
        <v>0</v>
      </c>
      <c r="CC150" s="536">
        <f t="shared" ca="1" si="112"/>
        <v>2038</v>
      </c>
      <c r="CD150" s="535">
        <f ca="1"/>
        <v>0</v>
      </c>
      <c r="CF150" s="530">
        <v>149</v>
      </c>
      <c r="CG150" s="531">
        <f t="shared" ca="1" si="139"/>
        <v>50701</v>
      </c>
      <c r="CH150" s="532">
        <f ca="1">IF(CH149=0,SUMIFS('Key Life Events'!$L$3:$L$28,'Key Life Events'!$H$3:$H$28,'Loan Amortization'!$CL$3,'Key Life Events'!$N$3:$N$28,'Loan Amortization'!CG150),CH149-CK149)</f>
        <v>0</v>
      </c>
      <c r="CI150" s="532">
        <f t="shared" ca="1" si="140"/>
        <v>0</v>
      </c>
      <c r="CJ150" s="532">
        <f t="shared" ca="1" si="141"/>
        <v>0</v>
      </c>
      <c r="CK150" s="532">
        <f t="shared" ca="1" si="113"/>
        <v>0</v>
      </c>
      <c r="CP150" s="536">
        <f t="shared" ca="1" si="114"/>
        <v>2038</v>
      </c>
      <c r="CQ150" s="535">
        <f ca="1"/>
        <v>0</v>
      </c>
      <c r="CS150" s="100">
        <f t="shared" si="115"/>
        <v>149</v>
      </c>
      <c r="CT150" s="102">
        <f t="shared" ca="1" si="116"/>
        <v>0</v>
      </c>
      <c r="CU150" s="102">
        <f t="shared" ca="1" si="117"/>
        <v>0</v>
      </c>
      <c r="CV150" s="511">
        <f t="shared" ca="1" si="118"/>
        <v>2038</v>
      </c>
      <c r="CW150" s="1">
        <f t="shared" si="98"/>
        <v>1777</v>
      </c>
      <c r="CX150" s="99">
        <f t="shared" si="99"/>
        <v>0</v>
      </c>
    </row>
    <row r="151" spans="1:102" x14ac:dyDescent="0.3">
      <c r="A151" s="100">
        <v>150</v>
      </c>
      <c r="B151" s="131">
        <f t="shared" si="119"/>
        <v>3712</v>
      </c>
      <c r="C151" s="102">
        <f t="shared" si="120"/>
        <v>0</v>
      </c>
      <c r="D151" s="102">
        <f t="shared" si="121"/>
        <v>0</v>
      </c>
      <c r="E151" s="102">
        <f t="shared" si="101"/>
        <v>0</v>
      </c>
      <c r="F151" s="102">
        <f t="shared" si="122"/>
        <v>0</v>
      </c>
      <c r="L151" s="100">
        <v>150</v>
      </c>
      <c r="M151" s="131">
        <f t="shared" ca="1" si="123"/>
        <v>50732</v>
      </c>
      <c r="N151" s="102">
        <f t="shared" si="124"/>
        <v>0</v>
      </c>
      <c r="O151" s="102">
        <f t="shared" si="125"/>
        <v>0</v>
      </c>
      <c r="P151" s="102">
        <f t="shared" si="102"/>
        <v>0</v>
      </c>
      <c r="Q151" s="102">
        <f t="shared" si="103"/>
        <v>0</v>
      </c>
      <c r="W151" s="100">
        <v>150</v>
      </c>
      <c r="X151" s="131">
        <f t="shared" ca="1" si="126"/>
        <v>50732</v>
      </c>
      <c r="Y151" s="102">
        <f t="shared" si="127"/>
        <v>0</v>
      </c>
      <c r="Z151" s="102">
        <f t="shared" si="128"/>
        <v>0</v>
      </c>
      <c r="AA151" s="102">
        <f t="shared" si="104"/>
        <v>0</v>
      </c>
      <c r="AB151" s="102">
        <f t="shared" si="105"/>
        <v>0</v>
      </c>
      <c r="AH151" s="100">
        <v>150</v>
      </c>
      <c r="AI151" s="131">
        <f t="shared" ca="1" si="129"/>
        <v>50732</v>
      </c>
      <c r="AJ151" s="102">
        <f t="shared" si="130"/>
        <v>0</v>
      </c>
      <c r="AK151" s="102">
        <f t="shared" si="131"/>
        <v>0</v>
      </c>
      <c r="AL151" s="102">
        <f t="shared" si="143"/>
        <v>0</v>
      </c>
      <c r="AM151" s="102">
        <f t="shared" si="106"/>
        <v>0</v>
      </c>
      <c r="AS151" s="530">
        <v>150</v>
      </c>
      <c r="AT151" s="531">
        <f t="shared" ca="1" si="132"/>
        <v>50732</v>
      </c>
      <c r="AU151" s="532">
        <f ca="1">IF(AU150=0,SUMIFS('Key Life Events'!$L$3:$L$28,'Key Life Events'!$H$3:$H$28,'Loan Amortization'!$AY$3,'Key Life Events'!$N$3:$N$28,'Loan Amortization'!AT151),AU150-AX150)</f>
        <v>0</v>
      </c>
      <c r="AV151" s="532">
        <f t="shared" ca="1" si="133"/>
        <v>0</v>
      </c>
      <c r="AW151" s="532">
        <f t="shared" ca="1" si="100"/>
        <v>0</v>
      </c>
      <c r="AX151" s="532">
        <f t="shared" ca="1" si="107"/>
        <v>0</v>
      </c>
      <c r="BC151" s="536">
        <f t="shared" ca="1" si="108"/>
        <v>2038</v>
      </c>
      <c r="BF151" s="530">
        <v>150</v>
      </c>
      <c r="BG151" s="531">
        <f t="shared" ca="1" si="134"/>
        <v>50732</v>
      </c>
      <c r="BH151" s="532">
        <f ca="1">IF(BH150=0,SUMIFS('Key Life Events'!$L$3:$L$28,'Key Life Events'!$H$3:$H$28,'Loan Amortization'!$BL$3,'Key Life Events'!$N$3:$N$28,'Loan Amortization'!BG151),BH150-BK150)</f>
        <v>0</v>
      </c>
      <c r="BI151" s="532">
        <f t="shared" ca="1" si="135"/>
        <v>0</v>
      </c>
      <c r="BJ151" s="532">
        <f t="shared" ca="1" si="136"/>
        <v>0</v>
      </c>
      <c r="BK151" s="532">
        <f t="shared" ca="1" si="109"/>
        <v>0</v>
      </c>
      <c r="BP151" s="536">
        <f t="shared" ca="1" si="110"/>
        <v>2038</v>
      </c>
      <c r="BQ151" s="535">
        <f ca="1"/>
        <v>0</v>
      </c>
      <c r="BS151" s="530">
        <v>150</v>
      </c>
      <c r="BT151" s="531">
        <f t="shared" ca="1" si="137"/>
        <v>50732</v>
      </c>
      <c r="BU151" s="532">
        <f ca="1">IF(BU150=0,SUMIFS('Key Life Events'!$L$3:$L$28,'Key Life Events'!$H$3:$H$28,'Loan Amortization'!$BY$3,'Key Life Events'!$N$3:$N$28,'Loan Amortization'!BT151),BU150-BX150)</f>
        <v>0</v>
      </c>
      <c r="BV151" s="532">
        <f t="shared" ca="1" si="142"/>
        <v>0</v>
      </c>
      <c r="BW151" s="532">
        <f t="shared" ca="1" si="138"/>
        <v>0</v>
      </c>
      <c r="BX151" s="532">
        <f t="shared" ca="1" si="111"/>
        <v>0</v>
      </c>
      <c r="CC151" s="536">
        <f t="shared" ca="1" si="112"/>
        <v>2038</v>
      </c>
      <c r="CD151" s="535">
        <f ca="1"/>
        <v>0</v>
      </c>
      <c r="CF151" s="530">
        <v>150</v>
      </c>
      <c r="CG151" s="531">
        <f t="shared" ca="1" si="139"/>
        <v>50732</v>
      </c>
      <c r="CH151" s="532">
        <f ca="1">IF(CH150=0,SUMIFS('Key Life Events'!$L$3:$L$28,'Key Life Events'!$H$3:$H$28,'Loan Amortization'!$CL$3,'Key Life Events'!$N$3:$N$28,'Loan Amortization'!CG151),CH150-CK150)</f>
        <v>0</v>
      </c>
      <c r="CI151" s="532">
        <f t="shared" ca="1" si="140"/>
        <v>0</v>
      </c>
      <c r="CJ151" s="532">
        <f t="shared" ca="1" si="141"/>
        <v>0</v>
      </c>
      <c r="CK151" s="532">
        <f t="shared" ca="1" si="113"/>
        <v>0</v>
      </c>
      <c r="CP151" s="536">
        <f t="shared" ca="1" si="114"/>
        <v>2038</v>
      </c>
      <c r="CQ151" s="535">
        <f ca="1"/>
        <v>0</v>
      </c>
      <c r="CS151" s="100">
        <f t="shared" si="115"/>
        <v>150</v>
      </c>
      <c r="CT151" s="102">
        <f t="shared" ca="1" si="116"/>
        <v>0</v>
      </c>
      <c r="CU151" s="102">
        <f t="shared" ca="1" si="117"/>
        <v>0</v>
      </c>
      <c r="CV151" s="511">
        <f t="shared" ca="1" si="118"/>
        <v>2038</v>
      </c>
      <c r="CW151" s="1">
        <f t="shared" si="98"/>
        <v>1789</v>
      </c>
      <c r="CX151" s="99">
        <f t="shared" si="99"/>
        <v>0</v>
      </c>
    </row>
    <row r="152" spans="1:102" x14ac:dyDescent="0.3">
      <c r="A152" s="100">
        <v>151</v>
      </c>
      <c r="B152" s="131">
        <f t="shared" si="119"/>
        <v>3740</v>
      </c>
      <c r="C152" s="102">
        <f t="shared" si="120"/>
        <v>0</v>
      </c>
      <c r="D152" s="102">
        <f t="shared" si="121"/>
        <v>0</v>
      </c>
      <c r="E152" s="102">
        <f t="shared" si="101"/>
        <v>0</v>
      </c>
      <c r="F152" s="102">
        <f t="shared" si="122"/>
        <v>0</v>
      </c>
      <c r="L152" s="100">
        <v>151</v>
      </c>
      <c r="M152" s="131">
        <f t="shared" ca="1" si="123"/>
        <v>50762</v>
      </c>
      <c r="N152" s="102">
        <f t="shared" si="124"/>
        <v>0</v>
      </c>
      <c r="O152" s="102">
        <f t="shared" si="125"/>
        <v>0</v>
      </c>
      <c r="P152" s="102">
        <f t="shared" si="102"/>
        <v>0</v>
      </c>
      <c r="Q152" s="102">
        <f t="shared" si="103"/>
        <v>0</v>
      </c>
      <c r="W152" s="100">
        <v>151</v>
      </c>
      <c r="X152" s="131">
        <f t="shared" ca="1" si="126"/>
        <v>50762</v>
      </c>
      <c r="Y152" s="102">
        <f t="shared" si="127"/>
        <v>0</v>
      </c>
      <c r="Z152" s="102">
        <f t="shared" si="128"/>
        <v>0</v>
      </c>
      <c r="AA152" s="102">
        <f t="shared" si="104"/>
        <v>0</v>
      </c>
      <c r="AB152" s="102">
        <f t="shared" si="105"/>
        <v>0</v>
      </c>
      <c r="AH152" s="100">
        <v>151</v>
      </c>
      <c r="AI152" s="131">
        <f t="shared" ca="1" si="129"/>
        <v>50762</v>
      </c>
      <c r="AJ152" s="102">
        <f t="shared" si="130"/>
        <v>0</v>
      </c>
      <c r="AK152" s="102">
        <f t="shared" si="131"/>
        <v>0</v>
      </c>
      <c r="AL152" s="102">
        <f t="shared" si="143"/>
        <v>0</v>
      </c>
      <c r="AM152" s="102">
        <f t="shared" si="106"/>
        <v>0</v>
      </c>
      <c r="AS152" s="530">
        <v>151</v>
      </c>
      <c r="AT152" s="531">
        <f t="shared" ca="1" si="132"/>
        <v>50762</v>
      </c>
      <c r="AU152" s="532">
        <f ca="1">IF(AU151=0,SUMIFS('Key Life Events'!$L$3:$L$28,'Key Life Events'!$H$3:$H$28,'Loan Amortization'!$AY$3,'Key Life Events'!$N$3:$N$28,'Loan Amortization'!AT152),AU151-AX151)</f>
        <v>0</v>
      </c>
      <c r="AV152" s="532">
        <f t="shared" ca="1" si="133"/>
        <v>0</v>
      </c>
      <c r="AW152" s="532">
        <f t="shared" ca="1" si="100"/>
        <v>0</v>
      </c>
      <c r="AX152" s="532">
        <f t="shared" ca="1" si="107"/>
        <v>0</v>
      </c>
      <c r="BC152" s="536">
        <f t="shared" ca="1" si="108"/>
        <v>2038</v>
      </c>
      <c r="BF152" s="530">
        <v>151</v>
      </c>
      <c r="BG152" s="531">
        <f t="shared" ca="1" si="134"/>
        <v>50762</v>
      </c>
      <c r="BH152" s="532">
        <f ca="1">IF(BH151=0,SUMIFS('Key Life Events'!$L$3:$L$28,'Key Life Events'!$H$3:$H$28,'Loan Amortization'!$BL$3,'Key Life Events'!$N$3:$N$28,'Loan Amortization'!BG152),BH151-BK151)</f>
        <v>0</v>
      </c>
      <c r="BI152" s="532">
        <f t="shared" ca="1" si="135"/>
        <v>0</v>
      </c>
      <c r="BJ152" s="532">
        <f t="shared" ca="1" si="136"/>
        <v>0</v>
      </c>
      <c r="BK152" s="532">
        <f t="shared" ca="1" si="109"/>
        <v>0</v>
      </c>
      <c r="BP152" s="536">
        <f t="shared" ca="1" si="110"/>
        <v>2038</v>
      </c>
      <c r="BQ152" s="535">
        <f ca="1"/>
        <v>0</v>
      </c>
      <c r="BS152" s="530">
        <v>151</v>
      </c>
      <c r="BT152" s="531">
        <f t="shared" ca="1" si="137"/>
        <v>50762</v>
      </c>
      <c r="BU152" s="532">
        <f ca="1">IF(BU151=0,SUMIFS('Key Life Events'!$L$3:$L$28,'Key Life Events'!$H$3:$H$28,'Loan Amortization'!$BY$3,'Key Life Events'!$N$3:$N$28,'Loan Amortization'!BT152),BU151-BX151)</f>
        <v>0</v>
      </c>
      <c r="BV152" s="532">
        <f t="shared" ca="1" si="142"/>
        <v>0</v>
      </c>
      <c r="BW152" s="532">
        <f t="shared" ca="1" si="138"/>
        <v>0</v>
      </c>
      <c r="BX152" s="532">
        <f t="shared" ca="1" si="111"/>
        <v>0</v>
      </c>
      <c r="CC152" s="536">
        <f t="shared" ca="1" si="112"/>
        <v>2038</v>
      </c>
      <c r="CD152" s="535">
        <f ca="1"/>
        <v>0</v>
      </c>
      <c r="CF152" s="530">
        <v>151</v>
      </c>
      <c r="CG152" s="531">
        <f t="shared" ca="1" si="139"/>
        <v>50762</v>
      </c>
      <c r="CH152" s="532">
        <f ca="1">IF(CH151=0,SUMIFS('Key Life Events'!$L$3:$L$28,'Key Life Events'!$H$3:$H$28,'Loan Amortization'!$CL$3,'Key Life Events'!$N$3:$N$28,'Loan Amortization'!CG152),CH151-CK151)</f>
        <v>0</v>
      </c>
      <c r="CI152" s="532">
        <f t="shared" ca="1" si="140"/>
        <v>0</v>
      </c>
      <c r="CJ152" s="532">
        <f t="shared" ca="1" si="141"/>
        <v>0</v>
      </c>
      <c r="CK152" s="532">
        <f t="shared" ca="1" si="113"/>
        <v>0</v>
      </c>
      <c r="CP152" s="536">
        <f t="shared" ca="1" si="114"/>
        <v>2038</v>
      </c>
      <c r="CQ152" s="535">
        <f ca="1"/>
        <v>0</v>
      </c>
      <c r="CS152" s="100">
        <f t="shared" si="115"/>
        <v>151</v>
      </c>
      <c r="CT152" s="102">
        <f t="shared" ca="1" si="116"/>
        <v>0</v>
      </c>
      <c r="CU152" s="102">
        <f t="shared" ca="1" si="117"/>
        <v>0</v>
      </c>
      <c r="CV152" s="511">
        <f t="shared" ca="1" si="118"/>
        <v>2038</v>
      </c>
      <c r="CW152" s="1">
        <f t="shared" si="98"/>
        <v>1801</v>
      </c>
      <c r="CX152" s="99">
        <f t="shared" si="99"/>
        <v>0</v>
      </c>
    </row>
    <row r="153" spans="1:102" x14ac:dyDescent="0.3">
      <c r="A153" s="100">
        <v>152</v>
      </c>
      <c r="B153" s="131">
        <f t="shared" si="119"/>
        <v>3771</v>
      </c>
      <c r="C153" s="102">
        <f t="shared" si="120"/>
        <v>0</v>
      </c>
      <c r="D153" s="102">
        <f t="shared" si="121"/>
        <v>0</v>
      </c>
      <c r="E153" s="102">
        <f t="shared" si="101"/>
        <v>0</v>
      </c>
      <c r="F153" s="102">
        <f t="shared" si="122"/>
        <v>0</v>
      </c>
      <c r="L153" s="100">
        <v>152</v>
      </c>
      <c r="M153" s="131">
        <f t="shared" ca="1" si="123"/>
        <v>50793</v>
      </c>
      <c r="N153" s="102">
        <f t="shared" si="124"/>
        <v>0</v>
      </c>
      <c r="O153" s="102">
        <f t="shared" si="125"/>
        <v>0</v>
      </c>
      <c r="P153" s="102">
        <f t="shared" si="102"/>
        <v>0</v>
      </c>
      <c r="Q153" s="102">
        <f t="shared" si="103"/>
        <v>0</v>
      </c>
      <c r="W153" s="100">
        <v>152</v>
      </c>
      <c r="X153" s="131">
        <f t="shared" ca="1" si="126"/>
        <v>50793</v>
      </c>
      <c r="Y153" s="102">
        <f t="shared" si="127"/>
        <v>0</v>
      </c>
      <c r="Z153" s="102">
        <f t="shared" si="128"/>
        <v>0</v>
      </c>
      <c r="AA153" s="102">
        <f t="shared" si="104"/>
        <v>0</v>
      </c>
      <c r="AB153" s="102">
        <f t="shared" si="105"/>
        <v>0</v>
      </c>
      <c r="AH153" s="100">
        <v>152</v>
      </c>
      <c r="AI153" s="131">
        <f t="shared" ca="1" si="129"/>
        <v>50793</v>
      </c>
      <c r="AJ153" s="102">
        <f t="shared" si="130"/>
        <v>0</v>
      </c>
      <c r="AK153" s="102">
        <f t="shared" si="131"/>
        <v>0</v>
      </c>
      <c r="AL153" s="102">
        <f t="shared" si="143"/>
        <v>0</v>
      </c>
      <c r="AM153" s="102">
        <f t="shared" si="106"/>
        <v>0</v>
      </c>
      <c r="AS153" s="530">
        <v>152</v>
      </c>
      <c r="AT153" s="531">
        <f t="shared" ca="1" si="132"/>
        <v>50793</v>
      </c>
      <c r="AU153" s="532">
        <f ca="1">IF(AU152=0,SUMIFS('Key Life Events'!$L$3:$L$28,'Key Life Events'!$H$3:$H$28,'Loan Amortization'!$AY$3,'Key Life Events'!$N$3:$N$28,'Loan Amortization'!AT153),AU152-AX152)</f>
        <v>0</v>
      </c>
      <c r="AV153" s="532">
        <f t="shared" ca="1" si="133"/>
        <v>0</v>
      </c>
      <c r="AW153" s="532">
        <f t="shared" ca="1" si="100"/>
        <v>0</v>
      </c>
      <c r="AX153" s="532">
        <f t="shared" ca="1" si="107"/>
        <v>0</v>
      </c>
      <c r="BC153" s="536">
        <f t="shared" ca="1" si="108"/>
        <v>2039</v>
      </c>
      <c r="BF153" s="530">
        <v>152</v>
      </c>
      <c r="BG153" s="531">
        <f t="shared" ca="1" si="134"/>
        <v>50793</v>
      </c>
      <c r="BH153" s="532">
        <f ca="1">IF(BH152=0,SUMIFS('Key Life Events'!$L$3:$L$28,'Key Life Events'!$H$3:$H$28,'Loan Amortization'!$BL$3,'Key Life Events'!$N$3:$N$28,'Loan Amortization'!BG153),BH152-BK152)</f>
        <v>0</v>
      </c>
      <c r="BI153" s="532">
        <f t="shared" ca="1" si="135"/>
        <v>0</v>
      </c>
      <c r="BJ153" s="532">
        <f t="shared" ca="1" si="136"/>
        <v>0</v>
      </c>
      <c r="BK153" s="532">
        <f t="shared" ca="1" si="109"/>
        <v>0</v>
      </c>
      <c r="BP153" s="536">
        <f t="shared" ca="1" si="110"/>
        <v>2039</v>
      </c>
      <c r="BQ153" s="535">
        <f ca="1"/>
        <v>0</v>
      </c>
      <c r="BS153" s="530">
        <v>152</v>
      </c>
      <c r="BT153" s="531">
        <f t="shared" ca="1" si="137"/>
        <v>50793</v>
      </c>
      <c r="BU153" s="532">
        <f ca="1">IF(BU152=0,SUMIFS('Key Life Events'!$L$3:$L$28,'Key Life Events'!$H$3:$H$28,'Loan Amortization'!$BY$3,'Key Life Events'!$N$3:$N$28,'Loan Amortization'!BT153),BU152-BX152)</f>
        <v>0</v>
      </c>
      <c r="BV153" s="532">
        <f t="shared" ca="1" si="142"/>
        <v>0</v>
      </c>
      <c r="BW153" s="532">
        <f t="shared" ca="1" si="138"/>
        <v>0</v>
      </c>
      <c r="BX153" s="532">
        <f t="shared" ca="1" si="111"/>
        <v>0</v>
      </c>
      <c r="CC153" s="536">
        <f t="shared" ca="1" si="112"/>
        <v>2039</v>
      </c>
      <c r="CD153" s="535">
        <f ca="1"/>
        <v>0</v>
      </c>
      <c r="CF153" s="530">
        <v>152</v>
      </c>
      <c r="CG153" s="531">
        <f t="shared" ca="1" si="139"/>
        <v>50793</v>
      </c>
      <c r="CH153" s="532">
        <f ca="1">IF(CH152=0,SUMIFS('Key Life Events'!$L$3:$L$28,'Key Life Events'!$H$3:$H$28,'Loan Amortization'!$CL$3,'Key Life Events'!$N$3:$N$28,'Loan Amortization'!CG153),CH152-CK152)</f>
        <v>0</v>
      </c>
      <c r="CI153" s="532">
        <f t="shared" ca="1" si="140"/>
        <v>0</v>
      </c>
      <c r="CJ153" s="532">
        <f t="shared" ca="1" si="141"/>
        <v>0</v>
      </c>
      <c r="CK153" s="532">
        <f t="shared" ca="1" si="113"/>
        <v>0</v>
      </c>
      <c r="CP153" s="536">
        <f t="shared" ca="1" si="114"/>
        <v>2039</v>
      </c>
      <c r="CQ153" s="535">
        <f ca="1"/>
        <v>0</v>
      </c>
      <c r="CS153" s="100">
        <f t="shared" si="115"/>
        <v>152</v>
      </c>
      <c r="CT153" s="102">
        <f t="shared" ca="1" si="116"/>
        <v>0</v>
      </c>
      <c r="CU153" s="102">
        <f t="shared" ca="1" si="117"/>
        <v>0</v>
      </c>
      <c r="CV153" s="511">
        <f t="shared" ca="1" si="118"/>
        <v>2039</v>
      </c>
      <c r="CW153" s="1">
        <f t="shared" si="98"/>
        <v>1813</v>
      </c>
      <c r="CX153" s="99">
        <f t="shared" si="99"/>
        <v>0</v>
      </c>
    </row>
    <row r="154" spans="1:102" x14ac:dyDescent="0.3">
      <c r="A154" s="100">
        <v>153</v>
      </c>
      <c r="B154" s="131">
        <f t="shared" si="119"/>
        <v>3801</v>
      </c>
      <c r="C154" s="102">
        <f t="shared" si="120"/>
        <v>0</v>
      </c>
      <c r="D154" s="102">
        <f t="shared" si="121"/>
        <v>0</v>
      </c>
      <c r="E154" s="102">
        <f t="shared" si="101"/>
        <v>0</v>
      </c>
      <c r="F154" s="102">
        <f t="shared" si="122"/>
        <v>0</v>
      </c>
      <c r="L154" s="100">
        <v>153</v>
      </c>
      <c r="M154" s="131">
        <f t="shared" ca="1" si="123"/>
        <v>50824</v>
      </c>
      <c r="N154" s="102">
        <f t="shared" si="124"/>
        <v>0</v>
      </c>
      <c r="O154" s="102">
        <f t="shared" si="125"/>
        <v>0</v>
      </c>
      <c r="P154" s="102">
        <f t="shared" si="102"/>
        <v>0</v>
      </c>
      <c r="Q154" s="102">
        <f t="shared" si="103"/>
        <v>0</v>
      </c>
      <c r="W154" s="100">
        <v>153</v>
      </c>
      <c r="X154" s="131">
        <f t="shared" ca="1" si="126"/>
        <v>50824</v>
      </c>
      <c r="Y154" s="102">
        <f t="shared" si="127"/>
        <v>0</v>
      </c>
      <c r="Z154" s="102">
        <f t="shared" si="128"/>
        <v>0</v>
      </c>
      <c r="AA154" s="102">
        <f t="shared" si="104"/>
        <v>0</v>
      </c>
      <c r="AB154" s="102">
        <f t="shared" si="105"/>
        <v>0</v>
      </c>
      <c r="AH154" s="100">
        <v>153</v>
      </c>
      <c r="AI154" s="131">
        <f t="shared" ca="1" si="129"/>
        <v>50824</v>
      </c>
      <c r="AJ154" s="102">
        <f t="shared" si="130"/>
        <v>0</v>
      </c>
      <c r="AK154" s="102">
        <f t="shared" si="131"/>
        <v>0</v>
      </c>
      <c r="AL154" s="102">
        <f t="shared" si="143"/>
        <v>0</v>
      </c>
      <c r="AM154" s="102">
        <f t="shared" si="106"/>
        <v>0</v>
      </c>
      <c r="AS154" s="530">
        <v>153</v>
      </c>
      <c r="AT154" s="531">
        <f t="shared" ca="1" si="132"/>
        <v>50824</v>
      </c>
      <c r="AU154" s="532">
        <f ca="1">IF(AU153=0,SUMIFS('Key Life Events'!$L$3:$L$28,'Key Life Events'!$H$3:$H$28,'Loan Amortization'!$AY$3,'Key Life Events'!$N$3:$N$28,'Loan Amortization'!AT154),AU153-AX153)</f>
        <v>0</v>
      </c>
      <c r="AV154" s="532">
        <f t="shared" ca="1" si="133"/>
        <v>0</v>
      </c>
      <c r="AW154" s="532">
        <f t="shared" ca="1" si="100"/>
        <v>0</v>
      </c>
      <c r="AX154" s="532">
        <f t="shared" ca="1" si="107"/>
        <v>0</v>
      </c>
      <c r="BC154" s="536">
        <f t="shared" ca="1" si="108"/>
        <v>2039</v>
      </c>
      <c r="BF154" s="530">
        <v>153</v>
      </c>
      <c r="BG154" s="531">
        <f t="shared" ca="1" si="134"/>
        <v>50824</v>
      </c>
      <c r="BH154" s="532">
        <f ca="1">IF(BH153=0,SUMIFS('Key Life Events'!$L$3:$L$28,'Key Life Events'!$H$3:$H$28,'Loan Amortization'!$BL$3,'Key Life Events'!$N$3:$N$28,'Loan Amortization'!BG154),BH153-BK153)</f>
        <v>0</v>
      </c>
      <c r="BI154" s="532">
        <f t="shared" ca="1" si="135"/>
        <v>0</v>
      </c>
      <c r="BJ154" s="532">
        <f t="shared" ca="1" si="136"/>
        <v>0</v>
      </c>
      <c r="BK154" s="532">
        <f t="shared" ca="1" si="109"/>
        <v>0</v>
      </c>
      <c r="BP154" s="536">
        <f t="shared" ca="1" si="110"/>
        <v>2039</v>
      </c>
      <c r="BQ154" s="535">
        <f ca="1"/>
        <v>0</v>
      </c>
      <c r="BS154" s="530">
        <v>153</v>
      </c>
      <c r="BT154" s="531">
        <f t="shared" ca="1" si="137"/>
        <v>50824</v>
      </c>
      <c r="BU154" s="532">
        <f ca="1">IF(BU153=0,SUMIFS('Key Life Events'!$L$3:$L$28,'Key Life Events'!$H$3:$H$28,'Loan Amortization'!$BY$3,'Key Life Events'!$N$3:$N$28,'Loan Amortization'!BT154),BU153-BX153)</f>
        <v>0</v>
      </c>
      <c r="BV154" s="532">
        <f t="shared" ca="1" si="142"/>
        <v>0</v>
      </c>
      <c r="BW154" s="532">
        <f t="shared" ca="1" si="138"/>
        <v>0</v>
      </c>
      <c r="BX154" s="532">
        <f t="shared" ca="1" si="111"/>
        <v>0</v>
      </c>
      <c r="CC154" s="536">
        <f t="shared" ca="1" si="112"/>
        <v>2039</v>
      </c>
      <c r="CD154" s="535">
        <f ca="1"/>
        <v>0</v>
      </c>
      <c r="CF154" s="530">
        <v>153</v>
      </c>
      <c r="CG154" s="531">
        <f t="shared" ca="1" si="139"/>
        <v>50824</v>
      </c>
      <c r="CH154" s="532">
        <f ca="1">IF(CH153=0,SUMIFS('Key Life Events'!$L$3:$L$28,'Key Life Events'!$H$3:$H$28,'Loan Amortization'!$CL$3,'Key Life Events'!$N$3:$N$28,'Loan Amortization'!CG154),CH153-CK153)</f>
        <v>0</v>
      </c>
      <c r="CI154" s="532">
        <f t="shared" ca="1" si="140"/>
        <v>0</v>
      </c>
      <c r="CJ154" s="532">
        <f t="shared" ca="1" si="141"/>
        <v>0</v>
      </c>
      <c r="CK154" s="532">
        <f t="shared" ca="1" si="113"/>
        <v>0</v>
      </c>
      <c r="CP154" s="536">
        <f t="shared" ca="1" si="114"/>
        <v>2039</v>
      </c>
      <c r="CQ154" s="535">
        <f ca="1"/>
        <v>0</v>
      </c>
      <c r="CS154" s="100">
        <f t="shared" si="115"/>
        <v>153</v>
      </c>
      <c r="CT154" s="102">
        <f t="shared" ca="1" si="116"/>
        <v>0</v>
      </c>
      <c r="CU154" s="102">
        <f t="shared" ca="1" si="117"/>
        <v>0</v>
      </c>
      <c r="CV154" s="511">
        <f t="shared" ca="1" si="118"/>
        <v>2039</v>
      </c>
      <c r="CW154" s="1">
        <f t="shared" si="98"/>
        <v>1825</v>
      </c>
      <c r="CX154" s="99">
        <f t="shared" si="99"/>
        <v>0</v>
      </c>
    </row>
    <row r="155" spans="1:102" x14ac:dyDescent="0.3">
      <c r="A155" s="100">
        <v>154</v>
      </c>
      <c r="B155" s="131">
        <f t="shared" si="119"/>
        <v>3832</v>
      </c>
      <c r="C155" s="102">
        <f t="shared" si="120"/>
        <v>0</v>
      </c>
      <c r="D155" s="102">
        <f t="shared" si="121"/>
        <v>0</v>
      </c>
      <c r="E155" s="102">
        <f t="shared" si="101"/>
        <v>0</v>
      </c>
      <c r="F155" s="102">
        <f t="shared" si="122"/>
        <v>0</v>
      </c>
      <c r="L155" s="100">
        <v>154</v>
      </c>
      <c r="M155" s="131">
        <f t="shared" ca="1" si="123"/>
        <v>50852</v>
      </c>
      <c r="N155" s="102">
        <f t="shared" si="124"/>
        <v>0</v>
      </c>
      <c r="O155" s="102">
        <f t="shared" si="125"/>
        <v>0</v>
      </c>
      <c r="P155" s="102">
        <f t="shared" si="102"/>
        <v>0</v>
      </c>
      <c r="Q155" s="102">
        <f t="shared" si="103"/>
        <v>0</v>
      </c>
      <c r="W155" s="100">
        <v>154</v>
      </c>
      <c r="X155" s="131">
        <f t="shared" ca="1" si="126"/>
        <v>50852</v>
      </c>
      <c r="Y155" s="102">
        <f t="shared" si="127"/>
        <v>0</v>
      </c>
      <c r="Z155" s="102">
        <f t="shared" si="128"/>
        <v>0</v>
      </c>
      <c r="AA155" s="102">
        <f t="shared" si="104"/>
        <v>0</v>
      </c>
      <c r="AB155" s="102">
        <f t="shared" si="105"/>
        <v>0</v>
      </c>
      <c r="AH155" s="100">
        <v>154</v>
      </c>
      <c r="AI155" s="131">
        <f t="shared" ca="1" si="129"/>
        <v>50852</v>
      </c>
      <c r="AJ155" s="102">
        <f t="shared" si="130"/>
        <v>0</v>
      </c>
      <c r="AK155" s="102">
        <f t="shared" si="131"/>
        <v>0</v>
      </c>
      <c r="AL155" s="102">
        <f t="shared" si="143"/>
        <v>0</v>
      </c>
      <c r="AM155" s="102">
        <f t="shared" si="106"/>
        <v>0</v>
      </c>
      <c r="AS155" s="530">
        <v>154</v>
      </c>
      <c r="AT155" s="531">
        <f t="shared" ca="1" si="132"/>
        <v>50852</v>
      </c>
      <c r="AU155" s="532">
        <f ca="1">IF(AU154=0,SUMIFS('Key Life Events'!$L$3:$L$28,'Key Life Events'!$H$3:$H$28,'Loan Amortization'!$AY$3,'Key Life Events'!$N$3:$N$28,'Loan Amortization'!AT155),AU154-AX154)</f>
        <v>0</v>
      </c>
      <c r="AV155" s="532">
        <f t="shared" ca="1" si="133"/>
        <v>0</v>
      </c>
      <c r="AW155" s="532">
        <f t="shared" ca="1" si="100"/>
        <v>0</v>
      </c>
      <c r="AX155" s="532">
        <f t="shared" ca="1" si="107"/>
        <v>0</v>
      </c>
      <c r="BC155" s="536">
        <f t="shared" ca="1" si="108"/>
        <v>2039</v>
      </c>
      <c r="BF155" s="530">
        <v>154</v>
      </c>
      <c r="BG155" s="531">
        <f t="shared" ca="1" si="134"/>
        <v>50852</v>
      </c>
      <c r="BH155" s="532">
        <f ca="1">IF(BH154=0,SUMIFS('Key Life Events'!$L$3:$L$28,'Key Life Events'!$H$3:$H$28,'Loan Amortization'!$BL$3,'Key Life Events'!$N$3:$N$28,'Loan Amortization'!BG155),BH154-BK154)</f>
        <v>0</v>
      </c>
      <c r="BI155" s="532">
        <f t="shared" ca="1" si="135"/>
        <v>0</v>
      </c>
      <c r="BJ155" s="532">
        <f t="shared" ca="1" si="136"/>
        <v>0</v>
      </c>
      <c r="BK155" s="532">
        <f t="shared" ca="1" si="109"/>
        <v>0</v>
      </c>
      <c r="BP155" s="536">
        <f t="shared" ca="1" si="110"/>
        <v>2039</v>
      </c>
      <c r="BQ155" s="535">
        <f ca="1"/>
        <v>0</v>
      </c>
      <c r="BS155" s="530">
        <v>154</v>
      </c>
      <c r="BT155" s="531">
        <f t="shared" ca="1" si="137"/>
        <v>50852</v>
      </c>
      <c r="BU155" s="532">
        <f ca="1">IF(BU154=0,SUMIFS('Key Life Events'!$L$3:$L$28,'Key Life Events'!$H$3:$H$28,'Loan Amortization'!$BY$3,'Key Life Events'!$N$3:$N$28,'Loan Amortization'!BT155),BU154-BX154)</f>
        <v>0</v>
      </c>
      <c r="BV155" s="532">
        <f t="shared" ca="1" si="142"/>
        <v>0</v>
      </c>
      <c r="BW155" s="532">
        <f t="shared" ca="1" si="138"/>
        <v>0</v>
      </c>
      <c r="BX155" s="532">
        <f t="shared" ca="1" si="111"/>
        <v>0</v>
      </c>
      <c r="CC155" s="536">
        <f t="shared" ca="1" si="112"/>
        <v>2039</v>
      </c>
      <c r="CD155" s="535">
        <f ca="1"/>
        <v>0</v>
      </c>
      <c r="CF155" s="530">
        <v>154</v>
      </c>
      <c r="CG155" s="531">
        <f t="shared" ca="1" si="139"/>
        <v>50852</v>
      </c>
      <c r="CH155" s="532">
        <f ca="1">IF(CH154=0,SUMIFS('Key Life Events'!$L$3:$L$28,'Key Life Events'!$H$3:$H$28,'Loan Amortization'!$CL$3,'Key Life Events'!$N$3:$N$28,'Loan Amortization'!CG155),CH154-CK154)</f>
        <v>0</v>
      </c>
      <c r="CI155" s="532">
        <f t="shared" ca="1" si="140"/>
        <v>0</v>
      </c>
      <c r="CJ155" s="532">
        <f t="shared" ca="1" si="141"/>
        <v>0</v>
      </c>
      <c r="CK155" s="532">
        <f t="shared" ca="1" si="113"/>
        <v>0</v>
      </c>
      <c r="CP155" s="536">
        <f t="shared" ca="1" si="114"/>
        <v>2039</v>
      </c>
      <c r="CQ155" s="535">
        <f ca="1"/>
        <v>0</v>
      </c>
      <c r="CS155" s="100">
        <f t="shared" si="115"/>
        <v>154</v>
      </c>
      <c r="CT155" s="102">
        <f t="shared" ca="1" si="116"/>
        <v>0</v>
      </c>
      <c r="CU155" s="102">
        <f t="shared" ca="1" si="117"/>
        <v>0</v>
      </c>
      <c r="CV155" s="511">
        <f t="shared" ca="1" si="118"/>
        <v>2039</v>
      </c>
      <c r="CW155" s="1">
        <f t="shared" si="98"/>
        <v>1837</v>
      </c>
      <c r="CX155" s="99">
        <f t="shared" si="99"/>
        <v>0</v>
      </c>
    </row>
    <row r="156" spans="1:102" x14ac:dyDescent="0.3">
      <c r="A156" s="100">
        <v>155</v>
      </c>
      <c r="B156" s="131">
        <f t="shared" si="119"/>
        <v>3862</v>
      </c>
      <c r="C156" s="102">
        <f t="shared" si="120"/>
        <v>0</v>
      </c>
      <c r="D156" s="102">
        <f t="shared" si="121"/>
        <v>0</v>
      </c>
      <c r="E156" s="102">
        <f t="shared" si="101"/>
        <v>0</v>
      </c>
      <c r="F156" s="102">
        <f t="shared" si="122"/>
        <v>0</v>
      </c>
      <c r="L156" s="100">
        <v>155</v>
      </c>
      <c r="M156" s="131">
        <f t="shared" ca="1" si="123"/>
        <v>50883</v>
      </c>
      <c r="N156" s="102">
        <f t="shared" si="124"/>
        <v>0</v>
      </c>
      <c r="O156" s="102">
        <f t="shared" si="125"/>
        <v>0</v>
      </c>
      <c r="P156" s="102">
        <f t="shared" si="102"/>
        <v>0</v>
      </c>
      <c r="Q156" s="102">
        <f t="shared" si="103"/>
        <v>0</v>
      </c>
      <c r="W156" s="100">
        <v>155</v>
      </c>
      <c r="X156" s="131">
        <f t="shared" ca="1" si="126"/>
        <v>50883</v>
      </c>
      <c r="Y156" s="102">
        <f t="shared" si="127"/>
        <v>0</v>
      </c>
      <c r="Z156" s="102">
        <f t="shared" si="128"/>
        <v>0</v>
      </c>
      <c r="AA156" s="102">
        <f t="shared" si="104"/>
        <v>0</v>
      </c>
      <c r="AB156" s="102">
        <f t="shared" si="105"/>
        <v>0</v>
      </c>
      <c r="AH156" s="100">
        <v>155</v>
      </c>
      <c r="AI156" s="131">
        <f t="shared" ca="1" si="129"/>
        <v>50883</v>
      </c>
      <c r="AJ156" s="102">
        <f t="shared" si="130"/>
        <v>0</v>
      </c>
      <c r="AK156" s="102">
        <f t="shared" si="131"/>
        <v>0</v>
      </c>
      <c r="AL156" s="102">
        <f t="shared" si="143"/>
        <v>0</v>
      </c>
      <c r="AM156" s="102">
        <f t="shared" si="106"/>
        <v>0</v>
      </c>
      <c r="AS156" s="530">
        <v>155</v>
      </c>
      <c r="AT156" s="531">
        <f t="shared" ca="1" si="132"/>
        <v>50883</v>
      </c>
      <c r="AU156" s="532">
        <f ca="1">IF(AU155=0,SUMIFS('Key Life Events'!$L$3:$L$28,'Key Life Events'!$H$3:$H$28,'Loan Amortization'!$AY$3,'Key Life Events'!$N$3:$N$28,'Loan Amortization'!AT156),AU155-AX155)</f>
        <v>0</v>
      </c>
      <c r="AV156" s="532">
        <f t="shared" ca="1" si="133"/>
        <v>0</v>
      </c>
      <c r="AW156" s="532">
        <f t="shared" ca="1" si="100"/>
        <v>0</v>
      </c>
      <c r="AX156" s="532">
        <f t="shared" ca="1" si="107"/>
        <v>0</v>
      </c>
      <c r="BC156" s="536">
        <f t="shared" ca="1" si="108"/>
        <v>2039</v>
      </c>
      <c r="BF156" s="530">
        <v>155</v>
      </c>
      <c r="BG156" s="531">
        <f t="shared" ca="1" si="134"/>
        <v>50883</v>
      </c>
      <c r="BH156" s="532">
        <f ca="1">IF(BH155=0,SUMIFS('Key Life Events'!$L$3:$L$28,'Key Life Events'!$H$3:$H$28,'Loan Amortization'!$BL$3,'Key Life Events'!$N$3:$N$28,'Loan Amortization'!BG156),BH155-BK155)</f>
        <v>0</v>
      </c>
      <c r="BI156" s="532">
        <f t="shared" ca="1" si="135"/>
        <v>0</v>
      </c>
      <c r="BJ156" s="532">
        <f t="shared" ca="1" si="136"/>
        <v>0</v>
      </c>
      <c r="BK156" s="532">
        <f t="shared" ca="1" si="109"/>
        <v>0</v>
      </c>
      <c r="BP156" s="536">
        <f t="shared" ca="1" si="110"/>
        <v>2039</v>
      </c>
      <c r="BQ156" s="535">
        <f ca="1"/>
        <v>0</v>
      </c>
      <c r="BS156" s="530">
        <v>155</v>
      </c>
      <c r="BT156" s="531">
        <f t="shared" ca="1" si="137"/>
        <v>50883</v>
      </c>
      <c r="BU156" s="532">
        <f ca="1">IF(BU155=0,SUMIFS('Key Life Events'!$L$3:$L$28,'Key Life Events'!$H$3:$H$28,'Loan Amortization'!$BY$3,'Key Life Events'!$N$3:$N$28,'Loan Amortization'!BT156),BU155-BX155)</f>
        <v>0</v>
      </c>
      <c r="BV156" s="532">
        <f t="shared" ca="1" si="142"/>
        <v>0</v>
      </c>
      <c r="BW156" s="532">
        <f t="shared" ca="1" si="138"/>
        <v>0</v>
      </c>
      <c r="BX156" s="532">
        <f t="shared" ca="1" si="111"/>
        <v>0</v>
      </c>
      <c r="CC156" s="536">
        <f t="shared" ca="1" si="112"/>
        <v>2039</v>
      </c>
      <c r="CD156" s="535">
        <f ca="1"/>
        <v>0</v>
      </c>
      <c r="CF156" s="530">
        <v>155</v>
      </c>
      <c r="CG156" s="531">
        <f t="shared" ca="1" si="139"/>
        <v>50883</v>
      </c>
      <c r="CH156" s="532">
        <f ca="1">IF(CH155=0,SUMIFS('Key Life Events'!$L$3:$L$28,'Key Life Events'!$H$3:$H$28,'Loan Amortization'!$CL$3,'Key Life Events'!$N$3:$N$28,'Loan Amortization'!CG156),CH155-CK155)</f>
        <v>0</v>
      </c>
      <c r="CI156" s="532">
        <f t="shared" ca="1" si="140"/>
        <v>0</v>
      </c>
      <c r="CJ156" s="532">
        <f t="shared" ca="1" si="141"/>
        <v>0</v>
      </c>
      <c r="CK156" s="532">
        <f t="shared" ca="1" si="113"/>
        <v>0</v>
      </c>
      <c r="CP156" s="536">
        <f t="shared" ca="1" si="114"/>
        <v>2039</v>
      </c>
      <c r="CQ156" s="535">
        <f ca="1"/>
        <v>0</v>
      </c>
      <c r="CS156" s="100">
        <f t="shared" si="115"/>
        <v>155</v>
      </c>
      <c r="CT156" s="102">
        <f t="shared" ca="1" si="116"/>
        <v>0</v>
      </c>
      <c r="CU156" s="102">
        <f t="shared" ca="1" si="117"/>
        <v>0</v>
      </c>
      <c r="CV156" s="511">
        <f t="shared" ca="1" si="118"/>
        <v>2039</v>
      </c>
      <c r="CW156" s="1">
        <f t="shared" si="98"/>
        <v>1849</v>
      </c>
      <c r="CX156" s="99">
        <f t="shared" si="99"/>
        <v>0</v>
      </c>
    </row>
    <row r="157" spans="1:102" x14ac:dyDescent="0.3">
      <c r="A157" s="100">
        <v>156</v>
      </c>
      <c r="B157" s="131">
        <f t="shared" si="119"/>
        <v>3893</v>
      </c>
      <c r="C157" s="102">
        <f t="shared" si="120"/>
        <v>0</v>
      </c>
      <c r="D157" s="102">
        <f t="shared" si="121"/>
        <v>0</v>
      </c>
      <c r="E157" s="102">
        <f t="shared" si="101"/>
        <v>0</v>
      </c>
      <c r="F157" s="102">
        <f t="shared" si="122"/>
        <v>0</v>
      </c>
      <c r="L157" s="100">
        <v>156</v>
      </c>
      <c r="M157" s="131">
        <f t="shared" ca="1" si="123"/>
        <v>50913</v>
      </c>
      <c r="N157" s="102">
        <f t="shared" si="124"/>
        <v>0</v>
      </c>
      <c r="O157" s="102">
        <f t="shared" si="125"/>
        <v>0</v>
      </c>
      <c r="P157" s="102">
        <f t="shared" si="102"/>
        <v>0</v>
      </c>
      <c r="Q157" s="102">
        <f t="shared" si="103"/>
        <v>0</v>
      </c>
      <c r="W157" s="100">
        <v>156</v>
      </c>
      <c r="X157" s="131">
        <f t="shared" ca="1" si="126"/>
        <v>50913</v>
      </c>
      <c r="Y157" s="102">
        <f t="shared" si="127"/>
        <v>0</v>
      </c>
      <c r="Z157" s="102">
        <f t="shared" si="128"/>
        <v>0</v>
      </c>
      <c r="AA157" s="102">
        <f t="shared" si="104"/>
        <v>0</v>
      </c>
      <c r="AB157" s="102">
        <f t="shared" si="105"/>
        <v>0</v>
      </c>
      <c r="AH157" s="100">
        <v>156</v>
      </c>
      <c r="AI157" s="131">
        <f t="shared" ca="1" si="129"/>
        <v>50913</v>
      </c>
      <c r="AJ157" s="102">
        <f t="shared" si="130"/>
        <v>0</v>
      </c>
      <c r="AK157" s="102">
        <f t="shared" si="131"/>
        <v>0</v>
      </c>
      <c r="AL157" s="102">
        <f t="shared" si="143"/>
        <v>0</v>
      </c>
      <c r="AM157" s="102">
        <f t="shared" si="106"/>
        <v>0</v>
      </c>
      <c r="AS157" s="530">
        <v>156</v>
      </c>
      <c r="AT157" s="531">
        <f t="shared" ca="1" si="132"/>
        <v>50913</v>
      </c>
      <c r="AU157" s="532">
        <f ca="1">IF(AU156=0,SUMIFS('Key Life Events'!$L$3:$L$28,'Key Life Events'!$H$3:$H$28,'Loan Amortization'!$AY$3,'Key Life Events'!$N$3:$N$28,'Loan Amortization'!AT157),AU156-AX156)</f>
        <v>0</v>
      </c>
      <c r="AV157" s="532">
        <f t="shared" ca="1" si="133"/>
        <v>0</v>
      </c>
      <c r="AW157" s="532">
        <f t="shared" ca="1" si="100"/>
        <v>0</v>
      </c>
      <c r="AX157" s="532">
        <f t="shared" ca="1" si="107"/>
        <v>0</v>
      </c>
      <c r="BC157" s="536">
        <f t="shared" ca="1" si="108"/>
        <v>2039</v>
      </c>
      <c r="BF157" s="530">
        <v>156</v>
      </c>
      <c r="BG157" s="531">
        <f t="shared" ca="1" si="134"/>
        <v>50913</v>
      </c>
      <c r="BH157" s="532">
        <f ca="1">IF(BH156=0,SUMIFS('Key Life Events'!$L$3:$L$28,'Key Life Events'!$H$3:$H$28,'Loan Amortization'!$BL$3,'Key Life Events'!$N$3:$N$28,'Loan Amortization'!BG157),BH156-BK156)</f>
        <v>0</v>
      </c>
      <c r="BI157" s="532">
        <f t="shared" ca="1" si="135"/>
        <v>0</v>
      </c>
      <c r="BJ157" s="532">
        <f t="shared" ca="1" si="136"/>
        <v>0</v>
      </c>
      <c r="BK157" s="532">
        <f t="shared" ca="1" si="109"/>
        <v>0</v>
      </c>
      <c r="BP157" s="536">
        <f t="shared" ca="1" si="110"/>
        <v>2039</v>
      </c>
      <c r="BQ157" s="535">
        <f ca="1"/>
        <v>0</v>
      </c>
      <c r="BS157" s="530">
        <v>156</v>
      </c>
      <c r="BT157" s="531">
        <f t="shared" ca="1" si="137"/>
        <v>50913</v>
      </c>
      <c r="BU157" s="532">
        <f ca="1">IF(BU156=0,SUMIFS('Key Life Events'!$L$3:$L$28,'Key Life Events'!$H$3:$H$28,'Loan Amortization'!$BY$3,'Key Life Events'!$N$3:$N$28,'Loan Amortization'!BT157),BU156-BX156)</f>
        <v>0</v>
      </c>
      <c r="BV157" s="532">
        <f t="shared" ca="1" si="142"/>
        <v>0</v>
      </c>
      <c r="BW157" s="532">
        <f t="shared" ca="1" si="138"/>
        <v>0</v>
      </c>
      <c r="BX157" s="532">
        <f t="shared" ca="1" si="111"/>
        <v>0</v>
      </c>
      <c r="CC157" s="536">
        <f t="shared" ca="1" si="112"/>
        <v>2039</v>
      </c>
      <c r="CD157" s="535">
        <f ca="1"/>
        <v>0</v>
      </c>
      <c r="CF157" s="530">
        <v>156</v>
      </c>
      <c r="CG157" s="531">
        <f t="shared" ca="1" si="139"/>
        <v>50913</v>
      </c>
      <c r="CH157" s="532">
        <f ca="1">IF(CH156=0,SUMIFS('Key Life Events'!$L$3:$L$28,'Key Life Events'!$H$3:$H$28,'Loan Amortization'!$CL$3,'Key Life Events'!$N$3:$N$28,'Loan Amortization'!CG157),CH156-CK156)</f>
        <v>0</v>
      </c>
      <c r="CI157" s="532">
        <f t="shared" ca="1" si="140"/>
        <v>0</v>
      </c>
      <c r="CJ157" s="532">
        <f t="shared" ca="1" si="141"/>
        <v>0</v>
      </c>
      <c r="CK157" s="532">
        <f t="shared" ca="1" si="113"/>
        <v>0</v>
      </c>
      <c r="CP157" s="536">
        <f t="shared" ca="1" si="114"/>
        <v>2039</v>
      </c>
      <c r="CQ157" s="535">
        <f ca="1"/>
        <v>0</v>
      </c>
      <c r="CS157" s="100">
        <f t="shared" si="115"/>
        <v>156</v>
      </c>
      <c r="CT157" s="102">
        <f t="shared" ca="1" si="116"/>
        <v>0</v>
      </c>
      <c r="CU157" s="102">
        <f t="shared" ca="1" si="117"/>
        <v>0</v>
      </c>
      <c r="CV157" s="511">
        <f t="shared" ca="1" si="118"/>
        <v>2039</v>
      </c>
      <c r="CW157" s="1">
        <f t="shared" si="98"/>
        <v>1861</v>
      </c>
      <c r="CX157" s="99">
        <f t="shared" si="99"/>
        <v>0</v>
      </c>
    </row>
    <row r="158" spans="1:102" x14ac:dyDescent="0.3">
      <c r="A158" s="100">
        <v>157</v>
      </c>
      <c r="B158" s="131">
        <f t="shared" si="119"/>
        <v>3924</v>
      </c>
      <c r="C158" s="102">
        <f t="shared" si="120"/>
        <v>0</v>
      </c>
      <c r="D158" s="102">
        <f t="shared" si="121"/>
        <v>0</v>
      </c>
      <c r="E158" s="102">
        <f t="shared" si="101"/>
        <v>0</v>
      </c>
      <c r="F158" s="102">
        <f t="shared" si="122"/>
        <v>0</v>
      </c>
      <c r="L158" s="100">
        <v>157</v>
      </c>
      <c r="M158" s="131">
        <f t="shared" ca="1" si="123"/>
        <v>50944</v>
      </c>
      <c r="N158" s="102">
        <f t="shared" si="124"/>
        <v>0</v>
      </c>
      <c r="O158" s="102">
        <f t="shared" si="125"/>
        <v>0</v>
      </c>
      <c r="P158" s="102">
        <f t="shared" si="102"/>
        <v>0</v>
      </c>
      <c r="Q158" s="102">
        <f t="shared" si="103"/>
        <v>0</v>
      </c>
      <c r="W158" s="100">
        <v>157</v>
      </c>
      <c r="X158" s="131">
        <f t="shared" ca="1" si="126"/>
        <v>50944</v>
      </c>
      <c r="Y158" s="102">
        <f t="shared" si="127"/>
        <v>0</v>
      </c>
      <c r="Z158" s="102">
        <f t="shared" si="128"/>
        <v>0</v>
      </c>
      <c r="AA158" s="102">
        <f t="shared" si="104"/>
        <v>0</v>
      </c>
      <c r="AB158" s="102">
        <f t="shared" si="105"/>
        <v>0</v>
      </c>
      <c r="AH158" s="100">
        <v>157</v>
      </c>
      <c r="AI158" s="131">
        <f t="shared" ca="1" si="129"/>
        <v>50944</v>
      </c>
      <c r="AJ158" s="102">
        <f t="shared" si="130"/>
        <v>0</v>
      </c>
      <c r="AK158" s="102">
        <f t="shared" si="131"/>
        <v>0</v>
      </c>
      <c r="AL158" s="102">
        <f t="shared" si="143"/>
        <v>0</v>
      </c>
      <c r="AM158" s="102">
        <f t="shared" si="106"/>
        <v>0</v>
      </c>
      <c r="AS158" s="530">
        <v>157</v>
      </c>
      <c r="AT158" s="531">
        <f t="shared" ca="1" si="132"/>
        <v>50944</v>
      </c>
      <c r="AU158" s="532">
        <f ca="1">IF(AU157=0,SUMIFS('Key Life Events'!$L$3:$L$28,'Key Life Events'!$H$3:$H$28,'Loan Amortization'!$AY$3,'Key Life Events'!$N$3:$N$28,'Loan Amortization'!AT158),AU157-AX157)</f>
        <v>0</v>
      </c>
      <c r="AV158" s="532">
        <f t="shared" ca="1" si="133"/>
        <v>0</v>
      </c>
      <c r="AW158" s="532">
        <f t="shared" ca="1" si="100"/>
        <v>0</v>
      </c>
      <c r="AX158" s="532">
        <f t="shared" ca="1" si="107"/>
        <v>0</v>
      </c>
      <c r="BC158" s="536">
        <f t="shared" ca="1" si="108"/>
        <v>2039</v>
      </c>
      <c r="BF158" s="530">
        <v>157</v>
      </c>
      <c r="BG158" s="531">
        <f t="shared" ca="1" si="134"/>
        <v>50944</v>
      </c>
      <c r="BH158" s="532">
        <f ca="1">IF(BH157=0,SUMIFS('Key Life Events'!$L$3:$L$28,'Key Life Events'!$H$3:$H$28,'Loan Amortization'!$BL$3,'Key Life Events'!$N$3:$N$28,'Loan Amortization'!BG158),BH157-BK157)</f>
        <v>0</v>
      </c>
      <c r="BI158" s="532">
        <f t="shared" ca="1" si="135"/>
        <v>0</v>
      </c>
      <c r="BJ158" s="532">
        <f t="shared" ca="1" si="136"/>
        <v>0</v>
      </c>
      <c r="BK158" s="532">
        <f t="shared" ca="1" si="109"/>
        <v>0</v>
      </c>
      <c r="BP158" s="536">
        <f t="shared" ca="1" si="110"/>
        <v>2039</v>
      </c>
      <c r="BQ158" s="535">
        <f ca="1"/>
        <v>0</v>
      </c>
      <c r="BS158" s="530">
        <v>157</v>
      </c>
      <c r="BT158" s="531">
        <f t="shared" ca="1" si="137"/>
        <v>50944</v>
      </c>
      <c r="BU158" s="532">
        <f ca="1">IF(BU157=0,SUMIFS('Key Life Events'!$L$3:$L$28,'Key Life Events'!$H$3:$H$28,'Loan Amortization'!$BY$3,'Key Life Events'!$N$3:$N$28,'Loan Amortization'!BT158),BU157-BX157)</f>
        <v>0</v>
      </c>
      <c r="BV158" s="532">
        <f t="shared" ca="1" si="142"/>
        <v>0</v>
      </c>
      <c r="BW158" s="532">
        <f t="shared" ca="1" si="138"/>
        <v>0</v>
      </c>
      <c r="BX158" s="532">
        <f t="shared" ca="1" si="111"/>
        <v>0</v>
      </c>
      <c r="CC158" s="536">
        <f t="shared" ca="1" si="112"/>
        <v>2039</v>
      </c>
      <c r="CD158" s="535">
        <f ca="1"/>
        <v>0</v>
      </c>
      <c r="CF158" s="530">
        <v>157</v>
      </c>
      <c r="CG158" s="531">
        <f t="shared" ca="1" si="139"/>
        <v>50944</v>
      </c>
      <c r="CH158" s="532">
        <f ca="1">IF(CH157=0,SUMIFS('Key Life Events'!$L$3:$L$28,'Key Life Events'!$H$3:$H$28,'Loan Amortization'!$CL$3,'Key Life Events'!$N$3:$N$28,'Loan Amortization'!CG158),CH157-CK157)</f>
        <v>0</v>
      </c>
      <c r="CI158" s="532">
        <f t="shared" ca="1" si="140"/>
        <v>0</v>
      </c>
      <c r="CJ158" s="532">
        <f t="shared" ca="1" si="141"/>
        <v>0</v>
      </c>
      <c r="CK158" s="532">
        <f t="shared" ca="1" si="113"/>
        <v>0</v>
      </c>
      <c r="CP158" s="536">
        <f t="shared" ca="1" si="114"/>
        <v>2039</v>
      </c>
      <c r="CQ158" s="535">
        <f ca="1"/>
        <v>0</v>
      </c>
      <c r="CS158" s="100">
        <f t="shared" si="115"/>
        <v>157</v>
      </c>
      <c r="CT158" s="102">
        <f t="shared" ca="1" si="116"/>
        <v>0</v>
      </c>
      <c r="CU158" s="102">
        <f t="shared" ca="1" si="117"/>
        <v>0</v>
      </c>
      <c r="CV158" s="511">
        <f t="shared" ca="1" si="118"/>
        <v>2039</v>
      </c>
      <c r="CW158" s="1">
        <f t="shared" si="98"/>
        <v>1873</v>
      </c>
      <c r="CX158" s="99">
        <f t="shared" si="99"/>
        <v>0</v>
      </c>
    </row>
    <row r="159" spans="1:102" x14ac:dyDescent="0.3">
      <c r="A159" s="100">
        <v>158</v>
      </c>
      <c r="B159" s="131">
        <f t="shared" si="119"/>
        <v>3954</v>
      </c>
      <c r="C159" s="102">
        <f t="shared" si="120"/>
        <v>0</v>
      </c>
      <c r="D159" s="102">
        <f t="shared" si="121"/>
        <v>0</v>
      </c>
      <c r="E159" s="102">
        <f t="shared" si="101"/>
        <v>0</v>
      </c>
      <c r="F159" s="102">
        <f t="shared" si="122"/>
        <v>0</v>
      </c>
      <c r="L159" s="100">
        <v>158</v>
      </c>
      <c r="M159" s="131">
        <f t="shared" ca="1" si="123"/>
        <v>50974</v>
      </c>
      <c r="N159" s="102">
        <f t="shared" si="124"/>
        <v>0</v>
      </c>
      <c r="O159" s="102">
        <f t="shared" si="125"/>
        <v>0</v>
      </c>
      <c r="P159" s="102">
        <f t="shared" si="102"/>
        <v>0</v>
      </c>
      <c r="Q159" s="102">
        <f t="shared" si="103"/>
        <v>0</v>
      </c>
      <c r="W159" s="100">
        <v>158</v>
      </c>
      <c r="X159" s="131">
        <f t="shared" ca="1" si="126"/>
        <v>50974</v>
      </c>
      <c r="Y159" s="102">
        <f t="shared" si="127"/>
        <v>0</v>
      </c>
      <c r="Z159" s="102">
        <f t="shared" si="128"/>
        <v>0</v>
      </c>
      <c r="AA159" s="102">
        <f t="shared" si="104"/>
        <v>0</v>
      </c>
      <c r="AB159" s="102">
        <f t="shared" si="105"/>
        <v>0</v>
      </c>
      <c r="AH159" s="100">
        <v>158</v>
      </c>
      <c r="AI159" s="131">
        <f t="shared" ca="1" si="129"/>
        <v>50974</v>
      </c>
      <c r="AJ159" s="102">
        <f t="shared" si="130"/>
        <v>0</v>
      </c>
      <c r="AK159" s="102">
        <f t="shared" si="131"/>
        <v>0</v>
      </c>
      <c r="AL159" s="102">
        <f t="shared" si="143"/>
        <v>0</v>
      </c>
      <c r="AM159" s="102">
        <f t="shared" si="106"/>
        <v>0</v>
      </c>
      <c r="AS159" s="530">
        <v>158</v>
      </c>
      <c r="AT159" s="531">
        <f t="shared" ca="1" si="132"/>
        <v>50974</v>
      </c>
      <c r="AU159" s="532">
        <f ca="1">IF(AU158=0,SUMIFS('Key Life Events'!$L$3:$L$28,'Key Life Events'!$H$3:$H$28,'Loan Amortization'!$AY$3,'Key Life Events'!$N$3:$N$28,'Loan Amortization'!AT159),AU158-AX158)</f>
        <v>0</v>
      </c>
      <c r="AV159" s="532">
        <f t="shared" ca="1" si="133"/>
        <v>0</v>
      </c>
      <c r="AW159" s="532">
        <f t="shared" ca="1" si="100"/>
        <v>0</v>
      </c>
      <c r="AX159" s="532">
        <f t="shared" ca="1" si="107"/>
        <v>0</v>
      </c>
      <c r="BC159" s="536">
        <f t="shared" ca="1" si="108"/>
        <v>2039</v>
      </c>
      <c r="BF159" s="530">
        <v>158</v>
      </c>
      <c r="BG159" s="531">
        <f t="shared" ca="1" si="134"/>
        <v>50974</v>
      </c>
      <c r="BH159" s="532">
        <f ca="1">IF(BH158=0,SUMIFS('Key Life Events'!$L$3:$L$28,'Key Life Events'!$H$3:$H$28,'Loan Amortization'!$BL$3,'Key Life Events'!$N$3:$N$28,'Loan Amortization'!BG159),BH158-BK158)</f>
        <v>0</v>
      </c>
      <c r="BI159" s="532">
        <f t="shared" ca="1" si="135"/>
        <v>0</v>
      </c>
      <c r="BJ159" s="532">
        <f t="shared" ca="1" si="136"/>
        <v>0</v>
      </c>
      <c r="BK159" s="532">
        <f t="shared" ca="1" si="109"/>
        <v>0</v>
      </c>
      <c r="BP159" s="536">
        <f t="shared" ca="1" si="110"/>
        <v>2039</v>
      </c>
      <c r="BQ159" s="535">
        <f ca="1"/>
        <v>0</v>
      </c>
      <c r="BS159" s="530">
        <v>158</v>
      </c>
      <c r="BT159" s="531">
        <f t="shared" ca="1" si="137"/>
        <v>50974</v>
      </c>
      <c r="BU159" s="532">
        <f ca="1">IF(BU158=0,SUMIFS('Key Life Events'!$L$3:$L$28,'Key Life Events'!$H$3:$H$28,'Loan Amortization'!$BY$3,'Key Life Events'!$N$3:$N$28,'Loan Amortization'!BT159),BU158-BX158)</f>
        <v>0</v>
      </c>
      <c r="BV159" s="532">
        <f t="shared" ca="1" si="142"/>
        <v>0</v>
      </c>
      <c r="BW159" s="532">
        <f t="shared" ca="1" si="138"/>
        <v>0</v>
      </c>
      <c r="BX159" s="532">
        <f t="shared" ca="1" si="111"/>
        <v>0</v>
      </c>
      <c r="CC159" s="536">
        <f t="shared" ca="1" si="112"/>
        <v>2039</v>
      </c>
      <c r="CD159" s="535">
        <f ca="1"/>
        <v>0</v>
      </c>
      <c r="CF159" s="530">
        <v>158</v>
      </c>
      <c r="CG159" s="531">
        <f t="shared" ca="1" si="139"/>
        <v>50974</v>
      </c>
      <c r="CH159" s="532">
        <f ca="1">IF(CH158=0,SUMIFS('Key Life Events'!$L$3:$L$28,'Key Life Events'!$H$3:$H$28,'Loan Amortization'!$CL$3,'Key Life Events'!$N$3:$N$28,'Loan Amortization'!CG159),CH158-CK158)</f>
        <v>0</v>
      </c>
      <c r="CI159" s="532">
        <f t="shared" ca="1" si="140"/>
        <v>0</v>
      </c>
      <c r="CJ159" s="532">
        <f t="shared" ca="1" si="141"/>
        <v>0</v>
      </c>
      <c r="CK159" s="532">
        <f t="shared" ca="1" si="113"/>
        <v>0</v>
      </c>
      <c r="CP159" s="536">
        <f t="shared" ca="1" si="114"/>
        <v>2039</v>
      </c>
      <c r="CQ159" s="535">
        <f ca="1"/>
        <v>0</v>
      </c>
      <c r="CS159" s="100">
        <f t="shared" si="115"/>
        <v>158</v>
      </c>
      <c r="CT159" s="102">
        <f t="shared" ca="1" si="116"/>
        <v>0</v>
      </c>
      <c r="CU159" s="102">
        <f t="shared" ca="1" si="117"/>
        <v>0</v>
      </c>
      <c r="CV159" s="511">
        <f t="shared" ca="1" si="118"/>
        <v>2039</v>
      </c>
      <c r="CW159" s="1">
        <f t="shared" si="98"/>
        <v>1885</v>
      </c>
      <c r="CX159" s="99">
        <f t="shared" si="99"/>
        <v>0</v>
      </c>
    </row>
    <row r="160" spans="1:102" x14ac:dyDescent="0.3">
      <c r="A160" s="100">
        <v>159</v>
      </c>
      <c r="B160" s="131">
        <f t="shared" si="119"/>
        <v>3985</v>
      </c>
      <c r="C160" s="102">
        <f t="shared" si="120"/>
        <v>0</v>
      </c>
      <c r="D160" s="102">
        <f t="shared" si="121"/>
        <v>0</v>
      </c>
      <c r="E160" s="102">
        <f t="shared" si="101"/>
        <v>0</v>
      </c>
      <c r="F160" s="102">
        <f t="shared" si="122"/>
        <v>0</v>
      </c>
      <c r="L160" s="100">
        <v>159</v>
      </c>
      <c r="M160" s="131">
        <f t="shared" ca="1" si="123"/>
        <v>51005</v>
      </c>
      <c r="N160" s="102">
        <f t="shared" si="124"/>
        <v>0</v>
      </c>
      <c r="O160" s="102">
        <f t="shared" si="125"/>
        <v>0</v>
      </c>
      <c r="P160" s="102">
        <f t="shared" si="102"/>
        <v>0</v>
      </c>
      <c r="Q160" s="102">
        <f t="shared" si="103"/>
        <v>0</v>
      </c>
      <c r="W160" s="100">
        <v>159</v>
      </c>
      <c r="X160" s="131">
        <f t="shared" ca="1" si="126"/>
        <v>51005</v>
      </c>
      <c r="Y160" s="102">
        <f t="shared" si="127"/>
        <v>0</v>
      </c>
      <c r="Z160" s="102">
        <f t="shared" si="128"/>
        <v>0</v>
      </c>
      <c r="AA160" s="102">
        <f t="shared" si="104"/>
        <v>0</v>
      </c>
      <c r="AB160" s="102">
        <f t="shared" si="105"/>
        <v>0</v>
      </c>
      <c r="AH160" s="100">
        <v>159</v>
      </c>
      <c r="AI160" s="131">
        <f t="shared" ca="1" si="129"/>
        <v>51005</v>
      </c>
      <c r="AJ160" s="102">
        <f t="shared" si="130"/>
        <v>0</v>
      </c>
      <c r="AK160" s="102">
        <f t="shared" si="131"/>
        <v>0</v>
      </c>
      <c r="AL160" s="102">
        <f t="shared" si="143"/>
        <v>0</v>
      </c>
      <c r="AM160" s="102">
        <f t="shared" si="106"/>
        <v>0</v>
      </c>
      <c r="AS160" s="530">
        <v>159</v>
      </c>
      <c r="AT160" s="531">
        <f t="shared" ca="1" si="132"/>
        <v>51005</v>
      </c>
      <c r="AU160" s="532">
        <f ca="1">IF(AU159=0,SUMIFS('Key Life Events'!$L$3:$L$28,'Key Life Events'!$H$3:$H$28,'Loan Amortization'!$AY$3,'Key Life Events'!$N$3:$N$28,'Loan Amortization'!AT160),AU159-AX159)</f>
        <v>0</v>
      </c>
      <c r="AV160" s="532">
        <f t="shared" ca="1" si="133"/>
        <v>0</v>
      </c>
      <c r="AW160" s="532">
        <f t="shared" ca="1" si="100"/>
        <v>0</v>
      </c>
      <c r="AX160" s="532">
        <f t="shared" ca="1" si="107"/>
        <v>0</v>
      </c>
      <c r="BC160" s="536">
        <f t="shared" ca="1" si="108"/>
        <v>2039</v>
      </c>
      <c r="BF160" s="530">
        <v>159</v>
      </c>
      <c r="BG160" s="531">
        <f t="shared" ca="1" si="134"/>
        <v>51005</v>
      </c>
      <c r="BH160" s="532">
        <f ca="1">IF(BH159=0,SUMIFS('Key Life Events'!$L$3:$L$28,'Key Life Events'!$H$3:$H$28,'Loan Amortization'!$BL$3,'Key Life Events'!$N$3:$N$28,'Loan Amortization'!BG160),BH159-BK159)</f>
        <v>0</v>
      </c>
      <c r="BI160" s="532">
        <f t="shared" ca="1" si="135"/>
        <v>0</v>
      </c>
      <c r="BJ160" s="532">
        <f t="shared" ca="1" si="136"/>
        <v>0</v>
      </c>
      <c r="BK160" s="532">
        <f t="shared" ca="1" si="109"/>
        <v>0</v>
      </c>
      <c r="BP160" s="536">
        <f t="shared" ca="1" si="110"/>
        <v>2039</v>
      </c>
      <c r="BQ160" s="535">
        <f ca="1"/>
        <v>0</v>
      </c>
      <c r="BS160" s="530">
        <v>159</v>
      </c>
      <c r="BT160" s="531">
        <f t="shared" ca="1" si="137"/>
        <v>51005</v>
      </c>
      <c r="BU160" s="532">
        <f ca="1">IF(BU159=0,SUMIFS('Key Life Events'!$L$3:$L$28,'Key Life Events'!$H$3:$H$28,'Loan Amortization'!$BY$3,'Key Life Events'!$N$3:$N$28,'Loan Amortization'!BT160),BU159-BX159)</f>
        <v>0</v>
      </c>
      <c r="BV160" s="532">
        <f t="shared" ca="1" si="142"/>
        <v>0</v>
      </c>
      <c r="BW160" s="532">
        <f t="shared" ca="1" si="138"/>
        <v>0</v>
      </c>
      <c r="BX160" s="532">
        <f t="shared" ca="1" si="111"/>
        <v>0</v>
      </c>
      <c r="CC160" s="536">
        <f t="shared" ca="1" si="112"/>
        <v>2039</v>
      </c>
      <c r="CD160" s="535">
        <f ca="1"/>
        <v>0</v>
      </c>
      <c r="CF160" s="530">
        <v>159</v>
      </c>
      <c r="CG160" s="531">
        <f t="shared" ca="1" si="139"/>
        <v>51005</v>
      </c>
      <c r="CH160" s="532">
        <f ca="1">IF(CH159=0,SUMIFS('Key Life Events'!$L$3:$L$28,'Key Life Events'!$H$3:$H$28,'Loan Amortization'!$CL$3,'Key Life Events'!$N$3:$N$28,'Loan Amortization'!CG160),CH159-CK159)</f>
        <v>0</v>
      </c>
      <c r="CI160" s="532">
        <f t="shared" ca="1" si="140"/>
        <v>0</v>
      </c>
      <c r="CJ160" s="532">
        <f t="shared" ca="1" si="141"/>
        <v>0</v>
      </c>
      <c r="CK160" s="532">
        <f t="shared" ca="1" si="113"/>
        <v>0</v>
      </c>
      <c r="CP160" s="536">
        <f t="shared" ca="1" si="114"/>
        <v>2039</v>
      </c>
      <c r="CQ160" s="535">
        <f ca="1"/>
        <v>0</v>
      </c>
      <c r="CS160" s="100">
        <f t="shared" si="115"/>
        <v>159</v>
      </c>
      <c r="CT160" s="102">
        <f t="shared" ca="1" si="116"/>
        <v>0</v>
      </c>
      <c r="CU160" s="102">
        <f t="shared" ca="1" si="117"/>
        <v>0</v>
      </c>
      <c r="CV160" s="511">
        <f t="shared" ca="1" si="118"/>
        <v>2039</v>
      </c>
      <c r="CW160" s="1">
        <f t="shared" si="98"/>
        <v>1897</v>
      </c>
      <c r="CX160" s="99">
        <f t="shared" si="99"/>
        <v>0</v>
      </c>
    </row>
    <row r="161" spans="1:102" x14ac:dyDescent="0.3">
      <c r="A161" s="100">
        <v>160</v>
      </c>
      <c r="B161" s="131">
        <f t="shared" si="119"/>
        <v>4015</v>
      </c>
      <c r="C161" s="102">
        <f t="shared" si="120"/>
        <v>0</v>
      </c>
      <c r="D161" s="102">
        <f t="shared" si="121"/>
        <v>0</v>
      </c>
      <c r="E161" s="102">
        <f t="shared" si="101"/>
        <v>0</v>
      </c>
      <c r="F161" s="102">
        <f t="shared" si="122"/>
        <v>0</v>
      </c>
      <c r="L161" s="100">
        <v>160</v>
      </c>
      <c r="M161" s="131">
        <f t="shared" ca="1" si="123"/>
        <v>51036</v>
      </c>
      <c r="N161" s="102">
        <f t="shared" si="124"/>
        <v>0</v>
      </c>
      <c r="O161" s="102">
        <f t="shared" si="125"/>
        <v>0</v>
      </c>
      <c r="P161" s="102">
        <f t="shared" si="102"/>
        <v>0</v>
      </c>
      <c r="Q161" s="102">
        <f t="shared" si="103"/>
        <v>0</v>
      </c>
      <c r="W161" s="100">
        <v>160</v>
      </c>
      <c r="X161" s="131">
        <f t="shared" ca="1" si="126"/>
        <v>51036</v>
      </c>
      <c r="Y161" s="102">
        <f t="shared" si="127"/>
        <v>0</v>
      </c>
      <c r="Z161" s="102">
        <f t="shared" si="128"/>
        <v>0</v>
      </c>
      <c r="AA161" s="102">
        <f t="shared" si="104"/>
        <v>0</v>
      </c>
      <c r="AB161" s="102">
        <f t="shared" si="105"/>
        <v>0</v>
      </c>
      <c r="AH161" s="100">
        <v>160</v>
      </c>
      <c r="AI161" s="131">
        <f t="shared" ca="1" si="129"/>
        <v>51036</v>
      </c>
      <c r="AJ161" s="102">
        <f t="shared" si="130"/>
        <v>0</v>
      </c>
      <c r="AK161" s="102">
        <f t="shared" si="131"/>
        <v>0</v>
      </c>
      <c r="AL161" s="102">
        <f t="shared" si="143"/>
        <v>0</v>
      </c>
      <c r="AM161" s="102">
        <f t="shared" si="106"/>
        <v>0</v>
      </c>
      <c r="AS161" s="530">
        <v>160</v>
      </c>
      <c r="AT161" s="531">
        <f t="shared" ca="1" si="132"/>
        <v>51036</v>
      </c>
      <c r="AU161" s="532">
        <f ca="1">IF(AU160=0,SUMIFS('Key Life Events'!$L$3:$L$28,'Key Life Events'!$H$3:$H$28,'Loan Amortization'!$AY$3,'Key Life Events'!$N$3:$N$28,'Loan Amortization'!AT161),AU160-AX160)</f>
        <v>0</v>
      </c>
      <c r="AV161" s="532">
        <f t="shared" ca="1" si="133"/>
        <v>0</v>
      </c>
      <c r="AW161" s="532">
        <f t="shared" ca="1" si="100"/>
        <v>0</v>
      </c>
      <c r="AX161" s="532">
        <f t="shared" ca="1" si="107"/>
        <v>0</v>
      </c>
      <c r="BC161" s="536">
        <f t="shared" ca="1" si="108"/>
        <v>2039</v>
      </c>
      <c r="BF161" s="530">
        <v>160</v>
      </c>
      <c r="BG161" s="531">
        <f t="shared" ca="1" si="134"/>
        <v>51036</v>
      </c>
      <c r="BH161" s="532">
        <f ca="1">IF(BH160=0,SUMIFS('Key Life Events'!$L$3:$L$28,'Key Life Events'!$H$3:$H$28,'Loan Amortization'!$BL$3,'Key Life Events'!$N$3:$N$28,'Loan Amortization'!BG161),BH160-BK160)</f>
        <v>0</v>
      </c>
      <c r="BI161" s="532">
        <f t="shared" ca="1" si="135"/>
        <v>0</v>
      </c>
      <c r="BJ161" s="532">
        <f t="shared" ca="1" si="136"/>
        <v>0</v>
      </c>
      <c r="BK161" s="532">
        <f t="shared" ca="1" si="109"/>
        <v>0</v>
      </c>
      <c r="BP161" s="536">
        <f t="shared" ca="1" si="110"/>
        <v>2039</v>
      </c>
      <c r="BQ161" s="535">
        <f ca="1"/>
        <v>0</v>
      </c>
      <c r="BS161" s="530">
        <v>160</v>
      </c>
      <c r="BT161" s="531">
        <f t="shared" ca="1" si="137"/>
        <v>51036</v>
      </c>
      <c r="BU161" s="532">
        <f ca="1">IF(BU160=0,SUMIFS('Key Life Events'!$L$3:$L$28,'Key Life Events'!$H$3:$H$28,'Loan Amortization'!$BY$3,'Key Life Events'!$N$3:$N$28,'Loan Amortization'!BT161),BU160-BX160)</f>
        <v>0</v>
      </c>
      <c r="BV161" s="532">
        <f t="shared" ca="1" si="142"/>
        <v>0</v>
      </c>
      <c r="BW161" s="532">
        <f t="shared" ca="1" si="138"/>
        <v>0</v>
      </c>
      <c r="BX161" s="532">
        <f t="shared" ca="1" si="111"/>
        <v>0</v>
      </c>
      <c r="CC161" s="536">
        <f t="shared" ca="1" si="112"/>
        <v>2039</v>
      </c>
      <c r="CD161" s="535">
        <f ca="1"/>
        <v>0</v>
      </c>
      <c r="CF161" s="530">
        <v>160</v>
      </c>
      <c r="CG161" s="531">
        <f t="shared" ca="1" si="139"/>
        <v>51036</v>
      </c>
      <c r="CH161" s="532">
        <f ca="1">IF(CH160=0,SUMIFS('Key Life Events'!$L$3:$L$28,'Key Life Events'!$H$3:$H$28,'Loan Amortization'!$CL$3,'Key Life Events'!$N$3:$N$28,'Loan Amortization'!CG161),CH160-CK160)</f>
        <v>0</v>
      </c>
      <c r="CI161" s="532">
        <f t="shared" ca="1" si="140"/>
        <v>0</v>
      </c>
      <c r="CJ161" s="532">
        <f t="shared" ca="1" si="141"/>
        <v>0</v>
      </c>
      <c r="CK161" s="532">
        <f t="shared" ca="1" si="113"/>
        <v>0</v>
      </c>
      <c r="CP161" s="536">
        <f t="shared" ca="1" si="114"/>
        <v>2039</v>
      </c>
      <c r="CQ161" s="535">
        <f ca="1"/>
        <v>0</v>
      </c>
      <c r="CS161" s="100">
        <f t="shared" si="115"/>
        <v>160</v>
      </c>
      <c r="CT161" s="102">
        <f t="shared" ca="1" si="116"/>
        <v>0</v>
      </c>
      <c r="CU161" s="102">
        <f t="shared" ca="1" si="117"/>
        <v>0</v>
      </c>
      <c r="CV161" s="511">
        <f t="shared" ca="1" si="118"/>
        <v>2039</v>
      </c>
      <c r="CW161" s="1">
        <f t="shared" si="98"/>
        <v>1909</v>
      </c>
      <c r="CX161" s="99">
        <f t="shared" si="99"/>
        <v>0</v>
      </c>
    </row>
    <row r="162" spans="1:102" x14ac:dyDescent="0.3">
      <c r="A162" s="100">
        <v>161</v>
      </c>
      <c r="B162" s="131">
        <f t="shared" si="119"/>
        <v>4046</v>
      </c>
      <c r="C162" s="102">
        <f t="shared" si="120"/>
        <v>0</v>
      </c>
      <c r="D162" s="102">
        <f t="shared" si="121"/>
        <v>0</v>
      </c>
      <c r="E162" s="102">
        <f t="shared" si="101"/>
        <v>0</v>
      </c>
      <c r="F162" s="102">
        <f t="shared" si="122"/>
        <v>0</v>
      </c>
      <c r="L162" s="100">
        <v>161</v>
      </c>
      <c r="M162" s="131">
        <f t="shared" ca="1" si="123"/>
        <v>51066</v>
      </c>
      <c r="N162" s="102">
        <f t="shared" si="124"/>
        <v>0</v>
      </c>
      <c r="O162" s="102">
        <f t="shared" si="125"/>
        <v>0</v>
      </c>
      <c r="P162" s="102">
        <f t="shared" si="102"/>
        <v>0</v>
      </c>
      <c r="Q162" s="102">
        <f t="shared" si="103"/>
        <v>0</v>
      </c>
      <c r="W162" s="100">
        <v>161</v>
      </c>
      <c r="X162" s="131">
        <f t="shared" ca="1" si="126"/>
        <v>51066</v>
      </c>
      <c r="Y162" s="102">
        <f t="shared" si="127"/>
        <v>0</v>
      </c>
      <c r="Z162" s="102">
        <f t="shared" si="128"/>
        <v>0</v>
      </c>
      <c r="AA162" s="102">
        <f t="shared" si="104"/>
        <v>0</v>
      </c>
      <c r="AB162" s="102">
        <f t="shared" si="105"/>
        <v>0</v>
      </c>
      <c r="AH162" s="100">
        <v>161</v>
      </c>
      <c r="AI162" s="131">
        <f t="shared" ca="1" si="129"/>
        <v>51066</v>
      </c>
      <c r="AJ162" s="102">
        <f t="shared" si="130"/>
        <v>0</v>
      </c>
      <c r="AK162" s="102">
        <f t="shared" si="131"/>
        <v>0</v>
      </c>
      <c r="AL162" s="102">
        <f t="shared" si="143"/>
        <v>0</v>
      </c>
      <c r="AM162" s="102">
        <f t="shared" si="106"/>
        <v>0</v>
      </c>
      <c r="AS162" s="530">
        <v>161</v>
      </c>
      <c r="AT162" s="531">
        <f t="shared" ca="1" si="132"/>
        <v>51066</v>
      </c>
      <c r="AU162" s="532">
        <f ca="1">IF(AU161=0,SUMIFS('Key Life Events'!$L$3:$L$28,'Key Life Events'!$H$3:$H$28,'Loan Amortization'!$AY$3,'Key Life Events'!$N$3:$N$28,'Loan Amortization'!AT162),AU161-AX161)</f>
        <v>0</v>
      </c>
      <c r="AV162" s="532">
        <f t="shared" ca="1" si="133"/>
        <v>0</v>
      </c>
      <c r="AW162" s="532">
        <f t="shared" ca="1" si="100"/>
        <v>0</v>
      </c>
      <c r="AX162" s="532">
        <f t="shared" ca="1" si="107"/>
        <v>0</v>
      </c>
      <c r="BC162" s="536">
        <f t="shared" ca="1" si="108"/>
        <v>2039</v>
      </c>
      <c r="BF162" s="530">
        <v>161</v>
      </c>
      <c r="BG162" s="531">
        <f t="shared" ca="1" si="134"/>
        <v>51066</v>
      </c>
      <c r="BH162" s="532">
        <f ca="1">IF(BH161=0,SUMIFS('Key Life Events'!$L$3:$L$28,'Key Life Events'!$H$3:$H$28,'Loan Amortization'!$BL$3,'Key Life Events'!$N$3:$N$28,'Loan Amortization'!BG162),BH161-BK161)</f>
        <v>0</v>
      </c>
      <c r="BI162" s="532">
        <f t="shared" ca="1" si="135"/>
        <v>0</v>
      </c>
      <c r="BJ162" s="532">
        <f t="shared" ca="1" si="136"/>
        <v>0</v>
      </c>
      <c r="BK162" s="532">
        <f t="shared" ca="1" si="109"/>
        <v>0</v>
      </c>
      <c r="BP162" s="536">
        <f t="shared" ca="1" si="110"/>
        <v>2039</v>
      </c>
      <c r="BQ162" s="535">
        <f ca="1"/>
        <v>0</v>
      </c>
      <c r="BS162" s="530">
        <v>161</v>
      </c>
      <c r="BT162" s="531">
        <f t="shared" ca="1" si="137"/>
        <v>51066</v>
      </c>
      <c r="BU162" s="532">
        <f ca="1">IF(BU161=0,SUMIFS('Key Life Events'!$L$3:$L$28,'Key Life Events'!$H$3:$H$28,'Loan Amortization'!$BY$3,'Key Life Events'!$N$3:$N$28,'Loan Amortization'!BT162),BU161-BX161)</f>
        <v>0</v>
      </c>
      <c r="BV162" s="532">
        <f t="shared" ca="1" si="142"/>
        <v>0</v>
      </c>
      <c r="BW162" s="532">
        <f t="shared" ca="1" si="138"/>
        <v>0</v>
      </c>
      <c r="BX162" s="532">
        <f t="shared" ca="1" si="111"/>
        <v>0</v>
      </c>
      <c r="CC162" s="536">
        <f t="shared" ca="1" si="112"/>
        <v>2039</v>
      </c>
      <c r="CD162" s="535">
        <f ca="1"/>
        <v>0</v>
      </c>
      <c r="CF162" s="530">
        <v>161</v>
      </c>
      <c r="CG162" s="531">
        <f t="shared" ca="1" si="139"/>
        <v>51066</v>
      </c>
      <c r="CH162" s="532">
        <f ca="1">IF(CH161=0,SUMIFS('Key Life Events'!$L$3:$L$28,'Key Life Events'!$H$3:$H$28,'Loan Amortization'!$CL$3,'Key Life Events'!$N$3:$N$28,'Loan Amortization'!CG162),CH161-CK161)</f>
        <v>0</v>
      </c>
      <c r="CI162" s="532">
        <f t="shared" ca="1" si="140"/>
        <v>0</v>
      </c>
      <c r="CJ162" s="532">
        <f t="shared" ca="1" si="141"/>
        <v>0</v>
      </c>
      <c r="CK162" s="532">
        <f t="shared" ca="1" si="113"/>
        <v>0</v>
      </c>
      <c r="CP162" s="536">
        <f t="shared" ca="1" si="114"/>
        <v>2039</v>
      </c>
      <c r="CQ162" s="535">
        <f ca="1"/>
        <v>0</v>
      </c>
      <c r="CS162" s="100">
        <f t="shared" si="115"/>
        <v>161</v>
      </c>
      <c r="CT162" s="102">
        <f t="shared" ca="1" si="116"/>
        <v>0</v>
      </c>
      <c r="CU162" s="102">
        <f t="shared" ca="1" si="117"/>
        <v>0</v>
      </c>
      <c r="CV162" s="511">
        <f t="shared" ca="1" si="118"/>
        <v>2039</v>
      </c>
      <c r="CW162" s="1">
        <f t="shared" si="98"/>
        <v>1921</v>
      </c>
      <c r="CX162" s="99">
        <f t="shared" si="99"/>
        <v>0</v>
      </c>
    </row>
    <row r="163" spans="1:102" x14ac:dyDescent="0.3">
      <c r="A163" s="100">
        <v>162</v>
      </c>
      <c r="B163" s="131">
        <f t="shared" si="119"/>
        <v>4077</v>
      </c>
      <c r="C163" s="102">
        <f t="shared" si="120"/>
        <v>0</v>
      </c>
      <c r="D163" s="102">
        <f t="shared" si="121"/>
        <v>0</v>
      </c>
      <c r="E163" s="102">
        <f t="shared" si="101"/>
        <v>0</v>
      </c>
      <c r="F163" s="102">
        <f t="shared" si="122"/>
        <v>0</v>
      </c>
      <c r="L163" s="100">
        <v>162</v>
      </c>
      <c r="M163" s="131">
        <f t="shared" ca="1" si="123"/>
        <v>51097</v>
      </c>
      <c r="N163" s="102">
        <f t="shared" si="124"/>
        <v>0</v>
      </c>
      <c r="O163" s="102">
        <f t="shared" si="125"/>
        <v>0</v>
      </c>
      <c r="P163" s="102">
        <f t="shared" si="102"/>
        <v>0</v>
      </c>
      <c r="Q163" s="102">
        <f t="shared" si="103"/>
        <v>0</v>
      </c>
      <c r="W163" s="100">
        <v>162</v>
      </c>
      <c r="X163" s="131">
        <f t="shared" ca="1" si="126"/>
        <v>51097</v>
      </c>
      <c r="Y163" s="102">
        <f t="shared" si="127"/>
        <v>0</v>
      </c>
      <c r="Z163" s="102">
        <f t="shared" si="128"/>
        <v>0</v>
      </c>
      <c r="AA163" s="102">
        <f t="shared" si="104"/>
        <v>0</v>
      </c>
      <c r="AB163" s="102">
        <f t="shared" si="105"/>
        <v>0</v>
      </c>
      <c r="AH163" s="100">
        <v>162</v>
      </c>
      <c r="AI163" s="131">
        <f t="shared" ca="1" si="129"/>
        <v>51097</v>
      </c>
      <c r="AJ163" s="102">
        <f t="shared" si="130"/>
        <v>0</v>
      </c>
      <c r="AK163" s="102">
        <f t="shared" si="131"/>
        <v>0</v>
      </c>
      <c r="AL163" s="102">
        <f t="shared" si="143"/>
        <v>0</v>
      </c>
      <c r="AM163" s="102">
        <f t="shared" si="106"/>
        <v>0</v>
      </c>
      <c r="AS163" s="530">
        <v>162</v>
      </c>
      <c r="AT163" s="531">
        <f t="shared" ca="1" si="132"/>
        <v>51097</v>
      </c>
      <c r="AU163" s="532">
        <f ca="1">IF(AU162=0,SUMIFS('Key Life Events'!$L$3:$L$28,'Key Life Events'!$H$3:$H$28,'Loan Amortization'!$AY$3,'Key Life Events'!$N$3:$N$28,'Loan Amortization'!AT163),AU162-AX162)</f>
        <v>0</v>
      </c>
      <c r="AV163" s="532">
        <f t="shared" ca="1" si="133"/>
        <v>0</v>
      </c>
      <c r="AW163" s="532">
        <f t="shared" ca="1" si="100"/>
        <v>0</v>
      </c>
      <c r="AX163" s="532">
        <f t="shared" ca="1" si="107"/>
        <v>0</v>
      </c>
      <c r="BC163" s="536">
        <f t="shared" ca="1" si="108"/>
        <v>2039</v>
      </c>
      <c r="BF163" s="530">
        <v>162</v>
      </c>
      <c r="BG163" s="531">
        <f t="shared" ca="1" si="134"/>
        <v>51097</v>
      </c>
      <c r="BH163" s="532">
        <f ca="1">IF(BH162=0,SUMIFS('Key Life Events'!$L$3:$L$28,'Key Life Events'!$H$3:$H$28,'Loan Amortization'!$BL$3,'Key Life Events'!$N$3:$N$28,'Loan Amortization'!BG163),BH162-BK162)</f>
        <v>0</v>
      </c>
      <c r="BI163" s="532">
        <f t="shared" ca="1" si="135"/>
        <v>0</v>
      </c>
      <c r="BJ163" s="532">
        <f t="shared" ca="1" si="136"/>
        <v>0</v>
      </c>
      <c r="BK163" s="532">
        <f t="shared" ca="1" si="109"/>
        <v>0</v>
      </c>
      <c r="BP163" s="536">
        <f t="shared" ca="1" si="110"/>
        <v>2039</v>
      </c>
      <c r="BQ163" s="535">
        <f ca="1"/>
        <v>0</v>
      </c>
      <c r="BS163" s="530">
        <v>162</v>
      </c>
      <c r="BT163" s="531">
        <f t="shared" ca="1" si="137"/>
        <v>51097</v>
      </c>
      <c r="BU163" s="532">
        <f ca="1">IF(BU162=0,SUMIFS('Key Life Events'!$L$3:$L$28,'Key Life Events'!$H$3:$H$28,'Loan Amortization'!$BY$3,'Key Life Events'!$N$3:$N$28,'Loan Amortization'!BT163),BU162-BX162)</f>
        <v>0</v>
      </c>
      <c r="BV163" s="532">
        <f t="shared" ca="1" si="142"/>
        <v>0</v>
      </c>
      <c r="BW163" s="532">
        <f t="shared" ca="1" si="138"/>
        <v>0</v>
      </c>
      <c r="BX163" s="532">
        <f t="shared" ca="1" si="111"/>
        <v>0</v>
      </c>
      <c r="CC163" s="536">
        <f t="shared" ca="1" si="112"/>
        <v>2039</v>
      </c>
      <c r="CD163" s="535">
        <f ca="1"/>
        <v>0</v>
      </c>
      <c r="CF163" s="530">
        <v>162</v>
      </c>
      <c r="CG163" s="531">
        <f t="shared" ca="1" si="139"/>
        <v>51097</v>
      </c>
      <c r="CH163" s="532">
        <f ca="1">IF(CH162=0,SUMIFS('Key Life Events'!$L$3:$L$28,'Key Life Events'!$H$3:$H$28,'Loan Amortization'!$CL$3,'Key Life Events'!$N$3:$N$28,'Loan Amortization'!CG163),CH162-CK162)</f>
        <v>0</v>
      </c>
      <c r="CI163" s="532">
        <f t="shared" ca="1" si="140"/>
        <v>0</v>
      </c>
      <c r="CJ163" s="532">
        <f t="shared" ca="1" si="141"/>
        <v>0</v>
      </c>
      <c r="CK163" s="532">
        <f t="shared" ca="1" si="113"/>
        <v>0</v>
      </c>
      <c r="CP163" s="536">
        <f t="shared" ca="1" si="114"/>
        <v>2039</v>
      </c>
      <c r="CQ163" s="535">
        <f ca="1"/>
        <v>0</v>
      </c>
      <c r="CS163" s="100">
        <f t="shared" si="115"/>
        <v>162</v>
      </c>
      <c r="CT163" s="102">
        <f t="shared" ca="1" si="116"/>
        <v>0</v>
      </c>
      <c r="CU163" s="102">
        <f t="shared" ca="1" si="117"/>
        <v>0</v>
      </c>
      <c r="CV163" s="511">
        <f t="shared" ca="1" si="118"/>
        <v>2039</v>
      </c>
      <c r="CW163" s="1">
        <f t="shared" si="98"/>
        <v>1933</v>
      </c>
      <c r="CX163" s="99">
        <f t="shared" si="99"/>
        <v>0</v>
      </c>
    </row>
    <row r="164" spans="1:102" x14ac:dyDescent="0.3">
      <c r="A164" s="100">
        <v>163</v>
      </c>
      <c r="B164" s="131">
        <f t="shared" si="119"/>
        <v>4105</v>
      </c>
      <c r="C164" s="102">
        <f t="shared" si="120"/>
        <v>0</v>
      </c>
      <c r="D164" s="102">
        <f t="shared" si="121"/>
        <v>0</v>
      </c>
      <c r="E164" s="102">
        <f t="shared" si="101"/>
        <v>0</v>
      </c>
      <c r="F164" s="102">
        <f t="shared" si="122"/>
        <v>0</v>
      </c>
      <c r="L164" s="100">
        <v>163</v>
      </c>
      <c r="M164" s="131">
        <f t="shared" ca="1" si="123"/>
        <v>51127</v>
      </c>
      <c r="N164" s="102">
        <f t="shared" si="124"/>
        <v>0</v>
      </c>
      <c r="O164" s="102">
        <f t="shared" si="125"/>
        <v>0</v>
      </c>
      <c r="P164" s="102">
        <f t="shared" si="102"/>
        <v>0</v>
      </c>
      <c r="Q164" s="102">
        <f t="shared" si="103"/>
        <v>0</v>
      </c>
      <c r="W164" s="100">
        <v>163</v>
      </c>
      <c r="X164" s="131">
        <f t="shared" ca="1" si="126"/>
        <v>51127</v>
      </c>
      <c r="Y164" s="102">
        <f t="shared" si="127"/>
        <v>0</v>
      </c>
      <c r="Z164" s="102">
        <f t="shared" si="128"/>
        <v>0</v>
      </c>
      <c r="AA164" s="102">
        <f t="shared" si="104"/>
        <v>0</v>
      </c>
      <c r="AB164" s="102">
        <f t="shared" si="105"/>
        <v>0</v>
      </c>
      <c r="AH164" s="100">
        <v>163</v>
      </c>
      <c r="AI164" s="131">
        <f t="shared" ca="1" si="129"/>
        <v>51127</v>
      </c>
      <c r="AJ164" s="102">
        <f t="shared" si="130"/>
        <v>0</v>
      </c>
      <c r="AK164" s="102">
        <f t="shared" si="131"/>
        <v>0</v>
      </c>
      <c r="AL164" s="102">
        <f t="shared" si="143"/>
        <v>0</v>
      </c>
      <c r="AM164" s="102">
        <f t="shared" si="106"/>
        <v>0</v>
      </c>
      <c r="AS164" s="530">
        <v>163</v>
      </c>
      <c r="AT164" s="531">
        <f t="shared" ca="1" si="132"/>
        <v>51127</v>
      </c>
      <c r="AU164" s="532">
        <f ca="1">IF(AU163=0,SUMIFS('Key Life Events'!$L$3:$L$28,'Key Life Events'!$H$3:$H$28,'Loan Amortization'!$AY$3,'Key Life Events'!$N$3:$N$28,'Loan Amortization'!AT164),AU163-AX163)</f>
        <v>0</v>
      </c>
      <c r="AV164" s="532">
        <f t="shared" ca="1" si="133"/>
        <v>0</v>
      </c>
      <c r="AW164" s="532">
        <f t="shared" ca="1" si="100"/>
        <v>0</v>
      </c>
      <c r="AX164" s="532">
        <f t="shared" ca="1" si="107"/>
        <v>0</v>
      </c>
      <c r="BC164" s="536">
        <f t="shared" ca="1" si="108"/>
        <v>2039</v>
      </c>
      <c r="BF164" s="530">
        <v>163</v>
      </c>
      <c r="BG164" s="531">
        <f t="shared" ca="1" si="134"/>
        <v>51127</v>
      </c>
      <c r="BH164" s="532">
        <f ca="1">IF(BH163=0,SUMIFS('Key Life Events'!$L$3:$L$28,'Key Life Events'!$H$3:$H$28,'Loan Amortization'!$BL$3,'Key Life Events'!$N$3:$N$28,'Loan Amortization'!BG164),BH163-BK163)</f>
        <v>0</v>
      </c>
      <c r="BI164" s="532">
        <f t="shared" ca="1" si="135"/>
        <v>0</v>
      </c>
      <c r="BJ164" s="532">
        <f t="shared" ca="1" si="136"/>
        <v>0</v>
      </c>
      <c r="BK164" s="532">
        <f t="shared" ca="1" si="109"/>
        <v>0</v>
      </c>
      <c r="BP164" s="536">
        <f t="shared" ca="1" si="110"/>
        <v>2039</v>
      </c>
      <c r="BQ164" s="535">
        <f ca="1"/>
        <v>0</v>
      </c>
      <c r="BS164" s="530">
        <v>163</v>
      </c>
      <c r="BT164" s="531">
        <f t="shared" ca="1" si="137"/>
        <v>51127</v>
      </c>
      <c r="BU164" s="532">
        <f ca="1">IF(BU163=0,SUMIFS('Key Life Events'!$L$3:$L$28,'Key Life Events'!$H$3:$H$28,'Loan Amortization'!$BY$3,'Key Life Events'!$N$3:$N$28,'Loan Amortization'!BT164),BU163-BX163)</f>
        <v>0</v>
      </c>
      <c r="BV164" s="532">
        <f t="shared" ca="1" si="142"/>
        <v>0</v>
      </c>
      <c r="BW164" s="532">
        <f t="shared" ca="1" si="138"/>
        <v>0</v>
      </c>
      <c r="BX164" s="532">
        <f t="shared" ca="1" si="111"/>
        <v>0</v>
      </c>
      <c r="CC164" s="536">
        <f t="shared" ca="1" si="112"/>
        <v>2039</v>
      </c>
      <c r="CD164" s="535">
        <f ca="1"/>
        <v>0</v>
      </c>
      <c r="CF164" s="530">
        <v>163</v>
      </c>
      <c r="CG164" s="531">
        <f t="shared" ca="1" si="139"/>
        <v>51127</v>
      </c>
      <c r="CH164" s="532">
        <f ca="1">IF(CH163=0,SUMIFS('Key Life Events'!$L$3:$L$28,'Key Life Events'!$H$3:$H$28,'Loan Amortization'!$CL$3,'Key Life Events'!$N$3:$N$28,'Loan Amortization'!CG164),CH163-CK163)</f>
        <v>0</v>
      </c>
      <c r="CI164" s="532">
        <f t="shared" ca="1" si="140"/>
        <v>0</v>
      </c>
      <c r="CJ164" s="532">
        <f t="shared" ca="1" si="141"/>
        <v>0</v>
      </c>
      <c r="CK164" s="532">
        <f t="shared" ca="1" si="113"/>
        <v>0</v>
      </c>
      <c r="CP164" s="536">
        <f t="shared" ca="1" si="114"/>
        <v>2039</v>
      </c>
      <c r="CQ164" s="535">
        <f ca="1"/>
        <v>0</v>
      </c>
      <c r="CS164" s="100">
        <f t="shared" si="115"/>
        <v>163</v>
      </c>
      <c r="CT164" s="102">
        <f t="shared" ca="1" si="116"/>
        <v>0</v>
      </c>
      <c r="CU164" s="102">
        <f t="shared" ca="1" si="117"/>
        <v>0</v>
      </c>
      <c r="CV164" s="511">
        <f t="shared" ca="1" si="118"/>
        <v>2039</v>
      </c>
      <c r="CW164" s="1">
        <f t="shared" si="98"/>
        <v>1945</v>
      </c>
      <c r="CX164" s="99">
        <f t="shared" si="99"/>
        <v>0</v>
      </c>
    </row>
    <row r="165" spans="1:102" x14ac:dyDescent="0.3">
      <c r="A165" s="100">
        <v>164</v>
      </c>
      <c r="B165" s="131">
        <f t="shared" si="119"/>
        <v>4136</v>
      </c>
      <c r="C165" s="102">
        <f t="shared" si="120"/>
        <v>0</v>
      </c>
      <c r="D165" s="102">
        <f t="shared" si="121"/>
        <v>0</v>
      </c>
      <c r="E165" s="102">
        <f t="shared" si="101"/>
        <v>0</v>
      </c>
      <c r="F165" s="102">
        <f t="shared" si="122"/>
        <v>0</v>
      </c>
      <c r="L165" s="100">
        <v>164</v>
      </c>
      <c r="M165" s="131">
        <f t="shared" ca="1" si="123"/>
        <v>51158</v>
      </c>
      <c r="N165" s="102">
        <f t="shared" si="124"/>
        <v>0</v>
      </c>
      <c r="O165" s="102">
        <f t="shared" si="125"/>
        <v>0</v>
      </c>
      <c r="P165" s="102">
        <f t="shared" si="102"/>
        <v>0</v>
      </c>
      <c r="Q165" s="102">
        <f t="shared" si="103"/>
        <v>0</v>
      </c>
      <c r="W165" s="100">
        <v>164</v>
      </c>
      <c r="X165" s="131">
        <f t="shared" ca="1" si="126"/>
        <v>51158</v>
      </c>
      <c r="Y165" s="102">
        <f t="shared" si="127"/>
        <v>0</v>
      </c>
      <c r="Z165" s="102">
        <f t="shared" si="128"/>
        <v>0</v>
      </c>
      <c r="AA165" s="102">
        <f t="shared" si="104"/>
        <v>0</v>
      </c>
      <c r="AB165" s="102">
        <f t="shared" si="105"/>
        <v>0</v>
      </c>
      <c r="AH165" s="100">
        <v>164</v>
      </c>
      <c r="AI165" s="131">
        <f t="shared" ca="1" si="129"/>
        <v>51158</v>
      </c>
      <c r="AJ165" s="102">
        <f t="shared" si="130"/>
        <v>0</v>
      </c>
      <c r="AK165" s="102">
        <f t="shared" si="131"/>
        <v>0</v>
      </c>
      <c r="AL165" s="102">
        <f t="shared" si="143"/>
        <v>0</v>
      </c>
      <c r="AM165" s="102">
        <f t="shared" si="106"/>
        <v>0</v>
      </c>
      <c r="AS165" s="530">
        <v>164</v>
      </c>
      <c r="AT165" s="531">
        <f t="shared" ca="1" si="132"/>
        <v>51158</v>
      </c>
      <c r="AU165" s="532">
        <f ca="1">IF(AU164=0,SUMIFS('Key Life Events'!$L$3:$L$28,'Key Life Events'!$H$3:$H$28,'Loan Amortization'!$AY$3,'Key Life Events'!$N$3:$N$28,'Loan Amortization'!AT165),AU164-AX164)</f>
        <v>0</v>
      </c>
      <c r="AV165" s="532">
        <f t="shared" ca="1" si="133"/>
        <v>0</v>
      </c>
      <c r="AW165" s="532">
        <f t="shared" ca="1" si="100"/>
        <v>0</v>
      </c>
      <c r="AX165" s="532">
        <f t="shared" ca="1" si="107"/>
        <v>0</v>
      </c>
      <c r="BC165" s="536">
        <f t="shared" ca="1" si="108"/>
        <v>2040</v>
      </c>
      <c r="BF165" s="530">
        <v>164</v>
      </c>
      <c r="BG165" s="531">
        <f t="shared" ca="1" si="134"/>
        <v>51158</v>
      </c>
      <c r="BH165" s="532">
        <f ca="1">IF(BH164=0,SUMIFS('Key Life Events'!$L$3:$L$28,'Key Life Events'!$H$3:$H$28,'Loan Amortization'!$BL$3,'Key Life Events'!$N$3:$N$28,'Loan Amortization'!BG165),BH164-BK164)</f>
        <v>0</v>
      </c>
      <c r="BI165" s="532">
        <f t="shared" ca="1" si="135"/>
        <v>0</v>
      </c>
      <c r="BJ165" s="532">
        <f t="shared" ca="1" si="136"/>
        <v>0</v>
      </c>
      <c r="BK165" s="532">
        <f t="shared" ca="1" si="109"/>
        <v>0</v>
      </c>
      <c r="BP165" s="536">
        <f t="shared" ca="1" si="110"/>
        <v>2040</v>
      </c>
      <c r="BQ165" s="535">
        <f ca="1"/>
        <v>0</v>
      </c>
      <c r="BS165" s="530">
        <v>164</v>
      </c>
      <c r="BT165" s="531">
        <f t="shared" ca="1" si="137"/>
        <v>51158</v>
      </c>
      <c r="BU165" s="532">
        <f ca="1">IF(BU164=0,SUMIFS('Key Life Events'!$L$3:$L$28,'Key Life Events'!$H$3:$H$28,'Loan Amortization'!$BY$3,'Key Life Events'!$N$3:$N$28,'Loan Amortization'!BT165),BU164-BX164)</f>
        <v>0</v>
      </c>
      <c r="BV165" s="532">
        <f t="shared" ca="1" si="142"/>
        <v>0</v>
      </c>
      <c r="BW165" s="532">
        <f t="shared" ca="1" si="138"/>
        <v>0</v>
      </c>
      <c r="BX165" s="532">
        <f t="shared" ca="1" si="111"/>
        <v>0</v>
      </c>
      <c r="CC165" s="536">
        <f t="shared" ca="1" si="112"/>
        <v>2040</v>
      </c>
      <c r="CD165" s="535">
        <f ca="1"/>
        <v>0</v>
      </c>
      <c r="CF165" s="530">
        <v>164</v>
      </c>
      <c r="CG165" s="531">
        <f t="shared" ca="1" si="139"/>
        <v>51158</v>
      </c>
      <c r="CH165" s="532">
        <f ca="1">IF(CH164=0,SUMIFS('Key Life Events'!$L$3:$L$28,'Key Life Events'!$H$3:$H$28,'Loan Amortization'!$CL$3,'Key Life Events'!$N$3:$N$28,'Loan Amortization'!CG165),CH164-CK164)</f>
        <v>0</v>
      </c>
      <c r="CI165" s="532">
        <f t="shared" ca="1" si="140"/>
        <v>0</v>
      </c>
      <c r="CJ165" s="532">
        <f t="shared" ca="1" si="141"/>
        <v>0</v>
      </c>
      <c r="CK165" s="532">
        <f t="shared" ca="1" si="113"/>
        <v>0</v>
      </c>
      <c r="CP165" s="536">
        <f t="shared" ca="1" si="114"/>
        <v>2040</v>
      </c>
      <c r="CQ165" s="535">
        <f ca="1"/>
        <v>0</v>
      </c>
      <c r="CS165" s="100">
        <f t="shared" si="115"/>
        <v>164</v>
      </c>
      <c r="CT165" s="102">
        <f t="shared" ca="1" si="116"/>
        <v>0</v>
      </c>
      <c r="CU165" s="102">
        <f t="shared" ca="1" si="117"/>
        <v>0</v>
      </c>
      <c r="CV165" s="511">
        <f t="shared" ca="1" si="118"/>
        <v>2040</v>
      </c>
      <c r="CW165" s="1">
        <f t="shared" si="98"/>
        <v>1957</v>
      </c>
      <c r="CX165" s="99">
        <f t="shared" si="99"/>
        <v>0</v>
      </c>
    </row>
    <row r="166" spans="1:102" x14ac:dyDescent="0.3">
      <c r="A166" s="100">
        <v>165</v>
      </c>
      <c r="B166" s="131">
        <f t="shared" si="119"/>
        <v>4166</v>
      </c>
      <c r="C166" s="102">
        <f t="shared" si="120"/>
        <v>0</v>
      </c>
      <c r="D166" s="102">
        <f t="shared" si="121"/>
        <v>0</v>
      </c>
      <c r="E166" s="102">
        <f t="shared" si="101"/>
        <v>0</v>
      </c>
      <c r="F166" s="102">
        <f t="shared" si="122"/>
        <v>0</v>
      </c>
      <c r="L166" s="100">
        <v>165</v>
      </c>
      <c r="M166" s="131">
        <f t="shared" ca="1" si="123"/>
        <v>51189</v>
      </c>
      <c r="N166" s="102">
        <f t="shared" si="124"/>
        <v>0</v>
      </c>
      <c r="O166" s="102">
        <f t="shared" si="125"/>
        <v>0</v>
      </c>
      <c r="P166" s="102">
        <f t="shared" si="102"/>
        <v>0</v>
      </c>
      <c r="Q166" s="102">
        <f t="shared" si="103"/>
        <v>0</v>
      </c>
      <c r="W166" s="100">
        <v>165</v>
      </c>
      <c r="X166" s="131">
        <f t="shared" ca="1" si="126"/>
        <v>51189</v>
      </c>
      <c r="Y166" s="102">
        <f t="shared" si="127"/>
        <v>0</v>
      </c>
      <c r="Z166" s="102">
        <f t="shared" si="128"/>
        <v>0</v>
      </c>
      <c r="AA166" s="102">
        <f t="shared" si="104"/>
        <v>0</v>
      </c>
      <c r="AB166" s="102">
        <f t="shared" si="105"/>
        <v>0</v>
      </c>
      <c r="AH166" s="100">
        <v>165</v>
      </c>
      <c r="AI166" s="131">
        <f t="shared" ca="1" si="129"/>
        <v>51189</v>
      </c>
      <c r="AJ166" s="102">
        <f t="shared" si="130"/>
        <v>0</v>
      </c>
      <c r="AK166" s="102">
        <f t="shared" si="131"/>
        <v>0</v>
      </c>
      <c r="AL166" s="102">
        <f t="shared" si="143"/>
        <v>0</v>
      </c>
      <c r="AM166" s="102">
        <f t="shared" si="106"/>
        <v>0</v>
      </c>
      <c r="AS166" s="530">
        <v>165</v>
      </c>
      <c r="AT166" s="531">
        <f t="shared" ca="1" si="132"/>
        <v>51189</v>
      </c>
      <c r="AU166" s="532">
        <f ca="1">IF(AU165=0,SUMIFS('Key Life Events'!$L$3:$L$28,'Key Life Events'!$H$3:$H$28,'Loan Amortization'!$AY$3,'Key Life Events'!$N$3:$N$28,'Loan Amortization'!AT166),AU165-AX165)</f>
        <v>0</v>
      </c>
      <c r="AV166" s="532">
        <f t="shared" ca="1" si="133"/>
        <v>0</v>
      </c>
      <c r="AW166" s="532">
        <f t="shared" ca="1" si="100"/>
        <v>0</v>
      </c>
      <c r="AX166" s="532">
        <f t="shared" ca="1" si="107"/>
        <v>0</v>
      </c>
      <c r="BC166" s="536">
        <f t="shared" ca="1" si="108"/>
        <v>2040</v>
      </c>
      <c r="BF166" s="530">
        <v>165</v>
      </c>
      <c r="BG166" s="531">
        <f t="shared" ca="1" si="134"/>
        <v>51189</v>
      </c>
      <c r="BH166" s="532">
        <f ca="1">IF(BH165=0,SUMIFS('Key Life Events'!$L$3:$L$28,'Key Life Events'!$H$3:$H$28,'Loan Amortization'!$BL$3,'Key Life Events'!$N$3:$N$28,'Loan Amortization'!BG166),BH165-BK165)</f>
        <v>0</v>
      </c>
      <c r="BI166" s="532">
        <f t="shared" ca="1" si="135"/>
        <v>0</v>
      </c>
      <c r="BJ166" s="532">
        <f t="shared" ca="1" si="136"/>
        <v>0</v>
      </c>
      <c r="BK166" s="532">
        <f t="shared" ca="1" si="109"/>
        <v>0</v>
      </c>
      <c r="BP166" s="536">
        <f t="shared" ca="1" si="110"/>
        <v>2040</v>
      </c>
      <c r="BQ166" s="535">
        <f ca="1"/>
        <v>0</v>
      </c>
      <c r="BS166" s="530">
        <v>165</v>
      </c>
      <c r="BT166" s="531">
        <f t="shared" ca="1" si="137"/>
        <v>51189</v>
      </c>
      <c r="BU166" s="532">
        <f ca="1">IF(BU165=0,SUMIFS('Key Life Events'!$L$3:$L$28,'Key Life Events'!$H$3:$H$28,'Loan Amortization'!$BY$3,'Key Life Events'!$N$3:$N$28,'Loan Amortization'!BT166),BU165-BX165)</f>
        <v>0</v>
      </c>
      <c r="BV166" s="532">
        <f t="shared" ca="1" si="142"/>
        <v>0</v>
      </c>
      <c r="BW166" s="532">
        <f t="shared" ca="1" si="138"/>
        <v>0</v>
      </c>
      <c r="BX166" s="532">
        <f t="shared" ca="1" si="111"/>
        <v>0</v>
      </c>
      <c r="CC166" s="536">
        <f t="shared" ca="1" si="112"/>
        <v>2040</v>
      </c>
      <c r="CD166" s="535">
        <f ca="1"/>
        <v>0</v>
      </c>
      <c r="CF166" s="530">
        <v>165</v>
      </c>
      <c r="CG166" s="531">
        <f t="shared" ca="1" si="139"/>
        <v>51189</v>
      </c>
      <c r="CH166" s="532">
        <f ca="1">IF(CH165=0,SUMIFS('Key Life Events'!$L$3:$L$28,'Key Life Events'!$H$3:$H$28,'Loan Amortization'!$CL$3,'Key Life Events'!$N$3:$N$28,'Loan Amortization'!CG166),CH165-CK165)</f>
        <v>0</v>
      </c>
      <c r="CI166" s="532">
        <f t="shared" ca="1" si="140"/>
        <v>0</v>
      </c>
      <c r="CJ166" s="532">
        <f t="shared" ca="1" si="141"/>
        <v>0</v>
      </c>
      <c r="CK166" s="532">
        <f t="shared" ca="1" si="113"/>
        <v>0</v>
      </c>
      <c r="CP166" s="536">
        <f t="shared" ca="1" si="114"/>
        <v>2040</v>
      </c>
      <c r="CQ166" s="535">
        <f ca="1"/>
        <v>0</v>
      </c>
      <c r="CS166" s="100">
        <f t="shared" si="115"/>
        <v>165</v>
      </c>
      <c r="CT166" s="102">
        <f t="shared" ca="1" si="116"/>
        <v>0</v>
      </c>
      <c r="CU166" s="102">
        <f t="shared" ca="1" si="117"/>
        <v>0</v>
      </c>
      <c r="CV166" s="511">
        <f t="shared" ca="1" si="118"/>
        <v>2040</v>
      </c>
      <c r="CW166" s="1">
        <f t="shared" si="98"/>
        <v>1969</v>
      </c>
      <c r="CX166" s="99">
        <f t="shared" si="99"/>
        <v>0</v>
      </c>
    </row>
    <row r="167" spans="1:102" x14ac:dyDescent="0.3">
      <c r="A167" s="100">
        <v>166</v>
      </c>
      <c r="B167" s="131">
        <f t="shared" si="119"/>
        <v>4197</v>
      </c>
      <c r="C167" s="102">
        <f t="shared" si="120"/>
        <v>0</v>
      </c>
      <c r="D167" s="102">
        <f t="shared" si="121"/>
        <v>0</v>
      </c>
      <c r="E167" s="102">
        <f t="shared" si="101"/>
        <v>0</v>
      </c>
      <c r="F167" s="102">
        <f t="shared" si="122"/>
        <v>0</v>
      </c>
      <c r="L167" s="100">
        <v>166</v>
      </c>
      <c r="M167" s="131">
        <f t="shared" ca="1" si="123"/>
        <v>51218</v>
      </c>
      <c r="N167" s="102">
        <f t="shared" si="124"/>
        <v>0</v>
      </c>
      <c r="O167" s="102">
        <f t="shared" si="125"/>
        <v>0</v>
      </c>
      <c r="P167" s="102">
        <f t="shared" si="102"/>
        <v>0</v>
      </c>
      <c r="Q167" s="102">
        <f t="shared" si="103"/>
        <v>0</v>
      </c>
      <c r="W167" s="100">
        <v>166</v>
      </c>
      <c r="X167" s="131">
        <f t="shared" ca="1" si="126"/>
        <v>51218</v>
      </c>
      <c r="Y167" s="102">
        <f t="shared" si="127"/>
        <v>0</v>
      </c>
      <c r="Z167" s="102">
        <f t="shared" si="128"/>
        <v>0</v>
      </c>
      <c r="AA167" s="102">
        <f t="shared" si="104"/>
        <v>0</v>
      </c>
      <c r="AB167" s="102">
        <f t="shared" si="105"/>
        <v>0</v>
      </c>
      <c r="AH167" s="100">
        <v>166</v>
      </c>
      <c r="AI167" s="131">
        <f t="shared" ca="1" si="129"/>
        <v>51218</v>
      </c>
      <c r="AJ167" s="102">
        <f t="shared" si="130"/>
        <v>0</v>
      </c>
      <c r="AK167" s="102">
        <f t="shared" si="131"/>
        <v>0</v>
      </c>
      <c r="AL167" s="102">
        <f t="shared" si="143"/>
        <v>0</v>
      </c>
      <c r="AM167" s="102">
        <f t="shared" si="106"/>
        <v>0</v>
      </c>
      <c r="AS167" s="530">
        <v>166</v>
      </c>
      <c r="AT167" s="531">
        <f t="shared" ca="1" si="132"/>
        <v>51218</v>
      </c>
      <c r="AU167" s="532">
        <f ca="1">IF(AU166=0,SUMIFS('Key Life Events'!$L$3:$L$28,'Key Life Events'!$H$3:$H$28,'Loan Amortization'!$AY$3,'Key Life Events'!$N$3:$N$28,'Loan Amortization'!AT167),AU166-AX166)</f>
        <v>0</v>
      </c>
      <c r="AV167" s="532">
        <f t="shared" ca="1" si="133"/>
        <v>0</v>
      </c>
      <c r="AW167" s="532">
        <f t="shared" ca="1" si="100"/>
        <v>0</v>
      </c>
      <c r="AX167" s="532">
        <f t="shared" ca="1" si="107"/>
        <v>0</v>
      </c>
      <c r="BC167" s="536">
        <f t="shared" ca="1" si="108"/>
        <v>2040</v>
      </c>
      <c r="BF167" s="530">
        <v>166</v>
      </c>
      <c r="BG167" s="531">
        <f t="shared" ca="1" si="134"/>
        <v>51218</v>
      </c>
      <c r="BH167" s="532">
        <f ca="1">IF(BH166=0,SUMIFS('Key Life Events'!$L$3:$L$28,'Key Life Events'!$H$3:$H$28,'Loan Amortization'!$BL$3,'Key Life Events'!$N$3:$N$28,'Loan Amortization'!BG167),BH166-BK166)</f>
        <v>0</v>
      </c>
      <c r="BI167" s="532">
        <f t="shared" ca="1" si="135"/>
        <v>0</v>
      </c>
      <c r="BJ167" s="532">
        <f t="shared" ca="1" si="136"/>
        <v>0</v>
      </c>
      <c r="BK167" s="532">
        <f t="shared" ca="1" si="109"/>
        <v>0</v>
      </c>
      <c r="BP167" s="536">
        <f t="shared" ca="1" si="110"/>
        <v>2040</v>
      </c>
      <c r="BQ167" s="535">
        <f ca="1"/>
        <v>0</v>
      </c>
      <c r="BS167" s="530">
        <v>166</v>
      </c>
      <c r="BT167" s="531">
        <f t="shared" ca="1" si="137"/>
        <v>51218</v>
      </c>
      <c r="BU167" s="532">
        <f ca="1">IF(BU166=0,SUMIFS('Key Life Events'!$L$3:$L$28,'Key Life Events'!$H$3:$H$28,'Loan Amortization'!$BY$3,'Key Life Events'!$N$3:$N$28,'Loan Amortization'!BT167),BU166-BX166)</f>
        <v>0</v>
      </c>
      <c r="BV167" s="532">
        <f t="shared" ca="1" si="142"/>
        <v>0</v>
      </c>
      <c r="BW167" s="532">
        <f t="shared" ca="1" si="138"/>
        <v>0</v>
      </c>
      <c r="BX167" s="532">
        <f t="shared" ca="1" si="111"/>
        <v>0</v>
      </c>
      <c r="CC167" s="536">
        <f t="shared" ca="1" si="112"/>
        <v>2040</v>
      </c>
      <c r="CD167" s="535">
        <f ca="1"/>
        <v>0</v>
      </c>
      <c r="CF167" s="530">
        <v>166</v>
      </c>
      <c r="CG167" s="531">
        <f t="shared" ca="1" si="139"/>
        <v>51218</v>
      </c>
      <c r="CH167" s="532">
        <f ca="1">IF(CH166=0,SUMIFS('Key Life Events'!$L$3:$L$28,'Key Life Events'!$H$3:$H$28,'Loan Amortization'!$CL$3,'Key Life Events'!$N$3:$N$28,'Loan Amortization'!CG167),CH166-CK166)</f>
        <v>0</v>
      </c>
      <c r="CI167" s="532">
        <f t="shared" ca="1" si="140"/>
        <v>0</v>
      </c>
      <c r="CJ167" s="532">
        <f t="shared" ca="1" si="141"/>
        <v>0</v>
      </c>
      <c r="CK167" s="532">
        <f t="shared" ca="1" si="113"/>
        <v>0</v>
      </c>
      <c r="CP167" s="536">
        <f t="shared" ca="1" si="114"/>
        <v>2040</v>
      </c>
      <c r="CQ167" s="535">
        <f ca="1"/>
        <v>0</v>
      </c>
      <c r="CS167" s="100">
        <f t="shared" si="115"/>
        <v>166</v>
      </c>
      <c r="CT167" s="102">
        <f t="shared" ca="1" si="116"/>
        <v>0</v>
      </c>
      <c r="CU167" s="102">
        <f t="shared" ca="1" si="117"/>
        <v>0</v>
      </c>
      <c r="CV167" s="511">
        <f t="shared" ca="1" si="118"/>
        <v>2040</v>
      </c>
      <c r="CW167" s="1">
        <f t="shared" si="98"/>
        <v>1981</v>
      </c>
      <c r="CX167" s="99">
        <f t="shared" si="99"/>
        <v>0</v>
      </c>
    </row>
    <row r="168" spans="1:102" x14ac:dyDescent="0.3">
      <c r="A168" s="100">
        <v>167</v>
      </c>
      <c r="B168" s="131">
        <f t="shared" si="119"/>
        <v>4227</v>
      </c>
      <c r="C168" s="102">
        <f t="shared" si="120"/>
        <v>0</v>
      </c>
      <c r="D168" s="102">
        <f t="shared" si="121"/>
        <v>0</v>
      </c>
      <c r="E168" s="102">
        <f t="shared" si="101"/>
        <v>0</v>
      </c>
      <c r="F168" s="102">
        <f t="shared" si="122"/>
        <v>0</v>
      </c>
      <c r="L168" s="100">
        <v>167</v>
      </c>
      <c r="M168" s="131">
        <f t="shared" ca="1" si="123"/>
        <v>51249</v>
      </c>
      <c r="N168" s="102">
        <f t="shared" si="124"/>
        <v>0</v>
      </c>
      <c r="O168" s="102">
        <f t="shared" si="125"/>
        <v>0</v>
      </c>
      <c r="P168" s="102">
        <f t="shared" si="102"/>
        <v>0</v>
      </c>
      <c r="Q168" s="102">
        <f t="shared" si="103"/>
        <v>0</v>
      </c>
      <c r="W168" s="100">
        <v>167</v>
      </c>
      <c r="X168" s="131">
        <f t="shared" ca="1" si="126"/>
        <v>51249</v>
      </c>
      <c r="Y168" s="102">
        <f t="shared" si="127"/>
        <v>0</v>
      </c>
      <c r="Z168" s="102">
        <f t="shared" si="128"/>
        <v>0</v>
      </c>
      <c r="AA168" s="102">
        <f t="shared" si="104"/>
        <v>0</v>
      </c>
      <c r="AB168" s="102">
        <f t="shared" si="105"/>
        <v>0</v>
      </c>
      <c r="AH168" s="100">
        <v>167</v>
      </c>
      <c r="AI168" s="131">
        <f t="shared" ca="1" si="129"/>
        <v>51249</v>
      </c>
      <c r="AJ168" s="102">
        <f t="shared" si="130"/>
        <v>0</v>
      </c>
      <c r="AK168" s="102">
        <f t="shared" si="131"/>
        <v>0</v>
      </c>
      <c r="AL168" s="102">
        <f t="shared" si="143"/>
        <v>0</v>
      </c>
      <c r="AM168" s="102">
        <f t="shared" si="106"/>
        <v>0</v>
      </c>
      <c r="AS168" s="530">
        <v>167</v>
      </c>
      <c r="AT168" s="531">
        <f t="shared" ca="1" si="132"/>
        <v>51249</v>
      </c>
      <c r="AU168" s="532">
        <f ca="1">IF(AU167=0,SUMIFS('Key Life Events'!$L$3:$L$28,'Key Life Events'!$H$3:$H$28,'Loan Amortization'!$AY$3,'Key Life Events'!$N$3:$N$28,'Loan Amortization'!AT168),AU167-AX167)</f>
        <v>0</v>
      </c>
      <c r="AV168" s="532">
        <f t="shared" ca="1" si="133"/>
        <v>0</v>
      </c>
      <c r="AW168" s="532">
        <f t="shared" ca="1" si="100"/>
        <v>0</v>
      </c>
      <c r="AX168" s="532">
        <f t="shared" ca="1" si="107"/>
        <v>0</v>
      </c>
      <c r="BC168" s="536">
        <f t="shared" ca="1" si="108"/>
        <v>2040</v>
      </c>
      <c r="BF168" s="530">
        <v>167</v>
      </c>
      <c r="BG168" s="531">
        <f t="shared" ca="1" si="134"/>
        <v>51249</v>
      </c>
      <c r="BH168" s="532">
        <f ca="1">IF(BH167=0,SUMIFS('Key Life Events'!$L$3:$L$28,'Key Life Events'!$H$3:$H$28,'Loan Amortization'!$BL$3,'Key Life Events'!$N$3:$N$28,'Loan Amortization'!BG168),BH167-BK167)</f>
        <v>0</v>
      </c>
      <c r="BI168" s="532">
        <f t="shared" ca="1" si="135"/>
        <v>0</v>
      </c>
      <c r="BJ168" s="532">
        <f t="shared" ca="1" si="136"/>
        <v>0</v>
      </c>
      <c r="BK168" s="532">
        <f t="shared" ca="1" si="109"/>
        <v>0</v>
      </c>
      <c r="BP168" s="536">
        <f t="shared" ca="1" si="110"/>
        <v>2040</v>
      </c>
      <c r="BQ168" s="535">
        <f ca="1"/>
        <v>0</v>
      </c>
      <c r="BS168" s="530">
        <v>167</v>
      </c>
      <c r="BT168" s="531">
        <f t="shared" ca="1" si="137"/>
        <v>51249</v>
      </c>
      <c r="BU168" s="532">
        <f ca="1">IF(BU167=0,SUMIFS('Key Life Events'!$L$3:$L$28,'Key Life Events'!$H$3:$H$28,'Loan Amortization'!$BY$3,'Key Life Events'!$N$3:$N$28,'Loan Amortization'!BT168),BU167-BX167)</f>
        <v>0</v>
      </c>
      <c r="BV168" s="532">
        <f t="shared" ca="1" si="142"/>
        <v>0</v>
      </c>
      <c r="BW168" s="532">
        <f t="shared" ca="1" si="138"/>
        <v>0</v>
      </c>
      <c r="BX168" s="532">
        <f t="shared" ca="1" si="111"/>
        <v>0</v>
      </c>
      <c r="CC168" s="536">
        <f t="shared" ca="1" si="112"/>
        <v>2040</v>
      </c>
      <c r="CD168" s="535">
        <f ca="1"/>
        <v>0</v>
      </c>
      <c r="CF168" s="530">
        <v>167</v>
      </c>
      <c r="CG168" s="531">
        <f t="shared" ca="1" si="139"/>
        <v>51249</v>
      </c>
      <c r="CH168" s="532">
        <f ca="1">IF(CH167=0,SUMIFS('Key Life Events'!$L$3:$L$28,'Key Life Events'!$H$3:$H$28,'Loan Amortization'!$CL$3,'Key Life Events'!$N$3:$N$28,'Loan Amortization'!CG168),CH167-CK167)</f>
        <v>0</v>
      </c>
      <c r="CI168" s="532">
        <f t="shared" ca="1" si="140"/>
        <v>0</v>
      </c>
      <c r="CJ168" s="532">
        <f t="shared" ca="1" si="141"/>
        <v>0</v>
      </c>
      <c r="CK168" s="532">
        <f t="shared" ca="1" si="113"/>
        <v>0</v>
      </c>
      <c r="CP168" s="536">
        <f t="shared" ca="1" si="114"/>
        <v>2040</v>
      </c>
      <c r="CQ168" s="535">
        <f ca="1"/>
        <v>0</v>
      </c>
      <c r="CS168" s="100">
        <f t="shared" si="115"/>
        <v>167</v>
      </c>
      <c r="CT168" s="102">
        <f t="shared" ca="1" si="116"/>
        <v>0</v>
      </c>
      <c r="CU168" s="102">
        <f t="shared" ca="1" si="117"/>
        <v>0</v>
      </c>
      <c r="CV168" s="511">
        <f t="shared" ca="1" si="118"/>
        <v>2040</v>
      </c>
      <c r="CW168" s="1">
        <f t="shared" si="98"/>
        <v>1993</v>
      </c>
      <c r="CX168" s="99">
        <f t="shared" si="99"/>
        <v>0</v>
      </c>
    </row>
    <row r="169" spans="1:102" x14ac:dyDescent="0.3">
      <c r="A169" s="100">
        <v>168</v>
      </c>
      <c r="B169" s="131">
        <f t="shared" si="119"/>
        <v>4258</v>
      </c>
      <c r="C169" s="102">
        <f t="shared" si="120"/>
        <v>0</v>
      </c>
      <c r="D169" s="102">
        <f t="shared" si="121"/>
        <v>0</v>
      </c>
      <c r="E169" s="102">
        <f t="shared" si="101"/>
        <v>0</v>
      </c>
      <c r="F169" s="102">
        <f t="shared" si="122"/>
        <v>0</v>
      </c>
      <c r="L169" s="100">
        <v>168</v>
      </c>
      <c r="M169" s="131">
        <f t="shared" ca="1" si="123"/>
        <v>51279</v>
      </c>
      <c r="N169" s="102">
        <f t="shared" si="124"/>
        <v>0</v>
      </c>
      <c r="O169" s="102">
        <f t="shared" si="125"/>
        <v>0</v>
      </c>
      <c r="P169" s="102">
        <f t="shared" si="102"/>
        <v>0</v>
      </c>
      <c r="Q169" s="102">
        <f t="shared" si="103"/>
        <v>0</v>
      </c>
      <c r="W169" s="100">
        <v>168</v>
      </c>
      <c r="X169" s="131">
        <f t="shared" ca="1" si="126"/>
        <v>51279</v>
      </c>
      <c r="Y169" s="102">
        <f t="shared" si="127"/>
        <v>0</v>
      </c>
      <c r="Z169" s="102">
        <f t="shared" si="128"/>
        <v>0</v>
      </c>
      <c r="AA169" s="102">
        <f t="shared" si="104"/>
        <v>0</v>
      </c>
      <c r="AB169" s="102">
        <f t="shared" si="105"/>
        <v>0</v>
      </c>
      <c r="AH169" s="100">
        <v>168</v>
      </c>
      <c r="AI169" s="131">
        <f t="shared" ca="1" si="129"/>
        <v>51279</v>
      </c>
      <c r="AJ169" s="102">
        <f t="shared" si="130"/>
        <v>0</v>
      </c>
      <c r="AK169" s="102">
        <f t="shared" si="131"/>
        <v>0</v>
      </c>
      <c r="AL169" s="102">
        <f t="shared" si="143"/>
        <v>0</v>
      </c>
      <c r="AM169" s="102">
        <f t="shared" si="106"/>
        <v>0</v>
      </c>
      <c r="AS169" s="530">
        <v>168</v>
      </c>
      <c r="AT169" s="531">
        <f t="shared" ca="1" si="132"/>
        <v>51279</v>
      </c>
      <c r="AU169" s="532">
        <f ca="1">IF(AU168=0,SUMIFS('Key Life Events'!$L$3:$L$28,'Key Life Events'!$H$3:$H$28,'Loan Amortization'!$AY$3,'Key Life Events'!$N$3:$N$28,'Loan Amortization'!AT169),AU168-AX168)</f>
        <v>0</v>
      </c>
      <c r="AV169" s="532">
        <f t="shared" ca="1" si="133"/>
        <v>0</v>
      </c>
      <c r="AW169" s="532">
        <f t="shared" ca="1" si="100"/>
        <v>0</v>
      </c>
      <c r="AX169" s="532">
        <f t="shared" ca="1" si="107"/>
        <v>0</v>
      </c>
      <c r="BC169" s="536">
        <f t="shared" ca="1" si="108"/>
        <v>2040</v>
      </c>
      <c r="BF169" s="530">
        <v>168</v>
      </c>
      <c r="BG169" s="531">
        <f t="shared" ca="1" si="134"/>
        <v>51279</v>
      </c>
      <c r="BH169" s="532">
        <f ca="1">IF(BH168=0,SUMIFS('Key Life Events'!$L$3:$L$28,'Key Life Events'!$H$3:$H$28,'Loan Amortization'!$BL$3,'Key Life Events'!$N$3:$N$28,'Loan Amortization'!BG169),BH168-BK168)</f>
        <v>0</v>
      </c>
      <c r="BI169" s="532">
        <f t="shared" ca="1" si="135"/>
        <v>0</v>
      </c>
      <c r="BJ169" s="532">
        <f t="shared" ca="1" si="136"/>
        <v>0</v>
      </c>
      <c r="BK169" s="532">
        <f t="shared" ca="1" si="109"/>
        <v>0</v>
      </c>
      <c r="BP169" s="536">
        <f t="shared" ca="1" si="110"/>
        <v>2040</v>
      </c>
      <c r="BQ169" s="535">
        <f ca="1"/>
        <v>0</v>
      </c>
      <c r="BS169" s="530">
        <v>168</v>
      </c>
      <c r="BT169" s="531">
        <f t="shared" ca="1" si="137"/>
        <v>51279</v>
      </c>
      <c r="BU169" s="532">
        <f ca="1">IF(BU168=0,SUMIFS('Key Life Events'!$L$3:$L$28,'Key Life Events'!$H$3:$H$28,'Loan Amortization'!$BY$3,'Key Life Events'!$N$3:$N$28,'Loan Amortization'!BT169),BU168-BX168)</f>
        <v>0</v>
      </c>
      <c r="BV169" s="532">
        <f t="shared" ca="1" si="142"/>
        <v>0</v>
      </c>
      <c r="BW169" s="532">
        <f t="shared" ca="1" si="138"/>
        <v>0</v>
      </c>
      <c r="BX169" s="532">
        <f t="shared" ca="1" si="111"/>
        <v>0</v>
      </c>
      <c r="CC169" s="536">
        <f t="shared" ca="1" si="112"/>
        <v>2040</v>
      </c>
      <c r="CD169" s="535">
        <f ca="1"/>
        <v>0</v>
      </c>
      <c r="CF169" s="530">
        <v>168</v>
      </c>
      <c r="CG169" s="531">
        <f t="shared" ca="1" si="139"/>
        <v>51279</v>
      </c>
      <c r="CH169" s="532">
        <f ca="1">IF(CH168=0,SUMIFS('Key Life Events'!$L$3:$L$28,'Key Life Events'!$H$3:$H$28,'Loan Amortization'!$CL$3,'Key Life Events'!$N$3:$N$28,'Loan Amortization'!CG169),CH168-CK168)</f>
        <v>0</v>
      </c>
      <c r="CI169" s="532">
        <f t="shared" ca="1" si="140"/>
        <v>0</v>
      </c>
      <c r="CJ169" s="532">
        <f t="shared" ca="1" si="141"/>
        <v>0</v>
      </c>
      <c r="CK169" s="532">
        <f t="shared" ca="1" si="113"/>
        <v>0</v>
      </c>
      <c r="CP169" s="536">
        <f t="shared" ca="1" si="114"/>
        <v>2040</v>
      </c>
      <c r="CQ169" s="535">
        <f ca="1"/>
        <v>0</v>
      </c>
      <c r="CS169" s="100">
        <f t="shared" si="115"/>
        <v>168</v>
      </c>
      <c r="CT169" s="102">
        <f t="shared" ca="1" si="116"/>
        <v>0</v>
      </c>
      <c r="CU169" s="102">
        <f t="shared" ca="1" si="117"/>
        <v>0</v>
      </c>
      <c r="CV169" s="511">
        <f t="shared" ca="1" si="118"/>
        <v>2040</v>
      </c>
      <c r="CW169" s="1">
        <f t="shared" si="98"/>
        <v>2005</v>
      </c>
      <c r="CX169" s="99">
        <f t="shared" si="99"/>
        <v>0</v>
      </c>
    </row>
    <row r="170" spans="1:102" x14ac:dyDescent="0.3">
      <c r="A170" s="100">
        <v>169</v>
      </c>
      <c r="B170" s="131">
        <f t="shared" si="119"/>
        <v>4289</v>
      </c>
      <c r="C170" s="102">
        <f t="shared" si="120"/>
        <v>0</v>
      </c>
      <c r="D170" s="102">
        <f t="shared" si="121"/>
        <v>0</v>
      </c>
      <c r="E170" s="102">
        <f t="shared" si="101"/>
        <v>0</v>
      </c>
      <c r="F170" s="102">
        <f t="shared" si="122"/>
        <v>0</v>
      </c>
      <c r="L170" s="100">
        <v>169</v>
      </c>
      <c r="M170" s="131">
        <f t="shared" ca="1" si="123"/>
        <v>51310</v>
      </c>
      <c r="N170" s="102">
        <f t="shared" si="124"/>
        <v>0</v>
      </c>
      <c r="O170" s="102">
        <f t="shared" si="125"/>
        <v>0</v>
      </c>
      <c r="P170" s="102">
        <f t="shared" si="102"/>
        <v>0</v>
      </c>
      <c r="Q170" s="102">
        <f t="shared" si="103"/>
        <v>0</v>
      </c>
      <c r="W170" s="100">
        <v>169</v>
      </c>
      <c r="X170" s="131">
        <f t="shared" ca="1" si="126"/>
        <v>51310</v>
      </c>
      <c r="Y170" s="102">
        <f t="shared" si="127"/>
        <v>0</v>
      </c>
      <c r="Z170" s="102">
        <f t="shared" si="128"/>
        <v>0</v>
      </c>
      <c r="AA170" s="102">
        <f t="shared" si="104"/>
        <v>0</v>
      </c>
      <c r="AB170" s="102">
        <f t="shared" si="105"/>
        <v>0</v>
      </c>
      <c r="AH170" s="100">
        <v>169</v>
      </c>
      <c r="AI170" s="131">
        <f t="shared" ca="1" si="129"/>
        <v>51310</v>
      </c>
      <c r="AJ170" s="102">
        <f t="shared" si="130"/>
        <v>0</v>
      </c>
      <c r="AK170" s="102">
        <f t="shared" si="131"/>
        <v>0</v>
      </c>
      <c r="AL170" s="102">
        <f t="shared" si="143"/>
        <v>0</v>
      </c>
      <c r="AM170" s="102">
        <f t="shared" si="106"/>
        <v>0</v>
      </c>
      <c r="AS170" s="530">
        <v>169</v>
      </c>
      <c r="AT170" s="531">
        <f t="shared" ca="1" si="132"/>
        <v>51310</v>
      </c>
      <c r="AU170" s="532">
        <f ca="1">IF(AU169=0,SUMIFS('Key Life Events'!$L$3:$L$28,'Key Life Events'!$H$3:$H$28,'Loan Amortization'!$AY$3,'Key Life Events'!$N$3:$N$28,'Loan Amortization'!AT170),AU169-AX169)</f>
        <v>0</v>
      </c>
      <c r="AV170" s="532">
        <f t="shared" ca="1" si="133"/>
        <v>0</v>
      </c>
      <c r="AW170" s="532">
        <f t="shared" ca="1" si="100"/>
        <v>0</v>
      </c>
      <c r="AX170" s="532">
        <f t="shared" ca="1" si="107"/>
        <v>0</v>
      </c>
      <c r="BC170" s="536">
        <f t="shared" ca="1" si="108"/>
        <v>2040</v>
      </c>
      <c r="BF170" s="530">
        <v>169</v>
      </c>
      <c r="BG170" s="531">
        <f t="shared" ca="1" si="134"/>
        <v>51310</v>
      </c>
      <c r="BH170" s="532">
        <f ca="1">IF(BH169=0,SUMIFS('Key Life Events'!$L$3:$L$28,'Key Life Events'!$H$3:$H$28,'Loan Amortization'!$BL$3,'Key Life Events'!$N$3:$N$28,'Loan Amortization'!BG170),BH169-BK169)</f>
        <v>0</v>
      </c>
      <c r="BI170" s="532">
        <f t="shared" ca="1" si="135"/>
        <v>0</v>
      </c>
      <c r="BJ170" s="532">
        <f t="shared" ca="1" si="136"/>
        <v>0</v>
      </c>
      <c r="BK170" s="532">
        <f t="shared" ca="1" si="109"/>
        <v>0</v>
      </c>
      <c r="BP170" s="536">
        <f t="shared" ca="1" si="110"/>
        <v>2040</v>
      </c>
      <c r="BQ170" s="535">
        <f ca="1"/>
        <v>0</v>
      </c>
      <c r="BS170" s="530">
        <v>169</v>
      </c>
      <c r="BT170" s="531">
        <f t="shared" ca="1" si="137"/>
        <v>51310</v>
      </c>
      <c r="BU170" s="532">
        <f ca="1">IF(BU169=0,SUMIFS('Key Life Events'!$L$3:$L$28,'Key Life Events'!$H$3:$H$28,'Loan Amortization'!$BY$3,'Key Life Events'!$N$3:$N$28,'Loan Amortization'!BT170),BU169-BX169)</f>
        <v>0</v>
      </c>
      <c r="BV170" s="532">
        <f t="shared" ca="1" si="142"/>
        <v>0</v>
      </c>
      <c r="BW170" s="532">
        <f t="shared" ca="1" si="138"/>
        <v>0</v>
      </c>
      <c r="BX170" s="532">
        <f t="shared" ca="1" si="111"/>
        <v>0</v>
      </c>
      <c r="CC170" s="536">
        <f t="shared" ca="1" si="112"/>
        <v>2040</v>
      </c>
      <c r="CD170" s="535">
        <f ca="1"/>
        <v>0</v>
      </c>
      <c r="CF170" s="530">
        <v>169</v>
      </c>
      <c r="CG170" s="531">
        <f t="shared" ca="1" si="139"/>
        <v>51310</v>
      </c>
      <c r="CH170" s="532">
        <f ca="1">IF(CH169=0,SUMIFS('Key Life Events'!$L$3:$L$28,'Key Life Events'!$H$3:$H$28,'Loan Amortization'!$CL$3,'Key Life Events'!$N$3:$N$28,'Loan Amortization'!CG170),CH169-CK169)</f>
        <v>0</v>
      </c>
      <c r="CI170" s="532">
        <f t="shared" ca="1" si="140"/>
        <v>0</v>
      </c>
      <c r="CJ170" s="532">
        <f t="shared" ca="1" si="141"/>
        <v>0</v>
      </c>
      <c r="CK170" s="532">
        <f t="shared" ca="1" si="113"/>
        <v>0</v>
      </c>
      <c r="CP170" s="536">
        <f t="shared" ca="1" si="114"/>
        <v>2040</v>
      </c>
      <c r="CQ170" s="535">
        <f ca="1"/>
        <v>0</v>
      </c>
      <c r="CS170" s="100">
        <f t="shared" si="115"/>
        <v>169</v>
      </c>
      <c r="CT170" s="102">
        <f t="shared" ca="1" si="116"/>
        <v>0</v>
      </c>
      <c r="CU170" s="102">
        <f t="shared" ca="1" si="117"/>
        <v>0</v>
      </c>
      <c r="CV170" s="511">
        <f t="shared" ca="1" si="118"/>
        <v>2040</v>
      </c>
      <c r="CW170" s="1">
        <f t="shared" si="98"/>
        <v>2017</v>
      </c>
      <c r="CX170" s="99">
        <f t="shared" si="99"/>
        <v>0</v>
      </c>
    </row>
    <row r="171" spans="1:102" x14ac:dyDescent="0.3">
      <c r="A171" s="100">
        <v>170</v>
      </c>
      <c r="B171" s="131">
        <f t="shared" si="119"/>
        <v>4319</v>
      </c>
      <c r="C171" s="102">
        <f t="shared" si="120"/>
        <v>0</v>
      </c>
      <c r="D171" s="102">
        <f t="shared" si="121"/>
        <v>0</v>
      </c>
      <c r="E171" s="102">
        <f t="shared" si="101"/>
        <v>0</v>
      </c>
      <c r="F171" s="102">
        <f t="shared" si="122"/>
        <v>0</v>
      </c>
      <c r="L171" s="100">
        <v>170</v>
      </c>
      <c r="M171" s="131">
        <f t="shared" ca="1" si="123"/>
        <v>51340</v>
      </c>
      <c r="N171" s="102">
        <f t="shared" si="124"/>
        <v>0</v>
      </c>
      <c r="O171" s="102">
        <f t="shared" si="125"/>
        <v>0</v>
      </c>
      <c r="P171" s="102">
        <f t="shared" si="102"/>
        <v>0</v>
      </c>
      <c r="Q171" s="102">
        <f t="shared" si="103"/>
        <v>0</v>
      </c>
      <c r="W171" s="100">
        <v>170</v>
      </c>
      <c r="X171" s="131">
        <f t="shared" ca="1" si="126"/>
        <v>51340</v>
      </c>
      <c r="Y171" s="102">
        <f t="shared" si="127"/>
        <v>0</v>
      </c>
      <c r="Z171" s="102">
        <f t="shared" si="128"/>
        <v>0</v>
      </c>
      <c r="AA171" s="102">
        <f t="shared" si="104"/>
        <v>0</v>
      </c>
      <c r="AB171" s="102">
        <f t="shared" si="105"/>
        <v>0</v>
      </c>
      <c r="AH171" s="100">
        <v>170</v>
      </c>
      <c r="AI171" s="131">
        <f t="shared" ca="1" si="129"/>
        <v>51340</v>
      </c>
      <c r="AJ171" s="102">
        <f t="shared" si="130"/>
        <v>0</v>
      </c>
      <c r="AK171" s="102">
        <f t="shared" si="131"/>
        <v>0</v>
      </c>
      <c r="AL171" s="102">
        <f t="shared" si="143"/>
        <v>0</v>
      </c>
      <c r="AM171" s="102">
        <f t="shared" si="106"/>
        <v>0</v>
      </c>
      <c r="AS171" s="530">
        <v>170</v>
      </c>
      <c r="AT171" s="531">
        <f t="shared" ca="1" si="132"/>
        <v>51340</v>
      </c>
      <c r="AU171" s="532">
        <f ca="1">IF(AU170=0,SUMIFS('Key Life Events'!$L$3:$L$28,'Key Life Events'!$H$3:$H$28,'Loan Amortization'!$AY$3,'Key Life Events'!$N$3:$N$28,'Loan Amortization'!AT171),AU170-AX170)</f>
        <v>0</v>
      </c>
      <c r="AV171" s="532">
        <f t="shared" ca="1" si="133"/>
        <v>0</v>
      </c>
      <c r="AW171" s="532">
        <f t="shared" ca="1" si="100"/>
        <v>0</v>
      </c>
      <c r="AX171" s="532">
        <f t="shared" ca="1" si="107"/>
        <v>0</v>
      </c>
      <c r="BC171" s="536">
        <f t="shared" ca="1" si="108"/>
        <v>2040</v>
      </c>
      <c r="BF171" s="530">
        <v>170</v>
      </c>
      <c r="BG171" s="531">
        <f t="shared" ca="1" si="134"/>
        <v>51340</v>
      </c>
      <c r="BH171" s="532">
        <f ca="1">IF(BH170=0,SUMIFS('Key Life Events'!$L$3:$L$28,'Key Life Events'!$H$3:$H$28,'Loan Amortization'!$BL$3,'Key Life Events'!$N$3:$N$28,'Loan Amortization'!BG171),BH170-BK170)</f>
        <v>0</v>
      </c>
      <c r="BI171" s="532">
        <f t="shared" ca="1" si="135"/>
        <v>0</v>
      </c>
      <c r="BJ171" s="532">
        <f t="shared" ca="1" si="136"/>
        <v>0</v>
      </c>
      <c r="BK171" s="532">
        <f t="shared" ca="1" si="109"/>
        <v>0</v>
      </c>
      <c r="BP171" s="536">
        <f t="shared" ca="1" si="110"/>
        <v>2040</v>
      </c>
      <c r="BQ171" s="535">
        <f ca="1"/>
        <v>0</v>
      </c>
      <c r="BS171" s="530">
        <v>170</v>
      </c>
      <c r="BT171" s="531">
        <f t="shared" ca="1" si="137"/>
        <v>51340</v>
      </c>
      <c r="BU171" s="532">
        <f ca="1">IF(BU170=0,SUMIFS('Key Life Events'!$L$3:$L$28,'Key Life Events'!$H$3:$H$28,'Loan Amortization'!$BY$3,'Key Life Events'!$N$3:$N$28,'Loan Amortization'!BT171),BU170-BX170)</f>
        <v>0</v>
      </c>
      <c r="BV171" s="532">
        <f t="shared" ca="1" si="142"/>
        <v>0</v>
      </c>
      <c r="BW171" s="532">
        <f t="shared" ca="1" si="138"/>
        <v>0</v>
      </c>
      <c r="BX171" s="532">
        <f t="shared" ca="1" si="111"/>
        <v>0</v>
      </c>
      <c r="CC171" s="536">
        <f t="shared" ca="1" si="112"/>
        <v>2040</v>
      </c>
      <c r="CD171" s="535">
        <f ca="1"/>
        <v>0</v>
      </c>
      <c r="CF171" s="530">
        <v>170</v>
      </c>
      <c r="CG171" s="531">
        <f t="shared" ca="1" si="139"/>
        <v>51340</v>
      </c>
      <c r="CH171" s="532">
        <f ca="1">IF(CH170=0,SUMIFS('Key Life Events'!$L$3:$L$28,'Key Life Events'!$H$3:$H$28,'Loan Amortization'!$CL$3,'Key Life Events'!$N$3:$N$28,'Loan Amortization'!CG171),CH170-CK170)</f>
        <v>0</v>
      </c>
      <c r="CI171" s="532">
        <f t="shared" ca="1" si="140"/>
        <v>0</v>
      </c>
      <c r="CJ171" s="532">
        <f t="shared" ca="1" si="141"/>
        <v>0</v>
      </c>
      <c r="CK171" s="532">
        <f t="shared" ca="1" si="113"/>
        <v>0</v>
      </c>
      <c r="CP171" s="536">
        <f t="shared" ca="1" si="114"/>
        <v>2040</v>
      </c>
      <c r="CQ171" s="535">
        <f ca="1"/>
        <v>0</v>
      </c>
      <c r="CS171" s="100">
        <f t="shared" si="115"/>
        <v>170</v>
      </c>
      <c r="CT171" s="102">
        <f t="shared" ca="1" si="116"/>
        <v>0</v>
      </c>
      <c r="CU171" s="102">
        <f t="shared" ca="1" si="117"/>
        <v>0</v>
      </c>
      <c r="CV171" s="511">
        <f t="shared" ca="1" si="118"/>
        <v>2040</v>
      </c>
      <c r="CW171" s="1">
        <f t="shared" si="98"/>
        <v>2029</v>
      </c>
      <c r="CX171" s="99">
        <f t="shared" si="99"/>
        <v>0</v>
      </c>
    </row>
    <row r="172" spans="1:102" x14ac:dyDescent="0.3">
      <c r="A172" s="100">
        <v>171</v>
      </c>
      <c r="B172" s="131">
        <f t="shared" si="119"/>
        <v>4350</v>
      </c>
      <c r="C172" s="102">
        <f t="shared" si="120"/>
        <v>0</v>
      </c>
      <c r="D172" s="102">
        <f t="shared" si="121"/>
        <v>0</v>
      </c>
      <c r="E172" s="102">
        <f t="shared" si="101"/>
        <v>0</v>
      </c>
      <c r="F172" s="102">
        <f t="shared" si="122"/>
        <v>0</v>
      </c>
      <c r="L172" s="100">
        <v>171</v>
      </c>
      <c r="M172" s="131">
        <f t="shared" ca="1" si="123"/>
        <v>51371</v>
      </c>
      <c r="N172" s="102">
        <f t="shared" si="124"/>
        <v>0</v>
      </c>
      <c r="O172" s="102">
        <f t="shared" si="125"/>
        <v>0</v>
      </c>
      <c r="P172" s="102">
        <f t="shared" si="102"/>
        <v>0</v>
      </c>
      <c r="Q172" s="102">
        <f t="shared" si="103"/>
        <v>0</v>
      </c>
      <c r="W172" s="100">
        <v>171</v>
      </c>
      <c r="X172" s="131">
        <f t="shared" ca="1" si="126"/>
        <v>51371</v>
      </c>
      <c r="Y172" s="102">
        <f t="shared" si="127"/>
        <v>0</v>
      </c>
      <c r="Z172" s="102">
        <f t="shared" si="128"/>
        <v>0</v>
      </c>
      <c r="AA172" s="102">
        <f t="shared" si="104"/>
        <v>0</v>
      </c>
      <c r="AB172" s="102">
        <f t="shared" si="105"/>
        <v>0</v>
      </c>
      <c r="AH172" s="100">
        <v>171</v>
      </c>
      <c r="AI172" s="131">
        <f t="shared" ca="1" si="129"/>
        <v>51371</v>
      </c>
      <c r="AJ172" s="102">
        <f t="shared" si="130"/>
        <v>0</v>
      </c>
      <c r="AK172" s="102">
        <f t="shared" si="131"/>
        <v>0</v>
      </c>
      <c r="AL172" s="102">
        <f t="shared" si="143"/>
        <v>0</v>
      </c>
      <c r="AM172" s="102">
        <f t="shared" si="106"/>
        <v>0</v>
      </c>
      <c r="AS172" s="530">
        <v>171</v>
      </c>
      <c r="AT172" s="531">
        <f t="shared" ca="1" si="132"/>
        <v>51371</v>
      </c>
      <c r="AU172" s="532">
        <f ca="1">IF(AU171=0,SUMIFS('Key Life Events'!$L$3:$L$28,'Key Life Events'!$H$3:$H$28,'Loan Amortization'!$AY$3,'Key Life Events'!$N$3:$N$28,'Loan Amortization'!AT172),AU171-AX171)</f>
        <v>0</v>
      </c>
      <c r="AV172" s="532">
        <f t="shared" ca="1" si="133"/>
        <v>0</v>
      </c>
      <c r="AW172" s="532">
        <f t="shared" ca="1" si="100"/>
        <v>0</v>
      </c>
      <c r="AX172" s="532">
        <f t="shared" ca="1" si="107"/>
        <v>0</v>
      </c>
      <c r="BC172" s="536">
        <f t="shared" ca="1" si="108"/>
        <v>2040</v>
      </c>
      <c r="BF172" s="530">
        <v>171</v>
      </c>
      <c r="BG172" s="531">
        <f t="shared" ca="1" si="134"/>
        <v>51371</v>
      </c>
      <c r="BH172" s="532">
        <f ca="1">IF(BH171=0,SUMIFS('Key Life Events'!$L$3:$L$28,'Key Life Events'!$H$3:$H$28,'Loan Amortization'!$BL$3,'Key Life Events'!$N$3:$N$28,'Loan Amortization'!BG172),BH171-BK171)</f>
        <v>0</v>
      </c>
      <c r="BI172" s="532">
        <f t="shared" ca="1" si="135"/>
        <v>0</v>
      </c>
      <c r="BJ172" s="532">
        <f t="shared" ca="1" si="136"/>
        <v>0</v>
      </c>
      <c r="BK172" s="532">
        <f t="shared" ca="1" si="109"/>
        <v>0</v>
      </c>
      <c r="BP172" s="536">
        <f t="shared" ca="1" si="110"/>
        <v>2040</v>
      </c>
      <c r="BQ172" s="535">
        <f ca="1"/>
        <v>0</v>
      </c>
      <c r="BS172" s="530">
        <v>171</v>
      </c>
      <c r="BT172" s="531">
        <f t="shared" ca="1" si="137"/>
        <v>51371</v>
      </c>
      <c r="BU172" s="532">
        <f ca="1">IF(BU171=0,SUMIFS('Key Life Events'!$L$3:$L$28,'Key Life Events'!$H$3:$H$28,'Loan Amortization'!$BY$3,'Key Life Events'!$N$3:$N$28,'Loan Amortization'!BT172),BU171-BX171)</f>
        <v>0</v>
      </c>
      <c r="BV172" s="532">
        <f t="shared" ca="1" si="142"/>
        <v>0</v>
      </c>
      <c r="BW172" s="532">
        <f t="shared" ca="1" si="138"/>
        <v>0</v>
      </c>
      <c r="BX172" s="532">
        <f t="shared" ca="1" si="111"/>
        <v>0</v>
      </c>
      <c r="CC172" s="536">
        <f t="shared" ca="1" si="112"/>
        <v>2040</v>
      </c>
      <c r="CD172" s="535">
        <f ca="1"/>
        <v>0</v>
      </c>
      <c r="CF172" s="530">
        <v>171</v>
      </c>
      <c r="CG172" s="531">
        <f t="shared" ca="1" si="139"/>
        <v>51371</v>
      </c>
      <c r="CH172" s="532">
        <f ca="1">IF(CH171=0,SUMIFS('Key Life Events'!$L$3:$L$28,'Key Life Events'!$H$3:$H$28,'Loan Amortization'!$CL$3,'Key Life Events'!$N$3:$N$28,'Loan Amortization'!CG172),CH171-CK171)</f>
        <v>0</v>
      </c>
      <c r="CI172" s="532">
        <f t="shared" ca="1" si="140"/>
        <v>0</v>
      </c>
      <c r="CJ172" s="532">
        <f t="shared" ca="1" si="141"/>
        <v>0</v>
      </c>
      <c r="CK172" s="532">
        <f t="shared" ca="1" si="113"/>
        <v>0</v>
      </c>
      <c r="CP172" s="536">
        <f t="shared" ca="1" si="114"/>
        <v>2040</v>
      </c>
      <c r="CQ172" s="535">
        <f ca="1"/>
        <v>0</v>
      </c>
      <c r="CS172" s="100">
        <f t="shared" si="115"/>
        <v>171</v>
      </c>
      <c r="CT172" s="102">
        <f t="shared" ca="1" si="116"/>
        <v>0</v>
      </c>
      <c r="CU172" s="102">
        <f t="shared" ca="1" si="117"/>
        <v>0</v>
      </c>
      <c r="CV172" s="511">
        <f t="shared" ca="1" si="118"/>
        <v>2040</v>
      </c>
      <c r="CW172" s="1">
        <f t="shared" si="98"/>
        <v>2041</v>
      </c>
      <c r="CX172" s="99">
        <f t="shared" si="99"/>
        <v>0</v>
      </c>
    </row>
    <row r="173" spans="1:102" x14ac:dyDescent="0.3">
      <c r="A173" s="100">
        <v>172</v>
      </c>
      <c r="B173" s="131">
        <f t="shared" si="119"/>
        <v>4380</v>
      </c>
      <c r="C173" s="102">
        <f t="shared" si="120"/>
        <v>0</v>
      </c>
      <c r="D173" s="102">
        <f t="shared" si="121"/>
        <v>0</v>
      </c>
      <c r="E173" s="102">
        <f t="shared" si="101"/>
        <v>0</v>
      </c>
      <c r="F173" s="102">
        <f t="shared" si="122"/>
        <v>0</v>
      </c>
      <c r="L173" s="100">
        <v>172</v>
      </c>
      <c r="M173" s="131">
        <f t="shared" ca="1" si="123"/>
        <v>51402</v>
      </c>
      <c r="N173" s="102">
        <f t="shared" si="124"/>
        <v>0</v>
      </c>
      <c r="O173" s="102">
        <f t="shared" si="125"/>
        <v>0</v>
      </c>
      <c r="P173" s="102">
        <f t="shared" si="102"/>
        <v>0</v>
      </c>
      <c r="Q173" s="102">
        <f t="shared" si="103"/>
        <v>0</v>
      </c>
      <c r="W173" s="100">
        <v>172</v>
      </c>
      <c r="X173" s="131">
        <f t="shared" ca="1" si="126"/>
        <v>51402</v>
      </c>
      <c r="Y173" s="102">
        <f t="shared" si="127"/>
        <v>0</v>
      </c>
      <c r="Z173" s="102">
        <f t="shared" si="128"/>
        <v>0</v>
      </c>
      <c r="AA173" s="102">
        <f t="shared" si="104"/>
        <v>0</v>
      </c>
      <c r="AB173" s="102">
        <f t="shared" si="105"/>
        <v>0</v>
      </c>
      <c r="AH173" s="100">
        <v>172</v>
      </c>
      <c r="AI173" s="131">
        <f t="shared" ca="1" si="129"/>
        <v>51402</v>
      </c>
      <c r="AJ173" s="102">
        <f t="shared" si="130"/>
        <v>0</v>
      </c>
      <c r="AK173" s="102">
        <f t="shared" si="131"/>
        <v>0</v>
      </c>
      <c r="AL173" s="102">
        <f t="shared" si="143"/>
        <v>0</v>
      </c>
      <c r="AM173" s="102">
        <f t="shared" si="106"/>
        <v>0</v>
      </c>
      <c r="AS173" s="530">
        <v>172</v>
      </c>
      <c r="AT173" s="531">
        <f t="shared" ca="1" si="132"/>
        <v>51402</v>
      </c>
      <c r="AU173" s="532">
        <f ca="1">IF(AU172=0,SUMIFS('Key Life Events'!$L$3:$L$28,'Key Life Events'!$H$3:$H$28,'Loan Amortization'!$AY$3,'Key Life Events'!$N$3:$N$28,'Loan Amortization'!AT173),AU172-AX172)</f>
        <v>0</v>
      </c>
      <c r="AV173" s="532">
        <f t="shared" ca="1" si="133"/>
        <v>0</v>
      </c>
      <c r="AW173" s="532">
        <f t="shared" ca="1" si="100"/>
        <v>0</v>
      </c>
      <c r="AX173" s="532">
        <f t="shared" ca="1" si="107"/>
        <v>0</v>
      </c>
      <c r="BC173" s="536">
        <f t="shared" ca="1" si="108"/>
        <v>2040</v>
      </c>
      <c r="BF173" s="530">
        <v>172</v>
      </c>
      <c r="BG173" s="531">
        <f t="shared" ca="1" si="134"/>
        <v>51402</v>
      </c>
      <c r="BH173" s="532">
        <f ca="1">IF(BH172=0,SUMIFS('Key Life Events'!$L$3:$L$28,'Key Life Events'!$H$3:$H$28,'Loan Amortization'!$BL$3,'Key Life Events'!$N$3:$N$28,'Loan Amortization'!BG173),BH172-BK172)</f>
        <v>0</v>
      </c>
      <c r="BI173" s="532">
        <f t="shared" ca="1" si="135"/>
        <v>0</v>
      </c>
      <c r="BJ173" s="532">
        <f t="shared" ca="1" si="136"/>
        <v>0</v>
      </c>
      <c r="BK173" s="532">
        <f t="shared" ca="1" si="109"/>
        <v>0</v>
      </c>
      <c r="BP173" s="536">
        <f t="shared" ca="1" si="110"/>
        <v>2040</v>
      </c>
      <c r="BQ173" s="535">
        <f ca="1"/>
        <v>0</v>
      </c>
      <c r="BS173" s="530">
        <v>172</v>
      </c>
      <c r="BT173" s="531">
        <f t="shared" ca="1" si="137"/>
        <v>51402</v>
      </c>
      <c r="BU173" s="532">
        <f ca="1">IF(BU172=0,SUMIFS('Key Life Events'!$L$3:$L$28,'Key Life Events'!$H$3:$H$28,'Loan Amortization'!$BY$3,'Key Life Events'!$N$3:$N$28,'Loan Amortization'!BT173),BU172-BX172)</f>
        <v>0</v>
      </c>
      <c r="BV173" s="532">
        <f t="shared" ca="1" si="142"/>
        <v>0</v>
      </c>
      <c r="BW173" s="532">
        <f t="shared" ca="1" si="138"/>
        <v>0</v>
      </c>
      <c r="BX173" s="532">
        <f t="shared" ca="1" si="111"/>
        <v>0</v>
      </c>
      <c r="CC173" s="536">
        <f t="shared" ca="1" si="112"/>
        <v>2040</v>
      </c>
      <c r="CD173" s="535">
        <f ca="1"/>
        <v>0</v>
      </c>
      <c r="CF173" s="530">
        <v>172</v>
      </c>
      <c r="CG173" s="531">
        <f t="shared" ca="1" si="139"/>
        <v>51402</v>
      </c>
      <c r="CH173" s="532">
        <f ca="1">IF(CH172=0,SUMIFS('Key Life Events'!$L$3:$L$28,'Key Life Events'!$H$3:$H$28,'Loan Amortization'!$CL$3,'Key Life Events'!$N$3:$N$28,'Loan Amortization'!CG173),CH172-CK172)</f>
        <v>0</v>
      </c>
      <c r="CI173" s="532">
        <f t="shared" ca="1" si="140"/>
        <v>0</v>
      </c>
      <c r="CJ173" s="532">
        <f t="shared" ca="1" si="141"/>
        <v>0</v>
      </c>
      <c r="CK173" s="532">
        <f t="shared" ca="1" si="113"/>
        <v>0</v>
      </c>
      <c r="CP173" s="536">
        <f t="shared" ca="1" si="114"/>
        <v>2040</v>
      </c>
      <c r="CQ173" s="535">
        <f ca="1"/>
        <v>0</v>
      </c>
      <c r="CS173" s="100">
        <f t="shared" si="115"/>
        <v>172</v>
      </c>
      <c r="CT173" s="102">
        <f t="shared" ca="1" si="116"/>
        <v>0</v>
      </c>
      <c r="CU173" s="102">
        <f t="shared" ca="1" si="117"/>
        <v>0</v>
      </c>
      <c r="CV173" s="511">
        <f t="shared" ca="1" si="118"/>
        <v>2040</v>
      </c>
      <c r="CW173" s="1">
        <f t="shared" si="98"/>
        <v>2053</v>
      </c>
      <c r="CX173" s="99">
        <f t="shared" si="99"/>
        <v>0</v>
      </c>
    </row>
    <row r="174" spans="1:102" x14ac:dyDescent="0.3">
      <c r="A174" s="100">
        <v>173</v>
      </c>
      <c r="B174" s="131">
        <f t="shared" si="119"/>
        <v>4411</v>
      </c>
      <c r="C174" s="102">
        <f t="shared" si="120"/>
        <v>0</v>
      </c>
      <c r="D174" s="102">
        <f t="shared" si="121"/>
        <v>0</v>
      </c>
      <c r="E174" s="102">
        <f t="shared" si="101"/>
        <v>0</v>
      </c>
      <c r="F174" s="102">
        <f t="shared" si="122"/>
        <v>0</v>
      </c>
      <c r="L174" s="100">
        <v>173</v>
      </c>
      <c r="M174" s="131">
        <f t="shared" ca="1" si="123"/>
        <v>51432</v>
      </c>
      <c r="N174" s="102">
        <f t="shared" si="124"/>
        <v>0</v>
      </c>
      <c r="O174" s="102">
        <f t="shared" si="125"/>
        <v>0</v>
      </c>
      <c r="P174" s="102">
        <f t="shared" si="102"/>
        <v>0</v>
      </c>
      <c r="Q174" s="102">
        <f t="shared" si="103"/>
        <v>0</v>
      </c>
      <c r="W174" s="100">
        <v>173</v>
      </c>
      <c r="X174" s="131">
        <f t="shared" ca="1" si="126"/>
        <v>51432</v>
      </c>
      <c r="Y174" s="102">
        <f t="shared" si="127"/>
        <v>0</v>
      </c>
      <c r="Z174" s="102">
        <f t="shared" si="128"/>
        <v>0</v>
      </c>
      <c r="AA174" s="102">
        <f t="shared" si="104"/>
        <v>0</v>
      </c>
      <c r="AB174" s="102">
        <f t="shared" si="105"/>
        <v>0</v>
      </c>
      <c r="AH174" s="100">
        <v>173</v>
      </c>
      <c r="AI174" s="131">
        <f t="shared" ca="1" si="129"/>
        <v>51432</v>
      </c>
      <c r="AJ174" s="102">
        <f t="shared" si="130"/>
        <v>0</v>
      </c>
      <c r="AK174" s="102">
        <f t="shared" si="131"/>
        <v>0</v>
      </c>
      <c r="AL174" s="102">
        <f t="shared" si="143"/>
        <v>0</v>
      </c>
      <c r="AM174" s="102">
        <f t="shared" si="106"/>
        <v>0</v>
      </c>
      <c r="AS174" s="530">
        <v>173</v>
      </c>
      <c r="AT174" s="531">
        <f t="shared" ca="1" si="132"/>
        <v>51432</v>
      </c>
      <c r="AU174" s="532">
        <f ca="1">IF(AU173=0,SUMIFS('Key Life Events'!$L$3:$L$28,'Key Life Events'!$H$3:$H$28,'Loan Amortization'!$AY$3,'Key Life Events'!$N$3:$N$28,'Loan Amortization'!AT174),AU173-AX173)</f>
        <v>0</v>
      </c>
      <c r="AV174" s="532">
        <f t="shared" ca="1" si="133"/>
        <v>0</v>
      </c>
      <c r="AW174" s="532">
        <f t="shared" ca="1" si="100"/>
        <v>0</v>
      </c>
      <c r="AX174" s="532">
        <f t="shared" ca="1" si="107"/>
        <v>0</v>
      </c>
      <c r="BC174" s="536">
        <f t="shared" ca="1" si="108"/>
        <v>2040</v>
      </c>
      <c r="BF174" s="530">
        <v>173</v>
      </c>
      <c r="BG174" s="531">
        <f t="shared" ca="1" si="134"/>
        <v>51432</v>
      </c>
      <c r="BH174" s="532">
        <f ca="1">IF(BH173=0,SUMIFS('Key Life Events'!$L$3:$L$28,'Key Life Events'!$H$3:$H$28,'Loan Amortization'!$BL$3,'Key Life Events'!$N$3:$N$28,'Loan Amortization'!BG174),BH173-BK173)</f>
        <v>0</v>
      </c>
      <c r="BI174" s="532">
        <f t="shared" ca="1" si="135"/>
        <v>0</v>
      </c>
      <c r="BJ174" s="532">
        <f t="shared" ca="1" si="136"/>
        <v>0</v>
      </c>
      <c r="BK174" s="532">
        <f t="shared" ca="1" si="109"/>
        <v>0</v>
      </c>
      <c r="BP174" s="536">
        <f t="shared" ca="1" si="110"/>
        <v>2040</v>
      </c>
      <c r="BQ174" s="535">
        <f ca="1"/>
        <v>0</v>
      </c>
      <c r="BS174" s="530">
        <v>173</v>
      </c>
      <c r="BT174" s="531">
        <f t="shared" ca="1" si="137"/>
        <v>51432</v>
      </c>
      <c r="BU174" s="532">
        <f ca="1">IF(BU173=0,SUMIFS('Key Life Events'!$L$3:$L$28,'Key Life Events'!$H$3:$H$28,'Loan Amortization'!$BY$3,'Key Life Events'!$N$3:$N$28,'Loan Amortization'!BT174),BU173-BX173)</f>
        <v>0</v>
      </c>
      <c r="BV174" s="532">
        <f t="shared" ca="1" si="142"/>
        <v>0</v>
      </c>
      <c r="BW174" s="532">
        <f t="shared" ca="1" si="138"/>
        <v>0</v>
      </c>
      <c r="BX174" s="532">
        <f t="shared" ca="1" si="111"/>
        <v>0</v>
      </c>
      <c r="CC174" s="536">
        <f t="shared" ca="1" si="112"/>
        <v>2040</v>
      </c>
      <c r="CD174" s="535">
        <f ca="1"/>
        <v>0</v>
      </c>
      <c r="CF174" s="530">
        <v>173</v>
      </c>
      <c r="CG174" s="531">
        <f t="shared" ca="1" si="139"/>
        <v>51432</v>
      </c>
      <c r="CH174" s="532">
        <f ca="1">IF(CH173=0,SUMIFS('Key Life Events'!$L$3:$L$28,'Key Life Events'!$H$3:$H$28,'Loan Amortization'!$CL$3,'Key Life Events'!$N$3:$N$28,'Loan Amortization'!CG174),CH173-CK173)</f>
        <v>0</v>
      </c>
      <c r="CI174" s="532">
        <f t="shared" ca="1" si="140"/>
        <v>0</v>
      </c>
      <c r="CJ174" s="532">
        <f t="shared" ca="1" si="141"/>
        <v>0</v>
      </c>
      <c r="CK174" s="532">
        <f t="shared" ca="1" si="113"/>
        <v>0</v>
      </c>
      <c r="CP174" s="536">
        <f t="shared" ca="1" si="114"/>
        <v>2040</v>
      </c>
      <c r="CQ174" s="535">
        <f ca="1"/>
        <v>0</v>
      </c>
      <c r="CS174" s="100">
        <f t="shared" si="115"/>
        <v>173</v>
      </c>
      <c r="CT174" s="102">
        <f t="shared" ca="1" si="116"/>
        <v>0</v>
      </c>
      <c r="CU174" s="102">
        <f t="shared" ca="1" si="117"/>
        <v>0</v>
      </c>
      <c r="CV174" s="511">
        <f t="shared" ca="1" si="118"/>
        <v>2040</v>
      </c>
      <c r="CW174" s="1">
        <f t="shared" si="98"/>
        <v>2065</v>
      </c>
      <c r="CX174" s="99">
        <f t="shared" si="99"/>
        <v>0</v>
      </c>
    </row>
    <row r="175" spans="1:102" x14ac:dyDescent="0.3">
      <c r="A175" s="100">
        <v>174</v>
      </c>
      <c r="B175" s="131">
        <f t="shared" si="119"/>
        <v>4442</v>
      </c>
      <c r="C175" s="102">
        <f t="shared" si="120"/>
        <v>0</v>
      </c>
      <c r="D175" s="102">
        <f t="shared" si="121"/>
        <v>0</v>
      </c>
      <c r="E175" s="102">
        <f t="shared" si="101"/>
        <v>0</v>
      </c>
      <c r="F175" s="102">
        <f t="shared" si="122"/>
        <v>0</v>
      </c>
      <c r="L175" s="100">
        <v>174</v>
      </c>
      <c r="M175" s="131">
        <f t="shared" ca="1" si="123"/>
        <v>51463</v>
      </c>
      <c r="N175" s="102">
        <f t="shared" si="124"/>
        <v>0</v>
      </c>
      <c r="O175" s="102">
        <f t="shared" si="125"/>
        <v>0</v>
      </c>
      <c r="P175" s="102">
        <f t="shared" si="102"/>
        <v>0</v>
      </c>
      <c r="Q175" s="102">
        <f t="shared" si="103"/>
        <v>0</v>
      </c>
      <c r="W175" s="100">
        <v>174</v>
      </c>
      <c r="X175" s="131">
        <f t="shared" ca="1" si="126"/>
        <v>51463</v>
      </c>
      <c r="Y175" s="102">
        <f t="shared" si="127"/>
        <v>0</v>
      </c>
      <c r="Z175" s="102">
        <f t="shared" si="128"/>
        <v>0</v>
      </c>
      <c r="AA175" s="102">
        <f t="shared" si="104"/>
        <v>0</v>
      </c>
      <c r="AB175" s="102">
        <f t="shared" si="105"/>
        <v>0</v>
      </c>
      <c r="AH175" s="100">
        <v>174</v>
      </c>
      <c r="AI175" s="131">
        <f t="shared" ca="1" si="129"/>
        <v>51463</v>
      </c>
      <c r="AJ175" s="102">
        <f t="shared" si="130"/>
        <v>0</v>
      </c>
      <c r="AK175" s="102">
        <f t="shared" si="131"/>
        <v>0</v>
      </c>
      <c r="AL175" s="102">
        <f t="shared" si="143"/>
        <v>0</v>
      </c>
      <c r="AM175" s="102">
        <f t="shared" si="106"/>
        <v>0</v>
      </c>
      <c r="AS175" s="530">
        <v>174</v>
      </c>
      <c r="AT175" s="531">
        <f t="shared" ca="1" si="132"/>
        <v>51463</v>
      </c>
      <c r="AU175" s="532">
        <f ca="1">IF(AU174=0,SUMIFS('Key Life Events'!$L$3:$L$28,'Key Life Events'!$H$3:$H$28,'Loan Amortization'!$AY$3,'Key Life Events'!$N$3:$N$28,'Loan Amortization'!AT175),AU174-AX174)</f>
        <v>0</v>
      </c>
      <c r="AV175" s="532">
        <f t="shared" ca="1" si="133"/>
        <v>0</v>
      </c>
      <c r="AW175" s="532">
        <f t="shared" ca="1" si="100"/>
        <v>0</v>
      </c>
      <c r="AX175" s="532">
        <f t="shared" ca="1" si="107"/>
        <v>0</v>
      </c>
      <c r="BC175" s="536">
        <f t="shared" ca="1" si="108"/>
        <v>2040</v>
      </c>
      <c r="BF175" s="530">
        <v>174</v>
      </c>
      <c r="BG175" s="531">
        <f t="shared" ca="1" si="134"/>
        <v>51463</v>
      </c>
      <c r="BH175" s="532">
        <f ca="1">IF(BH174=0,SUMIFS('Key Life Events'!$L$3:$L$28,'Key Life Events'!$H$3:$H$28,'Loan Amortization'!$BL$3,'Key Life Events'!$N$3:$N$28,'Loan Amortization'!BG175),BH174-BK174)</f>
        <v>0</v>
      </c>
      <c r="BI175" s="532">
        <f t="shared" ca="1" si="135"/>
        <v>0</v>
      </c>
      <c r="BJ175" s="532">
        <f t="shared" ca="1" si="136"/>
        <v>0</v>
      </c>
      <c r="BK175" s="532">
        <f t="shared" ca="1" si="109"/>
        <v>0</v>
      </c>
      <c r="BP175" s="536">
        <f t="shared" ca="1" si="110"/>
        <v>2040</v>
      </c>
      <c r="BQ175" s="535">
        <f ca="1"/>
        <v>0</v>
      </c>
      <c r="BS175" s="530">
        <v>174</v>
      </c>
      <c r="BT175" s="531">
        <f t="shared" ca="1" si="137"/>
        <v>51463</v>
      </c>
      <c r="BU175" s="532">
        <f ca="1">IF(BU174=0,SUMIFS('Key Life Events'!$L$3:$L$28,'Key Life Events'!$H$3:$H$28,'Loan Amortization'!$BY$3,'Key Life Events'!$N$3:$N$28,'Loan Amortization'!BT175),BU174-BX174)</f>
        <v>0</v>
      </c>
      <c r="BV175" s="532">
        <f t="shared" ca="1" si="142"/>
        <v>0</v>
      </c>
      <c r="BW175" s="532">
        <f t="shared" ca="1" si="138"/>
        <v>0</v>
      </c>
      <c r="BX175" s="532">
        <f t="shared" ca="1" si="111"/>
        <v>0</v>
      </c>
      <c r="CC175" s="536">
        <f t="shared" ca="1" si="112"/>
        <v>2040</v>
      </c>
      <c r="CD175" s="535">
        <f ca="1"/>
        <v>0</v>
      </c>
      <c r="CF175" s="530">
        <v>174</v>
      </c>
      <c r="CG175" s="531">
        <f t="shared" ca="1" si="139"/>
        <v>51463</v>
      </c>
      <c r="CH175" s="532">
        <f ca="1">IF(CH174=0,SUMIFS('Key Life Events'!$L$3:$L$28,'Key Life Events'!$H$3:$H$28,'Loan Amortization'!$CL$3,'Key Life Events'!$N$3:$N$28,'Loan Amortization'!CG175),CH174-CK174)</f>
        <v>0</v>
      </c>
      <c r="CI175" s="532">
        <f t="shared" ca="1" si="140"/>
        <v>0</v>
      </c>
      <c r="CJ175" s="532">
        <f t="shared" ca="1" si="141"/>
        <v>0</v>
      </c>
      <c r="CK175" s="532">
        <f t="shared" ca="1" si="113"/>
        <v>0</v>
      </c>
      <c r="CP175" s="536">
        <f t="shared" ca="1" si="114"/>
        <v>2040</v>
      </c>
      <c r="CQ175" s="535">
        <f ca="1"/>
        <v>0</v>
      </c>
      <c r="CS175" s="100">
        <f t="shared" si="115"/>
        <v>174</v>
      </c>
      <c r="CT175" s="102">
        <f t="shared" ca="1" si="116"/>
        <v>0</v>
      </c>
      <c r="CU175" s="102">
        <f t="shared" ca="1" si="117"/>
        <v>0</v>
      </c>
      <c r="CV175" s="511">
        <f t="shared" ca="1" si="118"/>
        <v>2040</v>
      </c>
      <c r="CW175" s="1">
        <f t="shared" si="98"/>
        <v>2077</v>
      </c>
      <c r="CX175" s="99">
        <f t="shared" si="99"/>
        <v>0</v>
      </c>
    </row>
    <row r="176" spans="1:102" x14ac:dyDescent="0.3">
      <c r="A176" s="100">
        <v>175</v>
      </c>
      <c r="B176" s="131">
        <f t="shared" si="119"/>
        <v>4471</v>
      </c>
      <c r="C176" s="102">
        <f t="shared" si="120"/>
        <v>0</v>
      </c>
      <c r="D176" s="102">
        <f t="shared" si="121"/>
        <v>0</v>
      </c>
      <c r="E176" s="102">
        <f t="shared" si="101"/>
        <v>0</v>
      </c>
      <c r="F176" s="102">
        <f t="shared" si="122"/>
        <v>0</v>
      </c>
      <c r="L176" s="100">
        <v>175</v>
      </c>
      <c r="M176" s="131">
        <f t="shared" ca="1" si="123"/>
        <v>51493</v>
      </c>
      <c r="N176" s="102">
        <f t="shared" si="124"/>
        <v>0</v>
      </c>
      <c r="O176" s="102">
        <f t="shared" si="125"/>
        <v>0</v>
      </c>
      <c r="P176" s="102">
        <f t="shared" si="102"/>
        <v>0</v>
      </c>
      <c r="Q176" s="102">
        <f t="shared" si="103"/>
        <v>0</v>
      </c>
      <c r="W176" s="100">
        <v>175</v>
      </c>
      <c r="X176" s="131">
        <f t="shared" ca="1" si="126"/>
        <v>51493</v>
      </c>
      <c r="Y176" s="102">
        <f t="shared" si="127"/>
        <v>0</v>
      </c>
      <c r="Z176" s="102">
        <f t="shared" si="128"/>
        <v>0</v>
      </c>
      <c r="AA176" s="102">
        <f t="shared" si="104"/>
        <v>0</v>
      </c>
      <c r="AB176" s="102">
        <f t="shared" si="105"/>
        <v>0</v>
      </c>
      <c r="AH176" s="100">
        <v>175</v>
      </c>
      <c r="AI176" s="131">
        <f t="shared" ca="1" si="129"/>
        <v>51493</v>
      </c>
      <c r="AJ176" s="102">
        <f t="shared" si="130"/>
        <v>0</v>
      </c>
      <c r="AK176" s="102">
        <f t="shared" si="131"/>
        <v>0</v>
      </c>
      <c r="AL176" s="102">
        <f t="shared" si="143"/>
        <v>0</v>
      </c>
      <c r="AM176" s="102">
        <f t="shared" si="106"/>
        <v>0</v>
      </c>
      <c r="AS176" s="530">
        <v>175</v>
      </c>
      <c r="AT176" s="531">
        <f t="shared" ca="1" si="132"/>
        <v>51493</v>
      </c>
      <c r="AU176" s="532">
        <f ca="1">IF(AU175=0,SUMIFS('Key Life Events'!$L$3:$L$28,'Key Life Events'!$H$3:$H$28,'Loan Amortization'!$AY$3,'Key Life Events'!$N$3:$N$28,'Loan Amortization'!AT176),AU175-AX175)</f>
        <v>0</v>
      </c>
      <c r="AV176" s="532">
        <f t="shared" ca="1" si="133"/>
        <v>0</v>
      </c>
      <c r="AW176" s="532">
        <f t="shared" ca="1" si="100"/>
        <v>0</v>
      </c>
      <c r="AX176" s="532">
        <f t="shared" ca="1" si="107"/>
        <v>0</v>
      </c>
      <c r="BC176" s="536">
        <f t="shared" ca="1" si="108"/>
        <v>2040</v>
      </c>
      <c r="BF176" s="530">
        <v>175</v>
      </c>
      <c r="BG176" s="531">
        <f t="shared" ca="1" si="134"/>
        <v>51493</v>
      </c>
      <c r="BH176" s="532">
        <f ca="1">IF(BH175=0,SUMIFS('Key Life Events'!$L$3:$L$28,'Key Life Events'!$H$3:$H$28,'Loan Amortization'!$BL$3,'Key Life Events'!$N$3:$N$28,'Loan Amortization'!BG176),BH175-BK175)</f>
        <v>0</v>
      </c>
      <c r="BI176" s="532">
        <f t="shared" ca="1" si="135"/>
        <v>0</v>
      </c>
      <c r="BJ176" s="532">
        <f t="shared" ca="1" si="136"/>
        <v>0</v>
      </c>
      <c r="BK176" s="532">
        <f t="shared" ca="1" si="109"/>
        <v>0</v>
      </c>
      <c r="BP176" s="536">
        <f t="shared" ca="1" si="110"/>
        <v>2040</v>
      </c>
      <c r="BQ176" s="535">
        <f ca="1"/>
        <v>0</v>
      </c>
      <c r="BS176" s="530">
        <v>175</v>
      </c>
      <c r="BT176" s="531">
        <f t="shared" ca="1" si="137"/>
        <v>51493</v>
      </c>
      <c r="BU176" s="532">
        <f ca="1">IF(BU175=0,SUMIFS('Key Life Events'!$L$3:$L$28,'Key Life Events'!$H$3:$H$28,'Loan Amortization'!$BY$3,'Key Life Events'!$N$3:$N$28,'Loan Amortization'!BT176),BU175-BX175)</f>
        <v>0</v>
      </c>
      <c r="BV176" s="532">
        <f t="shared" ca="1" si="142"/>
        <v>0</v>
      </c>
      <c r="BW176" s="532">
        <f t="shared" ca="1" si="138"/>
        <v>0</v>
      </c>
      <c r="BX176" s="532">
        <f t="shared" ca="1" si="111"/>
        <v>0</v>
      </c>
      <c r="CC176" s="536">
        <f t="shared" ca="1" si="112"/>
        <v>2040</v>
      </c>
      <c r="CD176" s="535">
        <f ca="1"/>
        <v>0</v>
      </c>
      <c r="CF176" s="530">
        <v>175</v>
      </c>
      <c r="CG176" s="531">
        <f t="shared" ca="1" si="139"/>
        <v>51493</v>
      </c>
      <c r="CH176" s="532">
        <f ca="1">IF(CH175=0,SUMIFS('Key Life Events'!$L$3:$L$28,'Key Life Events'!$H$3:$H$28,'Loan Amortization'!$CL$3,'Key Life Events'!$N$3:$N$28,'Loan Amortization'!CG176),CH175-CK175)</f>
        <v>0</v>
      </c>
      <c r="CI176" s="532">
        <f t="shared" ca="1" si="140"/>
        <v>0</v>
      </c>
      <c r="CJ176" s="532">
        <f t="shared" ca="1" si="141"/>
        <v>0</v>
      </c>
      <c r="CK176" s="532">
        <f t="shared" ca="1" si="113"/>
        <v>0</v>
      </c>
      <c r="CP176" s="536">
        <f t="shared" ca="1" si="114"/>
        <v>2040</v>
      </c>
      <c r="CQ176" s="535">
        <f ca="1"/>
        <v>0</v>
      </c>
      <c r="CS176" s="100">
        <f t="shared" si="115"/>
        <v>175</v>
      </c>
      <c r="CT176" s="102">
        <f t="shared" ca="1" si="116"/>
        <v>0</v>
      </c>
      <c r="CU176" s="102">
        <f t="shared" ca="1" si="117"/>
        <v>0</v>
      </c>
      <c r="CV176" s="511">
        <f t="shared" ca="1" si="118"/>
        <v>2040</v>
      </c>
      <c r="CW176" s="1">
        <f t="shared" si="98"/>
        <v>2089</v>
      </c>
      <c r="CX176" s="99">
        <f t="shared" si="99"/>
        <v>0</v>
      </c>
    </row>
    <row r="177" spans="1:102" x14ac:dyDescent="0.3">
      <c r="A177" s="100">
        <v>176</v>
      </c>
      <c r="B177" s="131">
        <f t="shared" si="119"/>
        <v>4502</v>
      </c>
      <c r="C177" s="102">
        <f t="shared" si="120"/>
        <v>0</v>
      </c>
      <c r="D177" s="102">
        <f t="shared" si="121"/>
        <v>0</v>
      </c>
      <c r="E177" s="102">
        <f t="shared" si="101"/>
        <v>0</v>
      </c>
      <c r="F177" s="102">
        <f t="shared" si="122"/>
        <v>0</v>
      </c>
      <c r="L177" s="100">
        <v>176</v>
      </c>
      <c r="M177" s="131">
        <f t="shared" ca="1" si="123"/>
        <v>51524</v>
      </c>
      <c r="N177" s="102">
        <f t="shared" si="124"/>
        <v>0</v>
      </c>
      <c r="O177" s="102">
        <f t="shared" si="125"/>
        <v>0</v>
      </c>
      <c r="P177" s="102">
        <f t="shared" si="102"/>
        <v>0</v>
      </c>
      <c r="Q177" s="102">
        <f t="shared" si="103"/>
        <v>0</v>
      </c>
      <c r="W177" s="100">
        <v>176</v>
      </c>
      <c r="X177" s="131">
        <f t="shared" ca="1" si="126"/>
        <v>51524</v>
      </c>
      <c r="Y177" s="102">
        <f t="shared" si="127"/>
        <v>0</v>
      </c>
      <c r="Z177" s="102">
        <f t="shared" si="128"/>
        <v>0</v>
      </c>
      <c r="AA177" s="102">
        <f t="shared" si="104"/>
        <v>0</v>
      </c>
      <c r="AB177" s="102">
        <f t="shared" si="105"/>
        <v>0</v>
      </c>
      <c r="AH177" s="100">
        <v>176</v>
      </c>
      <c r="AI177" s="131">
        <f t="shared" ca="1" si="129"/>
        <v>51524</v>
      </c>
      <c r="AJ177" s="102">
        <f t="shared" si="130"/>
        <v>0</v>
      </c>
      <c r="AK177" s="102">
        <f t="shared" si="131"/>
        <v>0</v>
      </c>
      <c r="AL177" s="102">
        <f t="shared" si="143"/>
        <v>0</v>
      </c>
      <c r="AM177" s="102">
        <f t="shared" si="106"/>
        <v>0</v>
      </c>
      <c r="AS177" s="530">
        <v>176</v>
      </c>
      <c r="AT177" s="531">
        <f t="shared" ca="1" si="132"/>
        <v>51524</v>
      </c>
      <c r="AU177" s="532">
        <f ca="1">IF(AU176=0,SUMIFS('Key Life Events'!$L$3:$L$28,'Key Life Events'!$H$3:$H$28,'Loan Amortization'!$AY$3,'Key Life Events'!$N$3:$N$28,'Loan Amortization'!AT177),AU176-AX176)</f>
        <v>0</v>
      </c>
      <c r="AV177" s="532">
        <f t="shared" ca="1" si="133"/>
        <v>0</v>
      </c>
      <c r="AW177" s="532">
        <f t="shared" ca="1" si="100"/>
        <v>0</v>
      </c>
      <c r="AX177" s="532">
        <f t="shared" ca="1" si="107"/>
        <v>0</v>
      </c>
      <c r="BC177" s="536">
        <f t="shared" ca="1" si="108"/>
        <v>2041</v>
      </c>
      <c r="BF177" s="530">
        <v>176</v>
      </c>
      <c r="BG177" s="531">
        <f t="shared" ca="1" si="134"/>
        <v>51524</v>
      </c>
      <c r="BH177" s="532">
        <f ca="1">IF(BH176=0,SUMIFS('Key Life Events'!$L$3:$L$28,'Key Life Events'!$H$3:$H$28,'Loan Amortization'!$BL$3,'Key Life Events'!$N$3:$N$28,'Loan Amortization'!BG177),BH176-BK176)</f>
        <v>0</v>
      </c>
      <c r="BI177" s="532">
        <f t="shared" ca="1" si="135"/>
        <v>0</v>
      </c>
      <c r="BJ177" s="532">
        <f t="shared" ca="1" si="136"/>
        <v>0</v>
      </c>
      <c r="BK177" s="532">
        <f t="shared" ca="1" si="109"/>
        <v>0</v>
      </c>
      <c r="BP177" s="536">
        <f t="shared" ca="1" si="110"/>
        <v>2041</v>
      </c>
      <c r="BQ177" s="535">
        <f ca="1"/>
        <v>0</v>
      </c>
      <c r="BS177" s="530">
        <v>176</v>
      </c>
      <c r="BT177" s="531">
        <f t="shared" ca="1" si="137"/>
        <v>51524</v>
      </c>
      <c r="BU177" s="532">
        <f ca="1">IF(BU176=0,SUMIFS('Key Life Events'!$L$3:$L$28,'Key Life Events'!$H$3:$H$28,'Loan Amortization'!$BY$3,'Key Life Events'!$N$3:$N$28,'Loan Amortization'!BT177),BU176-BX176)</f>
        <v>0</v>
      </c>
      <c r="BV177" s="532">
        <f t="shared" ca="1" si="142"/>
        <v>0</v>
      </c>
      <c r="BW177" s="532">
        <f t="shared" ca="1" si="138"/>
        <v>0</v>
      </c>
      <c r="BX177" s="532">
        <f t="shared" ca="1" si="111"/>
        <v>0</v>
      </c>
      <c r="CC177" s="536">
        <f t="shared" ca="1" si="112"/>
        <v>2041</v>
      </c>
      <c r="CD177" s="535">
        <f ca="1"/>
        <v>0</v>
      </c>
      <c r="CF177" s="530">
        <v>176</v>
      </c>
      <c r="CG177" s="531">
        <f t="shared" ca="1" si="139"/>
        <v>51524</v>
      </c>
      <c r="CH177" s="532">
        <f ca="1">IF(CH176=0,SUMIFS('Key Life Events'!$L$3:$L$28,'Key Life Events'!$H$3:$H$28,'Loan Amortization'!$CL$3,'Key Life Events'!$N$3:$N$28,'Loan Amortization'!CG177),CH176-CK176)</f>
        <v>0</v>
      </c>
      <c r="CI177" s="532">
        <f t="shared" ca="1" si="140"/>
        <v>0</v>
      </c>
      <c r="CJ177" s="532">
        <f t="shared" ca="1" si="141"/>
        <v>0</v>
      </c>
      <c r="CK177" s="532">
        <f t="shared" ca="1" si="113"/>
        <v>0</v>
      </c>
      <c r="CP177" s="536">
        <f t="shared" ca="1" si="114"/>
        <v>2041</v>
      </c>
      <c r="CQ177" s="535">
        <f ca="1"/>
        <v>0</v>
      </c>
      <c r="CS177" s="100">
        <f t="shared" si="115"/>
        <v>176</v>
      </c>
      <c r="CT177" s="102">
        <f t="shared" ca="1" si="116"/>
        <v>0</v>
      </c>
      <c r="CU177" s="102">
        <f t="shared" ca="1" si="117"/>
        <v>0</v>
      </c>
      <c r="CV177" s="511">
        <f t="shared" ca="1" si="118"/>
        <v>2041</v>
      </c>
      <c r="CW177" s="1">
        <f t="shared" si="98"/>
        <v>2101</v>
      </c>
      <c r="CX177" s="99">
        <f t="shared" si="99"/>
        <v>0</v>
      </c>
    </row>
    <row r="178" spans="1:102" x14ac:dyDescent="0.3">
      <c r="A178" s="100">
        <v>177</v>
      </c>
      <c r="B178" s="131">
        <f t="shared" si="119"/>
        <v>4532</v>
      </c>
      <c r="C178" s="102">
        <f t="shared" si="120"/>
        <v>0</v>
      </c>
      <c r="D178" s="102">
        <f t="shared" si="121"/>
        <v>0</v>
      </c>
      <c r="E178" s="102">
        <f t="shared" si="101"/>
        <v>0</v>
      </c>
      <c r="F178" s="102">
        <f t="shared" si="122"/>
        <v>0</v>
      </c>
      <c r="L178" s="100">
        <v>177</v>
      </c>
      <c r="M178" s="131">
        <f t="shared" ca="1" si="123"/>
        <v>51555</v>
      </c>
      <c r="N178" s="102">
        <f t="shared" si="124"/>
        <v>0</v>
      </c>
      <c r="O178" s="102">
        <f t="shared" si="125"/>
        <v>0</v>
      </c>
      <c r="P178" s="102">
        <f t="shared" si="102"/>
        <v>0</v>
      </c>
      <c r="Q178" s="102">
        <f t="shared" si="103"/>
        <v>0</v>
      </c>
      <c r="W178" s="100">
        <v>177</v>
      </c>
      <c r="X178" s="131">
        <f t="shared" ca="1" si="126"/>
        <v>51555</v>
      </c>
      <c r="Y178" s="102">
        <f t="shared" si="127"/>
        <v>0</v>
      </c>
      <c r="Z178" s="102">
        <f t="shared" si="128"/>
        <v>0</v>
      </c>
      <c r="AA178" s="102">
        <f t="shared" si="104"/>
        <v>0</v>
      </c>
      <c r="AB178" s="102">
        <f t="shared" si="105"/>
        <v>0</v>
      </c>
      <c r="AH178" s="100">
        <v>177</v>
      </c>
      <c r="AI178" s="131">
        <f t="shared" ca="1" si="129"/>
        <v>51555</v>
      </c>
      <c r="AJ178" s="102">
        <f t="shared" si="130"/>
        <v>0</v>
      </c>
      <c r="AK178" s="102">
        <f t="shared" si="131"/>
        <v>0</v>
      </c>
      <c r="AL178" s="102">
        <f t="shared" si="143"/>
        <v>0</v>
      </c>
      <c r="AM178" s="102">
        <f t="shared" si="106"/>
        <v>0</v>
      </c>
      <c r="AS178" s="530">
        <v>177</v>
      </c>
      <c r="AT178" s="531">
        <f t="shared" ca="1" si="132"/>
        <v>51555</v>
      </c>
      <c r="AU178" s="532">
        <f ca="1">IF(AU177=0,SUMIFS('Key Life Events'!$L$3:$L$28,'Key Life Events'!$H$3:$H$28,'Loan Amortization'!$AY$3,'Key Life Events'!$N$3:$N$28,'Loan Amortization'!AT178),AU177-AX177)</f>
        <v>0</v>
      </c>
      <c r="AV178" s="532">
        <f t="shared" ca="1" si="133"/>
        <v>0</v>
      </c>
      <c r="AW178" s="532">
        <f t="shared" ca="1" si="100"/>
        <v>0</v>
      </c>
      <c r="AX178" s="532">
        <f t="shared" ca="1" si="107"/>
        <v>0</v>
      </c>
      <c r="BC178" s="536">
        <f t="shared" ca="1" si="108"/>
        <v>2041</v>
      </c>
      <c r="BF178" s="530">
        <v>177</v>
      </c>
      <c r="BG178" s="531">
        <f t="shared" ca="1" si="134"/>
        <v>51555</v>
      </c>
      <c r="BH178" s="532">
        <f ca="1">IF(BH177=0,SUMIFS('Key Life Events'!$L$3:$L$28,'Key Life Events'!$H$3:$H$28,'Loan Amortization'!$BL$3,'Key Life Events'!$N$3:$N$28,'Loan Amortization'!BG178),BH177-BK177)</f>
        <v>0</v>
      </c>
      <c r="BI178" s="532">
        <f t="shared" ca="1" si="135"/>
        <v>0</v>
      </c>
      <c r="BJ178" s="532">
        <f t="shared" ca="1" si="136"/>
        <v>0</v>
      </c>
      <c r="BK178" s="532">
        <f t="shared" ca="1" si="109"/>
        <v>0</v>
      </c>
      <c r="BP178" s="536">
        <f t="shared" ca="1" si="110"/>
        <v>2041</v>
      </c>
      <c r="BQ178" s="535">
        <f ca="1"/>
        <v>0</v>
      </c>
      <c r="BS178" s="530">
        <v>177</v>
      </c>
      <c r="BT178" s="531">
        <f t="shared" ca="1" si="137"/>
        <v>51555</v>
      </c>
      <c r="BU178" s="532">
        <f ca="1">IF(BU177=0,SUMIFS('Key Life Events'!$L$3:$L$28,'Key Life Events'!$H$3:$H$28,'Loan Amortization'!$BY$3,'Key Life Events'!$N$3:$N$28,'Loan Amortization'!BT178),BU177-BX177)</f>
        <v>0</v>
      </c>
      <c r="BV178" s="532">
        <f t="shared" ca="1" si="142"/>
        <v>0</v>
      </c>
      <c r="BW178" s="532">
        <f t="shared" ca="1" si="138"/>
        <v>0</v>
      </c>
      <c r="BX178" s="532">
        <f t="shared" ca="1" si="111"/>
        <v>0</v>
      </c>
      <c r="CC178" s="536">
        <f t="shared" ca="1" si="112"/>
        <v>2041</v>
      </c>
      <c r="CD178" s="535">
        <f ca="1"/>
        <v>0</v>
      </c>
      <c r="CF178" s="530">
        <v>177</v>
      </c>
      <c r="CG178" s="531">
        <f t="shared" ca="1" si="139"/>
        <v>51555</v>
      </c>
      <c r="CH178" s="532">
        <f ca="1">IF(CH177=0,SUMIFS('Key Life Events'!$L$3:$L$28,'Key Life Events'!$H$3:$H$28,'Loan Amortization'!$CL$3,'Key Life Events'!$N$3:$N$28,'Loan Amortization'!CG178),CH177-CK177)</f>
        <v>0</v>
      </c>
      <c r="CI178" s="532">
        <f t="shared" ca="1" si="140"/>
        <v>0</v>
      </c>
      <c r="CJ178" s="532">
        <f t="shared" ca="1" si="141"/>
        <v>0</v>
      </c>
      <c r="CK178" s="532">
        <f t="shared" ca="1" si="113"/>
        <v>0</v>
      </c>
      <c r="CP178" s="536">
        <f t="shared" ca="1" si="114"/>
        <v>2041</v>
      </c>
      <c r="CQ178" s="535">
        <f ca="1"/>
        <v>0</v>
      </c>
      <c r="CS178" s="100">
        <f t="shared" si="115"/>
        <v>177</v>
      </c>
      <c r="CT178" s="102">
        <f t="shared" ca="1" si="116"/>
        <v>0</v>
      </c>
      <c r="CU178" s="102">
        <f t="shared" ca="1" si="117"/>
        <v>0</v>
      </c>
      <c r="CV178" s="511">
        <f t="shared" ca="1" si="118"/>
        <v>2041</v>
      </c>
      <c r="CW178" s="1">
        <f t="shared" si="98"/>
        <v>2113</v>
      </c>
      <c r="CX178" s="99">
        <f t="shared" si="99"/>
        <v>0</v>
      </c>
    </row>
    <row r="179" spans="1:102" x14ac:dyDescent="0.3">
      <c r="A179" s="100">
        <v>178</v>
      </c>
      <c r="B179" s="131">
        <f t="shared" si="119"/>
        <v>4563</v>
      </c>
      <c r="C179" s="102">
        <f t="shared" si="120"/>
        <v>0</v>
      </c>
      <c r="D179" s="102">
        <f t="shared" si="121"/>
        <v>0</v>
      </c>
      <c r="E179" s="102">
        <f t="shared" si="101"/>
        <v>0</v>
      </c>
      <c r="F179" s="102">
        <f t="shared" si="122"/>
        <v>0</v>
      </c>
      <c r="L179" s="100">
        <v>178</v>
      </c>
      <c r="M179" s="131">
        <f t="shared" ca="1" si="123"/>
        <v>51583</v>
      </c>
      <c r="N179" s="102">
        <f t="shared" si="124"/>
        <v>0</v>
      </c>
      <c r="O179" s="102">
        <f t="shared" si="125"/>
        <v>0</v>
      </c>
      <c r="P179" s="102">
        <f t="shared" si="102"/>
        <v>0</v>
      </c>
      <c r="Q179" s="102">
        <f t="shared" si="103"/>
        <v>0</v>
      </c>
      <c r="W179" s="100">
        <v>178</v>
      </c>
      <c r="X179" s="131">
        <f t="shared" ca="1" si="126"/>
        <v>51583</v>
      </c>
      <c r="Y179" s="102">
        <f t="shared" si="127"/>
        <v>0</v>
      </c>
      <c r="Z179" s="102">
        <f t="shared" si="128"/>
        <v>0</v>
      </c>
      <c r="AA179" s="102">
        <f t="shared" si="104"/>
        <v>0</v>
      </c>
      <c r="AB179" s="102">
        <f t="shared" si="105"/>
        <v>0</v>
      </c>
      <c r="AH179" s="100">
        <v>178</v>
      </c>
      <c r="AI179" s="131">
        <f t="shared" ca="1" si="129"/>
        <v>51583</v>
      </c>
      <c r="AJ179" s="102">
        <f t="shared" si="130"/>
        <v>0</v>
      </c>
      <c r="AK179" s="102">
        <f t="shared" si="131"/>
        <v>0</v>
      </c>
      <c r="AL179" s="102">
        <f t="shared" si="143"/>
        <v>0</v>
      </c>
      <c r="AM179" s="102">
        <f t="shared" si="106"/>
        <v>0</v>
      </c>
      <c r="AS179" s="530">
        <v>178</v>
      </c>
      <c r="AT179" s="531">
        <f t="shared" ca="1" si="132"/>
        <v>51583</v>
      </c>
      <c r="AU179" s="532">
        <f ca="1">IF(AU178=0,SUMIFS('Key Life Events'!$L$3:$L$28,'Key Life Events'!$H$3:$H$28,'Loan Amortization'!$AY$3,'Key Life Events'!$N$3:$N$28,'Loan Amortization'!AT179),AU178-AX178)</f>
        <v>0</v>
      </c>
      <c r="AV179" s="532">
        <f t="shared" ca="1" si="133"/>
        <v>0</v>
      </c>
      <c r="AW179" s="532">
        <f t="shared" ca="1" si="100"/>
        <v>0</v>
      </c>
      <c r="AX179" s="532">
        <f t="shared" ca="1" si="107"/>
        <v>0</v>
      </c>
      <c r="BC179" s="536">
        <f t="shared" ca="1" si="108"/>
        <v>2041</v>
      </c>
      <c r="BF179" s="530">
        <v>178</v>
      </c>
      <c r="BG179" s="531">
        <f t="shared" ca="1" si="134"/>
        <v>51583</v>
      </c>
      <c r="BH179" s="532">
        <f ca="1">IF(BH178=0,SUMIFS('Key Life Events'!$L$3:$L$28,'Key Life Events'!$H$3:$H$28,'Loan Amortization'!$BL$3,'Key Life Events'!$N$3:$N$28,'Loan Amortization'!BG179),BH178-BK178)</f>
        <v>0</v>
      </c>
      <c r="BI179" s="532">
        <f t="shared" ca="1" si="135"/>
        <v>0</v>
      </c>
      <c r="BJ179" s="532">
        <f t="shared" ca="1" si="136"/>
        <v>0</v>
      </c>
      <c r="BK179" s="532">
        <f t="shared" ca="1" si="109"/>
        <v>0</v>
      </c>
      <c r="BP179" s="536">
        <f t="shared" ca="1" si="110"/>
        <v>2041</v>
      </c>
      <c r="BQ179" s="535">
        <f ca="1"/>
        <v>0</v>
      </c>
      <c r="BS179" s="530">
        <v>178</v>
      </c>
      <c r="BT179" s="531">
        <f t="shared" ca="1" si="137"/>
        <v>51583</v>
      </c>
      <c r="BU179" s="532">
        <f ca="1">IF(BU178=0,SUMIFS('Key Life Events'!$L$3:$L$28,'Key Life Events'!$H$3:$H$28,'Loan Amortization'!$BY$3,'Key Life Events'!$N$3:$N$28,'Loan Amortization'!BT179),BU178-BX178)</f>
        <v>0</v>
      </c>
      <c r="BV179" s="532">
        <f t="shared" ca="1" si="142"/>
        <v>0</v>
      </c>
      <c r="BW179" s="532">
        <f t="shared" ca="1" si="138"/>
        <v>0</v>
      </c>
      <c r="BX179" s="532">
        <f t="shared" ca="1" si="111"/>
        <v>0</v>
      </c>
      <c r="CC179" s="536">
        <f t="shared" ca="1" si="112"/>
        <v>2041</v>
      </c>
      <c r="CD179" s="535">
        <f ca="1"/>
        <v>0</v>
      </c>
      <c r="CF179" s="530">
        <v>178</v>
      </c>
      <c r="CG179" s="531">
        <f t="shared" ca="1" si="139"/>
        <v>51583</v>
      </c>
      <c r="CH179" s="532">
        <f ca="1">IF(CH178=0,SUMIFS('Key Life Events'!$L$3:$L$28,'Key Life Events'!$H$3:$H$28,'Loan Amortization'!$CL$3,'Key Life Events'!$N$3:$N$28,'Loan Amortization'!CG179),CH178-CK178)</f>
        <v>0</v>
      </c>
      <c r="CI179" s="532">
        <f t="shared" ca="1" si="140"/>
        <v>0</v>
      </c>
      <c r="CJ179" s="532">
        <f t="shared" ca="1" si="141"/>
        <v>0</v>
      </c>
      <c r="CK179" s="532">
        <f t="shared" ca="1" si="113"/>
        <v>0</v>
      </c>
      <c r="CP179" s="536">
        <f t="shared" ca="1" si="114"/>
        <v>2041</v>
      </c>
      <c r="CQ179" s="535">
        <f ca="1"/>
        <v>0</v>
      </c>
      <c r="CS179" s="100">
        <f t="shared" si="115"/>
        <v>178</v>
      </c>
      <c r="CT179" s="102">
        <f t="shared" ca="1" si="116"/>
        <v>0</v>
      </c>
      <c r="CU179" s="102">
        <f t="shared" ca="1" si="117"/>
        <v>0</v>
      </c>
      <c r="CV179" s="511">
        <f t="shared" ca="1" si="118"/>
        <v>2041</v>
      </c>
      <c r="CW179" s="1">
        <f t="shared" si="98"/>
        <v>2125</v>
      </c>
      <c r="CX179" s="99">
        <f t="shared" si="99"/>
        <v>0</v>
      </c>
    </row>
    <row r="180" spans="1:102" x14ac:dyDescent="0.3">
      <c r="A180" s="100">
        <v>179</v>
      </c>
      <c r="B180" s="131">
        <f t="shared" si="119"/>
        <v>4593</v>
      </c>
      <c r="C180" s="102">
        <f t="shared" si="120"/>
        <v>0</v>
      </c>
      <c r="D180" s="102">
        <f t="shared" si="121"/>
        <v>0</v>
      </c>
      <c r="E180" s="102">
        <f t="shared" si="101"/>
        <v>0</v>
      </c>
      <c r="F180" s="102">
        <f t="shared" si="122"/>
        <v>0</v>
      </c>
      <c r="L180" s="100">
        <v>179</v>
      </c>
      <c r="M180" s="131">
        <f t="shared" ca="1" si="123"/>
        <v>51614</v>
      </c>
      <c r="N180" s="102">
        <f t="shared" si="124"/>
        <v>0</v>
      </c>
      <c r="O180" s="102">
        <f t="shared" si="125"/>
        <v>0</v>
      </c>
      <c r="P180" s="102">
        <f t="shared" si="102"/>
        <v>0</v>
      </c>
      <c r="Q180" s="102">
        <f t="shared" si="103"/>
        <v>0</v>
      </c>
      <c r="W180" s="100">
        <v>179</v>
      </c>
      <c r="X180" s="131">
        <f t="shared" ca="1" si="126"/>
        <v>51614</v>
      </c>
      <c r="Y180" s="102">
        <f t="shared" si="127"/>
        <v>0</v>
      </c>
      <c r="Z180" s="102">
        <f t="shared" si="128"/>
        <v>0</v>
      </c>
      <c r="AA180" s="102">
        <f t="shared" si="104"/>
        <v>0</v>
      </c>
      <c r="AB180" s="102">
        <f t="shared" si="105"/>
        <v>0</v>
      </c>
      <c r="AH180" s="100">
        <v>179</v>
      </c>
      <c r="AI180" s="131">
        <f t="shared" ca="1" si="129"/>
        <v>51614</v>
      </c>
      <c r="AJ180" s="102">
        <f t="shared" si="130"/>
        <v>0</v>
      </c>
      <c r="AK180" s="102">
        <f t="shared" si="131"/>
        <v>0</v>
      </c>
      <c r="AL180" s="102">
        <f t="shared" si="143"/>
        <v>0</v>
      </c>
      <c r="AM180" s="102">
        <f t="shared" si="106"/>
        <v>0</v>
      </c>
      <c r="AS180" s="530">
        <v>179</v>
      </c>
      <c r="AT180" s="531">
        <f t="shared" ca="1" si="132"/>
        <v>51614</v>
      </c>
      <c r="AU180" s="532">
        <f ca="1">IF(AU179=0,SUMIFS('Key Life Events'!$L$3:$L$28,'Key Life Events'!$H$3:$H$28,'Loan Amortization'!$AY$3,'Key Life Events'!$N$3:$N$28,'Loan Amortization'!AT180),AU179-AX179)</f>
        <v>0</v>
      </c>
      <c r="AV180" s="532">
        <f t="shared" ca="1" si="133"/>
        <v>0</v>
      </c>
      <c r="AW180" s="532">
        <f t="shared" ca="1" si="100"/>
        <v>0</v>
      </c>
      <c r="AX180" s="532">
        <f t="shared" ca="1" si="107"/>
        <v>0</v>
      </c>
      <c r="BC180" s="536">
        <f t="shared" ca="1" si="108"/>
        <v>2041</v>
      </c>
      <c r="BF180" s="530">
        <v>179</v>
      </c>
      <c r="BG180" s="531">
        <f t="shared" ca="1" si="134"/>
        <v>51614</v>
      </c>
      <c r="BH180" s="532">
        <f ca="1">IF(BH179=0,SUMIFS('Key Life Events'!$L$3:$L$28,'Key Life Events'!$H$3:$H$28,'Loan Amortization'!$BL$3,'Key Life Events'!$N$3:$N$28,'Loan Amortization'!BG180),BH179-BK179)</f>
        <v>0</v>
      </c>
      <c r="BI180" s="532">
        <f t="shared" ca="1" si="135"/>
        <v>0</v>
      </c>
      <c r="BJ180" s="532">
        <f t="shared" ca="1" si="136"/>
        <v>0</v>
      </c>
      <c r="BK180" s="532">
        <f t="shared" ca="1" si="109"/>
        <v>0</v>
      </c>
      <c r="BP180" s="536">
        <f t="shared" ca="1" si="110"/>
        <v>2041</v>
      </c>
      <c r="BQ180" s="535">
        <f ca="1"/>
        <v>0</v>
      </c>
      <c r="BS180" s="530">
        <v>179</v>
      </c>
      <c r="BT180" s="531">
        <f t="shared" ca="1" si="137"/>
        <v>51614</v>
      </c>
      <c r="BU180" s="532">
        <f ca="1">IF(BU179=0,SUMIFS('Key Life Events'!$L$3:$L$28,'Key Life Events'!$H$3:$H$28,'Loan Amortization'!$BY$3,'Key Life Events'!$N$3:$N$28,'Loan Amortization'!BT180),BU179-BX179)</f>
        <v>0</v>
      </c>
      <c r="BV180" s="532">
        <f t="shared" ca="1" si="142"/>
        <v>0</v>
      </c>
      <c r="BW180" s="532">
        <f t="shared" ca="1" si="138"/>
        <v>0</v>
      </c>
      <c r="BX180" s="532">
        <f t="shared" ca="1" si="111"/>
        <v>0</v>
      </c>
      <c r="CC180" s="536">
        <f t="shared" ca="1" si="112"/>
        <v>2041</v>
      </c>
      <c r="CD180" s="535">
        <f ca="1"/>
        <v>0</v>
      </c>
      <c r="CF180" s="530">
        <v>179</v>
      </c>
      <c r="CG180" s="531">
        <f t="shared" ca="1" si="139"/>
        <v>51614</v>
      </c>
      <c r="CH180" s="532">
        <f ca="1">IF(CH179=0,SUMIFS('Key Life Events'!$L$3:$L$28,'Key Life Events'!$H$3:$H$28,'Loan Amortization'!$CL$3,'Key Life Events'!$N$3:$N$28,'Loan Amortization'!CG180),CH179-CK179)</f>
        <v>0</v>
      </c>
      <c r="CI180" s="532">
        <f t="shared" ca="1" si="140"/>
        <v>0</v>
      </c>
      <c r="CJ180" s="532">
        <f t="shared" ca="1" si="141"/>
        <v>0</v>
      </c>
      <c r="CK180" s="532">
        <f t="shared" ca="1" si="113"/>
        <v>0</v>
      </c>
      <c r="CP180" s="536">
        <f t="shared" ca="1" si="114"/>
        <v>2041</v>
      </c>
      <c r="CQ180" s="535">
        <f ca="1"/>
        <v>0</v>
      </c>
      <c r="CS180" s="100">
        <f t="shared" si="115"/>
        <v>179</v>
      </c>
      <c r="CT180" s="102">
        <f t="shared" ca="1" si="116"/>
        <v>0</v>
      </c>
      <c r="CU180" s="102">
        <f t="shared" ca="1" si="117"/>
        <v>0</v>
      </c>
      <c r="CV180" s="511">
        <f t="shared" ca="1" si="118"/>
        <v>2041</v>
      </c>
      <c r="CW180" s="1">
        <f t="shared" si="98"/>
        <v>2137</v>
      </c>
      <c r="CX180" s="99">
        <f t="shared" si="99"/>
        <v>0</v>
      </c>
    </row>
    <row r="181" spans="1:102" x14ac:dyDescent="0.3">
      <c r="A181" s="100">
        <v>180</v>
      </c>
      <c r="B181" s="131">
        <f t="shared" si="119"/>
        <v>4624</v>
      </c>
      <c r="C181" s="102">
        <f t="shared" si="120"/>
        <v>0</v>
      </c>
      <c r="D181" s="102">
        <f t="shared" si="121"/>
        <v>0</v>
      </c>
      <c r="E181" s="102">
        <f t="shared" si="101"/>
        <v>0</v>
      </c>
      <c r="F181" s="102">
        <f t="shared" si="122"/>
        <v>0</v>
      </c>
      <c r="L181" s="100">
        <v>180</v>
      </c>
      <c r="M181" s="131">
        <f t="shared" ca="1" si="123"/>
        <v>51644</v>
      </c>
      <c r="N181" s="102">
        <f t="shared" si="124"/>
        <v>0</v>
      </c>
      <c r="O181" s="102">
        <f t="shared" si="125"/>
        <v>0</v>
      </c>
      <c r="P181" s="102">
        <f t="shared" si="102"/>
        <v>0</v>
      </c>
      <c r="Q181" s="102">
        <f t="shared" si="103"/>
        <v>0</v>
      </c>
      <c r="W181" s="100">
        <v>180</v>
      </c>
      <c r="X181" s="131">
        <f t="shared" ca="1" si="126"/>
        <v>51644</v>
      </c>
      <c r="Y181" s="102">
        <f t="shared" si="127"/>
        <v>0</v>
      </c>
      <c r="Z181" s="102">
        <f t="shared" si="128"/>
        <v>0</v>
      </c>
      <c r="AA181" s="102">
        <f t="shared" si="104"/>
        <v>0</v>
      </c>
      <c r="AB181" s="102">
        <f t="shared" si="105"/>
        <v>0</v>
      </c>
      <c r="AH181" s="100">
        <v>180</v>
      </c>
      <c r="AI181" s="131">
        <f t="shared" ca="1" si="129"/>
        <v>51644</v>
      </c>
      <c r="AJ181" s="102">
        <f t="shared" si="130"/>
        <v>0</v>
      </c>
      <c r="AK181" s="102">
        <f t="shared" si="131"/>
        <v>0</v>
      </c>
      <c r="AL181" s="102">
        <f t="shared" si="143"/>
        <v>0</v>
      </c>
      <c r="AM181" s="102">
        <f t="shared" si="106"/>
        <v>0</v>
      </c>
      <c r="AS181" s="530">
        <v>180</v>
      </c>
      <c r="AT181" s="531">
        <f t="shared" ca="1" si="132"/>
        <v>51644</v>
      </c>
      <c r="AU181" s="532">
        <f ca="1">IF(AU180=0,SUMIFS('Key Life Events'!$L$3:$L$28,'Key Life Events'!$H$3:$H$28,'Loan Amortization'!$AY$3,'Key Life Events'!$N$3:$N$28,'Loan Amortization'!AT181),AU180-AX180)</f>
        <v>0</v>
      </c>
      <c r="AV181" s="532">
        <f t="shared" ca="1" si="133"/>
        <v>0</v>
      </c>
      <c r="AW181" s="532">
        <f t="shared" ca="1" si="100"/>
        <v>0</v>
      </c>
      <c r="AX181" s="532">
        <f t="shared" ca="1" si="107"/>
        <v>0</v>
      </c>
      <c r="BC181" s="536">
        <f t="shared" ca="1" si="108"/>
        <v>2041</v>
      </c>
      <c r="BF181" s="530">
        <v>180</v>
      </c>
      <c r="BG181" s="531">
        <f t="shared" ca="1" si="134"/>
        <v>51644</v>
      </c>
      <c r="BH181" s="532">
        <f ca="1">IF(BH180=0,SUMIFS('Key Life Events'!$L$3:$L$28,'Key Life Events'!$H$3:$H$28,'Loan Amortization'!$BL$3,'Key Life Events'!$N$3:$N$28,'Loan Amortization'!BG181),BH180-BK180)</f>
        <v>0</v>
      </c>
      <c r="BI181" s="532">
        <f t="shared" ca="1" si="135"/>
        <v>0</v>
      </c>
      <c r="BJ181" s="532">
        <f t="shared" ca="1" si="136"/>
        <v>0</v>
      </c>
      <c r="BK181" s="532">
        <f t="shared" ca="1" si="109"/>
        <v>0</v>
      </c>
      <c r="BP181" s="536">
        <f t="shared" ca="1" si="110"/>
        <v>2041</v>
      </c>
      <c r="BQ181" s="535">
        <f ca="1"/>
        <v>0</v>
      </c>
      <c r="BS181" s="530">
        <v>180</v>
      </c>
      <c r="BT181" s="531">
        <f t="shared" ca="1" si="137"/>
        <v>51644</v>
      </c>
      <c r="BU181" s="532">
        <f ca="1">IF(BU180=0,SUMIFS('Key Life Events'!$L$3:$L$28,'Key Life Events'!$H$3:$H$28,'Loan Amortization'!$BY$3,'Key Life Events'!$N$3:$N$28,'Loan Amortization'!BT181),BU180-BX180)</f>
        <v>0</v>
      </c>
      <c r="BV181" s="532">
        <f t="shared" ca="1" si="142"/>
        <v>0</v>
      </c>
      <c r="BW181" s="532">
        <f t="shared" ca="1" si="138"/>
        <v>0</v>
      </c>
      <c r="BX181" s="532">
        <f t="shared" ca="1" si="111"/>
        <v>0</v>
      </c>
      <c r="CC181" s="536">
        <f t="shared" ca="1" si="112"/>
        <v>2041</v>
      </c>
      <c r="CD181" s="535">
        <f ca="1"/>
        <v>0</v>
      </c>
      <c r="CF181" s="530">
        <v>180</v>
      </c>
      <c r="CG181" s="531">
        <f t="shared" ca="1" si="139"/>
        <v>51644</v>
      </c>
      <c r="CH181" s="532">
        <f ca="1">IF(CH180=0,SUMIFS('Key Life Events'!$L$3:$L$28,'Key Life Events'!$H$3:$H$28,'Loan Amortization'!$CL$3,'Key Life Events'!$N$3:$N$28,'Loan Amortization'!CG181),CH180-CK180)</f>
        <v>0</v>
      </c>
      <c r="CI181" s="532">
        <f t="shared" ca="1" si="140"/>
        <v>0</v>
      </c>
      <c r="CJ181" s="532">
        <f t="shared" ca="1" si="141"/>
        <v>0</v>
      </c>
      <c r="CK181" s="532">
        <f t="shared" ca="1" si="113"/>
        <v>0</v>
      </c>
      <c r="CP181" s="536">
        <f t="shared" ca="1" si="114"/>
        <v>2041</v>
      </c>
      <c r="CQ181" s="535">
        <f ca="1"/>
        <v>0</v>
      </c>
      <c r="CS181" s="100">
        <f t="shared" si="115"/>
        <v>180</v>
      </c>
      <c r="CT181" s="102">
        <f t="shared" ca="1" si="116"/>
        <v>0</v>
      </c>
      <c r="CU181" s="102">
        <f t="shared" ca="1" si="117"/>
        <v>0</v>
      </c>
      <c r="CV181" s="511">
        <f t="shared" ca="1" si="118"/>
        <v>2041</v>
      </c>
      <c r="CW181" s="1">
        <f t="shared" si="98"/>
        <v>2149</v>
      </c>
      <c r="CX181" s="99">
        <f t="shared" si="99"/>
        <v>0</v>
      </c>
    </row>
    <row r="182" spans="1:102" x14ac:dyDescent="0.3">
      <c r="A182" s="100">
        <v>181</v>
      </c>
      <c r="B182" s="131">
        <f t="shared" si="119"/>
        <v>4655</v>
      </c>
      <c r="C182" s="102">
        <f t="shared" si="120"/>
        <v>0</v>
      </c>
      <c r="D182" s="102">
        <f t="shared" si="121"/>
        <v>0</v>
      </c>
      <c r="E182" s="102">
        <f t="shared" si="101"/>
        <v>0</v>
      </c>
      <c r="F182" s="102">
        <f t="shared" si="122"/>
        <v>0</v>
      </c>
      <c r="L182" s="100">
        <v>181</v>
      </c>
      <c r="M182" s="131">
        <f t="shared" ca="1" si="123"/>
        <v>51675</v>
      </c>
      <c r="N182" s="102">
        <f t="shared" si="124"/>
        <v>0</v>
      </c>
      <c r="O182" s="102">
        <f t="shared" si="125"/>
        <v>0</v>
      </c>
      <c r="P182" s="102">
        <f t="shared" si="102"/>
        <v>0</v>
      </c>
      <c r="Q182" s="102">
        <f t="shared" si="103"/>
        <v>0</v>
      </c>
      <c r="W182" s="100">
        <v>181</v>
      </c>
      <c r="X182" s="131">
        <f t="shared" ca="1" si="126"/>
        <v>51675</v>
      </c>
      <c r="Y182" s="102">
        <f t="shared" si="127"/>
        <v>0</v>
      </c>
      <c r="Z182" s="102">
        <f t="shared" si="128"/>
        <v>0</v>
      </c>
      <c r="AA182" s="102">
        <f t="shared" si="104"/>
        <v>0</v>
      </c>
      <c r="AB182" s="102">
        <f t="shared" si="105"/>
        <v>0</v>
      </c>
      <c r="AH182" s="100">
        <v>181</v>
      </c>
      <c r="AI182" s="131">
        <f t="shared" ca="1" si="129"/>
        <v>51675</v>
      </c>
      <c r="AJ182" s="102">
        <f t="shared" si="130"/>
        <v>0</v>
      </c>
      <c r="AK182" s="102">
        <f t="shared" si="131"/>
        <v>0</v>
      </c>
      <c r="AL182" s="102">
        <f t="shared" si="143"/>
        <v>0</v>
      </c>
      <c r="AM182" s="102">
        <f t="shared" si="106"/>
        <v>0</v>
      </c>
      <c r="AS182" s="530">
        <v>181</v>
      </c>
      <c r="AT182" s="531">
        <f t="shared" ca="1" si="132"/>
        <v>51675</v>
      </c>
      <c r="AU182" s="532">
        <f ca="1">IF(AU181=0,SUMIFS('Key Life Events'!$L$3:$L$28,'Key Life Events'!$H$3:$H$28,'Loan Amortization'!$AY$3,'Key Life Events'!$N$3:$N$28,'Loan Amortization'!AT182),AU181-AX181)</f>
        <v>0</v>
      </c>
      <c r="AV182" s="532">
        <f t="shared" ca="1" si="133"/>
        <v>0</v>
      </c>
      <c r="AW182" s="532">
        <f t="shared" ca="1" si="100"/>
        <v>0</v>
      </c>
      <c r="AX182" s="532">
        <f t="shared" ca="1" si="107"/>
        <v>0</v>
      </c>
      <c r="BC182" s="536">
        <f t="shared" ca="1" si="108"/>
        <v>2041</v>
      </c>
      <c r="BF182" s="530">
        <v>181</v>
      </c>
      <c r="BG182" s="531">
        <f t="shared" ca="1" si="134"/>
        <v>51675</v>
      </c>
      <c r="BH182" s="532">
        <f ca="1">IF(BH181=0,SUMIFS('Key Life Events'!$L$3:$L$28,'Key Life Events'!$H$3:$H$28,'Loan Amortization'!$BL$3,'Key Life Events'!$N$3:$N$28,'Loan Amortization'!BG182),BH181-BK181)</f>
        <v>0</v>
      </c>
      <c r="BI182" s="532">
        <f t="shared" ca="1" si="135"/>
        <v>0</v>
      </c>
      <c r="BJ182" s="532">
        <f t="shared" ca="1" si="136"/>
        <v>0</v>
      </c>
      <c r="BK182" s="532">
        <f t="shared" ca="1" si="109"/>
        <v>0</v>
      </c>
      <c r="BP182" s="536">
        <f t="shared" ca="1" si="110"/>
        <v>2041</v>
      </c>
      <c r="BQ182" s="535">
        <f ca="1"/>
        <v>0</v>
      </c>
      <c r="BS182" s="530">
        <v>181</v>
      </c>
      <c r="BT182" s="531">
        <f t="shared" ca="1" si="137"/>
        <v>51675</v>
      </c>
      <c r="BU182" s="532">
        <f ca="1">IF(BU181=0,SUMIFS('Key Life Events'!$L$3:$L$28,'Key Life Events'!$H$3:$H$28,'Loan Amortization'!$BY$3,'Key Life Events'!$N$3:$N$28,'Loan Amortization'!BT182),BU181-BX181)</f>
        <v>0</v>
      </c>
      <c r="BV182" s="532">
        <f t="shared" ca="1" si="142"/>
        <v>0</v>
      </c>
      <c r="BW182" s="532">
        <f t="shared" ca="1" si="138"/>
        <v>0</v>
      </c>
      <c r="BX182" s="532">
        <f t="shared" ca="1" si="111"/>
        <v>0</v>
      </c>
      <c r="CC182" s="536">
        <f t="shared" ca="1" si="112"/>
        <v>2041</v>
      </c>
      <c r="CD182" s="535">
        <f ca="1"/>
        <v>0</v>
      </c>
      <c r="CF182" s="530">
        <v>181</v>
      </c>
      <c r="CG182" s="531">
        <f t="shared" ca="1" si="139"/>
        <v>51675</v>
      </c>
      <c r="CH182" s="532">
        <f ca="1">IF(CH181=0,SUMIFS('Key Life Events'!$L$3:$L$28,'Key Life Events'!$H$3:$H$28,'Loan Amortization'!$CL$3,'Key Life Events'!$N$3:$N$28,'Loan Amortization'!CG182),CH181-CK181)</f>
        <v>0</v>
      </c>
      <c r="CI182" s="532">
        <f t="shared" ca="1" si="140"/>
        <v>0</v>
      </c>
      <c r="CJ182" s="532">
        <f t="shared" ca="1" si="141"/>
        <v>0</v>
      </c>
      <c r="CK182" s="532">
        <f t="shared" ca="1" si="113"/>
        <v>0</v>
      </c>
      <c r="CP182" s="536">
        <f t="shared" ca="1" si="114"/>
        <v>2041</v>
      </c>
      <c r="CQ182" s="535">
        <f ca="1"/>
        <v>0</v>
      </c>
      <c r="CS182" s="100">
        <f t="shared" si="115"/>
        <v>181</v>
      </c>
      <c r="CT182" s="102">
        <f t="shared" ca="1" si="116"/>
        <v>0</v>
      </c>
      <c r="CU182" s="102">
        <f t="shared" ca="1" si="117"/>
        <v>0</v>
      </c>
      <c r="CV182" s="511">
        <f t="shared" ca="1" si="118"/>
        <v>2041</v>
      </c>
      <c r="CW182" s="1">
        <f t="shared" si="98"/>
        <v>2161</v>
      </c>
      <c r="CX182" s="99">
        <f t="shared" si="99"/>
        <v>0</v>
      </c>
    </row>
    <row r="183" spans="1:102" x14ac:dyDescent="0.3">
      <c r="A183" s="100">
        <v>182</v>
      </c>
      <c r="B183" s="131">
        <f t="shared" si="119"/>
        <v>4685</v>
      </c>
      <c r="C183" s="102">
        <f t="shared" si="120"/>
        <v>0</v>
      </c>
      <c r="D183" s="102">
        <f t="shared" si="121"/>
        <v>0</v>
      </c>
      <c r="E183" s="102">
        <f t="shared" si="101"/>
        <v>0</v>
      </c>
      <c r="F183" s="102">
        <f t="shared" si="122"/>
        <v>0</v>
      </c>
      <c r="L183" s="100">
        <v>182</v>
      </c>
      <c r="M183" s="131">
        <f t="shared" ca="1" si="123"/>
        <v>51705</v>
      </c>
      <c r="N183" s="102">
        <f t="shared" si="124"/>
        <v>0</v>
      </c>
      <c r="O183" s="102">
        <f t="shared" si="125"/>
        <v>0</v>
      </c>
      <c r="P183" s="102">
        <f t="shared" si="102"/>
        <v>0</v>
      </c>
      <c r="Q183" s="102">
        <f t="shared" si="103"/>
        <v>0</v>
      </c>
      <c r="W183" s="100">
        <v>182</v>
      </c>
      <c r="X183" s="131">
        <f t="shared" ca="1" si="126"/>
        <v>51705</v>
      </c>
      <c r="Y183" s="102">
        <f t="shared" si="127"/>
        <v>0</v>
      </c>
      <c r="Z183" s="102">
        <f t="shared" si="128"/>
        <v>0</v>
      </c>
      <c r="AA183" s="102">
        <f t="shared" si="104"/>
        <v>0</v>
      </c>
      <c r="AB183" s="102">
        <f t="shared" si="105"/>
        <v>0</v>
      </c>
      <c r="AH183" s="100">
        <v>182</v>
      </c>
      <c r="AI183" s="131">
        <f t="shared" ca="1" si="129"/>
        <v>51705</v>
      </c>
      <c r="AJ183" s="102">
        <f t="shared" si="130"/>
        <v>0</v>
      </c>
      <c r="AK183" s="102">
        <f t="shared" si="131"/>
        <v>0</v>
      </c>
      <c r="AL183" s="102">
        <f t="shared" si="143"/>
        <v>0</v>
      </c>
      <c r="AM183" s="102">
        <f t="shared" si="106"/>
        <v>0</v>
      </c>
      <c r="AS183" s="530">
        <v>182</v>
      </c>
      <c r="AT183" s="531">
        <f t="shared" ca="1" si="132"/>
        <v>51705</v>
      </c>
      <c r="AU183" s="532">
        <f ca="1">IF(AU182=0,SUMIFS('Key Life Events'!$L$3:$L$28,'Key Life Events'!$H$3:$H$28,'Loan Amortization'!$AY$3,'Key Life Events'!$N$3:$N$28,'Loan Amortization'!AT183),AU182-AX182)</f>
        <v>0</v>
      </c>
      <c r="AV183" s="532">
        <f t="shared" ca="1" si="133"/>
        <v>0</v>
      </c>
      <c r="AW183" s="532">
        <f t="shared" ca="1" si="100"/>
        <v>0</v>
      </c>
      <c r="AX183" s="532">
        <f t="shared" ca="1" si="107"/>
        <v>0</v>
      </c>
      <c r="BC183" s="536">
        <f t="shared" ca="1" si="108"/>
        <v>2041</v>
      </c>
      <c r="BF183" s="530">
        <v>182</v>
      </c>
      <c r="BG183" s="531">
        <f t="shared" ca="1" si="134"/>
        <v>51705</v>
      </c>
      <c r="BH183" s="532">
        <f ca="1">IF(BH182=0,SUMIFS('Key Life Events'!$L$3:$L$28,'Key Life Events'!$H$3:$H$28,'Loan Amortization'!$BL$3,'Key Life Events'!$N$3:$N$28,'Loan Amortization'!BG183),BH182-BK182)</f>
        <v>0</v>
      </c>
      <c r="BI183" s="532">
        <f t="shared" ca="1" si="135"/>
        <v>0</v>
      </c>
      <c r="BJ183" s="532">
        <f t="shared" ca="1" si="136"/>
        <v>0</v>
      </c>
      <c r="BK183" s="532">
        <f t="shared" ca="1" si="109"/>
        <v>0</v>
      </c>
      <c r="BP183" s="536">
        <f t="shared" ca="1" si="110"/>
        <v>2041</v>
      </c>
      <c r="BQ183" s="535">
        <f ca="1"/>
        <v>0</v>
      </c>
      <c r="BS183" s="530">
        <v>182</v>
      </c>
      <c r="BT183" s="531">
        <f t="shared" ca="1" si="137"/>
        <v>51705</v>
      </c>
      <c r="BU183" s="532">
        <f ca="1">IF(BU182=0,SUMIFS('Key Life Events'!$L$3:$L$28,'Key Life Events'!$H$3:$H$28,'Loan Amortization'!$BY$3,'Key Life Events'!$N$3:$N$28,'Loan Amortization'!BT183),BU182-BX182)</f>
        <v>0</v>
      </c>
      <c r="BV183" s="532">
        <f t="shared" ca="1" si="142"/>
        <v>0</v>
      </c>
      <c r="BW183" s="532">
        <f t="shared" ca="1" si="138"/>
        <v>0</v>
      </c>
      <c r="BX183" s="532">
        <f t="shared" ca="1" si="111"/>
        <v>0</v>
      </c>
      <c r="CC183" s="536">
        <f t="shared" ca="1" si="112"/>
        <v>2041</v>
      </c>
      <c r="CD183" s="535">
        <f ca="1"/>
        <v>0</v>
      </c>
      <c r="CF183" s="530">
        <v>182</v>
      </c>
      <c r="CG183" s="531">
        <f t="shared" ca="1" si="139"/>
        <v>51705</v>
      </c>
      <c r="CH183" s="532">
        <f ca="1">IF(CH182=0,SUMIFS('Key Life Events'!$L$3:$L$28,'Key Life Events'!$H$3:$H$28,'Loan Amortization'!$CL$3,'Key Life Events'!$N$3:$N$28,'Loan Amortization'!CG183),CH182-CK182)</f>
        <v>0</v>
      </c>
      <c r="CI183" s="532">
        <f t="shared" ca="1" si="140"/>
        <v>0</v>
      </c>
      <c r="CJ183" s="532">
        <f t="shared" ca="1" si="141"/>
        <v>0</v>
      </c>
      <c r="CK183" s="532">
        <f t="shared" ca="1" si="113"/>
        <v>0</v>
      </c>
      <c r="CP183" s="536">
        <f t="shared" ca="1" si="114"/>
        <v>2041</v>
      </c>
      <c r="CQ183" s="535">
        <f ca="1"/>
        <v>0</v>
      </c>
      <c r="CS183" s="100">
        <f t="shared" si="115"/>
        <v>182</v>
      </c>
      <c r="CT183" s="102">
        <f t="shared" ca="1" si="116"/>
        <v>0</v>
      </c>
      <c r="CU183" s="102">
        <f t="shared" ca="1" si="117"/>
        <v>0</v>
      </c>
      <c r="CV183" s="511">
        <f t="shared" ca="1" si="118"/>
        <v>2041</v>
      </c>
      <c r="CW183" s="1">
        <f t="shared" si="98"/>
        <v>2173</v>
      </c>
      <c r="CX183" s="99">
        <f t="shared" si="99"/>
        <v>0</v>
      </c>
    </row>
    <row r="184" spans="1:102" x14ac:dyDescent="0.3">
      <c r="A184" s="100">
        <v>183</v>
      </c>
      <c r="B184" s="131">
        <f t="shared" si="119"/>
        <v>4716</v>
      </c>
      <c r="C184" s="102">
        <f t="shared" si="120"/>
        <v>0</v>
      </c>
      <c r="D184" s="102">
        <f t="shared" si="121"/>
        <v>0</v>
      </c>
      <c r="E184" s="102">
        <f t="shared" si="101"/>
        <v>0</v>
      </c>
      <c r="F184" s="102">
        <f t="shared" si="122"/>
        <v>0</v>
      </c>
      <c r="L184" s="100">
        <v>183</v>
      </c>
      <c r="M184" s="131">
        <f t="shared" ca="1" si="123"/>
        <v>51736</v>
      </c>
      <c r="N184" s="102">
        <f t="shared" si="124"/>
        <v>0</v>
      </c>
      <c r="O184" s="102">
        <f t="shared" si="125"/>
        <v>0</v>
      </c>
      <c r="P184" s="102">
        <f t="shared" si="102"/>
        <v>0</v>
      </c>
      <c r="Q184" s="102">
        <f t="shared" si="103"/>
        <v>0</v>
      </c>
      <c r="W184" s="100">
        <v>183</v>
      </c>
      <c r="X184" s="131">
        <f t="shared" ca="1" si="126"/>
        <v>51736</v>
      </c>
      <c r="Y184" s="102">
        <f t="shared" si="127"/>
        <v>0</v>
      </c>
      <c r="Z184" s="102">
        <f t="shared" si="128"/>
        <v>0</v>
      </c>
      <c r="AA184" s="102">
        <f t="shared" si="104"/>
        <v>0</v>
      </c>
      <c r="AB184" s="102">
        <f t="shared" si="105"/>
        <v>0</v>
      </c>
      <c r="AH184" s="100">
        <v>183</v>
      </c>
      <c r="AI184" s="131">
        <f t="shared" ca="1" si="129"/>
        <v>51736</v>
      </c>
      <c r="AJ184" s="102">
        <f t="shared" si="130"/>
        <v>0</v>
      </c>
      <c r="AK184" s="102">
        <f t="shared" si="131"/>
        <v>0</v>
      </c>
      <c r="AL184" s="102">
        <f t="shared" si="143"/>
        <v>0</v>
      </c>
      <c r="AM184" s="102">
        <f t="shared" si="106"/>
        <v>0</v>
      </c>
      <c r="AS184" s="530">
        <v>183</v>
      </c>
      <c r="AT184" s="531">
        <f t="shared" ca="1" si="132"/>
        <v>51736</v>
      </c>
      <c r="AU184" s="532">
        <f ca="1">IF(AU183=0,SUMIFS('Key Life Events'!$L$3:$L$28,'Key Life Events'!$H$3:$H$28,'Loan Amortization'!$AY$3,'Key Life Events'!$N$3:$N$28,'Loan Amortization'!AT184),AU183-AX183)</f>
        <v>0</v>
      </c>
      <c r="AV184" s="532">
        <f t="shared" ca="1" si="133"/>
        <v>0</v>
      </c>
      <c r="AW184" s="532">
        <f t="shared" ca="1" si="100"/>
        <v>0</v>
      </c>
      <c r="AX184" s="532">
        <f t="shared" ca="1" si="107"/>
        <v>0</v>
      </c>
      <c r="BC184" s="536">
        <f t="shared" ca="1" si="108"/>
        <v>2041</v>
      </c>
      <c r="BF184" s="530">
        <v>183</v>
      </c>
      <c r="BG184" s="531">
        <f t="shared" ca="1" si="134"/>
        <v>51736</v>
      </c>
      <c r="BH184" s="532">
        <f ca="1">IF(BH183=0,SUMIFS('Key Life Events'!$L$3:$L$28,'Key Life Events'!$H$3:$H$28,'Loan Amortization'!$BL$3,'Key Life Events'!$N$3:$N$28,'Loan Amortization'!BG184),BH183-BK183)</f>
        <v>0</v>
      </c>
      <c r="BI184" s="532">
        <f t="shared" ca="1" si="135"/>
        <v>0</v>
      </c>
      <c r="BJ184" s="532">
        <f t="shared" ca="1" si="136"/>
        <v>0</v>
      </c>
      <c r="BK184" s="532">
        <f t="shared" ca="1" si="109"/>
        <v>0</v>
      </c>
      <c r="BP184" s="536">
        <f t="shared" ca="1" si="110"/>
        <v>2041</v>
      </c>
      <c r="BQ184" s="535">
        <f ca="1"/>
        <v>0</v>
      </c>
      <c r="BS184" s="530">
        <v>183</v>
      </c>
      <c r="BT184" s="531">
        <f t="shared" ca="1" si="137"/>
        <v>51736</v>
      </c>
      <c r="BU184" s="532">
        <f ca="1">IF(BU183=0,SUMIFS('Key Life Events'!$L$3:$L$28,'Key Life Events'!$H$3:$H$28,'Loan Amortization'!$BY$3,'Key Life Events'!$N$3:$N$28,'Loan Amortization'!BT184),BU183-BX183)</f>
        <v>0</v>
      </c>
      <c r="BV184" s="532">
        <f t="shared" ca="1" si="142"/>
        <v>0</v>
      </c>
      <c r="BW184" s="532">
        <f t="shared" ca="1" si="138"/>
        <v>0</v>
      </c>
      <c r="BX184" s="532">
        <f t="shared" ca="1" si="111"/>
        <v>0</v>
      </c>
      <c r="CC184" s="536">
        <f t="shared" ca="1" si="112"/>
        <v>2041</v>
      </c>
      <c r="CD184" s="535">
        <f ca="1"/>
        <v>0</v>
      </c>
      <c r="CF184" s="530">
        <v>183</v>
      </c>
      <c r="CG184" s="531">
        <f t="shared" ca="1" si="139"/>
        <v>51736</v>
      </c>
      <c r="CH184" s="532">
        <f ca="1">IF(CH183=0,SUMIFS('Key Life Events'!$L$3:$L$28,'Key Life Events'!$H$3:$H$28,'Loan Amortization'!$CL$3,'Key Life Events'!$N$3:$N$28,'Loan Amortization'!CG184),CH183-CK183)</f>
        <v>0</v>
      </c>
      <c r="CI184" s="532">
        <f t="shared" ca="1" si="140"/>
        <v>0</v>
      </c>
      <c r="CJ184" s="532">
        <f t="shared" ca="1" si="141"/>
        <v>0</v>
      </c>
      <c r="CK184" s="532">
        <f t="shared" ca="1" si="113"/>
        <v>0</v>
      </c>
      <c r="CP184" s="536">
        <f t="shared" ca="1" si="114"/>
        <v>2041</v>
      </c>
      <c r="CQ184" s="535">
        <f ca="1"/>
        <v>0</v>
      </c>
      <c r="CS184" s="100">
        <f t="shared" si="115"/>
        <v>183</v>
      </c>
      <c r="CT184" s="102">
        <f t="shared" ca="1" si="116"/>
        <v>0</v>
      </c>
      <c r="CU184" s="102">
        <f t="shared" ca="1" si="117"/>
        <v>0</v>
      </c>
      <c r="CV184" s="511">
        <f t="shared" ca="1" si="118"/>
        <v>2041</v>
      </c>
      <c r="CW184" s="1">
        <f t="shared" si="98"/>
        <v>2185</v>
      </c>
      <c r="CX184" s="99">
        <f t="shared" si="99"/>
        <v>0</v>
      </c>
    </row>
    <row r="185" spans="1:102" x14ac:dyDescent="0.3">
      <c r="A185" s="100">
        <v>184</v>
      </c>
      <c r="B185" s="131">
        <f t="shared" si="119"/>
        <v>4746</v>
      </c>
      <c r="C185" s="102">
        <f t="shared" si="120"/>
        <v>0</v>
      </c>
      <c r="D185" s="102">
        <f t="shared" si="121"/>
        <v>0</v>
      </c>
      <c r="E185" s="102">
        <f t="shared" si="101"/>
        <v>0</v>
      </c>
      <c r="F185" s="102">
        <f t="shared" si="122"/>
        <v>0</v>
      </c>
      <c r="L185" s="100">
        <v>184</v>
      </c>
      <c r="M185" s="131">
        <f t="shared" ca="1" si="123"/>
        <v>51767</v>
      </c>
      <c r="N185" s="102">
        <f t="shared" si="124"/>
        <v>0</v>
      </c>
      <c r="O185" s="102">
        <f t="shared" si="125"/>
        <v>0</v>
      </c>
      <c r="P185" s="102">
        <f t="shared" si="102"/>
        <v>0</v>
      </c>
      <c r="Q185" s="102">
        <f t="shared" si="103"/>
        <v>0</v>
      </c>
      <c r="W185" s="100">
        <v>184</v>
      </c>
      <c r="X185" s="131">
        <f t="shared" ca="1" si="126"/>
        <v>51767</v>
      </c>
      <c r="Y185" s="102">
        <f t="shared" si="127"/>
        <v>0</v>
      </c>
      <c r="Z185" s="102">
        <f t="shared" si="128"/>
        <v>0</v>
      </c>
      <c r="AA185" s="102">
        <f t="shared" si="104"/>
        <v>0</v>
      </c>
      <c r="AB185" s="102">
        <f t="shared" si="105"/>
        <v>0</v>
      </c>
      <c r="AH185" s="100">
        <v>184</v>
      </c>
      <c r="AI185" s="131">
        <f t="shared" ca="1" si="129"/>
        <v>51767</v>
      </c>
      <c r="AJ185" s="102">
        <f t="shared" si="130"/>
        <v>0</v>
      </c>
      <c r="AK185" s="102">
        <f t="shared" si="131"/>
        <v>0</v>
      </c>
      <c r="AL185" s="102">
        <f t="shared" si="143"/>
        <v>0</v>
      </c>
      <c r="AM185" s="102">
        <f t="shared" si="106"/>
        <v>0</v>
      </c>
      <c r="AS185" s="530">
        <v>184</v>
      </c>
      <c r="AT185" s="531">
        <f t="shared" ca="1" si="132"/>
        <v>51767</v>
      </c>
      <c r="AU185" s="532">
        <f ca="1">IF(AU184=0,SUMIFS('Key Life Events'!$L$3:$L$28,'Key Life Events'!$H$3:$H$28,'Loan Amortization'!$AY$3,'Key Life Events'!$N$3:$N$28,'Loan Amortization'!AT185),AU184-AX184)</f>
        <v>0</v>
      </c>
      <c r="AV185" s="532">
        <f t="shared" ca="1" si="133"/>
        <v>0</v>
      </c>
      <c r="AW185" s="532">
        <f t="shared" ca="1" si="100"/>
        <v>0</v>
      </c>
      <c r="AX185" s="532">
        <f t="shared" ca="1" si="107"/>
        <v>0</v>
      </c>
      <c r="BC185" s="536">
        <f t="shared" ca="1" si="108"/>
        <v>2041</v>
      </c>
      <c r="BF185" s="530">
        <v>184</v>
      </c>
      <c r="BG185" s="531">
        <f t="shared" ca="1" si="134"/>
        <v>51767</v>
      </c>
      <c r="BH185" s="532">
        <f ca="1">IF(BH184=0,SUMIFS('Key Life Events'!$L$3:$L$28,'Key Life Events'!$H$3:$H$28,'Loan Amortization'!$BL$3,'Key Life Events'!$N$3:$N$28,'Loan Amortization'!BG185),BH184-BK184)</f>
        <v>0</v>
      </c>
      <c r="BI185" s="532">
        <f t="shared" ca="1" si="135"/>
        <v>0</v>
      </c>
      <c r="BJ185" s="532">
        <f t="shared" ca="1" si="136"/>
        <v>0</v>
      </c>
      <c r="BK185" s="532">
        <f t="shared" ca="1" si="109"/>
        <v>0</v>
      </c>
      <c r="BP185" s="536">
        <f t="shared" ca="1" si="110"/>
        <v>2041</v>
      </c>
      <c r="BQ185" s="535">
        <f ca="1"/>
        <v>0</v>
      </c>
      <c r="BS185" s="530">
        <v>184</v>
      </c>
      <c r="BT185" s="531">
        <f t="shared" ca="1" si="137"/>
        <v>51767</v>
      </c>
      <c r="BU185" s="532">
        <f ca="1">IF(BU184=0,SUMIFS('Key Life Events'!$L$3:$L$28,'Key Life Events'!$H$3:$H$28,'Loan Amortization'!$BY$3,'Key Life Events'!$N$3:$N$28,'Loan Amortization'!BT185),BU184-BX184)</f>
        <v>0</v>
      </c>
      <c r="BV185" s="532">
        <f t="shared" ca="1" si="142"/>
        <v>0</v>
      </c>
      <c r="BW185" s="532">
        <f t="shared" ca="1" si="138"/>
        <v>0</v>
      </c>
      <c r="BX185" s="532">
        <f t="shared" ca="1" si="111"/>
        <v>0</v>
      </c>
      <c r="CC185" s="536">
        <f t="shared" ca="1" si="112"/>
        <v>2041</v>
      </c>
      <c r="CD185" s="535">
        <f ca="1"/>
        <v>0</v>
      </c>
      <c r="CF185" s="530">
        <v>184</v>
      </c>
      <c r="CG185" s="531">
        <f t="shared" ca="1" si="139"/>
        <v>51767</v>
      </c>
      <c r="CH185" s="532">
        <f ca="1">IF(CH184=0,SUMIFS('Key Life Events'!$L$3:$L$28,'Key Life Events'!$H$3:$H$28,'Loan Amortization'!$CL$3,'Key Life Events'!$N$3:$N$28,'Loan Amortization'!CG185),CH184-CK184)</f>
        <v>0</v>
      </c>
      <c r="CI185" s="532">
        <f t="shared" ca="1" si="140"/>
        <v>0</v>
      </c>
      <c r="CJ185" s="532">
        <f t="shared" ca="1" si="141"/>
        <v>0</v>
      </c>
      <c r="CK185" s="532">
        <f t="shared" ca="1" si="113"/>
        <v>0</v>
      </c>
      <c r="CP185" s="536">
        <f t="shared" ca="1" si="114"/>
        <v>2041</v>
      </c>
      <c r="CQ185" s="535">
        <f ca="1"/>
        <v>0</v>
      </c>
      <c r="CS185" s="100">
        <f t="shared" si="115"/>
        <v>184</v>
      </c>
      <c r="CT185" s="102">
        <f t="shared" ca="1" si="116"/>
        <v>0</v>
      </c>
      <c r="CU185" s="102">
        <f t="shared" ca="1" si="117"/>
        <v>0</v>
      </c>
      <c r="CV185" s="511">
        <f t="shared" ca="1" si="118"/>
        <v>2041</v>
      </c>
      <c r="CW185" s="1">
        <f t="shared" ref="CW185:CW209" si="144">CW184+12</f>
        <v>2197</v>
      </c>
      <c r="CX185" s="99">
        <f t="shared" ref="CX185:CX209" si="145">IFERROR(VLOOKUP(CW185,CS:CU,2,0),0)</f>
        <v>0</v>
      </c>
    </row>
    <row r="186" spans="1:102" x14ac:dyDescent="0.3">
      <c r="A186" s="100">
        <v>185</v>
      </c>
      <c r="B186" s="131">
        <f t="shared" si="119"/>
        <v>4777</v>
      </c>
      <c r="C186" s="102">
        <f t="shared" si="120"/>
        <v>0</v>
      </c>
      <c r="D186" s="102">
        <f t="shared" si="121"/>
        <v>0</v>
      </c>
      <c r="E186" s="102">
        <f t="shared" si="101"/>
        <v>0</v>
      </c>
      <c r="F186" s="102">
        <f t="shared" si="122"/>
        <v>0</v>
      </c>
      <c r="L186" s="100">
        <v>185</v>
      </c>
      <c r="M186" s="131">
        <f t="shared" ca="1" si="123"/>
        <v>51797</v>
      </c>
      <c r="N186" s="102">
        <f t="shared" si="124"/>
        <v>0</v>
      </c>
      <c r="O186" s="102">
        <f t="shared" si="125"/>
        <v>0</v>
      </c>
      <c r="P186" s="102">
        <f t="shared" si="102"/>
        <v>0</v>
      </c>
      <c r="Q186" s="102">
        <f t="shared" si="103"/>
        <v>0</v>
      </c>
      <c r="W186" s="100">
        <v>185</v>
      </c>
      <c r="X186" s="131">
        <f t="shared" ca="1" si="126"/>
        <v>51797</v>
      </c>
      <c r="Y186" s="102">
        <f t="shared" si="127"/>
        <v>0</v>
      </c>
      <c r="Z186" s="102">
        <f t="shared" si="128"/>
        <v>0</v>
      </c>
      <c r="AA186" s="102">
        <f t="shared" si="104"/>
        <v>0</v>
      </c>
      <c r="AB186" s="102">
        <f t="shared" si="105"/>
        <v>0</v>
      </c>
      <c r="AH186" s="100">
        <v>185</v>
      </c>
      <c r="AI186" s="131">
        <f t="shared" ca="1" si="129"/>
        <v>51797</v>
      </c>
      <c r="AJ186" s="102">
        <f t="shared" si="130"/>
        <v>0</v>
      </c>
      <c r="AK186" s="102">
        <f t="shared" si="131"/>
        <v>0</v>
      </c>
      <c r="AL186" s="102">
        <f t="shared" si="143"/>
        <v>0</v>
      </c>
      <c r="AM186" s="102">
        <f t="shared" si="106"/>
        <v>0</v>
      </c>
      <c r="AS186" s="530">
        <v>185</v>
      </c>
      <c r="AT186" s="531">
        <f t="shared" ca="1" si="132"/>
        <v>51797</v>
      </c>
      <c r="AU186" s="532">
        <f ca="1">IF(AU185=0,SUMIFS('Key Life Events'!$L$3:$L$28,'Key Life Events'!$H$3:$H$28,'Loan Amortization'!$AY$3,'Key Life Events'!$N$3:$N$28,'Loan Amortization'!AT186),AU185-AX185)</f>
        <v>0</v>
      </c>
      <c r="AV186" s="532">
        <f t="shared" ca="1" si="133"/>
        <v>0</v>
      </c>
      <c r="AW186" s="532">
        <f t="shared" ca="1" si="100"/>
        <v>0</v>
      </c>
      <c r="AX186" s="532">
        <f t="shared" ca="1" si="107"/>
        <v>0</v>
      </c>
      <c r="BC186" s="536">
        <f t="shared" ca="1" si="108"/>
        <v>2041</v>
      </c>
      <c r="BF186" s="530">
        <v>185</v>
      </c>
      <c r="BG186" s="531">
        <f t="shared" ca="1" si="134"/>
        <v>51797</v>
      </c>
      <c r="BH186" s="532">
        <f ca="1">IF(BH185=0,SUMIFS('Key Life Events'!$L$3:$L$28,'Key Life Events'!$H$3:$H$28,'Loan Amortization'!$BL$3,'Key Life Events'!$N$3:$N$28,'Loan Amortization'!BG186),BH185-BK185)</f>
        <v>0</v>
      </c>
      <c r="BI186" s="532">
        <f t="shared" ca="1" si="135"/>
        <v>0</v>
      </c>
      <c r="BJ186" s="532">
        <f t="shared" ca="1" si="136"/>
        <v>0</v>
      </c>
      <c r="BK186" s="532">
        <f t="shared" ca="1" si="109"/>
        <v>0</v>
      </c>
      <c r="BP186" s="536">
        <f t="shared" ca="1" si="110"/>
        <v>2041</v>
      </c>
      <c r="BQ186" s="535">
        <f ca="1"/>
        <v>0</v>
      </c>
      <c r="BS186" s="530">
        <v>185</v>
      </c>
      <c r="BT186" s="531">
        <f t="shared" ca="1" si="137"/>
        <v>51797</v>
      </c>
      <c r="BU186" s="532">
        <f ca="1">IF(BU185=0,SUMIFS('Key Life Events'!$L$3:$L$28,'Key Life Events'!$H$3:$H$28,'Loan Amortization'!$BY$3,'Key Life Events'!$N$3:$N$28,'Loan Amortization'!BT186),BU185-BX185)</f>
        <v>0</v>
      </c>
      <c r="BV186" s="532">
        <f t="shared" ca="1" si="142"/>
        <v>0</v>
      </c>
      <c r="BW186" s="532">
        <f t="shared" ca="1" si="138"/>
        <v>0</v>
      </c>
      <c r="BX186" s="532">
        <f t="shared" ca="1" si="111"/>
        <v>0</v>
      </c>
      <c r="CC186" s="536">
        <f t="shared" ca="1" si="112"/>
        <v>2041</v>
      </c>
      <c r="CD186" s="535">
        <f ca="1"/>
        <v>0</v>
      </c>
      <c r="CF186" s="530">
        <v>185</v>
      </c>
      <c r="CG186" s="531">
        <f t="shared" ca="1" si="139"/>
        <v>51797</v>
      </c>
      <c r="CH186" s="532">
        <f ca="1">IF(CH185=0,SUMIFS('Key Life Events'!$L$3:$L$28,'Key Life Events'!$H$3:$H$28,'Loan Amortization'!$CL$3,'Key Life Events'!$N$3:$N$28,'Loan Amortization'!CG186),CH185-CK185)</f>
        <v>0</v>
      </c>
      <c r="CI186" s="532">
        <f t="shared" ca="1" si="140"/>
        <v>0</v>
      </c>
      <c r="CJ186" s="532">
        <f t="shared" ca="1" si="141"/>
        <v>0</v>
      </c>
      <c r="CK186" s="532">
        <f t="shared" ca="1" si="113"/>
        <v>0</v>
      </c>
      <c r="CP186" s="536">
        <f t="shared" ca="1" si="114"/>
        <v>2041</v>
      </c>
      <c r="CQ186" s="535">
        <f ca="1"/>
        <v>0</v>
      </c>
      <c r="CS186" s="100">
        <f t="shared" si="115"/>
        <v>185</v>
      </c>
      <c r="CT186" s="102">
        <f t="shared" ca="1" si="116"/>
        <v>0</v>
      </c>
      <c r="CU186" s="102">
        <f t="shared" ca="1" si="117"/>
        <v>0</v>
      </c>
      <c r="CV186" s="511">
        <f t="shared" ca="1" si="118"/>
        <v>2041</v>
      </c>
      <c r="CW186" s="1">
        <f t="shared" si="144"/>
        <v>2209</v>
      </c>
      <c r="CX186" s="99">
        <f t="shared" si="145"/>
        <v>0</v>
      </c>
    </row>
    <row r="187" spans="1:102" x14ac:dyDescent="0.3">
      <c r="A187" s="100">
        <v>186</v>
      </c>
      <c r="B187" s="131">
        <f t="shared" si="119"/>
        <v>4808</v>
      </c>
      <c r="C187" s="102">
        <f t="shared" si="120"/>
        <v>0</v>
      </c>
      <c r="D187" s="102">
        <f t="shared" si="121"/>
        <v>0</v>
      </c>
      <c r="E187" s="102">
        <f t="shared" si="101"/>
        <v>0</v>
      </c>
      <c r="F187" s="102">
        <f t="shared" si="122"/>
        <v>0</v>
      </c>
      <c r="L187" s="100">
        <v>186</v>
      </c>
      <c r="M187" s="131">
        <f t="shared" ca="1" si="123"/>
        <v>51828</v>
      </c>
      <c r="N187" s="102">
        <f t="shared" si="124"/>
        <v>0</v>
      </c>
      <c r="O187" s="102">
        <f t="shared" si="125"/>
        <v>0</v>
      </c>
      <c r="P187" s="102">
        <f t="shared" si="102"/>
        <v>0</v>
      </c>
      <c r="Q187" s="102">
        <f t="shared" si="103"/>
        <v>0</v>
      </c>
      <c r="W187" s="100">
        <v>186</v>
      </c>
      <c r="X187" s="131">
        <f t="shared" ca="1" si="126"/>
        <v>51828</v>
      </c>
      <c r="Y187" s="102">
        <f t="shared" si="127"/>
        <v>0</v>
      </c>
      <c r="Z187" s="102">
        <f t="shared" si="128"/>
        <v>0</v>
      </c>
      <c r="AA187" s="102">
        <f t="shared" si="104"/>
        <v>0</v>
      </c>
      <c r="AB187" s="102">
        <f t="shared" si="105"/>
        <v>0</v>
      </c>
      <c r="AH187" s="100">
        <v>186</v>
      </c>
      <c r="AI187" s="131">
        <f t="shared" ca="1" si="129"/>
        <v>51828</v>
      </c>
      <c r="AJ187" s="102">
        <f t="shared" si="130"/>
        <v>0</v>
      </c>
      <c r="AK187" s="102">
        <f t="shared" si="131"/>
        <v>0</v>
      </c>
      <c r="AL187" s="102">
        <f t="shared" si="143"/>
        <v>0</v>
      </c>
      <c r="AM187" s="102">
        <f t="shared" si="106"/>
        <v>0</v>
      </c>
      <c r="AS187" s="530">
        <v>186</v>
      </c>
      <c r="AT187" s="531">
        <f t="shared" ca="1" si="132"/>
        <v>51828</v>
      </c>
      <c r="AU187" s="532">
        <f ca="1">IF(AU186=0,SUMIFS('Key Life Events'!$L$3:$L$28,'Key Life Events'!$H$3:$H$28,'Loan Amortization'!$AY$3,'Key Life Events'!$N$3:$N$28,'Loan Amortization'!AT187),AU186-AX186)</f>
        <v>0</v>
      </c>
      <c r="AV187" s="532">
        <f t="shared" ca="1" si="133"/>
        <v>0</v>
      </c>
      <c r="AW187" s="532">
        <f t="shared" ca="1" si="100"/>
        <v>0</v>
      </c>
      <c r="AX187" s="532">
        <f t="shared" ca="1" si="107"/>
        <v>0</v>
      </c>
      <c r="BC187" s="536">
        <f t="shared" ca="1" si="108"/>
        <v>2041</v>
      </c>
      <c r="BF187" s="530">
        <v>186</v>
      </c>
      <c r="BG187" s="531">
        <f t="shared" ca="1" si="134"/>
        <v>51828</v>
      </c>
      <c r="BH187" s="532">
        <f ca="1">IF(BH186=0,SUMIFS('Key Life Events'!$L$3:$L$28,'Key Life Events'!$H$3:$H$28,'Loan Amortization'!$BL$3,'Key Life Events'!$N$3:$N$28,'Loan Amortization'!BG187),BH186-BK186)</f>
        <v>0</v>
      </c>
      <c r="BI187" s="532">
        <f t="shared" ca="1" si="135"/>
        <v>0</v>
      </c>
      <c r="BJ187" s="532">
        <f t="shared" ca="1" si="136"/>
        <v>0</v>
      </c>
      <c r="BK187" s="532">
        <f t="shared" ca="1" si="109"/>
        <v>0</v>
      </c>
      <c r="BP187" s="536">
        <f t="shared" ca="1" si="110"/>
        <v>2041</v>
      </c>
      <c r="BQ187" s="535">
        <f ca="1"/>
        <v>0</v>
      </c>
      <c r="BS187" s="530">
        <v>186</v>
      </c>
      <c r="BT187" s="531">
        <f t="shared" ca="1" si="137"/>
        <v>51828</v>
      </c>
      <c r="BU187" s="532">
        <f ca="1">IF(BU186=0,SUMIFS('Key Life Events'!$L$3:$L$28,'Key Life Events'!$H$3:$H$28,'Loan Amortization'!$BY$3,'Key Life Events'!$N$3:$N$28,'Loan Amortization'!BT187),BU186-BX186)</f>
        <v>0</v>
      </c>
      <c r="BV187" s="532">
        <f t="shared" ca="1" si="142"/>
        <v>0</v>
      </c>
      <c r="BW187" s="532">
        <f t="shared" ca="1" si="138"/>
        <v>0</v>
      </c>
      <c r="BX187" s="532">
        <f t="shared" ca="1" si="111"/>
        <v>0</v>
      </c>
      <c r="CC187" s="536">
        <f t="shared" ca="1" si="112"/>
        <v>2041</v>
      </c>
      <c r="CD187" s="535">
        <f ca="1"/>
        <v>0</v>
      </c>
      <c r="CF187" s="530">
        <v>186</v>
      </c>
      <c r="CG187" s="531">
        <f t="shared" ca="1" si="139"/>
        <v>51828</v>
      </c>
      <c r="CH187" s="532">
        <f ca="1">IF(CH186=0,SUMIFS('Key Life Events'!$L$3:$L$28,'Key Life Events'!$H$3:$H$28,'Loan Amortization'!$CL$3,'Key Life Events'!$N$3:$N$28,'Loan Amortization'!CG187),CH186-CK186)</f>
        <v>0</v>
      </c>
      <c r="CI187" s="532">
        <f t="shared" ca="1" si="140"/>
        <v>0</v>
      </c>
      <c r="CJ187" s="532">
        <f t="shared" ca="1" si="141"/>
        <v>0</v>
      </c>
      <c r="CK187" s="532">
        <f t="shared" ca="1" si="113"/>
        <v>0</v>
      </c>
      <c r="CP187" s="536">
        <f t="shared" ca="1" si="114"/>
        <v>2041</v>
      </c>
      <c r="CQ187" s="535">
        <f ca="1"/>
        <v>0</v>
      </c>
      <c r="CS187" s="100">
        <f t="shared" si="115"/>
        <v>186</v>
      </c>
      <c r="CT187" s="102">
        <f t="shared" ca="1" si="116"/>
        <v>0</v>
      </c>
      <c r="CU187" s="102">
        <f t="shared" ca="1" si="117"/>
        <v>0</v>
      </c>
      <c r="CV187" s="511">
        <f t="shared" ca="1" si="118"/>
        <v>2041</v>
      </c>
      <c r="CW187" s="1">
        <f t="shared" si="144"/>
        <v>2221</v>
      </c>
      <c r="CX187" s="99">
        <f t="shared" si="145"/>
        <v>0</v>
      </c>
    </row>
    <row r="188" spans="1:102" x14ac:dyDescent="0.3">
      <c r="A188" s="100">
        <v>187</v>
      </c>
      <c r="B188" s="131">
        <f t="shared" si="119"/>
        <v>4836</v>
      </c>
      <c r="C188" s="102">
        <f t="shared" si="120"/>
        <v>0</v>
      </c>
      <c r="D188" s="102">
        <f t="shared" si="121"/>
        <v>0</v>
      </c>
      <c r="E188" s="102">
        <f t="shared" si="101"/>
        <v>0</v>
      </c>
      <c r="F188" s="102">
        <f t="shared" si="122"/>
        <v>0</v>
      </c>
      <c r="L188" s="100">
        <v>187</v>
      </c>
      <c r="M188" s="131">
        <f t="shared" ca="1" si="123"/>
        <v>51858</v>
      </c>
      <c r="N188" s="102">
        <f t="shared" si="124"/>
        <v>0</v>
      </c>
      <c r="O188" s="102">
        <f t="shared" si="125"/>
        <v>0</v>
      </c>
      <c r="P188" s="102">
        <f t="shared" si="102"/>
        <v>0</v>
      </c>
      <c r="Q188" s="102">
        <f t="shared" si="103"/>
        <v>0</v>
      </c>
      <c r="W188" s="100">
        <v>187</v>
      </c>
      <c r="X188" s="131">
        <f t="shared" ca="1" si="126"/>
        <v>51858</v>
      </c>
      <c r="Y188" s="102">
        <f t="shared" si="127"/>
        <v>0</v>
      </c>
      <c r="Z188" s="102">
        <f t="shared" si="128"/>
        <v>0</v>
      </c>
      <c r="AA188" s="102">
        <f t="shared" si="104"/>
        <v>0</v>
      </c>
      <c r="AB188" s="102">
        <f t="shared" si="105"/>
        <v>0</v>
      </c>
      <c r="AH188" s="100">
        <v>187</v>
      </c>
      <c r="AI188" s="131">
        <f t="shared" ca="1" si="129"/>
        <v>51858</v>
      </c>
      <c r="AJ188" s="102">
        <f t="shared" si="130"/>
        <v>0</v>
      </c>
      <c r="AK188" s="102">
        <f t="shared" si="131"/>
        <v>0</v>
      </c>
      <c r="AL188" s="102">
        <f t="shared" si="143"/>
        <v>0</v>
      </c>
      <c r="AM188" s="102">
        <f t="shared" si="106"/>
        <v>0</v>
      </c>
      <c r="AS188" s="530">
        <v>187</v>
      </c>
      <c r="AT188" s="531">
        <f t="shared" ca="1" si="132"/>
        <v>51858</v>
      </c>
      <c r="AU188" s="532">
        <f ca="1">IF(AU187=0,SUMIFS('Key Life Events'!$L$3:$L$28,'Key Life Events'!$H$3:$H$28,'Loan Amortization'!$AY$3,'Key Life Events'!$N$3:$N$28,'Loan Amortization'!AT188),AU187-AX187)</f>
        <v>0</v>
      </c>
      <c r="AV188" s="532">
        <f t="shared" ca="1" si="133"/>
        <v>0</v>
      </c>
      <c r="AW188" s="532">
        <f t="shared" ca="1" si="100"/>
        <v>0</v>
      </c>
      <c r="AX188" s="532">
        <f t="shared" ca="1" si="107"/>
        <v>0</v>
      </c>
      <c r="BC188" s="536">
        <f t="shared" ca="1" si="108"/>
        <v>2041</v>
      </c>
      <c r="BF188" s="530">
        <v>187</v>
      </c>
      <c r="BG188" s="531">
        <f t="shared" ca="1" si="134"/>
        <v>51858</v>
      </c>
      <c r="BH188" s="532">
        <f ca="1">IF(BH187=0,SUMIFS('Key Life Events'!$L$3:$L$28,'Key Life Events'!$H$3:$H$28,'Loan Amortization'!$BL$3,'Key Life Events'!$N$3:$N$28,'Loan Amortization'!BG188),BH187-BK187)</f>
        <v>0</v>
      </c>
      <c r="BI188" s="532">
        <f t="shared" ca="1" si="135"/>
        <v>0</v>
      </c>
      <c r="BJ188" s="532">
        <f t="shared" ca="1" si="136"/>
        <v>0</v>
      </c>
      <c r="BK188" s="532">
        <f t="shared" ca="1" si="109"/>
        <v>0</v>
      </c>
      <c r="BP188" s="536">
        <f t="shared" ca="1" si="110"/>
        <v>2041</v>
      </c>
      <c r="BQ188" s="535">
        <f ca="1"/>
        <v>0</v>
      </c>
      <c r="BS188" s="530">
        <v>187</v>
      </c>
      <c r="BT188" s="531">
        <f t="shared" ca="1" si="137"/>
        <v>51858</v>
      </c>
      <c r="BU188" s="532">
        <f ca="1">IF(BU187=0,SUMIFS('Key Life Events'!$L$3:$L$28,'Key Life Events'!$H$3:$H$28,'Loan Amortization'!$BY$3,'Key Life Events'!$N$3:$N$28,'Loan Amortization'!BT188),BU187-BX187)</f>
        <v>0</v>
      </c>
      <c r="BV188" s="532">
        <f t="shared" ca="1" si="142"/>
        <v>0</v>
      </c>
      <c r="BW188" s="532">
        <f t="shared" ca="1" si="138"/>
        <v>0</v>
      </c>
      <c r="BX188" s="532">
        <f t="shared" ca="1" si="111"/>
        <v>0</v>
      </c>
      <c r="CC188" s="536">
        <f t="shared" ca="1" si="112"/>
        <v>2041</v>
      </c>
      <c r="CD188" s="535">
        <f ca="1"/>
        <v>0</v>
      </c>
      <c r="CF188" s="530">
        <v>187</v>
      </c>
      <c r="CG188" s="531">
        <f t="shared" ca="1" si="139"/>
        <v>51858</v>
      </c>
      <c r="CH188" s="532">
        <f ca="1">IF(CH187=0,SUMIFS('Key Life Events'!$L$3:$L$28,'Key Life Events'!$H$3:$H$28,'Loan Amortization'!$CL$3,'Key Life Events'!$N$3:$N$28,'Loan Amortization'!CG188),CH187-CK187)</f>
        <v>0</v>
      </c>
      <c r="CI188" s="532">
        <f t="shared" ca="1" si="140"/>
        <v>0</v>
      </c>
      <c r="CJ188" s="532">
        <f t="shared" ca="1" si="141"/>
        <v>0</v>
      </c>
      <c r="CK188" s="532">
        <f t="shared" ca="1" si="113"/>
        <v>0</v>
      </c>
      <c r="CP188" s="536">
        <f t="shared" ca="1" si="114"/>
        <v>2041</v>
      </c>
      <c r="CQ188" s="535">
        <f ca="1"/>
        <v>0</v>
      </c>
      <c r="CS188" s="100">
        <f t="shared" si="115"/>
        <v>187</v>
      </c>
      <c r="CT188" s="102">
        <f t="shared" ca="1" si="116"/>
        <v>0</v>
      </c>
      <c r="CU188" s="102">
        <f t="shared" ca="1" si="117"/>
        <v>0</v>
      </c>
      <c r="CV188" s="511">
        <f t="shared" ca="1" si="118"/>
        <v>2041</v>
      </c>
      <c r="CW188" s="1">
        <f t="shared" si="144"/>
        <v>2233</v>
      </c>
      <c r="CX188" s="99">
        <f t="shared" si="145"/>
        <v>0</v>
      </c>
    </row>
    <row r="189" spans="1:102" x14ac:dyDescent="0.3">
      <c r="A189" s="100">
        <v>188</v>
      </c>
      <c r="B189" s="131">
        <f t="shared" si="119"/>
        <v>4867</v>
      </c>
      <c r="C189" s="102">
        <f t="shared" si="120"/>
        <v>0</v>
      </c>
      <c r="D189" s="102">
        <f t="shared" si="121"/>
        <v>0</v>
      </c>
      <c r="E189" s="102">
        <f t="shared" si="101"/>
        <v>0</v>
      </c>
      <c r="F189" s="102">
        <f t="shared" si="122"/>
        <v>0</v>
      </c>
      <c r="L189" s="100">
        <v>188</v>
      </c>
      <c r="M189" s="131">
        <f t="shared" ca="1" si="123"/>
        <v>51889</v>
      </c>
      <c r="N189" s="102">
        <f t="shared" si="124"/>
        <v>0</v>
      </c>
      <c r="O189" s="102">
        <f t="shared" si="125"/>
        <v>0</v>
      </c>
      <c r="P189" s="102">
        <f t="shared" si="102"/>
        <v>0</v>
      </c>
      <c r="Q189" s="102">
        <f t="shared" si="103"/>
        <v>0</v>
      </c>
      <c r="W189" s="100">
        <v>188</v>
      </c>
      <c r="X189" s="131">
        <f t="shared" ca="1" si="126"/>
        <v>51889</v>
      </c>
      <c r="Y189" s="102">
        <f t="shared" si="127"/>
        <v>0</v>
      </c>
      <c r="Z189" s="102">
        <f t="shared" si="128"/>
        <v>0</v>
      </c>
      <c r="AA189" s="102">
        <f t="shared" si="104"/>
        <v>0</v>
      </c>
      <c r="AB189" s="102">
        <f t="shared" si="105"/>
        <v>0</v>
      </c>
      <c r="AH189" s="100">
        <v>188</v>
      </c>
      <c r="AI189" s="131">
        <f t="shared" ca="1" si="129"/>
        <v>51889</v>
      </c>
      <c r="AJ189" s="102">
        <f t="shared" si="130"/>
        <v>0</v>
      </c>
      <c r="AK189" s="102">
        <f t="shared" si="131"/>
        <v>0</v>
      </c>
      <c r="AL189" s="102">
        <f t="shared" si="143"/>
        <v>0</v>
      </c>
      <c r="AM189" s="102">
        <f t="shared" si="106"/>
        <v>0</v>
      </c>
      <c r="AS189" s="530">
        <v>188</v>
      </c>
      <c r="AT189" s="531">
        <f t="shared" ca="1" si="132"/>
        <v>51889</v>
      </c>
      <c r="AU189" s="532">
        <f ca="1">IF(AU188=0,SUMIFS('Key Life Events'!$L$3:$L$28,'Key Life Events'!$H$3:$H$28,'Loan Amortization'!$AY$3,'Key Life Events'!$N$3:$N$28,'Loan Amortization'!AT189),AU188-AX188)</f>
        <v>0</v>
      </c>
      <c r="AV189" s="532">
        <f t="shared" ca="1" si="133"/>
        <v>0</v>
      </c>
      <c r="AW189" s="532">
        <f t="shared" ca="1" si="100"/>
        <v>0</v>
      </c>
      <c r="AX189" s="532">
        <f t="shared" ca="1" si="107"/>
        <v>0</v>
      </c>
      <c r="BC189" s="536">
        <f t="shared" ca="1" si="108"/>
        <v>2042</v>
      </c>
      <c r="BF189" s="530">
        <v>188</v>
      </c>
      <c r="BG189" s="531">
        <f t="shared" ca="1" si="134"/>
        <v>51889</v>
      </c>
      <c r="BH189" s="532">
        <f ca="1">IF(BH188=0,SUMIFS('Key Life Events'!$L$3:$L$28,'Key Life Events'!$H$3:$H$28,'Loan Amortization'!$BL$3,'Key Life Events'!$N$3:$N$28,'Loan Amortization'!BG189),BH188-BK188)</f>
        <v>0</v>
      </c>
      <c r="BI189" s="532">
        <f t="shared" ca="1" si="135"/>
        <v>0</v>
      </c>
      <c r="BJ189" s="532">
        <f t="shared" ca="1" si="136"/>
        <v>0</v>
      </c>
      <c r="BK189" s="532">
        <f t="shared" ca="1" si="109"/>
        <v>0</v>
      </c>
      <c r="BP189" s="536">
        <f t="shared" ca="1" si="110"/>
        <v>2042</v>
      </c>
      <c r="BQ189" s="535">
        <f ca="1"/>
        <v>0</v>
      </c>
      <c r="BS189" s="530">
        <v>188</v>
      </c>
      <c r="BT189" s="531">
        <f t="shared" ca="1" si="137"/>
        <v>51889</v>
      </c>
      <c r="BU189" s="532">
        <f ca="1">IF(BU188=0,SUMIFS('Key Life Events'!$L$3:$L$28,'Key Life Events'!$H$3:$H$28,'Loan Amortization'!$BY$3,'Key Life Events'!$N$3:$N$28,'Loan Amortization'!BT189),BU188-BX188)</f>
        <v>0</v>
      </c>
      <c r="BV189" s="532">
        <f t="shared" ca="1" si="142"/>
        <v>0</v>
      </c>
      <c r="BW189" s="532">
        <f t="shared" ca="1" si="138"/>
        <v>0</v>
      </c>
      <c r="BX189" s="532">
        <f t="shared" ca="1" si="111"/>
        <v>0</v>
      </c>
      <c r="CC189" s="536">
        <f t="shared" ca="1" si="112"/>
        <v>2042</v>
      </c>
      <c r="CD189" s="535">
        <f ca="1"/>
        <v>0</v>
      </c>
      <c r="CF189" s="530">
        <v>188</v>
      </c>
      <c r="CG189" s="531">
        <f t="shared" ca="1" si="139"/>
        <v>51889</v>
      </c>
      <c r="CH189" s="532">
        <f ca="1">IF(CH188=0,SUMIFS('Key Life Events'!$L$3:$L$28,'Key Life Events'!$H$3:$H$28,'Loan Amortization'!$CL$3,'Key Life Events'!$N$3:$N$28,'Loan Amortization'!CG189),CH188-CK188)</f>
        <v>0</v>
      </c>
      <c r="CI189" s="532">
        <f t="shared" ca="1" si="140"/>
        <v>0</v>
      </c>
      <c r="CJ189" s="532">
        <f t="shared" ca="1" si="141"/>
        <v>0</v>
      </c>
      <c r="CK189" s="532">
        <f t="shared" ca="1" si="113"/>
        <v>0</v>
      </c>
      <c r="CP189" s="536">
        <f t="shared" ca="1" si="114"/>
        <v>2042</v>
      </c>
      <c r="CQ189" s="535">
        <f ca="1"/>
        <v>0</v>
      </c>
      <c r="CS189" s="100">
        <f t="shared" si="115"/>
        <v>188</v>
      </c>
      <c r="CT189" s="102">
        <f t="shared" ca="1" si="116"/>
        <v>0</v>
      </c>
      <c r="CU189" s="102">
        <f t="shared" ca="1" si="117"/>
        <v>0</v>
      </c>
      <c r="CV189" s="511">
        <f t="shared" ca="1" si="118"/>
        <v>2042</v>
      </c>
      <c r="CW189" s="1">
        <f t="shared" si="144"/>
        <v>2245</v>
      </c>
      <c r="CX189" s="99">
        <f t="shared" si="145"/>
        <v>0</v>
      </c>
    </row>
    <row r="190" spans="1:102" x14ac:dyDescent="0.3">
      <c r="A190" s="100">
        <v>189</v>
      </c>
      <c r="B190" s="131">
        <f t="shared" si="119"/>
        <v>4897</v>
      </c>
      <c r="C190" s="102">
        <f t="shared" si="120"/>
        <v>0</v>
      </c>
      <c r="D190" s="102">
        <f t="shared" si="121"/>
        <v>0</v>
      </c>
      <c r="E190" s="102">
        <f t="shared" si="101"/>
        <v>0</v>
      </c>
      <c r="F190" s="102">
        <f t="shared" si="122"/>
        <v>0</v>
      </c>
      <c r="L190" s="100">
        <v>189</v>
      </c>
      <c r="M190" s="131">
        <f t="shared" ca="1" si="123"/>
        <v>51920</v>
      </c>
      <c r="N190" s="102">
        <f t="shared" si="124"/>
        <v>0</v>
      </c>
      <c r="O190" s="102">
        <f t="shared" si="125"/>
        <v>0</v>
      </c>
      <c r="P190" s="102">
        <f t="shared" si="102"/>
        <v>0</v>
      </c>
      <c r="Q190" s="102">
        <f t="shared" si="103"/>
        <v>0</v>
      </c>
      <c r="W190" s="100">
        <v>189</v>
      </c>
      <c r="X190" s="131">
        <f t="shared" ca="1" si="126"/>
        <v>51920</v>
      </c>
      <c r="Y190" s="102">
        <f t="shared" si="127"/>
        <v>0</v>
      </c>
      <c r="Z190" s="102">
        <f t="shared" si="128"/>
        <v>0</v>
      </c>
      <c r="AA190" s="102">
        <f t="shared" si="104"/>
        <v>0</v>
      </c>
      <c r="AB190" s="102">
        <f t="shared" si="105"/>
        <v>0</v>
      </c>
      <c r="AH190" s="100">
        <v>189</v>
      </c>
      <c r="AI190" s="131">
        <f t="shared" ca="1" si="129"/>
        <v>51920</v>
      </c>
      <c r="AJ190" s="102">
        <f t="shared" si="130"/>
        <v>0</v>
      </c>
      <c r="AK190" s="102">
        <f t="shared" si="131"/>
        <v>0</v>
      </c>
      <c r="AL190" s="102">
        <f t="shared" si="143"/>
        <v>0</v>
      </c>
      <c r="AM190" s="102">
        <f t="shared" si="106"/>
        <v>0</v>
      </c>
      <c r="AS190" s="530">
        <v>189</v>
      </c>
      <c r="AT190" s="531">
        <f t="shared" ca="1" si="132"/>
        <v>51920</v>
      </c>
      <c r="AU190" s="532">
        <f ca="1">IF(AU189=0,SUMIFS('Key Life Events'!$L$3:$L$28,'Key Life Events'!$H$3:$H$28,'Loan Amortization'!$AY$3,'Key Life Events'!$N$3:$N$28,'Loan Amortization'!AT190),AU189-AX189)</f>
        <v>0</v>
      </c>
      <c r="AV190" s="532">
        <f t="shared" ca="1" si="133"/>
        <v>0</v>
      </c>
      <c r="AW190" s="532">
        <f t="shared" ca="1" si="100"/>
        <v>0</v>
      </c>
      <c r="AX190" s="532">
        <f t="shared" ca="1" si="107"/>
        <v>0</v>
      </c>
      <c r="BC190" s="536">
        <f t="shared" ca="1" si="108"/>
        <v>2042</v>
      </c>
      <c r="BF190" s="530">
        <v>189</v>
      </c>
      <c r="BG190" s="531">
        <f t="shared" ca="1" si="134"/>
        <v>51920</v>
      </c>
      <c r="BH190" s="532">
        <f ca="1">IF(BH189=0,SUMIFS('Key Life Events'!$L$3:$L$28,'Key Life Events'!$H$3:$H$28,'Loan Amortization'!$BL$3,'Key Life Events'!$N$3:$N$28,'Loan Amortization'!BG190),BH189-BK189)</f>
        <v>0</v>
      </c>
      <c r="BI190" s="532">
        <f t="shared" ca="1" si="135"/>
        <v>0</v>
      </c>
      <c r="BJ190" s="532">
        <f t="shared" ca="1" si="136"/>
        <v>0</v>
      </c>
      <c r="BK190" s="532">
        <f t="shared" ca="1" si="109"/>
        <v>0</v>
      </c>
      <c r="BP190" s="536">
        <f t="shared" ca="1" si="110"/>
        <v>2042</v>
      </c>
      <c r="BQ190" s="535">
        <f ca="1"/>
        <v>0</v>
      </c>
      <c r="BS190" s="530">
        <v>189</v>
      </c>
      <c r="BT190" s="531">
        <f t="shared" ca="1" si="137"/>
        <v>51920</v>
      </c>
      <c r="BU190" s="532">
        <f ca="1">IF(BU189=0,SUMIFS('Key Life Events'!$L$3:$L$28,'Key Life Events'!$H$3:$H$28,'Loan Amortization'!$BY$3,'Key Life Events'!$N$3:$N$28,'Loan Amortization'!BT190),BU189-BX189)</f>
        <v>0</v>
      </c>
      <c r="BV190" s="532">
        <f t="shared" ca="1" si="142"/>
        <v>0</v>
      </c>
      <c r="BW190" s="532">
        <f t="shared" ca="1" si="138"/>
        <v>0</v>
      </c>
      <c r="BX190" s="532">
        <f t="shared" ca="1" si="111"/>
        <v>0</v>
      </c>
      <c r="CC190" s="536">
        <f t="shared" ca="1" si="112"/>
        <v>2042</v>
      </c>
      <c r="CD190" s="535">
        <f ca="1"/>
        <v>0</v>
      </c>
      <c r="CF190" s="530">
        <v>189</v>
      </c>
      <c r="CG190" s="531">
        <f t="shared" ca="1" si="139"/>
        <v>51920</v>
      </c>
      <c r="CH190" s="532">
        <f ca="1">IF(CH189=0,SUMIFS('Key Life Events'!$L$3:$L$28,'Key Life Events'!$H$3:$H$28,'Loan Amortization'!$CL$3,'Key Life Events'!$N$3:$N$28,'Loan Amortization'!CG190),CH189-CK189)</f>
        <v>0</v>
      </c>
      <c r="CI190" s="532">
        <f t="shared" ca="1" si="140"/>
        <v>0</v>
      </c>
      <c r="CJ190" s="532">
        <f t="shared" ca="1" si="141"/>
        <v>0</v>
      </c>
      <c r="CK190" s="532">
        <f t="shared" ca="1" si="113"/>
        <v>0</v>
      </c>
      <c r="CP190" s="536">
        <f t="shared" ca="1" si="114"/>
        <v>2042</v>
      </c>
      <c r="CQ190" s="535">
        <f ca="1"/>
        <v>0</v>
      </c>
      <c r="CS190" s="100">
        <f t="shared" si="115"/>
        <v>189</v>
      </c>
      <c r="CT190" s="102">
        <f t="shared" ca="1" si="116"/>
        <v>0</v>
      </c>
      <c r="CU190" s="102">
        <f t="shared" ca="1" si="117"/>
        <v>0</v>
      </c>
      <c r="CV190" s="511">
        <f t="shared" ca="1" si="118"/>
        <v>2042</v>
      </c>
      <c r="CW190" s="1">
        <f t="shared" si="144"/>
        <v>2257</v>
      </c>
      <c r="CX190" s="99">
        <f t="shared" si="145"/>
        <v>0</v>
      </c>
    </row>
    <row r="191" spans="1:102" x14ac:dyDescent="0.3">
      <c r="A191" s="100">
        <v>190</v>
      </c>
      <c r="B191" s="131">
        <f t="shared" si="119"/>
        <v>4928</v>
      </c>
      <c r="C191" s="102">
        <f t="shared" si="120"/>
        <v>0</v>
      </c>
      <c r="D191" s="102">
        <f t="shared" si="121"/>
        <v>0</v>
      </c>
      <c r="E191" s="102">
        <f t="shared" si="101"/>
        <v>0</v>
      </c>
      <c r="F191" s="102">
        <f t="shared" si="122"/>
        <v>0</v>
      </c>
      <c r="L191" s="100">
        <v>190</v>
      </c>
      <c r="M191" s="131">
        <f t="shared" ca="1" si="123"/>
        <v>51948</v>
      </c>
      <c r="N191" s="102">
        <f t="shared" si="124"/>
        <v>0</v>
      </c>
      <c r="O191" s="102">
        <f t="shared" si="125"/>
        <v>0</v>
      </c>
      <c r="P191" s="102">
        <f t="shared" si="102"/>
        <v>0</v>
      </c>
      <c r="Q191" s="102">
        <f t="shared" si="103"/>
        <v>0</v>
      </c>
      <c r="W191" s="100">
        <v>190</v>
      </c>
      <c r="X191" s="131">
        <f t="shared" ca="1" si="126"/>
        <v>51948</v>
      </c>
      <c r="Y191" s="102">
        <f t="shared" si="127"/>
        <v>0</v>
      </c>
      <c r="Z191" s="102">
        <f t="shared" si="128"/>
        <v>0</v>
      </c>
      <c r="AA191" s="102">
        <f t="shared" si="104"/>
        <v>0</v>
      </c>
      <c r="AB191" s="102">
        <f t="shared" si="105"/>
        <v>0</v>
      </c>
      <c r="AH191" s="100">
        <v>190</v>
      </c>
      <c r="AI191" s="131">
        <f t="shared" ca="1" si="129"/>
        <v>51948</v>
      </c>
      <c r="AJ191" s="102">
        <f t="shared" si="130"/>
        <v>0</v>
      </c>
      <c r="AK191" s="102">
        <f t="shared" si="131"/>
        <v>0</v>
      </c>
      <c r="AL191" s="102">
        <f t="shared" si="143"/>
        <v>0</v>
      </c>
      <c r="AM191" s="102">
        <f t="shared" si="106"/>
        <v>0</v>
      </c>
      <c r="AS191" s="530">
        <v>190</v>
      </c>
      <c r="AT191" s="531">
        <f t="shared" ca="1" si="132"/>
        <v>51948</v>
      </c>
      <c r="AU191" s="532">
        <f ca="1">IF(AU190=0,SUMIFS('Key Life Events'!$L$3:$L$28,'Key Life Events'!$H$3:$H$28,'Loan Amortization'!$AY$3,'Key Life Events'!$N$3:$N$28,'Loan Amortization'!AT191),AU190-AX190)</f>
        <v>0</v>
      </c>
      <c r="AV191" s="532">
        <f t="shared" ca="1" si="133"/>
        <v>0</v>
      </c>
      <c r="AW191" s="532">
        <f t="shared" ca="1" si="100"/>
        <v>0</v>
      </c>
      <c r="AX191" s="532">
        <f t="shared" ca="1" si="107"/>
        <v>0</v>
      </c>
      <c r="BC191" s="536">
        <f t="shared" ca="1" si="108"/>
        <v>2042</v>
      </c>
      <c r="BF191" s="530">
        <v>190</v>
      </c>
      <c r="BG191" s="531">
        <f t="shared" ca="1" si="134"/>
        <v>51948</v>
      </c>
      <c r="BH191" s="532">
        <f ca="1">IF(BH190=0,SUMIFS('Key Life Events'!$L$3:$L$28,'Key Life Events'!$H$3:$H$28,'Loan Amortization'!$BL$3,'Key Life Events'!$N$3:$N$28,'Loan Amortization'!BG191),BH190-BK190)</f>
        <v>0</v>
      </c>
      <c r="BI191" s="532">
        <f t="shared" ca="1" si="135"/>
        <v>0</v>
      </c>
      <c r="BJ191" s="532">
        <f t="shared" ca="1" si="136"/>
        <v>0</v>
      </c>
      <c r="BK191" s="532">
        <f t="shared" ca="1" si="109"/>
        <v>0</v>
      </c>
      <c r="BP191" s="536">
        <f t="shared" ca="1" si="110"/>
        <v>2042</v>
      </c>
      <c r="BQ191" s="535">
        <f ca="1"/>
        <v>0</v>
      </c>
      <c r="BS191" s="530">
        <v>190</v>
      </c>
      <c r="BT191" s="531">
        <f t="shared" ca="1" si="137"/>
        <v>51948</v>
      </c>
      <c r="BU191" s="532">
        <f ca="1">IF(BU190=0,SUMIFS('Key Life Events'!$L$3:$L$28,'Key Life Events'!$H$3:$H$28,'Loan Amortization'!$BY$3,'Key Life Events'!$N$3:$N$28,'Loan Amortization'!BT191),BU190-BX190)</f>
        <v>0</v>
      </c>
      <c r="BV191" s="532">
        <f t="shared" ca="1" si="142"/>
        <v>0</v>
      </c>
      <c r="BW191" s="532">
        <f t="shared" ca="1" si="138"/>
        <v>0</v>
      </c>
      <c r="BX191" s="532">
        <f t="shared" ca="1" si="111"/>
        <v>0</v>
      </c>
      <c r="CC191" s="536">
        <f t="shared" ca="1" si="112"/>
        <v>2042</v>
      </c>
      <c r="CD191" s="535">
        <f ca="1"/>
        <v>0</v>
      </c>
      <c r="CF191" s="530">
        <v>190</v>
      </c>
      <c r="CG191" s="531">
        <f t="shared" ca="1" si="139"/>
        <v>51948</v>
      </c>
      <c r="CH191" s="532">
        <f ca="1">IF(CH190=0,SUMIFS('Key Life Events'!$L$3:$L$28,'Key Life Events'!$H$3:$H$28,'Loan Amortization'!$CL$3,'Key Life Events'!$N$3:$N$28,'Loan Amortization'!CG191),CH190-CK190)</f>
        <v>0</v>
      </c>
      <c r="CI191" s="532">
        <f t="shared" ca="1" si="140"/>
        <v>0</v>
      </c>
      <c r="CJ191" s="532">
        <f t="shared" ca="1" si="141"/>
        <v>0</v>
      </c>
      <c r="CK191" s="532">
        <f t="shared" ca="1" si="113"/>
        <v>0</v>
      </c>
      <c r="CP191" s="536">
        <f t="shared" ca="1" si="114"/>
        <v>2042</v>
      </c>
      <c r="CQ191" s="535">
        <f ca="1"/>
        <v>0</v>
      </c>
      <c r="CS191" s="100">
        <f t="shared" si="115"/>
        <v>190</v>
      </c>
      <c r="CT191" s="102">
        <f t="shared" ca="1" si="116"/>
        <v>0</v>
      </c>
      <c r="CU191" s="102">
        <f t="shared" ca="1" si="117"/>
        <v>0</v>
      </c>
      <c r="CV191" s="511">
        <f t="shared" ca="1" si="118"/>
        <v>2042</v>
      </c>
      <c r="CW191" s="1">
        <f t="shared" si="144"/>
        <v>2269</v>
      </c>
      <c r="CX191" s="99">
        <f t="shared" si="145"/>
        <v>0</v>
      </c>
    </row>
    <row r="192" spans="1:102" x14ac:dyDescent="0.3">
      <c r="A192" s="100">
        <v>191</v>
      </c>
      <c r="B192" s="131">
        <f t="shared" si="119"/>
        <v>4958</v>
      </c>
      <c r="C192" s="102">
        <f t="shared" si="120"/>
        <v>0</v>
      </c>
      <c r="D192" s="102">
        <f t="shared" si="121"/>
        <v>0</v>
      </c>
      <c r="E192" s="102">
        <f t="shared" si="101"/>
        <v>0</v>
      </c>
      <c r="F192" s="102">
        <f t="shared" si="122"/>
        <v>0</v>
      </c>
      <c r="L192" s="100">
        <v>191</v>
      </c>
      <c r="M192" s="131">
        <f t="shared" ca="1" si="123"/>
        <v>51979</v>
      </c>
      <c r="N192" s="102">
        <f t="shared" si="124"/>
        <v>0</v>
      </c>
      <c r="O192" s="102">
        <f t="shared" si="125"/>
        <v>0</v>
      </c>
      <c r="P192" s="102">
        <f t="shared" si="102"/>
        <v>0</v>
      </c>
      <c r="Q192" s="102">
        <f t="shared" si="103"/>
        <v>0</v>
      </c>
      <c r="W192" s="100">
        <v>191</v>
      </c>
      <c r="X192" s="131">
        <f t="shared" ca="1" si="126"/>
        <v>51979</v>
      </c>
      <c r="Y192" s="102">
        <f t="shared" si="127"/>
        <v>0</v>
      </c>
      <c r="Z192" s="102">
        <f t="shared" si="128"/>
        <v>0</v>
      </c>
      <c r="AA192" s="102">
        <f t="shared" si="104"/>
        <v>0</v>
      </c>
      <c r="AB192" s="102">
        <f t="shared" si="105"/>
        <v>0</v>
      </c>
      <c r="AH192" s="100">
        <v>191</v>
      </c>
      <c r="AI192" s="131">
        <f t="shared" ca="1" si="129"/>
        <v>51979</v>
      </c>
      <c r="AJ192" s="102">
        <f t="shared" si="130"/>
        <v>0</v>
      </c>
      <c r="AK192" s="102">
        <f t="shared" si="131"/>
        <v>0</v>
      </c>
      <c r="AL192" s="102">
        <f t="shared" si="143"/>
        <v>0</v>
      </c>
      <c r="AM192" s="102">
        <f t="shared" si="106"/>
        <v>0</v>
      </c>
      <c r="AS192" s="530">
        <v>191</v>
      </c>
      <c r="AT192" s="531">
        <f t="shared" ca="1" si="132"/>
        <v>51979</v>
      </c>
      <c r="AU192" s="532">
        <f ca="1">IF(AU191=0,SUMIFS('Key Life Events'!$L$3:$L$28,'Key Life Events'!$H$3:$H$28,'Loan Amortization'!$AY$3,'Key Life Events'!$N$3:$N$28,'Loan Amortization'!AT192),AU191-AX191)</f>
        <v>0</v>
      </c>
      <c r="AV192" s="532">
        <f t="shared" ca="1" si="133"/>
        <v>0</v>
      </c>
      <c r="AW192" s="532">
        <f t="shared" ca="1" si="100"/>
        <v>0</v>
      </c>
      <c r="AX192" s="532">
        <f t="shared" ca="1" si="107"/>
        <v>0</v>
      </c>
      <c r="BC192" s="536">
        <f t="shared" ca="1" si="108"/>
        <v>2042</v>
      </c>
      <c r="BF192" s="530">
        <v>191</v>
      </c>
      <c r="BG192" s="531">
        <f t="shared" ca="1" si="134"/>
        <v>51979</v>
      </c>
      <c r="BH192" s="532">
        <f ca="1">IF(BH191=0,SUMIFS('Key Life Events'!$L$3:$L$28,'Key Life Events'!$H$3:$H$28,'Loan Amortization'!$BL$3,'Key Life Events'!$N$3:$N$28,'Loan Amortization'!BG192),BH191-BK191)</f>
        <v>0</v>
      </c>
      <c r="BI192" s="532">
        <f t="shared" ca="1" si="135"/>
        <v>0</v>
      </c>
      <c r="BJ192" s="532">
        <f t="shared" ca="1" si="136"/>
        <v>0</v>
      </c>
      <c r="BK192" s="532">
        <f t="shared" ca="1" si="109"/>
        <v>0</v>
      </c>
      <c r="BP192" s="536">
        <f t="shared" ca="1" si="110"/>
        <v>2042</v>
      </c>
      <c r="BQ192" s="535">
        <f ca="1"/>
        <v>0</v>
      </c>
      <c r="BS192" s="530">
        <v>191</v>
      </c>
      <c r="BT192" s="531">
        <f t="shared" ca="1" si="137"/>
        <v>51979</v>
      </c>
      <c r="BU192" s="532">
        <f ca="1">IF(BU191=0,SUMIFS('Key Life Events'!$L$3:$L$28,'Key Life Events'!$H$3:$H$28,'Loan Amortization'!$BY$3,'Key Life Events'!$N$3:$N$28,'Loan Amortization'!BT192),BU191-BX191)</f>
        <v>0</v>
      </c>
      <c r="BV192" s="532">
        <f t="shared" ca="1" si="142"/>
        <v>0</v>
      </c>
      <c r="BW192" s="532">
        <f t="shared" ca="1" si="138"/>
        <v>0</v>
      </c>
      <c r="BX192" s="532">
        <f t="shared" ca="1" si="111"/>
        <v>0</v>
      </c>
      <c r="CC192" s="536">
        <f t="shared" ca="1" si="112"/>
        <v>2042</v>
      </c>
      <c r="CD192" s="535">
        <f ca="1"/>
        <v>0</v>
      </c>
      <c r="CF192" s="530">
        <v>191</v>
      </c>
      <c r="CG192" s="531">
        <f t="shared" ca="1" si="139"/>
        <v>51979</v>
      </c>
      <c r="CH192" s="532">
        <f ca="1">IF(CH191=0,SUMIFS('Key Life Events'!$L$3:$L$28,'Key Life Events'!$H$3:$H$28,'Loan Amortization'!$CL$3,'Key Life Events'!$N$3:$N$28,'Loan Amortization'!CG192),CH191-CK191)</f>
        <v>0</v>
      </c>
      <c r="CI192" s="532">
        <f t="shared" ca="1" si="140"/>
        <v>0</v>
      </c>
      <c r="CJ192" s="532">
        <f t="shared" ca="1" si="141"/>
        <v>0</v>
      </c>
      <c r="CK192" s="532">
        <f t="shared" ca="1" si="113"/>
        <v>0</v>
      </c>
      <c r="CP192" s="536">
        <f t="shared" ca="1" si="114"/>
        <v>2042</v>
      </c>
      <c r="CQ192" s="535">
        <f ca="1"/>
        <v>0</v>
      </c>
      <c r="CS192" s="100">
        <f t="shared" si="115"/>
        <v>191</v>
      </c>
      <c r="CT192" s="102">
        <f t="shared" ca="1" si="116"/>
        <v>0</v>
      </c>
      <c r="CU192" s="102">
        <f t="shared" ca="1" si="117"/>
        <v>0</v>
      </c>
      <c r="CV192" s="511">
        <f t="shared" ca="1" si="118"/>
        <v>2042</v>
      </c>
      <c r="CW192" s="1">
        <f t="shared" si="144"/>
        <v>2281</v>
      </c>
      <c r="CX192" s="99">
        <f t="shared" si="145"/>
        <v>0</v>
      </c>
    </row>
    <row r="193" spans="1:102" x14ac:dyDescent="0.3">
      <c r="A193" s="100">
        <v>192</v>
      </c>
      <c r="B193" s="131">
        <f t="shared" si="119"/>
        <v>4989</v>
      </c>
      <c r="C193" s="102">
        <f t="shared" si="120"/>
        <v>0</v>
      </c>
      <c r="D193" s="102">
        <f t="shared" si="121"/>
        <v>0</v>
      </c>
      <c r="E193" s="102">
        <f t="shared" si="101"/>
        <v>0</v>
      </c>
      <c r="F193" s="102">
        <f t="shared" si="122"/>
        <v>0</v>
      </c>
      <c r="L193" s="100">
        <v>192</v>
      </c>
      <c r="M193" s="131">
        <f t="shared" ca="1" si="123"/>
        <v>52009</v>
      </c>
      <c r="N193" s="102">
        <f t="shared" si="124"/>
        <v>0</v>
      </c>
      <c r="O193" s="102">
        <f t="shared" si="125"/>
        <v>0</v>
      </c>
      <c r="P193" s="102">
        <f t="shared" si="102"/>
        <v>0</v>
      </c>
      <c r="Q193" s="102">
        <f t="shared" si="103"/>
        <v>0</v>
      </c>
      <c r="W193" s="100">
        <v>192</v>
      </c>
      <c r="X193" s="131">
        <f t="shared" ca="1" si="126"/>
        <v>52009</v>
      </c>
      <c r="Y193" s="102">
        <f t="shared" si="127"/>
        <v>0</v>
      </c>
      <c r="Z193" s="102">
        <f t="shared" si="128"/>
        <v>0</v>
      </c>
      <c r="AA193" s="102">
        <f t="shared" si="104"/>
        <v>0</v>
      </c>
      <c r="AB193" s="102">
        <f t="shared" si="105"/>
        <v>0</v>
      </c>
      <c r="AH193" s="100">
        <v>192</v>
      </c>
      <c r="AI193" s="131">
        <f t="shared" ca="1" si="129"/>
        <v>52009</v>
      </c>
      <c r="AJ193" s="102">
        <f t="shared" si="130"/>
        <v>0</v>
      </c>
      <c r="AK193" s="102">
        <f t="shared" si="131"/>
        <v>0</v>
      </c>
      <c r="AL193" s="102">
        <f t="shared" si="143"/>
        <v>0</v>
      </c>
      <c r="AM193" s="102">
        <f t="shared" si="106"/>
        <v>0</v>
      </c>
      <c r="AS193" s="530">
        <v>192</v>
      </c>
      <c r="AT193" s="531">
        <f t="shared" ca="1" si="132"/>
        <v>52009</v>
      </c>
      <c r="AU193" s="532">
        <f ca="1">IF(AU192=0,SUMIFS('Key Life Events'!$L$3:$L$28,'Key Life Events'!$H$3:$H$28,'Loan Amortization'!$AY$3,'Key Life Events'!$N$3:$N$28,'Loan Amortization'!AT193),AU192-AX192)</f>
        <v>0</v>
      </c>
      <c r="AV193" s="532">
        <f t="shared" ca="1" si="133"/>
        <v>0</v>
      </c>
      <c r="AW193" s="532">
        <f t="shared" ca="1" si="100"/>
        <v>0</v>
      </c>
      <c r="AX193" s="532">
        <f t="shared" ca="1" si="107"/>
        <v>0</v>
      </c>
      <c r="BC193" s="536">
        <f t="shared" ca="1" si="108"/>
        <v>2042</v>
      </c>
      <c r="BF193" s="530">
        <v>192</v>
      </c>
      <c r="BG193" s="531">
        <f t="shared" ca="1" si="134"/>
        <v>52009</v>
      </c>
      <c r="BH193" s="532">
        <f ca="1">IF(BH192=0,SUMIFS('Key Life Events'!$L$3:$L$28,'Key Life Events'!$H$3:$H$28,'Loan Amortization'!$BL$3,'Key Life Events'!$N$3:$N$28,'Loan Amortization'!BG193),BH192-BK192)</f>
        <v>0</v>
      </c>
      <c r="BI193" s="532">
        <f t="shared" ca="1" si="135"/>
        <v>0</v>
      </c>
      <c r="BJ193" s="532">
        <f t="shared" ca="1" si="136"/>
        <v>0</v>
      </c>
      <c r="BK193" s="532">
        <f t="shared" ca="1" si="109"/>
        <v>0</v>
      </c>
      <c r="BP193" s="536">
        <f t="shared" ca="1" si="110"/>
        <v>2042</v>
      </c>
      <c r="BQ193" s="535">
        <f ca="1"/>
        <v>0</v>
      </c>
      <c r="BS193" s="530">
        <v>192</v>
      </c>
      <c r="BT193" s="531">
        <f t="shared" ca="1" si="137"/>
        <v>52009</v>
      </c>
      <c r="BU193" s="532">
        <f ca="1">IF(BU192=0,SUMIFS('Key Life Events'!$L$3:$L$28,'Key Life Events'!$H$3:$H$28,'Loan Amortization'!$BY$3,'Key Life Events'!$N$3:$N$28,'Loan Amortization'!BT193),BU192-BX192)</f>
        <v>0</v>
      </c>
      <c r="BV193" s="532">
        <f t="shared" ca="1" si="142"/>
        <v>0</v>
      </c>
      <c r="BW193" s="532">
        <f t="shared" ca="1" si="138"/>
        <v>0</v>
      </c>
      <c r="BX193" s="532">
        <f t="shared" ca="1" si="111"/>
        <v>0</v>
      </c>
      <c r="CC193" s="536">
        <f t="shared" ca="1" si="112"/>
        <v>2042</v>
      </c>
      <c r="CD193" s="535">
        <f ca="1"/>
        <v>0</v>
      </c>
      <c r="CF193" s="530">
        <v>192</v>
      </c>
      <c r="CG193" s="531">
        <f t="shared" ca="1" si="139"/>
        <v>52009</v>
      </c>
      <c r="CH193" s="532">
        <f ca="1">IF(CH192=0,SUMIFS('Key Life Events'!$L$3:$L$28,'Key Life Events'!$H$3:$H$28,'Loan Amortization'!$CL$3,'Key Life Events'!$N$3:$N$28,'Loan Amortization'!CG193),CH192-CK192)</f>
        <v>0</v>
      </c>
      <c r="CI193" s="532">
        <f t="shared" ca="1" si="140"/>
        <v>0</v>
      </c>
      <c r="CJ193" s="532">
        <f t="shared" ca="1" si="141"/>
        <v>0</v>
      </c>
      <c r="CK193" s="532">
        <f t="shared" ca="1" si="113"/>
        <v>0</v>
      </c>
      <c r="CP193" s="536">
        <f t="shared" ca="1" si="114"/>
        <v>2042</v>
      </c>
      <c r="CQ193" s="535">
        <f ca="1"/>
        <v>0</v>
      </c>
      <c r="CS193" s="100">
        <f t="shared" si="115"/>
        <v>192</v>
      </c>
      <c r="CT193" s="102">
        <f t="shared" ca="1" si="116"/>
        <v>0</v>
      </c>
      <c r="CU193" s="102">
        <f t="shared" ca="1" si="117"/>
        <v>0</v>
      </c>
      <c r="CV193" s="511">
        <f t="shared" ca="1" si="118"/>
        <v>2042</v>
      </c>
      <c r="CW193" s="1">
        <f t="shared" si="144"/>
        <v>2293</v>
      </c>
      <c r="CX193" s="99">
        <f t="shared" si="145"/>
        <v>0</v>
      </c>
    </row>
    <row r="194" spans="1:102" x14ac:dyDescent="0.3">
      <c r="A194" s="100">
        <v>193</v>
      </c>
      <c r="B194" s="131">
        <f t="shared" si="119"/>
        <v>5020</v>
      </c>
      <c r="C194" s="102">
        <f t="shared" si="120"/>
        <v>0</v>
      </c>
      <c r="D194" s="102">
        <f t="shared" si="121"/>
        <v>0</v>
      </c>
      <c r="E194" s="102">
        <f t="shared" si="101"/>
        <v>0</v>
      </c>
      <c r="F194" s="102">
        <f t="shared" si="122"/>
        <v>0</v>
      </c>
      <c r="L194" s="100">
        <v>193</v>
      </c>
      <c r="M194" s="131">
        <f t="shared" ca="1" si="123"/>
        <v>52040</v>
      </c>
      <c r="N194" s="102">
        <f t="shared" si="124"/>
        <v>0</v>
      </c>
      <c r="O194" s="102">
        <f t="shared" si="125"/>
        <v>0</v>
      </c>
      <c r="P194" s="102">
        <f t="shared" si="102"/>
        <v>0</v>
      </c>
      <c r="Q194" s="102">
        <f t="shared" si="103"/>
        <v>0</v>
      </c>
      <c r="W194" s="100">
        <v>193</v>
      </c>
      <c r="X194" s="131">
        <f t="shared" ca="1" si="126"/>
        <v>52040</v>
      </c>
      <c r="Y194" s="102">
        <f t="shared" si="127"/>
        <v>0</v>
      </c>
      <c r="Z194" s="102">
        <f t="shared" si="128"/>
        <v>0</v>
      </c>
      <c r="AA194" s="102">
        <f t="shared" si="104"/>
        <v>0</v>
      </c>
      <c r="AB194" s="102">
        <f t="shared" si="105"/>
        <v>0</v>
      </c>
      <c r="AH194" s="100">
        <v>193</v>
      </c>
      <c r="AI194" s="131">
        <f t="shared" ca="1" si="129"/>
        <v>52040</v>
      </c>
      <c r="AJ194" s="102">
        <f t="shared" si="130"/>
        <v>0</v>
      </c>
      <c r="AK194" s="102">
        <f t="shared" si="131"/>
        <v>0</v>
      </c>
      <c r="AL194" s="102">
        <f t="shared" si="143"/>
        <v>0</v>
      </c>
      <c r="AM194" s="102">
        <f t="shared" si="106"/>
        <v>0</v>
      </c>
      <c r="AS194" s="530">
        <v>193</v>
      </c>
      <c r="AT194" s="531">
        <f t="shared" ca="1" si="132"/>
        <v>52040</v>
      </c>
      <c r="AU194" s="532">
        <f ca="1">IF(AU193=0,SUMIFS('Key Life Events'!$L$3:$L$28,'Key Life Events'!$H$3:$H$28,'Loan Amortization'!$AY$3,'Key Life Events'!$N$3:$N$28,'Loan Amortization'!AT194),AU193-AX193)</f>
        <v>0</v>
      </c>
      <c r="AV194" s="532">
        <f t="shared" ca="1" si="133"/>
        <v>0</v>
      </c>
      <c r="AW194" s="532">
        <f t="shared" ref="AW194:AW257" ca="1" si="146">(AU194*AZ$1)/12</f>
        <v>0</v>
      </c>
      <c r="AX194" s="532">
        <f t="shared" ca="1" si="107"/>
        <v>0</v>
      </c>
      <c r="BC194" s="536">
        <f t="shared" ca="1" si="108"/>
        <v>2042</v>
      </c>
      <c r="BF194" s="530">
        <v>193</v>
      </c>
      <c r="BG194" s="531">
        <f t="shared" ca="1" si="134"/>
        <v>52040</v>
      </c>
      <c r="BH194" s="532">
        <f ca="1">IF(BH193=0,SUMIFS('Key Life Events'!$L$3:$L$28,'Key Life Events'!$H$3:$H$28,'Loan Amortization'!$BL$3,'Key Life Events'!$N$3:$N$28,'Loan Amortization'!BG194),BH193-BK193)</f>
        <v>0</v>
      </c>
      <c r="BI194" s="532">
        <f t="shared" ca="1" si="135"/>
        <v>0</v>
      </c>
      <c r="BJ194" s="532">
        <f t="shared" ca="1" si="136"/>
        <v>0</v>
      </c>
      <c r="BK194" s="532">
        <f t="shared" ca="1" si="109"/>
        <v>0</v>
      </c>
      <c r="BP194" s="536">
        <f t="shared" ca="1" si="110"/>
        <v>2042</v>
      </c>
      <c r="BQ194" s="535">
        <f ca="1"/>
        <v>0</v>
      </c>
      <c r="BS194" s="530">
        <v>193</v>
      </c>
      <c r="BT194" s="531">
        <f t="shared" ca="1" si="137"/>
        <v>52040</v>
      </c>
      <c r="BU194" s="532">
        <f ca="1">IF(BU193=0,SUMIFS('Key Life Events'!$L$3:$L$28,'Key Life Events'!$H$3:$H$28,'Loan Amortization'!$BY$3,'Key Life Events'!$N$3:$N$28,'Loan Amortization'!BT194),BU193-BX193)</f>
        <v>0</v>
      </c>
      <c r="BV194" s="532">
        <f t="shared" ca="1" si="142"/>
        <v>0</v>
      </c>
      <c r="BW194" s="532">
        <f t="shared" ca="1" si="138"/>
        <v>0</v>
      </c>
      <c r="BX194" s="532">
        <f t="shared" ca="1" si="111"/>
        <v>0</v>
      </c>
      <c r="CC194" s="536">
        <f t="shared" ca="1" si="112"/>
        <v>2042</v>
      </c>
      <c r="CD194" s="535">
        <f ca="1"/>
        <v>0</v>
      </c>
      <c r="CF194" s="530">
        <v>193</v>
      </c>
      <c r="CG194" s="531">
        <f t="shared" ca="1" si="139"/>
        <v>52040</v>
      </c>
      <c r="CH194" s="532">
        <f ca="1">IF(CH193=0,SUMIFS('Key Life Events'!$L$3:$L$28,'Key Life Events'!$H$3:$H$28,'Loan Amortization'!$CL$3,'Key Life Events'!$N$3:$N$28,'Loan Amortization'!CG194),CH193-CK193)</f>
        <v>0</v>
      </c>
      <c r="CI194" s="532">
        <f t="shared" ca="1" si="140"/>
        <v>0</v>
      </c>
      <c r="CJ194" s="532">
        <f t="shared" ca="1" si="141"/>
        <v>0</v>
      </c>
      <c r="CK194" s="532">
        <f t="shared" ca="1" si="113"/>
        <v>0</v>
      </c>
      <c r="CP194" s="536">
        <f t="shared" ca="1" si="114"/>
        <v>2042</v>
      </c>
      <c r="CQ194" s="535">
        <f ca="1"/>
        <v>0</v>
      </c>
      <c r="CS194" s="100">
        <f t="shared" si="115"/>
        <v>193</v>
      </c>
      <c r="CT194" s="102">
        <f t="shared" ca="1" si="116"/>
        <v>0</v>
      </c>
      <c r="CU194" s="102">
        <f t="shared" ca="1" si="117"/>
        <v>0</v>
      </c>
      <c r="CV194" s="511">
        <f t="shared" ca="1" si="118"/>
        <v>2042</v>
      </c>
      <c r="CW194" s="1">
        <f t="shared" si="144"/>
        <v>2305</v>
      </c>
      <c r="CX194" s="99">
        <f t="shared" si="145"/>
        <v>0</v>
      </c>
    </row>
    <row r="195" spans="1:102" x14ac:dyDescent="0.3">
      <c r="A195" s="100">
        <v>194</v>
      </c>
      <c r="B195" s="131">
        <f t="shared" si="119"/>
        <v>5050</v>
      </c>
      <c r="C195" s="102">
        <f t="shared" si="120"/>
        <v>0</v>
      </c>
      <c r="D195" s="102">
        <f t="shared" si="121"/>
        <v>0</v>
      </c>
      <c r="E195" s="102">
        <f t="shared" ref="E195:E258" si="147">(C195*H$1)/12</f>
        <v>0</v>
      </c>
      <c r="F195" s="102">
        <f t="shared" si="122"/>
        <v>0</v>
      </c>
      <c r="L195" s="100">
        <v>194</v>
      </c>
      <c r="M195" s="131">
        <f t="shared" ca="1" si="123"/>
        <v>52070</v>
      </c>
      <c r="N195" s="102">
        <f t="shared" si="124"/>
        <v>0</v>
      </c>
      <c r="O195" s="102">
        <f t="shared" si="125"/>
        <v>0</v>
      </c>
      <c r="P195" s="102">
        <f t="shared" ref="P195:P258" si="148">(N195*S$1)/12</f>
        <v>0</v>
      </c>
      <c r="Q195" s="102">
        <f t="shared" ref="Q195:Q258" si="149">O195-P195</f>
        <v>0</v>
      </c>
      <c r="W195" s="100">
        <v>194</v>
      </c>
      <c r="X195" s="131">
        <f t="shared" ca="1" si="126"/>
        <v>52070</v>
      </c>
      <c r="Y195" s="102">
        <f t="shared" si="127"/>
        <v>0</v>
      </c>
      <c r="Z195" s="102">
        <f t="shared" si="128"/>
        <v>0</v>
      </c>
      <c r="AA195" s="102">
        <f t="shared" ref="AA195:AA258" si="150">(Y195*AD$1)/12</f>
        <v>0</v>
      </c>
      <c r="AB195" s="102">
        <f t="shared" ref="AB195:AB258" si="151">Z195-AA195</f>
        <v>0</v>
      </c>
      <c r="AH195" s="100">
        <v>194</v>
      </c>
      <c r="AI195" s="131">
        <f t="shared" ca="1" si="129"/>
        <v>52070</v>
      </c>
      <c r="AJ195" s="102">
        <f t="shared" si="130"/>
        <v>0</v>
      </c>
      <c r="AK195" s="102">
        <f t="shared" si="131"/>
        <v>0</v>
      </c>
      <c r="AL195" s="102">
        <f t="shared" si="143"/>
        <v>0</v>
      </c>
      <c r="AM195" s="102">
        <f t="shared" ref="AM195:AM258" si="152">AK195-AL195</f>
        <v>0</v>
      </c>
      <c r="AS195" s="530">
        <v>194</v>
      </c>
      <c r="AT195" s="531">
        <f t="shared" ca="1" si="132"/>
        <v>52070</v>
      </c>
      <c r="AU195" s="532">
        <f ca="1">IF(AU194=0,SUMIFS('Key Life Events'!$L$3:$L$28,'Key Life Events'!$H$3:$H$28,'Loan Amortization'!$AY$3,'Key Life Events'!$N$3:$N$28,'Loan Amortization'!AT195),AU194-AX194)</f>
        <v>0</v>
      </c>
      <c r="AV195" s="532">
        <f t="shared" ca="1" si="133"/>
        <v>0</v>
      </c>
      <c r="AW195" s="532">
        <f t="shared" ca="1" si="146"/>
        <v>0</v>
      </c>
      <c r="AX195" s="532">
        <f t="shared" ref="AX195:AX258" ca="1" si="153">AV195-AW195</f>
        <v>0</v>
      </c>
      <c r="BC195" s="536">
        <f t="shared" ref="BC195:BC258" ca="1" si="154">YEAR(AT195)</f>
        <v>2042</v>
      </c>
      <c r="BF195" s="530">
        <v>194</v>
      </c>
      <c r="BG195" s="531">
        <f t="shared" ca="1" si="134"/>
        <v>52070</v>
      </c>
      <c r="BH195" s="532">
        <f ca="1">IF(BH194=0,SUMIFS('Key Life Events'!$L$3:$L$28,'Key Life Events'!$H$3:$H$28,'Loan Amortization'!$BL$3,'Key Life Events'!$N$3:$N$28,'Loan Amortization'!BG195),BH194-BK194)</f>
        <v>0</v>
      </c>
      <c r="BI195" s="532">
        <f t="shared" ca="1" si="135"/>
        <v>0</v>
      </c>
      <c r="BJ195" s="532">
        <f t="shared" ca="1" si="136"/>
        <v>0</v>
      </c>
      <c r="BK195" s="532">
        <f t="shared" ref="BK195:BK258" ca="1" si="155">BI195-BJ195</f>
        <v>0</v>
      </c>
      <c r="BP195" s="536">
        <f t="shared" ref="BP195:BP258" ca="1" si="156">YEAR(BG195)</f>
        <v>2042</v>
      </c>
      <c r="BQ195" s="535">
        <f ca="1"/>
        <v>0</v>
      </c>
      <c r="BS195" s="530">
        <v>194</v>
      </c>
      <c r="BT195" s="531">
        <f t="shared" ca="1" si="137"/>
        <v>52070</v>
      </c>
      <c r="BU195" s="532">
        <f ca="1">IF(BU194=0,SUMIFS('Key Life Events'!$L$3:$L$28,'Key Life Events'!$H$3:$H$28,'Loan Amortization'!$BY$3,'Key Life Events'!$N$3:$N$28,'Loan Amortization'!BT195),BU194-BX194)</f>
        <v>0</v>
      </c>
      <c r="BV195" s="532">
        <f t="shared" ca="1" si="142"/>
        <v>0</v>
      </c>
      <c r="BW195" s="532">
        <f t="shared" ca="1" si="138"/>
        <v>0</v>
      </c>
      <c r="BX195" s="532">
        <f t="shared" ref="BX195:BX258" ca="1" si="157">BV195-BW195</f>
        <v>0</v>
      </c>
      <c r="CC195" s="536">
        <f t="shared" ref="CC195:CC258" ca="1" si="158">YEAR(BT195)</f>
        <v>2042</v>
      </c>
      <c r="CD195" s="535">
        <f ca="1"/>
        <v>0</v>
      </c>
      <c r="CF195" s="530">
        <v>194</v>
      </c>
      <c r="CG195" s="531">
        <f t="shared" ca="1" si="139"/>
        <v>52070</v>
      </c>
      <c r="CH195" s="532">
        <f ca="1">IF(CH194=0,SUMIFS('Key Life Events'!$L$3:$L$28,'Key Life Events'!$H$3:$H$28,'Loan Amortization'!$CL$3,'Key Life Events'!$N$3:$N$28,'Loan Amortization'!CG195),CH194-CK194)</f>
        <v>0</v>
      </c>
      <c r="CI195" s="532">
        <f t="shared" ca="1" si="140"/>
        <v>0</v>
      </c>
      <c r="CJ195" s="532">
        <f t="shared" ca="1" si="141"/>
        <v>0</v>
      </c>
      <c r="CK195" s="532">
        <f t="shared" ref="CK195:CK258" ca="1" si="159">CI195-CJ195</f>
        <v>0</v>
      </c>
      <c r="CP195" s="536">
        <f t="shared" ref="CP195:CP258" ca="1" si="160">YEAR(CG195)</f>
        <v>2042</v>
      </c>
      <c r="CQ195" s="535">
        <f ca="1"/>
        <v>0</v>
      </c>
      <c r="CS195" s="100">
        <f t="shared" ref="CS195:CS258" si="161">AH195</f>
        <v>194</v>
      </c>
      <c r="CT195" s="102">
        <f t="shared" ref="CT195:CT258" ca="1" si="162">C195+Y195+AJ195+N195+AU195+BH195+BU195+CH195</f>
        <v>0</v>
      </c>
      <c r="CU195" s="102">
        <f t="shared" ref="CU195:CU258" ca="1" si="163">D195+Z195+AK195+O195+AV195+BI195+BV195+CI195</f>
        <v>0</v>
      </c>
      <c r="CV195" s="511">
        <f t="shared" ref="CV195:CV258" ca="1" si="164">MAX(TEXT(B195,"yyyy"),TEXT(M195,"yyyy"),TEXT(X195,"yyyy"),TEXT(AT195,"yyyy"),TEXT(AI195,"yyyy"),TEXT(BG195,"yyyy"),TEXT(BT195,"yyyy"),TEXT(CG195,"yyyy"))</f>
        <v>2042</v>
      </c>
      <c r="CW195" s="1">
        <f t="shared" si="144"/>
        <v>2317</v>
      </c>
      <c r="CX195" s="99">
        <f t="shared" si="145"/>
        <v>0</v>
      </c>
    </row>
    <row r="196" spans="1:102" x14ac:dyDescent="0.3">
      <c r="A196" s="100">
        <v>195</v>
      </c>
      <c r="B196" s="131">
        <f t="shared" ref="B196:B259" si="165">IF(C195&lt;D195,,EDATE(B195,1))</f>
        <v>5081</v>
      </c>
      <c r="C196" s="102">
        <f t="shared" ref="C196:C259" si="166">IF(C195&lt;D195,0,C195-F195)</f>
        <v>0</v>
      </c>
      <c r="D196" s="102">
        <f t="shared" ref="D196:D259" si="167">IF(C196&lt;=D195,C196+E196,D$2)</f>
        <v>0</v>
      </c>
      <c r="E196" s="102">
        <f t="shared" si="147"/>
        <v>0</v>
      </c>
      <c r="F196" s="102">
        <f t="shared" ref="F196:F259" si="168">D196-E196</f>
        <v>0</v>
      </c>
      <c r="L196" s="100">
        <v>195</v>
      </c>
      <c r="M196" s="131">
        <f t="shared" ref="M196:M259" ca="1" si="169">IF(N195&lt;O195,,EDATE(M195,1))</f>
        <v>52101</v>
      </c>
      <c r="N196" s="102">
        <f t="shared" ref="N196:N259" si="170">IF(N195&lt;O195,0,N195-Q195)</f>
        <v>0</v>
      </c>
      <c r="O196" s="102">
        <f t="shared" ref="O196:O259" si="171">IF(N196&lt;=O195,N196+P196,O$2)</f>
        <v>0</v>
      </c>
      <c r="P196" s="102">
        <f t="shared" si="148"/>
        <v>0</v>
      </c>
      <c r="Q196" s="102">
        <f t="shared" si="149"/>
        <v>0</v>
      </c>
      <c r="W196" s="100">
        <v>195</v>
      </c>
      <c r="X196" s="131">
        <f t="shared" ref="X196:X259" ca="1" si="172">IF(Y195&lt;Z195,,EDATE(X195,1))</f>
        <v>52101</v>
      </c>
      <c r="Y196" s="102">
        <f t="shared" ref="Y196:Y259" si="173">IF(Y195&lt;Z195,0,Y195-AB195)</f>
        <v>0</v>
      </c>
      <c r="Z196" s="102">
        <f t="shared" ref="Z196:Z259" si="174">IF(Y196&lt;=Z195,Y196+AA196,Z$2)</f>
        <v>0</v>
      </c>
      <c r="AA196" s="102">
        <f t="shared" si="150"/>
        <v>0</v>
      </c>
      <c r="AB196" s="102">
        <f t="shared" si="151"/>
        <v>0</v>
      </c>
      <c r="AH196" s="100">
        <v>195</v>
      </c>
      <c r="AI196" s="131">
        <f t="shared" ref="AI196:AI259" ca="1" si="175">IF(AJ195&lt;AK195,,EDATE(AI195,1))</f>
        <v>52101</v>
      </c>
      <c r="AJ196" s="102">
        <f t="shared" ref="AJ196:AJ259" si="176">IF(AJ195&lt;AK195,0,AJ195-AM195)</f>
        <v>0</v>
      </c>
      <c r="AK196" s="102">
        <f t="shared" ref="AK196:AK259" si="177">IF(AJ196&lt;=AK195,AJ196+AL196,AK$2)</f>
        <v>0</v>
      </c>
      <c r="AL196" s="102">
        <f t="shared" si="143"/>
        <v>0</v>
      </c>
      <c r="AM196" s="102">
        <f t="shared" si="152"/>
        <v>0</v>
      </c>
      <c r="AS196" s="530">
        <v>195</v>
      </c>
      <c r="AT196" s="531">
        <f t="shared" ref="AT196:AT259" ca="1" si="178">IF(AU195&lt;AV195,,EDATE(AT195,1))</f>
        <v>52101</v>
      </c>
      <c r="AU196" s="532">
        <f ca="1">IF(AU195=0,SUMIFS('Key Life Events'!$L$3:$L$28,'Key Life Events'!$H$3:$H$28,'Loan Amortization'!$AY$3,'Key Life Events'!$N$3:$N$28,'Loan Amortization'!AT196),AU195-AX195)</f>
        <v>0</v>
      </c>
      <c r="AV196" s="532">
        <f t="shared" ref="AV196:AV259" ca="1" si="179">IF(AND(AU195=0,AU196&gt;0),PMT($AZ$1/12,$BB$1*12,-AU196,0,0),IF(AU196&lt;=AV195,AU196+AW196,AV195))</f>
        <v>0</v>
      </c>
      <c r="AW196" s="532">
        <f t="shared" ca="1" si="146"/>
        <v>0</v>
      </c>
      <c r="AX196" s="532">
        <f t="shared" ca="1" si="153"/>
        <v>0</v>
      </c>
      <c r="BC196" s="536">
        <f t="shared" ca="1" si="154"/>
        <v>2042</v>
      </c>
      <c r="BF196" s="530">
        <v>195</v>
      </c>
      <c r="BG196" s="531">
        <f t="shared" ref="BG196:BG259" ca="1" si="180">IF(BH195&lt;BI195,,EDATE(BG195,1))</f>
        <v>52101</v>
      </c>
      <c r="BH196" s="532">
        <f ca="1">IF(BH195=0,SUMIFS('Key Life Events'!$L$3:$L$28,'Key Life Events'!$H$3:$H$28,'Loan Amortization'!$BL$3,'Key Life Events'!$N$3:$N$28,'Loan Amortization'!BG196),BH195-BK195)</f>
        <v>0</v>
      </c>
      <c r="BI196" s="532">
        <f t="shared" ref="BI196:BI259" ca="1" si="181">IF(AND(BH195=0,BH196&gt;0),PMT(BM$1/12,BO$1*12,-BH196,0,0),IF(BH196&lt;=BI195,BH196+BJ196,BI195))</f>
        <v>0</v>
      </c>
      <c r="BJ196" s="532">
        <f t="shared" ref="BJ196:BJ259" ca="1" si="182">(BH196*BM$1)/12</f>
        <v>0</v>
      </c>
      <c r="BK196" s="532">
        <f t="shared" ca="1" si="155"/>
        <v>0</v>
      </c>
      <c r="BP196" s="536">
        <f t="shared" ca="1" si="156"/>
        <v>2042</v>
      </c>
      <c r="BQ196" s="535">
        <f ca="1"/>
        <v>0</v>
      </c>
      <c r="BS196" s="530">
        <v>195</v>
      </c>
      <c r="BT196" s="531">
        <f t="shared" ref="BT196:BT259" ca="1" si="183">IF(BU195&lt;BV195,,EDATE(BT195,1))</f>
        <v>52101</v>
      </c>
      <c r="BU196" s="532">
        <f ca="1">IF(BU195=0,SUMIFS('Key Life Events'!$L$3:$L$28,'Key Life Events'!$H$3:$H$28,'Loan Amortization'!$BY$3,'Key Life Events'!$N$3:$N$28,'Loan Amortization'!BT196),BU195-BX195)</f>
        <v>0</v>
      </c>
      <c r="BV196" s="532">
        <f t="shared" ca="1" si="142"/>
        <v>0</v>
      </c>
      <c r="BW196" s="532">
        <f t="shared" ref="BW196:BW259" ca="1" si="184">(BU196*BZ$1)/12</f>
        <v>0</v>
      </c>
      <c r="BX196" s="532">
        <f t="shared" ca="1" si="157"/>
        <v>0</v>
      </c>
      <c r="CC196" s="536">
        <f t="shared" ca="1" si="158"/>
        <v>2042</v>
      </c>
      <c r="CD196" s="535">
        <f ca="1"/>
        <v>0</v>
      </c>
      <c r="CF196" s="530">
        <v>195</v>
      </c>
      <c r="CG196" s="531">
        <f t="shared" ref="CG196:CG259" ca="1" si="185">IF(CH195&lt;CI195,,EDATE(CG195,1))</f>
        <v>52101</v>
      </c>
      <c r="CH196" s="532">
        <f ca="1">IF(CH195=0,SUMIFS('Key Life Events'!$L$3:$L$28,'Key Life Events'!$H$3:$H$28,'Loan Amortization'!$CL$3,'Key Life Events'!$N$3:$N$28,'Loan Amortization'!CG196),CH195-CK195)</f>
        <v>0</v>
      </c>
      <c r="CI196" s="532">
        <f t="shared" ref="CI196:CI259" ca="1" si="186">IF(AND(CH195=0,CH196&gt;0),PMT(CM$1/12,CO$1*12,-CH196,0,0),IF(CH196&lt;=CI195,CH196+CJ196,CI195))</f>
        <v>0</v>
      </c>
      <c r="CJ196" s="532">
        <f t="shared" ref="CJ196:CJ259" ca="1" si="187">(CH196*CM$1)/12</f>
        <v>0</v>
      </c>
      <c r="CK196" s="532">
        <f t="shared" ca="1" si="159"/>
        <v>0</v>
      </c>
      <c r="CP196" s="536">
        <f t="shared" ca="1" si="160"/>
        <v>2042</v>
      </c>
      <c r="CQ196" s="535">
        <f ca="1"/>
        <v>0</v>
      </c>
      <c r="CS196" s="100">
        <f t="shared" si="161"/>
        <v>195</v>
      </c>
      <c r="CT196" s="102">
        <f t="shared" ca="1" si="162"/>
        <v>0</v>
      </c>
      <c r="CU196" s="102">
        <f t="shared" ca="1" si="163"/>
        <v>0</v>
      </c>
      <c r="CV196" s="511">
        <f t="shared" ca="1" si="164"/>
        <v>2042</v>
      </c>
      <c r="CW196" s="1">
        <f t="shared" si="144"/>
        <v>2329</v>
      </c>
      <c r="CX196" s="99">
        <f t="shared" si="145"/>
        <v>0</v>
      </c>
    </row>
    <row r="197" spans="1:102" x14ac:dyDescent="0.3">
      <c r="A197" s="100">
        <v>196</v>
      </c>
      <c r="B197" s="131">
        <f t="shared" si="165"/>
        <v>5111</v>
      </c>
      <c r="C197" s="102">
        <f t="shared" si="166"/>
        <v>0</v>
      </c>
      <c r="D197" s="102">
        <f t="shared" si="167"/>
        <v>0</v>
      </c>
      <c r="E197" s="102">
        <f t="shared" si="147"/>
        <v>0</v>
      </c>
      <c r="F197" s="102">
        <f t="shared" si="168"/>
        <v>0</v>
      </c>
      <c r="L197" s="100">
        <v>196</v>
      </c>
      <c r="M197" s="131">
        <f t="shared" ca="1" si="169"/>
        <v>52132</v>
      </c>
      <c r="N197" s="102">
        <f t="shared" si="170"/>
        <v>0</v>
      </c>
      <c r="O197" s="102">
        <f t="shared" si="171"/>
        <v>0</v>
      </c>
      <c r="P197" s="102">
        <f t="shared" si="148"/>
        <v>0</v>
      </c>
      <c r="Q197" s="102">
        <f t="shared" si="149"/>
        <v>0</v>
      </c>
      <c r="W197" s="100">
        <v>196</v>
      </c>
      <c r="X197" s="131">
        <f t="shared" ca="1" si="172"/>
        <v>52132</v>
      </c>
      <c r="Y197" s="102">
        <f t="shared" si="173"/>
        <v>0</v>
      </c>
      <c r="Z197" s="102">
        <f t="shared" si="174"/>
        <v>0</v>
      </c>
      <c r="AA197" s="102">
        <f t="shared" si="150"/>
        <v>0</v>
      </c>
      <c r="AB197" s="102">
        <f t="shared" si="151"/>
        <v>0</v>
      </c>
      <c r="AH197" s="100">
        <v>196</v>
      </c>
      <c r="AI197" s="131">
        <f t="shared" ca="1" si="175"/>
        <v>52132</v>
      </c>
      <c r="AJ197" s="102">
        <f t="shared" si="176"/>
        <v>0</v>
      </c>
      <c r="AK197" s="102">
        <f t="shared" si="177"/>
        <v>0</v>
      </c>
      <c r="AL197" s="102">
        <f t="shared" si="143"/>
        <v>0</v>
      </c>
      <c r="AM197" s="102">
        <f t="shared" si="152"/>
        <v>0</v>
      </c>
      <c r="AS197" s="530">
        <v>196</v>
      </c>
      <c r="AT197" s="531">
        <f t="shared" ca="1" si="178"/>
        <v>52132</v>
      </c>
      <c r="AU197" s="532">
        <f ca="1">IF(AU196=0,SUMIFS('Key Life Events'!$L$3:$L$28,'Key Life Events'!$H$3:$H$28,'Loan Amortization'!$AY$3,'Key Life Events'!$N$3:$N$28,'Loan Amortization'!AT197),AU196-AX196)</f>
        <v>0</v>
      </c>
      <c r="AV197" s="532">
        <f t="shared" ca="1" si="179"/>
        <v>0</v>
      </c>
      <c r="AW197" s="532">
        <f t="shared" ca="1" si="146"/>
        <v>0</v>
      </c>
      <c r="AX197" s="532">
        <f t="shared" ca="1" si="153"/>
        <v>0</v>
      </c>
      <c r="BC197" s="536">
        <f t="shared" ca="1" si="154"/>
        <v>2042</v>
      </c>
      <c r="BF197" s="530">
        <v>196</v>
      </c>
      <c r="BG197" s="531">
        <f t="shared" ca="1" si="180"/>
        <v>52132</v>
      </c>
      <c r="BH197" s="532">
        <f ca="1">IF(BH196=0,SUMIFS('Key Life Events'!$L$3:$L$28,'Key Life Events'!$H$3:$H$28,'Loan Amortization'!$BL$3,'Key Life Events'!$N$3:$N$28,'Loan Amortization'!BG197),BH196-BK196)</f>
        <v>0</v>
      </c>
      <c r="BI197" s="532">
        <f t="shared" ca="1" si="181"/>
        <v>0</v>
      </c>
      <c r="BJ197" s="532">
        <f t="shared" ca="1" si="182"/>
        <v>0</v>
      </c>
      <c r="BK197" s="532">
        <f t="shared" ca="1" si="155"/>
        <v>0</v>
      </c>
      <c r="BP197" s="536">
        <f t="shared" ca="1" si="156"/>
        <v>2042</v>
      </c>
      <c r="BQ197" s="535">
        <f ca="1"/>
        <v>0</v>
      </c>
      <c r="BS197" s="530">
        <v>196</v>
      </c>
      <c r="BT197" s="531">
        <f t="shared" ca="1" si="183"/>
        <v>52132</v>
      </c>
      <c r="BU197" s="532">
        <f ca="1">IF(BU196=0,SUMIFS('Key Life Events'!$L$3:$L$28,'Key Life Events'!$H$3:$H$28,'Loan Amortization'!$BY$3,'Key Life Events'!$N$3:$N$28,'Loan Amortization'!BT197),BU196-BX196)</f>
        <v>0</v>
      </c>
      <c r="BV197" s="532">
        <f t="shared" ca="1" si="142"/>
        <v>0</v>
      </c>
      <c r="BW197" s="532">
        <f t="shared" ca="1" si="184"/>
        <v>0</v>
      </c>
      <c r="BX197" s="532">
        <f t="shared" ca="1" si="157"/>
        <v>0</v>
      </c>
      <c r="CC197" s="536">
        <f t="shared" ca="1" si="158"/>
        <v>2042</v>
      </c>
      <c r="CD197" s="535">
        <f ca="1"/>
        <v>0</v>
      </c>
      <c r="CF197" s="530">
        <v>196</v>
      </c>
      <c r="CG197" s="531">
        <f t="shared" ca="1" si="185"/>
        <v>52132</v>
      </c>
      <c r="CH197" s="532">
        <f ca="1">IF(CH196=0,SUMIFS('Key Life Events'!$L$3:$L$28,'Key Life Events'!$H$3:$H$28,'Loan Amortization'!$CL$3,'Key Life Events'!$N$3:$N$28,'Loan Amortization'!CG197),CH196-CK196)</f>
        <v>0</v>
      </c>
      <c r="CI197" s="532">
        <f t="shared" ca="1" si="186"/>
        <v>0</v>
      </c>
      <c r="CJ197" s="532">
        <f t="shared" ca="1" si="187"/>
        <v>0</v>
      </c>
      <c r="CK197" s="532">
        <f t="shared" ca="1" si="159"/>
        <v>0</v>
      </c>
      <c r="CP197" s="536">
        <f t="shared" ca="1" si="160"/>
        <v>2042</v>
      </c>
      <c r="CQ197" s="535">
        <f ca="1"/>
        <v>0</v>
      </c>
      <c r="CS197" s="100">
        <f t="shared" si="161"/>
        <v>196</v>
      </c>
      <c r="CT197" s="102">
        <f t="shared" ca="1" si="162"/>
        <v>0</v>
      </c>
      <c r="CU197" s="102">
        <f t="shared" ca="1" si="163"/>
        <v>0</v>
      </c>
      <c r="CV197" s="511">
        <f t="shared" ca="1" si="164"/>
        <v>2042</v>
      </c>
      <c r="CW197" s="1">
        <f t="shared" si="144"/>
        <v>2341</v>
      </c>
      <c r="CX197" s="99">
        <f t="shared" si="145"/>
        <v>0</v>
      </c>
    </row>
    <row r="198" spans="1:102" x14ac:dyDescent="0.3">
      <c r="A198" s="100">
        <v>197</v>
      </c>
      <c r="B198" s="131">
        <f t="shared" si="165"/>
        <v>5142</v>
      </c>
      <c r="C198" s="102">
        <f t="shared" si="166"/>
        <v>0</v>
      </c>
      <c r="D198" s="102">
        <f t="shared" si="167"/>
        <v>0</v>
      </c>
      <c r="E198" s="102">
        <f t="shared" si="147"/>
        <v>0</v>
      </c>
      <c r="F198" s="102">
        <f t="shared" si="168"/>
        <v>0</v>
      </c>
      <c r="L198" s="100">
        <v>197</v>
      </c>
      <c r="M198" s="131">
        <f t="shared" ca="1" si="169"/>
        <v>52162</v>
      </c>
      <c r="N198" s="102">
        <f t="shared" si="170"/>
        <v>0</v>
      </c>
      <c r="O198" s="102">
        <f t="shared" si="171"/>
        <v>0</v>
      </c>
      <c r="P198" s="102">
        <f t="shared" si="148"/>
        <v>0</v>
      </c>
      <c r="Q198" s="102">
        <f t="shared" si="149"/>
        <v>0</v>
      </c>
      <c r="W198" s="100">
        <v>197</v>
      </c>
      <c r="X198" s="131">
        <f t="shared" ca="1" si="172"/>
        <v>52162</v>
      </c>
      <c r="Y198" s="102">
        <f t="shared" si="173"/>
        <v>0</v>
      </c>
      <c r="Z198" s="102">
        <f t="shared" si="174"/>
        <v>0</v>
      </c>
      <c r="AA198" s="102">
        <f t="shared" si="150"/>
        <v>0</v>
      </c>
      <c r="AB198" s="102">
        <f t="shared" si="151"/>
        <v>0</v>
      </c>
      <c r="AH198" s="100">
        <v>197</v>
      </c>
      <c r="AI198" s="131">
        <f t="shared" ca="1" si="175"/>
        <v>52162</v>
      </c>
      <c r="AJ198" s="102">
        <f t="shared" si="176"/>
        <v>0</v>
      </c>
      <c r="AK198" s="102">
        <f t="shared" si="177"/>
        <v>0</v>
      </c>
      <c r="AL198" s="102">
        <f t="shared" si="143"/>
        <v>0</v>
      </c>
      <c r="AM198" s="102">
        <f t="shared" si="152"/>
        <v>0</v>
      </c>
      <c r="AS198" s="530">
        <v>197</v>
      </c>
      <c r="AT198" s="531">
        <f t="shared" ca="1" si="178"/>
        <v>52162</v>
      </c>
      <c r="AU198" s="532">
        <f ca="1">IF(AU197=0,SUMIFS('Key Life Events'!$L$3:$L$28,'Key Life Events'!$H$3:$H$28,'Loan Amortization'!$AY$3,'Key Life Events'!$N$3:$N$28,'Loan Amortization'!AT198),AU197-AX197)</f>
        <v>0</v>
      </c>
      <c r="AV198" s="532">
        <f t="shared" ca="1" si="179"/>
        <v>0</v>
      </c>
      <c r="AW198" s="532">
        <f t="shared" ca="1" si="146"/>
        <v>0</v>
      </c>
      <c r="AX198" s="532">
        <f t="shared" ca="1" si="153"/>
        <v>0</v>
      </c>
      <c r="BC198" s="536">
        <f t="shared" ca="1" si="154"/>
        <v>2042</v>
      </c>
      <c r="BF198" s="530">
        <v>197</v>
      </c>
      <c r="BG198" s="531">
        <f t="shared" ca="1" si="180"/>
        <v>52162</v>
      </c>
      <c r="BH198" s="532">
        <f ca="1">IF(BH197=0,SUMIFS('Key Life Events'!$L$3:$L$28,'Key Life Events'!$H$3:$H$28,'Loan Amortization'!$BL$3,'Key Life Events'!$N$3:$N$28,'Loan Amortization'!BG198),BH197-BK197)</f>
        <v>0</v>
      </c>
      <c r="BI198" s="532">
        <f t="shared" ca="1" si="181"/>
        <v>0</v>
      </c>
      <c r="BJ198" s="532">
        <f t="shared" ca="1" si="182"/>
        <v>0</v>
      </c>
      <c r="BK198" s="532">
        <f t="shared" ca="1" si="155"/>
        <v>0</v>
      </c>
      <c r="BP198" s="536">
        <f t="shared" ca="1" si="156"/>
        <v>2042</v>
      </c>
      <c r="BQ198" s="535">
        <f ca="1"/>
        <v>0</v>
      </c>
      <c r="BS198" s="530">
        <v>197</v>
      </c>
      <c r="BT198" s="531">
        <f t="shared" ca="1" si="183"/>
        <v>52162</v>
      </c>
      <c r="BU198" s="532">
        <f ca="1">IF(BU197=0,SUMIFS('Key Life Events'!$L$3:$L$28,'Key Life Events'!$H$3:$H$28,'Loan Amortization'!$BY$3,'Key Life Events'!$N$3:$N$28,'Loan Amortization'!BT198),BU197-BX197)</f>
        <v>0</v>
      </c>
      <c r="BV198" s="532">
        <f t="shared" ref="BV198:BV261" ca="1" si="188">IF(AND(BU197=0,BU198&gt;0),PMT(BZ$1/12,CB$1*12,-BU198,0,0),IF(BU198&lt;=BV197,BU198+BW198,BV197))</f>
        <v>0</v>
      </c>
      <c r="BW198" s="532">
        <f t="shared" ca="1" si="184"/>
        <v>0</v>
      </c>
      <c r="BX198" s="532">
        <f t="shared" ca="1" si="157"/>
        <v>0</v>
      </c>
      <c r="CC198" s="536">
        <f t="shared" ca="1" si="158"/>
        <v>2042</v>
      </c>
      <c r="CD198" s="535">
        <f ca="1"/>
        <v>0</v>
      </c>
      <c r="CF198" s="530">
        <v>197</v>
      </c>
      <c r="CG198" s="531">
        <f t="shared" ca="1" si="185"/>
        <v>52162</v>
      </c>
      <c r="CH198" s="532">
        <f ca="1">IF(CH197=0,SUMIFS('Key Life Events'!$L$3:$L$28,'Key Life Events'!$H$3:$H$28,'Loan Amortization'!$CL$3,'Key Life Events'!$N$3:$N$28,'Loan Amortization'!CG198),CH197-CK197)</f>
        <v>0</v>
      </c>
      <c r="CI198" s="532">
        <f t="shared" ca="1" si="186"/>
        <v>0</v>
      </c>
      <c r="CJ198" s="532">
        <f t="shared" ca="1" si="187"/>
        <v>0</v>
      </c>
      <c r="CK198" s="532">
        <f t="shared" ca="1" si="159"/>
        <v>0</v>
      </c>
      <c r="CP198" s="536">
        <f t="shared" ca="1" si="160"/>
        <v>2042</v>
      </c>
      <c r="CQ198" s="535">
        <f ca="1"/>
        <v>0</v>
      </c>
      <c r="CS198" s="100">
        <f t="shared" si="161"/>
        <v>197</v>
      </c>
      <c r="CT198" s="102">
        <f t="shared" ca="1" si="162"/>
        <v>0</v>
      </c>
      <c r="CU198" s="102">
        <f t="shared" ca="1" si="163"/>
        <v>0</v>
      </c>
      <c r="CV198" s="511">
        <f t="shared" ca="1" si="164"/>
        <v>2042</v>
      </c>
      <c r="CW198" s="1">
        <f t="shared" si="144"/>
        <v>2353</v>
      </c>
      <c r="CX198" s="99">
        <f t="shared" si="145"/>
        <v>0</v>
      </c>
    </row>
    <row r="199" spans="1:102" x14ac:dyDescent="0.3">
      <c r="A199" s="100">
        <v>198</v>
      </c>
      <c r="B199" s="131">
        <f t="shared" si="165"/>
        <v>5173</v>
      </c>
      <c r="C199" s="102">
        <f t="shared" si="166"/>
        <v>0</v>
      </c>
      <c r="D199" s="102">
        <f t="shared" si="167"/>
        <v>0</v>
      </c>
      <c r="E199" s="102">
        <f t="shared" si="147"/>
        <v>0</v>
      </c>
      <c r="F199" s="102">
        <f t="shared" si="168"/>
        <v>0</v>
      </c>
      <c r="L199" s="100">
        <v>198</v>
      </c>
      <c r="M199" s="131">
        <f t="shared" ca="1" si="169"/>
        <v>52193</v>
      </c>
      <c r="N199" s="102">
        <f t="shared" si="170"/>
        <v>0</v>
      </c>
      <c r="O199" s="102">
        <f t="shared" si="171"/>
        <v>0</v>
      </c>
      <c r="P199" s="102">
        <f t="shared" si="148"/>
        <v>0</v>
      </c>
      <c r="Q199" s="102">
        <f t="shared" si="149"/>
        <v>0</v>
      </c>
      <c r="W199" s="100">
        <v>198</v>
      </c>
      <c r="X199" s="131">
        <f t="shared" ca="1" si="172"/>
        <v>52193</v>
      </c>
      <c r="Y199" s="102">
        <f t="shared" si="173"/>
        <v>0</v>
      </c>
      <c r="Z199" s="102">
        <f t="shared" si="174"/>
        <v>0</v>
      </c>
      <c r="AA199" s="102">
        <f t="shared" si="150"/>
        <v>0</v>
      </c>
      <c r="AB199" s="102">
        <f t="shared" si="151"/>
        <v>0</v>
      </c>
      <c r="AH199" s="100">
        <v>198</v>
      </c>
      <c r="AI199" s="131">
        <f t="shared" ca="1" si="175"/>
        <v>52193</v>
      </c>
      <c r="AJ199" s="102">
        <f t="shared" si="176"/>
        <v>0</v>
      </c>
      <c r="AK199" s="102">
        <f t="shared" si="177"/>
        <v>0</v>
      </c>
      <c r="AL199" s="102">
        <f t="shared" si="143"/>
        <v>0</v>
      </c>
      <c r="AM199" s="102">
        <f t="shared" si="152"/>
        <v>0</v>
      </c>
      <c r="AS199" s="530">
        <v>198</v>
      </c>
      <c r="AT199" s="531">
        <f t="shared" ca="1" si="178"/>
        <v>52193</v>
      </c>
      <c r="AU199" s="532">
        <f ca="1">IF(AU198=0,SUMIFS('Key Life Events'!$L$3:$L$28,'Key Life Events'!$H$3:$H$28,'Loan Amortization'!$AY$3,'Key Life Events'!$N$3:$N$28,'Loan Amortization'!AT199),AU198-AX198)</f>
        <v>0</v>
      </c>
      <c r="AV199" s="532">
        <f t="shared" ca="1" si="179"/>
        <v>0</v>
      </c>
      <c r="AW199" s="532">
        <f t="shared" ca="1" si="146"/>
        <v>0</v>
      </c>
      <c r="AX199" s="532">
        <f t="shared" ca="1" si="153"/>
        <v>0</v>
      </c>
      <c r="BC199" s="536">
        <f t="shared" ca="1" si="154"/>
        <v>2042</v>
      </c>
      <c r="BF199" s="530">
        <v>198</v>
      </c>
      <c r="BG199" s="531">
        <f t="shared" ca="1" si="180"/>
        <v>52193</v>
      </c>
      <c r="BH199" s="532">
        <f ca="1">IF(BH198=0,SUMIFS('Key Life Events'!$L$3:$L$28,'Key Life Events'!$H$3:$H$28,'Loan Amortization'!$BL$3,'Key Life Events'!$N$3:$N$28,'Loan Amortization'!BG199),BH198-BK198)</f>
        <v>0</v>
      </c>
      <c r="BI199" s="532">
        <f t="shared" ca="1" si="181"/>
        <v>0</v>
      </c>
      <c r="BJ199" s="532">
        <f t="shared" ca="1" si="182"/>
        <v>0</v>
      </c>
      <c r="BK199" s="532">
        <f t="shared" ca="1" si="155"/>
        <v>0</v>
      </c>
      <c r="BP199" s="536">
        <f t="shared" ca="1" si="156"/>
        <v>2042</v>
      </c>
      <c r="BQ199" s="535">
        <f ca="1"/>
        <v>0</v>
      </c>
      <c r="BS199" s="530">
        <v>198</v>
      </c>
      <c r="BT199" s="531">
        <f t="shared" ca="1" si="183"/>
        <v>52193</v>
      </c>
      <c r="BU199" s="532">
        <f ca="1">IF(BU198=0,SUMIFS('Key Life Events'!$L$3:$L$28,'Key Life Events'!$H$3:$H$28,'Loan Amortization'!$BY$3,'Key Life Events'!$N$3:$N$28,'Loan Amortization'!BT199),BU198-BX198)</f>
        <v>0</v>
      </c>
      <c r="BV199" s="532">
        <f t="shared" ca="1" si="188"/>
        <v>0</v>
      </c>
      <c r="BW199" s="532">
        <f t="shared" ca="1" si="184"/>
        <v>0</v>
      </c>
      <c r="BX199" s="532">
        <f t="shared" ca="1" si="157"/>
        <v>0</v>
      </c>
      <c r="CC199" s="536">
        <f t="shared" ca="1" si="158"/>
        <v>2042</v>
      </c>
      <c r="CD199" s="535">
        <f ca="1"/>
        <v>0</v>
      </c>
      <c r="CF199" s="530">
        <v>198</v>
      </c>
      <c r="CG199" s="531">
        <f t="shared" ca="1" si="185"/>
        <v>52193</v>
      </c>
      <c r="CH199" s="532">
        <f ca="1">IF(CH198=0,SUMIFS('Key Life Events'!$L$3:$L$28,'Key Life Events'!$H$3:$H$28,'Loan Amortization'!$CL$3,'Key Life Events'!$N$3:$N$28,'Loan Amortization'!CG199),CH198-CK198)</f>
        <v>0</v>
      </c>
      <c r="CI199" s="532">
        <f t="shared" ca="1" si="186"/>
        <v>0</v>
      </c>
      <c r="CJ199" s="532">
        <f t="shared" ca="1" si="187"/>
        <v>0</v>
      </c>
      <c r="CK199" s="532">
        <f t="shared" ca="1" si="159"/>
        <v>0</v>
      </c>
      <c r="CP199" s="536">
        <f t="shared" ca="1" si="160"/>
        <v>2042</v>
      </c>
      <c r="CQ199" s="535">
        <f ca="1"/>
        <v>0</v>
      </c>
      <c r="CS199" s="100">
        <f t="shared" si="161"/>
        <v>198</v>
      </c>
      <c r="CT199" s="102">
        <f t="shared" ca="1" si="162"/>
        <v>0</v>
      </c>
      <c r="CU199" s="102">
        <f t="shared" ca="1" si="163"/>
        <v>0</v>
      </c>
      <c r="CV199" s="511">
        <f t="shared" ca="1" si="164"/>
        <v>2042</v>
      </c>
      <c r="CW199" s="1">
        <f t="shared" si="144"/>
        <v>2365</v>
      </c>
      <c r="CX199" s="99">
        <f t="shared" si="145"/>
        <v>0</v>
      </c>
    </row>
    <row r="200" spans="1:102" x14ac:dyDescent="0.3">
      <c r="A200" s="100">
        <v>199</v>
      </c>
      <c r="B200" s="131">
        <f t="shared" si="165"/>
        <v>5201</v>
      </c>
      <c r="C200" s="102">
        <f t="shared" si="166"/>
        <v>0</v>
      </c>
      <c r="D200" s="102">
        <f t="shared" si="167"/>
        <v>0</v>
      </c>
      <c r="E200" s="102">
        <f t="shared" si="147"/>
        <v>0</v>
      </c>
      <c r="F200" s="102">
        <f t="shared" si="168"/>
        <v>0</v>
      </c>
      <c r="L200" s="100">
        <v>199</v>
      </c>
      <c r="M200" s="131">
        <f t="shared" ca="1" si="169"/>
        <v>52223</v>
      </c>
      <c r="N200" s="102">
        <f t="shared" si="170"/>
        <v>0</v>
      </c>
      <c r="O200" s="102">
        <f t="shared" si="171"/>
        <v>0</v>
      </c>
      <c r="P200" s="102">
        <f t="shared" si="148"/>
        <v>0</v>
      </c>
      <c r="Q200" s="102">
        <f t="shared" si="149"/>
        <v>0</v>
      </c>
      <c r="W200" s="100">
        <v>199</v>
      </c>
      <c r="X200" s="131">
        <f t="shared" ca="1" si="172"/>
        <v>52223</v>
      </c>
      <c r="Y200" s="102">
        <f t="shared" si="173"/>
        <v>0</v>
      </c>
      <c r="Z200" s="102">
        <f t="shared" si="174"/>
        <v>0</v>
      </c>
      <c r="AA200" s="102">
        <f t="shared" si="150"/>
        <v>0</v>
      </c>
      <c r="AB200" s="102">
        <f t="shared" si="151"/>
        <v>0</v>
      </c>
      <c r="AH200" s="100">
        <v>199</v>
      </c>
      <c r="AI200" s="131">
        <f t="shared" ca="1" si="175"/>
        <v>52223</v>
      </c>
      <c r="AJ200" s="102">
        <f t="shared" si="176"/>
        <v>0</v>
      </c>
      <c r="AK200" s="102">
        <f t="shared" si="177"/>
        <v>0</v>
      </c>
      <c r="AL200" s="102">
        <f t="shared" ref="AL200:AL263" si="189">(AJ200*AO$1)/12</f>
        <v>0</v>
      </c>
      <c r="AM200" s="102">
        <f t="shared" si="152"/>
        <v>0</v>
      </c>
      <c r="AS200" s="530">
        <v>199</v>
      </c>
      <c r="AT200" s="531">
        <f t="shared" ca="1" si="178"/>
        <v>52223</v>
      </c>
      <c r="AU200" s="532">
        <f ca="1">IF(AU199=0,SUMIFS('Key Life Events'!$L$3:$L$28,'Key Life Events'!$H$3:$H$28,'Loan Amortization'!$AY$3,'Key Life Events'!$N$3:$N$28,'Loan Amortization'!AT200),AU199-AX199)</f>
        <v>0</v>
      </c>
      <c r="AV200" s="532">
        <f t="shared" ca="1" si="179"/>
        <v>0</v>
      </c>
      <c r="AW200" s="532">
        <f t="shared" ca="1" si="146"/>
        <v>0</v>
      </c>
      <c r="AX200" s="532">
        <f t="shared" ca="1" si="153"/>
        <v>0</v>
      </c>
      <c r="BC200" s="536">
        <f t="shared" ca="1" si="154"/>
        <v>2042</v>
      </c>
      <c r="BF200" s="530">
        <v>199</v>
      </c>
      <c r="BG200" s="531">
        <f t="shared" ca="1" si="180"/>
        <v>52223</v>
      </c>
      <c r="BH200" s="532">
        <f ca="1">IF(BH199=0,SUMIFS('Key Life Events'!$L$3:$L$28,'Key Life Events'!$H$3:$H$28,'Loan Amortization'!$BL$3,'Key Life Events'!$N$3:$N$28,'Loan Amortization'!BG200),BH199-BK199)</f>
        <v>0</v>
      </c>
      <c r="BI200" s="532">
        <f t="shared" ca="1" si="181"/>
        <v>0</v>
      </c>
      <c r="BJ200" s="532">
        <f t="shared" ca="1" si="182"/>
        <v>0</v>
      </c>
      <c r="BK200" s="532">
        <f t="shared" ca="1" si="155"/>
        <v>0</v>
      </c>
      <c r="BP200" s="536">
        <f t="shared" ca="1" si="156"/>
        <v>2042</v>
      </c>
      <c r="BQ200" s="535">
        <f ca="1"/>
        <v>0</v>
      </c>
      <c r="BS200" s="530">
        <v>199</v>
      </c>
      <c r="BT200" s="531">
        <f t="shared" ca="1" si="183"/>
        <v>52223</v>
      </c>
      <c r="BU200" s="532">
        <f ca="1">IF(BU199=0,SUMIFS('Key Life Events'!$L$3:$L$28,'Key Life Events'!$H$3:$H$28,'Loan Amortization'!$BY$3,'Key Life Events'!$N$3:$N$28,'Loan Amortization'!BT200),BU199-BX199)</f>
        <v>0</v>
      </c>
      <c r="BV200" s="532">
        <f t="shared" ca="1" si="188"/>
        <v>0</v>
      </c>
      <c r="BW200" s="532">
        <f t="shared" ca="1" si="184"/>
        <v>0</v>
      </c>
      <c r="BX200" s="532">
        <f t="shared" ca="1" si="157"/>
        <v>0</v>
      </c>
      <c r="CC200" s="536">
        <f t="shared" ca="1" si="158"/>
        <v>2042</v>
      </c>
      <c r="CD200" s="535">
        <f ca="1"/>
        <v>0</v>
      </c>
      <c r="CF200" s="530">
        <v>199</v>
      </c>
      <c r="CG200" s="531">
        <f t="shared" ca="1" si="185"/>
        <v>52223</v>
      </c>
      <c r="CH200" s="532">
        <f ca="1">IF(CH199=0,SUMIFS('Key Life Events'!$L$3:$L$28,'Key Life Events'!$H$3:$H$28,'Loan Amortization'!$CL$3,'Key Life Events'!$N$3:$N$28,'Loan Amortization'!CG200),CH199-CK199)</f>
        <v>0</v>
      </c>
      <c r="CI200" s="532">
        <f t="shared" ca="1" si="186"/>
        <v>0</v>
      </c>
      <c r="CJ200" s="532">
        <f t="shared" ca="1" si="187"/>
        <v>0</v>
      </c>
      <c r="CK200" s="532">
        <f t="shared" ca="1" si="159"/>
        <v>0</v>
      </c>
      <c r="CP200" s="536">
        <f t="shared" ca="1" si="160"/>
        <v>2042</v>
      </c>
      <c r="CQ200" s="535">
        <f ca="1"/>
        <v>0</v>
      </c>
      <c r="CS200" s="100">
        <f t="shared" si="161"/>
        <v>199</v>
      </c>
      <c r="CT200" s="102">
        <f t="shared" ca="1" si="162"/>
        <v>0</v>
      </c>
      <c r="CU200" s="102">
        <f t="shared" ca="1" si="163"/>
        <v>0</v>
      </c>
      <c r="CV200" s="511">
        <f t="shared" ca="1" si="164"/>
        <v>2042</v>
      </c>
      <c r="CW200" s="1">
        <f t="shared" si="144"/>
        <v>2377</v>
      </c>
      <c r="CX200" s="99">
        <f t="shared" si="145"/>
        <v>0</v>
      </c>
    </row>
    <row r="201" spans="1:102" x14ac:dyDescent="0.3">
      <c r="A201" s="100">
        <v>200</v>
      </c>
      <c r="B201" s="131">
        <f t="shared" si="165"/>
        <v>5232</v>
      </c>
      <c r="C201" s="102">
        <f t="shared" si="166"/>
        <v>0</v>
      </c>
      <c r="D201" s="102">
        <f t="shared" si="167"/>
        <v>0</v>
      </c>
      <c r="E201" s="102">
        <f t="shared" si="147"/>
        <v>0</v>
      </c>
      <c r="F201" s="102">
        <f t="shared" si="168"/>
        <v>0</v>
      </c>
      <c r="L201" s="100">
        <v>200</v>
      </c>
      <c r="M201" s="131">
        <f t="shared" ca="1" si="169"/>
        <v>52254</v>
      </c>
      <c r="N201" s="102">
        <f t="shared" si="170"/>
        <v>0</v>
      </c>
      <c r="O201" s="102">
        <f t="shared" si="171"/>
        <v>0</v>
      </c>
      <c r="P201" s="102">
        <f t="shared" si="148"/>
        <v>0</v>
      </c>
      <c r="Q201" s="102">
        <f t="shared" si="149"/>
        <v>0</v>
      </c>
      <c r="W201" s="100">
        <v>200</v>
      </c>
      <c r="X201" s="131">
        <f t="shared" ca="1" si="172"/>
        <v>52254</v>
      </c>
      <c r="Y201" s="102">
        <f t="shared" si="173"/>
        <v>0</v>
      </c>
      <c r="Z201" s="102">
        <f t="shared" si="174"/>
        <v>0</v>
      </c>
      <c r="AA201" s="102">
        <f t="shared" si="150"/>
        <v>0</v>
      </c>
      <c r="AB201" s="102">
        <f t="shared" si="151"/>
        <v>0</v>
      </c>
      <c r="AH201" s="100">
        <v>200</v>
      </c>
      <c r="AI201" s="131">
        <f t="shared" ca="1" si="175"/>
        <v>52254</v>
      </c>
      <c r="AJ201" s="102">
        <f t="shared" si="176"/>
        <v>0</v>
      </c>
      <c r="AK201" s="102">
        <f t="shared" si="177"/>
        <v>0</v>
      </c>
      <c r="AL201" s="102">
        <f t="shared" si="189"/>
        <v>0</v>
      </c>
      <c r="AM201" s="102">
        <f t="shared" si="152"/>
        <v>0</v>
      </c>
      <c r="AS201" s="530">
        <v>200</v>
      </c>
      <c r="AT201" s="531">
        <f t="shared" ca="1" si="178"/>
        <v>52254</v>
      </c>
      <c r="AU201" s="532">
        <f ca="1">IF(AU200=0,SUMIFS('Key Life Events'!$L$3:$L$28,'Key Life Events'!$H$3:$H$28,'Loan Amortization'!$AY$3,'Key Life Events'!$N$3:$N$28,'Loan Amortization'!AT201),AU200-AX200)</f>
        <v>0</v>
      </c>
      <c r="AV201" s="532">
        <f t="shared" ca="1" si="179"/>
        <v>0</v>
      </c>
      <c r="AW201" s="532">
        <f t="shared" ca="1" si="146"/>
        <v>0</v>
      </c>
      <c r="AX201" s="532">
        <f t="shared" ca="1" si="153"/>
        <v>0</v>
      </c>
      <c r="BC201" s="536">
        <f t="shared" ca="1" si="154"/>
        <v>2043</v>
      </c>
      <c r="BF201" s="530">
        <v>200</v>
      </c>
      <c r="BG201" s="531">
        <f t="shared" ca="1" si="180"/>
        <v>52254</v>
      </c>
      <c r="BH201" s="532">
        <f ca="1">IF(BH200=0,SUMIFS('Key Life Events'!$L$3:$L$28,'Key Life Events'!$H$3:$H$28,'Loan Amortization'!$BL$3,'Key Life Events'!$N$3:$N$28,'Loan Amortization'!BG201),BH200-BK200)</f>
        <v>0</v>
      </c>
      <c r="BI201" s="532">
        <f t="shared" ca="1" si="181"/>
        <v>0</v>
      </c>
      <c r="BJ201" s="532">
        <f t="shared" ca="1" si="182"/>
        <v>0</v>
      </c>
      <c r="BK201" s="532">
        <f t="shared" ca="1" si="155"/>
        <v>0</v>
      </c>
      <c r="BP201" s="536">
        <f t="shared" ca="1" si="156"/>
        <v>2043</v>
      </c>
      <c r="BQ201" s="535">
        <f ca="1"/>
        <v>0</v>
      </c>
      <c r="BS201" s="530">
        <v>200</v>
      </c>
      <c r="BT201" s="531">
        <f t="shared" ca="1" si="183"/>
        <v>52254</v>
      </c>
      <c r="BU201" s="532">
        <f ca="1">IF(BU200=0,SUMIFS('Key Life Events'!$L$3:$L$28,'Key Life Events'!$H$3:$H$28,'Loan Amortization'!$BY$3,'Key Life Events'!$N$3:$N$28,'Loan Amortization'!BT201),BU200-BX200)</f>
        <v>0</v>
      </c>
      <c r="BV201" s="532">
        <f t="shared" ca="1" si="188"/>
        <v>0</v>
      </c>
      <c r="BW201" s="532">
        <f t="shared" ca="1" si="184"/>
        <v>0</v>
      </c>
      <c r="BX201" s="532">
        <f t="shared" ca="1" si="157"/>
        <v>0</v>
      </c>
      <c r="CC201" s="536">
        <f t="shared" ca="1" si="158"/>
        <v>2043</v>
      </c>
      <c r="CD201" s="535">
        <f ca="1"/>
        <v>0</v>
      </c>
      <c r="CF201" s="530">
        <v>200</v>
      </c>
      <c r="CG201" s="531">
        <f t="shared" ca="1" si="185"/>
        <v>52254</v>
      </c>
      <c r="CH201" s="532">
        <f ca="1">IF(CH200=0,SUMIFS('Key Life Events'!$L$3:$L$28,'Key Life Events'!$H$3:$H$28,'Loan Amortization'!$CL$3,'Key Life Events'!$N$3:$N$28,'Loan Amortization'!CG201),CH200-CK200)</f>
        <v>0</v>
      </c>
      <c r="CI201" s="532">
        <f t="shared" ca="1" si="186"/>
        <v>0</v>
      </c>
      <c r="CJ201" s="532">
        <f t="shared" ca="1" si="187"/>
        <v>0</v>
      </c>
      <c r="CK201" s="532">
        <f t="shared" ca="1" si="159"/>
        <v>0</v>
      </c>
      <c r="CP201" s="536">
        <f t="shared" ca="1" si="160"/>
        <v>2043</v>
      </c>
      <c r="CQ201" s="535">
        <f ca="1"/>
        <v>0</v>
      </c>
      <c r="CS201" s="100">
        <f t="shared" si="161"/>
        <v>200</v>
      </c>
      <c r="CT201" s="102">
        <f t="shared" ca="1" si="162"/>
        <v>0</v>
      </c>
      <c r="CU201" s="102">
        <f t="shared" ca="1" si="163"/>
        <v>0</v>
      </c>
      <c r="CV201" s="511">
        <f t="shared" ca="1" si="164"/>
        <v>2043</v>
      </c>
      <c r="CW201" s="1">
        <f t="shared" si="144"/>
        <v>2389</v>
      </c>
      <c r="CX201" s="99">
        <f t="shared" si="145"/>
        <v>0</v>
      </c>
    </row>
    <row r="202" spans="1:102" x14ac:dyDescent="0.3">
      <c r="A202" s="100">
        <v>201</v>
      </c>
      <c r="B202" s="131">
        <f t="shared" si="165"/>
        <v>5262</v>
      </c>
      <c r="C202" s="102">
        <f t="shared" si="166"/>
        <v>0</v>
      </c>
      <c r="D202" s="102">
        <f t="shared" si="167"/>
        <v>0</v>
      </c>
      <c r="E202" s="102">
        <f t="shared" si="147"/>
        <v>0</v>
      </c>
      <c r="F202" s="102">
        <f t="shared" si="168"/>
        <v>0</v>
      </c>
      <c r="L202" s="100">
        <v>201</v>
      </c>
      <c r="M202" s="131">
        <f t="shared" ca="1" si="169"/>
        <v>52285</v>
      </c>
      <c r="N202" s="102">
        <f t="shared" si="170"/>
        <v>0</v>
      </c>
      <c r="O202" s="102">
        <f t="shared" si="171"/>
        <v>0</v>
      </c>
      <c r="P202" s="102">
        <f t="shared" si="148"/>
        <v>0</v>
      </c>
      <c r="Q202" s="102">
        <f t="shared" si="149"/>
        <v>0</v>
      </c>
      <c r="W202" s="100">
        <v>201</v>
      </c>
      <c r="X202" s="131">
        <f t="shared" ca="1" si="172"/>
        <v>52285</v>
      </c>
      <c r="Y202" s="102">
        <f t="shared" si="173"/>
        <v>0</v>
      </c>
      <c r="Z202" s="102">
        <f t="shared" si="174"/>
        <v>0</v>
      </c>
      <c r="AA202" s="102">
        <f t="shared" si="150"/>
        <v>0</v>
      </c>
      <c r="AB202" s="102">
        <f t="shared" si="151"/>
        <v>0</v>
      </c>
      <c r="AH202" s="100">
        <v>201</v>
      </c>
      <c r="AI202" s="131">
        <f t="shared" ca="1" si="175"/>
        <v>52285</v>
      </c>
      <c r="AJ202" s="102">
        <f t="shared" si="176"/>
        <v>0</v>
      </c>
      <c r="AK202" s="102">
        <f t="shared" si="177"/>
        <v>0</v>
      </c>
      <c r="AL202" s="102">
        <f t="shared" si="189"/>
        <v>0</v>
      </c>
      <c r="AM202" s="102">
        <f t="shared" si="152"/>
        <v>0</v>
      </c>
      <c r="AS202" s="530">
        <v>201</v>
      </c>
      <c r="AT202" s="531">
        <f t="shared" ca="1" si="178"/>
        <v>52285</v>
      </c>
      <c r="AU202" s="532">
        <f ca="1">IF(AU201=0,SUMIFS('Key Life Events'!$L$3:$L$28,'Key Life Events'!$H$3:$H$28,'Loan Amortization'!$AY$3,'Key Life Events'!$N$3:$N$28,'Loan Amortization'!AT202),AU201-AX201)</f>
        <v>0</v>
      </c>
      <c r="AV202" s="532">
        <f t="shared" ca="1" si="179"/>
        <v>0</v>
      </c>
      <c r="AW202" s="532">
        <f t="shared" ca="1" si="146"/>
        <v>0</v>
      </c>
      <c r="AX202" s="532">
        <f t="shared" ca="1" si="153"/>
        <v>0</v>
      </c>
      <c r="BC202" s="536">
        <f t="shared" ca="1" si="154"/>
        <v>2043</v>
      </c>
      <c r="BF202" s="530">
        <v>201</v>
      </c>
      <c r="BG202" s="531">
        <f t="shared" ca="1" si="180"/>
        <v>52285</v>
      </c>
      <c r="BH202" s="532">
        <f ca="1">IF(BH201=0,SUMIFS('Key Life Events'!$L$3:$L$28,'Key Life Events'!$H$3:$H$28,'Loan Amortization'!$BL$3,'Key Life Events'!$N$3:$N$28,'Loan Amortization'!BG202),BH201-BK201)</f>
        <v>0</v>
      </c>
      <c r="BI202" s="532">
        <f t="shared" ca="1" si="181"/>
        <v>0</v>
      </c>
      <c r="BJ202" s="532">
        <f t="shared" ca="1" si="182"/>
        <v>0</v>
      </c>
      <c r="BK202" s="532">
        <f t="shared" ca="1" si="155"/>
        <v>0</v>
      </c>
      <c r="BP202" s="536">
        <f t="shared" ca="1" si="156"/>
        <v>2043</v>
      </c>
      <c r="BQ202" s="535">
        <f ca="1"/>
        <v>0</v>
      </c>
      <c r="BS202" s="530">
        <v>201</v>
      </c>
      <c r="BT202" s="531">
        <f t="shared" ca="1" si="183"/>
        <v>52285</v>
      </c>
      <c r="BU202" s="532">
        <f ca="1">IF(BU201=0,SUMIFS('Key Life Events'!$L$3:$L$28,'Key Life Events'!$H$3:$H$28,'Loan Amortization'!$BY$3,'Key Life Events'!$N$3:$N$28,'Loan Amortization'!BT202),BU201-BX201)</f>
        <v>0</v>
      </c>
      <c r="BV202" s="532">
        <f t="shared" ca="1" si="188"/>
        <v>0</v>
      </c>
      <c r="BW202" s="532">
        <f t="shared" ca="1" si="184"/>
        <v>0</v>
      </c>
      <c r="BX202" s="532">
        <f t="shared" ca="1" si="157"/>
        <v>0</v>
      </c>
      <c r="CC202" s="536">
        <f t="shared" ca="1" si="158"/>
        <v>2043</v>
      </c>
      <c r="CD202" s="535">
        <f ca="1"/>
        <v>0</v>
      </c>
      <c r="CF202" s="530">
        <v>201</v>
      </c>
      <c r="CG202" s="531">
        <f t="shared" ca="1" si="185"/>
        <v>52285</v>
      </c>
      <c r="CH202" s="532">
        <f ca="1">IF(CH201=0,SUMIFS('Key Life Events'!$L$3:$L$28,'Key Life Events'!$H$3:$H$28,'Loan Amortization'!$CL$3,'Key Life Events'!$N$3:$N$28,'Loan Amortization'!CG202),CH201-CK201)</f>
        <v>0</v>
      </c>
      <c r="CI202" s="532">
        <f t="shared" ca="1" si="186"/>
        <v>0</v>
      </c>
      <c r="CJ202" s="532">
        <f t="shared" ca="1" si="187"/>
        <v>0</v>
      </c>
      <c r="CK202" s="532">
        <f t="shared" ca="1" si="159"/>
        <v>0</v>
      </c>
      <c r="CP202" s="536">
        <f t="shared" ca="1" si="160"/>
        <v>2043</v>
      </c>
      <c r="CQ202" s="535">
        <f ca="1"/>
        <v>0</v>
      </c>
      <c r="CS202" s="100">
        <f t="shared" si="161"/>
        <v>201</v>
      </c>
      <c r="CT202" s="102">
        <f t="shared" ca="1" si="162"/>
        <v>0</v>
      </c>
      <c r="CU202" s="102">
        <f t="shared" ca="1" si="163"/>
        <v>0</v>
      </c>
      <c r="CV202" s="511">
        <f t="shared" ca="1" si="164"/>
        <v>2043</v>
      </c>
      <c r="CW202" s="1">
        <f t="shared" si="144"/>
        <v>2401</v>
      </c>
      <c r="CX202" s="99">
        <f t="shared" si="145"/>
        <v>0</v>
      </c>
    </row>
    <row r="203" spans="1:102" x14ac:dyDescent="0.3">
      <c r="A203" s="100">
        <v>202</v>
      </c>
      <c r="B203" s="131">
        <f t="shared" si="165"/>
        <v>5293</v>
      </c>
      <c r="C203" s="102">
        <f t="shared" si="166"/>
        <v>0</v>
      </c>
      <c r="D203" s="102">
        <f t="shared" si="167"/>
        <v>0</v>
      </c>
      <c r="E203" s="102">
        <f t="shared" si="147"/>
        <v>0</v>
      </c>
      <c r="F203" s="102">
        <f t="shared" si="168"/>
        <v>0</v>
      </c>
      <c r="L203" s="100">
        <v>202</v>
      </c>
      <c r="M203" s="131">
        <f t="shared" ca="1" si="169"/>
        <v>52313</v>
      </c>
      <c r="N203" s="102">
        <f t="shared" si="170"/>
        <v>0</v>
      </c>
      <c r="O203" s="102">
        <f t="shared" si="171"/>
        <v>0</v>
      </c>
      <c r="P203" s="102">
        <f t="shared" si="148"/>
        <v>0</v>
      </c>
      <c r="Q203" s="102">
        <f t="shared" si="149"/>
        <v>0</v>
      </c>
      <c r="W203" s="100">
        <v>202</v>
      </c>
      <c r="X203" s="131">
        <f t="shared" ca="1" si="172"/>
        <v>52313</v>
      </c>
      <c r="Y203" s="102">
        <f t="shared" si="173"/>
        <v>0</v>
      </c>
      <c r="Z203" s="102">
        <f t="shared" si="174"/>
        <v>0</v>
      </c>
      <c r="AA203" s="102">
        <f t="shared" si="150"/>
        <v>0</v>
      </c>
      <c r="AB203" s="102">
        <f t="shared" si="151"/>
        <v>0</v>
      </c>
      <c r="AH203" s="100">
        <v>202</v>
      </c>
      <c r="AI203" s="131">
        <f t="shared" ca="1" si="175"/>
        <v>52313</v>
      </c>
      <c r="AJ203" s="102">
        <f t="shared" si="176"/>
        <v>0</v>
      </c>
      <c r="AK203" s="102">
        <f t="shared" si="177"/>
        <v>0</v>
      </c>
      <c r="AL203" s="102">
        <f t="shared" si="189"/>
        <v>0</v>
      </c>
      <c r="AM203" s="102">
        <f t="shared" si="152"/>
        <v>0</v>
      </c>
      <c r="AS203" s="530">
        <v>202</v>
      </c>
      <c r="AT203" s="531">
        <f t="shared" ca="1" si="178"/>
        <v>52313</v>
      </c>
      <c r="AU203" s="532">
        <f ca="1">IF(AU202=0,SUMIFS('Key Life Events'!$L$3:$L$28,'Key Life Events'!$H$3:$H$28,'Loan Amortization'!$AY$3,'Key Life Events'!$N$3:$N$28,'Loan Amortization'!AT203),AU202-AX202)</f>
        <v>0</v>
      </c>
      <c r="AV203" s="532">
        <f t="shared" ca="1" si="179"/>
        <v>0</v>
      </c>
      <c r="AW203" s="532">
        <f t="shared" ca="1" si="146"/>
        <v>0</v>
      </c>
      <c r="AX203" s="532">
        <f t="shared" ca="1" si="153"/>
        <v>0</v>
      </c>
      <c r="BC203" s="536">
        <f t="shared" ca="1" si="154"/>
        <v>2043</v>
      </c>
      <c r="BF203" s="530">
        <v>202</v>
      </c>
      <c r="BG203" s="531">
        <f t="shared" ca="1" si="180"/>
        <v>52313</v>
      </c>
      <c r="BH203" s="532">
        <f ca="1">IF(BH202=0,SUMIFS('Key Life Events'!$L$3:$L$28,'Key Life Events'!$H$3:$H$28,'Loan Amortization'!$BL$3,'Key Life Events'!$N$3:$N$28,'Loan Amortization'!BG203),BH202-BK202)</f>
        <v>0</v>
      </c>
      <c r="BI203" s="532">
        <f t="shared" ca="1" si="181"/>
        <v>0</v>
      </c>
      <c r="BJ203" s="532">
        <f t="shared" ca="1" si="182"/>
        <v>0</v>
      </c>
      <c r="BK203" s="532">
        <f t="shared" ca="1" si="155"/>
        <v>0</v>
      </c>
      <c r="BP203" s="536">
        <f t="shared" ca="1" si="156"/>
        <v>2043</v>
      </c>
      <c r="BQ203" s="535">
        <f ca="1"/>
        <v>0</v>
      </c>
      <c r="BS203" s="530">
        <v>202</v>
      </c>
      <c r="BT203" s="531">
        <f t="shared" ca="1" si="183"/>
        <v>52313</v>
      </c>
      <c r="BU203" s="532">
        <f ca="1">IF(BU202=0,SUMIFS('Key Life Events'!$L$3:$L$28,'Key Life Events'!$H$3:$H$28,'Loan Amortization'!$BY$3,'Key Life Events'!$N$3:$N$28,'Loan Amortization'!BT203),BU202-BX202)</f>
        <v>0</v>
      </c>
      <c r="BV203" s="532">
        <f t="shared" ca="1" si="188"/>
        <v>0</v>
      </c>
      <c r="BW203" s="532">
        <f t="shared" ca="1" si="184"/>
        <v>0</v>
      </c>
      <c r="BX203" s="532">
        <f t="shared" ca="1" si="157"/>
        <v>0</v>
      </c>
      <c r="CC203" s="536">
        <f t="shared" ca="1" si="158"/>
        <v>2043</v>
      </c>
      <c r="CD203" s="535">
        <f ca="1"/>
        <v>0</v>
      </c>
      <c r="CF203" s="530">
        <v>202</v>
      </c>
      <c r="CG203" s="531">
        <f t="shared" ca="1" si="185"/>
        <v>52313</v>
      </c>
      <c r="CH203" s="532">
        <f ca="1">IF(CH202=0,SUMIFS('Key Life Events'!$L$3:$L$28,'Key Life Events'!$H$3:$H$28,'Loan Amortization'!$CL$3,'Key Life Events'!$N$3:$N$28,'Loan Amortization'!CG203),CH202-CK202)</f>
        <v>0</v>
      </c>
      <c r="CI203" s="532">
        <f t="shared" ca="1" si="186"/>
        <v>0</v>
      </c>
      <c r="CJ203" s="532">
        <f t="shared" ca="1" si="187"/>
        <v>0</v>
      </c>
      <c r="CK203" s="532">
        <f t="shared" ca="1" si="159"/>
        <v>0</v>
      </c>
      <c r="CP203" s="536">
        <f t="shared" ca="1" si="160"/>
        <v>2043</v>
      </c>
      <c r="CQ203" s="535">
        <f ca="1"/>
        <v>0</v>
      </c>
      <c r="CS203" s="100">
        <f t="shared" si="161"/>
        <v>202</v>
      </c>
      <c r="CT203" s="102">
        <f t="shared" ca="1" si="162"/>
        <v>0</v>
      </c>
      <c r="CU203" s="102">
        <f t="shared" ca="1" si="163"/>
        <v>0</v>
      </c>
      <c r="CV203" s="511">
        <f t="shared" ca="1" si="164"/>
        <v>2043</v>
      </c>
      <c r="CW203" s="1">
        <f t="shared" si="144"/>
        <v>2413</v>
      </c>
      <c r="CX203" s="99">
        <f t="shared" si="145"/>
        <v>0</v>
      </c>
    </row>
    <row r="204" spans="1:102" x14ac:dyDescent="0.3">
      <c r="A204" s="100">
        <v>203</v>
      </c>
      <c r="B204" s="131">
        <f t="shared" si="165"/>
        <v>5323</v>
      </c>
      <c r="C204" s="102">
        <f t="shared" si="166"/>
        <v>0</v>
      </c>
      <c r="D204" s="102">
        <f t="shared" si="167"/>
        <v>0</v>
      </c>
      <c r="E204" s="102">
        <f t="shared" si="147"/>
        <v>0</v>
      </c>
      <c r="F204" s="102">
        <f t="shared" si="168"/>
        <v>0</v>
      </c>
      <c r="L204" s="100">
        <v>203</v>
      </c>
      <c r="M204" s="131">
        <f t="shared" ca="1" si="169"/>
        <v>52344</v>
      </c>
      <c r="N204" s="102">
        <f t="shared" si="170"/>
        <v>0</v>
      </c>
      <c r="O204" s="102">
        <f t="shared" si="171"/>
        <v>0</v>
      </c>
      <c r="P204" s="102">
        <f t="shared" si="148"/>
        <v>0</v>
      </c>
      <c r="Q204" s="102">
        <f t="shared" si="149"/>
        <v>0</v>
      </c>
      <c r="W204" s="100">
        <v>203</v>
      </c>
      <c r="X204" s="131">
        <f t="shared" ca="1" si="172"/>
        <v>52344</v>
      </c>
      <c r="Y204" s="102">
        <f t="shared" si="173"/>
        <v>0</v>
      </c>
      <c r="Z204" s="102">
        <f t="shared" si="174"/>
        <v>0</v>
      </c>
      <c r="AA204" s="102">
        <f t="shared" si="150"/>
        <v>0</v>
      </c>
      <c r="AB204" s="102">
        <f t="shared" si="151"/>
        <v>0</v>
      </c>
      <c r="AH204" s="100">
        <v>203</v>
      </c>
      <c r="AI204" s="131">
        <f t="shared" ca="1" si="175"/>
        <v>52344</v>
      </c>
      <c r="AJ204" s="102">
        <f t="shared" si="176"/>
        <v>0</v>
      </c>
      <c r="AK204" s="102">
        <f t="shared" si="177"/>
        <v>0</v>
      </c>
      <c r="AL204" s="102">
        <f t="shared" si="189"/>
        <v>0</v>
      </c>
      <c r="AM204" s="102">
        <f t="shared" si="152"/>
        <v>0</v>
      </c>
      <c r="AS204" s="530">
        <v>203</v>
      </c>
      <c r="AT204" s="531">
        <f t="shared" ca="1" si="178"/>
        <v>52344</v>
      </c>
      <c r="AU204" s="532">
        <f ca="1">IF(AU203=0,SUMIFS('Key Life Events'!$L$3:$L$28,'Key Life Events'!$H$3:$H$28,'Loan Amortization'!$AY$3,'Key Life Events'!$N$3:$N$28,'Loan Amortization'!AT204),AU203-AX203)</f>
        <v>0</v>
      </c>
      <c r="AV204" s="532">
        <f t="shared" ca="1" si="179"/>
        <v>0</v>
      </c>
      <c r="AW204" s="532">
        <f t="shared" ca="1" si="146"/>
        <v>0</v>
      </c>
      <c r="AX204" s="532">
        <f t="shared" ca="1" si="153"/>
        <v>0</v>
      </c>
      <c r="BC204" s="536">
        <f t="shared" ca="1" si="154"/>
        <v>2043</v>
      </c>
      <c r="BF204" s="530">
        <v>203</v>
      </c>
      <c r="BG204" s="531">
        <f t="shared" ca="1" si="180"/>
        <v>52344</v>
      </c>
      <c r="BH204" s="532">
        <f ca="1">IF(BH203=0,SUMIFS('Key Life Events'!$L$3:$L$28,'Key Life Events'!$H$3:$H$28,'Loan Amortization'!$BL$3,'Key Life Events'!$N$3:$N$28,'Loan Amortization'!BG204),BH203-BK203)</f>
        <v>0</v>
      </c>
      <c r="BI204" s="532">
        <f t="shared" ca="1" si="181"/>
        <v>0</v>
      </c>
      <c r="BJ204" s="532">
        <f t="shared" ca="1" si="182"/>
        <v>0</v>
      </c>
      <c r="BK204" s="532">
        <f t="shared" ca="1" si="155"/>
        <v>0</v>
      </c>
      <c r="BP204" s="536">
        <f t="shared" ca="1" si="156"/>
        <v>2043</v>
      </c>
      <c r="BQ204" s="535">
        <f ca="1"/>
        <v>0</v>
      </c>
      <c r="BS204" s="530">
        <v>203</v>
      </c>
      <c r="BT204" s="531">
        <f t="shared" ca="1" si="183"/>
        <v>52344</v>
      </c>
      <c r="BU204" s="532">
        <f ca="1">IF(BU203=0,SUMIFS('Key Life Events'!$L$3:$L$28,'Key Life Events'!$H$3:$H$28,'Loan Amortization'!$BY$3,'Key Life Events'!$N$3:$N$28,'Loan Amortization'!BT204),BU203-BX203)</f>
        <v>0</v>
      </c>
      <c r="BV204" s="532">
        <f t="shared" ca="1" si="188"/>
        <v>0</v>
      </c>
      <c r="BW204" s="532">
        <f t="shared" ca="1" si="184"/>
        <v>0</v>
      </c>
      <c r="BX204" s="532">
        <f t="shared" ca="1" si="157"/>
        <v>0</v>
      </c>
      <c r="CC204" s="536">
        <f t="shared" ca="1" si="158"/>
        <v>2043</v>
      </c>
      <c r="CD204" s="535">
        <f ca="1"/>
        <v>0</v>
      </c>
      <c r="CF204" s="530">
        <v>203</v>
      </c>
      <c r="CG204" s="531">
        <f t="shared" ca="1" si="185"/>
        <v>52344</v>
      </c>
      <c r="CH204" s="532">
        <f ca="1">IF(CH203=0,SUMIFS('Key Life Events'!$L$3:$L$28,'Key Life Events'!$H$3:$H$28,'Loan Amortization'!$CL$3,'Key Life Events'!$N$3:$N$28,'Loan Amortization'!CG204),CH203-CK203)</f>
        <v>0</v>
      </c>
      <c r="CI204" s="532">
        <f t="shared" ca="1" si="186"/>
        <v>0</v>
      </c>
      <c r="CJ204" s="532">
        <f t="shared" ca="1" si="187"/>
        <v>0</v>
      </c>
      <c r="CK204" s="532">
        <f t="shared" ca="1" si="159"/>
        <v>0</v>
      </c>
      <c r="CP204" s="536">
        <f t="shared" ca="1" si="160"/>
        <v>2043</v>
      </c>
      <c r="CQ204" s="535">
        <f ca="1"/>
        <v>0</v>
      </c>
      <c r="CS204" s="100">
        <f t="shared" si="161"/>
        <v>203</v>
      </c>
      <c r="CT204" s="102">
        <f t="shared" ca="1" si="162"/>
        <v>0</v>
      </c>
      <c r="CU204" s="102">
        <f t="shared" ca="1" si="163"/>
        <v>0</v>
      </c>
      <c r="CV204" s="511">
        <f t="shared" ca="1" si="164"/>
        <v>2043</v>
      </c>
      <c r="CW204" s="1">
        <f t="shared" si="144"/>
        <v>2425</v>
      </c>
      <c r="CX204" s="99">
        <f t="shared" si="145"/>
        <v>0</v>
      </c>
    </row>
    <row r="205" spans="1:102" x14ac:dyDescent="0.3">
      <c r="A205" s="100">
        <v>204</v>
      </c>
      <c r="B205" s="131">
        <f t="shared" si="165"/>
        <v>5354</v>
      </c>
      <c r="C205" s="102">
        <f t="shared" si="166"/>
        <v>0</v>
      </c>
      <c r="D205" s="102">
        <f t="shared" si="167"/>
        <v>0</v>
      </c>
      <c r="E205" s="102">
        <f t="shared" si="147"/>
        <v>0</v>
      </c>
      <c r="F205" s="102">
        <f t="shared" si="168"/>
        <v>0</v>
      </c>
      <c r="L205" s="100">
        <v>204</v>
      </c>
      <c r="M205" s="131">
        <f t="shared" ca="1" si="169"/>
        <v>52374</v>
      </c>
      <c r="N205" s="102">
        <f t="shared" si="170"/>
        <v>0</v>
      </c>
      <c r="O205" s="102">
        <f t="shared" si="171"/>
        <v>0</v>
      </c>
      <c r="P205" s="102">
        <f t="shared" si="148"/>
        <v>0</v>
      </c>
      <c r="Q205" s="102">
        <f t="shared" si="149"/>
        <v>0</v>
      </c>
      <c r="W205" s="100">
        <v>204</v>
      </c>
      <c r="X205" s="131">
        <f t="shared" ca="1" si="172"/>
        <v>52374</v>
      </c>
      <c r="Y205" s="102">
        <f t="shared" si="173"/>
        <v>0</v>
      </c>
      <c r="Z205" s="102">
        <f t="shared" si="174"/>
        <v>0</v>
      </c>
      <c r="AA205" s="102">
        <f t="shared" si="150"/>
        <v>0</v>
      </c>
      <c r="AB205" s="102">
        <f t="shared" si="151"/>
        <v>0</v>
      </c>
      <c r="AH205" s="100">
        <v>204</v>
      </c>
      <c r="AI205" s="131">
        <f t="shared" ca="1" si="175"/>
        <v>52374</v>
      </c>
      <c r="AJ205" s="102">
        <f t="shared" si="176"/>
        <v>0</v>
      </c>
      <c r="AK205" s="102">
        <f t="shared" si="177"/>
        <v>0</v>
      </c>
      <c r="AL205" s="102">
        <f t="shared" si="189"/>
        <v>0</v>
      </c>
      <c r="AM205" s="102">
        <f t="shared" si="152"/>
        <v>0</v>
      </c>
      <c r="AS205" s="530">
        <v>204</v>
      </c>
      <c r="AT205" s="531">
        <f t="shared" ca="1" si="178"/>
        <v>52374</v>
      </c>
      <c r="AU205" s="532">
        <f ca="1">IF(AU204=0,SUMIFS('Key Life Events'!$L$3:$L$28,'Key Life Events'!$H$3:$H$28,'Loan Amortization'!$AY$3,'Key Life Events'!$N$3:$N$28,'Loan Amortization'!AT205),AU204-AX204)</f>
        <v>0</v>
      </c>
      <c r="AV205" s="532">
        <f t="shared" ca="1" si="179"/>
        <v>0</v>
      </c>
      <c r="AW205" s="532">
        <f t="shared" ca="1" si="146"/>
        <v>0</v>
      </c>
      <c r="AX205" s="532">
        <f t="shared" ca="1" si="153"/>
        <v>0</v>
      </c>
      <c r="BC205" s="536">
        <f t="shared" ca="1" si="154"/>
        <v>2043</v>
      </c>
      <c r="BF205" s="530">
        <v>204</v>
      </c>
      <c r="BG205" s="531">
        <f t="shared" ca="1" si="180"/>
        <v>52374</v>
      </c>
      <c r="BH205" s="532">
        <f ca="1">IF(BH204=0,SUMIFS('Key Life Events'!$L$3:$L$28,'Key Life Events'!$H$3:$H$28,'Loan Amortization'!$BL$3,'Key Life Events'!$N$3:$N$28,'Loan Amortization'!BG205),BH204-BK204)</f>
        <v>0</v>
      </c>
      <c r="BI205" s="532">
        <f t="shared" ca="1" si="181"/>
        <v>0</v>
      </c>
      <c r="BJ205" s="532">
        <f t="shared" ca="1" si="182"/>
        <v>0</v>
      </c>
      <c r="BK205" s="532">
        <f t="shared" ca="1" si="155"/>
        <v>0</v>
      </c>
      <c r="BP205" s="536">
        <f t="shared" ca="1" si="156"/>
        <v>2043</v>
      </c>
      <c r="BQ205" s="535">
        <f ca="1"/>
        <v>0</v>
      </c>
      <c r="BS205" s="530">
        <v>204</v>
      </c>
      <c r="BT205" s="531">
        <f t="shared" ca="1" si="183"/>
        <v>52374</v>
      </c>
      <c r="BU205" s="532">
        <f ca="1">IF(BU204=0,SUMIFS('Key Life Events'!$L$3:$L$28,'Key Life Events'!$H$3:$H$28,'Loan Amortization'!$BY$3,'Key Life Events'!$N$3:$N$28,'Loan Amortization'!BT205),BU204-BX204)</f>
        <v>0</v>
      </c>
      <c r="BV205" s="532">
        <f t="shared" ca="1" si="188"/>
        <v>0</v>
      </c>
      <c r="BW205" s="532">
        <f t="shared" ca="1" si="184"/>
        <v>0</v>
      </c>
      <c r="BX205" s="532">
        <f t="shared" ca="1" si="157"/>
        <v>0</v>
      </c>
      <c r="CC205" s="536">
        <f t="shared" ca="1" si="158"/>
        <v>2043</v>
      </c>
      <c r="CD205" s="535">
        <f ca="1"/>
        <v>0</v>
      </c>
      <c r="CF205" s="530">
        <v>204</v>
      </c>
      <c r="CG205" s="531">
        <f t="shared" ca="1" si="185"/>
        <v>52374</v>
      </c>
      <c r="CH205" s="532">
        <f ca="1">IF(CH204=0,SUMIFS('Key Life Events'!$L$3:$L$28,'Key Life Events'!$H$3:$H$28,'Loan Amortization'!$CL$3,'Key Life Events'!$N$3:$N$28,'Loan Amortization'!CG205),CH204-CK204)</f>
        <v>0</v>
      </c>
      <c r="CI205" s="532">
        <f t="shared" ca="1" si="186"/>
        <v>0</v>
      </c>
      <c r="CJ205" s="532">
        <f t="shared" ca="1" si="187"/>
        <v>0</v>
      </c>
      <c r="CK205" s="532">
        <f t="shared" ca="1" si="159"/>
        <v>0</v>
      </c>
      <c r="CP205" s="536">
        <f t="shared" ca="1" si="160"/>
        <v>2043</v>
      </c>
      <c r="CQ205" s="535">
        <f ca="1"/>
        <v>0</v>
      </c>
      <c r="CS205" s="100">
        <f t="shared" si="161"/>
        <v>204</v>
      </c>
      <c r="CT205" s="102">
        <f t="shared" ca="1" si="162"/>
        <v>0</v>
      </c>
      <c r="CU205" s="102">
        <f t="shared" ca="1" si="163"/>
        <v>0</v>
      </c>
      <c r="CV205" s="511">
        <f t="shared" ca="1" si="164"/>
        <v>2043</v>
      </c>
      <c r="CW205" s="1">
        <f t="shared" si="144"/>
        <v>2437</v>
      </c>
      <c r="CX205" s="99">
        <f t="shared" si="145"/>
        <v>0</v>
      </c>
    </row>
    <row r="206" spans="1:102" x14ac:dyDescent="0.3">
      <c r="A206" s="100">
        <v>205</v>
      </c>
      <c r="B206" s="131">
        <f t="shared" si="165"/>
        <v>5385</v>
      </c>
      <c r="C206" s="102">
        <f t="shared" si="166"/>
        <v>0</v>
      </c>
      <c r="D206" s="102">
        <f t="shared" si="167"/>
        <v>0</v>
      </c>
      <c r="E206" s="102">
        <f t="shared" si="147"/>
        <v>0</v>
      </c>
      <c r="F206" s="102">
        <f t="shared" si="168"/>
        <v>0</v>
      </c>
      <c r="L206" s="100">
        <v>205</v>
      </c>
      <c r="M206" s="131">
        <f t="shared" ca="1" si="169"/>
        <v>52405</v>
      </c>
      <c r="N206" s="102">
        <f t="shared" si="170"/>
        <v>0</v>
      </c>
      <c r="O206" s="102">
        <f t="shared" si="171"/>
        <v>0</v>
      </c>
      <c r="P206" s="102">
        <f t="shared" si="148"/>
        <v>0</v>
      </c>
      <c r="Q206" s="102">
        <f t="shared" si="149"/>
        <v>0</v>
      </c>
      <c r="W206" s="100">
        <v>205</v>
      </c>
      <c r="X206" s="131">
        <f t="shared" ca="1" si="172"/>
        <v>52405</v>
      </c>
      <c r="Y206" s="102">
        <f t="shared" si="173"/>
        <v>0</v>
      </c>
      <c r="Z206" s="102">
        <f t="shared" si="174"/>
        <v>0</v>
      </c>
      <c r="AA206" s="102">
        <f t="shared" si="150"/>
        <v>0</v>
      </c>
      <c r="AB206" s="102">
        <f t="shared" si="151"/>
        <v>0</v>
      </c>
      <c r="AH206" s="100">
        <v>205</v>
      </c>
      <c r="AI206" s="131">
        <f t="shared" ca="1" si="175"/>
        <v>52405</v>
      </c>
      <c r="AJ206" s="102">
        <f t="shared" si="176"/>
        <v>0</v>
      </c>
      <c r="AK206" s="102">
        <f t="shared" si="177"/>
        <v>0</v>
      </c>
      <c r="AL206" s="102">
        <f t="shared" si="189"/>
        <v>0</v>
      </c>
      <c r="AM206" s="102">
        <f t="shared" si="152"/>
        <v>0</v>
      </c>
      <c r="AS206" s="530">
        <v>205</v>
      </c>
      <c r="AT206" s="531">
        <f t="shared" ca="1" si="178"/>
        <v>52405</v>
      </c>
      <c r="AU206" s="532">
        <f ca="1">IF(AU205=0,SUMIFS('Key Life Events'!$L$3:$L$28,'Key Life Events'!$H$3:$H$28,'Loan Amortization'!$AY$3,'Key Life Events'!$N$3:$N$28,'Loan Amortization'!AT206),AU205-AX205)</f>
        <v>0</v>
      </c>
      <c r="AV206" s="532">
        <f t="shared" ca="1" si="179"/>
        <v>0</v>
      </c>
      <c r="AW206" s="532">
        <f t="shared" ca="1" si="146"/>
        <v>0</v>
      </c>
      <c r="AX206" s="532">
        <f t="shared" ca="1" si="153"/>
        <v>0</v>
      </c>
      <c r="BC206" s="536">
        <f t="shared" ca="1" si="154"/>
        <v>2043</v>
      </c>
      <c r="BF206" s="530">
        <v>205</v>
      </c>
      <c r="BG206" s="531">
        <f t="shared" ca="1" si="180"/>
        <v>52405</v>
      </c>
      <c r="BH206" s="532">
        <f ca="1">IF(BH205=0,SUMIFS('Key Life Events'!$L$3:$L$28,'Key Life Events'!$H$3:$H$28,'Loan Amortization'!$BL$3,'Key Life Events'!$N$3:$N$28,'Loan Amortization'!BG206),BH205-BK205)</f>
        <v>0</v>
      </c>
      <c r="BI206" s="532">
        <f t="shared" ca="1" si="181"/>
        <v>0</v>
      </c>
      <c r="BJ206" s="532">
        <f t="shared" ca="1" si="182"/>
        <v>0</v>
      </c>
      <c r="BK206" s="532">
        <f t="shared" ca="1" si="155"/>
        <v>0</v>
      </c>
      <c r="BP206" s="536">
        <f t="shared" ca="1" si="156"/>
        <v>2043</v>
      </c>
      <c r="BQ206" s="535">
        <f ca="1"/>
        <v>0</v>
      </c>
      <c r="BS206" s="530">
        <v>205</v>
      </c>
      <c r="BT206" s="531">
        <f t="shared" ca="1" si="183"/>
        <v>52405</v>
      </c>
      <c r="BU206" s="532">
        <f ca="1">IF(BU205=0,SUMIFS('Key Life Events'!$L$3:$L$28,'Key Life Events'!$H$3:$H$28,'Loan Amortization'!$BY$3,'Key Life Events'!$N$3:$N$28,'Loan Amortization'!BT206),BU205-BX205)</f>
        <v>0</v>
      </c>
      <c r="BV206" s="532">
        <f t="shared" ca="1" si="188"/>
        <v>0</v>
      </c>
      <c r="BW206" s="532">
        <f t="shared" ca="1" si="184"/>
        <v>0</v>
      </c>
      <c r="BX206" s="532">
        <f t="shared" ca="1" si="157"/>
        <v>0</v>
      </c>
      <c r="CC206" s="536">
        <f t="shared" ca="1" si="158"/>
        <v>2043</v>
      </c>
      <c r="CD206" s="535">
        <f ca="1"/>
        <v>0</v>
      </c>
      <c r="CF206" s="530">
        <v>205</v>
      </c>
      <c r="CG206" s="531">
        <f t="shared" ca="1" si="185"/>
        <v>52405</v>
      </c>
      <c r="CH206" s="532">
        <f ca="1">IF(CH205=0,SUMIFS('Key Life Events'!$L$3:$L$28,'Key Life Events'!$H$3:$H$28,'Loan Amortization'!$CL$3,'Key Life Events'!$N$3:$N$28,'Loan Amortization'!CG206),CH205-CK205)</f>
        <v>0</v>
      </c>
      <c r="CI206" s="532">
        <f t="shared" ca="1" si="186"/>
        <v>0</v>
      </c>
      <c r="CJ206" s="532">
        <f t="shared" ca="1" si="187"/>
        <v>0</v>
      </c>
      <c r="CK206" s="532">
        <f t="shared" ca="1" si="159"/>
        <v>0</v>
      </c>
      <c r="CP206" s="536">
        <f t="shared" ca="1" si="160"/>
        <v>2043</v>
      </c>
      <c r="CQ206" s="535">
        <f ca="1"/>
        <v>0</v>
      </c>
      <c r="CS206" s="100">
        <f t="shared" si="161"/>
        <v>205</v>
      </c>
      <c r="CT206" s="102">
        <f t="shared" ca="1" si="162"/>
        <v>0</v>
      </c>
      <c r="CU206" s="102">
        <f t="shared" ca="1" si="163"/>
        <v>0</v>
      </c>
      <c r="CV206" s="511">
        <f t="shared" ca="1" si="164"/>
        <v>2043</v>
      </c>
      <c r="CW206" s="1">
        <f t="shared" si="144"/>
        <v>2449</v>
      </c>
      <c r="CX206" s="99">
        <f t="shared" si="145"/>
        <v>0</v>
      </c>
    </row>
    <row r="207" spans="1:102" x14ac:dyDescent="0.3">
      <c r="A207" s="100">
        <v>206</v>
      </c>
      <c r="B207" s="131">
        <f t="shared" si="165"/>
        <v>5415</v>
      </c>
      <c r="C207" s="102">
        <f t="shared" si="166"/>
        <v>0</v>
      </c>
      <c r="D207" s="102">
        <f t="shared" si="167"/>
        <v>0</v>
      </c>
      <c r="E207" s="102">
        <f t="shared" si="147"/>
        <v>0</v>
      </c>
      <c r="F207" s="102">
        <f t="shared" si="168"/>
        <v>0</v>
      </c>
      <c r="L207" s="100">
        <v>206</v>
      </c>
      <c r="M207" s="131">
        <f t="shared" ca="1" si="169"/>
        <v>52435</v>
      </c>
      <c r="N207" s="102">
        <f t="shared" si="170"/>
        <v>0</v>
      </c>
      <c r="O207" s="102">
        <f t="shared" si="171"/>
        <v>0</v>
      </c>
      <c r="P207" s="102">
        <f t="shared" si="148"/>
        <v>0</v>
      </c>
      <c r="Q207" s="102">
        <f t="shared" si="149"/>
        <v>0</v>
      </c>
      <c r="W207" s="100">
        <v>206</v>
      </c>
      <c r="X207" s="131">
        <f t="shared" ca="1" si="172"/>
        <v>52435</v>
      </c>
      <c r="Y207" s="102">
        <f t="shared" si="173"/>
        <v>0</v>
      </c>
      <c r="Z207" s="102">
        <f t="shared" si="174"/>
        <v>0</v>
      </c>
      <c r="AA207" s="102">
        <f t="shared" si="150"/>
        <v>0</v>
      </c>
      <c r="AB207" s="102">
        <f t="shared" si="151"/>
        <v>0</v>
      </c>
      <c r="AH207" s="100">
        <v>206</v>
      </c>
      <c r="AI207" s="131">
        <f t="shared" ca="1" si="175"/>
        <v>52435</v>
      </c>
      <c r="AJ207" s="102">
        <f t="shared" si="176"/>
        <v>0</v>
      </c>
      <c r="AK207" s="102">
        <f t="shared" si="177"/>
        <v>0</v>
      </c>
      <c r="AL207" s="102">
        <f t="shared" si="189"/>
        <v>0</v>
      </c>
      <c r="AM207" s="102">
        <f t="shared" si="152"/>
        <v>0</v>
      </c>
      <c r="AS207" s="530">
        <v>206</v>
      </c>
      <c r="AT207" s="531">
        <f t="shared" ca="1" si="178"/>
        <v>52435</v>
      </c>
      <c r="AU207" s="532">
        <f ca="1">IF(AU206=0,SUMIFS('Key Life Events'!$L$3:$L$28,'Key Life Events'!$H$3:$H$28,'Loan Amortization'!$AY$3,'Key Life Events'!$N$3:$N$28,'Loan Amortization'!AT207),AU206-AX206)</f>
        <v>0</v>
      </c>
      <c r="AV207" s="532">
        <f t="shared" ca="1" si="179"/>
        <v>0</v>
      </c>
      <c r="AW207" s="532">
        <f t="shared" ca="1" si="146"/>
        <v>0</v>
      </c>
      <c r="AX207" s="532">
        <f t="shared" ca="1" si="153"/>
        <v>0</v>
      </c>
      <c r="BC207" s="536">
        <f t="shared" ca="1" si="154"/>
        <v>2043</v>
      </c>
      <c r="BF207" s="530">
        <v>206</v>
      </c>
      <c r="BG207" s="531">
        <f t="shared" ca="1" si="180"/>
        <v>52435</v>
      </c>
      <c r="BH207" s="532">
        <f ca="1">IF(BH206=0,SUMIFS('Key Life Events'!$L$3:$L$28,'Key Life Events'!$H$3:$H$28,'Loan Amortization'!$BL$3,'Key Life Events'!$N$3:$N$28,'Loan Amortization'!BG207),BH206-BK206)</f>
        <v>0</v>
      </c>
      <c r="BI207" s="532">
        <f t="shared" ca="1" si="181"/>
        <v>0</v>
      </c>
      <c r="BJ207" s="532">
        <f t="shared" ca="1" si="182"/>
        <v>0</v>
      </c>
      <c r="BK207" s="532">
        <f t="shared" ca="1" si="155"/>
        <v>0</v>
      </c>
      <c r="BP207" s="536">
        <f t="shared" ca="1" si="156"/>
        <v>2043</v>
      </c>
      <c r="BQ207" s="535">
        <f ca="1"/>
        <v>0</v>
      </c>
      <c r="BS207" s="530">
        <v>206</v>
      </c>
      <c r="BT207" s="531">
        <f t="shared" ca="1" si="183"/>
        <v>52435</v>
      </c>
      <c r="BU207" s="532">
        <f ca="1">IF(BU206=0,SUMIFS('Key Life Events'!$L$3:$L$28,'Key Life Events'!$H$3:$H$28,'Loan Amortization'!$BY$3,'Key Life Events'!$N$3:$N$28,'Loan Amortization'!BT207),BU206-BX206)</f>
        <v>0</v>
      </c>
      <c r="BV207" s="532">
        <f t="shared" ca="1" si="188"/>
        <v>0</v>
      </c>
      <c r="BW207" s="532">
        <f t="shared" ca="1" si="184"/>
        <v>0</v>
      </c>
      <c r="BX207" s="532">
        <f t="shared" ca="1" si="157"/>
        <v>0</v>
      </c>
      <c r="CC207" s="536">
        <f t="shared" ca="1" si="158"/>
        <v>2043</v>
      </c>
      <c r="CD207" s="535">
        <f ca="1"/>
        <v>0</v>
      </c>
      <c r="CF207" s="530">
        <v>206</v>
      </c>
      <c r="CG207" s="531">
        <f t="shared" ca="1" si="185"/>
        <v>52435</v>
      </c>
      <c r="CH207" s="532">
        <f ca="1">IF(CH206=0,SUMIFS('Key Life Events'!$L$3:$L$28,'Key Life Events'!$H$3:$H$28,'Loan Amortization'!$CL$3,'Key Life Events'!$N$3:$N$28,'Loan Amortization'!CG207),CH206-CK206)</f>
        <v>0</v>
      </c>
      <c r="CI207" s="532">
        <f t="shared" ca="1" si="186"/>
        <v>0</v>
      </c>
      <c r="CJ207" s="532">
        <f t="shared" ca="1" si="187"/>
        <v>0</v>
      </c>
      <c r="CK207" s="532">
        <f t="shared" ca="1" si="159"/>
        <v>0</v>
      </c>
      <c r="CP207" s="536">
        <f t="shared" ca="1" si="160"/>
        <v>2043</v>
      </c>
      <c r="CQ207" s="535">
        <f ca="1"/>
        <v>0</v>
      </c>
      <c r="CS207" s="100">
        <f t="shared" si="161"/>
        <v>206</v>
      </c>
      <c r="CT207" s="102">
        <f t="shared" ca="1" si="162"/>
        <v>0</v>
      </c>
      <c r="CU207" s="102">
        <f t="shared" ca="1" si="163"/>
        <v>0</v>
      </c>
      <c r="CV207" s="511">
        <f t="shared" ca="1" si="164"/>
        <v>2043</v>
      </c>
      <c r="CW207" s="1">
        <f t="shared" si="144"/>
        <v>2461</v>
      </c>
      <c r="CX207" s="99">
        <f t="shared" si="145"/>
        <v>0</v>
      </c>
    </row>
    <row r="208" spans="1:102" x14ac:dyDescent="0.3">
      <c r="A208" s="100">
        <v>207</v>
      </c>
      <c r="B208" s="131">
        <f t="shared" si="165"/>
        <v>5446</v>
      </c>
      <c r="C208" s="102">
        <f t="shared" si="166"/>
        <v>0</v>
      </c>
      <c r="D208" s="102">
        <f t="shared" si="167"/>
        <v>0</v>
      </c>
      <c r="E208" s="102">
        <f t="shared" si="147"/>
        <v>0</v>
      </c>
      <c r="F208" s="102">
        <f t="shared" si="168"/>
        <v>0</v>
      </c>
      <c r="L208" s="100">
        <v>207</v>
      </c>
      <c r="M208" s="131">
        <f t="shared" ca="1" si="169"/>
        <v>52466</v>
      </c>
      <c r="N208" s="102">
        <f t="shared" si="170"/>
        <v>0</v>
      </c>
      <c r="O208" s="102">
        <f t="shared" si="171"/>
        <v>0</v>
      </c>
      <c r="P208" s="102">
        <f t="shared" si="148"/>
        <v>0</v>
      </c>
      <c r="Q208" s="102">
        <f t="shared" si="149"/>
        <v>0</v>
      </c>
      <c r="W208" s="100">
        <v>207</v>
      </c>
      <c r="X208" s="131">
        <f t="shared" ca="1" si="172"/>
        <v>52466</v>
      </c>
      <c r="Y208" s="102">
        <f t="shared" si="173"/>
        <v>0</v>
      </c>
      <c r="Z208" s="102">
        <f t="shared" si="174"/>
        <v>0</v>
      </c>
      <c r="AA208" s="102">
        <f t="shared" si="150"/>
        <v>0</v>
      </c>
      <c r="AB208" s="102">
        <f t="shared" si="151"/>
        <v>0</v>
      </c>
      <c r="AH208" s="100">
        <v>207</v>
      </c>
      <c r="AI208" s="131">
        <f t="shared" ca="1" si="175"/>
        <v>52466</v>
      </c>
      <c r="AJ208" s="102">
        <f t="shared" si="176"/>
        <v>0</v>
      </c>
      <c r="AK208" s="102">
        <f t="shared" si="177"/>
        <v>0</v>
      </c>
      <c r="AL208" s="102">
        <f t="shared" si="189"/>
        <v>0</v>
      </c>
      <c r="AM208" s="102">
        <f t="shared" si="152"/>
        <v>0</v>
      </c>
      <c r="AS208" s="530">
        <v>207</v>
      </c>
      <c r="AT208" s="531">
        <f t="shared" ca="1" si="178"/>
        <v>52466</v>
      </c>
      <c r="AU208" s="532">
        <f ca="1">IF(AU207=0,SUMIFS('Key Life Events'!$L$3:$L$28,'Key Life Events'!$H$3:$H$28,'Loan Amortization'!$AY$3,'Key Life Events'!$N$3:$N$28,'Loan Amortization'!AT208),AU207-AX207)</f>
        <v>0</v>
      </c>
      <c r="AV208" s="532">
        <f t="shared" ca="1" si="179"/>
        <v>0</v>
      </c>
      <c r="AW208" s="532">
        <f t="shared" ca="1" si="146"/>
        <v>0</v>
      </c>
      <c r="AX208" s="532">
        <f t="shared" ca="1" si="153"/>
        <v>0</v>
      </c>
      <c r="BC208" s="536">
        <f t="shared" ca="1" si="154"/>
        <v>2043</v>
      </c>
      <c r="BF208" s="530">
        <v>207</v>
      </c>
      <c r="BG208" s="531">
        <f t="shared" ca="1" si="180"/>
        <v>52466</v>
      </c>
      <c r="BH208" s="532">
        <f ca="1">IF(BH207=0,SUMIFS('Key Life Events'!$L$3:$L$28,'Key Life Events'!$H$3:$H$28,'Loan Amortization'!$BL$3,'Key Life Events'!$N$3:$N$28,'Loan Amortization'!BG208),BH207-BK207)</f>
        <v>0</v>
      </c>
      <c r="BI208" s="532">
        <f t="shared" ca="1" si="181"/>
        <v>0</v>
      </c>
      <c r="BJ208" s="532">
        <f t="shared" ca="1" si="182"/>
        <v>0</v>
      </c>
      <c r="BK208" s="532">
        <f t="shared" ca="1" si="155"/>
        <v>0</v>
      </c>
      <c r="BP208" s="536">
        <f t="shared" ca="1" si="156"/>
        <v>2043</v>
      </c>
      <c r="BQ208" s="535">
        <f ca="1"/>
        <v>0</v>
      </c>
      <c r="BS208" s="530">
        <v>207</v>
      </c>
      <c r="BT208" s="531">
        <f t="shared" ca="1" si="183"/>
        <v>52466</v>
      </c>
      <c r="BU208" s="532">
        <f ca="1">IF(BU207=0,SUMIFS('Key Life Events'!$L$3:$L$28,'Key Life Events'!$H$3:$H$28,'Loan Amortization'!$BY$3,'Key Life Events'!$N$3:$N$28,'Loan Amortization'!BT208),BU207-BX207)</f>
        <v>0</v>
      </c>
      <c r="BV208" s="532">
        <f t="shared" ca="1" si="188"/>
        <v>0</v>
      </c>
      <c r="BW208" s="532">
        <f t="shared" ca="1" si="184"/>
        <v>0</v>
      </c>
      <c r="BX208" s="532">
        <f t="shared" ca="1" si="157"/>
        <v>0</v>
      </c>
      <c r="CC208" s="536">
        <f t="shared" ca="1" si="158"/>
        <v>2043</v>
      </c>
      <c r="CD208" s="535">
        <f ca="1"/>
        <v>0</v>
      </c>
      <c r="CF208" s="530">
        <v>207</v>
      </c>
      <c r="CG208" s="531">
        <f t="shared" ca="1" si="185"/>
        <v>52466</v>
      </c>
      <c r="CH208" s="532">
        <f ca="1">IF(CH207=0,SUMIFS('Key Life Events'!$L$3:$L$28,'Key Life Events'!$H$3:$H$28,'Loan Amortization'!$CL$3,'Key Life Events'!$N$3:$N$28,'Loan Amortization'!CG208),CH207-CK207)</f>
        <v>0</v>
      </c>
      <c r="CI208" s="532">
        <f t="shared" ca="1" si="186"/>
        <v>0</v>
      </c>
      <c r="CJ208" s="532">
        <f t="shared" ca="1" si="187"/>
        <v>0</v>
      </c>
      <c r="CK208" s="532">
        <f t="shared" ca="1" si="159"/>
        <v>0</v>
      </c>
      <c r="CP208" s="536">
        <f t="shared" ca="1" si="160"/>
        <v>2043</v>
      </c>
      <c r="CQ208" s="535">
        <f ca="1"/>
        <v>0</v>
      </c>
      <c r="CS208" s="100">
        <f t="shared" si="161"/>
        <v>207</v>
      </c>
      <c r="CT208" s="102">
        <f t="shared" ca="1" si="162"/>
        <v>0</v>
      </c>
      <c r="CU208" s="102">
        <f t="shared" ca="1" si="163"/>
        <v>0</v>
      </c>
      <c r="CV208" s="511">
        <f t="shared" ca="1" si="164"/>
        <v>2043</v>
      </c>
      <c r="CW208" s="1">
        <f t="shared" si="144"/>
        <v>2473</v>
      </c>
      <c r="CX208" s="99">
        <f t="shared" si="145"/>
        <v>0</v>
      </c>
    </row>
    <row r="209" spans="1:102" x14ac:dyDescent="0.3">
      <c r="A209" s="100">
        <v>208</v>
      </c>
      <c r="B209" s="131">
        <f t="shared" si="165"/>
        <v>5476</v>
      </c>
      <c r="C209" s="102">
        <f t="shared" si="166"/>
        <v>0</v>
      </c>
      <c r="D209" s="102">
        <f t="shared" si="167"/>
        <v>0</v>
      </c>
      <c r="E209" s="102">
        <f t="shared" si="147"/>
        <v>0</v>
      </c>
      <c r="F209" s="102">
        <f t="shared" si="168"/>
        <v>0</v>
      </c>
      <c r="L209" s="100">
        <v>208</v>
      </c>
      <c r="M209" s="131">
        <f t="shared" ca="1" si="169"/>
        <v>52497</v>
      </c>
      <c r="N209" s="102">
        <f t="shared" si="170"/>
        <v>0</v>
      </c>
      <c r="O209" s="102">
        <f t="shared" si="171"/>
        <v>0</v>
      </c>
      <c r="P209" s="102">
        <f t="shared" si="148"/>
        <v>0</v>
      </c>
      <c r="Q209" s="102">
        <f t="shared" si="149"/>
        <v>0</v>
      </c>
      <c r="W209" s="100">
        <v>208</v>
      </c>
      <c r="X209" s="131">
        <f t="shared" ca="1" si="172"/>
        <v>52497</v>
      </c>
      <c r="Y209" s="102">
        <f t="shared" si="173"/>
        <v>0</v>
      </c>
      <c r="Z209" s="102">
        <f t="shared" si="174"/>
        <v>0</v>
      </c>
      <c r="AA209" s="102">
        <f t="shared" si="150"/>
        <v>0</v>
      </c>
      <c r="AB209" s="102">
        <f t="shared" si="151"/>
        <v>0</v>
      </c>
      <c r="AH209" s="100">
        <v>208</v>
      </c>
      <c r="AI209" s="131">
        <f t="shared" ca="1" si="175"/>
        <v>52497</v>
      </c>
      <c r="AJ209" s="102">
        <f t="shared" si="176"/>
        <v>0</v>
      </c>
      <c r="AK209" s="102">
        <f t="shared" si="177"/>
        <v>0</v>
      </c>
      <c r="AL209" s="102">
        <f t="shared" si="189"/>
        <v>0</v>
      </c>
      <c r="AM209" s="102">
        <f t="shared" si="152"/>
        <v>0</v>
      </c>
      <c r="AS209" s="530">
        <v>208</v>
      </c>
      <c r="AT209" s="531">
        <f t="shared" ca="1" si="178"/>
        <v>52497</v>
      </c>
      <c r="AU209" s="532">
        <f ca="1">IF(AU208=0,SUMIFS('Key Life Events'!$L$3:$L$28,'Key Life Events'!$H$3:$H$28,'Loan Amortization'!$AY$3,'Key Life Events'!$N$3:$N$28,'Loan Amortization'!AT209),AU208-AX208)</f>
        <v>0</v>
      </c>
      <c r="AV209" s="532">
        <f t="shared" ca="1" si="179"/>
        <v>0</v>
      </c>
      <c r="AW209" s="532">
        <f t="shared" ca="1" si="146"/>
        <v>0</v>
      </c>
      <c r="AX209" s="532">
        <f t="shared" ca="1" si="153"/>
        <v>0</v>
      </c>
      <c r="BC209" s="536">
        <f t="shared" ca="1" si="154"/>
        <v>2043</v>
      </c>
      <c r="BF209" s="530">
        <v>208</v>
      </c>
      <c r="BG209" s="531">
        <f t="shared" ca="1" si="180"/>
        <v>52497</v>
      </c>
      <c r="BH209" s="532">
        <f ca="1">IF(BH208=0,SUMIFS('Key Life Events'!$L$3:$L$28,'Key Life Events'!$H$3:$H$28,'Loan Amortization'!$BL$3,'Key Life Events'!$N$3:$N$28,'Loan Amortization'!BG209),BH208-BK208)</f>
        <v>0</v>
      </c>
      <c r="BI209" s="532">
        <f t="shared" ca="1" si="181"/>
        <v>0</v>
      </c>
      <c r="BJ209" s="532">
        <f t="shared" ca="1" si="182"/>
        <v>0</v>
      </c>
      <c r="BK209" s="532">
        <f t="shared" ca="1" si="155"/>
        <v>0</v>
      </c>
      <c r="BP209" s="536">
        <f t="shared" ca="1" si="156"/>
        <v>2043</v>
      </c>
      <c r="BQ209" s="535">
        <f ca="1"/>
        <v>0</v>
      </c>
      <c r="BS209" s="530">
        <v>208</v>
      </c>
      <c r="BT209" s="531">
        <f t="shared" ca="1" si="183"/>
        <v>52497</v>
      </c>
      <c r="BU209" s="532">
        <f ca="1">IF(BU208=0,SUMIFS('Key Life Events'!$L$3:$L$28,'Key Life Events'!$H$3:$H$28,'Loan Amortization'!$BY$3,'Key Life Events'!$N$3:$N$28,'Loan Amortization'!BT209),BU208-BX208)</f>
        <v>0</v>
      </c>
      <c r="BV209" s="532">
        <f t="shared" ca="1" si="188"/>
        <v>0</v>
      </c>
      <c r="BW209" s="532">
        <f t="shared" ca="1" si="184"/>
        <v>0</v>
      </c>
      <c r="BX209" s="532">
        <f t="shared" ca="1" si="157"/>
        <v>0</v>
      </c>
      <c r="CC209" s="536">
        <f t="shared" ca="1" si="158"/>
        <v>2043</v>
      </c>
      <c r="CD209" s="535">
        <f ca="1"/>
        <v>0</v>
      </c>
      <c r="CF209" s="530">
        <v>208</v>
      </c>
      <c r="CG209" s="531">
        <f t="shared" ca="1" si="185"/>
        <v>52497</v>
      </c>
      <c r="CH209" s="532">
        <f ca="1">IF(CH208=0,SUMIFS('Key Life Events'!$L$3:$L$28,'Key Life Events'!$H$3:$H$28,'Loan Amortization'!$CL$3,'Key Life Events'!$N$3:$N$28,'Loan Amortization'!CG209),CH208-CK208)</f>
        <v>0</v>
      </c>
      <c r="CI209" s="532">
        <f t="shared" ca="1" si="186"/>
        <v>0</v>
      </c>
      <c r="CJ209" s="532">
        <f t="shared" ca="1" si="187"/>
        <v>0</v>
      </c>
      <c r="CK209" s="532">
        <f t="shared" ca="1" si="159"/>
        <v>0</v>
      </c>
      <c r="CP209" s="536">
        <f t="shared" ca="1" si="160"/>
        <v>2043</v>
      </c>
      <c r="CQ209" s="535">
        <f ca="1"/>
        <v>0</v>
      </c>
      <c r="CS209" s="100">
        <f t="shared" si="161"/>
        <v>208</v>
      </c>
      <c r="CT209" s="102">
        <f t="shared" ca="1" si="162"/>
        <v>0</v>
      </c>
      <c r="CU209" s="102">
        <f t="shared" ca="1" si="163"/>
        <v>0</v>
      </c>
      <c r="CV209" s="511">
        <f t="shared" ca="1" si="164"/>
        <v>2043</v>
      </c>
      <c r="CW209" s="1">
        <f t="shared" si="144"/>
        <v>2485</v>
      </c>
      <c r="CX209" s="99">
        <f t="shared" si="145"/>
        <v>0</v>
      </c>
    </row>
    <row r="210" spans="1:102" x14ac:dyDescent="0.3">
      <c r="A210" s="100">
        <v>209</v>
      </c>
      <c r="B210" s="131">
        <f t="shared" si="165"/>
        <v>5507</v>
      </c>
      <c r="C210" s="102">
        <f t="shared" si="166"/>
        <v>0</v>
      </c>
      <c r="D210" s="102">
        <f t="shared" si="167"/>
        <v>0</v>
      </c>
      <c r="E210" s="102">
        <f t="shared" si="147"/>
        <v>0</v>
      </c>
      <c r="F210" s="102">
        <f t="shared" si="168"/>
        <v>0</v>
      </c>
      <c r="L210" s="100">
        <v>209</v>
      </c>
      <c r="M210" s="131">
        <f t="shared" ca="1" si="169"/>
        <v>52527</v>
      </c>
      <c r="N210" s="102">
        <f t="shared" si="170"/>
        <v>0</v>
      </c>
      <c r="O210" s="102">
        <f t="shared" si="171"/>
        <v>0</v>
      </c>
      <c r="P210" s="102">
        <f t="shared" si="148"/>
        <v>0</v>
      </c>
      <c r="Q210" s="102">
        <f t="shared" si="149"/>
        <v>0</v>
      </c>
      <c r="W210" s="100">
        <v>209</v>
      </c>
      <c r="X210" s="131">
        <f t="shared" ca="1" si="172"/>
        <v>52527</v>
      </c>
      <c r="Y210" s="102">
        <f t="shared" si="173"/>
        <v>0</v>
      </c>
      <c r="Z210" s="102">
        <f t="shared" si="174"/>
        <v>0</v>
      </c>
      <c r="AA210" s="102">
        <f t="shared" si="150"/>
        <v>0</v>
      </c>
      <c r="AB210" s="102">
        <f t="shared" si="151"/>
        <v>0</v>
      </c>
      <c r="AH210" s="100">
        <v>209</v>
      </c>
      <c r="AI210" s="131">
        <f t="shared" ca="1" si="175"/>
        <v>52527</v>
      </c>
      <c r="AJ210" s="102">
        <f t="shared" si="176"/>
        <v>0</v>
      </c>
      <c r="AK210" s="102">
        <f t="shared" si="177"/>
        <v>0</v>
      </c>
      <c r="AL210" s="102">
        <f t="shared" si="189"/>
        <v>0</v>
      </c>
      <c r="AM210" s="102">
        <f t="shared" si="152"/>
        <v>0</v>
      </c>
      <c r="AS210" s="530">
        <v>209</v>
      </c>
      <c r="AT210" s="531">
        <f t="shared" ca="1" si="178"/>
        <v>52527</v>
      </c>
      <c r="AU210" s="532">
        <f ca="1">IF(AU209=0,SUMIFS('Key Life Events'!$L$3:$L$28,'Key Life Events'!$H$3:$H$28,'Loan Amortization'!$AY$3,'Key Life Events'!$N$3:$N$28,'Loan Amortization'!AT210),AU209-AX209)</f>
        <v>0</v>
      </c>
      <c r="AV210" s="532">
        <f t="shared" ca="1" si="179"/>
        <v>0</v>
      </c>
      <c r="AW210" s="532">
        <f t="shared" ca="1" si="146"/>
        <v>0</v>
      </c>
      <c r="AX210" s="532">
        <f t="shared" ca="1" si="153"/>
        <v>0</v>
      </c>
      <c r="BC210" s="536">
        <f t="shared" ca="1" si="154"/>
        <v>2043</v>
      </c>
      <c r="BF210" s="530">
        <v>209</v>
      </c>
      <c r="BG210" s="531">
        <f t="shared" ca="1" si="180"/>
        <v>52527</v>
      </c>
      <c r="BH210" s="532">
        <f ca="1">IF(BH209=0,SUMIFS('Key Life Events'!$L$3:$L$28,'Key Life Events'!$H$3:$H$28,'Loan Amortization'!$BL$3,'Key Life Events'!$N$3:$N$28,'Loan Amortization'!BG210),BH209-BK209)</f>
        <v>0</v>
      </c>
      <c r="BI210" s="532">
        <f t="shared" ca="1" si="181"/>
        <v>0</v>
      </c>
      <c r="BJ210" s="532">
        <f t="shared" ca="1" si="182"/>
        <v>0</v>
      </c>
      <c r="BK210" s="532">
        <f t="shared" ca="1" si="155"/>
        <v>0</v>
      </c>
      <c r="BP210" s="536">
        <f t="shared" ca="1" si="156"/>
        <v>2043</v>
      </c>
      <c r="BQ210" s="535">
        <f ca="1"/>
        <v>0</v>
      </c>
      <c r="BS210" s="530">
        <v>209</v>
      </c>
      <c r="BT210" s="531">
        <f t="shared" ca="1" si="183"/>
        <v>52527</v>
      </c>
      <c r="BU210" s="532">
        <f ca="1">IF(BU209=0,SUMIFS('Key Life Events'!$L$3:$L$28,'Key Life Events'!$H$3:$H$28,'Loan Amortization'!$BY$3,'Key Life Events'!$N$3:$N$28,'Loan Amortization'!BT210),BU209-BX209)</f>
        <v>0</v>
      </c>
      <c r="BV210" s="532">
        <f t="shared" ca="1" si="188"/>
        <v>0</v>
      </c>
      <c r="BW210" s="532">
        <f t="shared" ca="1" si="184"/>
        <v>0</v>
      </c>
      <c r="BX210" s="532">
        <f t="shared" ca="1" si="157"/>
        <v>0</v>
      </c>
      <c r="CC210" s="536">
        <f t="shared" ca="1" si="158"/>
        <v>2043</v>
      </c>
      <c r="CD210" s="535">
        <f ca="1"/>
        <v>0</v>
      </c>
      <c r="CF210" s="530">
        <v>209</v>
      </c>
      <c r="CG210" s="531">
        <f t="shared" ca="1" si="185"/>
        <v>52527</v>
      </c>
      <c r="CH210" s="532">
        <f ca="1">IF(CH209=0,SUMIFS('Key Life Events'!$L$3:$L$28,'Key Life Events'!$H$3:$H$28,'Loan Amortization'!$CL$3,'Key Life Events'!$N$3:$N$28,'Loan Amortization'!CG210),CH209-CK209)</f>
        <v>0</v>
      </c>
      <c r="CI210" s="532">
        <f t="shared" ca="1" si="186"/>
        <v>0</v>
      </c>
      <c r="CJ210" s="532">
        <f t="shared" ca="1" si="187"/>
        <v>0</v>
      </c>
      <c r="CK210" s="532">
        <f t="shared" ca="1" si="159"/>
        <v>0</v>
      </c>
      <c r="CP210" s="536">
        <f t="shared" ca="1" si="160"/>
        <v>2043</v>
      </c>
      <c r="CQ210" s="535">
        <f ca="1"/>
        <v>0</v>
      </c>
      <c r="CS210" s="100">
        <f t="shared" si="161"/>
        <v>209</v>
      </c>
      <c r="CT210" s="102">
        <f t="shared" ca="1" si="162"/>
        <v>0</v>
      </c>
      <c r="CU210" s="102">
        <f t="shared" ca="1" si="163"/>
        <v>0</v>
      </c>
      <c r="CV210" s="511">
        <f t="shared" ca="1" si="164"/>
        <v>2043</v>
      </c>
    </row>
    <row r="211" spans="1:102" x14ac:dyDescent="0.3">
      <c r="A211" s="100">
        <v>210</v>
      </c>
      <c r="B211" s="131">
        <f t="shared" si="165"/>
        <v>5538</v>
      </c>
      <c r="C211" s="102">
        <f t="shared" si="166"/>
        <v>0</v>
      </c>
      <c r="D211" s="102">
        <f t="shared" si="167"/>
        <v>0</v>
      </c>
      <c r="E211" s="102">
        <f t="shared" si="147"/>
        <v>0</v>
      </c>
      <c r="F211" s="102">
        <f t="shared" si="168"/>
        <v>0</v>
      </c>
      <c r="L211" s="100">
        <v>210</v>
      </c>
      <c r="M211" s="131">
        <f t="shared" ca="1" si="169"/>
        <v>52558</v>
      </c>
      <c r="N211" s="102">
        <f t="shared" si="170"/>
        <v>0</v>
      </c>
      <c r="O211" s="102">
        <f t="shared" si="171"/>
        <v>0</v>
      </c>
      <c r="P211" s="102">
        <f t="shared" si="148"/>
        <v>0</v>
      </c>
      <c r="Q211" s="102">
        <f t="shared" si="149"/>
        <v>0</v>
      </c>
      <c r="W211" s="100">
        <v>210</v>
      </c>
      <c r="X211" s="131">
        <f t="shared" ca="1" si="172"/>
        <v>52558</v>
      </c>
      <c r="Y211" s="102">
        <f t="shared" si="173"/>
        <v>0</v>
      </c>
      <c r="Z211" s="102">
        <f t="shared" si="174"/>
        <v>0</v>
      </c>
      <c r="AA211" s="102">
        <f t="shared" si="150"/>
        <v>0</v>
      </c>
      <c r="AB211" s="102">
        <f t="shared" si="151"/>
        <v>0</v>
      </c>
      <c r="AH211" s="100">
        <v>210</v>
      </c>
      <c r="AI211" s="131">
        <f t="shared" ca="1" si="175"/>
        <v>52558</v>
      </c>
      <c r="AJ211" s="102">
        <f t="shared" si="176"/>
        <v>0</v>
      </c>
      <c r="AK211" s="102">
        <f t="shared" si="177"/>
        <v>0</v>
      </c>
      <c r="AL211" s="102">
        <f t="shared" si="189"/>
        <v>0</v>
      </c>
      <c r="AM211" s="102">
        <f t="shared" si="152"/>
        <v>0</v>
      </c>
      <c r="AS211" s="530">
        <v>210</v>
      </c>
      <c r="AT211" s="531">
        <f t="shared" ca="1" si="178"/>
        <v>52558</v>
      </c>
      <c r="AU211" s="532">
        <f ca="1">IF(AU210=0,SUMIFS('Key Life Events'!$L$3:$L$28,'Key Life Events'!$H$3:$H$28,'Loan Amortization'!$AY$3,'Key Life Events'!$N$3:$N$28,'Loan Amortization'!AT211),AU210-AX210)</f>
        <v>0</v>
      </c>
      <c r="AV211" s="532">
        <f t="shared" ca="1" si="179"/>
        <v>0</v>
      </c>
      <c r="AW211" s="532">
        <f t="shared" ca="1" si="146"/>
        <v>0</v>
      </c>
      <c r="AX211" s="532">
        <f t="shared" ca="1" si="153"/>
        <v>0</v>
      </c>
      <c r="BC211" s="536">
        <f t="shared" ca="1" si="154"/>
        <v>2043</v>
      </c>
      <c r="BF211" s="530">
        <v>210</v>
      </c>
      <c r="BG211" s="531">
        <f t="shared" ca="1" si="180"/>
        <v>52558</v>
      </c>
      <c r="BH211" s="532">
        <f ca="1">IF(BH210=0,SUMIFS('Key Life Events'!$L$3:$L$28,'Key Life Events'!$H$3:$H$28,'Loan Amortization'!$BL$3,'Key Life Events'!$N$3:$N$28,'Loan Amortization'!BG211),BH210-BK210)</f>
        <v>0</v>
      </c>
      <c r="BI211" s="532">
        <f t="shared" ca="1" si="181"/>
        <v>0</v>
      </c>
      <c r="BJ211" s="532">
        <f t="shared" ca="1" si="182"/>
        <v>0</v>
      </c>
      <c r="BK211" s="532">
        <f t="shared" ca="1" si="155"/>
        <v>0</v>
      </c>
      <c r="BP211" s="536">
        <f t="shared" ca="1" si="156"/>
        <v>2043</v>
      </c>
      <c r="BQ211" s="535">
        <f ca="1"/>
        <v>0</v>
      </c>
      <c r="BS211" s="530">
        <v>210</v>
      </c>
      <c r="BT211" s="531">
        <f t="shared" ca="1" si="183"/>
        <v>52558</v>
      </c>
      <c r="BU211" s="532">
        <f ca="1">IF(BU210=0,SUMIFS('Key Life Events'!$L$3:$L$28,'Key Life Events'!$H$3:$H$28,'Loan Amortization'!$BY$3,'Key Life Events'!$N$3:$N$28,'Loan Amortization'!BT211),BU210-BX210)</f>
        <v>0</v>
      </c>
      <c r="BV211" s="532">
        <f t="shared" ca="1" si="188"/>
        <v>0</v>
      </c>
      <c r="BW211" s="532">
        <f t="shared" ca="1" si="184"/>
        <v>0</v>
      </c>
      <c r="BX211" s="532">
        <f t="shared" ca="1" si="157"/>
        <v>0</v>
      </c>
      <c r="CC211" s="536">
        <f t="shared" ca="1" si="158"/>
        <v>2043</v>
      </c>
      <c r="CD211" s="535">
        <f ca="1"/>
        <v>0</v>
      </c>
      <c r="CF211" s="530">
        <v>210</v>
      </c>
      <c r="CG211" s="531">
        <f t="shared" ca="1" si="185"/>
        <v>52558</v>
      </c>
      <c r="CH211" s="532">
        <f ca="1">IF(CH210=0,SUMIFS('Key Life Events'!$L$3:$L$28,'Key Life Events'!$H$3:$H$28,'Loan Amortization'!$CL$3,'Key Life Events'!$N$3:$N$28,'Loan Amortization'!CG211),CH210-CK210)</f>
        <v>0</v>
      </c>
      <c r="CI211" s="532">
        <f t="shared" ca="1" si="186"/>
        <v>0</v>
      </c>
      <c r="CJ211" s="532">
        <f t="shared" ca="1" si="187"/>
        <v>0</v>
      </c>
      <c r="CK211" s="532">
        <f t="shared" ca="1" si="159"/>
        <v>0</v>
      </c>
      <c r="CP211" s="536">
        <f t="shared" ca="1" si="160"/>
        <v>2043</v>
      </c>
      <c r="CQ211" s="535">
        <f ca="1"/>
        <v>0</v>
      </c>
      <c r="CS211" s="100">
        <f t="shared" si="161"/>
        <v>210</v>
      </c>
      <c r="CT211" s="102">
        <f t="shared" ca="1" si="162"/>
        <v>0</v>
      </c>
      <c r="CU211" s="102">
        <f t="shared" ca="1" si="163"/>
        <v>0</v>
      </c>
      <c r="CV211" s="511">
        <f t="shared" ca="1" si="164"/>
        <v>2043</v>
      </c>
    </row>
    <row r="212" spans="1:102" x14ac:dyDescent="0.3">
      <c r="A212" s="100">
        <v>211</v>
      </c>
      <c r="B212" s="131">
        <f t="shared" si="165"/>
        <v>5566</v>
      </c>
      <c r="C212" s="102">
        <f t="shared" si="166"/>
        <v>0</v>
      </c>
      <c r="D212" s="102">
        <f t="shared" si="167"/>
        <v>0</v>
      </c>
      <c r="E212" s="102">
        <f t="shared" si="147"/>
        <v>0</v>
      </c>
      <c r="F212" s="102">
        <f t="shared" si="168"/>
        <v>0</v>
      </c>
      <c r="L212" s="100">
        <v>211</v>
      </c>
      <c r="M212" s="131">
        <f t="shared" ca="1" si="169"/>
        <v>52588</v>
      </c>
      <c r="N212" s="102">
        <f t="shared" si="170"/>
        <v>0</v>
      </c>
      <c r="O212" s="102">
        <f t="shared" si="171"/>
        <v>0</v>
      </c>
      <c r="P212" s="102">
        <f t="shared" si="148"/>
        <v>0</v>
      </c>
      <c r="Q212" s="102">
        <f t="shared" si="149"/>
        <v>0</v>
      </c>
      <c r="W212" s="100">
        <v>211</v>
      </c>
      <c r="X212" s="131">
        <f t="shared" ca="1" si="172"/>
        <v>52588</v>
      </c>
      <c r="Y212" s="102">
        <f t="shared" si="173"/>
        <v>0</v>
      </c>
      <c r="Z212" s="102">
        <f t="shared" si="174"/>
        <v>0</v>
      </c>
      <c r="AA212" s="102">
        <f t="shared" si="150"/>
        <v>0</v>
      </c>
      <c r="AB212" s="102">
        <f t="shared" si="151"/>
        <v>0</v>
      </c>
      <c r="AH212" s="100">
        <v>211</v>
      </c>
      <c r="AI212" s="131">
        <f t="shared" ca="1" si="175"/>
        <v>52588</v>
      </c>
      <c r="AJ212" s="102">
        <f t="shared" si="176"/>
        <v>0</v>
      </c>
      <c r="AK212" s="102">
        <f t="shared" si="177"/>
        <v>0</v>
      </c>
      <c r="AL212" s="102">
        <f t="shared" si="189"/>
        <v>0</v>
      </c>
      <c r="AM212" s="102">
        <f t="shared" si="152"/>
        <v>0</v>
      </c>
      <c r="AS212" s="530">
        <v>211</v>
      </c>
      <c r="AT212" s="531">
        <f t="shared" ca="1" si="178"/>
        <v>52588</v>
      </c>
      <c r="AU212" s="532">
        <f ca="1">IF(AU211=0,SUMIFS('Key Life Events'!$L$3:$L$28,'Key Life Events'!$H$3:$H$28,'Loan Amortization'!$AY$3,'Key Life Events'!$N$3:$N$28,'Loan Amortization'!AT212),AU211-AX211)</f>
        <v>0</v>
      </c>
      <c r="AV212" s="532">
        <f t="shared" ca="1" si="179"/>
        <v>0</v>
      </c>
      <c r="AW212" s="532">
        <f t="shared" ca="1" si="146"/>
        <v>0</v>
      </c>
      <c r="AX212" s="532">
        <f t="shared" ca="1" si="153"/>
        <v>0</v>
      </c>
      <c r="BC212" s="536">
        <f t="shared" ca="1" si="154"/>
        <v>2043</v>
      </c>
      <c r="BF212" s="530">
        <v>211</v>
      </c>
      <c r="BG212" s="531">
        <f t="shared" ca="1" si="180"/>
        <v>52588</v>
      </c>
      <c r="BH212" s="532">
        <f ca="1">IF(BH211=0,SUMIFS('Key Life Events'!$L$3:$L$28,'Key Life Events'!$H$3:$H$28,'Loan Amortization'!$BL$3,'Key Life Events'!$N$3:$N$28,'Loan Amortization'!BG212),BH211-BK211)</f>
        <v>0</v>
      </c>
      <c r="BI212" s="532">
        <f t="shared" ca="1" si="181"/>
        <v>0</v>
      </c>
      <c r="BJ212" s="532">
        <f t="shared" ca="1" si="182"/>
        <v>0</v>
      </c>
      <c r="BK212" s="532">
        <f t="shared" ca="1" si="155"/>
        <v>0</v>
      </c>
      <c r="BP212" s="536">
        <f t="shared" ca="1" si="156"/>
        <v>2043</v>
      </c>
      <c r="BQ212" s="535">
        <f ca="1"/>
        <v>0</v>
      </c>
      <c r="BS212" s="530">
        <v>211</v>
      </c>
      <c r="BT212" s="531">
        <f t="shared" ca="1" si="183"/>
        <v>52588</v>
      </c>
      <c r="BU212" s="532">
        <f ca="1">IF(BU211=0,SUMIFS('Key Life Events'!$L$3:$L$28,'Key Life Events'!$H$3:$H$28,'Loan Amortization'!$BY$3,'Key Life Events'!$N$3:$N$28,'Loan Amortization'!BT212),BU211-BX211)</f>
        <v>0</v>
      </c>
      <c r="BV212" s="532">
        <f t="shared" ca="1" si="188"/>
        <v>0</v>
      </c>
      <c r="BW212" s="532">
        <f t="shared" ca="1" si="184"/>
        <v>0</v>
      </c>
      <c r="BX212" s="532">
        <f t="shared" ca="1" si="157"/>
        <v>0</v>
      </c>
      <c r="CC212" s="536">
        <f t="shared" ca="1" si="158"/>
        <v>2043</v>
      </c>
      <c r="CD212" s="535">
        <f ca="1"/>
        <v>0</v>
      </c>
      <c r="CF212" s="530">
        <v>211</v>
      </c>
      <c r="CG212" s="531">
        <f t="shared" ca="1" si="185"/>
        <v>52588</v>
      </c>
      <c r="CH212" s="532">
        <f ca="1">IF(CH211=0,SUMIFS('Key Life Events'!$L$3:$L$28,'Key Life Events'!$H$3:$H$28,'Loan Amortization'!$CL$3,'Key Life Events'!$N$3:$N$28,'Loan Amortization'!CG212),CH211-CK211)</f>
        <v>0</v>
      </c>
      <c r="CI212" s="532">
        <f t="shared" ca="1" si="186"/>
        <v>0</v>
      </c>
      <c r="CJ212" s="532">
        <f t="shared" ca="1" si="187"/>
        <v>0</v>
      </c>
      <c r="CK212" s="532">
        <f t="shared" ca="1" si="159"/>
        <v>0</v>
      </c>
      <c r="CP212" s="536">
        <f t="shared" ca="1" si="160"/>
        <v>2043</v>
      </c>
      <c r="CQ212" s="535">
        <f ca="1"/>
        <v>0</v>
      </c>
      <c r="CS212" s="100">
        <f t="shared" si="161"/>
        <v>211</v>
      </c>
      <c r="CT212" s="102">
        <f t="shared" ca="1" si="162"/>
        <v>0</v>
      </c>
      <c r="CU212" s="102">
        <f t="shared" ca="1" si="163"/>
        <v>0</v>
      </c>
      <c r="CV212" s="511">
        <f t="shared" ca="1" si="164"/>
        <v>2043</v>
      </c>
    </row>
    <row r="213" spans="1:102" x14ac:dyDescent="0.3">
      <c r="A213" s="100">
        <v>212</v>
      </c>
      <c r="B213" s="131">
        <f t="shared" si="165"/>
        <v>5597</v>
      </c>
      <c r="C213" s="102">
        <f t="shared" si="166"/>
        <v>0</v>
      </c>
      <c r="D213" s="102">
        <f t="shared" si="167"/>
        <v>0</v>
      </c>
      <c r="E213" s="102">
        <f t="shared" si="147"/>
        <v>0</v>
      </c>
      <c r="F213" s="102">
        <f t="shared" si="168"/>
        <v>0</v>
      </c>
      <c r="L213" s="100">
        <v>212</v>
      </c>
      <c r="M213" s="131">
        <f t="shared" ca="1" si="169"/>
        <v>52619</v>
      </c>
      <c r="N213" s="102">
        <f t="shared" si="170"/>
        <v>0</v>
      </c>
      <c r="O213" s="102">
        <f t="shared" si="171"/>
        <v>0</v>
      </c>
      <c r="P213" s="102">
        <f t="shared" si="148"/>
        <v>0</v>
      </c>
      <c r="Q213" s="102">
        <f t="shared" si="149"/>
        <v>0</v>
      </c>
      <c r="W213" s="100">
        <v>212</v>
      </c>
      <c r="X213" s="131">
        <f t="shared" ca="1" si="172"/>
        <v>52619</v>
      </c>
      <c r="Y213" s="102">
        <f t="shared" si="173"/>
        <v>0</v>
      </c>
      <c r="Z213" s="102">
        <f t="shared" si="174"/>
        <v>0</v>
      </c>
      <c r="AA213" s="102">
        <f t="shared" si="150"/>
        <v>0</v>
      </c>
      <c r="AB213" s="102">
        <f t="shared" si="151"/>
        <v>0</v>
      </c>
      <c r="AH213" s="100">
        <v>212</v>
      </c>
      <c r="AI213" s="131">
        <f t="shared" ca="1" si="175"/>
        <v>52619</v>
      </c>
      <c r="AJ213" s="102">
        <f t="shared" si="176"/>
        <v>0</v>
      </c>
      <c r="AK213" s="102">
        <f t="shared" si="177"/>
        <v>0</v>
      </c>
      <c r="AL213" s="102">
        <f t="shared" si="189"/>
        <v>0</v>
      </c>
      <c r="AM213" s="102">
        <f t="shared" si="152"/>
        <v>0</v>
      </c>
      <c r="AS213" s="530">
        <v>212</v>
      </c>
      <c r="AT213" s="531">
        <f t="shared" ca="1" si="178"/>
        <v>52619</v>
      </c>
      <c r="AU213" s="532">
        <f ca="1">IF(AU212=0,SUMIFS('Key Life Events'!$L$3:$L$28,'Key Life Events'!$H$3:$H$28,'Loan Amortization'!$AY$3,'Key Life Events'!$N$3:$N$28,'Loan Amortization'!AT213),AU212-AX212)</f>
        <v>0</v>
      </c>
      <c r="AV213" s="532">
        <f t="shared" ca="1" si="179"/>
        <v>0</v>
      </c>
      <c r="AW213" s="532">
        <f t="shared" ca="1" si="146"/>
        <v>0</v>
      </c>
      <c r="AX213" s="532">
        <f t="shared" ca="1" si="153"/>
        <v>0</v>
      </c>
      <c r="BC213" s="536">
        <f t="shared" ca="1" si="154"/>
        <v>2044</v>
      </c>
      <c r="BF213" s="530">
        <v>212</v>
      </c>
      <c r="BG213" s="531">
        <f t="shared" ca="1" si="180"/>
        <v>52619</v>
      </c>
      <c r="BH213" s="532">
        <f ca="1">IF(BH212=0,SUMIFS('Key Life Events'!$L$3:$L$28,'Key Life Events'!$H$3:$H$28,'Loan Amortization'!$BL$3,'Key Life Events'!$N$3:$N$28,'Loan Amortization'!BG213),BH212-BK212)</f>
        <v>0</v>
      </c>
      <c r="BI213" s="532">
        <f t="shared" ca="1" si="181"/>
        <v>0</v>
      </c>
      <c r="BJ213" s="532">
        <f t="shared" ca="1" si="182"/>
        <v>0</v>
      </c>
      <c r="BK213" s="532">
        <f t="shared" ca="1" si="155"/>
        <v>0</v>
      </c>
      <c r="BP213" s="536">
        <f t="shared" ca="1" si="156"/>
        <v>2044</v>
      </c>
      <c r="BQ213" s="535">
        <f ca="1"/>
        <v>0</v>
      </c>
      <c r="BS213" s="530">
        <v>212</v>
      </c>
      <c r="BT213" s="531">
        <f t="shared" ca="1" si="183"/>
        <v>52619</v>
      </c>
      <c r="BU213" s="532">
        <f ca="1">IF(BU212=0,SUMIFS('Key Life Events'!$L$3:$L$28,'Key Life Events'!$H$3:$H$28,'Loan Amortization'!$BY$3,'Key Life Events'!$N$3:$N$28,'Loan Amortization'!BT213),BU212-BX212)</f>
        <v>0</v>
      </c>
      <c r="BV213" s="532">
        <f t="shared" ca="1" si="188"/>
        <v>0</v>
      </c>
      <c r="BW213" s="532">
        <f t="shared" ca="1" si="184"/>
        <v>0</v>
      </c>
      <c r="BX213" s="532">
        <f t="shared" ca="1" si="157"/>
        <v>0</v>
      </c>
      <c r="CC213" s="536">
        <f t="shared" ca="1" si="158"/>
        <v>2044</v>
      </c>
      <c r="CD213" s="535">
        <f ca="1"/>
        <v>0</v>
      </c>
      <c r="CF213" s="530">
        <v>212</v>
      </c>
      <c r="CG213" s="531">
        <f t="shared" ca="1" si="185"/>
        <v>52619</v>
      </c>
      <c r="CH213" s="532">
        <f ca="1">IF(CH212=0,SUMIFS('Key Life Events'!$L$3:$L$28,'Key Life Events'!$H$3:$H$28,'Loan Amortization'!$CL$3,'Key Life Events'!$N$3:$N$28,'Loan Amortization'!CG213),CH212-CK212)</f>
        <v>0</v>
      </c>
      <c r="CI213" s="532">
        <f t="shared" ca="1" si="186"/>
        <v>0</v>
      </c>
      <c r="CJ213" s="532">
        <f t="shared" ca="1" si="187"/>
        <v>0</v>
      </c>
      <c r="CK213" s="532">
        <f t="shared" ca="1" si="159"/>
        <v>0</v>
      </c>
      <c r="CP213" s="536">
        <f t="shared" ca="1" si="160"/>
        <v>2044</v>
      </c>
      <c r="CQ213" s="535">
        <f ca="1"/>
        <v>0</v>
      </c>
      <c r="CS213" s="100">
        <f t="shared" si="161"/>
        <v>212</v>
      </c>
      <c r="CT213" s="102">
        <f t="shared" ca="1" si="162"/>
        <v>0</v>
      </c>
      <c r="CU213" s="102">
        <f t="shared" ca="1" si="163"/>
        <v>0</v>
      </c>
      <c r="CV213" s="511">
        <f t="shared" ca="1" si="164"/>
        <v>2044</v>
      </c>
    </row>
    <row r="214" spans="1:102" x14ac:dyDescent="0.3">
      <c r="A214" s="100">
        <v>213</v>
      </c>
      <c r="B214" s="131">
        <f t="shared" si="165"/>
        <v>5627</v>
      </c>
      <c r="C214" s="102">
        <f t="shared" si="166"/>
        <v>0</v>
      </c>
      <c r="D214" s="102">
        <f t="shared" si="167"/>
        <v>0</v>
      </c>
      <c r="E214" s="102">
        <f t="shared" si="147"/>
        <v>0</v>
      </c>
      <c r="F214" s="102">
        <f t="shared" si="168"/>
        <v>0</v>
      </c>
      <c r="L214" s="100">
        <v>213</v>
      </c>
      <c r="M214" s="131">
        <f t="shared" ca="1" si="169"/>
        <v>52650</v>
      </c>
      <c r="N214" s="102">
        <f t="shared" si="170"/>
        <v>0</v>
      </c>
      <c r="O214" s="102">
        <f t="shared" si="171"/>
        <v>0</v>
      </c>
      <c r="P214" s="102">
        <f t="shared" si="148"/>
        <v>0</v>
      </c>
      <c r="Q214" s="102">
        <f t="shared" si="149"/>
        <v>0</v>
      </c>
      <c r="W214" s="100">
        <v>213</v>
      </c>
      <c r="X214" s="131">
        <f t="shared" ca="1" si="172"/>
        <v>52650</v>
      </c>
      <c r="Y214" s="102">
        <f t="shared" si="173"/>
        <v>0</v>
      </c>
      <c r="Z214" s="102">
        <f t="shared" si="174"/>
        <v>0</v>
      </c>
      <c r="AA214" s="102">
        <f t="shared" si="150"/>
        <v>0</v>
      </c>
      <c r="AB214" s="102">
        <f t="shared" si="151"/>
        <v>0</v>
      </c>
      <c r="AH214" s="100">
        <v>213</v>
      </c>
      <c r="AI214" s="131">
        <f t="shared" ca="1" si="175"/>
        <v>52650</v>
      </c>
      <c r="AJ214" s="102">
        <f t="shared" si="176"/>
        <v>0</v>
      </c>
      <c r="AK214" s="102">
        <f t="shared" si="177"/>
        <v>0</v>
      </c>
      <c r="AL214" s="102">
        <f t="shared" si="189"/>
        <v>0</v>
      </c>
      <c r="AM214" s="102">
        <f t="shared" si="152"/>
        <v>0</v>
      </c>
      <c r="AS214" s="530">
        <v>213</v>
      </c>
      <c r="AT214" s="531">
        <f t="shared" ca="1" si="178"/>
        <v>52650</v>
      </c>
      <c r="AU214" s="532">
        <f ca="1">IF(AU213=0,SUMIFS('Key Life Events'!$L$3:$L$28,'Key Life Events'!$H$3:$H$28,'Loan Amortization'!$AY$3,'Key Life Events'!$N$3:$N$28,'Loan Amortization'!AT214),AU213-AX213)</f>
        <v>0</v>
      </c>
      <c r="AV214" s="532">
        <f t="shared" ca="1" si="179"/>
        <v>0</v>
      </c>
      <c r="AW214" s="532">
        <f t="shared" ca="1" si="146"/>
        <v>0</v>
      </c>
      <c r="AX214" s="532">
        <f t="shared" ca="1" si="153"/>
        <v>0</v>
      </c>
      <c r="BC214" s="536">
        <f t="shared" ca="1" si="154"/>
        <v>2044</v>
      </c>
      <c r="BF214" s="530">
        <v>213</v>
      </c>
      <c r="BG214" s="531">
        <f t="shared" ca="1" si="180"/>
        <v>52650</v>
      </c>
      <c r="BH214" s="532">
        <f ca="1">IF(BH213=0,SUMIFS('Key Life Events'!$L$3:$L$28,'Key Life Events'!$H$3:$H$28,'Loan Amortization'!$BL$3,'Key Life Events'!$N$3:$N$28,'Loan Amortization'!BG214),BH213-BK213)</f>
        <v>0</v>
      </c>
      <c r="BI214" s="532">
        <f t="shared" ca="1" si="181"/>
        <v>0</v>
      </c>
      <c r="BJ214" s="532">
        <f t="shared" ca="1" si="182"/>
        <v>0</v>
      </c>
      <c r="BK214" s="532">
        <f t="shared" ca="1" si="155"/>
        <v>0</v>
      </c>
      <c r="BP214" s="536">
        <f t="shared" ca="1" si="156"/>
        <v>2044</v>
      </c>
      <c r="BQ214" s="535">
        <f ca="1"/>
        <v>0</v>
      </c>
      <c r="BS214" s="530">
        <v>213</v>
      </c>
      <c r="BT214" s="531">
        <f t="shared" ca="1" si="183"/>
        <v>52650</v>
      </c>
      <c r="BU214" s="532">
        <f ca="1">IF(BU213=0,SUMIFS('Key Life Events'!$L$3:$L$28,'Key Life Events'!$H$3:$H$28,'Loan Amortization'!$BY$3,'Key Life Events'!$N$3:$N$28,'Loan Amortization'!BT214),BU213-BX213)</f>
        <v>0</v>
      </c>
      <c r="BV214" s="532">
        <f t="shared" ca="1" si="188"/>
        <v>0</v>
      </c>
      <c r="BW214" s="532">
        <f t="shared" ca="1" si="184"/>
        <v>0</v>
      </c>
      <c r="BX214" s="532">
        <f t="shared" ca="1" si="157"/>
        <v>0</v>
      </c>
      <c r="CC214" s="536">
        <f t="shared" ca="1" si="158"/>
        <v>2044</v>
      </c>
      <c r="CD214" s="535">
        <f ca="1"/>
        <v>0</v>
      </c>
      <c r="CF214" s="530">
        <v>213</v>
      </c>
      <c r="CG214" s="531">
        <f t="shared" ca="1" si="185"/>
        <v>52650</v>
      </c>
      <c r="CH214" s="532">
        <f ca="1">IF(CH213=0,SUMIFS('Key Life Events'!$L$3:$L$28,'Key Life Events'!$H$3:$H$28,'Loan Amortization'!$CL$3,'Key Life Events'!$N$3:$N$28,'Loan Amortization'!CG214),CH213-CK213)</f>
        <v>0</v>
      </c>
      <c r="CI214" s="532">
        <f t="shared" ca="1" si="186"/>
        <v>0</v>
      </c>
      <c r="CJ214" s="532">
        <f t="shared" ca="1" si="187"/>
        <v>0</v>
      </c>
      <c r="CK214" s="532">
        <f t="shared" ca="1" si="159"/>
        <v>0</v>
      </c>
      <c r="CP214" s="536">
        <f t="shared" ca="1" si="160"/>
        <v>2044</v>
      </c>
      <c r="CQ214" s="535">
        <f ca="1"/>
        <v>0</v>
      </c>
      <c r="CS214" s="100">
        <f t="shared" si="161"/>
        <v>213</v>
      </c>
      <c r="CT214" s="102">
        <f t="shared" ca="1" si="162"/>
        <v>0</v>
      </c>
      <c r="CU214" s="102">
        <f t="shared" ca="1" si="163"/>
        <v>0</v>
      </c>
      <c r="CV214" s="511">
        <f t="shared" ca="1" si="164"/>
        <v>2044</v>
      </c>
    </row>
    <row r="215" spans="1:102" x14ac:dyDescent="0.3">
      <c r="A215" s="100">
        <v>214</v>
      </c>
      <c r="B215" s="131">
        <f t="shared" si="165"/>
        <v>5658</v>
      </c>
      <c r="C215" s="102">
        <f t="shared" si="166"/>
        <v>0</v>
      </c>
      <c r="D215" s="102">
        <f t="shared" si="167"/>
        <v>0</v>
      </c>
      <c r="E215" s="102">
        <f t="shared" si="147"/>
        <v>0</v>
      </c>
      <c r="F215" s="102">
        <f t="shared" si="168"/>
        <v>0</v>
      </c>
      <c r="L215" s="100">
        <v>214</v>
      </c>
      <c r="M215" s="131">
        <f t="shared" ca="1" si="169"/>
        <v>52679</v>
      </c>
      <c r="N215" s="102">
        <f t="shared" si="170"/>
        <v>0</v>
      </c>
      <c r="O215" s="102">
        <f t="shared" si="171"/>
        <v>0</v>
      </c>
      <c r="P215" s="102">
        <f t="shared" si="148"/>
        <v>0</v>
      </c>
      <c r="Q215" s="102">
        <f t="shared" si="149"/>
        <v>0</v>
      </c>
      <c r="W215" s="100">
        <v>214</v>
      </c>
      <c r="X215" s="131">
        <f t="shared" ca="1" si="172"/>
        <v>52679</v>
      </c>
      <c r="Y215" s="102">
        <f t="shared" si="173"/>
        <v>0</v>
      </c>
      <c r="Z215" s="102">
        <f t="shared" si="174"/>
        <v>0</v>
      </c>
      <c r="AA215" s="102">
        <f t="shared" si="150"/>
        <v>0</v>
      </c>
      <c r="AB215" s="102">
        <f t="shared" si="151"/>
        <v>0</v>
      </c>
      <c r="AH215" s="100">
        <v>214</v>
      </c>
      <c r="AI215" s="131">
        <f t="shared" ca="1" si="175"/>
        <v>52679</v>
      </c>
      <c r="AJ215" s="102">
        <f t="shared" si="176"/>
        <v>0</v>
      </c>
      <c r="AK215" s="102">
        <f t="shared" si="177"/>
        <v>0</v>
      </c>
      <c r="AL215" s="102">
        <f t="shared" si="189"/>
        <v>0</v>
      </c>
      <c r="AM215" s="102">
        <f t="shared" si="152"/>
        <v>0</v>
      </c>
      <c r="AS215" s="530">
        <v>214</v>
      </c>
      <c r="AT215" s="531">
        <f t="shared" ca="1" si="178"/>
        <v>52679</v>
      </c>
      <c r="AU215" s="532">
        <f ca="1">IF(AU214=0,SUMIFS('Key Life Events'!$L$3:$L$28,'Key Life Events'!$H$3:$H$28,'Loan Amortization'!$AY$3,'Key Life Events'!$N$3:$N$28,'Loan Amortization'!AT215),AU214-AX214)</f>
        <v>0</v>
      </c>
      <c r="AV215" s="532">
        <f t="shared" ca="1" si="179"/>
        <v>0</v>
      </c>
      <c r="AW215" s="532">
        <f t="shared" ca="1" si="146"/>
        <v>0</v>
      </c>
      <c r="AX215" s="532">
        <f t="shared" ca="1" si="153"/>
        <v>0</v>
      </c>
      <c r="BC215" s="536">
        <f t="shared" ca="1" si="154"/>
        <v>2044</v>
      </c>
      <c r="BF215" s="530">
        <v>214</v>
      </c>
      <c r="BG215" s="531">
        <f t="shared" ca="1" si="180"/>
        <v>52679</v>
      </c>
      <c r="BH215" s="532">
        <f ca="1">IF(BH214=0,SUMIFS('Key Life Events'!$L$3:$L$28,'Key Life Events'!$H$3:$H$28,'Loan Amortization'!$BL$3,'Key Life Events'!$N$3:$N$28,'Loan Amortization'!BG215),BH214-BK214)</f>
        <v>0</v>
      </c>
      <c r="BI215" s="532">
        <f t="shared" ca="1" si="181"/>
        <v>0</v>
      </c>
      <c r="BJ215" s="532">
        <f t="shared" ca="1" si="182"/>
        <v>0</v>
      </c>
      <c r="BK215" s="532">
        <f t="shared" ca="1" si="155"/>
        <v>0</v>
      </c>
      <c r="BP215" s="536">
        <f t="shared" ca="1" si="156"/>
        <v>2044</v>
      </c>
      <c r="BQ215" s="535">
        <f ca="1"/>
        <v>0</v>
      </c>
      <c r="BS215" s="530">
        <v>214</v>
      </c>
      <c r="BT215" s="531">
        <f t="shared" ca="1" si="183"/>
        <v>52679</v>
      </c>
      <c r="BU215" s="532">
        <f ca="1">IF(BU214=0,SUMIFS('Key Life Events'!$L$3:$L$28,'Key Life Events'!$H$3:$H$28,'Loan Amortization'!$BY$3,'Key Life Events'!$N$3:$N$28,'Loan Amortization'!BT215),BU214-BX214)</f>
        <v>0</v>
      </c>
      <c r="BV215" s="532">
        <f t="shared" ca="1" si="188"/>
        <v>0</v>
      </c>
      <c r="BW215" s="532">
        <f t="shared" ca="1" si="184"/>
        <v>0</v>
      </c>
      <c r="BX215" s="532">
        <f t="shared" ca="1" si="157"/>
        <v>0</v>
      </c>
      <c r="CC215" s="536">
        <f t="shared" ca="1" si="158"/>
        <v>2044</v>
      </c>
      <c r="CD215" s="535">
        <f ca="1"/>
        <v>0</v>
      </c>
      <c r="CF215" s="530">
        <v>214</v>
      </c>
      <c r="CG215" s="531">
        <f t="shared" ca="1" si="185"/>
        <v>52679</v>
      </c>
      <c r="CH215" s="532">
        <f ca="1">IF(CH214=0,SUMIFS('Key Life Events'!$L$3:$L$28,'Key Life Events'!$H$3:$H$28,'Loan Amortization'!$CL$3,'Key Life Events'!$N$3:$N$28,'Loan Amortization'!CG215),CH214-CK214)</f>
        <v>0</v>
      </c>
      <c r="CI215" s="532">
        <f t="shared" ca="1" si="186"/>
        <v>0</v>
      </c>
      <c r="CJ215" s="532">
        <f t="shared" ca="1" si="187"/>
        <v>0</v>
      </c>
      <c r="CK215" s="532">
        <f t="shared" ca="1" si="159"/>
        <v>0</v>
      </c>
      <c r="CP215" s="536">
        <f t="shared" ca="1" si="160"/>
        <v>2044</v>
      </c>
      <c r="CQ215" s="535">
        <f ca="1"/>
        <v>0</v>
      </c>
      <c r="CS215" s="100">
        <f t="shared" si="161"/>
        <v>214</v>
      </c>
      <c r="CT215" s="102">
        <f t="shared" ca="1" si="162"/>
        <v>0</v>
      </c>
      <c r="CU215" s="102">
        <f t="shared" ca="1" si="163"/>
        <v>0</v>
      </c>
      <c r="CV215" s="511">
        <f t="shared" ca="1" si="164"/>
        <v>2044</v>
      </c>
    </row>
    <row r="216" spans="1:102" x14ac:dyDescent="0.3">
      <c r="A216" s="100">
        <v>215</v>
      </c>
      <c r="B216" s="131">
        <f t="shared" si="165"/>
        <v>5688</v>
      </c>
      <c r="C216" s="102">
        <f t="shared" si="166"/>
        <v>0</v>
      </c>
      <c r="D216" s="102">
        <f t="shared" si="167"/>
        <v>0</v>
      </c>
      <c r="E216" s="102">
        <f t="shared" si="147"/>
        <v>0</v>
      </c>
      <c r="F216" s="102">
        <f t="shared" si="168"/>
        <v>0</v>
      </c>
      <c r="L216" s="100">
        <v>215</v>
      </c>
      <c r="M216" s="131">
        <f t="shared" ca="1" si="169"/>
        <v>52710</v>
      </c>
      <c r="N216" s="102">
        <f t="shared" si="170"/>
        <v>0</v>
      </c>
      <c r="O216" s="102">
        <f t="shared" si="171"/>
        <v>0</v>
      </c>
      <c r="P216" s="102">
        <f t="shared" si="148"/>
        <v>0</v>
      </c>
      <c r="Q216" s="102">
        <f t="shared" si="149"/>
        <v>0</v>
      </c>
      <c r="W216" s="100">
        <v>215</v>
      </c>
      <c r="X216" s="131">
        <f t="shared" ca="1" si="172"/>
        <v>52710</v>
      </c>
      <c r="Y216" s="102">
        <f t="shared" si="173"/>
        <v>0</v>
      </c>
      <c r="Z216" s="102">
        <f t="shared" si="174"/>
        <v>0</v>
      </c>
      <c r="AA216" s="102">
        <f t="shared" si="150"/>
        <v>0</v>
      </c>
      <c r="AB216" s="102">
        <f t="shared" si="151"/>
        <v>0</v>
      </c>
      <c r="AH216" s="100">
        <v>215</v>
      </c>
      <c r="AI216" s="131">
        <f t="shared" ca="1" si="175"/>
        <v>52710</v>
      </c>
      <c r="AJ216" s="102">
        <f t="shared" si="176"/>
        <v>0</v>
      </c>
      <c r="AK216" s="102">
        <f t="shared" si="177"/>
        <v>0</v>
      </c>
      <c r="AL216" s="102">
        <f t="shared" si="189"/>
        <v>0</v>
      </c>
      <c r="AM216" s="102">
        <f t="shared" si="152"/>
        <v>0</v>
      </c>
      <c r="AS216" s="530">
        <v>215</v>
      </c>
      <c r="AT216" s="531">
        <f t="shared" ca="1" si="178"/>
        <v>52710</v>
      </c>
      <c r="AU216" s="532">
        <f ca="1">IF(AU215=0,SUMIFS('Key Life Events'!$L$3:$L$28,'Key Life Events'!$H$3:$H$28,'Loan Amortization'!$AY$3,'Key Life Events'!$N$3:$N$28,'Loan Amortization'!AT216),AU215-AX215)</f>
        <v>0</v>
      </c>
      <c r="AV216" s="532">
        <f t="shared" ca="1" si="179"/>
        <v>0</v>
      </c>
      <c r="AW216" s="532">
        <f t="shared" ca="1" si="146"/>
        <v>0</v>
      </c>
      <c r="AX216" s="532">
        <f t="shared" ca="1" si="153"/>
        <v>0</v>
      </c>
      <c r="BC216" s="536">
        <f t="shared" ca="1" si="154"/>
        <v>2044</v>
      </c>
      <c r="BF216" s="530">
        <v>215</v>
      </c>
      <c r="BG216" s="531">
        <f t="shared" ca="1" si="180"/>
        <v>52710</v>
      </c>
      <c r="BH216" s="532">
        <f ca="1">IF(BH215=0,SUMIFS('Key Life Events'!$L$3:$L$28,'Key Life Events'!$H$3:$H$28,'Loan Amortization'!$BL$3,'Key Life Events'!$N$3:$N$28,'Loan Amortization'!BG216),BH215-BK215)</f>
        <v>0</v>
      </c>
      <c r="BI216" s="532">
        <f t="shared" ca="1" si="181"/>
        <v>0</v>
      </c>
      <c r="BJ216" s="532">
        <f t="shared" ca="1" si="182"/>
        <v>0</v>
      </c>
      <c r="BK216" s="532">
        <f t="shared" ca="1" si="155"/>
        <v>0</v>
      </c>
      <c r="BP216" s="536">
        <f t="shared" ca="1" si="156"/>
        <v>2044</v>
      </c>
      <c r="BQ216" s="535">
        <f ca="1"/>
        <v>0</v>
      </c>
      <c r="BS216" s="530">
        <v>215</v>
      </c>
      <c r="BT216" s="531">
        <f t="shared" ca="1" si="183"/>
        <v>52710</v>
      </c>
      <c r="BU216" s="532">
        <f ca="1">IF(BU215=0,SUMIFS('Key Life Events'!$L$3:$L$28,'Key Life Events'!$H$3:$H$28,'Loan Amortization'!$BY$3,'Key Life Events'!$N$3:$N$28,'Loan Amortization'!BT216),BU215-BX215)</f>
        <v>0</v>
      </c>
      <c r="BV216" s="532">
        <f t="shared" ca="1" si="188"/>
        <v>0</v>
      </c>
      <c r="BW216" s="532">
        <f t="shared" ca="1" si="184"/>
        <v>0</v>
      </c>
      <c r="BX216" s="532">
        <f t="shared" ca="1" si="157"/>
        <v>0</v>
      </c>
      <c r="CC216" s="536">
        <f t="shared" ca="1" si="158"/>
        <v>2044</v>
      </c>
      <c r="CD216" s="535">
        <f ca="1"/>
        <v>0</v>
      </c>
      <c r="CF216" s="530">
        <v>215</v>
      </c>
      <c r="CG216" s="531">
        <f t="shared" ca="1" si="185"/>
        <v>52710</v>
      </c>
      <c r="CH216" s="532">
        <f ca="1">IF(CH215=0,SUMIFS('Key Life Events'!$L$3:$L$28,'Key Life Events'!$H$3:$H$28,'Loan Amortization'!$CL$3,'Key Life Events'!$N$3:$N$28,'Loan Amortization'!CG216),CH215-CK215)</f>
        <v>0</v>
      </c>
      <c r="CI216" s="532">
        <f t="shared" ca="1" si="186"/>
        <v>0</v>
      </c>
      <c r="CJ216" s="532">
        <f t="shared" ca="1" si="187"/>
        <v>0</v>
      </c>
      <c r="CK216" s="532">
        <f t="shared" ca="1" si="159"/>
        <v>0</v>
      </c>
      <c r="CP216" s="536">
        <f t="shared" ca="1" si="160"/>
        <v>2044</v>
      </c>
      <c r="CQ216" s="535">
        <f ca="1"/>
        <v>0</v>
      </c>
      <c r="CS216" s="100">
        <f t="shared" si="161"/>
        <v>215</v>
      </c>
      <c r="CT216" s="102">
        <f t="shared" ca="1" si="162"/>
        <v>0</v>
      </c>
      <c r="CU216" s="102">
        <f t="shared" ca="1" si="163"/>
        <v>0</v>
      </c>
      <c r="CV216" s="511">
        <f t="shared" ca="1" si="164"/>
        <v>2044</v>
      </c>
    </row>
    <row r="217" spans="1:102" x14ac:dyDescent="0.3">
      <c r="A217" s="100">
        <v>216</v>
      </c>
      <c r="B217" s="131">
        <f t="shared" si="165"/>
        <v>5719</v>
      </c>
      <c r="C217" s="102">
        <f t="shared" si="166"/>
        <v>0</v>
      </c>
      <c r="D217" s="102">
        <f t="shared" si="167"/>
        <v>0</v>
      </c>
      <c r="E217" s="102">
        <f t="shared" si="147"/>
        <v>0</v>
      </c>
      <c r="F217" s="102">
        <f t="shared" si="168"/>
        <v>0</v>
      </c>
      <c r="L217" s="100">
        <v>216</v>
      </c>
      <c r="M217" s="131">
        <f t="shared" ca="1" si="169"/>
        <v>52740</v>
      </c>
      <c r="N217" s="102">
        <f t="shared" si="170"/>
        <v>0</v>
      </c>
      <c r="O217" s="102">
        <f t="shared" si="171"/>
        <v>0</v>
      </c>
      <c r="P217" s="102">
        <f t="shared" si="148"/>
        <v>0</v>
      </c>
      <c r="Q217" s="102">
        <f t="shared" si="149"/>
        <v>0</v>
      </c>
      <c r="W217" s="100">
        <v>216</v>
      </c>
      <c r="X217" s="131">
        <f t="shared" ca="1" si="172"/>
        <v>52740</v>
      </c>
      <c r="Y217" s="102">
        <f t="shared" si="173"/>
        <v>0</v>
      </c>
      <c r="Z217" s="102">
        <f t="shared" si="174"/>
        <v>0</v>
      </c>
      <c r="AA217" s="102">
        <f t="shared" si="150"/>
        <v>0</v>
      </c>
      <c r="AB217" s="102">
        <f t="shared" si="151"/>
        <v>0</v>
      </c>
      <c r="AH217" s="100">
        <v>216</v>
      </c>
      <c r="AI217" s="131">
        <f t="shared" ca="1" si="175"/>
        <v>52740</v>
      </c>
      <c r="AJ217" s="102">
        <f t="shared" si="176"/>
        <v>0</v>
      </c>
      <c r="AK217" s="102">
        <f t="shared" si="177"/>
        <v>0</v>
      </c>
      <c r="AL217" s="102">
        <f t="shared" si="189"/>
        <v>0</v>
      </c>
      <c r="AM217" s="102">
        <f t="shared" si="152"/>
        <v>0</v>
      </c>
      <c r="AS217" s="530">
        <v>216</v>
      </c>
      <c r="AT217" s="531">
        <f t="shared" ca="1" si="178"/>
        <v>52740</v>
      </c>
      <c r="AU217" s="532">
        <f ca="1">IF(AU216=0,SUMIFS('Key Life Events'!$L$3:$L$28,'Key Life Events'!$H$3:$H$28,'Loan Amortization'!$AY$3,'Key Life Events'!$N$3:$N$28,'Loan Amortization'!AT217),AU216-AX216)</f>
        <v>0</v>
      </c>
      <c r="AV217" s="532">
        <f t="shared" ca="1" si="179"/>
        <v>0</v>
      </c>
      <c r="AW217" s="532">
        <f t="shared" ca="1" si="146"/>
        <v>0</v>
      </c>
      <c r="AX217" s="532">
        <f t="shared" ca="1" si="153"/>
        <v>0</v>
      </c>
      <c r="BC217" s="536">
        <f t="shared" ca="1" si="154"/>
        <v>2044</v>
      </c>
      <c r="BF217" s="530">
        <v>216</v>
      </c>
      <c r="BG217" s="531">
        <f t="shared" ca="1" si="180"/>
        <v>52740</v>
      </c>
      <c r="BH217" s="532">
        <f ca="1">IF(BH216=0,SUMIFS('Key Life Events'!$L$3:$L$28,'Key Life Events'!$H$3:$H$28,'Loan Amortization'!$BL$3,'Key Life Events'!$N$3:$N$28,'Loan Amortization'!BG217),BH216-BK216)</f>
        <v>0</v>
      </c>
      <c r="BI217" s="532">
        <f t="shared" ca="1" si="181"/>
        <v>0</v>
      </c>
      <c r="BJ217" s="532">
        <f t="shared" ca="1" si="182"/>
        <v>0</v>
      </c>
      <c r="BK217" s="532">
        <f t="shared" ca="1" si="155"/>
        <v>0</v>
      </c>
      <c r="BP217" s="536">
        <f t="shared" ca="1" si="156"/>
        <v>2044</v>
      </c>
      <c r="BQ217" s="535">
        <f ca="1"/>
        <v>0</v>
      </c>
      <c r="BS217" s="530">
        <v>216</v>
      </c>
      <c r="BT217" s="531">
        <f t="shared" ca="1" si="183"/>
        <v>52740</v>
      </c>
      <c r="BU217" s="532">
        <f ca="1">IF(BU216=0,SUMIFS('Key Life Events'!$L$3:$L$28,'Key Life Events'!$H$3:$H$28,'Loan Amortization'!$BY$3,'Key Life Events'!$N$3:$N$28,'Loan Amortization'!BT217),BU216-BX216)</f>
        <v>0</v>
      </c>
      <c r="BV217" s="532">
        <f t="shared" ca="1" si="188"/>
        <v>0</v>
      </c>
      <c r="BW217" s="532">
        <f t="shared" ca="1" si="184"/>
        <v>0</v>
      </c>
      <c r="BX217" s="532">
        <f t="shared" ca="1" si="157"/>
        <v>0</v>
      </c>
      <c r="CC217" s="536">
        <f t="shared" ca="1" si="158"/>
        <v>2044</v>
      </c>
      <c r="CD217" s="535">
        <f ca="1"/>
        <v>0</v>
      </c>
      <c r="CF217" s="530">
        <v>216</v>
      </c>
      <c r="CG217" s="531">
        <f t="shared" ca="1" si="185"/>
        <v>52740</v>
      </c>
      <c r="CH217" s="532">
        <f ca="1">IF(CH216=0,SUMIFS('Key Life Events'!$L$3:$L$28,'Key Life Events'!$H$3:$H$28,'Loan Amortization'!$CL$3,'Key Life Events'!$N$3:$N$28,'Loan Amortization'!CG217),CH216-CK216)</f>
        <v>0</v>
      </c>
      <c r="CI217" s="532">
        <f t="shared" ca="1" si="186"/>
        <v>0</v>
      </c>
      <c r="CJ217" s="532">
        <f t="shared" ca="1" si="187"/>
        <v>0</v>
      </c>
      <c r="CK217" s="532">
        <f t="shared" ca="1" si="159"/>
        <v>0</v>
      </c>
      <c r="CP217" s="536">
        <f t="shared" ca="1" si="160"/>
        <v>2044</v>
      </c>
      <c r="CQ217" s="535">
        <f ca="1"/>
        <v>0</v>
      </c>
      <c r="CS217" s="100">
        <f t="shared" si="161"/>
        <v>216</v>
      </c>
      <c r="CT217" s="102">
        <f t="shared" ca="1" si="162"/>
        <v>0</v>
      </c>
      <c r="CU217" s="102">
        <f t="shared" ca="1" si="163"/>
        <v>0</v>
      </c>
      <c r="CV217" s="511">
        <f t="shared" ca="1" si="164"/>
        <v>2044</v>
      </c>
    </row>
    <row r="218" spans="1:102" x14ac:dyDescent="0.3">
      <c r="A218" s="100">
        <v>217</v>
      </c>
      <c r="B218" s="131">
        <f t="shared" si="165"/>
        <v>5750</v>
      </c>
      <c r="C218" s="102">
        <f t="shared" si="166"/>
        <v>0</v>
      </c>
      <c r="D218" s="102">
        <f t="shared" si="167"/>
        <v>0</v>
      </c>
      <c r="E218" s="102">
        <f t="shared" si="147"/>
        <v>0</v>
      </c>
      <c r="F218" s="102">
        <f t="shared" si="168"/>
        <v>0</v>
      </c>
      <c r="L218" s="100">
        <v>217</v>
      </c>
      <c r="M218" s="131">
        <f t="shared" ca="1" si="169"/>
        <v>52771</v>
      </c>
      <c r="N218" s="102">
        <f t="shared" si="170"/>
        <v>0</v>
      </c>
      <c r="O218" s="102">
        <f t="shared" si="171"/>
        <v>0</v>
      </c>
      <c r="P218" s="102">
        <f t="shared" si="148"/>
        <v>0</v>
      </c>
      <c r="Q218" s="102">
        <f t="shared" si="149"/>
        <v>0</v>
      </c>
      <c r="W218" s="100">
        <v>217</v>
      </c>
      <c r="X218" s="131">
        <f t="shared" ca="1" si="172"/>
        <v>52771</v>
      </c>
      <c r="Y218" s="102">
        <f t="shared" si="173"/>
        <v>0</v>
      </c>
      <c r="Z218" s="102">
        <f t="shared" si="174"/>
        <v>0</v>
      </c>
      <c r="AA218" s="102">
        <f t="shared" si="150"/>
        <v>0</v>
      </c>
      <c r="AB218" s="102">
        <f t="shared" si="151"/>
        <v>0</v>
      </c>
      <c r="AH218" s="100">
        <v>217</v>
      </c>
      <c r="AI218" s="131">
        <f t="shared" ca="1" si="175"/>
        <v>52771</v>
      </c>
      <c r="AJ218" s="102">
        <f t="shared" si="176"/>
        <v>0</v>
      </c>
      <c r="AK218" s="102">
        <f t="shared" si="177"/>
        <v>0</v>
      </c>
      <c r="AL218" s="102">
        <f t="shared" si="189"/>
        <v>0</v>
      </c>
      <c r="AM218" s="102">
        <f t="shared" si="152"/>
        <v>0</v>
      </c>
      <c r="AS218" s="530">
        <v>217</v>
      </c>
      <c r="AT218" s="531">
        <f t="shared" ca="1" si="178"/>
        <v>52771</v>
      </c>
      <c r="AU218" s="532">
        <f ca="1">IF(AU217=0,SUMIFS('Key Life Events'!$L$3:$L$28,'Key Life Events'!$H$3:$H$28,'Loan Amortization'!$AY$3,'Key Life Events'!$N$3:$N$28,'Loan Amortization'!AT218),AU217-AX217)</f>
        <v>0</v>
      </c>
      <c r="AV218" s="532">
        <f t="shared" ca="1" si="179"/>
        <v>0</v>
      </c>
      <c r="AW218" s="532">
        <f t="shared" ca="1" si="146"/>
        <v>0</v>
      </c>
      <c r="AX218" s="532">
        <f t="shared" ca="1" si="153"/>
        <v>0</v>
      </c>
      <c r="BC218" s="536">
        <f t="shared" ca="1" si="154"/>
        <v>2044</v>
      </c>
      <c r="BF218" s="530">
        <v>217</v>
      </c>
      <c r="BG218" s="531">
        <f t="shared" ca="1" si="180"/>
        <v>52771</v>
      </c>
      <c r="BH218" s="532">
        <f ca="1">IF(BH217=0,SUMIFS('Key Life Events'!$L$3:$L$28,'Key Life Events'!$H$3:$H$28,'Loan Amortization'!$BL$3,'Key Life Events'!$N$3:$N$28,'Loan Amortization'!BG218),BH217-BK217)</f>
        <v>0</v>
      </c>
      <c r="BI218" s="532">
        <f t="shared" ca="1" si="181"/>
        <v>0</v>
      </c>
      <c r="BJ218" s="532">
        <f t="shared" ca="1" si="182"/>
        <v>0</v>
      </c>
      <c r="BK218" s="532">
        <f t="shared" ca="1" si="155"/>
        <v>0</v>
      </c>
      <c r="BP218" s="536">
        <f t="shared" ca="1" si="156"/>
        <v>2044</v>
      </c>
      <c r="BQ218" s="535">
        <f ca="1"/>
        <v>0</v>
      </c>
      <c r="BS218" s="530">
        <v>217</v>
      </c>
      <c r="BT218" s="531">
        <f t="shared" ca="1" si="183"/>
        <v>52771</v>
      </c>
      <c r="BU218" s="532">
        <f ca="1">IF(BU217=0,SUMIFS('Key Life Events'!$L$3:$L$28,'Key Life Events'!$H$3:$H$28,'Loan Amortization'!$BY$3,'Key Life Events'!$N$3:$N$28,'Loan Amortization'!BT218),BU217-BX217)</f>
        <v>0</v>
      </c>
      <c r="BV218" s="532">
        <f t="shared" ca="1" si="188"/>
        <v>0</v>
      </c>
      <c r="BW218" s="532">
        <f t="shared" ca="1" si="184"/>
        <v>0</v>
      </c>
      <c r="BX218" s="532">
        <f t="shared" ca="1" si="157"/>
        <v>0</v>
      </c>
      <c r="CC218" s="536">
        <f t="shared" ca="1" si="158"/>
        <v>2044</v>
      </c>
      <c r="CD218" s="535">
        <f ca="1"/>
        <v>0</v>
      </c>
      <c r="CF218" s="530">
        <v>217</v>
      </c>
      <c r="CG218" s="531">
        <f t="shared" ca="1" si="185"/>
        <v>52771</v>
      </c>
      <c r="CH218" s="532">
        <f ca="1">IF(CH217=0,SUMIFS('Key Life Events'!$L$3:$L$28,'Key Life Events'!$H$3:$H$28,'Loan Amortization'!$CL$3,'Key Life Events'!$N$3:$N$28,'Loan Amortization'!CG218),CH217-CK217)</f>
        <v>0</v>
      </c>
      <c r="CI218" s="532">
        <f t="shared" ca="1" si="186"/>
        <v>0</v>
      </c>
      <c r="CJ218" s="532">
        <f t="shared" ca="1" si="187"/>
        <v>0</v>
      </c>
      <c r="CK218" s="532">
        <f t="shared" ca="1" si="159"/>
        <v>0</v>
      </c>
      <c r="CP218" s="536">
        <f t="shared" ca="1" si="160"/>
        <v>2044</v>
      </c>
      <c r="CQ218" s="535">
        <f ca="1"/>
        <v>0</v>
      </c>
      <c r="CS218" s="100">
        <f t="shared" si="161"/>
        <v>217</v>
      </c>
      <c r="CT218" s="102">
        <f t="shared" ca="1" si="162"/>
        <v>0</v>
      </c>
      <c r="CU218" s="102">
        <f t="shared" ca="1" si="163"/>
        <v>0</v>
      </c>
      <c r="CV218" s="511">
        <f t="shared" ca="1" si="164"/>
        <v>2044</v>
      </c>
    </row>
    <row r="219" spans="1:102" x14ac:dyDescent="0.3">
      <c r="A219" s="100">
        <v>218</v>
      </c>
      <c r="B219" s="131">
        <f t="shared" si="165"/>
        <v>5780</v>
      </c>
      <c r="C219" s="102">
        <f t="shared" si="166"/>
        <v>0</v>
      </c>
      <c r="D219" s="102">
        <f t="shared" si="167"/>
        <v>0</v>
      </c>
      <c r="E219" s="102">
        <f t="shared" si="147"/>
        <v>0</v>
      </c>
      <c r="F219" s="102">
        <f t="shared" si="168"/>
        <v>0</v>
      </c>
      <c r="L219" s="100">
        <v>218</v>
      </c>
      <c r="M219" s="131">
        <f t="shared" ca="1" si="169"/>
        <v>52801</v>
      </c>
      <c r="N219" s="102">
        <f t="shared" si="170"/>
        <v>0</v>
      </c>
      <c r="O219" s="102">
        <f t="shared" si="171"/>
        <v>0</v>
      </c>
      <c r="P219" s="102">
        <f t="shared" si="148"/>
        <v>0</v>
      </c>
      <c r="Q219" s="102">
        <f t="shared" si="149"/>
        <v>0</v>
      </c>
      <c r="W219" s="100">
        <v>218</v>
      </c>
      <c r="X219" s="131">
        <f t="shared" ca="1" si="172"/>
        <v>52801</v>
      </c>
      <c r="Y219" s="102">
        <f t="shared" si="173"/>
        <v>0</v>
      </c>
      <c r="Z219" s="102">
        <f t="shared" si="174"/>
        <v>0</v>
      </c>
      <c r="AA219" s="102">
        <f t="shared" si="150"/>
        <v>0</v>
      </c>
      <c r="AB219" s="102">
        <f t="shared" si="151"/>
        <v>0</v>
      </c>
      <c r="AH219" s="100">
        <v>218</v>
      </c>
      <c r="AI219" s="131">
        <f t="shared" ca="1" si="175"/>
        <v>52801</v>
      </c>
      <c r="AJ219" s="102">
        <f t="shared" si="176"/>
        <v>0</v>
      </c>
      <c r="AK219" s="102">
        <f t="shared" si="177"/>
        <v>0</v>
      </c>
      <c r="AL219" s="102">
        <f t="shared" si="189"/>
        <v>0</v>
      </c>
      <c r="AM219" s="102">
        <f t="shared" si="152"/>
        <v>0</v>
      </c>
      <c r="AS219" s="530">
        <v>218</v>
      </c>
      <c r="AT219" s="531">
        <f t="shared" ca="1" si="178"/>
        <v>52801</v>
      </c>
      <c r="AU219" s="532">
        <f ca="1">IF(AU218=0,SUMIFS('Key Life Events'!$L$3:$L$28,'Key Life Events'!$H$3:$H$28,'Loan Amortization'!$AY$3,'Key Life Events'!$N$3:$N$28,'Loan Amortization'!AT219),AU218-AX218)</f>
        <v>0</v>
      </c>
      <c r="AV219" s="532">
        <f t="shared" ca="1" si="179"/>
        <v>0</v>
      </c>
      <c r="AW219" s="532">
        <f t="shared" ca="1" si="146"/>
        <v>0</v>
      </c>
      <c r="AX219" s="532">
        <f t="shared" ca="1" si="153"/>
        <v>0</v>
      </c>
      <c r="BC219" s="536">
        <f t="shared" ca="1" si="154"/>
        <v>2044</v>
      </c>
      <c r="BF219" s="530">
        <v>218</v>
      </c>
      <c r="BG219" s="531">
        <f t="shared" ca="1" si="180"/>
        <v>52801</v>
      </c>
      <c r="BH219" s="532">
        <f ca="1">IF(BH218=0,SUMIFS('Key Life Events'!$L$3:$L$28,'Key Life Events'!$H$3:$H$28,'Loan Amortization'!$BL$3,'Key Life Events'!$N$3:$N$28,'Loan Amortization'!BG219),BH218-BK218)</f>
        <v>0</v>
      </c>
      <c r="BI219" s="532">
        <f t="shared" ca="1" si="181"/>
        <v>0</v>
      </c>
      <c r="BJ219" s="532">
        <f t="shared" ca="1" si="182"/>
        <v>0</v>
      </c>
      <c r="BK219" s="532">
        <f t="shared" ca="1" si="155"/>
        <v>0</v>
      </c>
      <c r="BP219" s="536">
        <f t="shared" ca="1" si="156"/>
        <v>2044</v>
      </c>
      <c r="BQ219" s="535">
        <f ca="1"/>
        <v>0</v>
      </c>
      <c r="BS219" s="530">
        <v>218</v>
      </c>
      <c r="BT219" s="531">
        <f t="shared" ca="1" si="183"/>
        <v>52801</v>
      </c>
      <c r="BU219" s="532">
        <f ca="1">IF(BU218=0,SUMIFS('Key Life Events'!$L$3:$L$28,'Key Life Events'!$H$3:$H$28,'Loan Amortization'!$BY$3,'Key Life Events'!$N$3:$N$28,'Loan Amortization'!BT219),BU218-BX218)</f>
        <v>0</v>
      </c>
      <c r="BV219" s="532">
        <f t="shared" ca="1" si="188"/>
        <v>0</v>
      </c>
      <c r="BW219" s="532">
        <f t="shared" ca="1" si="184"/>
        <v>0</v>
      </c>
      <c r="BX219" s="532">
        <f t="shared" ca="1" si="157"/>
        <v>0</v>
      </c>
      <c r="CC219" s="536">
        <f t="shared" ca="1" si="158"/>
        <v>2044</v>
      </c>
      <c r="CD219" s="535">
        <f ca="1"/>
        <v>0</v>
      </c>
      <c r="CF219" s="530">
        <v>218</v>
      </c>
      <c r="CG219" s="531">
        <f t="shared" ca="1" si="185"/>
        <v>52801</v>
      </c>
      <c r="CH219" s="532">
        <f ca="1">IF(CH218=0,SUMIFS('Key Life Events'!$L$3:$L$28,'Key Life Events'!$H$3:$H$28,'Loan Amortization'!$CL$3,'Key Life Events'!$N$3:$N$28,'Loan Amortization'!CG219),CH218-CK218)</f>
        <v>0</v>
      </c>
      <c r="CI219" s="532">
        <f t="shared" ca="1" si="186"/>
        <v>0</v>
      </c>
      <c r="CJ219" s="532">
        <f t="shared" ca="1" si="187"/>
        <v>0</v>
      </c>
      <c r="CK219" s="532">
        <f t="shared" ca="1" si="159"/>
        <v>0</v>
      </c>
      <c r="CP219" s="536">
        <f t="shared" ca="1" si="160"/>
        <v>2044</v>
      </c>
      <c r="CQ219" s="535">
        <f ca="1"/>
        <v>0</v>
      </c>
      <c r="CS219" s="100">
        <f t="shared" si="161"/>
        <v>218</v>
      </c>
      <c r="CT219" s="102">
        <f t="shared" ca="1" si="162"/>
        <v>0</v>
      </c>
      <c r="CU219" s="102">
        <f t="shared" ca="1" si="163"/>
        <v>0</v>
      </c>
      <c r="CV219" s="511">
        <f t="shared" ca="1" si="164"/>
        <v>2044</v>
      </c>
    </row>
    <row r="220" spans="1:102" x14ac:dyDescent="0.3">
      <c r="A220" s="100">
        <v>219</v>
      </c>
      <c r="B220" s="131">
        <f t="shared" si="165"/>
        <v>5811</v>
      </c>
      <c r="C220" s="102">
        <f t="shared" si="166"/>
        <v>0</v>
      </c>
      <c r="D220" s="102">
        <f t="shared" si="167"/>
        <v>0</v>
      </c>
      <c r="E220" s="102">
        <f t="shared" si="147"/>
        <v>0</v>
      </c>
      <c r="F220" s="102">
        <f t="shared" si="168"/>
        <v>0</v>
      </c>
      <c r="L220" s="100">
        <v>219</v>
      </c>
      <c r="M220" s="131">
        <f t="shared" ca="1" si="169"/>
        <v>52832</v>
      </c>
      <c r="N220" s="102">
        <f t="shared" si="170"/>
        <v>0</v>
      </c>
      <c r="O220" s="102">
        <f t="shared" si="171"/>
        <v>0</v>
      </c>
      <c r="P220" s="102">
        <f t="shared" si="148"/>
        <v>0</v>
      </c>
      <c r="Q220" s="102">
        <f t="shared" si="149"/>
        <v>0</v>
      </c>
      <c r="W220" s="100">
        <v>219</v>
      </c>
      <c r="X220" s="131">
        <f t="shared" ca="1" si="172"/>
        <v>52832</v>
      </c>
      <c r="Y220" s="102">
        <f t="shared" si="173"/>
        <v>0</v>
      </c>
      <c r="Z220" s="102">
        <f t="shared" si="174"/>
        <v>0</v>
      </c>
      <c r="AA220" s="102">
        <f t="shared" si="150"/>
        <v>0</v>
      </c>
      <c r="AB220" s="102">
        <f t="shared" si="151"/>
        <v>0</v>
      </c>
      <c r="AH220" s="100">
        <v>219</v>
      </c>
      <c r="AI220" s="131">
        <f t="shared" ca="1" si="175"/>
        <v>52832</v>
      </c>
      <c r="AJ220" s="102">
        <f t="shared" si="176"/>
        <v>0</v>
      </c>
      <c r="AK220" s="102">
        <f t="shared" si="177"/>
        <v>0</v>
      </c>
      <c r="AL220" s="102">
        <f t="shared" si="189"/>
        <v>0</v>
      </c>
      <c r="AM220" s="102">
        <f t="shared" si="152"/>
        <v>0</v>
      </c>
      <c r="AS220" s="530">
        <v>219</v>
      </c>
      <c r="AT220" s="531">
        <f t="shared" ca="1" si="178"/>
        <v>52832</v>
      </c>
      <c r="AU220" s="532">
        <f ca="1">IF(AU219=0,SUMIFS('Key Life Events'!$L$3:$L$28,'Key Life Events'!$H$3:$H$28,'Loan Amortization'!$AY$3,'Key Life Events'!$N$3:$N$28,'Loan Amortization'!AT220),AU219-AX219)</f>
        <v>0</v>
      </c>
      <c r="AV220" s="532">
        <f t="shared" ca="1" si="179"/>
        <v>0</v>
      </c>
      <c r="AW220" s="532">
        <f t="shared" ca="1" si="146"/>
        <v>0</v>
      </c>
      <c r="AX220" s="532">
        <f t="shared" ca="1" si="153"/>
        <v>0</v>
      </c>
      <c r="BC220" s="536">
        <f t="shared" ca="1" si="154"/>
        <v>2044</v>
      </c>
      <c r="BF220" s="530">
        <v>219</v>
      </c>
      <c r="BG220" s="531">
        <f t="shared" ca="1" si="180"/>
        <v>52832</v>
      </c>
      <c r="BH220" s="532">
        <f ca="1">IF(BH219=0,SUMIFS('Key Life Events'!$L$3:$L$28,'Key Life Events'!$H$3:$H$28,'Loan Amortization'!$BL$3,'Key Life Events'!$N$3:$N$28,'Loan Amortization'!BG220),BH219-BK219)</f>
        <v>0</v>
      </c>
      <c r="BI220" s="532">
        <f t="shared" ca="1" si="181"/>
        <v>0</v>
      </c>
      <c r="BJ220" s="532">
        <f t="shared" ca="1" si="182"/>
        <v>0</v>
      </c>
      <c r="BK220" s="532">
        <f t="shared" ca="1" si="155"/>
        <v>0</v>
      </c>
      <c r="BP220" s="536">
        <f t="shared" ca="1" si="156"/>
        <v>2044</v>
      </c>
      <c r="BQ220" s="535">
        <f ca="1"/>
        <v>0</v>
      </c>
      <c r="BS220" s="530">
        <v>219</v>
      </c>
      <c r="BT220" s="531">
        <f t="shared" ca="1" si="183"/>
        <v>52832</v>
      </c>
      <c r="BU220" s="532">
        <f ca="1">IF(BU219=0,SUMIFS('Key Life Events'!$L$3:$L$28,'Key Life Events'!$H$3:$H$28,'Loan Amortization'!$BY$3,'Key Life Events'!$N$3:$N$28,'Loan Amortization'!BT220),BU219-BX219)</f>
        <v>0</v>
      </c>
      <c r="BV220" s="532">
        <f t="shared" ca="1" si="188"/>
        <v>0</v>
      </c>
      <c r="BW220" s="532">
        <f t="shared" ca="1" si="184"/>
        <v>0</v>
      </c>
      <c r="BX220" s="532">
        <f t="shared" ca="1" si="157"/>
        <v>0</v>
      </c>
      <c r="CC220" s="536">
        <f t="shared" ca="1" si="158"/>
        <v>2044</v>
      </c>
      <c r="CD220" s="535">
        <f ca="1"/>
        <v>0</v>
      </c>
      <c r="CF220" s="530">
        <v>219</v>
      </c>
      <c r="CG220" s="531">
        <f t="shared" ca="1" si="185"/>
        <v>52832</v>
      </c>
      <c r="CH220" s="532">
        <f ca="1">IF(CH219=0,SUMIFS('Key Life Events'!$L$3:$L$28,'Key Life Events'!$H$3:$H$28,'Loan Amortization'!$CL$3,'Key Life Events'!$N$3:$N$28,'Loan Amortization'!CG220),CH219-CK219)</f>
        <v>0</v>
      </c>
      <c r="CI220" s="532">
        <f t="shared" ca="1" si="186"/>
        <v>0</v>
      </c>
      <c r="CJ220" s="532">
        <f t="shared" ca="1" si="187"/>
        <v>0</v>
      </c>
      <c r="CK220" s="532">
        <f t="shared" ca="1" si="159"/>
        <v>0</v>
      </c>
      <c r="CP220" s="536">
        <f t="shared" ca="1" si="160"/>
        <v>2044</v>
      </c>
      <c r="CQ220" s="535">
        <f ca="1"/>
        <v>0</v>
      </c>
      <c r="CS220" s="100">
        <f t="shared" si="161"/>
        <v>219</v>
      </c>
      <c r="CT220" s="102">
        <f t="shared" ca="1" si="162"/>
        <v>0</v>
      </c>
      <c r="CU220" s="102">
        <f t="shared" ca="1" si="163"/>
        <v>0</v>
      </c>
      <c r="CV220" s="511">
        <f t="shared" ca="1" si="164"/>
        <v>2044</v>
      </c>
    </row>
    <row r="221" spans="1:102" x14ac:dyDescent="0.3">
      <c r="A221" s="100">
        <v>220</v>
      </c>
      <c r="B221" s="131">
        <f t="shared" si="165"/>
        <v>5841</v>
      </c>
      <c r="C221" s="102">
        <f t="shared" si="166"/>
        <v>0</v>
      </c>
      <c r="D221" s="102">
        <f t="shared" si="167"/>
        <v>0</v>
      </c>
      <c r="E221" s="102">
        <f t="shared" si="147"/>
        <v>0</v>
      </c>
      <c r="F221" s="102">
        <f t="shared" si="168"/>
        <v>0</v>
      </c>
      <c r="L221" s="100">
        <v>220</v>
      </c>
      <c r="M221" s="131">
        <f t="shared" ca="1" si="169"/>
        <v>52863</v>
      </c>
      <c r="N221" s="102">
        <f t="shared" si="170"/>
        <v>0</v>
      </c>
      <c r="O221" s="102">
        <f t="shared" si="171"/>
        <v>0</v>
      </c>
      <c r="P221" s="102">
        <f t="shared" si="148"/>
        <v>0</v>
      </c>
      <c r="Q221" s="102">
        <f t="shared" si="149"/>
        <v>0</v>
      </c>
      <c r="W221" s="100">
        <v>220</v>
      </c>
      <c r="X221" s="131">
        <f t="shared" ca="1" si="172"/>
        <v>52863</v>
      </c>
      <c r="Y221" s="102">
        <f t="shared" si="173"/>
        <v>0</v>
      </c>
      <c r="Z221" s="102">
        <f t="shared" si="174"/>
        <v>0</v>
      </c>
      <c r="AA221" s="102">
        <f t="shared" si="150"/>
        <v>0</v>
      </c>
      <c r="AB221" s="102">
        <f t="shared" si="151"/>
        <v>0</v>
      </c>
      <c r="AH221" s="100">
        <v>220</v>
      </c>
      <c r="AI221" s="131">
        <f t="shared" ca="1" si="175"/>
        <v>52863</v>
      </c>
      <c r="AJ221" s="102">
        <f t="shared" si="176"/>
        <v>0</v>
      </c>
      <c r="AK221" s="102">
        <f t="shared" si="177"/>
        <v>0</v>
      </c>
      <c r="AL221" s="102">
        <f t="shared" si="189"/>
        <v>0</v>
      </c>
      <c r="AM221" s="102">
        <f t="shared" si="152"/>
        <v>0</v>
      </c>
      <c r="AS221" s="530">
        <v>220</v>
      </c>
      <c r="AT221" s="531">
        <f t="shared" ca="1" si="178"/>
        <v>52863</v>
      </c>
      <c r="AU221" s="532">
        <f ca="1">IF(AU220=0,SUMIFS('Key Life Events'!$L$3:$L$28,'Key Life Events'!$H$3:$H$28,'Loan Amortization'!$AY$3,'Key Life Events'!$N$3:$N$28,'Loan Amortization'!AT221),AU220-AX220)</f>
        <v>0</v>
      </c>
      <c r="AV221" s="532">
        <f t="shared" ca="1" si="179"/>
        <v>0</v>
      </c>
      <c r="AW221" s="532">
        <f t="shared" ca="1" si="146"/>
        <v>0</v>
      </c>
      <c r="AX221" s="532">
        <f t="shared" ca="1" si="153"/>
        <v>0</v>
      </c>
      <c r="BC221" s="536">
        <f t="shared" ca="1" si="154"/>
        <v>2044</v>
      </c>
      <c r="BF221" s="530">
        <v>220</v>
      </c>
      <c r="BG221" s="531">
        <f t="shared" ca="1" si="180"/>
        <v>52863</v>
      </c>
      <c r="BH221" s="532">
        <f ca="1">IF(BH220=0,SUMIFS('Key Life Events'!$L$3:$L$28,'Key Life Events'!$H$3:$H$28,'Loan Amortization'!$BL$3,'Key Life Events'!$N$3:$N$28,'Loan Amortization'!BG221),BH220-BK220)</f>
        <v>0</v>
      </c>
      <c r="BI221" s="532">
        <f t="shared" ca="1" si="181"/>
        <v>0</v>
      </c>
      <c r="BJ221" s="532">
        <f t="shared" ca="1" si="182"/>
        <v>0</v>
      </c>
      <c r="BK221" s="532">
        <f t="shared" ca="1" si="155"/>
        <v>0</v>
      </c>
      <c r="BP221" s="536">
        <f t="shared" ca="1" si="156"/>
        <v>2044</v>
      </c>
      <c r="BQ221" s="535">
        <f ca="1"/>
        <v>0</v>
      </c>
      <c r="BS221" s="530">
        <v>220</v>
      </c>
      <c r="BT221" s="531">
        <f t="shared" ca="1" si="183"/>
        <v>52863</v>
      </c>
      <c r="BU221" s="532">
        <f ca="1">IF(BU220=0,SUMIFS('Key Life Events'!$L$3:$L$28,'Key Life Events'!$H$3:$H$28,'Loan Amortization'!$BY$3,'Key Life Events'!$N$3:$N$28,'Loan Amortization'!BT221),BU220-BX220)</f>
        <v>0</v>
      </c>
      <c r="BV221" s="532">
        <f t="shared" ca="1" si="188"/>
        <v>0</v>
      </c>
      <c r="BW221" s="532">
        <f t="shared" ca="1" si="184"/>
        <v>0</v>
      </c>
      <c r="BX221" s="532">
        <f t="shared" ca="1" si="157"/>
        <v>0</v>
      </c>
      <c r="CC221" s="536">
        <f t="shared" ca="1" si="158"/>
        <v>2044</v>
      </c>
      <c r="CD221" s="535">
        <f ca="1"/>
        <v>0</v>
      </c>
      <c r="CF221" s="530">
        <v>220</v>
      </c>
      <c r="CG221" s="531">
        <f t="shared" ca="1" si="185"/>
        <v>52863</v>
      </c>
      <c r="CH221" s="532">
        <f ca="1">IF(CH220=0,SUMIFS('Key Life Events'!$L$3:$L$28,'Key Life Events'!$H$3:$H$28,'Loan Amortization'!$CL$3,'Key Life Events'!$N$3:$N$28,'Loan Amortization'!CG221),CH220-CK220)</f>
        <v>0</v>
      </c>
      <c r="CI221" s="532">
        <f t="shared" ca="1" si="186"/>
        <v>0</v>
      </c>
      <c r="CJ221" s="532">
        <f t="shared" ca="1" si="187"/>
        <v>0</v>
      </c>
      <c r="CK221" s="532">
        <f t="shared" ca="1" si="159"/>
        <v>0</v>
      </c>
      <c r="CP221" s="536">
        <f t="shared" ca="1" si="160"/>
        <v>2044</v>
      </c>
      <c r="CQ221" s="535">
        <f ca="1"/>
        <v>0</v>
      </c>
      <c r="CS221" s="100">
        <f t="shared" si="161"/>
        <v>220</v>
      </c>
      <c r="CT221" s="102">
        <f t="shared" ca="1" si="162"/>
        <v>0</v>
      </c>
      <c r="CU221" s="102">
        <f t="shared" ca="1" si="163"/>
        <v>0</v>
      </c>
      <c r="CV221" s="511">
        <f t="shared" ca="1" si="164"/>
        <v>2044</v>
      </c>
    </row>
    <row r="222" spans="1:102" x14ac:dyDescent="0.3">
      <c r="A222" s="100">
        <v>221</v>
      </c>
      <c r="B222" s="131">
        <f t="shared" si="165"/>
        <v>5872</v>
      </c>
      <c r="C222" s="102">
        <f t="shared" si="166"/>
        <v>0</v>
      </c>
      <c r="D222" s="102">
        <f t="shared" si="167"/>
        <v>0</v>
      </c>
      <c r="E222" s="102">
        <f t="shared" si="147"/>
        <v>0</v>
      </c>
      <c r="F222" s="102">
        <f t="shared" si="168"/>
        <v>0</v>
      </c>
      <c r="L222" s="100">
        <v>221</v>
      </c>
      <c r="M222" s="131">
        <f t="shared" ca="1" si="169"/>
        <v>52893</v>
      </c>
      <c r="N222" s="102">
        <f t="shared" si="170"/>
        <v>0</v>
      </c>
      <c r="O222" s="102">
        <f t="shared" si="171"/>
        <v>0</v>
      </c>
      <c r="P222" s="102">
        <f t="shared" si="148"/>
        <v>0</v>
      </c>
      <c r="Q222" s="102">
        <f t="shared" si="149"/>
        <v>0</v>
      </c>
      <c r="W222" s="100">
        <v>221</v>
      </c>
      <c r="X222" s="131">
        <f t="shared" ca="1" si="172"/>
        <v>52893</v>
      </c>
      <c r="Y222" s="102">
        <f t="shared" si="173"/>
        <v>0</v>
      </c>
      <c r="Z222" s="102">
        <f t="shared" si="174"/>
        <v>0</v>
      </c>
      <c r="AA222" s="102">
        <f t="shared" si="150"/>
        <v>0</v>
      </c>
      <c r="AB222" s="102">
        <f t="shared" si="151"/>
        <v>0</v>
      </c>
      <c r="AH222" s="100">
        <v>221</v>
      </c>
      <c r="AI222" s="131">
        <f t="shared" ca="1" si="175"/>
        <v>52893</v>
      </c>
      <c r="AJ222" s="102">
        <f t="shared" si="176"/>
        <v>0</v>
      </c>
      <c r="AK222" s="102">
        <f t="shared" si="177"/>
        <v>0</v>
      </c>
      <c r="AL222" s="102">
        <f t="shared" si="189"/>
        <v>0</v>
      </c>
      <c r="AM222" s="102">
        <f t="shared" si="152"/>
        <v>0</v>
      </c>
      <c r="AS222" s="530">
        <v>221</v>
      </c>
      <c r="AT222" s="531">
        <f t="shared" ca="1" si="178"/>
        <v>52893</v>
      </c>
      <c r="AU222" s="532">
        <f ca="1">IF(AU221=0,SUMIFS('Key Life Events'!$L$3:$L$28,'Key Life Events'!$H$3:$H$28,'Loan Amortization'!$AY$3,'Key Life Events'!$N$3:$N$28,'Loan Amortization'!AT222),AU221-AX221)</f>
        <v>0</v>
      </c>
      <c r="AV222" s="532">
        <f t="shared" ca="1" si="179"/>
        <v>0</v>
      </c>
      <c r="AW222" s="532">
        <f t="shared" ca="1" si="146"/>
        <v>0</v>
      </c>
      <c r="AX222" s="532">
        <f t="shared" ca="1" si="153"/>
        <v>0</v>
      </c>
      <c r="BC222" s="536">
        <f t="shared" ca="1" si="154"/>
        <v>2044</v>
      </c>
      <c r="BF222" s="530">
        <v>221</v>
      </c>
      <c r="BG222" s="531">
        <f t="shared" ca="1" si="180"/>
        <v>52893</v>
      </c>
      <c r="BH222" s="532">
        <f ca="1">IF(BH221=0,SUMIFS('Key Life Events'!$L$3:$L$28,'Key Life Events'!$H$3:$H$28,'Loan Amortization'!$BL$3,'Key Life Events'!$N$3:$N$28,'Loan Amortization'!BG222),BH221-BK221)</f>
        <v>0</v>
      </c>
      <c r="BI222" s="532">
        <f t="shared" ca="1" si="181"/>
        <v>0</v>
      </c>
      <c r="BJ222" s="532">
        <f t="shared" ca="1" si="182"/>
        <v>0</v>
      </c>
      <c r="BK222" s="532">
        <f t="shared" ca="1" si="155"/>
        <v>0</v>
      </c>
      <c r="BP222" s="536">
        <f t="shared" ca="1" si="156"/>
        <v>2044</v>
      </c>
      <c r="BQ222" s="535">
        <f ca="1"/>
        <v>0</v>
      </c>
      <c r="BS222" s="530">
        <v>221</v>
      </c>
      <c r="BT222" s="531">
        <f t="shared" ca="1" si="183"/>
        <v>52893</v>
      </c>
      <c r="BU222" s="532">
        <f ca="1">IF(BU221=0,SUMIFS('Key Life Events'!$L$3:$L$28,'Key Life Events'!$H$3:$H$28,'Loan Amortization'!$BY$3,'Key Life Events'!$N$3:$N$28,'Loan Amortization'!BT222),BU221-BX221)</f>
        <v>0</v>
      </c>
      <c r="BV222" s="532">
        <f t="shared" ca="1" si="188"/>
        <v>0</v>
      </c>
      <c r="BW222" s="532">
        <f t="shared" ca="1" si="184"/>
        <v>0</v>
      </c>
      <c r="BX222" s="532">
        <f t="shared" ca="1" si="157"/>
        <v>0</v>
      </c>
      <c r="CC222" s="536">
        <f t="shared" ca="1" si="158"/>
        <v>2044</v>
      </c>
      <c r="CD222" s="535">
        <f ca="1"/>
        <v>0</v>
      </c>
      <c r="CF222" s="530">
        <v>221</v>
      </c>
      <c r="CG222" s="531">
        <f t="shared" ca="1" si="185"/>
        <v>52893</v>
      </c>
      <c r="CH222" s="532">
        <f ca="1">IF(CH221=0,SUMIFS('Key Life Events'!$L$3:$L$28,'Key Life Events'!$H$3:$H$28,'Loan Amortization'!$CL$3,'Key Life Events'!$N$3:$N$28,'Loan Amortization'!CG222),CH221-CK221)</f>
        <v>0</v>
      </c>
      <c r="CI222" s="532">
        <f t="shared" ca="1" si="186"/>
        <v>0</v>
      </c>
      <c r="CJ222" s="532">
        <f t="shared" ca="1" si="187"/>
        <v>0</v>
      </c>
      <c r="CK222" s="532">
        <f t="shared" ca="1" si="159"/>
        <v>0</v>
      </c>
      <c r="CP222" s="536">
        <f t="shared" ca="1" si="160"/>
        <v>2044</v>
      </c>
      <c r="CQ222" s="535">
        <f ca="1"/>
        <v>0</v>
      </c>
      <c r="CS222" s="100">
        <f t="shared" si="161"/>
        <v>221</v>
      </c>
      <c r="CT222" s="102">
        <f t="shared" ca="1" si="162"/>
        <v>0</v>
      </c>
      <c r="CU222" s="102">
        <f t="shared" ca="1" si="163"/>
        <v>0</v>
      </c>
      <c r="CV222" s="511">
        <f t="shared" ca="1" si="164"/>
        <v>2044</v>
      </c>
    </row>
    <row r="223" spans="1:102" x14ac:dyDescent="0.3">
      <c r="A223" s="100">
        <v>222</v>
      </c>
      <c r="B223" s="131">
        <f t="shared" si="165"/>
        <v>5903</v>
      </c>
      <c r="C223" s="102">
        <f t="shared" si="166"/>
        <v>0</v>
      </c>
      <c r="D223" s="102">
        <f t="shared" si="167"/>
        <v>0</v>
      </c>
      <c r="E223" s="102">
        <f t="shared" si="147"/>
        <v>0</v>
      </c>
      <c r="F223" s="102">
        <f t="shared" si="168"/>
        <v>0</v>
      </c>
      <c r="L223" s="100">
        <v>222</v>
      </c>
      <c r="M223" s="131">
        <f t="shared" ca="1" si="169"/>
        <v>52924</v>
      </c>
      <c r="N223" s="102">
        <f t="shared" si="170"/>
        <v>0</v>
      </c>
      <c r="O223" s="102">
        <f t="shared" si="171"/>
        <v>0</v>
      </c>
      <c r="P223" s="102">
        <f t="shared" si="148"/>
        <v>0</v>
      </c>
      <c r="Q223" s="102">
        <f t="shared" si="149"/>
        <v>0</v>
      </c>
      <c r="W223" s="100">
        <v>222</v>
      </c>
      <c r="X223" s="131">
        <f t="shared" ca="1" si="172"/>
        <v>52924</v>
      </c>
      <c r="Y223" s="102">
        <f t="shared" si="173"/>
        <v>0</v>
      </c>
      <c r="Z223" s="102">
        <f t="shared" si="174"/>
        <v>0</v>
      </c>
      <c r="AA223" s="102">
        <f t="shared" si="150"/>
        <v>0</v>
      </c>
      <c r="AB223" s="102">
        <f t="shared" si="151"/>
        <v>0</v>
      </c>
      <c r="AH223" s="100">
        <v>222</v>
      </c>
      <c r="AI223" s="131">
        <f t="shared" ca="1" si="175"/>
        <v>52924</v>
      </c>
      <c r="AJ223" s="102">
        <f t="shared" si="176"/>
        <v>0</v>
      </c>
      <c r="AK223" s="102">
        <f t="shared" si="177"/>
        <v>0</v>
      </c>
      <c r="AL223" s="102">
        <f t="shared" si="189"/>
        <v>0</v>
      </c>
      <c r="AM223" s="102">
        <f t="shared" si="152"/>
        <v>0</v>
      </c>
      <c r="AS223" s="530">
        <v>222</v>
      </c>
      <c r="AT223" s="531">
        <f t="shared" ca="1" si="178"/>
        <v>52924</v>
      </c>
      <c r="AU223" s="532">
        <f ca="1">IF(AU222=0,SUMIFS('Key Life Events'!$L$3:$L$28,'Key Life Events'!$H$3:$H$28,'Loan Amortization'!$AY$3,'Key Life Events'!$N$3:$N$28,'Loan Amortization'!AT223),AU222-AX222)</f>
        <v>0</v>
      </c>
      <c r="AV223" s="532">
        <f t="shared" ca="1" si="179"/>
        <v>0</v>
      </c>
      <c r="AW223" s="532">
        <f t="shared" ca="1" si="146"/>
        <v>0</v>
      </c>
      <c r="AX223" s="532">
        <f t="shared" ca="1" si="153"/>
        <v>0</v>
      </c>
      <c r="BC223" s="536">
        <f t="shared" ca="1" si="154"/>
        <v>2044</v>
      </c>
      <c r="BF223" s="530">
        <v>222</v>
      </c>
      <c r="BG223" s="531">
        <f t="shared" ca="1" si="180"/>
        <v>52924</v>
      </c>
      <c r="BH223" s="532">
        <f ca="1">IF(BH222=0,SUMIFS('Key Life Events'!$L$3:$L$28,'Key Life Events'!$H$3:$H$28,'Loan Amortization'!$BL$3,'Key Life Events'!$N$3:$N$28,'Loan Amortization'!BG223),BH222-BK222)</f>
        <v>0</v>
      </c>
      <c r="BI223" s="532">
        <f t="shared" ca="1" si="181"/>
        <v>0</v>
      </c>
      <c r="BJ223" s="532">
        <f t="shared" ca="1" si="182"/>
        <v>0</v>
      </c>
      <c r="BK223" s="532">
        <f t="shared" ca="1" si="155"/>
        <v>0</v>
      </c>
      <c r="BP223" s="536">
        <f t="shared" ca="1" si="156"/>
        <v>2044</v>
      </c>
      <c r="BQ223" s="535">
        <f ca="1"/>
        <v>0</v>
      </c>
      <c r="BS223" s="530">
        <v>222</v>
      </c>
      <c r="BT223" s="531">
        <f t="shared" ca="1" si="183"/>
        <v>52924</v>
      </c>
      <c r="BU223" s="532">
        <f ca="1">IF(BU222=0,SUMIFS('Key Life Events'!$L$3:$L$28,'Key Life Events'!$H$3:$H$28,'Loan Amortization'!$BY$3,'Key Life Events'!$N$3:$N$28,'Loan Amortization'!BT223),BU222-BX222)</f>
        <v>0</v>
      </c>
      <c r="BV223" s="532">
        <f t="shared" ca="1" si="188"/>
        <v>0</v>
      </c>
      <c r="BW223" s="532">
        <f t="shared" ca="1" si="184"/>
        <v>0</v>
      </c>
      <c r="BX223" s="532">
        <f t="shared" ca="1" si="157"/>
        <v>0</v>
      </c>
      <c r="CC223" s="536">
        <f t="shared" ca="1" si="158"/>
        <v>2044</v>
      </c>
      <c r="CD223" s="535">
        <f ca="1"/>
        <v>0</v>
      </c>
      <c r="CF223" s="530">
        <v>222</v>
      </c>
      <c r="CG223" s="531">
        <f t="shared" ca="1" si="185"/>
        <v>52924</v>
      </c>
      <c r="CH223" s="532">
        <f ca="1">IF(CH222=0,SUMIFS('Key Life Events'!$L$3:$L$28,'Key Life Events'!$H$3:$H$28,'Loan Amortization'!$CL$3,'Key Life Events'!$N$3:$N$28,'Loan Amortization'!CG223),CH222-CK222)</f>
        <v>0</v>
      </c>
      <c r="CI223" s="532">
        <f t="shared" ca="1" si="186"/>
        <v>0</v>
      </c>
      <c r="CJ223" s="532">
        <f t="shared" ca="1" si="187"/>
        <v>0</v>
      </c>
      <c r="CK223" s="532">
        <f t="shared" ca="1" si="159"/>
        <v>0</v>
      </c>
      <c r="CP223" s="536">
        <f t="shared" ca="1" si="160"/>
        <v>2044</v>
      </c>
      <c r="CQ223" s="535">
        <f ca="1"/>
        <v>0</v>
      </c>
      <c r="CS223" s="100">
        <f t="shared" si="161"/>
        <v>222</v>
      </c>
      <c r="CT223" s="102">
        <f t="shared" ca="1" si="162"/>
        <v>0</v>
      </c>
      <c r="CU223" s="102">
        <f t="shared" ca="1" si="163"/>
        <v>0</v>
      </c>
      <c r="CV223" s="511">
        <f t="shared" ca="1" si="164"/>
        <v>2044</v>
      </c>
    </row>
    <row r="224" spans="1:102" x14ac:dyDescent="0.3">
      <c r="A224" s="100">
        <v>223</v>
      </c>
      <c r="B224" s="131">
        <f t="shared" si="165"/>
        <v>5932</v>
      </c>
      <c r="C224" s="102">
        <f t="shared" si="166"/>
        <v>0</v>
      </c>
      <c r="D224" s="102">
        <f t="shared" si="167"/>
        <v>0</v>
      </c>
      <c r="E224" s="102">
        <f t="shared" si="147"/>
        <v>0</v>
      </c>
      <c r="F224" s="102">
        <f t="shared" si="168"/>
        <v>0</v>
      </c>
      <c r="L224" s="100">
        <v>223</v>
      </c>
      <c r="M224" s="131">
        <f t="shared" ca="1" si="169"/>
        <v>52954</v>
      </c>
      <c r="N224" s="102">
        <f t="shared" si="170"/>
        <v>0</v>
      </c>
      <c r="O224" s="102">
        <f t="shared" si="171"/>
        <v>0</v>
      </c>
      <c r="P224" s="102">
        <f t="shared" si="148"/>
        <v>0</v>
      </c>
      <c r="Q224" s="102">
        <f t="shared" si="149"/>
        <v>0</v>
      </c>
      <c r="W224" s="100">
        <v>223</v>
      </c>
      <c r="X224" s="131">
        <f t="shared" ca="1" si="172"/>
        <v>52954</v>
      </c>
      <c r="Y224" s="102">
        <f t="shared" si="173"/>
        <v>0</v>
      </c>
      <c r="Z224" s="102">
        <f t="shared" si="174"/>
        <v>0</v>
      </c>
      <c r="AA224" s="102">
        <f t="shared" si="150"/>
        <v>0</v>
      </c>
      <c r="AB224" s="102">
        <f t="shared" si="151"/>
        <v>0</v>
      </c>
      <c r="AH224" s="100">
        <v>223</v>
      </c>
      <c r="AI224" s="131">
        <f t="shared" ca="1" si="175"/>
        <v>52954</v>
      </c>
      <c r="AJ224" s="102">
        <f t="shared" si="176"/>
        <v>0</v>
      </c>
      <c r="AK224" s="102">
        <f t="shared" si="177"/>
        <v>0</v>
      </c>
      <c r="AL224" s="102">
        <f t="shared" si="189"/>
        <v>0</v>
      </c>
      <c r="AM224" s="102">
        <f t="shared" si="152"/>
        <v>0</v>
      </c>
      <c r="AS224" s="530">
        <v>223</v>
      </c>
      <c r="AT224" s="531">
        <f t="shared" ca="1" si="178"/>
        <v>52954</v>
      </c>
      <c r="AU224" s="532">
        <f ca="1">IF(AU223=0,SUMIFS('Key Life Events'!$L$3:$L$28,'Key Life Events'!$H$3:$H$28,'Loan Amortization'!$AY$3,'Key Life Events'!$N$3:$N$28,'Loan Amortization'!AT224),AU223-AX223)</f>
        <v>0</v>
      </c>
      <c r="AV224" s="532">
        <f t="shared" ca="1" si="179"/>
        <v>0</v>
      </c>
      <c r="AW224" s="532">
        <f t="shared" ca="1" si="146"/>
        <v>0</v>
      </c>
      <c r="AX224" s="532">
        <f t="shared" ca="1" si="153"/>
        <v>0</v>
      </c>
      <c r="BC224" s="536">
        <f t="shared" ca="1" si="154"/>
        <v>2044</v>
      </c>
      <c r="BF224" s="530">
        <v>223</v>
      </c>
      <c r="BG224" s="531">
        <f t="shared" ca="1" si="180"/>
        <v>52954</v>
      </c>
      <c r="BH224" s="532">
        <f ca="1">IF(BH223=0,SUMIFS('Key Life Events'!$L$3:$L$28,'Key Life Events'!$H$3:$H$28,'Loan Amortization'!$BL$3,'Key Life Events'!$N$3:$N$28,'Loan Amortization'!BG224),BH223-BK223)</f>
        <v>0</v>
      </c>
      <c r="BI224" s="532">
        <f t="shared" ca="1" si="181"/>
        <v>0</v>
      </c>
      <c r="BJ224" s="532">
        <f t="shared" ca="1" si="182"/>
        <v>0</v>
      </c>
      <c r="BK224" s="532">
        <f t="shared" ca="1" si="155"/>
        <v>0</v>
      </c>
      <c r="BP224" s="536">
        <f t="shared" ca="1" si="156"/>
        <v>2044</v>
      </c>
      <c r="BQ224" s="535">
        <f ca="1"/>
        <v>0</v>
      </c>
      <c r="BS224" s="530">
        <v>223</v>
      </c>
      <c r="BT224" s="531">
        <f t="shared" ca="1" si="183"/>
        <v>52954</v>
      </c>
      <c r="BU224" s="532">
        <f ca="1">IF(BU223=0,SUMIFS('Key Life Events'!$L$3:$L$28,'Key Life Events'!$H$3:$H$28,'Loan Amortization'!$BY$3,'Key Life Events'!$N$3:$N$28,'Loan Amortization'!BT224),BU223-BX223)</f>
        <v>0</v>
      </c>
      <c r="BV224" s="532">
        <f t="shared" ca="1" si="188"/>
        <v>0</v>
      </c>
      <c r="BW224" s="532">
        <f t="shared" ca="1" si="184"/>
        <v>0</v>
      </c>
      <c r="BX224" s="532">
        <f t="shared" ca="1" si="157"/>
        <v>0</v>
      </c>
      <c r="CC224" s="536">
        <f t="shared" ca="1" si="158"/>
        <v>2044</v>
      </c>
      <c r="CD224" s="535">
        <f ca="1"/>
        <v>0</v>
      </c>
      <c r="CF224" s="530">
        <v>223</v>
      </c>
      <c r="CG224" s="531">
        <f t="shared" ca="1" si="185"/>
        <v>52954</v>
      </c>
      <c r="CH224" s="532">
        <f ca="1">IF(CH223=0,SUMIFS('Key Life Events'!$L$3:$L$28,'Key Life Events'!$H$3:$H$28,'Loan Amortization'!$CL$3,'Key Life Events'!$N$3:$N$28,'Loan Amortization'!CG224),CH223-CK223)</f>
        <v>0</v>
      </c>
      <c r="CI224" s="532">
        <f t="shared" ca="1" si="186"/>
        <v>0</v>
      </c>
      <c r="CJ224" s="532">
        <f t="shared" ca="1" si="187"/>
        <v>0</v>
      </c>
      <c r="CK224" s="532">
        <f t="shared" ca="1" si="159"/>
        <v>0</v>
      </c>
      <c r="CP224" s="536">
        <f t="shared" ca="1" si="160"/>
        <v>2044</v>
      </c>
      <c r="CQ224" s="535">
        <f ca="1"/>
        <v>0</v>
      </c>
      <c r="CS224" s="100">
        <f t="shared" si="161"/>
        <v>223</v>
      </c>
      <c r="CT224" s="102">
        <f t="shared" ca="1" si="162"/>
        <v>0</v>
      </c>
      <c r="CU224" s="102">
        <f t="shared" ca="1" si="163"/>
        <v>0</v>
      </c>
      <c r="CV224" s="511">
        <f t="shared" ca="1" si="164"/>
        <v>2044</v>
      </c>
    </row>
    <row r="225" spans="1:100" x14ac:dyDescent="0.3">
      <c r="A225" s="100">
        <v>224</v>
      </c>
      <c r="B225" s="131">
        <f t="shared" si="165"/>
        <v>5963</v>
      </c>
      <c r="C225" s="102">
        <f t="shared" si="166"/>
        <v>0</v>
      </c>
      <c r="D225" s="102">
        <f t="shared" si="167"/>
        <v>0</v>
      </c>
      <c r="E225" s="102">
        <f t="shared" si="147"/>
        <v>0</v>
      </c>
      <c r="F225" s="102">
        <f t="shared" si="168"/>
        <v>0</v>
      </c>
      <c r="L225" s="100">
        <v>224</v>
      </c>
      <c r="M225" s="131">
        <f t="shared" ca="1" si="169"/>
        <v>52985</v>
      </c>
      <c r="N225" s="102">
        <f t="shared" si="170"/>
        <v>0</v>
      </c>
      <c r="O225" s="102">
        <f t="shared" si="171"/>
        <v>0</v>
      </c>
      <c r="P225" s="102">
        <f t="shared" si="148"/>
        <v>0</v>
      </c>
      <c r="Q225" s="102">
        <f t="shared" si="149"/>
        <v>0</v>
      </c>
      <c r="W225" s="100">
        <v>224</v>
      </c>
      <c r="X225" s="131">
        <f t="shared" ca="1" si="172"/>
        <v>52985</v>
      </c>
      <c r="Y225" s="102">
        <f t="shared" si="173"/>
        <v>0</v>
      </c>
      <c r="Z225" s="102">
        <f t="shared" si="174"/>
        <v>0</v>
      </c>
      <c r="AA225" s="102">
        <f t="shared" si="150"/>
        <v>0</v>
      </c>
      <c r="AB225" s="102">
        <f t="shared" si="151"/>
        <v>0</v>
      </c>
      <c r="AH225" s="100">
        <v>224</v>
      </c>
      <c r="AI225" s="131">
        <f t="shared" ca="1" si="175"/>
        <v>52985</v>
      </c>
      <c r="AJ225" s="102">
        <f t="shared" si="176"/>
        <v>0</v>
      </c>
      <c r="AK225" s="102">
        <f t="shared" si="177"/>
        <v>0</v>
      </c>
      <c r="AL225" s="102">
        <f t="shared" si="189"/>
        <v>0</v>
      </c>
      <c r="AM225" s="102">
        <f t="shared" si="152"/>
        <v>0</v>
      </c>
      <c r="AS225" s="530">
        <v>224</v>
      </c>
      <c r="AT225" s="531">
        <f t="shared" ca="1" si="178"/>
        <v>52985</v>
      </c>
      <c r="AU225" s="532">
        <f ca="1">IF(AU224=0,SUMIFS('Key Life Events'!$L$3:$L$28,'Key Life Events'!$H$3:$H$28,'Loan Amortization'!$AY$3,'Key Life Events'!$N$3:$N$28,'Loan Amortization'!AT225),AU224-AX224)</f>
        <v>0</v>
      </c>
      <c r="AV225" s="532">
        <f t="shared" ca="1" si="179"/>
        <v>0</v>
      </c>
      <c r="AW225" s="532">
        <f t="shared" ca="1" si="146"/>
        <v>0</v>
      </c>
      <c r="AX225" s="532">
        <f t="shared" ca="1" si="153"/>
        <v>0</v>
      </c>
      <c r="BC225" s="536">
        <f t="shared" ca="1" si="154"/>
        <v>2045</v>
      </c>
      <c r="BF225" s="530">
        <v>224</v>
      </c>
      <c r="BG225" s="531">
        <f t="shared" ca="1" si="180"/>
        <v>52985</v>
      </c>
      <c r="BH225" s="532">
        <f ca="1">IF(BH224=0,SUMIFS('Key Life Events'!$L$3:$L$28,'Key Life Events'!$H$3:$H$28,'Loan Amortization'!$BL$3,'Key Life Events'!$N$3:$N$28,'Loan Amortization'!BG225),BH224-BK224)</f>
        <v>0</v>
      </c>
      <c r="BI225" s="532">
        <f t="shared" ca="1" si="181"/>
        <v>0</v>
      </c>
      <c r="BJ225" s="532">
        <f t="shared" ca="1" si="182"/>
        <v>0</v>
      </c>
      <c r="BK225" s="532">
        <f t="shared" ca="1" si="155"/>
        <v>0</v>
      </c>
      <c r="BP225" s="536">
        <f t="shared" ca="1" si="156"/>
        <v>2045</v>
      </c>
      <c r="BQ225" s="535">
        <f ca="1"/>
        <v>0</v>
      </c>
      <c r="BS225" s="530">
        <v>224</v>
      </c>
      <c r="BT225" s="531">
        <f t="shared" ca="1" si="183"/>
        <v>52985</v>
      </c>
      <c r="BU225" s="532">
        <f ca="1">IF(BU224=0,SUMIFS('Key Life Events'!$L$3:$L$28,'Key Life Events'!$H$3:$H$28,'Loan Amortization'!$BY$3,'Key Life Events'!$N$3:$N$28,'Loan Amortization'!BT225),BU224-BX224)</f>
        <v>0</v>
      </c>
      <c r="BV225" s="532">
        <f t="shared" ca="1" si="188"/>
        <v>0</v>
      </c>
      <c r="BW225" s="532">
        <f t="shared" ca="1" si="184"/>
        <v>0</v>
      </c>
      <c r="BX225" s="532">
        <f t="shared" ca="1" si="157"/>
        <v>0</v>
      </c>
      <c r="CC225" s="536">
        <f t="shared" ca="1" si="158"/>
        <v>2045</v>
      </c>
      <c r="CD225" s="535">
        <f ca="1"/>
        <v>0</v>
      </c>
      <c r="CF225" s="530">
        <v>224</v>
      </c>
      <c r="CG225" s="531">
        <f t="shared" ca="1" si="185"/>
        <v>52985</v>
      </c>
      <c r="CH225" s="532">
        <f ca="1">IF(CH224=0,SUMIFS('Key Life Events'!$L$3:$L$28,'Key Life Events'!$H$3:$H$28,'Loan Amortization'!$CL$3,'Key Life Events'!$N$3:$N$28,'Loan Amortization'!CG225),CH224-CK224)</f>
        <v>0</v>
      </c>
      <c r="CI225" s="532">
        <f t="shared" ca="1" si="186"/>
        <v>0</v>
      </c>
      <c r="CJ225" s="532">
        <f t="shared" ca="1" si="187"/>
        <v>0</v>
      </c>
      <c r="CK225" s="532">
        <f t="shared" ca="1" si="159"/>
        <v>0</v>
      </c>
      <c r="CP225" s="536">
        <f t="shared" ca="1" si="160"/>
        <v>2045</v>
      </c>
      <c r="CQ225" s="535">
        <f ca="1"/>
        <v>0</v>
      </c>
      <c r="CS225" s="100">
        <f t="shared" si="161"/>
        <v>224</v>
      </c>
      <c r="CT225" s="102">
        <f t="shared" ca="1" si="162"/>
        <v>0</v>
      </c>
      <c r="CU225" s="102">
        <f t="shared" ca="1" si="163"/>
        <v>0</v>
      </c>
      <c r="CV225" s="511">
        <f t="shared" ca="1" si="164"/>
        <v>2045</v>
      </c>
    </row>
    <row r="226" spans="1:100" x14ac:dyDescent="0.3">
      <c r="A226" s="100">
        <v>225</v>
      </c>
      <c r="B226" s="131">
        <f t="shared" si="165"/>
        <v>5993</v>
      </c>
      <c r="C226" s="102">
        <f t="shared" si="166"/>
        <v>0</v>
      </c>
      <c r="D226" s="102">
        <f t="shared" si="167"/>
        <v>0</v>
      </c>
      <c r="E226" s="102">
        <f t="shared" si="147"/>
        <v>0</v>
      </c>
      <c r="F226" s="102">
        <f t="shared" si="168"/>
        <v>0</v>
      </c>
      <c r="L226" s="100">
        <v>225</v>
      </c>
      <c r="M226" s="131">
        <f t="shared" ca="1" si="169"/>
        <v>53016</v>
      </c>
      <c r="N226" s="102">
        <f t="shared" si="170"/>
        <v>0</v>
      </c>
      <c r="O226" s="102">
        <f t="shared" si="171"/>
        <v>0</v>
      </c>
      <c r="P226" s="102">
        <f t="shared" si="148"/>
        <v>0</v>
      </c>
      <c r="Q226" s="102">
        <f t="shared" si="149"/>
        <v>0</v>
      </c>
      <c r="W226" s="100">
        <v>225</v>
      </c>
      <c r="X226" s="131">
        <f t="shared" ca="1" si="172"/>
        <v>53016</v>
      </c>
      <c r="Y226" s="102">
        <f t="shared" si="173"/>
        <v>0</v>
      </c>
      <c r="Z226" s="102">
        <f t="shared" si="174"/>
        <v>0</v>
      </c>
      <c r="AA226" s="102">
        <f t="shared" si="150"/>
        <v>0</v>
      </c>
      <c r="AB226" s="102">
        <f t="shared" si="151"/>
        <v>0</v>
      </c>
      <c r="AH226" s="100">
        <v>225</v>
      </c>
      <c r="AI226" s="131">
        <f t="shared" ca="1" si="175"/>
        <v>53016</v>
      </c>
      <c r="AJ226" s="102">
        <f t="shared" si="176"/>
        <v>0</v>
      </c>
      <c r="AK226" s="102">
        <f t="shared" si="177"/>
        <v>0</v>
      </c>
      <c r="AL226" s="102">
        <f t="shared" si="189"/>
        <v>0</v>
      </c>
      <c r="AM226" s="102">
        <f t="shared" si="152"/>
        <v>0</v>
      </c>
      <c r="AS226" s="530">
        <v>225</v>
      </c>
      <c r="AT226" s="531">
        <f t="shared" ca="1" si="178"/>
        <v>53016</v>
      </c>
      <c r="AU226" s="532">
        <f ca="1">IF(AU225=0,SUMIFS('Key Life Events'!$L$3:$L$28,'Key Life Events'!$H$3:$H$28,'Loan Amortization'!$AY$3,'Key Life Events'!$N$3:$N$28,'Loan Amortization'!AT226),AU225-AX225)</f>
        <v>0</v>
      </c>
      <c r="AV226" s="532">
        <f t="shared" ca="1" si="179"/>
        <v>0</v>
      </c>
      <c r="AW226" s="532">
        <f t="shared" ca="1" si="146"/>
        <v>0</v>
      </c>
      <c r="AX226" s="532">
        <f t="shared" ca="1" si="153"/>
        <v>0</v>
      </c>
      <c r="BC226" s="536">
        <f t="shared" ca="1" si="154"/>
        <v>2045</v>
      </c>
      <c r="BF226" s="530">
        <v>225</v>
      </c>
      <c r="BG226" s="531">
        <f t="shared" ca="1" si="180"/>
        <v>53016</v>
      </c>
      <c r="BH226" s="532">
        <f ca="1">IF(BH225=0,SUMIFS('Key Life Events'!$L$3:$L$28,'Key Life Events'!$H$3:$H$28,'Loan Amortization'!$BL$3,'Key Life Events'!$N$3:$N$28,'Loan Amortization'!BG226),BH225-BK225)</f>
        <v>0</v>
      </c>
      <c r="BI226" s="532">
        <f t="shared" ca="1" si="181"/>
        <v>0</v>
      </c>
      <c r="BJ226" s="532">
        <f t="shared" ca="1" si="182"/>
        <v>0</v>
      </c>
      <c r="BK226" s="532">
        <f t="shared" ca="1" si="155"/>
        <v>0</v>
      </c>
      <c r="BP226" s="536">
        <f t="shared" ca="1" si="156"/>
        <v>2045</v>
      </c>
      <c r="BQ226" s="535">
        <f ca="1"/>
        <v>0</v>
      </c>
      <c r="BS226" s="530">
        <v>225</v>
      </c>
      <c r="BT226" s="531">
        <f t="shared" ca="1" si="183"/>
        <v>53016</v>
      </c>
      <c r="BU226" s="532">
        <f ca="1">IF(BU225=0,SUMIFS('Key Life Events'!$L$3:$L$28,'Key Life Events'!$H$3:$H$28,'Loan Amortization'!$BY$3,'Key Life Events'!$N$3:$N$28,'Loan Amortization'!BT226),BU225-BX225)</f>
        <v>0</v>
      </c>
      <c r="BV226" s="532">
        <f t="shared" ca="1" si="188"/>
        <v>0</v>
      </c>
      <c r="BW226" s="532">
        <f t="shared" ca="1" si="184"/>
        <v>0</v>
      </c>
      <c r="BX226" s="532">
        <f t="shared" ca="1" si="157"/>
        <v>0</v>
      </c>
      <c r="CC226" s="536">
        <f t="shared" ca="1" si="158"/>
        <v>2045</v>
      </c>
      <c r="CD226" s="535">
        <f ca="1"/>
        <v>0</v>
      </c>
      <c r="CF226" s="530">
        <v>225</v>
      </c>
      <c r="CG226" s="531">
        <f t="shared" ca="1" si="185"/>
        <v>53016</v>
      </c>
      <c r="CH226" s="532">
        <f ca="1">IF(CH225=0,SUMIFS('Key Life Events'!$L$3:$L$28,'Key Life Events'!$H$3:$H$28,'Loan Amortization'!$CL$3,'Key Life Events'!$N$3:$N$28,'Loan Amortization'!CG226),CH225-CK225)</f>
        <v>0</v>
      </c>
      <c r="CI226" s="532">
        <f t="shared" ca="1" si="186"/>
        <v>0</v>
      </c>
      <c r="CJ226" s="532">
        <f t="shared" ca="1" si="187"/>
        <v>0</v>
      </c>
      <c r="CK226" s="532">
        <f t="shared" ca="1" si="159"/>
        <v>0</v>
      </c>
      <c r="CP226" s="536">
        <f t="shared" ca="1" si="160"/>
        <v>2045</v>
      </c>
      <c r="CQ226" s="535">
        <f ca="1"/>
        <v>0</v>
      </c>
      <c r="CS226" s="100">
        <f t="shared" si="161"/>
        <v>225</v>
      </c>
      <c r="CT226" s="102">
        <f t="shared" ca="1" si="162"/>
        <v>0</v>
      </c>
      <c r="CU226" s="102">
        <f t="shared" ca="1" si="163"/>
        <v>0</v>
      </c>
      <c r="CV226" s="511">
        <f t="shared" ca="1" si="164"/>
        <v>2045</v>
      </c>
    </row>
    <row r="227" spans="1:100" x14ac:dyDescent="0.3">
      <c r="A227" s="100">
        <v>226</v>
      </c>
      <c r="B227" s="131">
        <f t="shared" si="165"/>
        <v>6024</v>
      </c>
      <c r="C227" s="102">
        <f t="shared" si="166"/>
        <v>0</v>
      </c>
      <c r="D227" s="102">
        <f t="shared" si="167"/>
        <v>0</v>
      </c>
      <c r="E227" s="102">
        <f t="shared" si="147"/>
        <v>0</v>
      </c>
      <c r="F227" s="102">
        <f t="shared" si="168"/>
        <v>0</v>
      </c>
      <c r="L227" s="100">
        <v>226</v>
      </c>
      <c r="M227" s="131">
        <f t="shared" ca="1" si="169"/>
        <v>53044</v>
      </c>
      <c r="N227" s="102">
        <f t="shared" si="170"/>
        <v>0</v>
      </c>
      <c r="O227" s="102">
        <f t="shared" si="171"/>
        <v>0</v>
      </c>
      <c r="P227" s="102">
        <f t="shared" si="148"/>
        <v>0</v>
      </c>
      <c r="Q227" s="102">
        <f t="shared" si="149"/>
        <v>0</v>
      </c>
      <c r="W227" s="100">
        <v>226</v>
      </c>
      <c r="X227" s="131">
        <f t="shared" ca="1" si="172"/>
        <v>53044</v>
      </c>
      <c r="Y227" s="102">
        <f t="shared" si="173"/>
        <v>0</v>
      </c>
      <c r="Z227" s="102">
        <f t="shared" si="174"/>
        <v>0</v>
      </c>
      <c r="AA227" s="102">
        <f t="shared" si="150"/>
        <v>0</v>
      </c>
      <c r="AB227" s="102">
        <f t="shared" si="151"/>
        <v>0</v>
      </c>
      <c r="AH227" s="100">
        <v>226</v>
      </c>
      <c r="AI227" s="131">
        <f t="shared" ca="1" si="175"/>
        <v>53044</v>
      </c>
      <c r="AJ227" s="102">
        <f t="shared" si="176"/>
        <v>0</v>
      </c>
      <c r="AK227" s="102">
        <f t="shared" si="177"/>
        <v>0</v>
      </c>
      <c r="AL227" s="102">
        <f t="shared" si="189"/>
        <v>0</v>
      </c>
      <c r="AM227" s="102">
        <f t="shared" si="152"/>
        <v>0</v>
      </c>
      <c r="AS227" s="530">
        <v>226</v>
      </c>
      <c r="AT227" s="531">
        <f t="shared" ca="1" si="178"/>
        <v>53044</v>
      </c>
      <c r="AU227" s="532">
        <f ca="1">IF(AU226=0,SUMIFS('Key Life Events'!$L$3:$L$28,'Key Life Events'!$H$3:$H$28,'Loan Amortization'!$AY$3,'Key Life Events'!$N$3:$N$28,'Loan Amortization'!AT227),AU226-AX226)</f>
        <v>0</v>
      </c>
      <c r="AV227" s="532">
        <f t="shared" ca="1" si="179"/>
        <v>0</v>
      </c>
      <c r="AW227" s="532">
        <f t="shared" ca="1" si="146"/>
        <v>0</v>
      </c>
      <c r="AX227" s="532">
        <f t="shared" ca="1" si="153"/>
        <v>0</v>
      </c>
      <c r="BC227" s="536">
        <f t="shared" ca="1" si="154"/>
        <v>2045</v>
      </c>
      <c r="BF227" s="530">
        <v>226</v>
      </c>
      <c r="BG227" s="531">
        <f t="shared" ca="1" si="180"/>
        <v>53044</v>
      </c>
      <c r="BH227" s="532">
        <f ca="1">IF(BH226=0,SUMIFS('Key Life Events'!$L$3:$L$28,'Key Life Events'!$H$3:$H$28,'Loan Amortization'!$BL$3,'Key Life Events'!$N$3:$N$28,'Loan Amortization'!BG227),BH226-BK226)</f>
        <v>0</v>
      </c>
      <c r="BI227" s="532">
        <f t="shared" ca="1" si="181"/>
        <v>0</v>
      </c>
      <c r="BJ227" s="532">
        <f t="shared" ca="1" si="182"/>
        <v>0</v>
      </c>
      <c r="BK227" s="532">
        <f t="shared" ca="1" si="155"/>
        <v>0</v>
      </c>
      <c r="BP227" s="536">
        <f t="shared" ca="1" si="156"/>
        <v>2045</v>
      </c>
      <c r="BQ227" s="535">
        <f ca="1"/>
        <v>0</v>
      </c>
      <c r="BS227" s="530">
        <v>226</v>
      </c>
      <c r="BT227" s="531">
        <f t="shared" ca="1" si="183"/>
        <v>53044</v>
      </c>
      <c r="BU227" s="532">
        <f ca="1">IF(BU226=0,SUMIFS('Key Life Events'!$L$3:$L$28,'Key Life Events'!$H$3:$H$28,'Loan Amortization'!$BY$3,'Key Life Events'!$N$3:$N$28,'Loan Amortization'!BT227),BU226-BX226)</f>
        <v>0</v>
      </c>
      <c r="BV227" s="532">
        <f t="shared" ca="1" si="188"/>
        <v>0</v>
      </c>
      <c r="BW227" s="532">
        <f t="shared" ca="1" si="184"/>
        <v>0</v>
      </c>
      <c r="BX227" s="532">
        <f t="shared" ca="1" si="157"/>
        <v>0</v>
      </c>
      <c r="CC227" s="536">
        <f t="shared" ca="1" si="158"/>
        <v>2045</v>
      </c>
      <c r="CD227" s="535">
        <f ca="1"/>
        <v>0</v>
      </c>
      <c r="CF227" s="530">
        <v>226</v>
      </c>
      <c r="CG227" s="531">
        <f t="shared" ca="1" si="185"/>
        <v>53044</v>
      </c>
      <c r="CH227" s="532">
        <f ca="1">IF(CH226=0,SUMIFS('Key Life Events'!$L$3:$L$28,'Key Life Events'!$H$3:$H$28,'Loan Amortization'!$CL$3,'Key Life Events'!$N$3:$N$28,'Loan Amortization'!CG227),CH226-CK226)</f>
        <v>0</v>
      </c>
      <c r="CI227" s="532">
        <f t="shared" ca="1" si="186"/>
        <v>0</v>
      </c>
      <c r="CJ227" s="532">
        <f t="shared" ca="1" si="187"/>
        <v>0</v>
      </c>
      <c r="CK227" s="532">
        <f t="shared" ca="1" si="159"/>
        <v>0</v>
      </c>
      <c r="CP227" s="536">
        <f t="shared" ca="1" si="160"/>
        <v>2045</v>
      </c>
      <c r="CQ227" s="535">
        <f ca="1"/>
        <v>0</v>
      </c>
      <c r="CS227" s="100">
        <f t="shared" si="161"/>
        <v>226</v>
      </c>
      <c r="CT227" s="102">
        <f t="shared" ca="1" si="162"/>
        <v>0</v>
      </c>
      <c r="CU227" s="102">
        <f t="shared" ca="1" si="163"/>
        <v>0</v>
      </c>
      <c r="CV227" s="511">
        <f t="shared" ca="1" si="164"/>
        <v>2045</v>
      </c>
    </row>
    <row r="228" spans="1:100" x14ac:dyDescent="0.3">
      <c r="A228" s="100">
        <v>227</v>
      </c>
      <c r="B228" s="131">
        <f t="shared" si="165"/>
        <v>6054</v>
      </c>
      <c r="C228" s="102">
        <f t="shared" si="166"/>
        <v>0</v>
      </c>
      <c r="D228" s="102">
        <f t="shared" si="167"/>
        <v>0</v>
      </c>
      <c r="E228" s="102">
        <f t="shared" si="147"/>
        <v>0</v>
      </c>
      <c r="F228" s="102">
        <f t="shared" si="168"/>
        <v>0</v>
      </c>
      <c r="L228" s="100">
        <v>227</v>
      </c>
      <c r="M228" s="131">
        <f t="shared" ca="1" si="169"/>
        <v>53075</v>
      </c>
      <c r="N228" s="102">
        <f t="shared" si="170"/>
        <v>0</v>
      </c>
      <c r="O228" s="102">
        <f t="shared" si="171"/>
        <v>0</v>
      </c>
      <c r="P228" s="102">
        <f t="shared" si="148"/>
        <v>0</v>
      </c>
      <c r="Q228" s="102">
        <f t="shared" si="149"/>
        <v>0</v>
      </c>
      <c r="W228" s="100">
        <v>227</v>
      </c>
      <c r="X228" s="131">
        <f t="shared" ca="1" si="172"/>
        <v>53075</v>
      </c>
      <c r="Y228" s="102">
        <f t="shared" si="173"/>
        <v>0</v>
      </c>
      <c r="Z228" s="102">
        <f t="shared" si="174"/>
        <v>0</v>
      </c>
      <c r="AA228" s="102">
        <f t="shared" si="150"/>
        <v>0</v>
      </c>
      <c r="AB228" s="102">
        <f t="shared" si="151"/>
        <v>0</v>
      </c>
      <c r="AH228" s="100">
        <v>227</v>
      </c>
      <c r="AI228" s="131">
        <f t="shared" ca="1" si="175"/>
        <v>53075</v>
      </c>
      <c r="AJ228" s="102">
        <f t="shared" si="176"/>
        <v>0</v>
      </c>
      <c r="AK228" s="102">
        <f t="shared" si="177"/>
        <v>0</v>
      </c>
      <c r="AL228" s="102">
        <f t="shared" si="189"/>
        <v>0</v>
      </c>
      <c r="AM228" s="102">
        <f t="shared" si="152"/>
        <v>0</v>
      </c>
      <c r="AS228" s="530">
        <v>227</v>
      </c>
      <c r="AT228" s="531">
        <f t="shared" ca="1" si="178"/>
        <v>53075</v>
      </c>
      <c r="AU228" s="532">
        <f ca="1">IF(AU227=0,SUMIFS('Key Life Events'!$L$3:$L$28,'Key Life Events'!$H$3:$H$28,'Loan Amortization'!$AY$3,'Key Life Events'!$N$3:$N$28,'Loan Amortization'!AT228),AU227-AX227)</f>
        <v>0</v>
      </c>
      <c r="AV228" s="532">
        <f t="shared" ca="1" si="179"/>
        <v>0</v>
      </c>
      <c r="AW228" s="532">
        <f t="shared" ca="1" si="146"/>
        <v>0</v>
      </c>
      <c r="AX228" s="532">
        <f t="shared" ca="1" si="153"/>
        <v>0</v>
      </c>
      <c r="BC228" s="536">
        <f t="shared" ca="1" si="154"/>
        <v>2045</v>
      </c>
      <c r="BF228" s="530">
        <v>227</v>
      </c>
      <c r="BG228" s="531">
        <f t="shared" ca="1" si="180"/>
        <v>53075</v>
      </c>
      <c r="BH228" s="532">
        <f ca="1">IF(BH227=0,SUMIFS('Key Life Events'!$L$3:$L$28,'Key Life Events'!$H$3:$H$28,'Loan Amortization'!$BL$3,'Key Life Events'!$N$3:$N$28,'Loan Amortization'!BG228),BH227-BK227)</f>
        <v>0</v>
      </c>
      <c r="BI228" s="532">
        <f t="shared" ca="1" si="181"/>
        <v>0</v>
      </c>
      <c r="BJ228" s="532">
        <f t="shared" ca="1" si="182"/>
        <v>0</v>
      </c>
      <c r="BK228" s="532">
        <f t="shared" ca="1" si="155"/>
        <v>0</v>
      </c>
      <c r="BP228" s="536">
        <f t="shared" ca="1" si="156"/>
        <v>2045</v>
      </c>
      <c r="BQ228" s="535">
        <f ca="1"/>
        <v>0</v>
      </c>
      <c r="BS228" s="530">
        <v>227</v>
      </c>
      <c r="BT228" s="531">
        <f t="shared" ca="1" si="183"/>
        <v>53075</v>
      </c>
      <c r="BU228" s="532">
        <f ca="1">IF(BU227=0,SUMIFS('Key Life Events'!$L$3:$L$28,'Key Life Events'!$H$3:$H$28,'Loan Amortization'!$BY$3,'Key Life Events'!$N$3:$N$28,'Loan Amortization'!BT228),BU227-BX227)</f>
        <v>0</v>
      </c>
      <c r="BV228" s="532">
        <f t="shared" ca="1" si="188"/>
        <v>0</v>
      </c>
      <c r="BW228" s="532">
        <f t="shared" ca="1" si="184"/>
        <v>0</v>
      </c>
      <c r="BX228" s="532">
        <f t="shared" ca="1" si="157"/>
        <v>0</v>
      </c>
      <c r="CC228" s="536">
        <f t="shared" ca="1" si="158"/>
        <v>2045</v>
      </c>
      <c r="CD228" s="535">
        <f ca="1"/>
        <v>0</v>
      </c>
      <c r="CF228" s="530">
        <v>227</v>
      </c>
      <c r="CG228" s="531">
        <f t="shared" ca="1" si="185"/>
        <v>53075</v>
      </c>
      <c r="CH228" s="532">
        <f ca="1">IF(CH227=0,SUMIFS('Key Life Events'!$L$3:$L$28,'Key Life Events'!$H$3:$H$28,'Loan Amortization'!$CL$3,'Key Life Events'!$N$3:$N$28,'Loan Amortization'!CG228),CH227-CK227)</f>
        <v>0</v>
      </c>
      <c r="CI228" s="532">
        <f t="shared" ca="1" si="186"/>
        <v>0</v>
      </c>
      <c r="CJ228" s="532">
        <f t="shared" ca="1" si="187"/>
        <v>0</v>
      </c>
      <c r="CK228" s="532">
        <f t="shared" ca="1" si="159"/>
        <v>0</v>
      </c>
      <c r="CP228" s="536">
        <f t="shared" ca="1" si="160"/>
        <v>2045</v>
      </c>
      <c r="CQ228" s="535">
        <f ca="1"/>
        <v>0</v>
      </c>
      <c r="CS228" s="100">
        <f t="shared" si="161"/>
        <v>227</v>
      </c>
      <c r="CT228" s="102">
        <f t="shared" ca="1" si="162"/>
        <v>0</v>
      </c>
      <c r="CU228" s="102">
        <f t="shared" ca="1" si="163"/>
        <v>0</v>
      </c>
      <c r="CV228" s="511">
        <f t="shared" ca="1" si="164"/>
        <v>2045</v>
      </c>
    </row>
    <row r="229" spans="1:100" x14ac:dyDescent="0.3">
      <c r="A229" s="100">
        <v>228</v>
      </c>
      <c r="B229" s="131">
        <f t="shared" si="165"/>
        <v>6085</v>
      </c>
      <c r="C229" s="102">
        <f t="shared" si="166"/>
        <v>0</v>
      </c>
      <c r="D229" s="102">
        <f t="shared" si="167"/>
        <v>0</v>
      </c>
      <c r="E229" s="102">
        <f t="shared" si="147"/>
        <v>0</v>
      </c>
      <c r="F229" s="102">
        <f t="shared" si="168"/>
        <v>0</v>
      </c>
      <c r="L229" s="100">
        <v>228</v>
      </c>
      <c r="M229" s="131">
        <f t="shared" ca="1" si="169"/>
        <v>53105</v>
      </c>
      <c r="N229" s="102">
        <f t="shared" si="170"/>
        <v>0</v>
      </c>
      <c r="O229" s="102">
        <f t="shared" si="171"/>
        <v>0</v>
      </c>
      <c r="P229" s="102">
        <f t="shared" si="148"/>
        <v>0</v>
      </c>
      <c r="Q229" s="102">
        <f t="shared" si="149"/>
        <v>0</v>
      </c>
      <c r="W229" s="100">
        <v>228</v>
      </c>
      <c r="X229" s="131">
        <f t="shared" ca="1" si="172"/>
        <v>53105</v>
      </c>
      <c r="Y229" s="102">
        <f t="shared" si="173"/>
        <v>0</v>
      </c>
      <c r="Z229" s="102">
        <f t="shared" si="174"/>
        <v>0</v>
      </c>
      <c r="AA229" s="102">
        <f t="shared" si="150"/>
        <v>0</v>
      </c>
      <c r="AB229" s="102">
        <f t="shared" si="151"/>
        <v>0</v>
      </c>
      <c r="AH229" s="100">
        <v>228</v>
      </c>
      <c r="AI229" s="131">
        <f t="shared" ca="1" si="175"/>
        <v>53105</v>
      </c>
      <c r="AJ229" s="102">
        <f t="shared" si="176"/>
        <v>0</v>
      </c>
      <c r="AK229" s="102">
        <f t="shared" si="177"/>
        <v>0</v>
      </c>
      <c r="AL229" s="102">
        <f t="shared" si="189"/>
        <v>0</v>
      </c>
      <c r="AM229" s="102">
        <f t="shared" si="152"/>
        <v>0</v>
      </c>
      <c r="AS229" s="530">
        <v>228</v>
      </c>
      <c r="AT229" s="531">
        <f t="shared" ca="1" si="178"/>
        <v>53105</v>
      </c>
      <c r="AU229" s="532">
        <f ca="1">IF(AU228=0,SUMIFS('Key Life Events'!$L$3:$L$28,'Key Life Events'!$H$3:$H$28,'Loan Amortization'!$AY$3,'Key Life Events'!$N$3:$N$28,'Loan Amortization'!AT229),AU228-AX228)</f>
        <v>0</v>
      </c>
      <c r="AV229" s="532">
        <f t="shared" ca="1" si="179"/>
        <v>0</v>
      </c>
      <c r="AW229" s="532">
        <f t="shared" ca="1" si="146"/>
        <v>0</v>
      </c>
      <c r="AX229" s="532">
        <f t="shared" ca="1" si="153"/>
        <v>0</v>
      </c>
      <c r="BC229" s="536">
        <f t="shared" ca="1" si="154"/>
        <v>2045</v>
      </c>
      <c r="BF229" s="530">
        <v>228</v>
      </c>
      <c r="BG229" s="531">
        <f t="shared" ca="1" si="180"/>
        <v>53105</v>
      </c>
      <c r="BH229" s="532">
        <f ca="1">IF(BH228=0,SUMIFS('Key Life Events'!$L$3:$L$28,'Key Life Events'!$H$3:$H$28,'Loan Amortization'!$BL$3,'Key Life Events'!$N$3:$N$28,'Loan Amortization'!BG229),BH228-BK228)</f>
        <v>0</v>
      </c>
      <c r="BI229" s="532">
        <f t="shared" ca="1" si="181"/>
        <v>0</v>
      </c>
      <c r="BJ229" s="532">
        <f t="shared" ca="1" si="182"/>
        <v>0</v>
      </c>
      <c r="BK229" s="532">
        <f t="shared" ca="1" si="155"/>
        <v>0</v>
      </c>
      <c r="BP229" s="536">
        <f t="shared" ca="1" si="156"/>
        <v>2045</v>
      </c>
      <c r="BQ229" s="535">
        <f ca="1"/>
        <v>0</v>
      </c>
      <c r="BS229" s="530">
        <v>228</v>
      </c>
      <c r="BT229" s="531">
        <f t="shared" ca="1" si="183"/>
        <v>53105</v>
      </c>
      <c r="BU229" s="532">
        <f ca="1">IF(BU228=0,SUMIFS('Key Life Events'!$L$3:$L$28,'Key Life Events'!$H$3:$H$28,'Loan Amortization'!$BY$3,'Key Life Events'!$N$3:$N$28,'Loan Amortization'!BT229),BU228-BX228)</f>
        <v>0</v>
      </c>
      <c r="BV229" s="532">
        <f t="shared" ca="1" si="188"/>
        <v>0</v>
      </c>
      <c r="BW229" s="532">
        <f t="shared" ca="1" si="184"/>
        <v>0</v>
      </c>
      <c r="BX229" s="532">
        <f t="shared" ca="1" si="157"/>
        <v>0</v>
      </c>
      <c r="CC229" s="536">
        <f t="shared" ca="1" si="158"/>
        <v>2045</v>
      </c>
      <c r="CD229" s="535">
        <f ca="1"/>
        <v>0</v>
      </c>
      <c r="CF229" s="530">
        <v>228</v>
      </c>
      <c r="CG229" s="531">
        <f t="shared" ca="1" si="185"/>
        <v>53105</v>
      </c>
      <c r="CH229" s="532">
        <f ca="1">IF(CH228=0,SUMIFS('Key Life Events'!$L$3:$L$28,'Key Life Events'!$H$3:$H$28,'Loan Amortization'!$CL$3,'Key Life Events'!$N$3:$N$28,'Loan Amortization'!CG229),CH228-CK228)</f>
        <v>0</v>
      </c>
      <c r="CI229" s="532">
        <f t="shared" ca="1" si="186"/>
        <v>0</v>
      </c>
      <c r="CJ229" s="532">
        <f t="shared" ca="1" si="187"/>
        <v>0</v>
      </c>
      <c r="CK229" s="532">
        <f t="shared" ca="1" si="159"/>
        <v>0</v>
      </c>
      <c r="CP229" s="536">
        <f t="shared" ca="1" si="160"/>
        <v>2045</v>
      </c>
      <c r="CQ229" s="535">
        <f ca="1"/>
        <v>0</v>
      </c>
      <c r="CS229" s="100">
        <f t="shared" si="161"/>
        <v>228</v>
      </c>
      <c r="CT229" s="102">
        <f t="shared" ca="1" si="162"/>
        <v>0</v>
      </c>
      <c r="CU229" s="102">
        <f t="shared" ca="1" si="163"/>
        <v>0</v>
      </c>
      <c r="CV229" s="511">
        <f t="shared" ca="1" si="164"/>
        <v>2045</v>
      </c>
    </row>
    <row r="230" spans="1:100" x14ac:dyDescent="0.3">
      <c r="A230" s="100">
        <v>229</v>
      </c>
      <c r="B230" s="131">
        <f t="shared" si="165"/>
        <v>6116</v>
      </c>
      <c r="C230" s="102">
        <f t="shared" si="166"/>
        <v>0</v>
      </c>
      <c r="D230" s="102">
        <f t="shared" si="167"/>
        <v>0</v>
      </c>
      <c r="E230" s="102">
        <f t="shared" si="147"/>
        <v>0</v>
      </c>
      <c r="F230" s="102">
        <f t="shared" si="168"/>
        <v>0</v>
      </c>
      <c r="L230" s="100">
        <v>229</v>
      </c>
      <c r="M230" s="131">
        <f t="shared" ca="1" si="169"/>
        <v>53136</v>
      </c>
      <c r="N230" s="102">
        <f t="shared" si="170"/>
        <v>0</v>
      </c>
      <c r="O230" s="102">
        <f t="shared" si="171"/>
        <v>0</v>
      </c>
      <c r="P230" s="102">
        <f t="shared" si="148"/>
        <v>0</v>
      </c>
      <c r="Q230" s="102">
        <f t="shared" si="149"/>
        <v>0</v>
      </c>
      <c r="W230" s="100">
        <v>229</v>
      </c>
      <c r="X230" s="131">
        <f t="shared" ca="1" si="172"/>
        <v>53136</v>
      </c>
      <c r="Y230" s="102">
        <f t="shared" si="173"/>
        <v>0</v>
      </c>
      <c r="Z230" s="102">
        <f t="shared" si="174"/>
        <v>0</v>
      </c>
      <c r="AA230" s="102">
        <f t="shared" si="150"/>
        <v>0</v>
      </c>
      <c r="AB230" s="102">
        <f t="shared" si="151"/>
        <v>0</v>
      </c>
      <c r="AH230" s="100">
        <v>229</v>
      </c>
      <c r="AI230" s="131">
        <f t="shared" ca="1" si="175"/>
        <v>53136</v>
      </c>
      <c r="AJ230" s="102">
        <f t="shared" si="176"/>
        <v>0</v>
      </c>
      <c r="AK230" s="102">
        <f t="shared" si="177"/>
        <v>0</v>
      </c>
      <c r="AL230" s="102">
        <f t="shared" si="189"/>
        <v>0</v>
      </c>
      <c r="AM230" s="102">
        <f t="shared" si="152"/>
        <v>0</v>
      </c>
      <c r="AS230" s="530">
        <v>229</v>
      </c>
      <c r="AT230" s="531">
        <f t="shared" ca="1" si="178"/>
        <v>53136</v>
      </c>
      <c r="AU230" s="532">
        <f ca="1">IF(AU229=0,SUMIFS('Key Life Events'!$L$3:$L$28,'Key Life Events'!$H$3:$H$28,'Loan Amortization'!$AY$3,'Key Life Events'!$N$3:$N$28,'Loan Amortization'!AT230),AU229-AX229)</f>
        <v>0</v>
      </c>
      <c r="AV230" s="532">
        <f t="shared" ca="1" si="179"/>
        <v>0</v>
      </c>
      <c r="AW230" s="532">
        <f t="shared" ca="1" si="146"/>
        <v>0</v>
      </c>
      <c r="AX230" s="532">
        <f t="shared" ca="1" si="153"/>
        <v>0</v>
      </c>
      <c r="BC230" s="536">
        <f t="shared" ca="1" si="154"/>
        <v>2045</v>
      </c>
      <c r="BF230" s="530">
        <v>229</v>
      </c>
      <c r="BG230" s="531">
        <f t="shared" ca="1" si="180"/>
        <v>53136</v>
      </c>
      <c r="BH230" s="532">
        <f ca="1">IF(BH229=0,SUMIFS('Key Life Events'!$L$3:$L$28,'Key Life Events'!$H$3:$H$28,'Loan Amortization'!$BL$3,'Key Life Events'!$N$3:$N$28,'Loan Amortization'!BG230),BH229-BK229)</f>
        <v>0</v>
      </c>
      <c r="BI230" s="532">
        <f t="shared" ca="1" si="181"/>
        <v>0</v>
      </c>
      <c r="BJ230" s="532">
        <f t="shared" ca="1" si="182"/>
        <v>0</v>
      </c>
      <c r="BK230" s="532">
        <f t="shared" ca="1" si="155"/>
        <v>0</v>
      </c>
      <c r="BP230" s="536">
        <f t="shared" ca="1" si="156"/>
        <v>2045</v>
      </c>
      <c r="BQ230" s="535">
        <f ca="1"/>
        <v>0</v>
      </c>
      <c r="BS230" s="530">
        <v>229</v>
      </c>
      <c r="BT230" s="531">
        <f t="shared" ca="1" si="183"/>
        <v>53136</v>
      </c>
      <c r="BU230" s="532">
        <f ca="1">IF(BU229=0,SUMIFS('Key Life Events'!$L$3:$L$28,'Key Life Events'!$H$3:$H$28,'Loan Amortization'!$BY$3,'Key Life Events'!$N$3:$N$28,'Loan Amortization'!BT230),BU229-BX229)</f>
        <v>0</v>
      </c>
      <c r="BV230" s="532">
        <f t="shared" ca="1" si="188"/>
        <v>0</v>
      </c>
      <c r="BW230" s="532">
        <f t="shared" ca="1" si="184"/>
        <v>0</v>
      </c>
      <c r="BX230" s="532">
        <f t="shared" ca="1" si="157"/>
        <v>0</v>
      </c>
      <c r="CC230" s="536">
        <f t="shared" ca="1" si="158"/>
        <v>2045</v>
      </c>
      <c r="CD230" s="535">
        <f ca="1"/>
        <v>0</v>
      </c>
      <c r="CF230" s="530">
        <v>229</v>
      </c>
      <c r="CG230" s="531">
        <f t="shared" ca="1" si="185"/>
        <v>53136</v>
      </c>
      <c r="CH230" s="532">
        <f ca="1">IF(CH229=0,SUMIFS('Key Life Events'!$L$3:$L$28,'Key Life Events'!$H$3:$H$28,'Loan Amortization'!$CL$3,'Key Life Events'!$N$3:$N$28,'Loan Amortization'!CG230),CH229-CK229)</f>
        <v>0</v>
      </c>
      <c r="CI230" s="532">
        <f t="shared" ca="1" si="186"/>
        <v>0</v>
      </c>
      <c r="CJ230" s="532">
        <f t="shared" ca="1" si="187"/>
        <v>0</v>
      </c>
      <c r="CK230" s="532">
        <f t="shared" ca="1" si="159"/>
        <v>0</v>
      </c>
      <c r="CP230" s="536">
        <f t="shared" ca="1" si="160"/>
        <v>2045</v>
      </c>
      <c r="CQ230" s="535">
        <f ca="1"/>
        <v>0</v>
      </c>
      <c r="CS230" s="100">
        <f t="shared" si="161"/>
        <v>229</v>
      </c>
      <c r="CT230" s="102">
        <f t="shared" ca="1" si="162"/>
        <v>0</v>
      </c>
      <c r="CU230" s="102">
        <f t="shared" ca="1" si="163"/>
        <v>0</v>
      </c>
      <c r="CV230" s="511">
        <f t="shared" ca="1" si="164"/>
        <v>2045</v>
      </c>
    </row>
    <row r="231" spans="1:100" x14ac:dyDescent="0.3">
      <c r="A231" s="100">
        <v>230</v>
      </c>
      <c r="B231" s="131">
        <f t="shared" si="165"/>
        <v>6146</v>
      </c>
      <c r="C231" s="102">
        <f t="shared" si="166"/>
        <v>0</v>
      </c>
      <c r="D231" s="102">
        <f t="shared" si="167"/>
        <v>0</v>
      </c>
      <c r="E231" s="102">
        <f t="shared" si="147"/>
        <v>0</v>
      </c>
      <c r="F231" s="102">
        <f t="shared" si="168"/>
        <v>0</v>
      </c>
      <c r="L231" s="100">
        <v>230</v>
      </c>
      <c r="M231" s="131">
        <f t="shared" ca="1" si="169"/>
        <v>53166</v>
      </c>
      <c r="N231" s="102">
        <f t="shared" si="170"/>
        <v>0</v>
      </c>
      <c r="O231" s="102">
        <f t="shared" si="171"/>
        <v>0</v>
      </c>
      <c r="P231" s="102">
        <f t="shared" si="148"/>
        <v>0</v>
      </c>
      <c r="Q231" s="102">
        <f t="shared" si="149"/>
        <v>0</v>
      </c>
      <c r="W231" s="100">
        <v>230</v>
      </c>
      <c r="X231" s="131">
        <f t="shared" ca="1" si="172"/>
        <v>53166</v>
      </c>
      <c r="Y231" s="102">
        <f t="shared" si="173"/>
        <v>0</v>
      </c>
      <c r="Z231" s="102">
        <f t="shared" si="174"/>
        <v>0</v>
      </c>
      <c r="AA231" s="102">
        <f t="shared" si="150"/>
        <v>0</v>
      </c>
      <c r="AB231" s="102">
        <f t="shared" si="151"/>
        <v>0</v>
      </c>
      <c r="AH231" s="100">
        <v>230</v>
      </c>
      <c r="AI231" s="131">
        <f t="shared" ca="1" si="175"/>
        <v>53166</v>
      </c>
      <c r="AJ231" s="102">
        <f t="shared" si="176"/>
        <v>0</v>
      </c>
      <c r="AK231" s="102">
        <f t="shared" si="177"/>
        <v>0</v>
      </c>
      <c r="AL231" s="102">
        <f t="shared" si="189"/>
        <v>0</v>
      </c>
      <c r="AM231" s="102">
        <f t="shared" si="152"/>
        <v>0</v>
      </c>
      <c r="AS231" s="530">
        <v>230</v>
      </c>
      <c r="AT231" s="531">
        <f t="shared" ca="1" si="178"/>
        <v>53166</v>
      </c>
      <c r="AU231" s="532">
        <f ca="1">IF(AU230=0,SUMIFS('Key Life Events'!$L$3:$L$28,'Key Life Events'!$H$3:$H$28,'Loan Amortization'!$AY$3,'Key Life Events'!$N$3:$N$28,'Loan Amortization'!AT231),AU230-AX230)</f>
        <v>0</v>
      </c>
      <c r="AV231" s="532">
        <f t="shared" ca="1" si="179"/>
        <v>0</v>
      </c>
      <c r="AW231" s="532">
        <f t="shared" ca="1" si="146"/>
        <v>0</v>
      </c>
      <c r="AX231" s="532">
        <f t="shared" ca="1" si="153"/>
        <v>0</v>
      </c>
      <c r="BC231" s="536">
        <f t="shared" ca="1" si="154"/>
        <v>2045</v>
      </c>
      <c r="BF231" s="530">
        <v>230</v>
      </c>
      <c r="BG231" s="531">
        <f t="shared" ca="1" si="180"/>
        <v>53166</v>
      </c>
      <c r="BH231" s="532">
        <f ca="1">IF(BH230=0,SUMIFS('Key Life Events'!$L$3:$L$28,'Key Life Events'!$H$3:$H$28,'Loan Amortization'!$BL$3,'Key Life Events'!$N$3:$N$28,'Loan Amortization'!BG231),BH230-BK230)</f>
        <v>0</v>
      </c>
      <c r="BI231" s="532">
        <f t="shared" ca="1" si="181"/>
        <v>0</v>
      </c>
      <c r="BJ231" s="532">
        <f t="shared" ca="1" si="182"/>
        <v>0</v>
      </c>
      <c r="BK231" s="532">
        <f t="shared" ca="1" si="155"/>
        <v>0</v>
      </c>
      <c r="BP231" s="536">
        <f t="shared" ca="1" si="156"/>
        <v>2045</v>
      </c>
      <c r="BQ231" s="535">
        <f ca="1"/>
        <v>0</v>
      </c>
      <c r="BS231" s="530">
        <v>230</v>
      </c>
      <c r="BT231" s="531">
        <f t="shared" ca="1" si="183"/>
        <v>53166</v>
      </c>
      <c r="BU231" s="532">
        <f ca="1">IF(BU230=0,SUMIFS('Key Life Events'!$L$3:$L$28,'Key Life Events'!$H$3:$H$28,'Loan Amortization'!$BY$3,'Key Life Events'!$N$3:$N$28,'Loan Amortization'!BT231),BU230-BX230)</f>
        <v>0</v>
      </c>
      <c r="BV231" s="532">
        <f t="shared" ca="1" si="188"/>
        <v>0</v>
      </c>
      <c r="BW231" s="532">
        <f t="shared" ca="1" si="184"/>
        <v>0</v>
      </c>
      <c r="BX231" s="532">
        <f t="shared" ca="1" si="157"/>
        <v>0</v>
      </c>
      <c r="CC231" s="536">
        <f t="shared" ca="1" si="158"/>
        <v>2045</v>
      </c>
      <c r="CD231" s="535">
        <f ca="1"/>
        <v>0</v>
      </c>
      <c r="CF231" s="530">
        <v>230</v>
      </c>
      <c r="CG231" s="531">
        <f t="shared" ca="1" si="185"/>
        <v>53166</v>
      </c>
      <c r="CH231" s="532">
        <f ca="1">IF(CH230=0,SUMIFS('Key Life Events'!$L$3:$L$28,'Key Life Events'!$H$3:$H$28,'Loan Amortization'!$CL$3,'Key Life Events'!$N$3:$N$28,'Loan Amortization'!CG231),CH230-CK230)</f>
        <v>0</v>
      </c>
      <c r="CI231" s="532">
        <f t="shared" ca="1" si="186"/>
        <v>0</v>
      </c>
      <c r="CJ231" s="532">
        <f t="shared" ca="1" si="187"/>
        <v>0</v>
      </c>
      <c r="CK231" s="532">
        <f t="shared" ca="1" si="159"/>
        <v>0</v>
      </c>
      <c r="CP231" s="536">
        <f t="shared" ca="1" si="160"/>
        <v>2045</v>
      </c>
      <c r="CQ231" s="535">
        <f ca="1"/>
        <v>0</v>
      </c>
      <c r="CS231" s="100">
        <f t="shared" si="161"/>
        <v>230</v>
      </c>
      <c r="CT231" s="102">
        <f t="shared" ca="1" si="162"/>
        <v>0</v>
      </c>
      <c r="CU231" s="102">
        <f t="shared" ca="1" si="163"/>
        <v>0</v>
      </c>
      <c r="CV231" s="511">
        <f t="shared" ca="1" si="164"/>
        <v>2045</v>
      </c>
    </row>
    <row r="232" spans="1:100" x14ac:dyDescent="0.3">
      <c r="A232" s="100">
        <v>231</v>
      </c>
      <c r="B232" s="131">
        <f t="shared" si="165"/>
        <v>6177</v>
      </c>
      <c r="C232" s="102">
        <f t="shared" si="166"/>
        <v>0</v>
      </c>
      <c r="D232" s="102">
        <f t="shared" si="167"/>
        <v>0</v>
      </c>
      <c r="E232" s="102">
        <f t="shared" si="147"/>
        <v>0</v>
      </c>
      <c r="F232" s="102">
        <f t="shared" si="168"/>
        <v>0</v>
      </c>
      <c r="L232" s="100">
        <v>231</v>
      </c>
      <c r="M232" s="131">
        <f t="shared" ca="1" si="169"/>
        <v>53197</v>
      </c>
      <c r="N232" s="102">
        <f t="shared" si="170"/>
        <v>0</v>
      </c>
      <c r="O232" s="102">
        <f t="shared" si="171"/>
        <v>0</v>
      </c>
      <c r="P232" s="102">
        <f t="shared" si="148"/>
        <v>0</v>
      </c>
      <c r="Q232" s="102">
        <f t="shared" si="149"/>
        <v>0</v>
      </c>
      <c r="W232" s="100">
        <v>231</v>
      </c>
      <c r="X232" s="131">
        <f t="shared" ca="1" si="172"/>
        <v>53197</v>
      </c>
      <c r="Y232" s="102">
        <f t="shared" si="173"/>
        <v>0</v>
      </c>
      <c r="Z232" s="102">
        <f t="shared" si="174"/>
        <v>0</v>
      </c>
      <c r="AA232" s="102">
        <f t="shared" si="150"/>
        <v>0</v>
      </c>
      <c r="AB232" s="102">
        <f t="shared" si="151"/>
        <v>0</v>
      </c>
      <c r="AH232" s="100">
        <v>231</v>
      </c>
      <c r="AI232" s="131">
        <f t="shared" ca="1" si="175"/>
        <v>53197</v>
      </c>
      <c r="AJ232" s="102">
        <f t="shared" si="176"/>
        <v>0</v>
      </c>
      <c r="AK232" s="102">
        <f t="shared" si="177"/>
        <v>0</v>
      </c>
      <c r="AL232" s="102">
        <f t="shared" si="189"/>
        <v>0</v>
      </c>
      <c r="AM232" s="102">
        <f t="shared" si="152"/>
        <v>0</v>
      </c>
      <c r="AS232" s="530">
        <v>231</v>
      </c>
      <c r="AT232" s="531">
        <f t="shared" ca="1" si="178"/>
        <v>53197</v>
      </c>
      <c r="AU232" s="532">
        <f ca="1">IF(AU231=0,SUMIFS('Key Life Events'!$L$3:$L$28,'Key Life Events'!$H$3:$H$28,'Loan Amortization'!$AY$3,'Key Life Events'!$N$3:$N$28,'Loan Amortization'!AT232),AU231-AX231)</f>
        <v>0</v>
      </c>
      <c r="AV232" s="532">
        <f t="shared" ca="1" si="179"/>
        <v>0</v>
      </c>
      <c r="AW232" s="532">
        <f t="shared" ca="1" si="146"/>
        <v>0</v>
      </c>
      <c r="AX232" s="532">
        <f t="shared" ca="1" si="153"/>
        <v>0</v>
      </c>
      <c r="BC232" s="536">
        <f t="shared" ca="1" si="154"/>
        <v>2045</v>
      </c>
      <c r="BF232" s="530">
        <v>231</v>
      </c>
      <c r="BG232" s="531">
        <f t="shared" ca="1" si="180"/>
        <v>53197</v>
      </c>
      <c r="BH232" s="532">
        <f ca="1">IF(BH231=0,SUMIFS('Key Life Events'!$L$3:$L$28,'Key Life Events'!$H$3:$H$28,'Loan Amortization'!$BL$3,'Key Life Events'!$N$3:$N$28,'Loan Amortization'!BG232),BH231-BK231)</f>
        <v>0</v>
      </c>
      <c r="BI232" s="532">
        <f t="shared" ca="1" si="181"/>
        <v>0</v>
      </c>
      <c r="BJ232" s="532">
        <f t="shared" ca="1" si="182"/>
        <v>0</v>
      </c>
      <c r="BK232" s="532">
        <f t="shared" ca="1" si="155"/>
        <v>0</v>
      </c>
      <c r="BP232" s="536">
        <f t="shared" ca="1" si="156"/>
        <v>2045</v>
      </c>
      <c r="BQ232" s="535">
        <f ca="1"/>
        <v>0</v>
      </c>
      <c r="BS232" s="530">
        <v>231</v>
      </c>
      <c r="BT232" s="531">
        <f t="shared" ca="1" si="183"/>
        <v>53197</v>
      </c>
      <c r="BU232" s="532">
        <f ca="1">IF(BU231=0,SUMIFS('Key Life Events'!$L$3:$L$28,'Key Life Events'!$H$3:$H$28,'Loan Amortization'!$BY$3,'Key Life Events'!$N$3:$N$28,'Loan Amortization'!BT232),BU231-BX231)</f>
        <v>0</v>
      </c>
      <c r="BV232" s="532">
        <f t="shared" ca="1" si="188"/>
        <v>0</v>
      </c>
      <c r="BW232" s="532">
        <f t="shared" ca="1" si="184"/>
        <v>0</v>
      </c>
      <c r="BX232" s="532">
        <f t="shared" ca="1" si="157"/>
        <v>0</v>
      </c>
      <c r="CC232" s="536">
        <f t="shared" ca="1" si="158"/>
        <v>2045</v>
      </c>
      <c r="CD232" s="535">
        <f ca="1"/>
        <v>0</v>
      </c>
      <c r="CF232" s="530">
        <v>231</v>
      </c>
      <c r="CG232" s="531">
        <f t="shared" ca="1" si="185"/>
        <v>53197</v>
      </c>
      <c r="CH232" s="532">
        <f ca="1">IF(CH231=0,SUMIFS('Key Life Events'!$L$3:$L$28,'Key Life Events'!$H$3:$H$28,'Loan Amortization'!$CL$3,'Key Life Events'!$N$3:$N$28,'Loan Amortization'!CG232),CH231-CK231)</f>
        <v>0</v>
      </c>
      <c r="CI232" s="532">
        <f t="shared" ca="1" si="186"/>
        <v>0</v>
      </c>
      <c r="CJ232" s="532">
        <f t="shared" ca="1" si="187"/>
        <v>0</v>
      </c>
      <c r="CK232" s="532">
        <f t="shared" ca="1" si="159"/>
        <v>0</v>
      </c>
      <c r="CP232" s="536">
        <f t="shared" ca="1" si="160"/>
        <v>2045</v>
      </c>
      <c r="CQ232" s="535">
        <f ca="1"/>
        <v>0</v>
      </c>
      <c r="CS232" s="100">
        <f t="shared" si="161"/>
        <v>231</v>
      </c>
      <c r="CT232" s="102">
        <f t="shared" ca="1" si="162"/>
        <v>0</v>
      </c>
      <c r="CU232" s="102">
        <f t="shared" ca="1" si="163"/>
        <v>0</v>
      </c>
      <c r="CV232" s="511">
        <f t="shared" ca="1" si="164"/>
        <v>2045</v>
      </c>
    </row>
    <row r="233" spans="1:100" x14ac:dyDescent="0.3">
      <c r="A233" s="100">
        <v>232</v>
      </c>
      <c r="B233" s="131">
        <f t="shared" si="165"/>
        <v>6207</v>
      </c>
      <c r="C233" s="102">
        <f t="shared" si="166"/>
        <v>0</v>
      </c>
      <c r="D233" s="102">
        <f t="shared" si="167"/>
        <v>0</v>
      </c>
      <c r="E233" s="102">
        <f t="shared" si="147"/>
        <v>0</v>
      </c>
      <c r="F233" s="102">
        <f t="shared" si="168"/>
        <v>0</v>
      </c>
      <c r="L233" s="100">
        <v>232</v>
      </c>
      <c r="M233" s="131">
        <f t="shared" ca="1" si="169"/>
        <v>53228</v>
      </c>
      <c r="N233" s="102">
        <f t="shared" si="170"/>
        <v>0</v>
      </c>
      <c r="O233" s="102">
        <f t="shared" si="171"/>
        <v>0</v>
      </c>
      <c r="P233" s="102">
        <f t="shared" si="148"/>
        <v>0</v>
      </c>
      <c r="Q233" s="102">
        <f t="shared" si="149"/>
        <v>0</v>
      </c>
      <c r="W233" s="100">
        <v>232</v>
      </c>
      <c r="X233" s="131">
        <f t="shared" ca="1" si="172"/>
        <v>53228</v>
      </c>
      <c r="Y233" s="102">
        <f t="shared" si="173"/>
        <v>0</v>
      </c>
      <c r="Z233" s="102">
        <f t="shared" si="174"/>
        <v>0</v>
      </c>
      <c r="AA233" s="102">
        <f t="shared" si="150"/>
        <v>0</v>
      </c>
      <c r="AB233" s="102">
        <f t="shared" si="151"/>
        <v>0</v>
      </c>
      <c r="AH233" s="100">
        <v>232</v>
      </c>
      <c r="AI233" s="131">
        <f t="shared" ca="1" si="175"/>
        <v>53228</v>
      </c>
      <c r="AJ233" s="102">
        <f t="shared" si="176"/>
        <v>0</v>
      </c>
      <c r="AK233" s="102">
        <f t="shared" si="177"/>
        <v>0</v>
      </c>
      <c r="AL233" s="102">
        <f t="shared" si="189"/>
        <v>0</v>
      </c>
      <c r="AM233" s="102">
        <f t="shared" si="152"/>
        <v>0</v>
      </c>
      <c r="AS233" s="530">
        <v>232</v>
      </c>
      <c r="AT233" s="531">
        <f t="shared" ca="1" si="178"/>
        <v>53228</v>
      </c>
      <c r="AU233" s="532">
        <f ca="1">IF(AU232=0,SUMIFS('Key Life Events'!$L$3:$L$28,'Key Life Events'!$H$3:$H$28,'Loan Amortization'!$AY$3,'Key Life Events'!$N$3:$N$28,'Loan Amortization'!AT233),AU232-AX232)</f>
        <v>0</v>
      </c>
      <c r="AV233" s="532">
        <f t="shared" ca="1" si="179"/>
        <v>0</v>
      </c>
      <c r="AW233" s="532">
        <f t="shared" ca="1" si="146"/>
        <v>0</v>
      </c>
      <c r="AX233" s="532">
        <f t="shared" ca="1" si="153"/>
        <v>0</v>
      </c>
      <c r="BC233" s="536">
        <f t="shared" ca="1" si="154"/>
        <v>2045</v>
      </c>
      <c r="BF233" s="530">
        <v>232</v>
      </c>
      <c r="BG233" s="531">
        <f t="shared" ca="1" si="180"/>
        <v>53228</v>
      </c>
      <c r="BH233" s="532">
        <f ca="1">IF(BH232=0,SUMIFS('Key Life Events'!$L$3:$L$28,'Key Life Events'!$H$3:$H$28,'Loan Amortization'!$BL$3,'Key Life Events'!$N$3:$N$28,'Loan Amortization'!BG233),BH232-BK232)</f>
        <v>0</v>
      </c>
      <c r="BI233" s="532">
        <f t="shared" ca="1" si="181"/>
        <v>0</v>
      </c>
      <c r="BJ233" s="532">
        <f t="shared" ca="1" si="182"/>
        <v>0</v>
      </c>
      <c r="BK233" s="532">
        <f t="shared" ca="1" si="155"/>
        <v>0</v>
      </c>
      <c r="BP233" s="536">
        <f t="shared" ca="1" si="156"/>
        <v>2045</v>
      </c>
      <c r="BQ233" s="535">
        <f ca="1"/>
        <v>0</v>
      </c>
      <c r="BS233" s="530">
        <v>232</v>
      </c>
      <c r="BT233" s="531">
        <f t="shared" ca="1" si="183"/>
        <v>53228</v>
      </c>
      <c r="BU233" s="532">
        <f ca="1">IF(BU232=0,SUMIFS('Key Life Events'!$L$3:$L$28,'Key Life Events'!$H$3:$H$28,'Loan Amortization'!$BY$3,'Key Life Events'!$N$3:$N$28,'Loan Amortization'!BT233),BU232-BX232)</f>
        <v>0</v>
      </c>
      <c r="BV233" s="532">
        <f t="shared" ca="1" si="188"/>
        <v>0</v>
      </c>
      <c r="BW233" s="532">
        <f t="shared" ca="1" si="184"/>
        <v>0</v>
      </c>
      <c r="BX233" s="532">
        <f t="shared" ca="1" si="157"/>
        <v>0</v>
      </c>
      <c r="CC233" s="536">
        <f t="shared" ca="1" si="158"/>
        <v>2045</v>
      </c>
      <c r="CD233" s="535">
        <f ca="1"/>
        <v>0</v>
      </c>
      <c r="CF233" s="530">
        <v>232</v>
      </c>
      <c r="CG233" s="531">
        <f t="shared" ca="1" si="185"/>
        <v>53228</v>
      </c>
      <c r="CH233" s="532">
        <f ca="1">IF(CH232=0,SUMIFS('Key Life Events'!$L$3:$L$28,'Key Life Events'!$H$3:$H$28,'Loan Amortization'!$CL$3,'Key Life Events'!$N$3:$N$28,'Loan Amortization'!CG233),CH232-CK232)</f>
        <v>0</v>
      </c>
      <c r="CI233" s="532">
        <f t="shared" ca="1" si="186"/>
        <v>0</v>
      </c>
      <c r="CJ233" s="532">
        <f t="shared" ca="1" si="187"/>
        <v>0</v>
      </c>
      <c r="CK233" s="532">
        <f t="shared" ca="1" si="159"/>
        <v>0</v>
      </c>
      <c r="CP233" s="536">
        <f t="shared" ca="1" si="160"/>
        <v>2045</v>
      </c>
      <c r="CQ233" s="535">
        <f ca="1"/>
        <v>0</v>
      </c>
      <c r="CS233" s="100">
        <f t="shared" si="161"/>
        <v>232</v>
      </c>
      <c r="CT233" s="102">
        <f t="shared" ca="1" si="162"/>
        <v>0</v>
      </c>
      <c r="CU233" s="102">
        <f t="shared" ca="1" si="163"/>
        <v>0</v>
      </c>
      <c r="CV233" s="511">
        <f t="shared" ca="1" si="164"/>
        <v>2045</v>
      </c>
    </row>
    <row r="234" spans="1:100" x14ac:dyDescent="0.3">
      <c r="A234" s="100">
        <v>233</v>
      </c>
      <c r="B234" s="131">
        <f t="shared" si="165"/>
        <v>6238</v>
      </c>
      <c r="C234" s="102">
        <f t="shared" si="166"/>
        <v>0</v>
      </c>
      <c r="D234" s="102">
        <f t="shared" si="167"/>
        <v>0</v>
      </c>
      <c r="E234" s="102">
        <f t="shared" si="147"/>
        <v>0</v>
      </c>
      <c r="F234" s="102">
        <f t="shared" si="168"/>
        <v>0</v>
      </c>
      <c r="L234" s="100">
        <v>233</v>
      </c>
      <c r="M234" s="131">
        <f t="shared" ca="1" si="169"/>
        <v>53258</v>
      </c>
      <c r="N234" s="102">
        <f t="shared" si="170"/>
        <v>0</v>
      </c>
      <c r="O234" s="102">
        <f t="shared" si="171"/>
        <v>0</v>
      </c>
      <c r="P234" s="102">
        <f t="shared" si="148"/>
        <v>0</v>
      </c>
      <c r="Q234" s="102">
        <f t="shared" si="149"/>
        <v>0</v>
      </c>
      <c r="W234" s="100">
        <v>233</v>
      </c>
      <c r="X234" s="131">
        <f t="shared" ca="1" si="172"/>
        <v>53258</v>
      </c>
      <c r="Y234" s="102">
        <f t="shared" si="173"/>
        <v>0</v>
      </c>
      <c r="Z234" s="102">
        <f t="shared" si="174"/>
        <v>0</v>
      </c>
      <c r="AA234" s="102">
        <f t="shared" si="150"/>
        <v>0</v>
      </c>
      <c r="AB234" s="102">
        <f t="shared" si="151"/>
        <v>0</v>
      </c>
      <c r="AH234" s="100">
        <v>233</v>
      </c>
      <c r="AI234" s="131">
        <f t="shared" ca="1" si="175"/>
        <v>53258</v>
      </c>
      <c r="AJ234" s="102">
        <f t="shared" si="176"/>
        <v>0</v>
      </c>
      <c r="AK234" s="102">
        <f t="shared" si="177"/>
        <v>0</v>
      </c>
      <c r="AL234" s="102">
        <f t="shared" si="189"/>
        <v>0</v>
      </c>
      <c r="AM234" s="102">
        <f t="shared" si="152"/>
        <v>0</v>
      </c>
      <c r="AS234" s="530">
        <v>233</v>
      </c>
      <c r="AT234" s="531">
        <f t="shared" ca="1" si="178"/>
        <v>53258</v>
      </c>
      <c r="AU234" s="532">
        <f ca="1">IF(AU233=0,SUMIFS('Key Life Events'!$L$3:$L$28,'Key Life Events'!$H$3:$H$28,'Loan Amortization'!$AY$3,'Key Life Events'!$N$3:$N$28,'Loan Amortization'!AT234),AU233-AX233)</f>
        <v>0</v>
      </c>
      <c r="AV234" s="532">
        <f t="shared" ca="1" si="179"/>
        <v>0</v>
      </c>
      <c r="AW234" s="532">
        <f t="shared" ca="1" si="146"/>
        <v>0</v>
      </c>
      <c r="AX234" s="532">
        <f t="shared" ca="1" si="153"/>
        <v>0</v>
      </c>
      <c r="BC234" s="536">
        <f t="shared" ca="1" si="154"/>
        <v>2045</v>
      </c>
      <c r="BF234" s="530">
        <v>233</v>
      </c>
      <c r="BG234" s="531">
        <f t="shared" ca="1" si="180"/>
        <v>53258</v>
      </c>
      <c r="BH234" s="532">
        <f ca="1">IF(BH233=0,SUMIFS('Key Life Events'!$L$3:$L$28,'Key Life Events'!$H$3:$H$28,'Loan Amortization'!$BL$3,'Key Life Events'!$N$3:$N$28,'Loan Amortization'!BG234),BH233-BK233)</f>
        <v>0</v>
      </c>
      <c r="BI234" s="532">
        <f t="shared" ca="1" si="181"/>
        <v>0</v>
      </c>
      <c r="BJ234" s="532">
        <f t="shared" ca="1" si="182"/>
        <v>0</v>
      </c>
      <c r="BK234" s="532">
        <f t="shared" ca="1" si="155"/>
        <v>0</v>
      </c>
      <c r="BP234" s="536">
        <f t="shared" ca="1" si="156"/>
        <v>2045</v>
      </c>
      <c r="BQ234" s="535">
        <f ca="1"/>
        <v>0</v>
      </c>
      <c r="BS234" s="530">
        <v>233</v>
      </c>
      <c r="BT234" s="531">
        <f t="shared" ca="1" si="183"/>
        <v>53258</v>
      </c>
      <c r="BU234" s="532">
        <f ca="1">IF(BU233=0,SUMIFS('Key Life Events'!$L$3:$L$28,'Key Life Events'!$H$3:$H$28,'Loan Amortization'!$BY$3,'Key Life Events'!$N$3:$N$28,'Loan Amortization'!BT234),BU233-BX233)</f>
        <v>0</v>
      </c>
      <c r="BV234" s="532">
        <f t="shared" ca="1" si="188"/>
        <v>0</v>
      </c>
      <c r="BW234" s="532">
        <f t="shared" ca="1" si="184"/>
        <v>0</v>
      </c>
      <c r="BX234" s="532">
        <f t="shared" ca="1" si="157"/>
        <v>0</v>
      </c>
      <c r="CC234" s="536">
        <f t="shared" ca="1" si="158"/>
        <v>2045</v>
      </c>
      <c r="CD234" s="535">
        <f ca="1"/>
        <v>0</v>
      </c>
      <c r="CF234" s="530">
        <v>233</v>
      </c>
      <c r="CG234" s="531">
        <f t="shared" ca="1" si="185"/>
        <v>53258</v>
      </c>
      <c r="CH234" s="532">
        <f ca="1">IF(CH233=0,SUMIFS('Key Life Events'!$L$3:$L$28,'Key Life Events'!$H$3:$H$28,'Loan Amortization'!$CL$3,'Key Life Events'!$N$3:$N$28,'Loan Amortization'!CG234),CH233-CK233)</f>
        <v>0</v>
      </c>
      <c r="CI234" s="532">
        <f t="shared" ca="1" si="186"/>
        <v>0</v>
      </c>
      <c r="CJ234" s="532">
        <f t="shared" ca="1" si="187"/>
        <v>0</v>
      </c>
      <c r="CK234" s="532">
        <f t="shared" ca="1" si="159"/>
        <v>0</v>
      </c>
      <c r="CP234" s="536">
        <f t="shared" ca="1" si="160"/>
        <v>2045</v>
      </c>
      <c r="CQ234" s="535">
        <f ca="1"/>
        <v>0</v>
      </c>
      <c r="CS234" s="100">
        <f t="shared" si="161"/>
        <v>233</v>
      </c>
      <c r="CT234" s="102">
        <f t="shared" ca="1" si="162"/>
        <v>0</v>
      </c>
      <c r="CU234" s="102">
        <f t="shared" ca="1" si="163"/>
        <v>0</v>
      </c>
      <c r="CV234" s="511">
        <f t="shared" ca="1" si="164"/>
        <v>2045</v>
      </c>
    </row>
    <row r="235" spans="1:100" x14ac:dyDescent="0.3">
      <c r="A235" s="100">
        <v>234</v>
      </c>
      <c r="B235" s="131">
        <f t="shared" si="165"/>
        <v>6269</v>
      </c>
      <c r="C235" s="102">
        <f t="shared" si="166"/>
        <v>0</v>
      </c>
      <c r="D235" s="102">
        <f t="shared" si="167"/>
        <v>0</v>
      </c>
      <c r="E235" s="102">
        <f t="shared" si="147"/>
        <v>0</v>
      </c>
      <c r="F235" s="102">
        <f t="shared" si="168"/>
        <v>0</v>
      </c>
      <c r="L235" s="100">
        <v>234</v>
      </c>
      <c r="M235" s="131">
        <f t="shared" ca="1" si="169"/>
        <v>53289</v>
      </c>
      <c r="N235" s="102">
        <f t="shared" si="170"/>
        <v>0</v>
      </c>
      <c r="O235" s="102">
        <f t="shared" si="171"/>
        <v>0</v>
      </c>
      <c r="P235" s="102">
        <f t="shared" si="148"/>
        <v>0</v>
      </c>
      <c r="Q235" s="102">
        <f t="shared" si="149"/>
        <v>0</v>
      </c>
      <c r="W235" s="100">
        <v>234</v>
      </c>
      <c r="X235" s="131">
        <f t="shared" ca="1" si="172"/>
        <v>53289</v>
      </c>
      <c r="Y235" s="102">
        <f t="shared" si="173"/>
        <v>0</v>
      </c>
      <c r="Z235" s="102">
        <f t="shared" si="174"/>
        <v>0</v>
      </c>
      <c r="AA235" s="102">
        <f t="shared" si="150"/>
        <v>0</v>
      </c>
      <c r="AB235" s="102">
        <f t="shared" si="151"/>
        <v>0</v>
      </c>
      <c r="AH235" s="100">
        <v>234</v>
      </c>
      <c r="AI235" s="131">
        <f t="shared" ca="1" si="175"/>
        <v>53289</v>
      </c>
      <c r="AJ235" s="102">
        <f t="shared" si="176"/>
        <v>0</v>
      </c>
      <c r="AK235" s="102">
        <f t="shared" si="177"/>
        <v>0</v>
      </c>
      <c r="AL235" s="102">
        <f t="shared" si="189"/>
        <v>0</v>
      </c>
      <c r="AM235" s="102">
        <f t="shared" si="152"/>
        <v>0</v>
      </c>
      <c r="AS235" s="530">
        <v>234</v>
      </c>
      <c r="AT235" s="531">
        <f t="shared" ca="1" si="178"/>
        <v>53289</v>
      </c>
      <c r="AU235" s="532">
        <f ca="1">IF(AU234=0,SUMIFS('Key Life Events'!$L$3:$L$28,'Key Life Events'!$H$3:$H$28,'Loan Amortization'!$AY$3,'Key Life Events'!$N$3:$N$28,'Loan Amortization'!AT235),AU234-AX234)</f>
        <v>0</v>
      </c>
      <c r="AV235" s="532">
        <f t="shared" ca="1" si="179"/>
        <v>0</v>
      </c>
      <c r="AW235" s="532">
        <f t="shared" ca="1" si="146"/>
        <v>0</v>
      </c>
      <c r="AX235" s="532">
        <f t="shared" ca="1" si="153"/>
        <v>0</v>
      </c>
      <c r="BC235" s="536">
        <f t="shared" ca="1" si="154"/>
        <v>2045</v>
      </c>
      <c r="BF235" s="530">
        <v>234</v>
      </c>
      <c r="BG235" s="531">
        <f t="shared" ca="1" si="180"/>
        <v>53289</v>
      </c>
      <c r="BH235" s="532">
        <f ca="1">IF(BH234=0,SUMIFS('Key Life Events'!$L$3:$L$28,'Key Life Events'!$H$3:$H$28,'Loan Amortization'!$BL$3,'Key Life Events'!$N$3:$N$28,'Loan Amortization'!BG235),BH234-BK234)</f>
        <v>0</v>
      </c>
      <c r="BI235" s="532">
        <f t="shared" ca="1" si="181"/>
        <v>0</v>
      </c>
      <c r="BJ235" s="532">
        <f t="shared" ca="1" si="182"/>
        <v>0</v>
      </c>
      <c r="BK235" s="532">
        <f t="shared" ca="1" si="155"/>
        <v>0</v>
      </c>
      <c r="BP235" s="536">
        <f t="shared" ca="1" si="156"/>
        <v>2045</v>
      </c>
      <c r="BQ235" s="535">
        <f ca="1"/>
        <v>0</v>
      </c>
      <c r="BS235" s="530">
        <v>234</v>
      </c>
      <c r="BT235" s="531">
        <f t="shared" ca="1" si="183"/>
        <v>53289</v>
      </c>
      <c r="BU235" s="532">
        <f ca="1">IF(BU234=0,SUMIFS('Key Life Events'!$L$3:$L$28,'Key Life Events'!$H$3:$H$28,'Loan Amortization'!$BY$3,'Key Life Events'!$N$3:$N$28,'Loan Amortization'!BT235),BU234-BX234)</f>
        <v>0</v>
      </c>
      <c r="BV235" s="532">
        <f t="shared" ca="1" si="188"/>
        <v>0</v>
      </c>
      <c r="BW235" s="532">
        <f t="shared" ca="1" si="184"/>
        <v>0</v>
      </c>
      <c r="BX235" s="532">
        <f t="shared" ca="1" si="157"/>
        <v>0</v>
      </c>
      <c r="CC235" s="536">
        <f t="shared" ca="1" si="158"/>
        <v>2045</v>
      </c>
      <c r="CD235" s="535">
        <f ca="1"/>
        <v>0</v>
      </c>
      <c r="CF235" s="530">
        <v>234</v>
      </c>
      <c r="CG235" s="531">
        <f t="shared" ca="1" si="185"/>
        <v>53289</v>
      </c>
      <c r="CH235" s="532">
        <f ca="1">IF(CH234=0,SUMIFS('Key Life Events'!$L$3:$L$28,'Key Life Events'!$H$3:$H$28,'Loan Amortization'!$CL$3,'Key Life Events'!$N$3:$N$28,'Loan Amortization'!CG235),CH234-CK234)</f>
        <v>0</v>
      </c>
      <c r="CI235" s="532">
        <f t="shared" ca="1" si="186"/>
        <v>0</v>
      </c>
      <c r="CJ235" s="532">
        <f t="shared" ca="1" si="187"/>
        <v>0</v>
      </c>
      <c r="CK235" s="532">
        <f t="shared" ca="1" si="159"/>
        <v>0</v>
      </c>
      <c r="CP235" s="536">
        <f t="shared" ca="1" si="160"/>
        <v>2045</v>
      </c>
      <c r="CQ235" s="535">
        <f ca="1"/>
        <v>0</v>
      </c>
      <c r="CS235" s="100">
        <f t="shared" si="161"/>
        <v>234</v>
      </c>
      <c r="CT235" s="102">
        <f t="shared" ca="1" si="162"/>
        <v>0</v>
      </c>
      <c r="CU235" s="102">
        <f t="shared" ca="1" si="163"/>
        <v>0</v>
      </c>
      <c r="CV235" s="511">
        <f t="shared" ca="1" si="164"/>
        <v>2045</v>
      </c>
    </row>
    <row r="236" spans="1:100" x14ac:dyDescent="0.3">
      <c r="A236" s="100">
        <v>235</v>
      </c>
      <c r="B236" s="131">
        <f t="shared" si="165"/>
        <v>6297</v>
      </c>
      <c r="C236" s="102">
        <f t="shared" si="166"/>
        <v>0</v>
      </c>
      <c r="D236" s="102">
        <f t="shared" si="167"/>
        <v>0</v>
      </c>
      <c r="E236" s="102">
        <f t="shared" si="147"/>
        <v>0</v>
      </c>
      <c r="F236" s="102">
        <f t="shared" si="168"/>
        <v>0</v>
      </c>
      <c r="L236" s="100">
        <v>235</v>
      </c>
      <c r="M236" s="131">
        <f t="shared" ca="1" si="169"/>
        <v>53319</v>
      </c>
      <c r="N236" s="102">
        <f t="shared" si="170"/>
        <v>0</v>
      </c>
      <c r="O236" s="102">
        <f t="shared" si="171"/>
        <v>0</v>
      </c>
      <c r="P236" s="102">
        <f t="shared" si="148"/>
        <v>0</v>
      </c>
      <c r="Q236" s="102">
        <f t="shared" si="149"/>
        <v>0</v>
      </c>
      <c r="W236" s="100">
        <v>235</v>
      </c>
      <c r="X236" s="131">
        <f t="shared" ca="1" si="172"/>
        <v>53319</v>
      </c>
      <c r="Y236" s="102">
        <f t="shared" si="173"/>
        <v>0</v>
      </c>
      <c r="Z236" s="102">
        <f t="shared" si="174"/>
        <v>0</v>
      </c>
      <c r="AA236" s="102">
        <f t="shared" si="150"/>
        <v>0</v>
      </c>
      <c r="AB236" s="102">
        <f t="shared" si="151"/>
        <v>0</v>
      </c>
      <c r="AH236" s="100">
        <v>235</v>
      </c>
      <c r="AI236" s="131">
        <f t="shared" ca="1" si="175"/>
        <v>53319</v>
      </c>
      <c r="AJ236" s="102">
        <f t="shared" si="176"/>
        <v>0</v>
      </c>
      <c r="AK236" s="102">
        <f t="shared" si="177"/>
        <v>0</v>
      </c>
      <c r="AL236" s="102">
        <f t="shared" si="189"/>
        <v>0</v>
      </c>
      <c r="AM236" s="102">
        <f t="shared" si="152"/>
        <v>0</v>
      </c>
      <c r="AS236" s="530">
        <v>235</v>
      </c>
      <c r="AT236" s="531">
        <f t="shared" ca="1" si="178"/>
        <v>53319</v>
      </c>
      <c r="AU236" s="532">
        <f ca="1">IF(AU235=0,SUMIFS('Key Life Events'!$L$3:$L$28,'Key Life Events'!$H$3:$H$28,'Loan Amortization'!$AY$3,'Key Life Events'!$N$3:$N$28,'Loan Amortization'!AT236),AU235-AX235)</f>
        <v>0</v>
      </c>
      <c r="AV236" s="532">
        <f t="shared" ca="1" si="179"/>
        <v>0</v>
      </c>
      <c r="AW236" s="532">
        <f t="shared" ca="1" si="146"/>
        <v>0</v>
      </c>
      <c r="AX236" s="532">
        <f t="shared" ca="1" si="153"/>
        <v>0</v>
      </c>
      <c r="BC236" s="536">
        <f t="shared" ca="1" si="154"/>
        <v>2045</v>
      </c>
      <c r="BF236" s="530">
        <v>235</v>
      </c>
      <c r="BG236" s="531">
        <f t="shared" ca="1" si="180"/>
        <v>53319</v>
      </c>
      <c r="BH236" s="532">
        <f ca="1">IF(BH235=0,SUMIFS('Key Life Events'!$L$3:$L$28,'Key Life Events'!$H$3:$H$28,'Loan Amortization'!$BL$3,'Key Life Events'!$N$3:$N$28,'Loan Amortization'!BG236),BH235-BK235)</f>
        <v>0</v>
      </c>
      <c r="BI236" s="532">
        <f t="shared" ca="1" si="181"/>
        <v>0</v>
      </c>
      <c r="BJ236" s="532">
        <f t="shared" ca="1" si="182"/>
        <v>0</v>
      </c>
      <c r="BK236" s="532">
        <f t="shared" ca="1" si="155"/>
        <v>0</v>
      </c>
      <c r="BP236" s="536">
        <f t="shared" ca="1" si="156"/>
        <v>2045</v>
      </c>
      <c r="BQ236" s="535">
        <f ca="1"/>
        <v>0</v>
      </c>
      <c r="BS236" s="530">
        <v>235</v>
      </c>
      <c r="BT236" s="531">
        <f t="shared" ca="1" si="183"/>
        <v>53319</v>
      </c>
      <c r="BU236" s="532">
        <f ca="1">IF(BU235=0,SUMIFS('Key Life Events'!$L$3:$L$28,'Key Life Events'!$H$3:$H$28,'Loan Amortization'!$BY$3,'Key Life Events'!$N$3:$N$28,'Loan Amortization'!BT236),BU235-BX235)</f>
        <v>0</v>
      </c>
      <c r="BV236" s="532">
        <f t="shared" ca="1" si="188"/>
        <v>0</v>
      </c>
      <c r="BW236" s="532">
        <f t="shared" ca="1" si="184"/>
        <v>0</v>
      </c>
      <c r="BX236" s="532">
        <f t="shared" ca="1" si="157"/>
        <v>0</v>
      </c>
      <c r="CC236" s="536">
        <f t="shared" ca="1" si="158"/>
        <v>2045</v>
      </c>
      <c r="CD236" s="535">
        <f ca="1"/>
        <v>0</v>
      </c>
      <c r="CF236" s="530">
        <v>235</v>
      </c>
      <c r="CG236" s="531">
        <f t="shared" ca="1" si="185"/>
        <v>53319</v>
      </c>
      <c r="CH236" s="532">
        <f ca="1">IF(CH235=0,SUMIFS('Key Life Events'!$L$3:$L$28,'Key Life Events'!$H$3:$H$28,'Loan Amortization'!$CL$3,'Key Life Events'!$N$3:$N$28,'Loan Amortization'!CG236),CH235-CK235)</f>
        <v>0</v>
      </c>
      <c r="CI236" s="532">
        <f t="shared" ca="1" si="186"/>
        <v>0</v>
      </c>
      <c r="CJ236" s="532">
        <f t="shared" ca="1" si="187"/>
        <v>0</v>
      </c>
      <c r="CK236" s="532">
        <f t="shared" ca="1" si="159"/>
        <v>0</v>
      </c>
      <c r="CP236" s="536">
        <f t="shared" ca="1" si="160"/>
        <v>2045</v>
      </c>
      <c r="CQ236" s="535">
        <f ca="1"/>
        <v>0</v>
      </c>
      <c r="CS236" s="100">
        <f t="shared" si="161"/>
        <v>235</v>
      </c>
      <c r="CT236" s="102">
        <f t="shared" ca="1" si="162"/>
        <v>0</v>
      </c>
      <c r="CU236" s="102">
        <f t="shared" ca="1" si="163"/>
        <v>0</v>
      </c>
      <c r="CV236" s="511">
        <f t="shared" ca="1" si="164"/>
        <v>2045</v>
      </c>
    </row>
    <row r="237" spans="1:100" x14ac:dyDescent="0.3">
      <c r="A237" s="100">
        <v>236</v>
      </c>
      <c r="B237" s="131">
        <f t="shared" si="165"/>
        <v>6328</v>
      </c>
      <c r="C237" s="102">
        <f t="shared" si="166"/>
        <v>0</v>
      </c>
      <c r="D237" s="102">
        <f t="shared" si="167"/>
        <v>0</v>
      </c>
      <c r="E237" s="102">
        <f t="shared" si="147"/>
        <v>0</v>
      </c>
      <c r="F237" s="102">
        <f t="shared" si="168"/>
        <v>0</v>
      </c>
      <c r="L237" s="100">
        <v>236</v>
      </c>
      <c r="M237" s="131">
        <f t="shared" ca="1" si="169"/>
        <v>53350</v>
      </c>
      <c r="N237" s="102">
        <f t="shared" si="170"/>
        <v>0</v>
      </c>
      <c r="O237" s="102">
        <f t="shared" si="171"/>
        <v>0</v>
      </c>
      <c r="P237" s="102">
        <f t="shared" si="148"/>
        <v>0</v>
      </c>
      <c r="Q237" s="102">
        <f t="shared" si="149"/>
        <v>0</v>
      </c>
      <c r="W237" s="100">
        <v>236</v>
      </c>
      <c r="X237" s="131">
        <f t="shared" ca="1" si="172"/>
        <v>53350</v>
      </c>
      <c r="Y237" s="102">
        <f t="shared" si="173"/>
        <v>0</v>
      </c>
      <c r="Z237" s="102">
        <f t="shared" si="174"/>
        <v>0</v>
      </c>
      <c r="AA237" s="102">
        <f t="shared" si="150"/>
        <v>0</v>
      </c>
      <c r="AB237" s="102">
        <f t="shared" si="151"/>
        <v>0</v>
      </c>
      <c r="AH237" s="100">
        <v>236</v>
      </c>
      <c r="AI237" s="131">
        <f t="shared" ca="1" si="175"/>
        <v>53350</v>
      </c>
      <c r="AJ237" s="102">
        <f t="shared" si="176"/>
        <v>0</v>
      </c>
      <c r="AK237" s="102">
        <f t="shared" si="177"/>
        <v>0</v>
      </c>
      <c r="AL237" s="102">
        <f t="shared" si="189"/>
        <v>0</v>
      </c>
      <c r="AM237" s="102">
        <f t="shared" si="152"/>
        <v>0</v>
      </c>
      <c r="AS237" s="530">
        <v>236</v>
      </c>
      <c r="AT237" s="531">
        <f t="shared" ca="1" si="178"/>
        <v>53350</v>
      </c>
      <c r="AU237" s="532">
        <f ca="1">IF(AU236=0,SUMIFS('Key Life Events'!$L$3:$L$28,'Key Life Events'!$H$3:$H$28,'Loan Amortization'!$AY$3,'Key Life Events'!$N$3:$N$28,'Loan Amortization'!AT237),AU236-AX236)</f>
        <v>0</v>
      </c>
      <c r="AV237" s="532">
        <f t="shared" ca="1" si="179"/>
        <v>0</v>
      </c>
      <c r="AW237" s="532">
        <f t="shared" ca="1" si="146"/>
        <v>0</v>
      </c>
      <c r="AX237" s="532">
        <f t="shared" ca="1" si="153"/>
        <v>0</v>
      </c>
      <c r="BC237" s="536">
        <f t="shared" ca="1" si="154"/>
        <v>2046</v>
      </c>
      <c r="BF237" s="530">
        <v>236</v>
      </c>
      <c r="BG237" s="531">
        <f t="shared" ca="1" si="180"/>
        <v>53350</v>
      </c>
      <c r="BH237" s="532">
        <f ca="1">IF(BH236=0,SUMIFS('Key Life Events'!$L$3:$L$28,'Key Life Events'!$H$3:$H$28,'Loan Amortization'!$BL$3,'Key Life Events'!$N$3:$N$28,'Loan Amortization'!BG237),BH236-BK236)</f>
        <v>0</v>
      </c>
      <c r="BI237" s="532">
        <f t="shared" ca="1" si="181"/>
        <v>0</v>
      </c>
      <c r="BJ237" s="532">
        <f t="shared" ca="1" si="182"/>
        <v>0</v>
      </c>
      <c r="BK237" s="532">
        <f t="shared" ca="1" si="155"/>
        <v>0</v>
      </c>
      <c r="BP237" s="536">
        <f t="shared" ca="1" si="156"/>
        <v>2046</v>
      </c>
      <c r="BQ237" s="535">
        <f ca="1"/>
        <v>0</v>
      </c>
      <c r="BS237" s="530">
        <v>236</v>
      </c>
      <c r="BT237" s="531">
        <f t="shared" ca="1" si="183"/>
        <v>53350</v>
      </c>
      <c r="BU237" s="532">
        <f ca="1">IF(BU236=0,SUMIFS('Key Life Events'!$L$3:$L$28,'Key Life Events'!$H$3:$H$28,'Loan Amortization'!$BY$3,'Key Life Events'!$N$3:$N$28,'Loan Amortization'!BT237),BU236-BX236)</f>
        <v>0</v>
      </c>
      <c r="BV237" s="532">
        <f t="shared" ca="1" si="188"/>
        <v>0</v>
      </c>
      <c r="BW237" s="532">
        <f t="shared" ca="1" si="184"/>
        <v>0</v>
      </c>
      <c r="BX237" s="532">
        <f t="shared" ca="1" si="157"/>
        <v>0</v>
      </c>
      <c r="CC237" s="536">
        <f t="shared" ca="1" si="158"/>
        <v>2046</v>
      </c>
      <c r="CD237" s="535">
        <f ca="1"/>
        <v>0</v>
      </c>
      <c r="CF237" s="530">
        <v>236</v>
      </c>
      <c r="CG237" s="531">
        <f t="shared" ca="1" si="185"/>
        <v>53350</v>
      </c>
      <c r="CH237" s="532">
        <f ca="1">IF(CH236=0,SUMIFS('Key Life Events'!$L$3:$L$28,'Key Life Events'!$H$3:$H$28,'Loan Amortization'!$CL$3,'Key Life Events'!$N$3:$N$28,'Loan Amortization'!CG237),CH236-CK236)</f>
        <v>0</v>
      </c>
      <c r="CI237" s="532">
        <f t="shared" ca="1" si="186"/>
        <v>0</v>
      </c>
      <c r="CJ237" s="532">
        <f t="shared" ca="1" si="187"/>
        <v>0</v>
      </c>
      <c r="CK237" s="532">
        <f t="shared" ca="1" si="159"/>
        <v>0</v>
      </c>
      <c r="CP237" s="536">
        <f t="shared" ca="1" si="160"/>
        <v>2046</v>
      </c>
      <c r="CQ237" s="535">
        <f ca="1"/>
        <v>0</v>
      </c>
      <c r="CS237" s="100">
        <f t="shared" si="161"/>
        <v>236</v>
      </c>
      <c r="CT237" s="102">
        <f t="shared" ca="1" si="162"/>
        <v>0</v>
      </c>
      <c r="CU237" s="102">
        <f t="shared" ca="1" si="163"/>
        <v>0</v>
      </c>
      <c r="CV237" s="511">
        <f t="shared" ca="1" si="164"/>
        <v>2046</v>
      </c>
    </row>
    <row r="238" spans="1:100" x14ac:dyDescent="0.3">
      <c r="A238" s="100">
        <v>237</v>
      </c>
      <c r="B238" s="131">
        <f t="shared" si="165"/>
        <v>6358</v>
      </c>
      <c r="C238" s="102">
        <f t="shared" si="166"/>
        <v>0</v>
      </c>
      <c r="D238" s="102">
        <f t="shared" si="167"/>
        <v>0</v>
      </c>
      <c r="E238" s="102">
        <f t="shared" si="147"/>
        <v>0</v>
      </c>
      <c r="F238" s="102">
        <f t="shared" si="168"/>
        <v>0</v>
      </c>
      <c r="L238" s="100">
        <v>237</v>
      </c>
      <c r="M238" s="131">
        <f t="shared" ca="1" si="169"/>
        <v>53381</v>
      </c>
      <c r="N238" s="102">
        <f t="shared" si="170"/>
        <v>0</v>
      </c>
      <c r="O238" s="102">
        <f t="shared" si="171"/>
        <v>0</v>
      </c>
      <c r="P238" s="102">
        <f t="shared" si="148"/>
        <v>0</v>
      </c>
      <c r="Q238" s="102">
        <f t="shared" si="149"/>
        <v>0</v>
      </c>
      <c r="W238" s="100">
        <v>237</v>
      </c>
      <c r="X238" s="131">
        <f t="shared" ca="1" si="172"/>
        <v>53381</v>
      </c>
      <c r="Y238" s="102">
        <f t="shared" si="173"/>
        <v>0</v>
      </c>
      <c r="Z238" s="102">
        <f t="shared" si="174"/>
        <v>0</v>
      </c>
      <c r="AA238" s="102">
        <f t="shared" si="150"/>
        <v>0</v>
      </c>
      <c r="AB238" s="102">
        <f t="shared" si="151"/>
        <v>0</v>
      </c>
      <c r="AH238" s="100">
        <v>237</v>
      </c>
      <c r="AI238" s="131">
        <f t="shared" ca="1" si="175"/>
        <v>53381</v>
      </c>
      <c r="AJ238" s="102">
        <f t="shared" si="176"/>
        <v>0</v>
      </c>
      <c r="AK238" s="102">
        <f t="shared" si="177"/>
        <v>0</v>
      </c>
      <c r="AL238" s="102">
        <f t="shared" si="189"/>
        <v>0</v>
      </c>
      <c r="AM238" s="102">
        <f t="shared" si="152"/>
        <v>0</v>
      </c>
      <c r="AS238" s="530">
        <v>237</v>
      </c>
      <c r="AT238" s="531">
        <f t="shared" ca="1" si="178"/>
        <v>53381</v>
      </c>
      <c r="AU238" s="532">
        <f ca="1">IF(AU237=0,SUMIFS('Key Life Events'!$L$3:$L$28,'Key Life Events'!$H$3:$H$28,'Loan Amortization'!$AY$3,'Key Life Events'!$N$3:$N$28,'Loan Amortization'!AT238),AU237-AX237)</f>
        <v>0</v>
      </c>
      <c r="AV238" s="532">
        <f t="shared" ca="1" si="179"/>
        <v>0</v>
      </c>
      <c r="AW238" s="532">
        <f t="shared" ca="1" si="146"/>
        <v>0</v>
      </c>
      <c r="AX238" s="532">
        <f t="shared" ca="1" si="153"/>
        <v>0</v>
      </c>
      <c r="BC238" s="536">
        <f t="shared" ca="1" si="154"/>
        <v>2046</v>
      </c>
      <c r="BF238" s="530">
        <v>237</v>
      </c>
      <c r="BG238" s="531">
        <f t="shared" ca="1" si="180"/>
        <v>53381</v>
      </c>
      <c r="BH238" s="532">
        <f ca="1">IF(BH237=0,SUMIFS('Key Life Events'!$L$3:$L$28,'Key Life Events'!$H$3:$H$28,'Loan Amortization'!$BL$3,'Key Life Events'!$N$3:$N$28,'Loan Amortization'!BG238),BH237-BK237)</f>
        <v>0</v>
      </c>
      <c r="BI238" s="532">
        <f t="shared" ca="1" si="181"/>
        <v>0</v>
      </c>
      <c r="BJ238" s="532">
        <f t="shared" ca="1" si="182"/>
        <v>0</v>
      </c>
      <c r="BK238" s="532">
        <f t="shared" ca="1" si="155"/>
        <v>0</v>
      </c>
      <c r="BP238" s="536">
        <f t="shared" ca="1" si="156"/>
        <v>2046</v>
      </c>
      <c r="BQ238" s="535">
        <f ca="1"/>
        <v>0</v>
      </c>
      <c r="BS238" s="530">
        <v>237</v>
      </c>
      <c r="BT238" s="531">
        <f t="shared" ca="1" si="183"/>
        <v>53381</v>
      </c>
      <c r="BU238" s="532">
        <f ca="1">IF(BU237=0,SUMIFS('Key Life Events'!$L$3:$L$28,'Key Life Events'!$H$3:$H$28,'Loan Amortization'!$BY$3,'Key Life Events'!$N$3:$N$28,'Loan Amortization'!BT238),BU237-BX237)</f>
        <v>0</v>
      </c>
      <c r="BV238" s="532">
        <f t="shared" ca="1" si="188"/>
        <v>0</v>
      </c>
      <c r="BW238" s="532">
        <f t="shared" ca="1" si="184"/>
        <v>0</v>
      </c>
      <c r="BX238" s="532">
        <f t="shared" ca="1" si="157"/>
        <v>0</v>
      </c>
      <c r="CC238" s="536">
        <f t="shared" ca="1" si="158"/>
        <v>2046</v>
      </c>
      <c r="CD238" s="535">
        <f ca="1"/>
        <v>0</v>
      </c>
      <c r="CF238" s="530">
        <v>237</v>
      </c>
      <c r="CG238" s="531">
        <f t="shared" ca="1" si="185"/>
        <v>53381</v>
      </c>
      <c r="CH238" s="532">
        <f ca="1">IF(CH237=0,SUMIFS('Key Life Events'!$L$3:$L$28,'Key Life Events'!$H$3:$H$28,'Loan Amortization'!$CL$3,'Key Life Events'!$N$3:$N$28,'Loan Amortization'!CG238),CH237-CK237)</f>
        <v>0</v>
      </c>
      <c r="CI238" s="532">
        <f t="shared" ca="1" si="186"/>
        <v>0</v>
      </c>
      <c r="CJ238" s="532">
        <f t="shared" ca="1" si="187"/>
        <v>0</v>
      </c>
      <c r="CK238" s="532">
        <f t="shared" ca="1" si="159"/>
        <v>0</v>
      </c>
      <c r="CP238" s="536">
        <f t="shared" ca="1" si="160"/>
        <v>2046</v>
      </c>
      <c r="CQ238" s="535">
        <f ca="1"/>
        <v>0</v>
      </c>
      <c r="CS238" s="100">
        <f t="shared" si="161"/>
        <v>237</v>
      </c>
      <c r="CT238" s="102">
        <f t="shared" ca="1" si="162"/>
        <v>0</v>
      </c>
      <c r="CU238" s="102">
        <f t="shared" ca="1" si="163"/>
        <v>0</v>
      </c>
      <c r="CV238" s="511">
        <f t="shared" ca="1" si="164"/>
        <v>2046</v>
      </c>
    </row>
    <row r="239" spans="1:100" x14ac:dyDescent="0.3">
      <c r="A239" s="100">
        <v>238</v>
      </c>
      <c r="B239" s="131">
        <f t="shared" si="165"/>
        <v>6389</v>
      </c>
      <c r="C239" s="102">
        <f t="shared" si="166"/>
        <v>0</v>
      </c>
      <c r="D239" s="102">
        <f t="shared" si="167"/>
        <v>0</v>
      </c>
      <c r="E239" s="102">
        <f t="shared" si="147"/>
        <v>0</v>
      </c>
      <c r="F239" s="102">
        <f t="shared" si="168"/>
        <v>0</v>
      </c>
      <c r="L239" s="100">
        <v>238</v>
      </c>
      <c r="M239" s="131">
        <f t="shared" ca="1" si="169"/>
        <v>53409</v>
      </c>
      <c r="N239" s="102">
        <f t="shared" si="170"/>
        <v>0</v>
      </c>
      <c r="O239" s="102">
        <f t="shared" si="171"/>
        <v>0</v>
      </c>
      <c r="P239" s="102">
        <f t="shared" si="148"/>
        <v>0</v>
      </c>
      <c r="Q239" s="102">
        <f t="shared" si="149"/>
        <v>0</v>
      </c>
      <c r="W239" s="100">
        <v>238</v>
      </c>
      <c r="X239" s="131">
        <f t="shared" ca="1" si="172"/>
        <v>53409</v>
      </c>
      <c r="Y239" s="102">
        <f t="shared" si="173"/>
        <v>0</v>
      </c>
      <c r="Z239" s="102">
        <f t="shared" si="174"/>
        <v>0</v>
      </c>
      <c r="AA239" s="102">
        <f t="shared" si="150"/>
        <v>0</v>
      </c>
      <c r="AB239" s="102">
        <f t="shared" si="151"/>
        <v>0</v>
      </c>
      <c r="AH239" s="100">
        <v>238</v>
      </c>
      <c r="AI239" s="131">
        <f t="shared" ca="1" si="175"/>
        <v>53409</v>
      </c>
      <c r="AJ239" s="102">
        <f t="shared" si="176"/>
        <v>0</v>
      </c>
      <c r="AK239" s="102">
        <f t="shared" si="177"/>
        <v>0</v>
      </c>
      <c r="AL239" s="102">
        <f t="shared" si="189"/>
        <v>0</v>
      </c>
      <c r="AM239" s="102">
        <f t="shared" si="152"/>
        <v>0</v>
      </c>
      <c r="AS239" s="530">
        <v>238</v>
      </c>
      <c r="AT239" s="531">
        <f t="shared" ca="1" si="178"/>
        <v>53409</v>
      </c>
      <c r="AU239" s="532">
        <f ca="1">IF(AU238=0,SUMIFS('Key Life Events'!$L$3:$L$28,'Key Life Events'!$H$3:$H$28,'Loan Amortization'!$AY$3,'Key Life Events'!$N$3:$N$28,'Loan Amortization'!AT239),AU238-AX238)</f>
        <v>0</v>
      </c>
      <c r="AV239" s="532">
        <f t="shared" ca="1" si="179"/>
        <v>0</v>
      </c>
      <c r="AW239" s="532">
        <f t="shared" ca="1" si="146"/>
        <v>0</v>
      </c>
      <c r="AX239" s="532">
        <f t="shared" ca="1" si="153"/>
        <v>0</v>
      </c>
      <c r="BC239" s="536">
        <f t="shared" ca="1" si="154"/>
        <v>2046</v>
      </c>
      <c r="BF239" s="530">
        <v>238</v>
      </c>
      <c r="BG239" s="531">
        <f t="shared" ca="1" si="180"/>
        <v>53409</v>
      </c>
      <c r="BH239" s="532">
        <f ca="1">IF(BH238=0,SUMIFS('Key Life Events'!$L$3:$L$28,'Key Life Events'!$H$3:$H$28,'Loan Amortization'!$BL$3,'Key Life Events'!$N$3:$N$28,'Loan Amortization'!BG239),BH238-BK238)</f>
        <v>0</v>
      </c>
      <c r="BI239" s="532">
        <f t="shared" ca="1" si="181"/>
        <v>0</v>
      </c>
      <c r="BJ239" s="532">
        <f t="shared" ca="1" si="182"/>
        <v>0</v>
      </c>
      <c r="BK239" s="532">
        <f t="shared" ca="1" si="155"/>
        <v>0</v>
      </c>
      <c r="BP239" s="536">
        <f t="shared" ca="1" si="156"/>
        <v>2046</v>
      </c>
      <c r="BQ239" s="535">
        <f ca="1"/>
        <v>0</v>
      </c>
      <c r="BS239" s="530">
        <v>238</v>
      </c>
      <c r="BT239" s="531">
        <f t="shared" ca="1" si="183"/>
        <v>53409</v>
      </c>
      <c r="BU239" s="532">
        <f ca="1">IF(BU238=0,SUMIFS('Key Life Events'!$L$3:$L$28,'Key Life Events'!$H$3:$H$28,'Loan Amortization'!$BY$3,'Key Life Events'!$N$3:$N$28,'Loan Amortization'!BT239),BU238-BX238)</f>
        <v>0</v>
      </c>
      <c r="BV239" s="532">
        <f t="shared" ca="1" si="188"/>
        <v>0</v>
      </c>
      <c r="BW239" s="532">
        <f t="shared" ca="1" si="184"/>
        <v>0</v>
      </c>
      <c r="BX239" s="532">
        <f t="shared" ca="1" si="157"/>
        <v>0</v>
      </c>
      <c r="CC239" s="536">
        <f t="shared" ca="1" si="158"/>
        <v>2046</v>
      </c>
      <c r="CD239" s="535">
        <f ca="1"/>
        <v>0</v>
      </c>
      <c r="CF239" s="530">
        <v>238</v>
      </c>
      <c r="CG239" s="531">
        <f t="shared" ca="1" si="185"/>
        <v>53409</v>
      </c>
      <c r="CH239" s="532">
        <f ca="1">IF(CH238=0,SUMIFS('Key Life Events'!$L$3:$L$28,'Key Life Events'!$H$3:$H$28,'Loan Amortization'!$CL$3,'Key Life Events'!$N$3:$N$28,'Loan Amortization'!CG239),CH238-CK238)</f>
        <v>0</v>
      </c>
      <c r="CI239" s="532">
        <f t="shared" ca="1" si="186"/>
        <v>0</v>
      </c>
      <c r="CJ239" s="532">
        <f t="shared" ca="1" si="187"/>
        <v>0</v>
      </c>
      <c r="CK239" s="532">
        <f t="shared" ca="1" si="159"/>
        <v>0</v>
      </c>
      <c r="CP239" s="536">
        <f t="shared" ca="1" si="160"/>
        <v>2046</v>
      </c>
      <c r="CQ239" s="535">
        <f ca="1"/>
        <v>0</v>
      </c>
      <c r="CS239" s="100">
        <f t="shared" si="161"/>
        <v>238</v>
      </c>
      <c r="CT239" s="102">
        <f t="shared" ca="1" si="162"/>
        <v>0</v>
      </c>
      <c r="CU239" s="102">
        <f t="shared" ca="1" si="163"/>
        <v>0</v>
      </c>
      <c r="CV239" s="511">
        <f t="shared" ca="1" si="164"/>
        <v>2046</v>
      </c>
    </row>
    <row r="240" spans="1:100" x14ac:dyDescent="0.3">
      <c r="A240" s="100">
        <v>239</v>
      </c>
      <c r="B240" s="131">
        <f t="shared" si="165"/>
        <v>6419</v>
      </c>
      <c r="C240" s="102">
        <f t="shared" si="166"/>
        <v>0</v>
      </c>
      <c r="D240" s="102">
        <f t="shared" si="167"/>
        <v>0</v>
      </c>
      <c r="E240" s="102">
        <f t="shared" si="147"/>
        <v>0</v>
      </c>
      <c r="F240" s="102">
        <f t="shared" si="168"/>
        <v>0</v>
      </c>
      <c r="L240" s="100">
        <v>239</v>
      </c>
      <c r="M240" s="131">
        <f t="shared" ca="1" si="169"/>
        <v>53440</v>
      </c>
      <c r="N240" s="102">
        <f t="shared" si="170"/>
        <v>0</v>
      </c>
      <c r="O240" s="102">
        <f t="shared" si="171"/>
        <v>0</v>
      </c>
      <c r="P240" s="102">
        <f t="shared" si="148"/>
        <v>0</v>
      </c>
      <c r="Q240" s="102">
        <f t="shared" si="149"/>
        <v>0</v>
      </c>
      <c r="W240" s="100">
        <v>239</v>
      </c>
      <c r="X240" s="131">
        <f t="shared" ca="1" si="172"/>
        <v>53440</v>
      </c>
      <c r="Y240" s="102">
        <f t="shared" si="173"/>
        <v>0</v>
      </c>
      <c r="Z240" s="102">
        <f t="shared" si="174"/>
        <v>0</v>
      </c>
      <c r="AA240" s="102">
        <f t="shared" si="150"/>
        <v>0</v>
      </c>
      <c r="AB240" s="102">
        <f t="shared" si="151"/>
        <v>0</v>
      </c>
      <c r="AH240" s="100">
        <v>239</v>
      </c>
      <c r="AI240" s="131">
        <f t="shared" ca="1" si="175"/>
        <v>53440</v>
      </c>
      <c r="AJ240" s="102">
        <f t="shared" si="176"/>
        <v>0</v>
      </c>
      <c r="AK240" s="102">
        <f t="shared" si="177"/>
        <v>0</v>
      </c>
      <c r="AL240" s="102">
        <f t="shared" si="189"/>
        <v>0</v>
      </c>
      <c r="AM240" s="102">
        <f t="shared" si="152"/>
        <v>0</v>
      </c>
      <c r="AS240" s="530">
        <v>239</v>
      </c>
      <c r="AT240" s="531">
        <f t="shared" ca="1" si="178"/>
        <v>53440</v>
      </c>
      <c r="AU240" s="532">
        <f ca="1">IF(AU239=0,SUMIFS('Key Life Events'!$L$3:$L$28,'Key Life Events'!$H$3:$H$28,'Loan Amortization'!$AY$3,'Key Life Events'!$N$3:$N$28,'Loan Amortization'!AT240),AU239-AX239)</f>
        <v>0</v>
      </c>
      <c r="AV240" s="532">
        <f t="shared" ca="1" si="179"/>
        <v>0</v>
      </c>
      <c r="AW240" s="532">
        <f t="shared" ca="1" si="146"/>
        <v>0</v>
      </c>
      <c r="AX240" s="532">
        <f t="shared" ca="1" si="153"/>
        <v>0</v>
      </c>
      <c r="BC240" s="536">
        <f t="shared" ca="1" si="154"/>
        <v>2046</v>
      </c>
      <c r="BF240" s="530">
        <v>239</v>
      </c>
      <c r="BG240" s="531">
        <f t="shared" ca="1" si="180"/>
        <v>53440</v>
      </c>
      <c r="BH240" s="532">
        <f ca="1">IF(BH239=0,SUMIFS('Key Life Events'!$L$3:$L$28,'Key Life Events'!$H$3:$H$28,'Loan Amortization'!$BL$3,'Key Life Events'!$N$3:$N$28,'Loan Amortization'!BG240),BH239-BK239)</f>
        <v>0</v>
      </c>
      <c r="BI240" s="532">
        <f t="shared" ca="1" si="181"/>
        <v>0</v>
      </c>
      <c r="BJ240" s="532">
        <f t="shared" ca="1" si="182"/>
        <v>0</v>
      </c>
      <c r="BK240" s="532">
        <f t="shared" ca="1" si="155"/>
        <v>0</v>
      </c>
      <c r="BP240" s="536">
        <f t="shared" ca="1" si="156"/>
        <v>2046</v>
      </c>
      <c r="BQ240" s="535">
        <f ca="1"/>
        <v>0</v>
      </c>
      <c r="BS240" s="530">
        <v>239</v>
      </c>
      <c r="BT240" s="531">
        <f t="shared" ca="1" si="183"/>
        <v>53440</v>
      </c>
      <c r="BU240" s="532">
        <f ca="1">IF(BU239=0,SUMIFS('Key Life Events'!$L$3:$L$28,'Key Life Events'!$H$3:$H$28,'Loan Amortization'!$BY$3,'Key Life Events'!$N$3:$N$28,'Loan Amortization'!BT240),BU239-BX239)</f>
        <v>0</v>
      </c>
      <c r="BV240" s="532">
        <f t="shared" ca="1" si="188"/>
        <v>0</v>
      </c>
      <c r="BW240" s="532">
        <f t="shared" ca="1" si="184"/>
        <v>0</v>
      </c>
      <c r="BX240" s="532">
        <f t="shared" ca="1" si="157"/>
        <v>0</v>
      </c>
      <c r="CC240" s="536">
        <f t="shared" ca="1" si="158"/>
        <v>2046</v>
      </c>
      <c r="CD240" s="535">
        <f ca="1"/>
        <v>0</v>
      </c>
      <c r="CF240" s="530">
        <v>239</v>
      </c>
      <c r="CG240" s="531">
        <f t="shared" ca="1" si="185"/>
        <v>53440</v>
      </c>
      <c r="CH240" s="532">
        <f ca="1">IF(CH239=0,SUMIFS('Key Life Events'!$L$3:$L$28,'Key Life Events'!$H$3:$H$28,'Loan Amortization'!$CL$3,'Key Life Events'!$N$3:$N$28,'Loan Amortization'!CG240),CH239-CK239)</f>
        <v>0</v>
      </c>
      <c r="CI240" s="532">
        <f t="shared" ca="1" si="186"/>
        <v>0</v>
      </c>
      <c r="CJ240" s="532">
        <f t="shared" ca="1" si="187"/>
        <v>0</v>
      </c>
      <c r="CK240" s="532">
        <f t="shared" ca="1" si="159"/>
        <v>0</v>
      </c>
      <c r="CP240" s="536">
        <f t="shared" ca="1" si="160"/>
        <v>2046</v>
      </c>
      <c r="CQ240" s="535">
        <f ca="1"/>
        <v>0</v>
      </c>
      <c r="CS240" s="100">
        <f t="shared" si="161"/>
        <v>239</v>
      </c>
      <c r="CT240" s="102">
        <f t="shared" ca="1" si="162"/>
        <v>0</v>
      </c>
      <c r="CU240" s="102">
        <f t="shared" ca="1" si="163"/>
        <v>0</v>
      </c>
      <c r="CV240" s="511">
        <f t="shared" ca="1" si="164"/>
        <v>2046</v>
      </c>
    </row>
    <row r="241" spans="1:100" x14ac:dyDescent="0.3">
      <c r="A241" s="100">
        <v>240</v>
      </c>
      <c r="B241" s="131">
        <f t="shared" si="165"/>
        <v>6450</v>
      </c>
      <c r="C241" s="102">
        <f t="shared" si="166"/>
        <v>0</v>
      </c>
      <c r="D241" s="102">
        <f t="shared" si="167"/>
        <v>0</v>
      </c>
      <c r="E241" s="102">
        <f t="shared" si="147"/>
        <v>0</v>
      </c>
      <c r="F241" s="102">
        <f t="shared" si="168"/>
        <v>0</v>
      </c>
      <c r="L241" s="100">
        <v>240</v>
      </c>
      <c r="M241" s="131">
        <f t="shared" ca="1" si="169"/>
        <v>53470</v>
      </c>
      <c r="N241" s="102">
        <f t="shared" si="170"/>
        <v>0</v>
      </c>
      <c r="O241" s="102">
        <f t="shared" si="171"/>
        <v>0</v>
      </c>
      <c r="P241" s="102">
        <f t="shared" si="148"/>
        <v>0</v>
      </c>
      <c r="Q241" s="102">
        <f t="shared" si="149"/>
        <v>0</v>
      </c>
      <c r="W241" s="100">
        <v>240</v>
      </c>
      <c r="X241" s="131">
        <f t="shared" ca="1" si="172"/>
        <v>53470</v>
      </c>
      <c r="Y241" s="102">
        <f t="shared" si="173"/>
        <v>0</v>
      </c>
      <c r="Z241" s="102">
        <f t="shared" si="174"/>
        <v>0</v>
      </c>
      <c r="AA241" s="102">
        <f t="shared" si="150"/>
        <v>0</v>
      </c>
      <c r="AB241" s="102">
        <f t="shared" si="151"/>
        <v>0</v>
      </c>
      <c r="AH241" s="100">
        <v>240</v>
      </c>
      <c r="AI241" s="131">
        <f t="shared" ca="1" si="175"/>
        <v>53470</v>
      </c>
      <c r="AJ241" s="102">
        <f t="shared" si="176"/>
        <v>0</v>
      </c>
      <c r="AK241" s="102">
        <f t="shared" si="177"/>
        <v>0</v>
      </c>
      <c r="AL241" s="102">
        <f t="shared" si="189"/>
        <v>0</v>
      </c>
      <c r="AM241" s="102">
        <f t="shared" si="152"/>
        <v>0</v>
      </c>
      <c r="AS241" s="530">
        <v>240</v>
      </c>
      <c r="AT241" s="531">
        <f t="shared" ca="1" si="178"/>
        <v>53470</v>
      </c>
      <c r="AU241" s="532">
        <f ca="1">IF(AU240=0,SUMIFS('Key Life Events'!$L$3:$L$28,'Key Life Events'!$H$3:$H$28,'Loan Amortization'!$AY$3,'Key Life Events'!$N$3:$N$28,'Loan Amortization'!AT241),AU240-AX240)</f>
        <v>0</v>
      </c>
      <c r="AV241" s="532">
        <f t="shared" ca="1" si="179"/>
        <v>0</v>
      </c>
      <c r="AW241" s="532">
        <f t="shared" ca="1" si="146"/>
        <v>0</v>
      </c>
      <c r="AX241" s="532">
        <f t="shared" ca="1" si="153"/>
        <v>0</v>
      </c>
      <c r="BC241" s="536">
        <f t="shared" ca="1" si="154"/>
        <v>2046</v>
      </c>
      <c r="BF241" s="530">
        <v>240</v>
      </c>
      <c r="BG241" s="531">
        <f t="shared" ca="1" si="180"/>
        <v>53470</v>
      </c>
      <c r="BH241" s="532">
        <f ca="1">IF(BH240=0,SUMIFS('Key Life Events'!$L$3:$L$28,'Key Life Events'!$H$3:$H$28,'Loan Amortization'!$BL$3,'Key Life Events'!$N$3:$N$28,'Loan Amortization'!BG241),BH240-BK240)</f>
        <v>0</v>
      </c>
      <c r="BI241" s="532">
        <f t="shared" ca="1" si="181"/>
        <v>0</v>
      </c>
      <c r="BJ241" s="532">
        <f t="shared" ca="1" si="182"/>
        <v>0</v>
      </c>
      <c r="BK241" s="532">
        <f t="shared" ca="1" si="155"/>
        <v>0</v>
      </c>
      <c r="BP241" s="536">
        <f t="shared" ca="1" si="156"/>
        <v>2046</v>
      </c>
      <c r="BQ241" s="535">
        <f ca="1"/>
        <v>0</v>
      </c>
      <c r="BS241" s="530">
        <v>240</v>
      </c>
      <c r="BT241" s="531">
        <f t="shared" ca="1" si="183"/>
        <v>53470</v>
      </c>
      <c r="BU241" s="532">
        <f ca="1">IF(BU240=0,SUMIFS('Key Life Events'!$L$3:$L$28,'Key Life Events'!$H$3:$H$28,'Loan Amortization'!$BY$3,'Key Life Events'!$N$3:$N$28,'Loan Amortization'!BT241),BU240-BX240)</f>
        <v>0</v>
      </c>
      <c r="BV241" s="532">
        <f t="shared" ca="1" si="188"/>
        <v>0</v>
      </c>
      <c r="BW241" s="532">
        <f t="shared" ca="1" si="184"/>
        <v>0</v>
      </c>
      <c r="BX241" s="532">
        <f t="shared" ca="1" si="157"/>
        <v>0</v>
      </c>
      <c r="CC241" s="536">
        <f t="shared" ca="1" si="158"/>
        <v>2046</v>
      </c>
      <c r="CD241" s="535">
        <f ca="1"/>
        <v>0</v>
      </c>
      <c r="CF241" s="530">
        <v>240</v>
      </c>
      <c r="CG241" s="531">
        <f t="shared" ca="1" si="185"/>
        <v>53470</v>
      </c>
      <c r="CH241" s="532">
        <f ca="1">IF(CH240=0,SUMIFS('Key Life Events'!$L$3:$L$28,'Key Life Events'!$H$3:$H$28,'Loan Amortization'!$CL$3,'Key Life Events'!$N$3:$N$28,'Loan Amortization'!CG241),CH240-CK240)</f>
        <v>0</v>
      </c>
      <c r="CI241" s="532">
        <f t="shared" ca="1" si="186"/>
        <v>0</v>
      </c>
      <c r="CJ241" s="532">
        <f t="shared" ca="1" si="187"/>
        <v>0</v>
      </c>
      <c r="CK241" s="532">
        <f t="shared" ca="1" si="159"/>
        <v>0</v>
      </c>
      <c r="CP241" s="536">
        <f t="shared" ca="1" si="160"/>
        <v>2046</v>
      </c>
      <c r="CQ241" s="535">
        <f ca="1"/>
        <v>0</v>
      </c>
      <c r="CS241" s="100">
        <f t="shared" si="161"/>
        <v>240</v>
      </c>
      <c r="CT241" s="102">
        <f t="shared" ca="1" si="162"/>
        <v>0</v>
      </c>
      <c r="CU241" s="102">
        <f t="shared" ca="1" si="163"/>
        <v>0</v>
      </c>
      <c r="CV241" s="511">
        <f t="shared" ca="1" si="164"/>
        <v>2046</v>
      </c>
    </row>
    <row r="242" spans="1:100" x14ac:dyDescent="0.3">
      <c r="A242" s="100">
        <v>241</v>
      </c>
      <c r="B242" s="131">
        <f t="shared" si="165"/>
        <v>6481</v>
      </c>
      <c r="C242" s="102">
        <f t="shared" si="166"/>
        <v>0</v>
      </c>
      <c r="D242" s="102">
        <f t="shared" si="167"/>
        <v>0</v>
      </c>
      <c r="E242" s="102">
        <f t="shared" si="147"/>
        <v>0</v>
      </c>
      <c r="F242" s="102">
        <f t="shared" si="168"/>
        <v>0</v>
      </c>
      <c r="L242" s="100">
        <v>241</v>
      </c>
      <c r="M242" s="131">
        <f t="shared" ca="1" si="169"/>
        <v>53501</v>
      </c>
      <c r="N242" s="102">
        <f t="shared" si="170"/>
        <v>0</v>
      </c>
      <c r="O242" s="102">
        <f t="shared" si="171"/>
        <v>0</v>
      </c>
      <c r="P242" s="102">
        <f t="shared" si="148"/>
        <v>0</v>
      </c>
      <c r="Q242" s="102">
        <f t="shared" si="149"/>
        <v>0</v>
      </c>
      <c r="W242" s="100">
        <v>241</v>
      </c>
      <c r="X242" s="131">
        <f t="shared" ca="1" si="172"/>
        <v>53501</v>
      </c>
      <c r="Y242" s="102">
        <f t="shared" si="173"/>
        <v>0</v>
      </c>
      <c r="Z242" s="102">
        <f t="shared" si="174"/>
        <v>0</v>
      </c>
      <c r="AA242" s="102">
        <f t="shared" si="150"/>
        <v>0</v>
      </c>
      <c r="AB242" s="102">
        <f t="shared" si="151"/>
        <v>0</v>
      </c>
      <c r="AH242" s="100">
        <v>241</v>
      </c>
      <c r="AI242" s="131">
        <f t="shared" ca="1" si="175"/>
        <v>53501</v>
      </c>
      <c r="AJ242" s="102">
        <f t="shared" si="176"/>
        <v>0</v>
      </c>
      <c r="AK242" s="102">
        <f t="shared" si="177"/>
        <v>0</v>
      </c>
      <c r="AL242" s="102">
        <f t="shared" si="189"/>
        <v>0</v>
      </c>
      <c r="AM242" s="102">
        <f t="shared" si="152"/>
        <v>0</v>
      </c>
      <c r="AS242" s="530">
        <v>241</v>
      </c>
      <c r="AT242" s="531">
        <f t="shared" ca="1" si="178"/>
        <v>53501</v>
      </c>
      <c r="AU242" s="532">
        <f ca="1">IF(AU241=0,SUMIFS('Key Life Events'!$L$3:$L$28,'Key Life Events'!$H$3:$H$28,'Loan Amortization'!$AY$3,'Key Life Events'!$N$3:$N$28,'Loan Amortization'!AT242),AU241-AX241)</f>
        <v>0</v>
      </c>
      <c r="AV242" s="532">
        <f t="shared" ca="1" si="179"/>
        <v>0</v>
      </c>
      <c r="AW242" s="532">
        <f t="shared" ca="1" si="146"/>
        <v>0</v>
      </c>
      <c r="AX242" s="532">
        <f t="shared" ca="1" si="153"/>
        <v>0</v>
      </c>
      <c r="BC242" s="536">
        <f t="shared" ca="1" si="154"/>
        <v>2046</v>
      </c>
      <c r="BF242" s="530">
        <v>241</v>
      </c>
      <c r="BG242" s="531">
        <f t="shared" ca="1" si="180"/>
        <v>53501</v>
      </c>
      <c r="BH242" s="532">
        <f ca="1">IF(BH241=0,SUMIFS('Key Life Events'!$L$3:$L$28,'Key Life Events'!$H$3:$H$28,'Loan Amortization'!$BL$3,'Key Life Events'!$N$3:$N$28,'Loan Amortization'!BG242),BH241-BK241)</f>
        <v>0</v>
      </c>
      <c r="BI242" s="532">
        <f t="shared" ca="1" si="181"/>
        <v>0</v>
      </c>
      <c r="BJ242" s="532">
        <f t="shared" ca="1" si="182"/>
        <v>0</v>
      </c>
      <c r="BK242" s="532">
        <f t="shared" ca="1" si="155"/>
        <v>0</v>
      </c>
      <c r="BP242" s="536">
        <f t="shared" ca="1" si="156"/>
        <v>2046</v>
      </c>
      <c r="BQ242" s="535">
        <f ca="1"/>
        <v>0</v>
      </c>
      <c r="BS242" s="530">
        <v>241</v>
      </c>
      <c r="BT242" s="531">
        <f t="shared" ca="1" si="183"/>
        <v>53501</v>
      </c>
      <c r="BU242" s="532">
        <f ca="1">IF(BU241=0,SUMIFS('Key Life Events'!$L$3:$L$28,'Key Life Events'!$H$3:$H$28,'Loan Amortization'!$BY$3,'Key Life Events'!$N$3:$N$28,'Loan Amortization'!BT242),BU241-BX241)</f>
        <v>0</v>
      </c>
      <c r="BV242" s="532">
        <f t="shared" ca="1" si="188"/>
        <v>0</v>
      </c>
      <c r="BW242" s="532">
        <f t="shared" ca="1" si="184"/>
        <v>0</v>
      </c>
      <c r="BX242" s="532">
        <f t="shared" ca="1" si="157"/>
        <v>0</v>
      </c>
      <c r="CC242" s="536">
        <f t="shared" ca="1" si="158"/>
        <v>2046</v>
      </c>
      <c r="CD242" s="535">
        <f ca="1"/>
        <v>0</v>
      </c>
      <c r="CF242" s="530">
        <v>241</v>
      </c>
      <c r="CG242" s="531">
        <f t="shared" ca="1" si="185"/>
        <v>53501</v>
      </c>
      <c r="CH242" s="532">
        <f ca="1">IF(CH241=0,SUMIFS('Key Life Events'!$L$3:$L$28,'Key Life Events'!$H$3:$H$28,'Loan Amortization'!$CL$3,'Key Life Events'!$N$3:$N$28,'Loan Amortization'!CG242),CH241-CK241)</f>
        <v>0</v>
      </c>
      <c r="CI242" s="532">
        <f t="shared" ca="1" si="186"/>
        <v>0</v>
      </c>
      <c r="CJ242" s="532">
        <f t="shared" ca="1" si="187"/>
        <v>0</v>
      </c>
      <c r="CK242" s="532">
        <f t="shared" ca="1" si="159"/>
        <v>0</v>
      </c>
      <c r="CP242" s="536">
        <f t="shared" ca="1" si="160"/>
        <v>2046</v>
      </c>
      <c r="CQ242" s="535">
        <f ca="1"/>
        <v>0</v>
      </c>
      <c r="CS242" s="100">
        <f t="shared" si="161"/>
        <v>241</v>
      </c>
      <c r="CT242" s="102">
        <f t="shared" ca="1" si="162"/>
        <v>0</v>
      </c>
      <c r="CU242" s="102">
        <f t="shared" ca="1" si="163"/>
        <v>0</v>
      </c>
      <c r="CV242" s="511">
        <f t="shared" ca="1" si="164"/>
        <v>2046</v>
      </c>
    </row>
    <row r="243" spans="1:100" x14ac:dyDescent="0.3">
      <c r="A243" s="100">
        <v>242</v>
      </c>
      <c r="B243" s="131">
        <f t="shared" si="165"/>
        <v>6511</v>
      </c>
      <c r="C243" s="102">
        <f t="shared" si="166"/>
        <v>0</v>
      </c>
      <c r="D243" s="102">
        <f t="shared" si="167"/>
        <v>0</v>
      </c>
      <c r="E243" s="102">
        <f t="shared" si="147"/>
        <v>0</v>
      </c>
      <c r="F243" s="102">
        <f t="shared" si="168"/>
        <v>0</v>
      </c>
      <c r="L243" s="100">
        <v>242</v>
      </c>
      <c r="M243" s="131">
        <f t="shared" ca="1" si="169"/>
        <v>53531</v>
      </c>
      <c r="N243" s="102">
        <f t="shared" si="170"/>
        <v>0</v>
      </c>
      <c r="O243" s="102">
        <f t="shared" si="171"/>
        <v>0</v>
      </c>
      <c r="P243" s="102">
        <f t="shared" si="148"/>
        <v>0</v>
      </c>
      <c r="Q243" s="102">
        <f t="shared" si="149"/>
        <v>0</v>
      </c>
      <c r="W243" s="100">
        <v>242</v>
      </c>
      <c r="X243" s="131">
        <f t="shared" ca="1" si="172"/>
        <v>53531</v>
      </c>
      <c r="Y243" s="102">
        <f t="shared" si="173"/>
        <v>0</v>
      </c>
      <c r="Z243" s="102">
        <f t="shared" si="174"/>
        <v>0</v>
      </c>
      <c r="AA243" s="102">
        <f t="shared" si="150"/>
        <v>0</v>
      </c>
      <c r="AB243" s="102">
        <f t="shared" si="151"/>
        <v>0</v>
      </c>
      <c r="AH243" s="100">
        <v>242</v>
      </c>
      <c r="AI243" s="131">
        <f t="shared" ca="1" si="175"/>
        <v>53531</v>
      </c>
      <c r="AJ243" s="102">
        <f t="shared" si="176"/>
        <v>0</v>
      </c>
      <c r="AK243" s="102">
        <f t="shared" si="177"/>
        <v>0</v>
      </c>
      <c r="AL243" s="102">
        <f t="shared" si="189"/>
        <v>0</v>
      </c>
      <c r="AM243" s="102">
        <f t="shared" si="152"/>
        <v>0</v>
      </c>
      <c r="AS243" s="530">
        <v>242</v>
      </c>
      <c r="AT243" s="531">
        <f t="shared" ca="1" si="178"/>
        <v>53531</v>
      </c>
      <c r="AU243" s="532">
        <f ca="1">IF(AU242=0,SUMIFS('Key Life Events'!$L$3:$L$28,'Key Life Events'!$H$3:$H$28,'Loan Amortization'!$AY$3,'Key Life Events'!$N$3:$N$28,'Loan Amortization'!AT243),AU242-AX242)</f>
        <v>0</v>
      </c>
      <c r="AV243" s="532">
        <f t="shared" ca="1" si="179"/>
        <v>0</v>
      </c>
      <c r="AW243" s="532">
        <f t="shared" ca="1" si="146"/>
        <v>0</v>
      </c>
      <c r="AX243" s="532">
        <f t="shared" ca="1" si="153"/>
        <v>0</v>
      </c>
      <c r="BC243" s="536">
        <f t="shared" ca="1" si="154"/>
        <v>2046</v>
      </c>
      <c r="BF243" s="530">
        <v>242</v>
      </c>
      <c r="BG243" s="531">
        <f t="shared" ca="1" si="180"/>
        <v>53531</v>
      </c>
      <c r="BH243" s="532">
        <f ca="1">IF(BH242=0,SUMIFS('Key Life Events'!$L$3:$L$28,'Key Life Events'!$H$3:$H$28,'Loan Amortization'!$BL$3,'Key Life Events'!$N$3:$N$28,'Loan Amortization'!BG243),BH242-BK242)</f>
        <v>0</v>
      </c>
      <c r="BI243" s="532">
        <f t="shared" ca="1" si="181"/>
        <v>0</v>
      </c>
      <c r="BJ243" s="532">
        <f t="shared" ca="1" si="182"/>
        <v>0</v>
      </c>
      <c r="BK243" s="532">
        <f t="shared" ca="1" si="155"/>
        <v>0</v>
      </c>
      <c r="BP243" s="536">
        <f t="shared" ca="1" si="156"/>
        <v>2046</v>
      </c>
      <c r="BQ243" s="535">
        <f ca="1"/>
        <v>0</v>
      </c>
      <c r="BS243" s="530">
        <v>242</v>
      </c>
      <c r="BT243" s="531">
        <f t="shared" ca="1" si="183"/>
        <v>53531</v>
      </c>
      <c r="BU243" s="532">
        <f ca="1">IF(BU242=0,SUMIFS('Key Life Events'!$L$3:$L$28,'Key Life Events'!$H$3:$H$28,'Loan Amortization'!$BY$3,'Key Life Events'!$N$3:$N$28,'Loan Amortization'!BT243),BU242-BX242)</f>
        <v>0</v>
      </c>
      <c r="BV243" s="532">
        <f t="shared" ca="1" si="188"/>
        <v>0</v>
      </c>
      <c r="BW243" s="532">
        <f t="shared" ca="1" si="184"/>
        <v>0</v>
      </c>
      <c r="BX243" s="532">
        <f t="shared" ca="1" si="157"/>
        <v>0</v>
      </c>
      <c r="CC243" s="536">
        <f t="shared" ca="1" si="158"/>
        <v>2046</v>
      </c>
      <c r="CD243" s="535">
        <f ca="1"/>
        <v>0</v>
      </c>
      <c r="CF243" s="530">
        <v>242</v>
      </c>
      <c r="CG243" s="531">
        <f t="shared" ca="1" si="185"/>
        <v>53531</v>
      </c>
      <c r="CH243" s="532">
        <f ca="1">IF(CH242=0,SUMIFS('Key Life Events'!$L$3:$L$28,'Key Life Events'!$H$3:$H$28,'Loan Amortization'!$CL$3,'Key Life Events'!$N$3:$N$28,'Loan Amortization'!CG243),CH242-CK242)</f>
        <v>0</v>
      </c>
      <c r="CI243" s="532">
        <f t="shared" ca="1" si="186"/>
        <v>0</v>
      </c>
      <c r="CJ243" s="532">
        <f t="shared" ca="1" si="187"/>
        <v>0</v>
      </c>
      <c r="CK243" s="532">
        <f t="shared" ca="1" si="159"/>
        <v>0</v>
      </c>
      <c r="CP243" s="536">
        <f t="shared" ca="1" si="160"/>
        <v>2046</v>
      </c>
      <c r="CQ243" s="535">
        <f ca="1"/>
        <v>0</v>
      </c>
      <c r="CS243" s="100">
        <f t="shared" si="161"/>
        <v>242</v>
      </c>
      <c r="CT243" s="102">
        <f t="shared" ca="1" si="162"/>
        <v>0</v>
      </c>
      <c r="CU243" s="102">
        <f t="shared" ca="1" si="163"/>
        <v>0</v>
      </c>
      <c r="CV243" s="511">
        <f t="shared" ca="1" si="164"/>
        <v>2046</v>
      </c>
    </row>
    <row r="244" spans="1:100" x14ac:dyDescent="0.3">
      <c r="A244" s="100">
        <v>243</v>
      </c>
      <c r="B244" s="131">
        <f t="shared" si="165"/>
        <v>6542</v>
      </c>
      <c r="C244" s="102">
        <f t="shared" si="166"/>
        <v>0</v>
      </c>
      <c r="D244" s="102">
        <f t="shared" si="167"/>
        <v>0</v>
      </c>
      <c r="E244" s="102">
        <f t="shared" si="147"/>
        <v>0</v>
      </c>
      <c r="F244" s="102">
        <f t="shared" si="168"/>
        <v>0</v>
      </c>
      <c r="L244" s="100">
        <v>243</v>
      </c>
      <c r="M244" s="131">
        <f t="shared" ca="1" si="169"/>
        <v>53562</v>
      </c>
      <c r="N244" s="102">
        <f t="shared" si="170"/>
        <v>0</v>
      </c>
      <c r="O244" s="102">
        <f t="shared" si="171"/>
        <v>0</v>
      </c>
      <c r="P244" s="102">
        <f t="shared" si="148"/>
        <v>0</v>
      </c>
      <c r="Q244" s="102">
        <f t="shared" si="149"/>
        <v>0</v>
      </c>
      <c r="W244" s="100">
        <v>243</v>
      </c>
      <c r="X244" s="131">
        <f t="shared" ca="1" si="172"/>
        <v>53562</v>
      </c>
      <c r="Y244" s="102">
        <f t="shared" si="173"/>
        <v>0</v>
      </c>
      <c r="Z244" s="102">
        <f t="shared" si="174"/>
        <v>0</v>
      </c>
      <c r="AA244" s="102">
        <f t="shared" si="150"/>
        <v>0</v>
      </c>
      <c r="AB244" s="102">
        <f t="shared" si="151"/>
        <v>0</v>
      </c>
      <c r="AH244" s="100">
        <v>243</v>
      </c>
      <c r="AI244" s="131">
        <f t="shared" ca="1" si="175"/>
        <v>53562</v>
      </c>
      <c r="AJ244" s="102">
        <f t="shared" si="176"/>
        <v>0</v>
      </c>
      <c r="AK244" s="102">
        <f t="shared" si="177"/>
        <v>0</v>
      </c>
      <c r="AL244" s="102">
        <f t="shared" si="189"/>
        <v>0</v>
      </c>
      <c r="AM244" s="102">
        <f t="shared" si="152"/>
        <v>0</v>
      </c>
      <c r="AS244" s="530">
        <v>243</v>
      </c>
      <c r="AT244" s="531">
        <f t="shared" ca="1" si="178"/>
        <v>53562</v>
      </c>
      <c r="AU244" s="532">
        <f ca="1">IF(AU243=0,SUMIFS('Key Life Events'!$L$3:$L$28,'Key Life Events'!$H$3:$H$28,'Loan Amortization'!$AY$3,'Key Life Events'!$N$3:$N$28,'Loan Amortization'!AT244),AU243-AX243)</f>
        <v>0</v>
      </c>
      <c r="AV244" s="532">
        <f t="shared" ca="1" si="179"/>
        <v>0</v>
      </c>
      <c r="AW244" s="532">
        <f t="shared" ca="1" si="146"/>
        <v>0</v>
      </c>
      <c r="AX244" s="532">
        <f t="shared" ca="1" si="153"/>
        <v>0</v>
      </c>
      <c r="BC244" s="536">
        <f t="shared" ca="1" si="154"/>
        <v>2046</v>
      </c>
      <c r="BF244" s="530">
        <v>243</v>
      </c>
      <c r="BG244" s="531">
        <f t="shared" ca="1" si="180"/>
        <v>53562</v>
      </c>
      <c r="BH244" s="532">
        <f ca="1">IF(BH243=0,SUMIFS('Key Life Events'!$L$3:$L$28,'Key Life Events'!$H$3:$H$28,'Loan Amortization'!$BL$3,'Key Life Events'!$N$3:$N$28,'Loan Amortization'!BG244),BH243-BK243)</f>
        <v>0</v>
      </c>
      <c r="BI244" s="532">
        <f t="shared" ca="1" si="181"/>
        <v>0</v>
      </c>
      <c r="BJ244" s="532">
        <f t="shared" ca="1" si="182"/>
        <v>0</v>
      </c>
      <c r="BK244" s="532">
        <f t="shared" ca="1" si="155"/>
        <v>0</v>
      </c>
      <c r="BP244" s="536">
        <f t="shared" ca="1" si="156"/>
        <v>2046</v>
      </c>
      <c r="BQ244" s="535">
        <f ca="1"/>
        <v>0</v>
      </c>
      <c r="BS244" s="530">
        <v>243</v>
      </c>
      <c r="BT244" s="531">
        <f t="shared" ca="1" si="183"/>
        <v>53562</v>
      </c>
      <c r="BU244" s="532">
        <f ca="1">IF(BU243=0,SUMIFS('Key Life Events'!$L$3:$L$28,'Key Life Events'!$H$3:$H$28,'Loan Amortization'!$BY$3,'Key Life Events'!$N$3:$N$28,'Loan Amortization'!BT244),BU243-BX243)</f>
        <v>0</v>
      </c>
      <c r="BV244" s="532">
        <f t="shared" ca="1" si="188"/>
        <v>0</v>
      </c>
      <c r="BW244" s="532">
        <f t="shared" ca="1" si="184"/>
        <v>0</v>
      </c>
      <c r="BX244" s="532">
        <f t="shared" ca="1" si="157"/>
        <v>0</v>
      </c>
      <c r="CC244" s="536">
        <f t="shared" ca="1" si="158"/>
        <v>2046</v>
      </c>
      <c r="CD244" s="535">
        <f ca="1"/>
        <v>0</v>
      </c>
      <c r="CF244" s="530">
        <v>243</v>
      </c>
      <c r="CG244" s="531">
        <f t="shared" ca="1" si="185"/>
        <v>53562</v>
      </c>
      <c r="CH244" s="532">
        <f ca="1">IF(CH243=0,SUMIFS('Key Life Events'!$L$3:$L$28,'Key Life Events'!$H$3:$H$28,'Loan Amortization'!$CL$3,'Key Life Events'!$N$3:$N$28,'Loan Amortization'!CG244),CH243-CK243)</f>
        <v>0</v>
      </c>
      <c r="CI244" s="532">
        <f t="shared" ca="1" si="186"/>
        <v>0</v>
      </c>
      <c r="CJ244" s="532">
        <f t="shared" ca="1" si="187"/>
        <v>0</v>
      </c>
      <c r="CK244" s="532">
        <f t="shared" ca="1" si="159"/>
        <v>0</v>
      </c>
      <c r="CP244" s="536">
        <f t="shared" ca="1" si="160"/>
        <v>2046</v>
      </c>
      <c r="CQ244" s="535">
        <f ca="1"/>
        <v>0</v>
      </c>
      <c r="CS244" s="100">
        <f t="shared" si="161"/>
        <v>243</v>
      </c>
      <c r="CT244" s="102">
        <f t="shared" ca="1" si="162"/>
        <v>0</v>
      </c>
      <c r="CU244" s="102">
        <f t="shared" ca="1" si="163"/>
        <v>0</v>
      </c>
      <c r="CV244" s="511">
        <f t="shared" ca="1" si="164"/>
        <v>2046</v>
      </c>
    </row>
    <row r="245" spans="1:100" x14ac:dyDescent="0.3">
      <c r="A245" s="100">
        <v>244</v>
      </c>
      <c r="B245" s="131">
        <f t="shared" si="165"/>
        <v>6572</v>
      </c>
      <c r="C245" s="102">
        <f t="shared" si="166"/>
        <v>0</v>
      </c>
      <c r="D245" s="102">
        <f t="shared" si="167"/>
        <v>0</v>
      </c>
      <c r="E245" s="102">
        <f t="shared" si="147"/>
        <v>0</v>
      </c>
      <c r="F245" s="102">
        <f t="shared" si="168"/>
        <v>0</v>
      </c>
      <c r="L245" s="100">
        <v>244</v>
      </c>
      <c r="M245" s="131">
        <f t="shared" ca="1" si="169"/>
        <v>53593</v>
      </c>
      <c r="N245" s="102">
        <f t="shared" si="170"/>
        <v>0</v>
      </c>
      <c r="O245" s="102">
        <f t="shared" si="171"/>
        <v>0</v>
      </c>
      <c r="P245" s="102">
        <f t="shared" si="148"/>
        <v>0</v>
      </c>
      <c r="Q245" s="102">
        <f t="shared" si="149"/>
        <v>0</v>
      </c>
      <c r="W245" s="100">
        <v>244</v>
      </c>
      <c r="X245" s="131">
        <f t="shared" ca="1" si="172"/>
        <v>53593</v>
      </c>
      <c r="Y245" s="102">
        <f t="shared" si="173"/>
        <v>0</v>
      </c>
      <c r="Z245" s="102">
        <f t="shared" si="174"/>
        <v>0</v>
      </c>
      <c r="AA245" s="102">
        <f t="shared" si="150"/>
        <v>0</v>
      </c>
      <c r="AB245" s="102">
        <f t="shared" si="151"/>
        <v>0</v>
      </c>
      <c r="AH245" s="100">
        <v>244</v>
      </c>
      <c r="AI245" s="131">
        <f t="shared" ca="1" si="175"/>
        <v>53593</v>
      </c>
      <c r="AJ245" s="102">
        <f t="shared" si="176"/>
        <v>0</v>
      </c>
      <c r="AK245" s="102">
        <f t="shared" si="177"/>
        <v>0</v>
      </c>
      <c r="AL245" s="102">
        <f t="shared" si="189"/>
        <v>0</v>
      </c>
      <c r="AM245" s="102">
        <f t="shared" si="152"/>
        <v>0</v>
      </c>
      <c r="AS245" s="530">
        <v>244</v>
      </c>
      <c r="AT245" s="531">
        <f t="shared" ca="1" si="178"/>
        <v>53593</v>
      </c>
      <c r="AU245" s="532">
        <f ca="1">IF(AU244=0,SUMIFS('Key Life Events'!$L$3:$L$28,'Key Life Events'!$H$3:$H$28,'Loan Amortization'!$AY$3,'Key Life Events'!$N$3:$N$28,'Loan Amortization'!AT245),AU244-AX244)</f>
        <v>0</v>
      </c>
      <c r="AV245" s="532">
        <f t="shared" ca="1" si="179"/>
        <v>0</v>
      </c>
      <c r="AW245" s="532">
        <f t="shared" ca="1" si="146"/>
        <v>0</v>
      </c>
      <c r="AX245" s="532">
        <f t="shared" ca="1" si="153"/>
        <v>0</v>
      </c>
      <c r="BC245" s="536">
        <f t="shared" ca="1" si="154"/>
        <v>2046</v>
      </c>
      <c r="BF245" s="530">
        <v>244</v>
      </c>
      <c r="BG245" s="531">
        <f t="shared" ca="1" si="180"/>
        <v>53593</v>
      </c>
      <c r="BH245" s="532">
        <f ca="1">IF(BH244=0,SUMIFS('Key Life Events'!$L$3:$L$28,'Key Life Events'!$H$3:$H$28,'Loan Amortization'!$BL$3,'Key Life Events'!$N$3:$N$28,'Loan Amortization'!BG245),BH244-BK244)</f>
        <v>0</v>
      </c>
      <c r="BI245" s="532">
        <f t="shared" ca="1" si="181"/>
        <v>0</v>
      </c>
      <c r="BJ245" s="532">
        <f t="shared" ca="1" si="182"/>
        <v>0</v>
      </c>
      <c r="BK245" s="532">
        <f t="shared" ca="1" si="155"/>
        <v>0</v>
      </c>
      <c r="BP245" s="536">
        <f t="shared" ca="1" si="156"/>
        <v>2046</v>
      </c>
      <c r="BQ245" s="535">
        <f ca="1"/>
        <v>0</v>
      </c>
      <c r="BS245" s="530">
        <v>244</v>
      </c>
      <c r="BT245" s="531">
        <f t="shared" ca="1" si="183"/>
        <v>53593</v>
      </c>
      <c r="BU245" s="532">
        <f ca="1">IF(BU244=0,SUMIFS('Key Life Events'!$L$3:$L$28,'Key Life Events'!$H$3:$H$28,'Loan Amortization'!$BY$3,'Key Life Events'!$N$3:$N$28,'Loan Amortization'!BT245),BU244-BX244)</f>
        <v>0</v>
      </c>
      <c r="BV245" s="532">
        <f t="shared" ca="1" si="188"/>
        <v>0</v>
      </c>
      <c r="BW245" s="532">
        <f t="shared" ca="1" si="184"/>
        <v>0</v>
      </c>
      <c r="BX245" s="532">
        <f t="shared" ca="1" si="157"/>
        <v>0</v>
      </c>
      <c r="CC245" s="536">
        <f t="shared" ca="1" si="158"/>
        <v>2046</v>
      </c>
      <c r="CD245" s="535">
        <f ca="1"/>
        <v>0</v>
      </c>
      <c r="CF245" s="530">
        <v>244</v>
      </c>
      <c r="CG245" s="531">
        <f t="shared" ca="1" si="185"/>
        <v>53593</v>
      </c>
      <c r="CH245" s="532">
        <f ca="1">IF(CH244=0,SUMIFS('Key Life Events'!$L$3:$L$28,'Key Life Events'!$H$3:$H$28,'Loan Amortization'!$CL$3,'Key Life Events'!$N$3:$N$28,'Loan Amortization'!CG245),CH244-CK244)</f>
        <v>0</v>
      </c>
      <c r="CI245" s="532">
        <f t="shared" ca="1" si="186"/>
        <v>0</v>
      </c>
      <c r="CJ245" s="532">
        <f t="shared" ca="1" si="187"/>
        <v>0</v>
      </c>
      <c r="CK245" s="532">
        <f t="shared" ca="1" si="159"/>
        <v>0</v>
      </c>
      <c r="CP245" s="536">
        <f t="shared" ca="1" si="160"/>
        <v>2046</v>
      </c>
      <c r="CQ245" s="535">
        <f ca="1"/>
        <v>0</v>
      </c>
      <c r="CS245" s="100">
        <f t="shared" si="161"/>
        <v>244</v>
      </c>
      <c r="CT245" s="102">
        <f t="shared" ca="1" si="162"/>
        <v>0</v>
      </c>
      <c r="CU245" s="102">
        <f t="shared" ca="1" si="163"/>
        <v>0</v>
      </c>
      <c r="CV245" s="511">
        <f t="shared" ca="1" si="164"/>
        <v>2046</v>
      </c>
    </row>
    <row r="246" spans="1:100" x14ac:dyDescent="0.3">
      <c r="A246" s="100">
        <v>245</v>
      </c>
      <c r="B246" s="131">
        <f t="shared" si="165"/>
        <v>6603</v>
      </c>
      <c r="C246" s="102">
        <f t="shared" si="166"/>
        <v>0</v>
      </c>
      <c r="D246" s="102">
        <f t="shared" si="167"/>
        <v>0</v>
      </c>
      <c r="E246" s="102">
        <f t="shared" si="147"/>
        <v>0</v>
      </c>
      <c r="F246" s="102">
        <f t="shared" si="168"/>
        <v>0</v>
      </c>
      <c r="L246" s="100">
        <v>245</v>
      </c>
      <c r="M246" s="131">
        <f t="shared" ca="1" si="169"/>
        <v>53623</v>
      </c>
      <c r="N246" s="102">
        <f t="shared" si="170"/>
        <v>0</v>
      </c>
      <c r="O246" s="102">
        <f t="shared" si="171"/>
        <v>0</v>
      </c>
      <c r="P246" s="102">
        <f t="shared" si="148"/>
        <v>0</v>
      </c>
      <c r="Q246" s="102">
        <f t="shared" si="149"/>
        <v>0</v>
      </c>
      <c r="W246" s="100">
        <v>245</v>
      </c>
      <c r="X246" s="131">
        <f t="shared" ca="1" si="172"/>
        <v>53623</v>
      </c>
      <c r="Y246" s="102">
        <f t="shared" si="173"/>
        <v>0</v>
      </c>
      <c r="Z246" s="102">
        <f t="shared" si="174"/>
        <v>0</v>
      </c>
      <c r="AA246" s="102">
        <f t="shared" si="150"/>
        <v>0</v>
      </c>
      <c r="AB246" s="102">
        <f t="shared" si="151"/>
        <v>0</v>
      </c>
      <c r="AH246" s="100">
        <v>245</v>
      </c>
      <c r="AI246" s="131">
        <f t="shared" ca="1" si="175"/>
        <v>53623</v>
      </c>
      <c r="AJ246" s="102">
        <f t="shared" si="176"/>
        <v>0</v>
      </c>
      <c r="AK246" s="102">
        <f t="shared" si="177"/>
        <v>0</v>
      </c>
      <c r="AL246" s="102">
        <f t="shared" si="189"/>
        <v>0</v>
      </c>
      <c r="AM246" s="102">
        <f t="shared" si="152"/>
        <v>0</v>
      </c>
      <c r="AS246" s="530">
        <v>245</v>
      </c>
      <c r="AT246" s="531">
        <f t="shared" ca="1" si="178"/>
        <v>53623</v>
      </c>
      <c r="AU246" s="532">
        <f ca="1">IF(AU245=0,SUMIFS('Key Life Events'!$L$3:$L$28,'Key Life Events'!$H$3:$H$28,'Loan Amortization'!$AY$3,'Key Life Events'!$N$3:$N$28,'Loan Amortization'!AT246),AU245-AX245)</f>
        <v>0</v>
      </c>
      <c r="AV246" s="532">
        <f t="shared" ca="1" si="179"/>
        <v>0</v>
      </c>
      <c r="AW246" s="532">
        <f t="shared" ca="1" si="146"/>
        <v>0</v>
      </c>
      <c r="AX246" s="532">
        <f t="shared" ca="1" si="153"/>
        <v>0</v>
      </c>
      <c r="BC246" s="536">
        <f t="shared" ca="1" si="154"/>
        <v>2046</v>
      </c>
      <c r="BF246" s="530">
        <v>245</v>
      </c>
      <c r="BG246" s="531">
        <f t="shared" ca="1" si="180"/>
        <v>53623</v>
      </c>
      <c r="BH246" s="532">
        <f ca="1">IF(BH245=0,SUMIFS('Key Life Events'!$L$3:$L$28,'Key Life Events'!$H$3:$H$28,'Loan Amortization'!$BL$3,'Key Life Events'!$N$3:$N$28,'Loan Amortization'!BG246),BH245-BK245)</f>
        <v>0</v>
      </c>
      <c r="BI246" s="532">
        <f t="shared" ca="1" si="181"/>
        <v>0</v>
      </c>
      <c r="BJ246" s="532">
        <f t="shared" ca="1" si="182"/>
        <v>0</v>
      </c>
      <c r="BK246" s="532">
        <f t="shared" ca="1" si="155"/>
        <v>0</v>
      </c>
      <c r="BP246" s="536">
        <f t="shared" ca="1" si="156"/>
        <v>2046</v>
      </c>
      <c r="BQ246" s="535">
        <f ca="1"/>
        <v>0</v>
      </c>
      <c r="BS246" s="530">
        <v>245</v>
      </c>
      <c r="BT246" s="531">
        <f t="shared" ca="1" si="183"/>
        <v>53623</v>
      </c>
      <c r="BU246" s="532">
        <f ca="1">IF(BU245=0,SUMIFS('Key Life Events'!$L$3:$L$28,'Key Life Events'!$H$3:$H$28,'Loan Amortization'!$BY$3,'Key Life Events'!$N$3:$N$28,'Loan Amortization'!BT246),BU245-BX245)</f>
        <v>0</v>
      </c>
      <c r="BV246" s="532">
        <f t="shared" ca="1" si="188"/>
        <v>0</v>
      </c>
      <c r="BW246" s="532">
        <f t="shared" ca="1" si="184"/>
        <v>0</v>
      </c>
      <c r="BX246" s="532">
        <f t="shared" ca="1" si="157"/>
        <v>0</v>
      </c>
      <c r="CC246" s="536">
        <f t="shared" ca="1" si="158"/>
        <v>2046</v>
      </c>
      <c r="CD246" s="535">
        <f ca="1"/>
        <v>0</v>
      </c>
      <c r="CF246" s="530">
        <v>245</v>
      </c>
      <c r="CG246" s="531">
        <f t="shared" ca="1" si="185"/>
        <v>53623</v>
      </c>
      <c r="CH246" s="532">
        <f ca="1">IF(CH245=0,SUMIFS('Key Life Events'!$L$3:$L$28,'Key Life Events'!$H$3:$H$28,'Loan Amortization'!$CL$3,'Key Life Events'!$N$3:$N$28,'Loan Amortization'!CG246),CH245-CK245)</f>
        <v>0</v>
      </c>
      <c r="CI246" s="532">
        <f t="shared" ca="1" si="186"/>
        <v>0</v>
      </c>
      <c r="CJ246" s="532">
        <f t="shared" ca="1" si="187"/>
        <v>0</v>
      </c>
      <c r="CK246" s="532">
        <f t="shared" ca="1" si="159"/>
        <v>0</v>
      </c>
      <c r="CP246" s="536">
        <f t="shared" ca="1" si="160"/>
        <v>2046</v>
      </c>
      <c r="CQ246" s="535">
        <f ca="1"/>
        <v>0</v>
      </c>
      <c r="CS246" s="100">
        <f t="shared" si="161"/>
        <v>245</v>
      </c>
      <c r="CT246" s="102">
        <f t="shared" ca="1" si="162"/>
        <v>0</v>
      </c>
      <c r="CU246" s="102">
        <f t="shared" ca="1" si="163"/>
        <v>0</v>
      </c>
      <c r="CV246" s="511">
        <f t="shared" ca="1" si="164"/>
        <v>2046</v>
      </c>
    </row>
    <row r="247" spans="1:100" x14ac:dyDescent="0.3">
      <c r="A247" s="100">
        <v>246</v>
      </c>
      <c r="B247" s="131">
        <f t="shared" si="165"/>
        <v>6634</v>
      </c>
      <c r="C247" s="102">
        <f t="shared" si="166"/>
        <v>0</v>
      </c>
      <c r="D247" s="102">
        <f t="shared" si="167"/>
        <v>0</v>
      </c>
      <c r="E247" s="102">
        <f t="shared" si="147"/>
        <v>0</v>
      </c>
      <c r="F247" s="102">
        <f t="shared" si="168"/>
        <v>0</v>
      </c>
      <c r="L247" s="100">
        <v>246</v>
      </c>
      <c r="M247" s="131">
        <f t="shared" ca="1" si="169"/>
        <v>53654</v>
      </c>
      <c r="N247" s="102">
        <f t="shared" si="170"/>
        <v>0</v>
      </c>
      <c r="O247" s="102">
        <f t="shared" si="171"/>
        <v>0</v>
      </c>
      <c r="P247" s="102">
        <f t="shared" si="148"/>
        <v>0</v>
      </c>
      <c r="Q247" s="102">
        <f t="shared" si="149"/>
        <v>0</v>
      </c>
      <c r="W247" s="100">
        <v>246</v>
      </c>
      <c r="X247" s="131">
        <f t="shared" ca="1" si="172"/>
        <v>53654</v>
      </c>
      <c r="Y247" s="102">
        <f t="shared" si="173"/>
        <v>0</v>
      </c>
      <c r="Z247" s="102">
        <f t="shared" si="174"/>
        <v>0</v>
      </c>
      <c r="AA247" s="102">
        <f t="shared" si="150"/>
        <v>0</v>
      </c>
      <c r="AB247" s="102">
        <f t="shared" si="151"/>
        <v>0</v>
      </c>
      <c r="AH247" s="100">
        <v>246</v>
      </c>
      <c r="AI247" s="131">
        <f t="shared" ca="1" si="175"/>
        <v>53654</v>
      </c>
      <c r="AJ247" s="102">
        <f t="shared" si="176"/>
        <v>0</v>
      </c>
      <c r="AK247" s="102">
        <f t="shared" si="177"/>
        <v>0</v>
      </c>
      <c r="AL247" s="102">
        <f t="shared" si="189"/>
        <v>0</v>
      </c>
      <c r="AM247" s="102">
        <f t="shared" si="152"/>
        <v>0</v>
      </c>
      <c r="AS247" s="530">
        <v>246</v>
      </c>
      <c r="AT247" s="531">
        <f t="shared" ca="1" si="178"/>
        <v>53654</v>
      </c>
      <c r="AU247" s="532">
        <f ca="1">IF(AU246=0,SUMIFS('Key Life Events'!$L$3:$L$28,'Key Life Events'!$H$3:$H$28,'Loan Amortization'!$AY$3,'Key Life Events'!$N$3:$N$28,'Loan Amortization'!AT247),AU246-AX246)</f>
        <v>0</v>
      </c>
      <c r="AV247" s="532">
        <f t="shared" ca="1" si="179"/>
        <v>0</v>
      </c>
      <c r="AW247" s="532">
        <f t="shared" ca="1" si="146"/>
        <v>0</v>
      </c>
      <c r="AX247" s="532">
        <f t="shared" ca="1" si="153"/>
        <v>0</v>
      </c>
      <c r="BC247" s="536">
        <f t="shared" ca="1" si="154"/>
        <v>2046</v>
      </c>
      <c r="BF247" s="530">
        <v>246</v>
      </c>
      <c r="BG247" s="531">
        <f t="shared" ca="1" si="180"/>
        <v>53654</v>
      </c>
      <c r="BH247" s="532">
        <f ca="1">IF(BH246=0,SUMIFS('Key Life Events'!$L$3:$L$28,'Key Life Events'!$H$3:$H$28,'Loan Amortization'!$BL$3,'Key Life Events'!$N$3:$N$28,'Loan Amortization'!BG247),BH246-BK246)</f>
        <v>0</v>
      </c>
      <c r="BI247" s="532">
        <f t="shared" ca="1" si="181"/>
        <v>0</v>
      </c>
      <c r="BJ247" s="532">
        <f t="shared" ca="1" si="182"/>
        <v>0</v>
      </c>
      <c r="BK247" s="532">
        <f t="shared" ca="1" si="155"/>
        <v>0</v>
      </c>
      <c r="BP247" s="536">
        <f t="shared" ca="1" si="156"/>
        <v>2046</v>
      </c>
      <c r="BQ247" s="535">
        <f ca="1"/>
        <v>0</v>
      </c>
      <c r="BS247" s="530">
        <v>246</v>
      </c>
      <c r="BT247" s="531">
        <f t="shared" ca="1" si="183"/>
        <v>53654</v>
      </c>
      <c r="BU247" s="532">
        <f ca="1">IF(BU246=0,SUMIFS('Key Life Events'!$L$3:$L$28,'Key Life Events'!$H$3:$H$28,'Loan Amortization'!$BY$3,'Key Life Events'!$N$3:$N$28,'Loan Amortization'!BT247),BU246-BX246)</f>
        <v>0</v>
      </c>
      <c r="BV247" s="532">
        <f t="shared" ca="1" si="188"/>
        <v>0</v>
      </c>
      <c r="BW247" s="532">
        <f t="shared" ca="1" si="184"/>
        <v>0</v>
      </c>
      <c r="BX247" s="532">
        <f t="shared" ca="1" si="157"/>
        <v>0</v>
      </c>
      <c r="CC247" s="536">
        <f t="shared" ca="1" si="158"/>
        <v>2046</v>
      </c>
      <c r="CD247" s="535">
        <f ca="1"/>
        <v>0</v>
      </c>
      <c r="CF247" s="530">
        <v>246</v>
      </c>
      <c r="CG247" s="531">
        <f t="shared" ca="1" si="185"/>
        <v>53654</v>
      </c>
      <c r="CH247" s="532">
        <f ca="1">IF(CH246=0,SUMIFS('Key Life Events'!$L$3:$L$28,'Key Life Events'!$H$3:$H$28,'Loan Amortization'!$CL$3,'Key Life Events'!$N$3:$N$28,'Loan Amortization'!CG247),CH246-CK246)</f>
        <v>0</v>
      </c>
      <c r="CI247" s="532">
        <f t="shared" ca="1" si="186"/>
        <v>0</v>
      </c>
      <c r="CJ247" s="532">
        <f t="shared" ca="1" si="187"/>
        <v>0</v>
      </c>
      <c r="CK247" s="532">
        <f t="shared" ca="1" si="159"/>
        <v>0</v>
      </c>
      <c r="CP247" s="536">
        <f t="shared" ca="1" si="160"/>
        <v>2046</v>
      </c>
      <c r="CQ247" s="535">
        <f ca="1"/>
        <v>0</v>
      </c>
      <c r="CS247" s="100">
        <f t="shared" si="161"/>
        <v>246</v>
      </c>
      <c r="CT247" s="102">
        <f t="shared" ca="1" si="162"/>
        <v>0</v>
      </c>
      <c r="CU247" s="102">
        <f t="shared" ca="1" si="163"/>
        <v>0</v>
      </c>
      <c r="CV247" s="511">
        <f t="shared" ca="1" si="164"/>
        <v>2046</v>
      </c>
    </row>
    <row r="248" spans="1:100" x14ac:dyDescent="0.3">
      <c r="A248" s="100">
        <v>247</v>
      </c>
      <c r="B248" s="131">
        <f t="shared" si="165"/>
        <v>6662</v>
      </c>
      <c r="C248" s="102">
        <f t="shared" si="166"/>
        <v>0</v>
      </c>
      <c r="D248" s="102">
        <f t="shared" si="167"/>
        <v>0</v>
      </c>
      <c r="E248" s="102">
        <f t="shared" si="147"/>
        <v>0</v>
      </c>
      <c r="F248" s="102">
        <f t="shared" si="168"/>
        <v>0</v>
      </c>
      <c r="L248" s="100">
        <v>247</v>
      </c>
      <c r="M248" s="131">
        <f t="shared" ca="1" si="169"/>
        <v>53684</v>
      </c>
      <c r="N248" s="102">
        <f t="shared" si="170"/>
        <v>0</v>
      </c>
      <c r="O248" s="102">
        <f t="shared" si="171"/>
        <v>0</v>
      </c>
      <c r="P248" s="102">
        <f t="shared" si="148"/>
        <v>0</v>
      </c>
      <c r="Q248" s="102">
        <f t="shared" si="149"/>
        <v>0</v>
      </c>
      <c r="W248" s="100">
        <v>247</v>
      </c>
      <c r="X248" s="131">
        <f t="shared" ca="1" si="172"/>
        <v>53684</v>
      </c>
      <c r="Y248" s="102">
        <f t="shared" si="173"/>
        <v>0</v>
      </c>
      <c r="Z248" s="102">
        <f t="shared" si="174"/>
        <v>0</v>
      </c>
      <c r="AA248" s="102">
        <f t="shared" si="150"/>
        <v>0</v>
      </c>
      <c r="AB248" s="102">
        <f t="shared" si="151"/>
        <v>0</v>
      </c>
      <c r="AH248" s="100">
        <v>247</v>
      </c>
      <c r="AI248" s="131">
        <f t="shared" ca="1" si="175"/>
        <v>53684</v>
      </c>
      <c r="AJ248" s="102">
        <f t="shared" si="176"/>
        <v>0</v>
      </c>
      <c r="AK248" s="102">
        <f t="shared" si="177"/>
        <v>0</v>
      </c>
      <c r="AL248" s="102">
        <f t="shared" si="189"/>
        <v>0</v>
      </c>
      <c r="AM248" s="102">
        <f t="shared" si="152"/>
        <v>0</v>
      </c>
      <c r="AS248" s="530">
        <v>247</v>
      </c>
      <c r="AT248" s="531">
        <f t="shared" ca="1" si="178"/>
        <v>53684</v>
      </c>
      <c r="AU248" s="532">
        <f ca="1">IF(AU247=0,SUMIFS('Key Life Events'!$L$3:$L$28,'Key Life Events'!$H$3:$H$28,'Loan Amortization'!$AY$3,'Key Life Events'!$N$3:$N$28,'Loan Amortization'!AT248),AU247-AX247)</f>
        <v>0</v>
      </c>
      <c r="AV248" s="532">
        <f t="shared" ca="1" si="179"/>
        <v>0</v>
      </c>
      <c r="AW248" s="532">
        <f t="shared" ca="1" si="146"/>
        <v>0</v>
      </c>
      <c r="AX248" s="532">
        <f t="shared" ca="1" si="153"/>
        <v>0</v>
      </c>
      <c r="BC248" s="536">
        <f t="shared" ca="1" si="154"/>
        <v>2046</v>
      </c>
      <c r="BF248" s="530">
        <v>247</v>
      </c>
      <c r="BG248" s="531">
        <f t="shared" ca="1" si="180"/>
        <v>53684</v>
      </c>
      <c r="BH248" s="532">
        <f ca="1">IF(BH247=0,SUMIFS('Key Life Events'!$L$3:$L$28,'Key Life Events'!$H$3:$H$28,'Loan Amortization'!$BL$3,'Key Life Events'!$N$3:$N$28,'Loan Amortization'!BG248),BH247-BK247)</f>
        <v>0</v>
      </c>
      <c r="BI248" s="532">
        <f t="shared" ca="1" si="181"/>
        <v>0</v>
      </c>
      <c r="BJ248" s="532">
        <f t="shared" ca="1" si="182"/>
        <v>0</v>
      </c>
      <c r="BK248" s="532">
        <f t="shared" ca="1" si="155"/>
        <v>0</v>
      </c>
      <c r="BP248" s="536">
        <f t="shared" ca="1" si="156"/>
        <v>2046</v>
      </c>
      <c r="BQ248" s="535">
        <f ca="1"/>
        <v>0</v>
      </c>
      <c r="BS248" s="530">
        <v>247</v>
      </c>
      <c r="BT248" s="531">
        <f t="shared" ca="1" si="183"/>
        <v>53684</v>
      </c>
      <c r="BU248" s="532">
        <f ca="1">IF(BU247=0,SUMIFS('Key Life Events'!$L$3:$L$28,'Key Life Events'!$H$3:$H$28,'Loan Amortization'!$BY$3,'Key Life Events'!$N$3:$N$28,'Loan Amortization'!BT248),BU247-BX247)</f>
        <v>0</v>
      </c>
      <c r="BV248" s="532">
        <f t="shared" ca="1" si="188"/>
        <v>0</v>
      </c>
      <c r="BW248" s="532">
        <f t="shared" ca="1" si="184"/>
        <v>0</v>
      </c>
      <c r="BX248" s="532">
        <f t="shared" ca="1" si="157"/>
        <v>0</v>
      </c>
      <c r="CC248" s="536">
        <f t="shared" ca="1" si="158"/>
        <v>2046</v>
      </c>
      <c r="CD248" s="535">
        <f ca="1"/>
        <v>0</v>
      </c>
      <c r="CF248" s="530">
        <v>247</v>
      </c>
      <c r="CG248" s="531">
        <f t="shared" ca="1" si="185"/>
        <v>53684</v>
      </c>
      <c r="CH248" s="532">
        <f ca="1">IF(CH247=0,SUMIFS('Key Life Events'!$L$3:$L$28,'Key Life Events'!$H$3:$H$28,'Loan Amortization'!$CL$3,'Key Life Events'!$N$3:$N$28,'Loan Amortization'!CG248),CH247-CK247)</f>
        <v>0</v>
      </c>
      <c r="CI248" s="532">
        <f t="shared" ca="1" si="186"/>
        <v>0</v>
      </c>
      <c r="CJ248" s="532">
        <f t="shared" ca="1" si="187"/>
        <v>0</v>
      </c>
      <c r="CK248" s="532">
        <f t="shared" ca="1" si="159"/>
        <v>0</v>
      </c>
      <c r="CP248" s="536">
        <f t="shared" ca="1" si="160"/>
        <v>2046</v>
      </c>
      <c r="CQ248" s="535">
        <f ca="1"/>
        <v>0</v>
      </c>
      <c r="CS248" s="100">
        <f t="shared" si="161"/>
        <v>247</v>
      </c>
      <c r="CT248" s="102">
        <f t="shared" ca="1" si="162"/>
        <v>0</v>
      </c>
      <c r="CU248" s="102">
        <f t="shared" ca="1" si="163"/>
        <v>0</v>
      </c>
      <c r="CV248" s="511">
        <f t="shared" ca="1" si="164"/>
        <v>2046</v>
      </c>
    </row>
    <row r="249" spans="1:100" x14ac:dyDescent="0.3">
      <c r="A249" s="100">
        <v>248</v>
      </c>
      <c r="B249" s="131">
        <f t="shared" si="165"/>
        <v>6693</v>
      </c>
      <c r="C249" s="102">
        <f t="shared" si="166"/>
        <v>0</v>
      </c>
      <c r="D249" s="102">
        <f t="shared" si="167"/>
        <v>0</v>
      </c>
      <c r="E249" s="102">
        <f t="shared" si="147"/>
        <v>0</v>
      </c>
      <c r="F249" s="102">
        <f t="shared" si="168"/>
        <v>0</v>
      </c>
      <c r="L249" s="100">
        <v>248</v>
      </c>
      <c r="M249" s="131">
        <f t="shared" ca="1" si="169"/>
        <v>53715</v>
      </c>
      <c r="N249" s="102">
        <f t="shared" si="170"/>
        <v>0</v>
      </c>
      <c r="O249" s="102">
        <f t="shared" si="171"/>
        <v>0</v>
      </c>
      <c r="P249" s="102">
        <f t="shared" si="148"/>
        <v>0</v>
      </c>
      <c r="Q249" s="102">
        <f t="shared" si="149"/>
        <v>0</v>
      </c>
      <c r="W249" s="100">
        <v>248</v>
      </c>
      <c r="X249" s="131">
        <f t="shared" ca="1" si="172"/>
        <v>53715</v>
      </c>
      <c r="Y249" s="102">
        <f t="shared" si="173"/>
        <v>0</v>
      </c>
      <c r="Z249" s="102">
        <f t="shared" si="174"/>
        <v>0</v>
      </c>
      <c r="AA249" s="102">
        <f t="shared" si="150"/>
        <v>0</v>
      </c>
      <c r="AB249" s="102">
        <f t="shared" si="151"/>
        <v>0</v>
      </c>
      <c r="AH249" s="100">
        <v>248</v>
      </c>
      <c r="AI249" s="131">
        <f t="shared" ca="1" si="175"/>
        <v>53715</v>
      </c>
      <c r="AJ249" s="102">
        <f t="shared" si="176"/>
        <v>0</v>
      </c>
      <c r="AK249" s="102">
        <f t="shared" si="177"/>
        <v>0</v>
      </c>
      <c r="AL249" s="102">
        <f t="shared" si="189"/>
        <v>0</v>
      </c>
      <c r="AM249" s="102">
        <f t="shared" si="152"/>
        <v>0</v>
      </c>
      <c r="AS249" s="530">
        <v>248</v>
      </c>
      <c r="AT249" s="531">
        <f t="shared" ca="1" si="178"/>
        <v>53715</v>
      </c>
      <c r="AU249" s="532">
        <f ca="1">IF(AU248=0,SUMIFS('Key Life Events'!$L$3:$L$28,'Key Life Events'!$H$3:$H$28,'Loan Amortization'!$AY$3,'Key Life Events'!$N$3:$N$28,'Loan Amortization'!AT249),AU248-AX248)</f>
        <v>0</v>
      </c>
      <c r="AV249" s="532">
        <f t="shared" ca="1" si="179"/>
        <v>0</v>
      </c>
      <c r="AW249" s="532">
        <f t="shared" ca="1" si="146"/>
        <v>0</v>
      </c>
      <c r="AX249" s="532">
        <f t="shared" ca="1" si="153"/>
        <v>0</v>
      </c>
      <c r="BC249" s="536">
        <f t="shared" ca="1" si="154"/>
        <v>2047</v>
      </c>
      <c r="BF249" s="530">
        <v>248</v>
      </c>
      <c r="BG249" s="531">
        <f t="shared" ca="1" si="180"/>
        <v>53715</v>
      </c>
      <c r="BH249" s="532">
        <f ca="1">IF(BH248=0,SUMIFS('Key Life Events'!$L$3:$L$28,'Key Life Events'!$H$3:$H$28,'Loan Amortization'!$BL$3,'Key Life Events'!$N$3:$N$28,'Loan Amortization'!BG249),BH248-BK248)</f>
        <v>0</v>
      </c>
      <c r="BI249" s="532">
        <f t="shared" ca="1" si="181"/>
        <v>0</v>
      </c>
      <c r="BJ249" s="532">
        <f t="shared" ca="1" si="182"/>
        <v>0</v>
      </c>
      <c r="BK249" s="532">
        <f t="shared" ca="1" si="155"/>
        <v>0</v>
      </c>
      <c r="BP249" s="536">
        <f t="shared" ca="1" si="156"/>
        <v>2047</v>
      </c>
      <c r="BQ249" s="535">
        <f ca="1"/>
        <v>0</v>
      </c>
      <c r="BS249" s="530">
        <v>248</v>
      </c>
      <c r="BT249" s="531">
        <f t="shared" ca="1" si="183"/>
        <v>53715</v>
      </c>
      <c r="BU249" s="532">
        <f ca="1">IF(BU248=0,SUMIFS('Key Life Events'!$L$3:$L$28,'Key Life Events'!$H$3:$H$28,'Loan Amortization'!$BY$3,'Key Life Events'!$N$3:$N$28,'Loan Amortization'!BT249),BU248-BX248)</f>
        <v>0</v>
      </c>
      <c r="BV249" s="532">
        <f t="shared" ca="1" si="188"/>
        <v>0</v>
      </c>
      <c r="BW249" s="532">
        <f t="shared" ca="1" si="184"/>
        <v>0</v>
      </c>
      <c r="BX249" s="532">
        <f t="shared" ca="1" si="157"/>
        <v>0</v>
      </c>
      <c r="CC249" s="536">
        <f t="shared" ca="1" si="158"/>
        <v>2047</v>
      </c>
      <c r="CD249" s="535">
        <f ca="1"/>
        <v>0</v>
      </c>
      <c r="CF249" s="530">
        <v>248</v>
      </c>
      <c r="CG249" s="531">
        <f t="shared" ca="1" si="185"/>
        <v>53715</v>
      </c>
      <c r="CH249" s="532">
        <f ca="1">IF(CH248=0,SUMIFS('Key Life Events'!$L$3:$L$28,'Key Life Events'!$H$3:$H$28,'Loan Amortization'!$CL$3,'Key Life Events'!$N$3:$N$28,'Loan Amortization'!CG249),CH248-CK248)</f>
        <v>0</v>
      </c>
      <c r="CI249" s="532">
        <f t="shared" ca="1" si="186"/>
        <v>0</v>
      </c>
      <c r="CJ249" s="532">
        <f t="shared" ca="1" si="187"/>
        <v>0</v>
      </c>
      <c r="CK249" s="532">
        <f t="shared" ca="1" si="159"/>
        <v>0</v>
      </c>
      <c r="CP249" s="536">
        <f t="shared" ca="1" si="160"/>
        <v>2047</v>
      </c>
      <c r="CQ249" s="535">
        <f ca="1"/>
        <v>0</v>
      </c>
      <c r="CS249" s="100">
        <f t="shared" si="161"/>
        <v>248</v>
      </c>
      <c r="CT249" s="102">
        <f t="shared" ca="1" si="162"/>
        <v>0</v>
      </c>
      <c r="CU249" s="102">
        <f t="shared" ca="1" si="163"/>
        <v>0</v>
      </c>
      <c r="CV249" s="511">
        <f t="shared" ca="1" si="164"/>
        <v>2047</v>
      </c>
    </row>
    <row r="250" spans="1:100" x14ac:dyDescent="0.3">
      <c r="A250" s="100">
        <v>249</v>
      </c>
      <c r="B250" s="131">
        <f t="shared" si="165"/>
        <v>6723</v>
      </c>
      <c r="C250" s="102">
        <f t="shared" si="166"/>
        <v>0</v>
      </c>
      <c r="D250" s="102">
        <f t="shared" si="167"/>
        <v>0</v>
      </c>
      <c r="E250" s="102">
        <f t="shared" si="147"/>
        <v>0</v>
      </c>
      <c r="F250" s="102">
        <f t="shared" si="168"/>
        <v>0</v>
      </c>
      <c r="L250" s="100">
        <v>249</v>
      </c>
      <c r="M250" s="131">
        <f t="shared" ca="1" si="169"/>
        <v>53746</v>
      </c>
      <c r="N250" s="102">
        <f t="shared" si="170"/>
        <v>0</v>
      </c>
      <c r="O250" s="102">
        <f t="shared" si="171"/>
        <v>0</v>
      </c>
      <c r="P250" s="102">
        <f t="shared" si="148"/>
        <v>0</v>
      </c>
      <c r="Q250" s="102">
        <f t="shared" si="149"/>
        <v>0</v>
      </c>
      <c r="W250" s="100">
        <v>249</v>
      </c>
      <c r="X250" s="131">
        <f t="shared" ca="1" si="172"/>
        <v>53746</v>
      </c>
      <c r="Y250" s="102">
        <f t="shared" si="173"/>
        <v>0</v>
      </c>
      <c r="Z250" s="102">
        <f t="shared" si="174"/>
        <v>0</v>
      </c>
      <c r="AA250" s="102">
        <f t="shared" si="150"/>
        <v>0</v>
      </c>
      <c r="AB250" s="102">
        <f t="shared" si="151"/>
        <v>0</v>
      </c>
      <c r="AH250" s="100">
        <v>249</v>
      </c>
      <c r="AI250" s="131">
        <f t="shared" ca="1" si="175"/>
        <v>53746</v>
      </c>
      <c r="AJ250" s="102">
        <f t="shared" si="176"/>
        <v>0</v>
      </c>
      <c r="AK250" s="102">
        <f t="shared" si="177"/>
        <v>0</v>
      </c>
      <c r="AL250" s="102">
        <f t="shared" si="189"/>
        <v>0</v>
      </c>
      <c r="AM250" s="102">
        <f t="shared" si="152"/>
        <v>0</v>
      </c>
      <c r="AS250" s="530">
        <v>249</v>
      </c>
      <c r="AT250" s="531">
        <f t="shared" ca="1" si="178"/>
        <v>53746</v>
      </c>
      <c r="AU250" s="532">
        <f ca="1">IF(AU249=0,SUMIFS('Key Life Events'!$L$3:$L$28,'Key Life Events'!$H$3:$H$28,'Loan Amortization'!$AY$3,'Key Life Events'!$N$3:$N$28,'Loan Amortization'!AT250),AU249-AX249)</f>
        <v>0</v>
      </c>
      <c r="AV250" s="532">
        <f t="shared" ca="1" si="179"/>
        <v>0</v>
      </c>
      <c r="AW250" s="532">
        <f t="shared" ca="1" si="146"/>
        <v>0</v>
      </c>
      <c r="AX250" s="532">
        <f t="shared" ca="1" si="153"/>
        <v>0</v>
      </c>
      <c r="BC250" s="536">
        <f t="shared" ca="1" si="154"/>
        <v>2047</v>
      </c>
      <c r="BF250" s="530">
        <v>249</v>
      </c>
      <c r="BG250" s="531">
        <f t="shared" ca="1" si="180"/>
        <v>53746</v>
      </c>
      <c r="BH250" s="532">
        <f ca="1">IF(BH249=0,SUMIFS('Key Life Events'!$L$3:$L$28,'Key Life Events'!$H$3:$H$28,'Loan Amortization'!$BL$3,'Key Life Events'!$N$3:$N$28,'Loan Amortization'!BG250),BH249-BK249)</f>
        <v>0</v>
      </c>
      <c r="BI250" s="532">
        <f t="shared" ca="1" si="181"/>
        <v>0</v>
      </c>
      <c r="BJ250" s="532">
        <f t="shared" ca="1" si="182"/>
        <v>0</v>
      </c>
      <c r="BK250" s="532">
        <f t="shared" ca="1" si="155"/>
        <v>0</v>
      </c>
      <c r="BP250" s="536">
        <f t="shared" ca="1" si="156"/>
        <v>2047</v>
      </c>
      <c r="BQ250" s="535">
        <f ca="1"/>
        <v>0</v>
      </c>
      <c r="BS250" s="530">
        <v>249</v>
      </c>
      <c r="BT250" s="531">
        <f t="shared" ca="1" si="183"/>
        <v>53746</v>
      </c>
      <c r="BU250" s="532">
        <f ca="1">IF(BU249=0,SUMIFS('Key Life Events'!$L$3:$L$28,'Key Life Events'!$H$3:$H$28,'Loan Amortization'!$BY$3,'Key Life Events'!$N$3:$N$28,'Loan Amortization'!BT250),BU249-BX249)</f>
        <v>0</v>
      </c>
      <c r="BV250" s="532">
        <f t="shared" ca="1" si="188"/>
        <v>0</v>
      </c>
      <c r="BW250" s="532">
        <f t="shared" ca="1" si="184"/>
        <v>0</v>
      </c>
      <c r="BX250" s="532">
        <f t="shared" ca="1" si="157"/>
        <v>0</v>
      </c>
      <c r="CC250" s="536">
        <f t="shared" ca="1" si="158"/>
        <v>2047</v>
      </c>
      <c r="CD250" s="535">
        <f ca="1"/>
        <v>0</v>
      </c>
      <c r="CF250" s="530">
        <v>249</v>
      </c>
      <c r="CG250" s="531">
        <f t="shared" ca="1" si="185"/>
        <v>53746</v>
      </c>
      <c r="CH250" s="532">
        <f ca="1">IF(CH249=0,SUMIFS('Key Life Events'!$L$3:$L$28,'Key Life Events'!$H$3:$H$28,'Loan Amortization'!$CL$3,'Key Life Events'!$N$3:$N$28,'Loan Amortization'!CG250),CH249-CK249)</f>
        <v>0</v>
      </c>
      <c r="CI250" s="532">
        <f t="shared" ca="1" si="186"/>
        <v>0</v>
      </c>
      <c r="CJ250" s="532">
        <f t="shared" ca="1" si="187"/>
        <v>0</v>
      </c>
      <c r="CK250" s="532">
        <f t="shared" ca="1" si="159"/>
        <v>0</v>
      </c>
      <c r="CP250" s="536">
        <f t="shared" ca="1" si="160"/>
        <v>2047</v>
      </c>
      <c r="CQ250" s="535">
        <f ca="1"/>
        <v>0</v>
      </c>
      <c r="CS250" s="100">
        <f t="shared" si="161"/>
        <v>249</v>
      </c>
      <c r="CT250" s="102">
        <f t="shared" ca="1" si="162"/>
        <v>0</v>
      </c>
      <c r="CU250" s="102">
        <f t="shared" ca="1" si="163"/>
        <v>0</v>
      </c>
      <c r="CV250" s="511">
        <f t="shared" ca="1" si="164"/>
        <v>2047</v>
      </c>
    </row>
    <row r="251" spans="1:100" x14ac:dyDescent="0.3">
      <c r="A251" s="100">
        <v>250</v>
      </c>
      <c r="B251" s="131">
        <f t="shared" si="165"/>
        <v>6754</v>
      </c>
      <c r="C251" s="102">
        <f t="shared" si="166"/>
        <v>0</v>
      </c>
      <c r="D251" s="102">
        <f t="shared" si="167"/>
        <v>0</v>
      </c>
      <c r="E251" s="102">
        <f t="shared" si="147"/>
        <v>0</v>
      </c>
      <c r="F251" s="102">
        <f t="shared" si="168"/>
        <v>0</v>
      </c>
      <c r="L251" s="100">
        <v>250</v>
      </c>
      <c r="M251" s="131">
        <f t="shared" ca="1" si="169"/>
        <v>53774</v>
      </c>
      <c r="N251" s="102">
        <f t="shared" si="170"/>
        <v>0</v>
      </c>
      <c r="O251" s="102">
        <f t="shared" si="171"/>
        <v>0</v>
      </c>
      <c r="P251" s="102">
        <f t="shared" si="148"/>
        <v>0</v>
      </c>
      <c r="Q251" s="102">
        <f t="shared" si="149"/>
        <v>0</v>
      </c>
      <c r="W251" s="100">
        <v>250</v>
      </c>
      <c r="X251" s="131">
        <f t="shared" ca="1" si="172"/>
        <v>53774</v>
      </c>
      <c r="Y251" s="102">
        <f t="shared" si="173"/>
        <v>0</v>
      </c>
      <c r="Z251" s="102">
        <f t="shared" si="174"/>
        <v>0</v>
      </c>
      <c r="AA251" s="102">
        <f t="shared" si="150"/>
        <v>0</v>
      </c>
      <c r="AB251" s="102">
        <f t="shared" si="151"/>
        <v>0</v>
      </c>
      <c r="AH251" s="100">
        <v>250</v>
      </c>
      <c r="AI251" s="131">
        <f t="shared" ca="1" si="175"/>
        <v>53774</v>
      </c>
      <c r="AJ251" s="102">
        <f t="shared" si="176"/>
        <v>0</v>
      </c>
      <c r="AK251" s="102">
        <f t="shared" si="177"/>
        <v>0</v>
      </c>
      <c r="AL251" s="102">
        <f t="shared" si="189"/>
        <v>0</v>
      </c>
      <c r="AM251" s="102">
        <f t="shared" si="152"/>
        <v>0</v>
      </c>
      <c r="AS251" s="530">
        <v>250</v>
      </c>
      <c r="AT251" s="531">
        <f t="shared" ca="1" si="178"/>
        <v>53774</v>
      </c>
      <c r="AU251" s="532">
        <f ca="1">IF(AU250=0,SUMIFS('Key Life Events'!$L$3:$L$28,'Key Life Events'!$H$3:$H$28,'Loan Amortization'!$AY$3,'Key Life Events'!$N$3:$N$28,'Loan Amortization'!AT251),AU250-AX250)</f>
        <v>0</v>
      </c>
      <c r="AV251" s="532">
        <f t="shared" ca="1" si="179"/>
        <v>0</v>
      </c>
      <c r="AW251" s="532">
        <f t="shared" ca="1" si="146"/>
        <v>0</v>
      </c>
      <c r="AX251" s="532">
        <f t="shared" ca="1" si="153"/>
        <v>0</v>
      </c>
      <c r="BC251" s="536">
        <f t="shared" ca="1" si="154"/>
        <v>2047</v>
      </c>
      <c r="BF251" s="530">
        <v>250</v>
      </c>
      <c r="BG251" s="531">
        <f t="shared" ca="1" si="180"/>
        <v>53774</v>
      </c>
      <c r="BH251" s="532">
        <f ca="1">IF(BH250=0,SUMIFS('Key Life Events'!$L$3:$L$28,'Key Life Events'!$H$3:$H$28,'Loan Amortization'!$BL$3,'Key Life Events'!$N$3:$N$28,'Loan Amortization'!BG251),BH250-BK250)</f>
        <v>0</v>
      </c>
      <c r="BI251" s="532">
        <f t="shared" ca="1" si="181"/>
        <v>0</v>
      </c>
      <c r="BJ251" s="532">
        <f t="shared" ca="1" si="182"/>
        <v>0</v>
      </c>
      <c r="BK251" s="532">
        <f t="shared" ca="1" si="155"/>
        <v>0</v>
      </c>
      <c r="BP251" s="536">
        <f t="shared" ca="1" si="156"/>
        <v>2047</v>
      </c>
      <c r="BQ251" s="535">
        <f ca="1"/>
        <v>0</v>
      </c>
      <c r="BS251" s="530">
        <v>250</v>
      </c>
      <c r="BT251" s="531">
        <f t="shared" ca="1" si="183"/>
        <v>53774</v>
      </c>
      <c r="BU251" s="532">
        <f ca="1">IF(BU250=0,SUMIFS('Key Life Events'!$L$3:$L$28,'Key Life Events'!$H$3:$H$28,'Loan Amortization'!$BY$3,'Key Life Events'!$N$3:$N$28,'Loan Amortization'!BT251),BU250-BX250)</f>
        <v>0</v>
      </c>
      <c r="BV251" s="532">
        <f t="shared" ca="1" si="188"/>
        <v>0</v>
      </c>
      <c r="BW251" s="532">
        <f t="shared" ca="1" si="184"/>
        <v>0</v>
      </c>
      <c r="BX251" s="532">
        <f t="shared" ca="1" si="157"/>
        <v>0</v>
      </c>
      <c r="CC251" s="536">
        <f t="shared" ca="1" si="158"/>
        <v>2047</v>
      </c>
      <c r="CD251" s="535">
        <f ca="1"/>
        <v>0</v>
      </c>
      <c r="CF251" s="530">
        <v>250</v>
      </c>
      <c r="CG251" s="531">
        <f t="shared" ca="1" si="185"/>
        <v>53774</v>
      </c>
      <c r="CH251" s="532">
        <f ca="1">IF(CH250=0,SUMIFS('Key Life Events'!$L$3:$L$28,'Key Life Events'!$H$3:$H$28,'Loan Amortization'!$CL$3,'Key Life Events'!$N$3:$N$28,'Loan Amortization'!CG251),CH250-CK250)</f>
        <v>0</v>
      </c>
      <c r="CI251" s="532">
        <f t="shared" ca="1" si="186"/>
        <v>0</v>
      </c>
      <c r="CJ251" s="532">
        <f t="shared" ca="1" si="187"/>
        <v>0</v>
      </c>
      <c r="CK251" s="532">
        <f t="shared" ca="1" si="159"/>
        <v>0</v>
      </c>
      <c r="CP251" s="536">
        <f t="shared" ca="1" si="160"/>
        <v>2047</v>
      </c>
      <c r="CQ251" s="535">
        <f ca="1"/>
        <v>0</v>
      </c>
      <c r="CS251" s="100">
        <f t="shared" si="161"/>
        <v>250</v>
      </c>
      <c r="CT251" s="102">
        <f t="shared" ca="1" si="162"/>
        <v>0</v>
      </c>
      <c r="CU251" s="102">
        <f t="shared" ca="1" si="163"/>
        <v>0</v>
      </c>
      <c r="CV251" s="511">
        <f t="shared" ca="1" si="164"/>
        <v>2047</v>
      </c>
    </row>
    <row r="252" spans="1:100" x14ac:dyDescent="0.3">
      <c r="A252" s="100">
        <v>251</v>
      </c>
      <c r="B252" s="131">
        <f t="shared" si="165"/>
        <v>6784</v>
      </c>
      <c r="C252" s="102">
        <f t="shared" si="166"/>
        <v>0</v>
      </c>
      <c r="D252" s="102">
        <f t="shared" si="167"/>
        <v>0</v>
      </c>
      <c r="E252" s="102">
        <f t="shared" si="147"/>
        <v>0</v>
      </c>
      <c r="F252" s="102">
        <f t="shared" si="168"/>
        <v>0</v>
      </c>
      <c r="L252" s="100">
        <v>251</v>
      </c>
      <c r="M252" s="131">
        <f t="shared" ca="1" si="169"/>
        <v>53805</v>
      </c>
      <c r="N252" s="102">
        <f t="shared" si="170"/>
        <v>0</v>
      </c>
      <c r="O252" s="102">
        <f t="shared" si="171"/>
        <v>0</v>
      </c>
      <c r="P252" s="102">
        <f t="shared" si="148"/>
        <v>0</v>
      </c>
      <c r="Q252" s="102">
        <f t="shared" si="149"/>
        <v>0</v>
      </c>
      <c r="W252" s="100">
        <v>251</v>
      </c>
      <c r="X252" s="131">
        <f t="shared" ca="1" si="172"/>
        <v>53805</v>
      </c>
      <c r="Y252" s="102">
        <f t="shared" si="173"/>
        <v>0</v>
      </c>
      <c r="Z252" s="102">
        <f t="shared" si="174"/>
        <v>0</v>
      </c>
      <c r="AA252" s="102">
        <f t="shared" si="150"/>
        <v>0</v>
      </c>
      <c r="AB252" s="102">
        <f t="shared" si="151"/>
        <v>0</v>
      </c>
      <c r="AH252" s="100">
        <v>251</v>
      </c>
      <c r="AI252" s="131">
        <f t="shared" ca="1" si="175"/>
        <v>53805</v>
      </c>
      <c r="AJ252" s="102">
        <f t="shared" si="176"/>
        <v>0</v>
      </c>
      <c r="AK252" s="102">
        <f t="shared" si="177"/>
        <v>0</v>
      </c>
      <c r="AL252" s="102">
        <f t="shared" si="189"/>
        <v>0</v>
      </c>
      <c r="AM252" s="102">
        <f t="shared" si="152"/>
        <v>0</v>
      </c>
      <c r="AS252" s="530">
        <v>251</v>
      </c>
      <c r="AT252" s="531">
        <f t="shared" ca="1" si="178"/>
        <v>53805</v>
      </c>
      <c r="AU252" s="532">
        <f ca="1">IF(AU251=0,SUMIFS('Key Life Events'!$L$3:$L$28,'Key Life Events'!$H$3:$H$28,'Loan Amortization'!$AY$3,'Key Life Events'!$N$3:$N$28,'Loan Amortization'!AT252),AU251-AX251)</f>
        <v>0</v>
      </c>
      <c r="AV252" s="532">
        <f t="shared" ca="1" si="179"/>
        <v>0</v>
      </c>
      <c r="AW252" s="532">
        <f t="shared" ca="1" si="146"/>
        <v>0</v>
      </c>
      <c r="AX252" s="532">
        <f t="shared" ca="1" si="153"/>
        <v>0</v>
      </c>
      <c r="BC252" s="536">
        <f t="shared" ca="1" si="154"/>
        <v>2047</v>
      </c>
      <c r="BF252" s="530">
        <v>251</v>
      </c>
      <c r="BG252" s="531">
        <f t="shared" ca="1" si="180"/>
        <v>53805</v>
      </c>
      <c r="BH252" s="532">
        <f ca="1">IF(BH251=0,SUMIFS('Key Life Events'!$L$3:$L$28,'Key Life Events'!$H$3:$H$28,'Loan Amortization'!$BL$3,'Key Life Events'!$N$3:$N$28,'Loan Amortization'!BG252),BH251-BK251)</f>
        <v>0</v>
      </c>
      <c r="BI252" s="532">
        <f t="shared" ca="1" si="181"/>
        <v>0</v>
      </c>
      <c r="BJ252" s="532">
        <f t="shared" ca="1" si="182"/>
        <v>0</v>
      </c>
      <c r="BK252" s="532">
        <f t="shared" ca="1" si="155"/>
        <v>0</v>
      </c>
      <c r="BP252" s="536">
        <f t="shared" ca="1" si="156"/>
        <v>2047</v>
      </c>
      <c r="BQ252" s="535">
        <f ca="1"/>
        <v>0</v>
      </c>
      <c r="BS252" s="530">
        <v>251</v>
      </c>
      <c r="BT252" s="531">
        <f t="shared" ca="1" si="183"/>
        <v>53805</v>
      </c>
      <c r="BU252" s="532">
        <f ca="1">IF(BU251=0,SUMIFS('Key Life Events'!$L$3:$L$28,'Key Life Events'!$H$3:$H$28,'Loan Amortization'!$BY$3,'Key Life Events'!$N$3:$N$28,'Loan Amortization'!BT252),BU251-BX251)</f>
        <v>0</v>
      </c>
      <c r="BV252" s="532">
        <f t="shared" ca="1" si="188"/>
        <v>0</v>
      </c>
      <c r="BW252" s="532">
        <f t="shared" ca="1" si="184"/>
        <v>0</v>
      </c>
      <c r="BX252" s="532">
        <f t="shared" ca="1" si="157"/>
        <v>0</v>
      </c>
      <c r="CC252" s="536">
        <f t="shared" ca="1" si="158"/>
        <v>2047</v>
      </c>
      <c r="CD252" s="535">
        <f ca="1"/>
        <v>0</v>
      </c>
      <c r="CF252" s="530">
        <v>251</v>
      </c>
      <c r="CG252" s="531">
        <f t="shared" ca="1" si="185"/>
        <v>53805</v>
      </c>
      <c r="CH252" s="532">
        <f ca="1">IF(CH251=0,SUMIFS('Key Life Events'!$L$3:$L$28,'Key Life Events'!$H$3:$H$28,'Loan Amortization'!$CL$3,'Key Life Events'!$N$3:$N$28,'Loan Amortization'!CG252),CH251-CK251)</f>
        <v>0</v>
      </c>
      <c r="CI252" s="532">
        <f t="shared" ca="1" si="186"/>
        <v>0</v>
      </c>
      <c r="CJ252" s="532">
        <f t="shared" ca="1" si="187"/>
        <v>0</v>
      </c>
      <c r="CK252" s="532">
        <f t="shared" ca="1" si="159"/>
        <v>0</v>
      </c>
      <c r="CP252" s="536">
        <f t="shared" ca="1" si="160"/>
        <v>2047</v>
      </c>
      <c r="CQ252" s="535">
        <f ca="1"/>
        <v>0</v>
      </c>
      <c r="CS252" s="100">
        <f t="shared" si="161"/>
        <v>251</v>
      </c>
      <c r="CT252" s="102">
        <f t="shared" ca="1" si="162"/>
        <v>0</v>
      </c>
      <c r="CU252" s="102">
        <f t="shared" ca="1" si="163"/>
        <v>0</v>
      </c>
      <c r="CV252" s="511">
        <f t="shared" ca="1" si="164"/>
        <v>2047</v>
      </c>
    </row>
    <row r="253" spans="1:100" x14ac:dyDescent="0.3">
      <c r="A253" s="100">
        <v>252</v>
      </c>
      <c r="B253" s="131">
        <f t="shared" si="165"/>
        <v>6815</v>
      </c>
      <c r="C253" s="102">
        <f t="shared" si="166"/>
        <v>0</v>
      </c>
      <c r="D253" s="102">
        <f t="shared" si="167"/>
        <v>0</v>
      </c>
      <c r="E253" s="102">
        <f t="shared" si="147"/>
        <v>0</v>
      </c>
      <c r="F253" s="102">
        <f t="shared" si="168"/>
        <v>0</v>
      </c>
      <c r="L253" s="100">
        <v>252</v>
      </c>
      <c r="M253" s="131">
        <f t="shared" ca="1" si="169"/>
        <v>53835</v>
      </c>
      <c r="N253" s="102">
        <f t="shared" si="170"/>
        <v>0</v>
      </c>
      <c r="O253" s="102">
        <f t="shared" si="171"/>
        <v>0</v>
      </c>
      <c r="P253" s="102">
        <f t="shared" si="148"/>
        <v>0</v>
      </c>
      <c r="Q253" s="102">
        <f t="shared" si="149"/>
        <v>0</v>
      </c>
      <c r="W253" s="100">
        <v>252</v>
      </c>
      <c r="X253" s="131">
        <f t="shared" ca="1" si="172"/>
        <v>53835</v>
      </c>
      <c r="Y253" s="102">
        <f t="shared" si="173"/>
        <v>0</v>
      </c>
      <c r="Z253" s="102">
        <f t="shared" si="174"/>
        <v>0</v>
      </c>
      <c r="AA253" s="102">
        <f t="shared" si="150"/>
        <v>0</v>
      </c>
      <c r="AB253" s="102">
        <f t="shared" si="151"/>
        <v>0</v>
      </c>
      <c r="AH253" s="100">
        <v>252</v>
      </c>
      <c r="AI253" s="131">
        <f t="shared" ca="1" si="175"/>
        <v>53835</v>
      </c>
      <c r="AJ253" s="102">
        <f t="shared" si="176"/>
        <v>0</v>
      </c>
      <c r="AK253" s="102">
        <f t="shared" si="177"/>
        <v>0</v>
      </c>
      <c r="AL253" s="102">
        <f t="shared" si="189"/>
        <v>0</v>
      </c>
      <c r="AM253" s="102">
        <f t="shared" si="152"/>
        <v>0</v>
      </c>
      <c r="AS253" s="530">
        <v>252</v>
      </c>
      <c r="AT253" s="531">
        <f t="shared" ca="1" si="178"/>
        <v>53835</v>
      </c>
      <c r="AU253" s="532">
        <f ca="1">IF(AU252=0,SUMIFS('Key Life Events'!$L$3:$L$28,'Key Life Events'!$H$3:$H$28,'Loan Amortization'!$AY$3,'Key Life Events'!$N$3:$N$28,'Loan Amortization'!AT253),AU252-AX252)</f>
        <v>0</v>
      </c>
      <c r="AV253" s="532">
        <f t="shared" ca="1" si="179"/>
        <v>0</v>
      </c>
      <c r="AW253" s="532">
        <f t="shared" ca="1" si="146"/>
        <v>0</v>
      </c>
      <c r="AX253" s="532">
        <f t="shared" ca="1" si="153"/>
        <v>0</v>
      </c>
      <c r="BC253" s="536">
        <f t="shared" ca="1" si="154"/>
        <v>2047</v>
      </c>
      <c r="BF253" s="530">
        <v>252</v>
      </c>
      <c r="BG253" s="531">
        <f t="shared" ca="1" si="180"/>
        <v>53835</v>
      </c>
      <c r="BH253" s="532">
        <f ca="1">IF(BH252=0,SUMIFS('Key Life Events'!$L$3:$L$28,'Key Life Events'!$H$3:$H$28,'Loan Amortization'!$BL$3,'Key Life Events'!$N$3:$N$28,'Loan Amortization'!BG253),BH252-BK252)</f>
        <v>0</v>
      </c>
      <c r="BI253" s="532">
        <f t="shared" ca="1" si="181"/>
        <v>0</v>
      </c>
      <c r="BJ253" s="532">
        <f t="shared" ca="1" si="182"/>
        <v>0</v>
      </c>
      <c r="BK253" s="532">
        <f t="shared" ca="1" si="155"/>
        <v>0</v>
      </c>
      <c r="BP253" s="536">
        <f t="shared" ca="1" si="156"/>
        <v>2047</v>
      </c>
      <c r="BQ253" s="535">
        <f ca="1"/>
        <v>0</v>
      </c>
      <c r="BS253" s="530">
        <v>252</v>
      </c>
      <c r="BT253" s="531">
        <f t="shared" ca="1" si="183"/>
        <v>53835</v>
      </c>
      <c r="BU253" s="532">
        <f ca="1">IF(BU252=0,SUMIFS('Key Life Events'!$L$3:$L$28,'Key Life Events'!$H$3:$H$28,'Loan Amortization'!$BY$3,'Key Life Events'!$N$3:$N$28,'Loan Amortization'!BT253),BU252-BX252)</f>
        <v>0</v>
      </c>
      <c r="BV253" s="532">
        <f t="shared" ca="1" si="188"/>
        <v>0</v>
      </c>
      <c r="BW253" s="532">
        <f t="shared" ca="1" si="184"/>
        <v>0</v>
      </c>
      <c r="BX253" s="532">
        <f t="shared" ca="1" si="157"/>
        <v>0</v>
      </c>
      <c r="CC253" s="536">
        <f t="shared" ca="1" si="158"/>
        <v>2047</v>
      </c>
      <c r="CD253" s="535">
        <f ca="1"/>
        <v>0</v>
      </c>
      <c r="CF253" s="530">
        <v>252</v>
      </c>
      <c r="CG253" s="531">
        <f t="shared" ca="1" si="185"/>
        <v>53835</v>
      </c>
      <c r="CH253" s="532">
        <f ca="1">IF(CH252=0,SUMIFS('Key Life Events'!$L$3:$L$28,'Key Life Events'!$H$3:$H$28,'Loan Amortization'!$CL$3,'Key Life Events'!$N$3:$N$28,'Loan Amortization'!CG253),CH252-CK252)</f>
        <v>0</v>
      </c>
      <c r="CI253" s="532">
        <f t="shared" ca="1" si="186"/>
        <v>0</v>
      </c>
      <c r="CJ253" s="532">
        <f t="shared" ca="1" si="187"/>
        <v>0</v>
      </c>
      <c r="CK253" s="532">
        <f t="shared" ca="1" si="159"/>
        <v>0</v>
      </c>
      <c r="CP253" s="536">
        <f t="shared" ca="1" si="160"/>
        <v>2047</v>
      </c>
      <c r="CQ253" s="535">
        <f ca="1"/>
        <v>0</v>
      </c>
      <c r="CS253" s="100">
        <f t="shared" si="161"/>
        <v>252</v>
      </c>
      <c r="CT253" s="102">
        <f t="shared" ca="1" si="162"/>
        <v>0</v>
      </c>
      <c r="CU253" s="102">
        <f t="shared" ca="1" si="163"/>
        <v>0</v>
      </c>
      <c r="CV253" s="511">
        <f t="shared" ca="1" si="164"/>
        <v>2047</v>
      </c>
    </row>
    <row r="254" spans="1:100" x14ac:dyDescent="0.3">
      <c r="A254" s="100">
        <v>253</v>
      </c>
      <c r="B254" s="131">
        <f t="shared" si="165"/>
        <v>6846</v>
      </c>
      <c r="C254" s="102">
        <f t="shared" si="166"/>
        <v>0</v>
      </c>
      <c r="D254" s="102">
        <f t="shared" si="167"/>
        <v>0</v>
      </c>
      <c r="E254" s="102">
        <f t="shared" si="147"/>
        <v>0</v>
      </c>
      <c r="F254" s="102">
        <f t="shared" si="168"/>
        <v>0</v>
      </c>
      <c r="L254" s="100">
        <v>253</v>
      </c>
      <c r="M254" s="131">
        <f t="shared" ca="1" si="169"/>
        <v>53866</v>
      </c>
      <c r="N254" s="102">
        <f t="shared" si="170"/>
        <v>0</v>
      </c>
      <c r="O254" s="102">
        <f t="shared" si="171"/>
        <v>0</v>
      </c>
      <c r="P254" s="102">
        <f t="shared" si="148"/>
        <v>0</v>
      </c>
      <c r="Q254" s="102">
        <f t="shared" si="149"/>
        <v>0</v>
      </c>
      <c r="W254" s="100">
        <v>253</v>
      </c>
      <c r="X254" s="131">
        <f t="shared" ca="1" si="172"/>
        <v>53866</v>
      </c>
      <c r="Y254" s="102">
        <f t="shared" si="173"/>
        <v>0</v>
      </c>
      <c r="Z254" s="102">
        <f t="shared" si="174"/>
        <v>0</v>
      </c>
      <c r="AA254" s="102">
        <f t="shared" si="150"/>
        <v>0</v>
      </c>
      <c r="AB254" s="102">
        <f t="shared" si="151"/>
        <v>0</v>
      </c>
      <c r="AH254" s="100">
        <v>253</v>
      </c>
      <c r="AI254" s="131">
        <f t="shared" ca="1" si="175"/>
        <v>53866</v>
      </c>
      <c r="AJ254" s="102">
        <f t="shared" si="176"/>
        <v>0</v>
      </c>
      <c r="AK254" s="102">
        <f t="shared" si="177"/>
        <v>0</v>
      </c>
      <c r="AL254" s="102">
        <f t="shared" si="189"/>
        <v>0</v>
      </c>
      <c r="AM254" s="102">
        <f t="shared" si="152"/>
        <v>0</v>
      </c>
      <c r="AS254" s="530">
        <v>253</v>
      </c>
      <c r="AT254" s="531">
        <f t="shared" ca="1" si="178"/>
        <v>53866</v>
      </c>
      <c r="AU254" s="532">
        <f ca="1">IF(AU253=0,SUMIFS('Key Life Events'!$L$3:$L$28,'Key Life Events'!$H$3:$H$28,'Loan Amortization'!$AY$3,'Key Life Events'!$N$3:$N$28,'Loan Amortization'!AT254),AU253-AX253)</f>
        <v>0</v>
      </c>
      <c r="AV254" s="532">
        <f t="shared" ca="1" si="179"/>
        <v>0</v>
      </c>
      <c r="AW254" s="532">
        <f t="shared" ca="1" si="146"/>
        <v>0</v>
      </c>
      <c r="AX254" s="532">
        <f t="shared" ca="1" si="153"/>
        <v>0</v>
      </c>
      <c r="BC254" s="536">
        <f t="shared" ca="1" si="154"/>
        <v>2047</v>
      </c>
      <c r="BF254" s="530">
        <v>253</v>
      </c>
      <c r="BG254" s="531">
        <f t="shared" ca="1" si="180"/>
        <v>53866</v>
      </c>
      <c r="BH254" s="532">
        <f ca="1">IF(BH253=0,SUMIFS('Key Life Events'!$L$3:$L$28,'Key Life Events'!$H$3:$H$28,'Loan Amortization'!$BL$3,'Key Life Events'!$N$3:$N$28,'Loan Amortization'!BG254),BH253-BK253)</f>
        <v>0</v>
      </c>
      <c r="BI254" s="532">
        <f t="shared" ca="1" si="181"/>
        <v>0</v>
      </c>
      <c r="BJ254" s="532">
        <f t="shared" ca="1" si="182"/>
        <v>0</v>
      </c>
      <c r="BK254" s="532">
        <f t="shared" ca="1" si="155"/>
        <v>0</v>
      </c>
      <c r="BP254" s="536">
        <f t="shared" ca="1" si="156"/>
        <v>2047</v>
      </c>
      <c r="BQ254" s="535">
        <f ca="1"/>
        <v>0</v>
      </c>
      <c r="BS254" s="530">
        <v>253</v>
      </c>
      <c r="BT254" s="531">
        <f t="shared" ca="1" si="183"/>
        <v>53866</v>
      </c>
      <c r="BU254" s="532">
        <f ca="1">IF(BU253=0,SUMIFS('Key Life Events'!$L$3:$L$28,'Key Life Events'!$H$3:$H$28,'Loan Amortization'!$BY$3,'Key Life Events'!$N$3:$N$28,'Loan Amortization'!BT254),BU253-BX253)</f>
        <v>0</v>
      </c>
      <c r="BV254" s="532">
        <f t="shared" ca="1" si="188"/>
        <v>0</v>
      </c>
      <c r="BW254" s="532">
        <f t="shared" ca="1" si="184"/>
        <v>0</v>
      </c>
      <c r="BX254" s="532">
        <f t="shared" ca="1" si="157"/>
        <v>0</v>
      </c>
      <c r="CC254" s="536">
        <f t="shared" ca="1" si="158"/>
        <v>2047</v>
      </c>
      <c r="CD254" s="535">
        <f ca="1"/>
        <v>0</v>
      </c>
      <c r="CF254" s="530">
        <v>253</v>
      </c>
      <c r="CG254" s="531">
        <f t="shared" ca="1" si="185"/>
        <v>53866</v>
      </c>
      <c r="CH254" s="532">
        <f ca="1">IF(CH253=0,SUMIFS('Key Life Events'!$L$3:$L$28,'Key Life Events'!$H$3:$H$28,'Loan Amortization'!$CL$3,'Key Life Events'!$N$3:$N$28,'Loan Amortization'!CG254),CH253-CK253)</f>
        <v>0</v>
      </c>
      <c r="CI254" s="532">
        <f t="shared" ca="1" si="186"/>
        <v>0</v>
      </c>
      <c r="CJ254" s="532">
        <f t="shared" ca="1" si="187"/>
        <v>0</v>
      </c>
      <c r="CK254" s="532">
        <f t="shared" ca="1" si="159"/>
        <v>0</v>
      </c>
      <c r="CP254" s="536">
        <f t="shared" ca="1" si="160"/>
        <v>2047</v>
      </c>
      <c r="CQ254" s="535">
        <f ca="1"/>
        <v>0</v>
      </c>
      <c r="CS254" s="100">
        <f t="shared" si="161"/>
        <v>253</v>
      </c>
      <c r="CT254" s="102">
        <f t="shared" ca="1" si="162"/>
        <v>0</v>
      </c>
      <c r="CU254" s="102">
        <f t="shared" ca="1" si="163"/>
        <v>0</v>
      </c>
      <c r="CV254" s="511">
        <f t="shared" ca="1" si="164"/>
        <v>2047</v>
      </c>
    </row>
    <row r="255" spans="1:100" x14ac:dyDescent="0.3">
      <c r="A255" s="100">
        <v>254</v>
      </c>
      <c r="B255" s="131">
        <f t="shared" si="165"/>
        <v>6876</v>
      </c>
      <c r="C255" s="102">
        <f t="shared" si="166"/>
        <v>0</v>
      </c>
      <c r="D255" s="102">
        <f t="shared" si="167"/>
        <v>0</v>
      </c>
      <c r="E255" s="102">
        <f t="shared" si="147"/>
        <v>0</v>
      </c>
      <c r="F255" s="102">
        <f t="shared" si="168"/>
        <v>0</v>
      </c>
      <c r="L255" s="100">
        <v>254</v>
      </c>
      <c r="M255" s="131">
        <f t="shared" ca="1" si="169"/>
        <v>53896</v>
      </c>
      <c r="N255" s="102">
        <f t="shared" si="170"/>
        <v>0</v>
      </c>
      <c r="O255" s="102">
        <f t="shared" si="171"/>
        <v>0</v>
      </c>
      <c r="P255" s="102">
        <f t="shared" si="148"/>
        <v>0</v>
      </c>
      <c r="Q255" s="102">
        <f t="shared" si="149"/>
        <v>0</v>
      </c>
      <c r="W255" s="100">
        <v>254</v>
      </c>
      <c r="X255" s="131">
        <f t="shared" ca="1" si="172"/>
        <v>53896</v>
      </c>
      <c r="Y255" s="102">
        <f t="shared" si="173"/>
        <v>0</v>
      </c>
      <c r="Z255" s="102">
        <f t="shared" si="174"/>
        <v>0</v>
      </c>
      <c r="AA255" s="102">
        <f t="shared" si="150"/>
        <v>0</v>
      </c>
      <c r="AB255" s="102">
        <f t="shared" si="151"/>
        <v>0</v>
      </c>
      <c r="AH255" s="100">
        <v>254</v>
      </c>
      <c r="AI255" s="131">
        <f t="shared" ca="1" si="175"/>
        <v>53896</v>
      </c>
      <c r="AJ255" s="102">
        <f t="shared" si="176"/>
        <v>0</v>
      </c>
      <c r="AK255" s="102">
        <f t="shared" si="177"/>
        <v>0</v>
      </c>
      <c r="AL255" s="102">
        <f t="shared" si="189"/>
        <v>0</v>
      </c>
      <c r="AM255" s="102">
        <f t="shared" si="152"/>
        <v>0</v>
      </c>
      <c r="AS255" s="530">
        <v>254</v>
      </c>
      <c r="AT255" s="531">
        <f t="shared" ca="1" si="178"/>
        <v>53896</v>
      </c>
      <c r="AU255" s="532">
        <f ca="1">IF(AU254=0,SUMIFS('Key Life Events'!$L$3:$L$28,'Key Life Events'!$H$3:$H$28,'Loan Amortization'!$AY$3,'Key Life Events'!$N$3:$N$28,'Loan Amortization'!AT255),AU254-AX254)</f>
        <v>0</v>
      </c>
      <c r="AV255" s="532">
        <f t="shared" ca="1" si="179"/>
        <v>0</v>
      </c>
      <c r="AW255" s="532">
        <f t="shared" ca="1" si="146"/>
        <v>0</v>
      </c>
      <c r="AX255" s="532">
        <f t="shared" ca="1" si="153"/>
        <v>0</v>
      </c>
      <c r="BC255" s="536">
        <f t="shared" ca="1" si="154"/>
        <v>2047</v>
      </c>
      <c r="BF255" s="530">
        <v>254</v>
      </c>
      <c r="BG255" s="531">
        <f t="shared" ca="1" si="180"/>
        <v>53896</v>
      </c>
      <c r="BH255" s="532">
        <f ca="1">IF(BH254=0,SUMIFS('Key Life Events'!$L$3:$L$28,'Key Life Events'!$H$3:$H$28,'Loan Amortization'!$BL$3,'Key Life Events'!$N$3:$N$28,'Loan Amortization'!BG255),BH254-BK254)</f>
        <v>0</v>
      </c>
      <c r="BI255" s="532">
        <f t="shared" ca="1" si="181"/>
        <v>0</v>
      </c>
      <c r="BJ255" s="532">
        <f t="shared" ca="1" si="182"/>
        <v>0</v>
      </c>
      <c r="BK255" s="532">
        <f t="shared" ca="1" si="155"/>
        <v>0</v>
      </c>
      <c r="BP255" s="536">
        <f t="shared" ca="1" si="156"/>
        <v>2047</v>
      </c>
      <c r="BQ255" s="535">
        <f ca="1"/>
        <v>0</v>
      </c>
      <c r="BS255" s="530">
        <v>254</v>
      </c>
      <c r="BT255" s="531">
        <f t="shared" ca="1" si="183"/>
        <v>53896</v>
      </c>
      <c r="BU255" s="532">
        <f ca="1">IF(BU254=0,SUMIFS('Key Life Events'!$L$3:$L$28,'Key Life Events'!$H$3:$H$28,'Loan Amortization'!$BY$3,'Key Life Events'!$N$3:$N$28,'Loan Amortization'!BT255),BU254-BX254)</f>
        <v>0</v>
      </c>
      <c r="BV255" s="532">
        <f t="shared" ca="1" si="188"/>
        <v>0</v>
      </c>
      <c r="BW255" s="532">
        <f t="shared" ca="1" si="184"/>
        <v>0</v>
      </c>
      <c r="BX255" s="532">
        <f t="shared" ca="1" si="157"/>
        <v>0</v>
      </c>
      <c r="CC255" s="536">
        <f t="shared" ca="1" si="158"/>
        <v>2047</v>
      </c>
      <c r="CD255" s="535">
        <f ca="1"/>
        <v>0</v>
      </c>
      <c r="CF255" s="530">
        <v>254</v>
      </c>
      <c r="CG255" s="531">
        <f t="shared" ca="1" si="185"/>
        <v>53896</v>
      </c>
      <c r="CH255" s="532">
        <f ca="1">IF(CH254=0,SUMIFS('Key Life Events'!$L$3:$L$28,'Key Life Events'!$H$3:$H$28,'Loan Amortization'!$CL$3,'Key Life Events'!$N$3:$N$28,'Loan Amortization'!CG255),CH254-CK254)</f>
        <v>0</v>
      </c>
      <c r="CI255" s="532">
        <f t="shared" ca="1" si="186"/>
        <v>0</v>
      </c>
      <c r="CJ255" s="532">
        <f t="shared" ca="1" si="187"/>
        <v>0</v>
      </c>
      <c r="CK255" s="532">
        <f t="shared" ca="1" si="159"/>
        <v>0</v>
      </c>
      <c r="CP255" s="536">
        <f t="shared" ca="1" si="160"/>
        <v>2047</v>
      </c>
      <c r="CQ255" s="535">
        <f ca="1"/>
        <v>0</v>
      </c>
      <c r="CS255" s="100">
        <f t="shared" si="161"/>
        <v>254</v>
      </c>
      <c r="CT255" s="102">
        <f t="shared" ca="1" si="162"/>
        <v>0</v>
      </c>
      <c r="CU255" s="102">
        <f t="shared" ca="1" si="163"/>
        <v>0</v>
      </c>
      <c r="CV255" s="511">
        <f t="shared" ca="1" si="164"/>
        <v>2047</v>
      </c>
    </row>
    <row r="256" spans="1:100" x14ac:dyDescent="0.3">
      <c r="A256" s="100">
        <v>255</v>
      </c>
      <c r="B256" s="131">
        <f t="shared" si="165"/>
        <v>6907</v>
      </c>
      <c r="C256" s="102">
        <f t="shared" si="166"/>
        <v>0</v>
      </c>
      <c r="D256" s="102">
        <f t="shared" si="167"/>
        <v>0</v>
      </c>
      <c r="E256" s="102">
        <f t="shared" si="147"/>
        <v>0</v>
      </c>
      <c r="F256" s="102">
        <f t="shared" si="168"/>
        <v>0</v>
      </c>
      <c r="L256" s="100">
        <v>255</v>
      </c>
      <c r="M256" s="131">
        <f t="shared" ca="1" si="169"/>
        <v>53927</v>
      </c>
      <c r="N256" s="102">
        <f t="shared" si="170"/>
        <v>0</v>
      </c>
      <c r="O256" s="102">
        <f t="shared" si="171"/>
        <v>0</v>
      </c>
      <c r="P256" s="102">
        <f t="shared" si="148"/>
        <v>0</v>
      </c>
      <c r="Q256" s="102">
        <f t="shared" si="149"/>
        <v>0</v>
      </c>
      <c r="W256" s="100">
        <v>255</v>
      </c>
      <c r="X256" s="131">
        <f t="shared" ca="1" si="172"/>
        <v>53927</v>
      </c>
      <c r="Y256" s="102">
        <f t="shared" si="173"/>
        <v>0</v>
      </c>
      <c r="Z256" s="102">
        <f t="shared" si="174"/>
        <v>0</v>
      </c>
      <c r="AA256" s="102">
        <f t="shared" si="150"/>
        <v>0</v>
      </c>
      <c r="AB256" s="102">
        <f t="shared" si="151"/>
        <v>0</v>
      </c>
      <c r="AH256" s="100">
        <v>255</v>
      </c>
      <c r="AI256" s="131">
        <f t="shared" ca="1" si="175"/>
        <v>53927</v>
      </c>
      <c r="AJ256" s="102">
        <f t="shared" si="176"/>
        <v>0</v>
      </c>
      <c r="AK256" s="102">
        <f t="shared" si="177"/>
        <v>0</v>
      </c>
      <c r="AL256" s="102">
        <f t="shared" si="189"/>
        <v>0</v>
      </c>
      <c r="AM256" s="102">
        <f t="shared" si="152"/>
        <v>0</v>
      </c>
      <c r="AS256" s="530">
        <v>255</v>
      </c>
      <c r="AT256" s="531">
        <f t="shared" ca="1" si="178"/>
        <v>53927</v>
      </c>
      <c r="AU256" s="532">
        <f ca="1">IF(AU255=0,SUMIFS('Key Life Events'!$L$3:$L$28,'Key Life Events'!$H$3:$H$28,'Loan Amortization'!$AY$3,'Key Life Events'!$N$3:$N$28,'Loan Amortization'!AT256),AU255-AX255)</f>
        <v>0</v>
      </c>
      <c r="AV256" s="532">
        <f t="shared" ca="1" si="179"/>
        <v>0</v>
      </c>
      <c r="AW256" s="532">
        <f t="shared" ca="1" si="146"/>
        <v>0</v>
      </c>
      <c r="AX256" s="532">
        <f t="shared" ca="1" si="153"/>
        <v>0</v>
      </c>
      <c r="BC256" s="536">
        <f t="shared" ca="1" si="154"/>
        <v>2047</v>
      </c>
      <c r="BF256" s="530">
        <v>255</v>
      </c>
      <c r="BG256" s="531">
        <f t="shared" ca="1" si="180"/>
        <v>53927</v>
      </c>
      <c r="BH256" s="532">
        <f ca="1">IF(BH255=0,SUMIFS('Key Life Events'!$L$3:$L$28,'Key Life Events'!$H$3:$H$28,'Loan Amortization'!$BL$3,'Key Life Events'!$N$3:$N$28,'Loan Amortization'!BG256),BH255-BK255)</f>
        <v>0</v>
      </c>
      <c r="BI256" s="532">
        <f t="shared" ca="1" si="181"/>
        <v>0</v>
      </c>
      <c r="BJ256" s="532">
        <f t="shared" ca="1" si="182"/>
        <v>0</v>
      </c>
      <c r="BK256" s="532">
        <f t="shared" ca="1" si="155"/>
        <v>0</v>
      </c>
      <c r="BP256" s="536">
        <f t="shared" ca="1" si="156"/>
        <v>2047</v>
      </c>
      <c r="BQ256" s="535">
        <f ca="1"/>
        <v>0</v>
      </c>
      <c r="BS256" s="530">
        <v>255</v>
      </c>
      <c r="BT256" s="531">
        <f t="shared" ca="1" si="183"/>
        <v>53927</v>
      </c>
      <c r="BU256" s="532">
        <f ca="1">IF(BU255=0,SUMIFS('Key Life Events'!$L$3:$L$28,'Key Life Events'!$H$3:$H$28,'Loan Amortization'!$BY$3,'Key Life Events'!$N$3:$N$28,'Loan Amortization'!BT256),BU255-BX255)</f>
        <v>0</v>
      </c>
      <c r="BV256" s="532">
        <f t="shared" ca="1" si="188"/>
        <v>0</v>
      </c>
      <c r="BW256" s="532">
        <f t="shared" ca="1" si="184"/>
        <v>0</v>
      </c>
      <c r="BX256" s="532">
        <f t="shared" ca="1" si="157"/>
        <v>0</v>
      </c>
      <c r="CC256" s="536">
        <f t="shared" ca="1" si="158"/>
        <v>2047</v>
      </c>
      <c r="CD256" s="535">
        <f ca="1"/>
        <v>0</v>
      </c>
      <c r="CF256" s="530">
        <v>255</v>
      </c>
      <c r="CG256" s="531">
        <f t="shared" ca="1" si="185"/>
        <v>53927</v>
      </c>
      <c r="CH256" s="532">
        <f ca="1">IF(CH255=0,SUMIFS('Key Life Events'!$L$3:$L$28,'Key Life Events'!$H$3:$H$28,'Loan Amortization'!$CL$3,'Key Life Events'!$N$3:$N$28,'Loan Amortization'!CG256),CH255-CK255)</f>
        <v>0</v>
      </c>
      <c r="CI256" s="532">
        <f t="shared" ca="1" si="186"/>
        <v>0</v>
      </c>
      <c r="CJ256" s="532">
        <f t="shared" ca="1" si="187"/>
        <v>0</v>
      </c>
      <c r="CK256" s="532">
        <f t="shared" ca="1" si="159"/>
        <v>0</v>
      </c>
      <c r="CP256" s="536">
        <f t="shared" ca="1" si="160"/>
        <v>2047</v>
      </c>
      <c r="CQ256" s="535">
        <f ca="1"/>
        <v>0</v>
      </c>
      <c r="CS256" s="100">
        <f t="shared" si="161"/>
        <v>255</v>
      </c>
      <c r="CT256" s="102">
        <f t="shared" ca="1" si="162"/>
        <v>0</v>
      </c>
      <c r="CU256" s="102">
        <f t="shared" ca="1" si="163"/>
        <v>0</v>
      </c>
      <c r="CV256" s="511">
        <f t="shared" ca="1" si="164"/>
        <v>2047</v>
      </c>
    </row>
    <row r="257" spans="1:100" x14ac:dyDescent="0.3">
      <c r="A257" s="100">
        <v>256</v>
      </c>
      <c r="B257" s="131">
        <f t="shared" si="165"/>
        <v>6937</v>
      </c>
      <c r="C257" s="102">
        <f t="shared" si="166"/>
        <v>0</v>
      </c>
      <c r="D257" s="102">
        <f t="shared" si="167"/>
        <v>0</v>
      </c>
      <c r="E257" s="102">
        <f t="shared" si="147"/>
        <v>0</v>
      </c>
      <c r="F257" s="102">
        <f t="shared" si="168"/>
        <v>0</v>
      </c>
      <c r="L257" s="100">
        <v>256</v>
      </c>
      <c r="M257" s="131">
        <f t="shared" ca="1" si="169"/>
        <v>53958</v>
      </c>
      <c r="N257" s="102">
        <f t="shared" si="170"/>
        <v>0</v>
      </c>
      <c r="O257" s="102">
        <f t="shared" si="171"/>
        <v>0</v>
      </c>
      <c r="P257" s="102">
        <f t="shared" si="148"/>
        <v>0</v>
      </c>
      <c r="Q257" s="102">
        <f t="shared" si="149"/>
        <v>0</v>
      </c>
      <c r="W257" s="100">
        <v>256</v>
      </c>
      <c r="X257" s="131">
        <f t="shared" ca="1" si="172"/>
        <v>53958</v>
      </c>
      <c r="Y257" s="102">
        <f t="shared" si="173"/>
        <v>0</v>
      </c>
      <c r="Z257" s="102">
        <f t="shared" si="174"/>
        <v>0</v>
      </c>
      <c r="AA257" s="102">
        <f t="shared" si="150"/>
        <v>0</v>
      </c>
      <c r="AB257" s="102">
        <f t="shared" si="151"/>
        <v>0</v>
      </c>
      <c r="AH257" s="100">
        <v>256</v>
      </c>
      <c r="AI257" s="131">
        <f t="shared" ca="1" si="175"/>
        <v>53958</v>
      </c>
      <c r="AJ257" s="102">
        <f t="shared" si="176"/>
        <v>0</v>
      </c>
      <c r="AK257" s="102">
        <f t="shared" si="177"/>
        <v>0</v>
      </c>
      <c r="AL257" s="102">
        <f t="shared" si="189"/>
        <v>0</v>
      </c>
      <c r="AM257" s="102">
        <f t="shared" si="152"/>
        <v>0</v>
      </c>
      <c r="AS257" s="530">
        <v>256</v>
      </c>
      <c r="AT257" s="531">
        <f t="shared" ca="1" si="178"/>
        <v>53958</v>
      </c>
      <c r="AU257" s="532">
        <f ca="1">IF(AU256=0,SUMIFS('Key Life Events'!$L$3:$L$28,'Key Life Events'!$H$3:$H$28,'Loan Amortization'!$AY$3,'Key Life Events'!$N$3:$N$28,'Loan Amortization'!AT257),AU256-AX256)</f>
        <v>0</v>
      </c>
      <c r="AV257" s="532">
        <f t="shared" ca="1" si="179"/>
        <v>0</v>
      </c>
      <c r="AW257" s="532">
        <f t="shared" ca="1" si="146"/>
        <v>0</v>
      </c>
      <c r="AX257" s="532">
        <f t="shared" ca="1" si="153"/>
        <v>0</v>
      </c>
      <c r="BC257" s="536">
        <f t="shared" ca="1" si="154"/>
        <v>2047</v>
      </c>
      <c r="BF257" s="530">
        <v>256</v>
      </c>
      <c r="BG257" s="531">
        <f t="shared" ca="1" si="180"/>
        <v>53958</v>
      </c>
      <c r="BH257" s="532">
        <f ca="1">IF(BH256=0,SUMIFS('Key Life Events'!$L$3:$L$28,'Key Life Events'!$H$3:$H$28,'Loan Amortization'!$BL$3,'Key Life Events'!$N$3:$N$28,'Loan Amortization'!BG257),BH256-BK256)</f>
        <v>0</v>
      </c>
      <c r="BI257" s="532">
        <f t="shared" ca="1" si="181"/>
        <v>0</v>
      </c>
      <c r="BJ257" s="532">
        <f t="shared" ca="1" si="182"/>
        <v>0</v>
      </c>
      <c r="BK257" s="532">
        <f t="shared" ca="1" si="155"/>
        <v>0</v>
      </c>
      <c r="BP257" s="536">
        <f t="shared" ca="1" si="156"/>
        <v>2047</v>
      </c>
      <c r="BQ257" s="535">
        <f ca="1"/>
        <v>0</v>
      </c>
      <c r="BS257" s="530">
        <v>256</v>
      </c>
      <c r="BT257" s="531">
        <f t="shared" ca="1" si="183"/>
        <v>53958</v>
      </c>
      <c r="BU257" s="532">
        <f ca="1">IF(BU256=0,SUMIFS('Key Life Events'!$L$3:$L$28,'Key Life Events'!$H$3:$H$28,'Loan Amortization'!$BY$3,'Key Life Events'!$N$3:$N$28,'Loan Amortization'!BT257),BU256-BX256)</f>
        <v>0</v>
      </c>
      <c r="BV257" s="532">
        <f t="shared" ca="1" si="188"/>
        <v>0</v>
      </c>
      <c r="BW257" s="532">
        <f t="shared" ca="1" si="184"/>
        <v>0</v>
      </c>
      <c r="BX257" s="532">
        <f t="shared" ca="1" si="157"/>
        <v>0</v>
      </c>
      <c r="CC257" s="536">
        <f t="shared" ca="1" si="158"/>
        <v>2047</v>
      </c>
      <c r="CD257" s="535">
        <f ca="1"/>
        <v>0</v>
      </c>
      <c r="CF257" s="530">
        <v>256</v>
      </c>
      <c r="CG257" s="531">
        <f t="shared" ca="1" si="185"/>
        <v>53958</v>
      </c>
      <c r="CH257" s="532">
        <f ca="1">IF(CH256=0,SUMIFS('Key Life Events'!$L$3:$L$28,'Key Life Events'!$H$3:$H$28,'Loan Amortization'!$CL$3,'Key Life Events'!$N$3:$N$28,'Loan Amortization'!CG257),CH256-CK256)</f>
        <v>0</v>
      </c>
      <c r="CI257" s="532">
        <f t="shared" ca="1" si="186"/>
        <v>0</v>
      </c>
      <c r="CJ257" s="532">
        <f t="shared" ca="1" si="187"/>
        <v>0</v>
      </c>
      <c r="CK257" s="532">
        <f t="shared" ca="1" si="159"/>
        <v>0</v>
      </c>
      <c r="CP257" s="536">
        <f t="shared" ca="1" si="160"/>
        <v>2047</v>
      </c>
      <c r="CQ257" s="535">
        <f ca="1"/>
        <v>0</v>
      </c>
      <c r="CS257" s="100">
        <f t="shared" si="161"/>
        <v>256</v>
      </c>
      <c r="CT257" s="102">
        <f t="shared" ca="1" si="162"/>
        <v>0</v>
      </c>
      <c r="CU257" s="102">
        <f t="shared" ca="1" si="163"/>
        <v>0</v>
      </c>
      <c r="CV257" s="511">
        <f t="shared" ca="1" si="164"/>
        <v>2047</v>
      </c>
    </row>
    <row r="258" spans="1:100" x14ac:dyDescent="0.3">
      <c r="A258" s="100">
        <v>257</v>
      </c>
      <c r="B258" s="131">
        <f t="shared" si="165"/>
        <v>6968</v>
      </c>
      <c r="C258" s="102">
        <f t="shared" si="166"/>
        <v>0</v>
      </c>
      <c r="D258" s="102">
        <f t="shared" si="167"/>
        <v>0</v>
      </c>
      <c r="E258" s="102">
        <f t="shared" si="147"/>
        <v>0</v>
      </c>
      <c r="F258" s="102">
        <f t="shared" si="168"/>
        <v>0</v>
      </c>
      <c r="L258" s="100">
        <v>257</v>
      </c>
      <c r="M258" s="131">
        <f t="shared" ca="1" si="169"/>
        <v>53988</v>
      </c>
      <c r="N258" s="102">
        <f t="shared" si="170"/>
        <v>0</v>
      </c>
      <c r="O258" s="102">
        <f t="shared" si="171"/>
        <v>0</v>
      </c>
      <c r="P258" s="102">
        <f t="shared" si="148"/>
        <v>0</v>
      </c>
      <c r="Q258" s="102">
        <f t="shared" si="149"/>
        <v>0</v>
      </c>
      <c r="W258" s="100">
        <v>257</v>
      </c>
      <c r="X258" s="131">
        <f t="shared" ca="1" si="172"/>
        <v>53988</v>
      </c>
      <c r="Y258" s="102">
        <f t="shared" si="173"/>
        <v>0</v>
      </c>
      <c r="Z258" s="102">
        <f t="shared" si="174"/>
        <v>0</v>
      </c>
      <c r="AA258" s="102">
        <f t="shared" si="150"/>
        <v>0</v>
      </c>
      <c r="AB258" s="102">
        <f t="shared" si="151"/>
        <v>0</v>
      </c>
      <c r="AH258" s="100">
        <v>257</v>
      </c>
      <c r="AI258" s="131">
        <f t="shared" ca="1" si="175"/>
        <v>53988</v>
      </c>
      <c r="AJ258" s="102">
        <f t="shared" si="176"/>
        <v>0</v>
      </c>
      <c r="AK258" s="102">
        <f t="shared" si="177"/>
        <v>0</v>
      </c>
      <c r="AL258" s="102">
        <f t="shared" si="189"/>
        <v>0</v>
      </c>
      <c r="AM258" s="102">
        <f t="shared" si="152"/>
        <v>0</v>
      </c>
      <c r="AS258" s="530">
        <v>257</v>
      </c>
      <c r="AT258" s="531">
        <f t="shared" ca="1" si="178"/>
        <v>53988</v>
      </c>
      <c r="AU258" s="532">
        <f ca="1">IF(AU257=0,SUMIFS('Key Life Events'!$L$3:$L$28,'Key Life Events'!$H$3:$H$28,'Loan Amortization'!$AY$3,'Key Life Events'!$N$3:$N$28,'Loan Amortization'!AT258),AU257-AX257)</f>
        <v>0</v>
      </c>
      <c r="AV258" s="532">
        <f t="shared" ca="1" si="179"/>
        <v>0</v>
      </c>
      <c r="AW258" s="532">
        <f t="shared" ref="AW258:AW321" ca="1" si="190">(AU258*AZ$1)/12</f>
        <v>0</v>
      </c>
      <c r="AX258" s="532">
        <f t="shared" ca="1" si="153"/>
        <v>0</v>
      </c>
      <c r="BC258" s="536">
        <f t="shared" ca="1" si="154"/>
        <v>2047</v>
      </c>
      <c r="BF258" s="530">
        <v>257</v>
      </c>
      <c r="BG258" s="531">
        <f t="shared" ca="1" si="180"/>
        <v>53988</v>
      </c>
      <c r="BH258" s="532">
        <f ca="1">IF(BH257=0,SUMIFS('Key Life Events'!$L$3:$L$28,'Key Life Events'!$H$3:$H$28,'Loan Amortization'!$BL$3,'Key Life Events'!$N$3:$N$28,'Loan Amortization'!BG258),BH257-BK257)</f>
        <v>0</v>
      </c>
      <c r="BI258" s="532">
        <f t="shared" ca="1" si="181"/>
        <v>0</v>
      </c>
      <c r="BJ258" s="532">
        <f t="shared" ca="1" si="182"/>
        <v>0</v>
      </c>
      <c r="BK258" s="532">
        <f t="shared" ca="1" si="155"/>
        <v>0</v>
      </c>
      <c r="BP258" s="536">
        <f t="shared" ca="1" si="156"/>
        <v>2047</v>
      </c>
      <c r="BQ258" s="535">
        <f ca="1"/>
        <v>0</v>
      </c>
      <c r="BS258" s="530">
        <v>257</v>
      </c>
      <c r="BT258" s="531">
        <f t="shared" ca="1" si="183"/>
        <v>53988</v>
      </c>
      <c r="BU258" s="532">
        <f ca="1">IF(BU257=0,SUMIFS('Key Life Events'!$L$3:$L$28,'Key Life Events'!$H$3:$H$28,'Loan Amortization'!$BY$3,'Key Life Events'!$N$3:$N$28,'Loan Amortization'!BT258),BU257-BX257)</f>
        <v>0</v>
      </c>
      <c r="BV258" s="532">
        <f t="shared" ca="1" si="188"/>
        <v>0</v>
      </c>
      <c r="BW258" s="532">
        <f t="shared" ca="1" si="184"/>
        <v>0</v>
      </c>
      <c r="BX258" s="532">
        <f t="shared" ca="1" si="157"/>
        <v>0</v>
      </c>
      <c r="CC258" s="536">
        <f t="shared" ca="1" si="158"/>
        <v>2047</v>
      </c>
      <c r="CD258" s="535">
        <f ca="1"/>
        <v>0</v>
      </c>
      <c r="CF258" s="530">
        <v>257</v>
      </c>
      <c r="CG258" s="531">
        <f t="shared" ca="1" si="185"/>
        <v>53988</v>
      </c>
      <c r="CH258" s="532">
        <f ca="1">IF(CH257=0,SUMIFS('Key Life Events'!$L$3:$L$28,'Key Life Events'!$H$3:$H$28,'Loan Amortization'!$CL$3,'Key Life Events'!$N$3:$N$28,'Loan Amortization'!CG258),CH257-CK257)</f>
        <v>0</v>
      </c>
      <c r="CI258" s="532">
        <f t="shared" ca="1" si="186"/>
        <v>0</v>
      </c>
      <c r="CJ258" s="532">
        <f t="shared" ca="1" si="187"/>
        <v>0</v>
      </c>
      <c r="CK258" s="532">
        <f t="shared" ca="1" si="159"/>
        <v>0</v>
      </c>
      <c r="CP258" s="536">
        <f t="shared" ca="1" si="160"/>
        <v>2047</v>
      </c>
      <c r="CQ258" s="535">
        <f ca="1"/>
        <v>0</v>
      </c>
      <c r="CS258" s="100">
        <f t="shared" si="161"/>
        <v>257</v>
      </c>
      <c r="CT258" s="102">
        <f t="shared" ca="1" si="162"/>
        <v>0</v>
      </c>
      <c r="CU258" s="102">
        <f t="shared" ca="1" si="163"/>
        <v>0</v>
      </c>
      <c r="CV258" s="511">
        <f t="shared" ca="1" si="164"/>
        <v>2047</v>
      </c>
    </row>
    <row r="259" spans="1:100" x14ac:dyDescent="0.3">
      <c r="A259" s="100">
        <v>258</v>
      </c>
      <c r="B259" s="131">
        <f t="shared" si="165"/>
        <v>6999</v>
      </c>
      <c r="C259" s="102">
        <f t="shared" si="166"/>
        <v>0</v>
      </c>
      <c r="D259" s="102">
        <f t="shared" si="167"/>
        <v>0</v>
      </c>
      <c r="E259" s="102">
        <f t="shared" ref="E259:E288" si="191">(C259*H$1)/12</f>
        <v>0</v>
      </c>
      <c r="F259" s="102">
        <f t="shared" si="168"/>
        <v>0</v>
      </c>
      <c r="L259" s="100">
        <v>258</v>
      </c>
      <c r="M259" s="131">
        <f t="shared" ca="1" si="169"/>
        <v>54019</v>
      </c>
      <c r="N259" s="102">
        <f t="shared" si="170"/>
        <v>0</v>
      </c>
      <c r="O259" s="102">
        <f t="shared" si="171"/>
        <v>0</v>
      </c>
      <c r="P259" s="102">
        <f t="shared" ref="P259:P288" si="192">(N259*S$1)/12</f>
        <v>0</v>
      </c>
      <c r="Q259" s="102">
        <f t="shared" ref="Q259:Q288" si="193">O259-P259</f>
        <v>0</v>
      </c>
      <c r="W259" s="100">
        <v>258</v>
      </c>
      <c r="X259" s="131">
        <f t="shared" ca="1" si="172"/>
        <v>54019</v>
      </c>
      <c r="Y259" s="102">
        <f t="shared" si="173"/>
        <v>0</v>
      </c>
      <c r="Z259" s="102">
        <f t="shared" si="174"/>
        <v>0</v>
      </c>
      <c r="AA259" s="102">
        <f t="shared" ref="AA259:AA288" si="194">(Y259*AD$1)/12</f>
        <v>0</v>
      </c>
      <c r="AB259" s="102">
        <f t="shared" ref="AB259:AB288" si="195">Z259-AA259</f>
        <v>0</v>
      </c>
      <c r="AH259" s="100">
        <v>258</v>
      </c>
      <c r="AI259" s="131">
        <f t="shared" ca="1" si="175"/>
        <v>54019</v>
      </c>
      <c r="AJ259" s="102">
        <f t="shared" si="176"/>
        <v>0</v>
      </c>
      <c r="AK259" s="102">
        <f t="shared" si="177"/>
        <v>0</v>
      </c>
      <c r="AL259" s="102">
        <f t="shared" si="189"/>
        <v>0</v>
      </c>
      <c r="AM259" s="102">
        <f t="shared" ref="AM259:AM288" si="196">AK259-AL259</f>
        <v>0</v>
      </c>
      <c r="AS259" s="530">
        <v>258</v>
      </c>
      <c r="AT259" s="531">
        <f t="shared" ca="1" si="178"/>
        <v>54019</v>
      </c>
      <c r="AU259" s="532">
        <f ca="1">IF(AU258=0,SUMIFS('Key Life Events'!$L$3:$L$28,'Key Life Events'!$H$3:$H$28,'Loan Amortization'!$AY$3,'Key Life Events'!$N$3:$N$28,'Loan Amortization'!AT259),AU258-AX258)</f>
        <v>0</v>
      </c>
      <c r="AV259" s="532">
        <f t="shared" ca="1" si="179"/>
        <v>0</v>
      </c>
      <c r="AW259" s="532">
        <f t="shared" ca="1" si="190"/>
        <v>0</v>
      </c>
      <c r="AX259" s="532">
        <f t="shared" ref="AX259:AX322" ca="1" si="197">AV259-AW259</f>
        <v>0</v>
      </c>
      <c r="BC259" s="536">
        <f t="shared" ref="BC259:BC322" ca="1" si="198">YEAR(AT259)</f>
        <v>2047</v>
      </c>
      <c r="BF259" s="530">
        <v>258</v>
      </c>
      <c r="BG259" s="531">
        <f t="shared" ca="1" si="180"/>
        <v>54019</v>
      </c>
      <c r="BH259" s="532">
        <f ca="1">IF(BH258=0,SUMIFS('Key Life Events'!$L$3:$L$28,'Key Life Events'!$H$3:$H$28,'Loan Amortization'!$BL$3,'Key Life Events'!$N$3:$N$28,'Loan Amortization'!BG259),BH258-BK258)</f>
        <v>0</v>
      </c>
      <c r="BI259" s="532">
        <f t="shared" ca="1" si="181"/>
        <v>0</v>
      </c>
      <c r="BJ259" s="532">
        <f t="shared" ca="1" si="182"/>
        <v>0</v>
      </c>
      <c r="BK259" s="532">
        <f t="shared" ref="BK259:BK322" ca="1" si="199">BI259-BJ259</f>
        <v>0</v>
      </c>
      <c r="BP259" s="536">
        <f t="shared" ref="BP259:BP322" ca="1" si="200">YEAR(BG259)</f>
        <v>2047</v>
      </c>
      <c r="BQ259" s="535">
        <f ca="1"/>
        <v>0</v>
      </c>
      <c r="BS259" s="530">
        <v>258</v>
      </c>
      <c r="BT259" s="531">
        <f t="shared" ca="1" si="183"/>
        <v>54019</v>
      </c>
      <c r="BU259" s="532">
        <f ca="1">IF(BU258=0,SUMIFS('Key Life Events'!$L$3:$L$28,'Key Life Events'!$H$3:$H$28,'Loan Amortization'!$BY$3,'Key Life Events'!$N$3:$N$28,'Loan Amortization'!BT259),BU258-BX258)</f>
        <v>0</v>
      </c>
      <c r="BV259" s="532">
        <f t="shared" ca="1" si="188"/>
        <v>0</v>
      </c>
      <c r="BW259" s="532">
        <f t="shared" ca="1" si="184"/>
        <v>0</v>
      </c>
      <c r="BX259" s="532">
        <f t="shared" ref="BX259:BX322" ca="1" si="201">BV259-BW259</f>
        <v>0</v>
      </c>
      <c r="CC259" s="536">
        <f t="shared" ref="CC259:CC322" ca="1" si="202">YEAR(BT259)</f>
        <v>2047</v>
      </c>
      <c r="CD259" s="535">
        <f ca="1"/>
        <v>0</v>
      </c>
      <c r="CF259" s="530">
        <v>258</v>
      </c>
      <c r="CG259" s="531">
        <f t="shared" ca="1" si="185"/>
        <v>54019</v>
      </c>
      <c r="CH259" s="532">
        <f ca="1">IF(CH258=0,SUMIFS('Key Life Events'!$L$3:$L$28,'Key Life Events'!$H$3:$H$28,'Loan Amortization'!$CL$3,'Key Life Events'!$N$3:$N$28,'Loan Amortization'!CG259),CH258-CK258)</f>
        <v>0</v>
      </c>
      <c r="CI259" s="532">
        <f t="shared" ca="1" si="186"/>
        <v>0</v>
      </c>
      <c r="CJ259" s="532">
        <f t="shared" ca="1" si="187"/>
        <v>0</v>
      </c>
      <c r="CK259" s="532">
        <f t="shared" ref="CK259:CK322" ca="1" si="203">CI259-CJ259</f>
        <v>0</v>
      </c>
      <c r="CP259" s="536">
        <f t="shared" ref="CP259:CP322" ca="1" si="204">YEAR(CG259)</f>
        <v>2047</v>
      </c>
      <c r="CQ259" s="535">
        <f ca="1"/>
        <v>0</v>
      </c>
      <c r="CS259" s="100">
        <f t="shared" ref="CS259:CS288" si="205">AH259</f>
        <v>258</v>
      </c>
      <c r="CT259" s="102">
        <f t="shared" ref="CT259:CT288" ca="1" si="206">C259+Y259+AJ259+N259+AU259+BH259+BU259+CH259</f>
        <v>0</v>
      </c>
      <c r="CU259" s="102">
        <f t="shared" ref="CU259:CU288" ca="1" si="207">D259+Z259+AK259+O259+AV259+BI259+BV259+CI259</f>
        <v>0</v>
      </c>
      <c r="CV259" s="511">
        <f t="shared" ref="CV259:CV322" ca="1" si="208">MAX(TEXT(B259,"yyyy"),TEXT(M259,"yyyy"),TEXT(X259,"yyyy"),TEXT(AT259,"yyyy"),TEXT(AI259,"yyyy"),TEXT(BG259,"yyyy"),TEXT(BT259,"yyyy"),TEXT(CG259,"yyyy"))</f>
        <v>2047</v>
      </c>
    </row>
    <row r="260" spans="1:100" x14ac:dyDescent="0.3">
      <c r="A260" s="100">
        <v>259</v>
      </c>
      <c r="B260" s="131">
        <f t="shared" ref="B260:B288" si="209">IF(C259&lt;D259,,EDATE(B259,1))</f>
        <v>7027</v>
      </c>
      <c r="C260" s="102">
        <f t="shared" ref="C260:C288" si="210">IF(C259&lt;D259,0,C259-F259)</f>
        <v>0</v>
      </c>
      <c r="D260" s="102">
        <f t="shared" ref="D260:D288" si="211">IF(C260&lt;=D259,C260+E260,D$2)</f>
        <v>0</v>
      </c>
      <c r="E260" s="102">
        <f t="shared" si="191"/>
        <v>0</v>
      </c>
      <c r="F260" s="102">
        <f t="shared" ref="F260:F288" si="212">D260-E260</f>
        <v>0</v>
      </c>
      <c r="L260" s="100">
        <v>259</v>
      </c>
      <c r="M260" s="131">
        <f t="shared" ref="M260:M288" ca="1" si="213">IF(N259&lt;O259,,EDATE(M259,1))</f>
        <v>54049</v>
      </c>
      <c r="N260" s="102">
        <f t="shared" ref="N260:N288" si="214">IF(N259&lt;O259,0,N259-Q259)</f>
        <v>0</v>
      </c>
      <c r="O260" s="102">
        <f t="shared" ref="O260:O288" si="215">IF(N260&lt;=O259,N260+P260,O$2)</f>
        <v>0</v>
      </c>
      <c r="P260" s="102">
        <f t="shared" si="192"/>
        <v>0</v>
      </c>
      <c r="Q260" s="102">
        <f t="shared" si="193"/>
        <v>0</v>
      </c>
      <c r="W260" s="100">
        <v>259</v>
      </c>
      <c r="X260" s="131">
        <f t="shared" ref="X260:X288" ca="1" si="216">IF(Y259&lt;Z259,,EDATE(X259,1))</f>
        <v>54049</v>
      </c>
      <c r="Y260" s="102">
        <f t="shared" ref="Y260:Y288" si="217">IF(Y259&lt;Z259,0,Y259-AB259)</f>
        <v>0</v>
      </c>
      <c r="Z260" s="102">
        <f t="shared" ref="Z260:Z288" si="218">IF(Y260&lt;=Z259,Y260+AA260,Z$2)</f>
        <v>0</v>
      </c>
      <c r="AA260" s="102">
        <f t="shared" si="194"/>
        <v>0</v>
      </c>
      <c r="AB260" s="102">
        <f t="shared" si="195"/>
        <v>0</v>
      </c>
      <c r="AH260" s="100">
        <v>259</v>
      </c>
      <c r="AI260" s="131">
        <f t="shared" ref="AI260:AI288" ca="1" si="219">IF(AJ259&lt;AK259,,EDATE(AI259,1))</f>
        <v>54049</v>
      </c>
      <c r="AJ260" s="102">
        <f t="shared" ref="AJ260:AJ288" si="220">IF(AJ259&lt;AK259,0,AJ259-AM259)</f>
        <v>0</v>
      </c>
      <c r="AK260" s="102">
        <f t="shared" ref="AK260:AK288" si="221">IF(AJ260&lt;=AK259,AJ260+AL260,AK$2)</f>
        <v>0</v>
      </c>
      <c r="AL260" s="102">
        <f t="shared" si="189"/>
        <v>0</v>
      </c>
      <c r="AM260" s="102">
        <f t="shared" si="196"/>
        <v>0</v>
      </c>
      <c r="AS260" s="530">
        <v>259</v>
      </c>
      <c r="AT260" s="531">
        <f t="shared" ref="AT260:AT323" ca="1" si="222">IF(AU259&lt;AV259,,EDATE(AT259,1))</f>
        <v>54049</v>
      </c>
      <c r="AU260" s="532">
        <f ca="1">IF(AU259=0,SUMIFS('Key Life Events'!$L$3:$L$28,'Key Life Events'!$H$3:$H$28,'Loan Amortization'!$AY$3,'Key Life Events'!$N$3:$N$28,'Loan Amortization'!AT260),AU259-AX259)</f>
        <v>0</v>
      </c>
      <c r="AV260" s="532">
        <f t="shared" ref="AV260:AV323" ca="1" si="223">IF(AND(AU259=0,AU260&gt;0),PMT($AZ$1/12,$BB$1*12,-AU260,0,0),IF(AU260&lt;=AV259,AU260+AW260,AV259))</f>
        <v>0</v>
      </c>
      <c r="AW260" s="532">
        <f t="shared" ca="1" si="190"/>
        <v>0</v>
      </c>
      <c r="AX260" s="532">
        <f t="shared" ca="1" si="197"/>
        <v>0</v>
      </c>
      <c r="BC260" s="536">
        <f t="shared" ca="1" si="198"/>
        <v>2047</v>
      </c>
      <c r="BF260" s="530">
        <v>259</v>
      </c>
      <c r="BG260" s="531">
        <f t="shared" ref="BG260:BG323" ca="1" si="224">IF(BH259&lt;BI259,,EDATE(BG259,1))</f>
        <v>54049</v>
      </c>
      <c r="BH260" s="532">
        <f ca="1">IF(BH259=0,SUMIFS('Key Life Events'!$L$3:$L$28,'Key Life Events'!$H$3:$H$28,'Loan Amortization'!$BL$3,'Key Life Events'!$N$3:$N$28,'Loan Amortization'!BG260),BH259-BK259)</f>
        <v>0</v>
      </c>
      <c r="BI260" s="532">
        <f t="shared" ref="BI260:BI323" ca="1" si="225">IF(AND(BH259=0,BH260&gt;0),PMT(BM$1/12,BO$1*12,-BH260,0,0),IF(BH260&lt;=BI259,BH260+BJ260,BI259))</f>
        <v>0</v>
      </c>
      <c r="BJ260" s="532">
        <f t="shared" ref="BJ260:BJ323" ca="1" si="226">(BH260*BM$1)/12</f>
        <v>0</v>
      </c>
      <c r="BK260" s="532">
        <f t="shared" ca="1" si="199"/>
        <v>0</v>
      </c>
      <c r="BP260" s="536">
        <f t="shared" ca="1" si="200"/>
        <v>2047</v>
      </c>
      <c r="BQ260" s="535">
        <f ca="1"/>
        <v>0</v>
      </c>
      <c r="BS260" s="530">
        <v>259</v>
      </c>
      <c r="BT260" s="531">
        <f t="shared" ref="BT260:BT323" ca="1" si="227">IF(BU259&lt;BV259,,EDATE(BT259,1))</f>
        <v>54049</v>
      </c>
      <c r="BU260" s="532">
        <f ca="1">IF(BU259=0,SUMIFS('Key Life Events'!$L$3:$L$28,'Key Life Events'!$H$3:$H$28,'Loan Amortization'!$BY$3,'Key Life Events'!$N$3:$N$28,'Loan Amortization'!BT260),BU259-BX259)</f>
        <v>0</v>
      </c>
      <c r="BV260" s="532">
        <f t="shared" ca="1" si="188"/>
        <v>0</v>
      </c>
      <c r="BW260" s="532">
        <f t="shared" ref="BW260:BW323" ca="1" si="228">(BU260*BZ$1)/12</f>
        <v>0</v>
      </c>
      <c r="BX260" s="532">
        <f t="shared" ca="1" si="201"/>
        <v>0</v>
      </c>
      <c r="CC260" s="536">
        <f t="shared" ca="1" si="202"/>
        <v>2047</v>
      </c>
      <c r="CD260" s="535">
        <f ca="1"/>
        <v>0</v>
      </c>
      <c r="CF260" s="530">
        <v>259</v>
      </c>
      <c r="CG260" s="531">
        <f t="shared" ref="CG260:CG323" ca="1" si="229">IF(CH259&lt;CI259,,EDATE(CG259,1))</f>
        <v>54049</v>
      </c>
      <c r="CH260" s="532">
        <f ca="1">IF(CH259=0,SUMIFS('Key Life Events'!$L$3:$L$28,'Key Life Events'!$H$3:$H$28,'Loan Amortization'!$CL$3,'Key Life Events'!$N$3:$N$28,'Loan Amortization'!CG260),CH259-CK259)</f>
        <v>0</v>
      </c>
      <c r="CI260" s="532">
        <f t="shared" ref="CI260:CI323" ca="1" si="230">IF(AND(CH259=0,CH260&gt;0),PMT(CM$1/12,CO$1*12,-CH260,0,0),IF(CH260&lt;=CI259,CH260+CJ260,CI259))</f>
        <v>0</v>
      </c>
      <c r="CJ260" s="532">
        <f t="shared" ref="CJ260:CJ323" ca="1" si="231">(CH260*CM$1)/12</f>
        <v>0</v>
      </c>
      <c r="CK260" s="532">
        <f t="shared" ca="1" si="203"/>
        <v>0</v>
      </c>
      <c r="CP260" s="536">
        <f t="shared" ca="1" si="204"/>
        <v>2047</v>
      </c>
      <c r="CQ260" s="535">
        <f ca="1"/>
        <v>0</v>
      </c>
      <c r="CS260" s="100">
        <f t="shared" si="205"/>
        <v>259</v>
      </c>
      <c r="CT260" s="102">
        <f t="shared" ca="1" si="206"/>
        <v>0</v>
      </c>
      <c r="CU260" s="102">
        <f t="shared" ca="1" si="207"/>
        <v>0</v>
      </c>
      <c r="CV260" s="511">
        <f t="shared" ca="1" si="208"/>
        <v>2047</v>
      </c>
    </row>
    <row r="261" spans="1:100" x14ac:dyDescent="0.3">
      <c r="A261" s="100">
        <v>260</v>
      </c>
      <c r="B261" s="131">
        <f t="shared" si="209"/>
        <v>7058</v>
      </c>
      <c r="C261" s="102">
        <f t="shared" si="210"/>
        <v>0</v>
      </c>
      <c r="D261" s="102">
        <f t="shared" si="211"/>
        <v>0</v>
      </c>
      <c r="E261" s="102">
        <f t="shared" si="191"/>
        <v>0</v>
      </c>
      <c r="F261" s="102">
        <f t="shared" si="212"/>
        <v>0</v>
      </c>
      <c r="L261" s="100">
        <v>260</v>
      </c>
      <c r="M261" s="131">
        <f t="shared" ca="1" si="213"/>
        <v>54080</v>
      </c>
      <c r="N261" s="102">
        <f t="shared" si="214"/>
        <v>0</v>
      </c>
      <c r="O261" s="102">
        <f t="shared" si="215"/>
        <v>0</v>
      </c>
      <c r="P261" s="102">
        <f t="shared" si="192"/>
        <v>0</v>
      </c>
      <c r="Q261" s="102">
        <f t="shared" si="193"/>
        <v>0</v>
      </c>
      <c r="W261" s="100">
        <v>260</v>
      </c>
      <c r="X261" s="131">
        <f t="shared" ca="1" si="216"/>
        <v>54080</v>
      </c>
      <c r="Y261" s="102">
        <f t="shared" si="217"/>
        <v>0</v>
      </c>
      <c r="Z261" s="102">
        <f t="shared" si="218"/>
        <v>0</v>
      </c>
      <c r="AA261" s="102">
        <f t="shared" si="194"/>
        <v>0</v>
      </c>
      <c r="AB261" s="102">
        <f t="shared" si="195"/>
        <v>0</v>
      </c>
      <c r="AH261" s="100">
        <v>260</v>
      </c>
      <c r="AI261" s="131">
        <f t="shared" ca="1" si="219"/>
        <v>54080</v>
      </c>
      <c r="AJ261" s="102">
        <f t="shared" si="220"/>
        <v>0</v>
      </c>
      <c r="AK261" s="102">
        <f t="shared" si="221"/>
        <v>0</v>
      </c>
      <c r="AL261" s="102">
        <f t="shared" si="189"/>
        <v>0</v>
      </c>
      <c r="AM261" s="102">
        <f t="shared" si="196"/>
        <v>0</v>
      </c>
      <c r="AS261" s="530">
        <v>260</v>
      </c>
      <c r="AT261" s="531">
        <f t="shared" ca="1" si="222"/>
        <v>54080</v>
      </c>
      <c r="AU261" s="532">
        <f ca="1">IF(AU260=0,SUMIFS('Key Life Events'!$L$3:$L$28,'Key Life Events'!$H$3:$H$28,'Loan Amortization'!$AY$3,'Key Life Events'!$N$3:$N$28,'Loan Amortization'!AT261),AU260-AX260)</f>
        <v>0</v>
      </c>
      <c r="AV261" s="532">
        <f t="shared" ca="1" si="223"/>
        <v>0</v>
      </c>
      <c r="AW261" s="532">
        <f t="shared" ca="1" si="190"/>
        <v>0</v>
      </c>
      <c r="AX261" s="532">
        <f t="shared" ca="1" si="197"/>
        <v>0</v>
      </c>
      <c r="BC261" s="536">
        <f t="shared" ca="1" si="198"/>
        <v>2048</v>
      </c>
      <c r="BF261" s="530">
        <v>260</v>
      </c>
      <c r="BG261" s="531">
        <f t="shared" ca="1" si="224"/>
        <v>54080</v>
      </c>
      <c r="BH261" s="532">
        <f ca="1">IF(BH260=0,SUMIFS('Key Life Events'!$L$3:$L$28,'Key Life Events'!$H$3:$H$28,'Loan Amortization'!$BL$3,'Key Life Events'!$N$3:$N$28,'Loan Amortization'!BG261),BH260-BK260)</f>
        <v>0</v>
      </c>
      <c r="BI261" s="532">
        <f t="shared" ca="1" si="225"/>
        <v>0</v>
      </c>
      <c r="BJ261" s="532">
        <f t="shared" ca="1" si="226"/>
        <v>0</v>
      </c>
      <c r="BK261" s="532">
        <f t="shared" ca="1" si="199"/>
        <v>0</v>
      </c>
      <c r="BP261" s="536">
        <f t="shared" ca="1" si="200"/>
        <v>2048</v>
      </c>
      <c r="BQ261" s="535">
        <f ca="1"/>
        <v>0</v>
      </c>
      <c r="BS261" s="530">
        <v>260</v>
      </c>
      <c r="BT261" s="531">
        <f t="shared" ca="1" si="227"/>
        <v>54080</v>
      </c>
      <c r="BU261" s="532">
        <f ca="1">IF(BU260=0,SUMIFS('Key Life Events'!$L$3:$L$28,'Key Life Events'!$H$3:$H$28,'Loan Amortization'!$BY$3,'Key Life Events'!$N$3:$N$28,'Loan Amortization'!BT261),BU260-BX260)</f>
        <v>0</v>
      </c>
      <c r="BV261" s="532">
        <f t="shared" ca="1" si="188"/>
        <v>0</v>
      </c>
      <c r="BW261" s="532">
        <f t="shared" ca="1" si="228"/>
        <v>0</v>
      </c>
      <c r="BX261" s="532">
        <f t="shared" ca="1" si="201"/>
        <v>0</v>
      </c>
      <c r="CC261" s="536">
        <f t="shared" ca="1" si="202"/>
        <v>2048</v>
      </c>
      <c r="CD261" s="535">
        <f ca="1"/>
        <v>0</v>
      </c>
      <c r="CF261" s="530">
        <v>260</v>
      </c>
      <c r="CG261" s="531">
        <f t="shared" ca="1" si="229"/>
        <v>54080</v>
      </c>
      <c r="CH261" s="532">
        <f ca="1">IF(CH260=0,SUMIFS('Key Life Events'!$L$3:$L$28,'Key Life Events'!$H$3:$H$28,'Loan Amortization'!$CL$3,'Key Life Events'!$N$3:$N$28,'Loan Amortization'!CG261),CH260-CK260)</f>
        <v>0</v>
      </c>
      <c r="CI261" s="532">
        <f t="shared" ca="1" si="230"/>
        <v>0</v>
      </c>
      <c r="CJ261" s="532">
        <f t="shared" ca="1" si="231"/>
        <v>0</v>
      </c>
      <c r="CK261" s="532">
        <f t="shared" ca="1" si="203"/>
        <v>0</v>
      </c>
      <c r="CP261" s="536">
        <f t="shared" ca="1" si="204"/>
        <v>2048</v>
      </c>
      <c r="CQ261" s="535">
        <f ca="1"/>
        <v>0</v>
      </c>
      <c r="CS261" s="100">
        <f t="shared" si="205"/>
        <v>260</v>
      </c>
      <c r="CT261" s="102">
        <f t="shared" ca="1" si="206"/>
        <v>0</v>
      </c>
      <c r="CU261" s="102">
        <f t="shared" ca="1" si="207"/>
        <v>0</v>
      </c>
      <c r="CV261" s="511">
        <f t="shared" ca="1" si="208"/>
        <v>2048</v>
      </c>
    </row>
    <row r="262" spans="1:100" x14ac:dyDescent="0.3">
      <c r="A262" s="100">
        <v>261</v>
      </c>
      <c r="B262" s="131">
        <f t="shared" si="209"/>
        <v>7088</v>
      </c>
      <c r="C262" s="102">
        <f t="shared" si="210"/>
        <v>0</v>
      </c>
      <c r="D262" s="102">
        <f t="shared" si="211"/>
        <v>0</v>
      </c>
      <c r="E262" s="102">
        <f t="shared" si="191"/>
        <v>0</v>
      </c>
      <c r="F262" s="102">
        <f t="shared" si="212"/>
        <v>0</v>
      </c>
      <c r="L262" s="100">
        <v>261</v>
      </c>
      <c r="M262" s="131">
        <f t="shared" ca="1" si="213"/>
        <v>54111</v>
      </c>
      <c r="N262" s="102">
        <f t="shared" si="214"/>
        <v>0</v>
      </c>
      <c r="O262" s="102">
        <f t="shared" si="215"/>
        <v>0</v>
      </c>
      <c r="P262" s="102">
        <f t="shared" si="192"/>
        <v>0</v>
      </c>
      <c r="Q262" s="102">
        <f t="shared" si="193"/>
        <v>0</v>
      </c>
      <c r="W262" s="100">
        <v>261</v>
      </c>
      <c r="X262" s="131">
        <f t="shared" ca="1" si="216"/>
        <v>54111</v>
      </c>
      <c r="Y262" s="102">
        <f t="shared" si="217"/>
        <v>0</v>
      </c>
      <c r="Z262" s="102">
        <f t="shared" si="218"/>
        <v>0</v>
      </c>
      <c r="AA262" s="102">
        <f t="shared" si="194"/>
        <v>0</v>
      </c>
      <c r="AB262" s="102">
        <f t="shared" si="195"/>
        <v>0</v>
      </c>
      <c r="AH262" s="100">
        <v>261</v>
      </c>
      <c r="AI262" s="131">
        <f t="shared" ca="1" si="219"/>
        <v>54111</v>
      </c>
      <c r="AJ262" s="102">
        <f t="shared" si="220"/>
        <v>0</v>
      </c>
      <c r="AK262" s="102">
        <f t="shared" si="221"/>
        <v>0</v>
      </c>
      <c r="AL262" s="102">
        <f t="shared" si="189"/>
        <v>0</v>
      </c>
      <c r="AM262" s="102">
        <f t="shared" si="196"/>
        <v>0</v>
      </c>
      <c r="AS262" s="530">
        <v>261</v>
      </c>
      <c r="AT262" s="531">
        <f t="shared" ca="1" si="222"/>
        <v>54111</v>
      </c>
      <c r="AU262" s="532">
        <f ca="1">IF(AU261=0,SUMIFS('Key Life Events'!$L$3:$L$28,'Key Life Events'!$H$3:$H$28,'Loan Amortization'!$AY$3,'Key Life Events'!$N$3:$N$28,'Loan Amortization'!AT262),AU261-AX261)</f>
        <v>0</v>
      </c>
      <c r="AV262" s="532">
        <f t="shared" ca="1" si="223"/>
        <v>0</v>
      </c>
      <c r="AW262" s="532">
        <f t="shared" ca="1" si="190"/>
        <v>0</v>
      </c>
      <c r="AX262" s="532">
        <f t="shared" ca="1" si="197"/>
        <v>0</v>
      </c>
      <c r="BC262" s="536">
        <f t="shared" ca="1" si="198"/>
        <v>2048</v>
      </c>
      <c r="BF262" s="530">
        <v>261</v>
      </c>
      <c r="BG262" s="531">
        <f t="shared" ca="1" si="224"/>
        <v>54111</v>
      </c>
      <c r="BH262" s="532">
        <f ca="1">IF(BH261=0,SUMIFS('Key Life Events'!$L$3:$L$28,'Key Life Events'!$H$3:$H$28,'Loan Amortization'!$BL$3,'Key Life Events'!$N$3:$N$28,'Loan Amortization'!BG262),BH261-BK261)</f>
        <v>0</v>
      </c>
      <c r="BI262" s="532">
        <f t="shared" ca="1" si="225"/>
        <v>0</v>
      </c>
      <c r="BJ262" s="532">
        <f t="shared" ca="1" si="226"/>
        <v>0</v>
      </c>
      <c r="BK262" s="532">
        <f t="shared" ca="1" si="199"/>
        <v>0</v>
      </c>
      <c r="BP262" s="536">
        <f t="shared" ca="1" si="200"/>
        <v>2048</v>
      </c>
      <c r="BQ262" s="535">
        <f ca="1"/>
        <v>0</v>
      </c>
      <c r="BS262" s="530">
        <v>261</v>
      </c>
      <c r="BT262" s="531">
        <f t="shared" ca="1" si="227"/>
        <v>54111</v>
      </c>
      <c r="BU262" s="532">
        <f ca="1">IF(BU261=0,SUMIFS('Key Life Events'!$L$3:$L$28,'Key Life Events'!$H$3:$H$28,'Loan Amortization'!$BY$3,'Key Life Events'!$N$3:$N$28,'Loan Amortization'!BT262),BU261-BX261)</f>
        <v>0</v>
      </c>
      <c r="BV262" s="532">
        <f t="shared" ref="BV262:BV325" ca="1" si="232">IF(AND(BU261=0,BU262&gt;0),PMT(BZ$1/12,CB$1*12,-BU262,0,0),IF(BU262&lt;=BV261,BU262+BW262,BV261))</f>
        <v>0</v>
      </c>
      <c r="BW262" s="532">
        <f t="shared" ca="1" si="228"/>
        <v>0</v>
      </c>
      <c r="BX262" s="532">
        <f t="shared" ca="1" si="201"/>
        <v>0</v>
      </c>
      <c r="CC262" s="536">
        <f t="shared" ca="1" si="202"/>
        <v>2048</v>
      </c>
      <c r="CD262" s="535">
        <f ca="1"/>
        <v>0</v>
      </c>
      <c r="CF262" s="530">
        <v>261</v>
      </c>
      <c r="CG262" s="531">
        <f t="shared" ca="1" si="229"/>
        <v>54111</v>
      </c>
      <c r="CH262" s="532">
        <f ca="1">IF(CH261=0,SUMIFS('Key Life Events'!$L$3:$L$28,'Key Life Events'!$H$3:$H$28,'Loan Amortization'!$CL$3,'Key Life Events'!$N$3:$N$28,'Loan Amortization'!CG262),CH261-CK261)</f>
        <v>0</v>
      </c>
      <c r="CI262" s="532">
        <f t="shared" ca="1" si="230"/>
        <v>0</v>
      </c>
      <c r="CJ262" s="532">
        <f t="shared" ca="1" si="231"/>
        <v>0</v>
      </c>
      <c r="CK262" s="532">
        <f t="shared" ca="1" si="203"/>
        <v>0</v>
      </c>
      <c r="CP262" s="536">
        <f t="shared" ca="1" si="204"/>
        <v>2048</v>
      </c>
      <c r="CQ262" s="535">
        <f ca="1"/>
        <v>0</v>
      </c>
      <c r="CS262" s="100">
        <f t="shared" si="205"/>
        <v>261</v>
      </c>
      <c r="CT262" s="102">
        <f t="shared" ca="1" si="206"/>
        <v>0</v>
      </c>
      <c r="CU262" s="102">
        <f t="shared" ca="1" si="207"/>
        <v>0</v>
      </c>
      <c r="CV262" s="511">
        <f t="shared" ca="1" si="208"/>
        <v>2048</v>
      </c>
    </row>
    <row r="263" spans="1:100" x14ac:dyDescent="0.3">
      <c r="A263" s="100">
        <v>262</v>
      </c>
      <c r="B263" s="131">
        <f t="shared" si="209"/>
        <v>7119</v>
      </c>
      <c r="C263" s="102">
        <f t="shared" si="210"/>
        <v>0</v>
      </c>
      <c r="D263" s="102">
        <f t="shared" si="211"/>
        <v>0</v>
      </c>
      <c r="E263" s="102">
        <f t="shared" si="191"/>
        <v>0</v>
      </c>
      <c r="F263" s="102">
        <f t="shared" si="212"/>
        <v>0</v>
      </c>
      <c r="L263" s="100">
        <v>262</v>
      </c>
      <c r="M263" s="131">
        <f t="shared" ca="1" si="213"/>
        <v>54140</v>
      </c>
      <c r="N263" s="102">
        <f t="shared" si="214"/>
        <v>0</v>
      </c>
      <c r="O263" s="102">
        <f t="shared" si="215"/>
        <v>0</v>
      </c>
      <c r="P263" s="102">
        <f t="shared" si="192"/>
        <v>0</v>
      </c>
      <c r="Q263" s="102">
        <f t="shared" si="193"/>
        <v>0</v>
      </c>
      <c r="W263" s="100">
        <v>262</v>
      </c>
      <c r="X263" s="131">
        <f t="shared" ca="1" si="216"/>
        <v>54140</v>
      </c>
      <c r="Y263" s="102">
        <f t="shared" si="217"/>
        <v>0</v>
      </c>
      <c r="Z263" s="102">
        <f t="shared" si="218"/>
        <v>0</v>
      </c>
      <c r="AA263" s="102">
        <f t="shared" si="194"/>
        <v>0</v>
      </c>
      <c r="AB263" s="102">
        <f t="shared" si="195"/>
        <v>0</v>
      </c>
      <c r="AH263" s="100">
        <v>262</v>
      </c>
      <c r="AI263" s="131">
        <f t="shared" ca="1" si="219"/>
        <v>54140</v>
      </c>
      <c r="AJ263" s="102">
        <f t="shared" si="220"/>
        <v>0</v>
      </c>
      <c r="AK263" s="102">
        <f t="shared" si="221"/>
        <v>0</v>
      </c>
      <c r="AL263" s="102">
        <f t="shared" si="189"/>
        <v>0</v>
      </c>
      <c r="AM263" s="102">
        <f t="shared" si="196"/>
        <v>0</v>
      </c>
      <c r="AS263" s="530">
        <v>262</v>
      </c>
      <c r="AT263" s="531">
        <f t="shared" ca="1" si="222"/>
        <v>54140</v>
      </c>
      <c r="AU263" s="532">
        <f ca="1">IF(AU262=0,SUMIFS('Key Life Events'!$L$3:$L$28,'Key Life Events'!$H$3:$H$28,'Loan Amortization'!$AY$3,'Key Life Events'!$N$3:$N$28,'Loan Amortization'!AT263),AU262-AX262)</f>
        <v>0</v>
      </c>
      <c r="AV263" s="532">
        <f t="shared" ca="1" si="223"/>
        <v>0</v>
      </c>
      <c r="AW263" s="532">
        <f t="shared" ca="1" si="190"/>
        <v>0</v>
      </c>
      <c r="AX263" s="532">
        <f t="shared" ca="1" si="197"/>
        <v>0</v>
      </c>
      <c r="BC263" s="536">
        <f t="shared" ca="1" si="198"/>
        <v>2048</v>
      </c>
      <c r="BF263" s="530">
        <v>262</v>
      </c>
      <c r="BG263" s="531">
        <f t="shared" ca="1" si="224"/>
        <v>54140</v>
      </c>
      <c r="BH263" s="532">
        <f ca="1">IF(BH262=0,SUMIFS('Key Life Events'!$L$3:$L$28,'Key Life Events'!$H$3:$H$28,'Loan Amortization'!$BL$3,'Key Life Events'!$N$3:$N$28,'Loan Amortization'!BG263),BH262-BK262)</f>
        <v>0</v>
      </c>
      <c r="BI263" s="532">
        <f t="shared" ca="1" si="225"/>
        <v>0</v>
      </c>
      <c r="BJ263" s="532">
        <f t="shared" ca="1" si="226"/>
        <v>0</v>
      </c>
      <c r="BK263" s="532">
        <f t="shared" ca="1" si="199"/>
        <v>0</v>
      </c>
      <c r="BP263" s="536">
        <f t="shared" ca="1" si="200"/>
        <v>2048</v>
      </c>
      <c r="BQ263" s="535">
        <f ca="1"/>
        <v>0</v>
      </c>
      <c r="BS263" s="530">
        <v>262</v>
      </c>
      <c r="BT263" s="531">
        <f t="shared" ca="1" si="227"/>
        <v>54140</v>
      </c>
      <c r="BU263" s="532">
        <f ca="1">IF(BU262=0,SUMIFS('Key Life Events'!$L$3:$L$28,'Key Life Events'!$H$3:$H$28,'Loan Amortization'!$BY$3,'Key Life Events'!$N$3:$N$28,'Loan Amortization'!BT263),BU262-BX262)</f>
        <v>0</v>
      </c>
      <c r="BV263" s="532">
        <f t="shared" ca="1" si="232"/>
        <v>0</v>
      </c>
      <c r="BW263" s="532">
        <f t="shared" ca="1" si="228"/>
        <v>0</v>
      </c>
      <c r="BX263" s="532">
        <f t="shared" ca="1" si="201"/>
        <v>0</v>
      </c>
      <c r="CC263" s="536">
        <f t="shared" ca="1" si="202"/>
        <v>2048</v>
      </c>
      <c r="CD263" s="535">
        <f ca="1"/>
        <v>0</v>
      </c>
      <c r="CF263" s="530">
        <v>262</v>
      </c>
      <c r="CG263" s="531">
        <f t="shared" ca="1" si="229"/>
        <v>54140</v>
      </c>
      <c r="CH263" s="532">
        <f ca="1">IF(CH262=0,SUMIFS('Key Life Events'!$L$3:$L$28,'Key Life Events'!$H$3:$H$28,'Loan Amortization'!$CL$3,'Key Life Events'!$N$3:$N$28,'Loan Amortization'!CG263),CH262-CK262)</f>
        <v>0</v>
      </c>
      <c r="CI263" s="532">
        <f t="shared" ca="1" si="230"/>
        <v>0</v>
      </c>
      <c r="CJ263" s="532">
        <f t="shared" ca="1" si="231"/>
        <v>0</v>
      </c>
      <c r="CK263" s="532">
        <f t="shared" ca="1" si="203"/>
        <v>0</v>
      </c>
      <c r="CP263" s="536">
        <f t="shared" ca="1" si="204"/>
        <v>2048</v>
      </c>
      <c r="CQ263" s="535">
        <f ca="1"/>
        <v>0</v>
      </c>
      <c r="CS263" s="100">
        <f t="shared" si="205"/>
        <v>262</v>
      </c>
      <c r="CT263" s="102">
        <f t="shared" ca="1" si="206"/>
        <v>0</v>
      </c>
      <c r="CU263" s="102">
        <f t="shared" ca="1" si="207"/>
        <v>0</v>
      </c>
      <c r="CV263" s="511">
        <f t="shared" ca="1" si="208"/>
        <v>2048</v>
      </c>
    </row>
    <row r="264" spans="1:100" x14ac:dyDescent="0.3">
      <c r="A264" s="100">
        <v>263</v>
      </c>
      <c r="B264" s="131">
        <f t="shared" si="209"/>
        <v>7149</v>
      </c>
      <c r="C264" s="102">
        <f t="shared" si="210"/>
        <v>0</v>
      </c>
      <c r="D264" s="102">
        <f t="shared" si="211"/>
        <v>0</v>
      </c>
      <c r="E264" s="102">
        <f t="shared" si="191"/>
        <v>0</v>
      </c>
      <c r="F264" s="102">
        <f t="shared" si="212"/>
        <v>0</v>
      </c>
      <c r="L264" s="100">
        <v>263</v>
      </c>
      <c r="M264" s="131">
        <f t="shared" ca="1" si="213"/>
        <v>54171</v>
      </c>
      <c r="N264" s="102">
        <f t="shared" si="214"/>
        <v>0</v>
      </c>
      <c r="O264" s="102">
        <f t="shared" si="215"/>
        <v>0</v>
      </c>
      <c r="P264" s="102">
        <f t="shared" si="192"/>
        <v>0</v>
      </c>
      <c r="Q264" s="102">
        <f t="shared" si="193"/>
        <v>0</v>
      </c>
      <c r="W264" s="100">
        <v>263</v>
      </c>
      <c r="X264" s="131">
        <f t="shared" ca="1" si="216"/>
        <v>54171</v>
      </c>
      <c r="Y264" s="102">
        <f t="shared" si="217"/>
        <v>0</v>
      </c>
      <c r="Z264" s="102">
        <f t="shared" si="218"/>
        <v>0</v>
      </c>
      <c r="AA264" s="102">
        <f t="shared" si="194"/>
        <v>0</v>
      </c>
      <c r="AB264" s="102">
        <f t="shared" si="195"/>
        <v>0</v>
      </c>
      <c r="AH264" s="100">
        <v>263</v>
      </c>
      <c r="AI264" s="131">
        <f t="shared" ca="1" si="219"/>
        <v>54171</v>
      </c>
      <c r="AJ264" s="102">
        <f t="shared" si="220"/>
        <v>0</v>
      </c>
      <c r="AK264" s="102">
        <f t="shared" si="221"/>
        <v>0</v>
      </c>
      <c r="AL264" s="102">
        <f t="shared" ref="AL264:AL288" si="233">(AJ264*AO$1)/12</f>
        <v>0</v>
      </c>
      <c r="AM264" s="102">
        <f t="shared" si="196"/>
        <v>0</v>
      </c>
      <c r="AS264" s="530">
        <v>263</v>
      </c>
      <c r="AT264" s="531">
        <f t="shared" ca="1" si="222"/>
        <v>54171</v>
      </c>
      <c r="AU264" s="532">
        <f ca="1">IF(AU263=0,SUMIFS('Key Life Events'!$L$3:$L$28,'Key Life Events'!$H$3:$H$28,'Loan Amortization'!$AY$3,'Key Life Events'!$N$3:$N$28,'Loan Amortization'!AT264),AU263-AX263)</f>
        <v>0</v>
      </c>
      <c r="AV264" s="532">
        <f t="shared" ca="1" si="223"/>
        <v>0</v>
      </c>
      <c r="AW264" s="532">
        <f t="shared" ca="1" si="190"/>
        <v>0</v>
      </c>
      <c r="AX264" s="532">
        <f t="shared" ca="1" si="197"/>
        <v>0</v>
      </c>
      <c r="BC264" s="536">
        <f t="shared" ca="1" si="198"/>
        <v>2048</v>
      </c>
      <c r="BF264" s="530">
        <v>263</v>
      </c>
      <c r="BG264" s="531">
        <f t="shared" ca="1" si="224"/>
        <v>54171</v>
      </c>
      <c r="BH264" s="532">
        <f ca="1">IF(BH263=0,SUMIFS('Key Life Events'!$L$3:$L$28,'Key Life Events'!$H$3:$H$28,'Loan Amortization'!$BL$3,'Key Life Events'!$N$3:$N$28,'Loan Amortization'!BG264),BH263-BK263)</f>
        <v>0</v>
      </c>
      <c r="BI264" s="532">
        <f t="shared" ca="1" si="225"/>
        <v>0</v>
      </c>
      <c r="BJ264" s="532">
        <f t="shared" ca="1" si="226"/>
        <v>0</v>
      </c>
      <c r="BK264" s="532">
        <f t="shared" ca="1" si="199"/>
        <v>0</v>
      </c>
      <c r="BP264" s="536">
        <f t="shared" ca="1" si="200"/>
        <v>2048</v>
      </c>
      <c r="BQ264" s="535">
        <f ca="1"/>
        <v>0</v>
      </c>
      <c r="BS264" s="530">
        <v>263</v>
      </c>
      <c r="BT264" s="531">
        <f t="shared" ca="1" si="227"/>
        <v>54171</v>
      </c>
      <c r="BU264" s="532">
        <f ca="1">IF(BU263=0,SUMIFS('Key Life Events'!$L$3:$L$28,'Key Life Events'!$H$3:$H$28,'Loan Amortization'!$BY$3,'Key Life Events'!$N$3:$N$28,'Loan Amortization'!BT264),BU263-BX263)</f>
        <v>0</v>
      </c>
      <c r="BV264" s="532">
        <f t="shared" ca="1" si="232"/>
        <v>0</v>
      </c>
      <c r="BW264" s="532">
        <f t="shared" ca="1" si="228"/>
        <v>0</v>
      </c>
      <c r="BX264" s="532">
        <f t="shared" ca="1" si="201"/>
        <v>0</v>
      </c>
      <c r="CC264" s="536">
        <f t="shared" ca="1" si="202"/>
        <v>2048</v>
      </c>
      <c r="CD264" s="535">
        <f ca="1"/>
        <v>0</v>
      </c>
      <c r="CF264" s="530">
        <v>263</v>
      </c>
      <c r="CG264" s="531">
        <f t="shared" ca="1" si="229"/>
        <v>54171</v>
      </c>
      <c r="CH264" s="532">
        <f ca="1">IF(CH263=0,SUMIFS('Key Life Events'!$L$3:$L$28,'Key Life Events'!$H$3:$H$28,'Loan Amortization'!$CL$3,'Key Life Events'!$N$3:$N$28,'Loan Amortization'!CG264),CH263-CK263)</f>
        <v>0</v>
      </c>
      <c r="CI264" s="532">
        <f t="shared" ca="1" si="230"/>
        <v>0</v>
      </c>
      <c r="CJ264" s="532">
        <f t="shared" ca="1" si="231"/>
        <v>0</v>
      </c>
      <c r="CK264" s="532">
        <f t="shared" ca="1" si="203"/>
        <v>0</v>
      </c>
      <c r="CP264" s="536">
        <f t="shared" ca="1" si="204"/>
        <v>2048</v>
      </c>
      <c r="CQ264" s="535">
        <f ca="1"/>
        <v>0</v>
      </c>
      <c r="CS264" s="100">
        <f t="shared" si="205"/>
        <v>263</v>
      </c>
      <c r="CT264" s="102">
        <f t="shared" ca="1" si="206"/>
        <v>0</v>
      </c>
      <c r="CU264" s="102">
        <f t="shared" ca="1" si="207"/>
        <v>0</v>
      </c>
      <c r="CV264" s="511">
        <f t="shared" ca="1" si="208"/>
        <v>2048</v>
      </c>
    </row>
    <row r="265" spans="1:100" x14ac:dyDescent="0.3">
      <c r="A265" s="100">
        <v>264</v>
      </c>
      <c r="B265" s="131">
        <f t="shared" si="209"/>
        <v>7180</v>
      </c>
      <c r="C265" s="102">
        <f t="shared" si="210"/>
        <v>0</v>
      </c>
      <c r="D265" s="102">
        <f t="shared" si="211"/>
        <v>0</v>
      </c>
      <c r="E265" s="102">
        <f t="shared" si="191"/>
        <v>0</v>
      </c>
      <c r="F265" s="102">
        <f t="shared" si="212"/>
        <v>0</v>
      </c>
      <c r="L265" s="100">
        <v>264</v>
      </c>
      <c r="M265" s="131">
        <f t="shared" ca="1" si="213"/>
        <v>54201</v>
      </c>
      <c r="N265" s="102">
        <f t="shared" si="214"/>
        <v>0</v>
      </c>
      <c r="O265" s="102">
        <f t="shared" si="215"/>
        <v>0</v>
      </c>
      <c r="P265" s="102">
        <f t="shared" si="192"/>
        <v>0</v>
      </c>
      <c r="Q265" s="102">
        <f t="shared" si="193"/>
        <v>0</v>
      </c>
      <c r="W265" s="100">
        <v>264</v>
      </c>
      <c r="X265" s="131">
        <f t="shared" ca="1" si="216"/>
        <v>54201</v>
      </c>
      <c r="Y265" s="102">
        <f t="shared" si="217"/>
        <v>0</v>
      </c>
      <c r="Z265" s="102">
        <f t="shared" si="218"/>
        <v>0</v>
      </c>
      <c r="AA265" s="102">
        <f t="shared" si="194"/>
        <v>0</v>
      </c>
      <c r="AB265" s="102">
        <f t="shared" si="195"/>
        <v>0</v>
      </c>
      <c r="AH265" s="100">
        <v>264</v>
      </c>
      <c r="AI265" s="131">
        <f t="shared" ca="1" si="219"/>
        <v>54201</v>
      </c>
      <c r="AJ265" s="102">
        <f t="shared" si="220"/>
        <v>0</v>
      </c>
      <c r="AK265" s="102">
        <f t="shared" si="221"/>
        <v>0</v>
      </c>
      <c r="AL265" s="102">
        <f t="shared" si="233"/>
        <v>0</v>
      </c>
      <c r="AM265" s="102">
        <f t="shared" si="196"/>
        <v>0</v>
      </c>
      <c r="AS265" s="530">
        <v>264</v>
      </c>
      <c r="AT265" s="531">
        <f t="shared" ca="1" si="222"/>
        <v>54201</v>
      </c>
      <c r="AU265" s="532">
        <f ca="1">IF(AU264=0,SUMIFS('Key Life Events'!$L$3:$L$28,'Key Life Events'!$H$3:$H$28,'Loan Amortization'!$AY$3,'Key Life Events'!$N$3:$N$28,'Loan Amortization'!AT265),AU264-AX264)</f>
        <v>0</v>
      </c>
      <c r="AV265" s="532">
        <f t="shared" ca="1" si="223"/>
        <v>0</v>
      </c>
      <c r="AW265" s="532">
        <f t="shared" ca="1" si="190"/>
        <v>0</v>
      </c>
      <c r="AX265" s="532">
        <f t="shared" ca="1" si="197"/>
        <v>0</v>
      </c>
      <c r="BC265" s="536">
        <f t="shared" ca="1" si="198"/>
        <v>2048</v>
      </c>
      <c r="BF265" s="530">
        <v>264</v>
      </c>
      <c r="BG265" s="531">
        <f t="shared" ca="1" si="224"/>
        <v>54201</v>
      </c>
      <c r="BH265" s="532">
        <f ca="1">IF(BH264=0,SUMIFS('Key Life Events'!$L$3:$L$28,'Key Life Events'!$H$3:$H$28,'Loan Amortization'!$BL$3,'Key Life Events'!$N$3:$N$28,'Loan Amortization'!BG265),BH264-BK264)</f>
        <v>0</v>
      </c>
      <c r="BI265" s="532">
        <f t="shared" ca="1" si="225"/>
        <v>0</v>
      </c>
      <c r="BJ265" s="532">
        <f t="shared" ca="1" si="226"/>
        <v>0</v>
      </c>
      <c r="BK265" s="532">
        <f t="shared" ca="1" si="199"/>
        <v>0</v>
      </c>
      <c r="BP265" s="536">
        <f t="shared" ca="1" si="200"/>
        <v>2048</v>
      </c>
      <c r="BQ265" s="535">
        <f ca="1"/>
        <v>0</v>
      </c>
      <c r="BS265" s="530">
        <v>264</v>
      </c>
      <c r="BT265" s="531">
        <f t="shared" ca="1" si="227"/>
        <v>54201</v>
      </c>
      <c r="BU265" s="532">
        <f ca="1">IF(BU264=0,SUMIFS('Key Life Events'!$L$3:$L$28,'Key Life Events'!$H$3:$H$28,'Loan Amortization'!$BY$3,'Key Life Events'!$N$3:$N$28,'Loan Amortization'!BT265),BU264-BX264)</f>
        <v>0</v>
      </c>
      <c r="BV265" s="532">
        <f t="shared" ca="1" si="232"/>
        <v>0</v>
      </c>
      <c r="BW265" s="532">
        <f t="shared" ca="1" si="228"/>
        <v>0</v>
      </c>
      <c r="BX265" s="532">
        <f t="shared" ca="1" si="201"/>
        <v>0</v>
      </c>
      <c r="CC265" s="536">
        <f t="shared" ca="1" si="202"/>
        <v>2048</v>
      </c>
      <c r="CD265" s="535">
        <f ca="1"/>
        <v>0</v>
      </c>
      <c r="CF265" s="530">
        <v>264</v>
      </c>
      <c r="CG265" s="531">
        <f t="shared" ca="1" si="229"/>
        <v>54201</v>
      </c>
      <c r="CH265" s="532">
        <f ca="1">IF(CH264=0,SUMIFS('Key Life Events'!$L$3:$L$28,'Key Life Events'!$H$3:$H$28,'Loan Amortization'!$CL$3,'Key Life Events'!$N$3:$N$28,'Loan Amortization'!CG265),CH264-CK264)</f>
        <v>0</v>
      </c>
      <c r="CI265" s="532">
        <f t="shared" ca="1" si="230"/>
        <v>0</v>
      </c>
      <c r="CJ265" s="532">
        <f t="shared" ca="1" si="231"/>
        <v>0</v>
      </c>
      <c r="CK265" s="532">
        <f t="shared" ca="1" si="203"/>
        <v>0</v>
      </c>
      <c r="CP265" s="536">
        <f t="shared" ca="1" si="204"/>
        <v>2048</v>
      </c>
      <c r="CQ265" s="535">
        <f ca="1"/>
        <v>0</v>
      </c>
      <c r="CS265" s="100">
        <f t="shared" si="205"/>
        <v>264</v>
      </c>
      <c r="CT265" s="102">
        <f t="shared" ca="1" si="206"/>
        <v>0</v>
      </c>
      <c r="CU265" s="102">
        <f t="shared" ca="1" si="207"/>
        <v>0</v>
      </c>
      <c r="CV265" s="511">
        <f t="shared" ca="1" si="208"/>
        <v>2048</v>
      </c>
    </row>
    <row r="266" spans="1:100" x14ac:dyDescent="0.3">
      <c r="A266" s="100">
        <v>265</v>
      </c>
      <c r="B266" s="131">
        <f t="shared" si="209"/>
        <v>7211</v>
      </c>
      <c r="C266" s="102">
        <f t="shared" si="210"/>
        <v>0</v>
      </c>
      <c r="D266" s="102">
        <f t="shared" si="211"/>
        <v>0</v>
      </c>
      <c r="E266" s="102">
        <f t="shared" si="191"/>
        <v>0</v>
      </c>
      <c r="F266" s="102">
        <f t="shared" si="212"/>
        <v>0</v>
      </c>
      <c r="L266" s="100">
        <v>265</v>
      </c>
      <c r="M266" s="131">
        <f t="shared" ca="1" si="213"/>
        <v>54232</v>
      </c>
      <c r="N266" s="102">
        <f t="shared" si="214"/>
        <v>0</v>
      </c>
      <c r="O266" s="102">
        <f t="shared" si="215"/>
        <v>0</v>
      </c>
      <c r="P266" s="102">
        <f t="shared" si="192"/>
        <v>0</v>
      </c>
      <c r="Q266" s="102">
        <f t="shared" si="193"/>
        <v>0</v>
      </c>
      <c r="W266" s="100">
        <v>265</v>
      </c>
      <c r="X266" s="131">
        <f t="shared" ca="1" si="216"/>
        <v>54232</v>
      </c>
      <c r="Y266" s="102">
        <f t="shared" si="217"/>
        <v>0</v>
      </c>
      <c r="Z266" s="102">
        <f t="shared" si="218"/>
        <v>0</v>
      </c>
      <c r="AA266" s="102">
        <f t="shared" si="194"/>
        <v>0</v>
      </c>
      <c r="AB266" s="102">
        <f t="shared" si="195"/>
        <v>0</v>
      </c>
      <c r="AH266" s="100">
        <v>265</v>
      </c>
      <c r="AI266" s="131">
        <f t="shared" ca="1" si="219"/>
        <v>54232</v>
      </c>
      <c r="AJ266" s="102">
        <f t="shared" si="220"/>
        <v>0</v>
      </c>
      <c r="AK266" s="102">
        <f t="shared" si="221"/>
        <v>0</v>
      </c>
      <c r="AL266" s="102">
        <f t="shared" si="233"/>
        <v>0</v>
      </c>
      <c r="AM266" s="102">
        <f t="shared" si="196"/>
        <v>0</v>
      </c>
      <c r="AS266" s="530">
        <v>265</v>
      </c>
      <c r="AT266" s="531">
        <f t="shared" ca="1" si="222"/>
        <v>54232</v>
      </c>
      <c r="AU266" s="532">
        <f ca="1">IF(AU265=0,SUMIFS('Key Life Events'!$L$3:$L$28,'Key Life Events'!$H$3:$H$28,'Loan Amortization'!$AY$3,'Key Life Events'!$N$3:$N$28,'Loan Amortization'!AT266),AU265-AX265)</f>
        <v>0</v>
      </c>
      <c r="AV266" s="532">
        <f t="shared" ca="1" si="223"/>
        <v>0</v>
      </c>
      <c r="AW266" s="532">
        <f t="shared" ca="1" si="190"/>
        <v>0</v>
      </c>
      <c r="AX266" s="532">
        <f t="shared" ca="1" si="197"/>
        <v>0</v>
      </c>
      <c r="BC266" s="536">
        <f t="shared" ca="1" si="198"/>
        <v>2048</v>
      </c>
      <c r="BF266" s="530">
        <v>265</v>
      </c>
      <c r="BG266" s="531">
        <f t="shared" ca="1" si="224"/>
        <v>54232</v>
      </c>
      <c r="BH266" s="532">
        <f ca="1">IF(BH265=0,SUMIFS('Key Life Events'!$L$3:$L$28,'Key Life Events'!$H$3:$H$28,'Loan Amortization'!$BL$3,'Key Life Events'!$N$3:$N$28,'Loan Amortization'!BG266),BH265-BK265)</f>
        <v>0</v>
      </c>
      <c r="BI266" s="532">
        <f t="shared" ca="1" si="225"/>
        <v>0</v>
      </c>
      <c r="BJ266" s="532">
        <f t="shared" ca="1" si="226"/>
        <v>0</v>
      </c>
      <c r="BK266" s="532">
        <f t="shared" ca="1" si="199"/>
        <v>0</v>
      </c>
      <c r="BP266" s="536">
        <f t="shared" ca="1" si="200"/>
        <v>2048</v>
      </c>
      <c r="BQ266" s="535">
        <f ca="1"/>
        <v>0</v>
      </c>
      <c r="BS266" s="530">
        <v>265</v>
      </c>
      <c r="BT266" s="531">
        <f t="shared" ca="1" si="227"/>
        <v>54232</v>
      </c>
      <c r="BU266" s="532">
        <f ca="1">IF(BU265=0,SUMIFS('Key Life Events'!$L$3:$L$28,'Key Life Events'!$H$3:$H$28,'Loan Amortization'!$BY$3,'Key Life Events'!$N$3:$N$28,'Loan Amortization'!BT266),BU265-BX265)</f>
        <v>0</v>
      </c>
      <c r="BV266" s="532">
        <f t="shared" ca="1" si="232"/>
        <v>0</v>
      </c>
      <c r="BW266" s="532">
        <f t="shared" ca="1" si="228"/>
        <v>0</v>
      </c>
      <c r="BX266" s="532">
        <f t="shared" ca="1" si="201"/>
        <v>0</v>
      </c>
      <c r="CC266" s="536">
        <f t="shared" ca="1" si="202"/>
        <v>2048</v>
      </c>
      <c r="CD266" s="535">
        <f ca="1"/>
        <v>0</v>
      </c>
      <c r="CF266" s="530">
        <v>265</v>
      </c>
      <c r="CG266" s="531">
        <f t="shared" ca="1" si="229"/>
        <v>54232</v>
      </c>
      <c r="CH266" s="532">
        <f ca="1">IF(CH265=0,SUMIFS('Key Life Events'!$L$3:$L$28,'Key Life Events'!$H$3:$H$28,'Loan Amortization'!$CL$3,'Key Life Events'!$N$3:$N$28,'Loan Amortization'!CG266),CH265-CK265)</f>
        <v>0</v>
      </c>
      <c r="CI266" s="532">
        <f t="shared" ca="1" si="230"/>
        <v>0</v>
      </c>
      <c r="CJ266" s="532">
        <f t="shared" ca="1" si="231"/>
        <v>0</v>
      </c>
      <c r="CK266" s="532">
        <f t="shared" ca="1" si="203"/>
        <v>0</v>
      </c>
      <c r="CP266" s="536">
        <f t="shared" ca="1" si="204"/>
        <v>2048</v>
      </c>
      <c r="CQ266" s="535">
        <f ca="1"/>
        <v>0</v>
      </c>
      <c r="CS266" s="100">
        <f t="shared" si="205"/>
        <v>265</v>
      </c>
      <c r="CT266" s="102">
        <f t="shared" ca="1" si="206"/>
        <v>0</v>
      </c>
      <c r="CU266" s="102">
        <f t="shared" ca="1" si="207"/>
        <v>0</v>
      </c>
      <c r="CV266" s="511">
        <f t="shared" ca="1" si="208"/>
        <v>2048</v>
      </c>
    </row>
    <row r="267" spans="1:100" x14ac:dyDescent="0.3">
      <c r="A267" s="100">
        <v>266</v>
      </c>
      <c r="B267" s="131">
        <f t="shared" si="209"/>
        <v>7241</v>
      </c>
      <c r="C267" s="102">
        <f t="shared" si="210"/>
        <v>0</v>
      </c>
      <c r="D267" s="102">
        <f t="shared" si="211"/>
        <v>0</v>
      </c>
      <c r="E267" s="102">
        <f t="shared" si="191"/>
        <v>0</v>
      </c>
      <c r="F267" s="102">
        <f t="shared" si="212"/>
        <v>0</v>
      </c>
      <c r="L267" s="100">
        <v>266</v>
      </c>
      <c r="M267" s="131">
        <f t="shared" ca="1" si="213"/>
        <v>54262</v>
      </c>
      <c r="N267" s="102">
        <f t="shared" si="214"/>
        <v>0</v>
      </c>
      <c r="O267" s="102">
        <f t="shared" si="215"/>
        <v>0</v>
      </c>
      <c r="P267" s="102">
        <f t="shared" si="192"/>
        <v>0</v>
      </c>
      <c r="Q267" s="102">
        <f t="shared" si="193"/>
        <v>0</v>
      </c>
      <c r="W267" s="100">
        <v>266</v>
      </c>
      <c r="X267" s="131">
        <f t="shared" ca="1" si="216"/>
        <v>54262</v>
      </c>
      <c r="Y267" s="102">
        <f t="shared" si="217"/>
        <v>0</v>
      </c>
      <c r="Z267" s="102">
        <f t="shared" si="218"/>
        <v>0</v>
      </c>
      <c r="AA267" s="102">
        <f t="shared" si="194"/>
        <v>0</v>
      </c>
      <c r="AB267" s="102">
        <f t="shared" si="195"/>
        <v>0</v>
      </c>
      <c r="AH267" s="100">
        <v>266</v>
      </c>
      <c r="AI267" s="131">
        <f t="shared" ca="1" si="219"/>
        <v>54262</v>
      </c>
      <c r="AJ267" s="102">
        <f t="shared" si="220"/>
        <v>0</v>
      </c>
      <c r="AK267" s="102">
        <f t="shared" si="221"/>
        <v>0</v>
      </c>
      <c r="AL267" s="102">
        <f t="shared" si="233"/>
        <v>0</v>
      </c>
      <c r="AM267" s="102">
        <f t="shared" si="196"/>
        <v>0</v>
      </c>
      <c r="AS267" s="530">
        <v>266</v>
      </c>
      <c r="AT267" s="531">
        <f t="shared" ca="1" si="222"/>
        <v>54262</v>
      </c>
      <c r="AU267" s="532">
        <f ca="1">IF(AU266=0,SUMIFS('Key Life Events'!$L$3:$L$28,'Key Life Events'!$H$3:$H$28,'Loan Amortization'!$AY$3,'Key Life Events'!$N$3:$N$28,'Loan Amortization'!AT267),AU266-AX266)</f>
        <v>0</v>
      </c>
      <c r="AV267" s="532">
        <f t="shared" ca="1" si="223"/>
        <v>0</v>
      </c>
      <c r="AW267" s="532">
        <f t="shared" ca="1" si="190"/>
        <v>0</v>
      </c>
      <c r="AX267" s="532">
        <f t="shared" ca="1" si="197"/>
        <v>0</v>
      </c>
      <c r="BC267" s="536">
        <f t="shared" ca="1" si="198"/>
        <v>2048</v>
      </c>
      <c r="BF267" s="530">
        <v>266</v>
      </c>
      <c r="BG267" s="531">
        <f t="shared" ca="1" si="224"/>
        <v>54262</v>
      </c>
      <c r="BH267" s="532">
        <f ca="1">IF(BH266=0,SUMIFS('Key Life Events'!$L$3:$L$28,'Key Life Events'!$H$3:$H$28,'Loan Amortization'!$BL$3,'Key Life Events'!$N$3:$N$28,'Loan Amortization'!BG267),BH266-BK266)</f>
        <v>0</v>
      </c>
      <c r="BI267" s="532">
        <f t="shared" ca="1" si="225"/>
        <v>0</v>
      </c>
      <c r="BJ267" s="532">
        <f t="shared" ca="1" si="226"/>
        <v>0</v>
      </c>
      <c r="BK267" s="532">
        <f t="shared" ca="1" si="199"/>
        <v>0</v>
      </c>
      <c r="BP267" s="536">
        <f t="shared" ca="1" si="200"/>
        <v>2048</v>
      </c>
      <c r="BQ267" s="535">
        <f ca="1"/>
        <v>0</v>
      </c>
      <c r="BS267" s="530">
        <v>266</v>
      </c>
      <c r="BT267" s="531">
        <f t="shared" ca="1" si="227"/>
        <v>54262</v>
      </c>
      <c r="BU267" s="532">
        <f ca="1">IF(BU266=0,SUMIFS('Key Life Events'!$L$3:$L$28,'Key Life Events'!$H$3:$H$28,'Loan Amortization'!$BY$3,'Key Life Events'!$N$3:$N$28,'Loan Amortization'!BT267),BU266-BX266)</f>
        <v>0</v>
      </c>
      <c r="BV267" s="532">
        <f t="shared" ca="1" si="232"/>
        <v>0</v>
      </c>
      <c r="BW267" s="532">
        <f t="shared" ca="1" si="228"/>
        <v>0</v>
      </c>
      <c r="BX267" s="532">
        <f t="shared" ca="1" si="201"/>
        <v>0</v>
      </c>
      <c r="CC267" s="536">
        <f t="shared" ca="1" si="202"/>
        <v>2048</v>
      </c>
      <c r="CD267" s="535">
        <f ca="1"/>
        <v>0</v>
      </c>
      <c r="CF267" s="530">
        <v>266</v>
      </c>
      <c r="CG267" s="531">
        <f t="shared" ca="1" si="229"/>
        <v>54262</v>
      </c>
      <c r="CH267" s="532">
        <f ca="1">IF(CH266=0,SUMIFS('Key Life Events'!$L$3:$L$28,'Key Life Events'!$H$3:$H$28,'Loan Amortization'!$CL$3,'Key Life Events'!$N$3:$N$28,'Loan Amortization'!CG267),CH266-CK266)</f>
        <v>0</v>
      </c>
      <c r="CI267" s="532">
        <f t="shared" ca="1" si="230"/>
        <v>0</v>
      </c>
      <c r="CJ267" s="532">
        <f t="shared" ca="1" si="231"/>
        <v>0</v>
      </c>
      <c r="CK267" s="532">
        <f t="shared" ca="1" si="203"/>
        <v>0</v>
      </c>
      <c r="CP267" s="536">
        <f t="shared" ca="1" si="204"/>
        <v>2048</v>
      </c>
      <c r="CQ267" s="535">
        <f ca="1"/>
        <v>0</v>
      </c>
      <c r="CS267" s="100">
        <f t="shared" si="205"/>
        <v>266</v>
      </c>
      <c r="CT267" s="102">
        <f t="shared" ca="1" si="206"/>
        <v>0</v>
      </c>
      <c r="CU267" s="102">
        <f t="shared" ca="1" si="207"/>
        <v>0</v>
      </c>
      <c r="CV267" s="511">
        <f t="shared" ca="1" si="208"/>
        <v>2048</v>
      </c>
    </row>
    <row r="268" spans="1:100" x14ac:dyDescent="0.3">
      <c r="A268" s="100">
        <v>267</v>
      </c>
      <c r="B268" s="131">
        <f t="shared" si="209"/>
        <v>7272</v>
      </c>
      <c r="C268" s="102">
        <f t="shared" si="210"/>
        <v>0</v>
      </c>
      <c r="D268" s="102">
        <f t="shared" si="211"/>
        <v>0</v>
      </c>
      <c r="E268" s="102">
        <f t="shared" si="191"/>
        <v>0</v>
      </c>
      <c r="F268" s="102">
        <f t="shared" si="212"/>
        <v>0</v>
      </c>
      <c r="L268" s="100">
        <v>267</v>
      </c>
      <c r="M268" s="131">
        <f t="shared" ca="1" si="213"/>
        <v>54293</v>
      </c>
      <c r="N268" s="102">
        <f t="shared" si="214"/>
        <v>0</v>
      </c>
      <c r="O268" s="102">
        <f t="shared" si="215"/>
        <v>0</v>
      </c>
      <c r="P268" s="102">
        <f t="shared" si="192"/>
        <v>0</v>
      </c>
      <c r="Q268" s="102">
        <f t="shared" si="193"/>
        <v>0</v>
      </c>
      <c r="W268" s="100">
        <v>267</v>
      </c>
      <c r="X268" s="131">
        <f t="shared" ca="1" si="216"/>
        <v>54293</v>
      </c>
      <c r="Y268" s="102">
        <f t="shared" si="217"/>
        <v>0</v>
      </c>
      <c r="Z268" s="102">
        <f t="shared" si="218"/>
        <v>0</v>
      </c>
      <c r="AA268" s="102">
        <f t="shared" si="194"/>
        <v>0</v>
      </c>
      <c r="AB268" s="102">
        <f t="shared" si="195"/>
        <v>0</v>
      </c>
      <c r="AH268" s="100">
        <v>267</v>
      </c>
      <c r="AI268" s="131">
        <f t="shared" ca="1" si="219"/>
        <v>54293</v>
      </c>
      <c r="AJ268" s="102">
        <f t="shared" si="220"/>
        <v>0</v>
      </c>
      <c r="AK268" s="102">
        <f t="shared" si="221"/>
        <v>0</v>
      </c>
      <c r="AL268" s="102">
        <f t="shared" si="233"/>
        <v>0</v>
      </c>
      <c r="AM268" s="102">
        <f t="shared" si="196"/>
        <v>0</v>
      </c>
      <c r="AS268" s="530">
        <v>267</v>
      </c>
      <c r="AT268" s="531">
        <f t="shared" ca="1" si="222"/>
        <v>54293</v>
      </c>
      <c r="AU268" s="532">
        <f ca="1">IF(AU267=0,SUMIFS('Key Life Events'!$L$3:$L$28,'Key Life Events'!$H$3:$H$28,'Loan Amortization'!$AY$3,'Key Life Events'!$N$3:$N$28,'Loan Amortization'!AT268),AU267-AX267)</f>
        <v>0</v>
      </c>
      <c r="AV268" s="532">
        <f t="shared" ca="1" si="223"/>
        <v>0</v>
      </c>
      <c r="AW268" s="532">
        <f t="shared" ca="1" si="190"/>
        <v>0</v>
      </c>
      <c r="AX268" s="532">
        <f t="shared" ca="1" si="197"/>
        <v>0</v>
      </c>
      <c r="BC268" s="536">
        <f t="shared" ca="1" si="198"/>
        <v>2048</v>
      </c>
      <c r="BF268" s="530">
        <v>267</v>
      </c>
      <c r="BG268" s="531">
        <f t="shared" ca="1" si="224"/>
        <v>54293</v>
      </c>
      <c r="BH268" s="532">
        <f ca="1">IF(BH267=0,SUMIFS('Key Life Events'!$L$3:$L$28,'Key Life Events'!$H$3:$H$28,'Loan Amortization'!$BL$3,'Key Life Events'!$N$3:$N$28,'Loan Amortization'!BG268),BH267-BK267)</f>
        <v>0</v>
      </c>
      <c r="BI268" s="532">
        <f t="shared" ca="1" si="225"/>
        <v>0</v>
      </c>
      <c r="BJ268" s="532">
        <f t="shared" ca="1" si="226"/>
        <v>0</v>
      </c>
      <c r="BK268" s="532">
        <f t="shared" ca="1" si="199"/>
        <v>0</v>
      </c>
      <c r="BP268" s="536">
        <f t="shared" ca="1" si="200"/>
        <v>2048</v>
      </c>
      <c r="BQ268" s="535">
        <f ca="1"/>
        <v>0</v>
      </c>
      <c r="BS268" s="530">
        <v>267</v>
      </c>
      <c r="BT268" s="531">
        <f t="shared" ca="1" si="227"/>
        <v>54293</v>
      </c>
      <c r="BU268" s="532">
        <f ca="1">IF(BU267=0,SUMIFS('Key Life Events'!$L$3:$L$28,'Key Life Events'!$H$3:$H$28,'Loan Amortization'!$BY$3,'Key Life Events'!$N$3:$N$28,'Loan Amortization'!BT268),BU267-BX267)</f>
        <v>0</v>
      </c>
      <c r="BV268" s="532">
        <f t="shared" ca="1" si="232"/>
        <v>0</v>
      </c>
      <c r="BW268" s="532">
        <f t="shared" ca="1" si="228"/>
        <v>0</v>
      </c>
      <c r="BX268" s="532">
        <f t="shared" ca="1" si="201"/>
        <v>0</v>
      </c>
      <c r="CC268" s="536">
        <f t="shared" ca="1" si="202"/>
        <v>2048</v>
      </c>
      <c r="CD268" s="535">
        <f ca="1"/>
        <v>0</v>
      </c>
      <c r="CF268" s="530">
        <v>267</v>
      </c>
      <c r="CG268" s="531">
        <f t="shared" ca="1" si="229"/>
        <v>54293</v>
      </c>
      <c r="CH268" s="532">
        <f ca="1">IF(CH267=0,SUMIFS('Key Life Events'!$L$3:$L$28,'Key Life Events'!$H$3:$H$28,'Loan Amortization'!$CL$3,'Key Life Events'!$N$3:$N$28,'Loan Amortization'!CG268),CH267-CK267)</f>
        <v>0</v>
      </c>
      <c r="CI268" s="532">
        <f t="shared" ca="1" si="230"/>
        <v>0</v>
      </c>
      <c r="CJ268" s="532">
        <f t="shared" ca="1" si="231"/>
        <v>0</v>
      </c>
      <c r="CK268" s="532">
        <f t="shared" ca="1" si="203"/>
        <v>0</v>
      </c>
      <c r="CP268" s="536">
        <f t="shared" ca="1" si="204"/>
        <v>2048</v>
      </c>
      <c r="CQ268" s="535">
        <f ca="1"/>
        <v>0</v>
      </c>
      <c r="CS268" s="100">
        <f t="shared" si="205"/>
        <v>267</v>
      </c>
      <c r="CT268" s="102">
        <f t="shared" ca="1" si="206"/>
        <v>0</v>
      </c>
      <c r="CU268" s="102">
        <f t="shared" ca="1" si="207"/>
        <v>0</v>
      </c>
      <c r="CV268" s="511">
        <f t="shared" ca="1" si="208"/>
        <v>2048</v>
      </c>
    </row>
    <row r="269" spans="1:100" x14ac:dyDescent="0.3">
      <c r="A269" s="100">
        <v>268</v>
      </c>
      <c r="B269" s="131">
        <f t="shared" si="209"/>
        <v>7302</v>
      </c>
      <c r="C269" s="102">
        <f t="shared" si="210"/>
        <v>0</v>
      </c>
      <c r="D269" s="102">
        <f t="shared" si="211"/>
        <v>0</v>
      </c>
      <c r="E269" s="102">
        <f t="shared" si="191"/>
        <v>0</v>
      </c>
      <c r="F269" s="102">
        <f t="shared" si="212"/>
        <v>0</v>
      </c>
      <c r="L269" s="100">
        <v>268</v>
      </c>
      <c r="M269" s="131">
        <f t="shared" ca="1" si="213"/>
        <v>54324</v>
      </c>
      <c r="N269" s="102">
        <f t="shared" si="214"/>
        <v>0</v>
      </c>
      <c r="O269" s="102">
        <f t="shared" si="215"/>
        <v>0</v>
      </c>
      <c r="P269" s="102">
        <f t="shared" si="192"/>
        <v>0</v>
      </c>
      <c r="Q269" s="102">
        <f t="shared" si="193"/>
        <v>0</v>
      </c>
      <c r="W269" s="100">
        <v>268</v>
      </c>
      <c r="X269" s="131">
        <f t="shared" ca="1" si="216"/>
        <v>54324</v>
      </c>
      <c r="Y269" s="102">
        <f t="shared" si="217"/>
        <v>0</v>
      </c>
      <c r="Z269" s="102">
        <f t="shared" si="218"/>
        <v>0</v>
      </c>
      <c r="AA269" s="102">
        <f t="shared" si="194"/>
        <v>0</v>
      </c>
      <c r="AB269" s="102">
        <f t="shared" si="195"/>
        <v>0</v>
      </c>
      <c r="AH269" s="100">
        <v>268</v>
      </c>
      <c r="AI269" s="131">
        <f t="shared" ca="1" si="219"/>
        <v>54324</v>
      </c>
      <c r="AJ269" s="102">
        <f t="shared" si="220"/>
        <v>0</v>
      </c>
      <c r="AK269" s="102">
        <f t="shared" si="221"/>
        <v>0</v>
      </c>
      <c r="AL269" s="102">
        <f t="shared" si="233"/>
        <v>0</v>
      </c>
      <c r="AM269" s="102">
        <f t="shared" si="196"/>
        <v>0</v>
      </c>
      <c r="AS269" s="530">
        <v>268</v>
      </c>
      <c r="AT269" s="531">
        <f t="shared" ca="1" si="222"/>
        <v>54324</v>
      </c>
      <c r="AU269" s="532">
        <f ca="1">IF(AU268=0,SUMIFS('Key Life Events'!$L$3:$L$28,'Key Life Events'!$H$3:$H$28,'Loan Amortization'!$AY$3,'Key Life Events'!$N$3:$N$28,'Loan Amortization'!AT269),AU268-AX268)</f>
        <v>0</v>
      </c>
      <c r="AV269" s="532">
        <f t="shared" ca="1" si="223"/>
        <v>0</v>
      </c>
      <c r="AW269" s="532">
        <f t="shared" ca="1" si="190"/>
        <v>0</v>
      </c>
      <c r="AX269" s="532">
        <f t="shared" ca="1" si="197"/>
        <v>0</v>
      </c>
      <c r="BC269" s="536">
        <f t="shared" ca="1" si="198"/>
        <v>2048</v>
      </c>
      <c r="BF269" s="530">
        <v>268</v>
      </c>
      <c r="BG269" s="531">
        <f t="shared" ca="1" si="224"/>
        <v>54324</v>
      </c>
      <c r="BH269" s="532">
        <f ca="1">IF(BH268=0,SUMIFS('Key Life Events'!$L$3:$L$28,'Key Life Events'!$H$3:$H$28,'Loan Amortization'!$BL$3,'Key Life Events'!$N$3:$N$28,'Loan Amortization'!BG269),BH268-BK268)</f>
        <v>0</v>
      </c>
      <c r="BI269" s="532">
        <f t="shared" ca="1" si="225"/>
        <v>0</v>
      </c>
      <c r="BJ269" s="532">
        <f t="shared" ca="1" si="226"/>
        <v>0</v>
      </c>
      <c r="BK269" s="532">
        <f t="shared" ca="1" si="199"/>
        <v>0</v>
      </c>
      <c r="BP269" s="536">
        <f t="shared" ca="1" si="200"/>
        <v>2048</v>
      </c>
      <c r="BQ269" s="535">
        <f ca="1"/>
        <v>0</v>
      </c>
      <c r="BS269" s="530">
        <v>268</v>
      </c>
      <c r="BT269" s="531">
        <f t="shared" ca="1" si="227"/>
        <v>54324</v>
      </c>
      <c r="BU269" s="532">
        <f ca="1">IF(BU268=0,SUMIFS('Key Life Events'!$L$3:$L$28,'Key Life Events'!$H$3:$H$28,'Loan Amortization'!$BY$3,'Key Life Events'!$N$3:$N$28,'Loan Amortization'!BT269),BU268-BX268)</f>
        <v>0</v>
      </c>
      <c r="BV269" s="532">
        <f t="shared" ca="1" si="232"/>
        <v>0</v>
      </c>
      <c r="BW269" s="532">
        <f t="shared" ca="1" si="228"/>
        <v>0</v>
      </c>
      <c r="BX269" s="532">
        <f t="shared" ca="1" si="201"/>
        <v>0</v>
      </c>
      <c r="CC269" s="536">
        <f t="shared" ca="1" si="202"/>
        <v>2048</v>
      </c>
      <c r="CD269" s="535">
        <f ca="1"/>
        <v>0</v>
      </c>
      <c r="CF269" s="530">
        <v>268</v>
      </c>
      <c r="CG269" s="531">
        <f t="shared" ca="1" si="229"/>
        <v>54324</v>
      </c>
      <c r="CH269" s="532">
        <f ca="1">IF(CH268=0,SUMIFS('Key Life Events'!$L$3:$L$28,'Key Life Events'!$H$3:$H$28,'Loan Amortization'!$CL$3,'Key Life Events'!$N$3:$N$28,'Loan Amortization'!CG269),CH268-CK268)</f>
        <v>0</v>
      </c>
      <c r="CI269" s="532">
        <f t="shared" ca="1" si="230"/>
        <v>0</v>
      </c>
      <c r="CJ269" s="532">
        <f t="shared" ca="1" si="231"/>
        <v>0</v>
      </c>
      <c r="CK269" s="532">
        <f t="shared" ca="1" si="203"/>
        <v>0</v>
      </c>
      <c r="CP269" s="536">
        <f t="shared" ca="1" si="204"/>
        <v>2048</v>
      </c>
      <c r="CQ269" s="535">
        <f ca="1"/>
        <v>0</v>
      </c>
      <c r="CS269" s="100">
        <f t="shared" si="205"/>
        <v>268</v>
      </c>
      <c r="CT269" s="102">
        <f t="shared" ca="1" si="206"/>
        <v>0</v>
      </c>
      <c r="CU269" s="102">
        <f t="shared" ca="1" si="207"/>
        <v>0</v>
      </c>
      <c r="CV269" s="511">
        <f t="shared" ca="1" si="208"/>
        <v>2048</v>
      </c>
    </row>
    <row r="270" spans="1:100" x14ac:dyDescent="0.3">
      <c r="A270" s="100">
        <v>269</v>
      </c>
      <c r="B270" s="131">
        <f t="shared" si="209"/>
        <v>7333</v>
      </c>
      <c r="C270" s="102">
        <f t="shared" si="210"/>
        <v>0</v>
      </c>
      <c r="D270" s="102">
        <f t="shared" si="211"/>
        <v>0</v>
      </c>
      <c r="E270" s="102">
        <f t="shared" si="191"/>
        <v>0</v>
      </c>
      <c r="F270" s="102">
        <f t="shared" si="212"/>
        <v>0</v>
      </c>
      <c r="L270" s="100">
        <v>269</v>
      </c>
      <c r="M270" s="131">
        <f t="shared" ca="1" si="213"/>
        <v>54354</v>
      </c>
      <c r="N270" s="102">
        <f t="shared" si="214"/>
        <v>0</v>
      </c>
      <c r="O270" s="102">
        <f t="shared" si="215"/>
        <v>0</v>
      </c>
      <c r="P270" s="102">
        <f t="shared" si="192"/>
        <v>0</v>
      </c>
      <c r="Q270" s="102">
        <f t="shared" si="193"/>
        <v>0</v>
      </c>
      <c r="W270" s="100">
        <v>269</v>
      </c>
      <c r="X270" s="131">
        <f t="shared" ca="1" si="216"/>
        <v>54354</v>
      </c>
      <c r="Y270" s="102">
        <f t="shared" si="217"/>
        <v>0</v>
      </c>
      <c r="Z270" s="102">
        <f t="shared" si="218"/>
        <v>0</v>
      </c>
      <c r="AA270" s="102">
        <f t="shared" si="194"/>
        <v>0</v>
      </c>
      <c r="AB270" s="102">
        <f t="shared" si="195"/>
        <v>0</v>
      </c>
      <c r="AH270" s="100">
        <v>269</v>
      </c>
      <c r="AI270" s="131">
        <f t="shared" ca="1" si="219"/>
        <v>54354</v>
      </c>
      <c r="AJ270" s="102">
        <f t="shared" si="220"/>
        <v>0</v>
      </c>
      <c r="AK270" s="102">
        <f t="shared" si="221"/>
        <v>0</v>
      </c>
      <c r="AL270" s="102">
        <f t="shared" si="233"/>
        <v>0</v>
      </c>
      <c r="AM270" s="102">
        <f t="shared" si="196"/>
        <v>0</v>
      </c>
      <c r="AS270" s="530">
        <v>269</v>
      </c>
      <c r="AT270" s="531">
        <f t="shared" ca="1" si="222"/>
        <v>54354</v>
      </c>
      <c r="AU270" s="532">
        <f ca="1">IF(AU269=0,SUMIFS('Key Life Events'!$L$3:$L$28,'Key Life Events'!$H$3:$H$28,'Loan Amortization'!$AY$3,'Key Life Events'!$N$3:$N$28,'Loan Amortization'!AT270),AU269-AX269)</f>
        <v>0</v>
      </c>
      <c r="AV270" s="532">
        <f t="shared" ca="1" si="223"/>
        <v>0</v>
      </c>
      <c r="AW270" s="532">
        <f t="shared" ca="1" si="190"/>
        <v>0</v>
      </c>
      <c r="AX270" s="532">
        <f t="shared" ca="1" si="197"/>
        <v>0</v>
      </c>
      <c r="BC270" s="536">
        <f t="shared" ca="1" si="198"/>
        <v>2048</v>
      </c>
      <c r="BF270" s="530">
        <v>269</v>
      </c>
      <c r="BG270" s="531">
        <f t="shared" ca="1" si="224"/>
        <v>54354</v>
      </c>
      <c r="BH270" s="532">
        <f ca="1">IF(BH269=0,SUMIFS('Key Life Events'!$L$3:$L$28,'Key Life Events'!$H$3:$H$28,'Loan Amortization'!$BL$3,'Key Life Events'!$N$3:$N$28,'Loan Amortization'!BG270),BH269-BK269)</f>
        <v>0</v>
      </c>
      <c r="BI270" s="532">
        <f t="shared" ca="1" si="225"/>
        <v>0</v>
      </c>
      <c r="BJ270" s="532">
        <f t="shared" ca="1" si="226"/>
        <v>0</v>
      </c>
      <c r="BK270" s="532">
        <f t="shared" ca="1" si="199"/>
        <v>0</v>
      </c>
      <c r="BP270" s="536">
        <f t="shared" ca="1" si="200"/>
        <v>2048</v>
      </c>
      <c r="BQ270" s="535">
        <f ca="1"/>
        <v>0</v>
      </c>
      <c r="BS270" s="530">
        <v>269</v>
      </c>
      <c r="BT270" s="531">
        <f t="shared" ca="1" si="227"/>
        <v>54354</v>
      </c>
      <c r="BU270" s="532">
        <f ca="1">IF(BU269=0,SUMIFS('Key Life Events'!$L$3:$L$28,'Key Life Events'!$H$3:$H$28,'Loan Amortization'!$BY$3,'Key Life Events'!$N$3:$N$28,'Loan Amortization'!BT270),BU269-BX269)</f>
        <v>0</v>
      </c>
      <c r="BV270" s="532">
        <f t="shared" ca="1" si="232"/>
        <v>0</v>
      </c>
      <c r="BW270" s="532">
        <f t="shared" ca="1" si="228"/>
        <v>0</v>
      </c>
      <c r="BX270" s="532">
        <f t="shared" ca="1" si="201"/>
        <v>0</v>
      </c>
      <c r="CC270" s="536">
        <f t="shared" ca="1" si="202"/>
        <v>2048</v>
      </c>
      <c r="CD270" s="535">
        <f ca="1"/>
        <v>0</v>
      </c>
      <c r="CF270" s="530">
        <v>269</v>
      </c>
      <c r="CG270" s="531">
        <f t="shared" ca="1" si="229"/>
        <v>54354</v>
      </c>
      <c r="CH270" s="532">
        <f ca="1">IF(CH269=0,SUMIFS('Key Life Events'!$L$3:$L$28,'Key Life Events'!$H$3:$H$28,'Loan Amortization'!$CL$3,'Key Life Events'!$N$3:$N$28,'Loan Amortization'!CG270),CH269-CK269)</f>
        <v>0</v>
      </c>
      <c r="CI270" s="532">
        <f t="shared" ca="1" si="230"/>
        <v>0</v>
      </c>
      <c r="CJ270" s="532">
        <f t="shared" ca="1" si="231"/>
        <v>0</v>
      </c>
      <c r="CK270" s="532">
        <f t="shared" ca="1" si="203"/>
        <v>0</v>
      </c>
      <c r="CP270" s="536">
        <f t="shared" ca="1" si="204"/>
        <v>2048</v>
      </c>
      <c r="CQ270" s="535">
        <f ca="1"/>
        <v>0</v>
      </c>
      <c r="CS270" s="100">
        <f t="shared" si="205"/>
        <v>269</v>
      </c>
      <c r="CT270" s="102">
        <f t="shared" ca="1" si="206"/>
        <v>0</v>
      </c>
      <c r="CU270" s="102">
        <f t="shared" ca="1" si="207"/>
        <v>0</v>
      </c>
      <c r="CV270" s="511">
        <f t="shared" ca="1" si="208"/>
        <v>2048</v>
      </c>
    </row>
    <row r="271" spans="1:100" x14ac:dyDescent="0.3">
      <c r="A271" s="100">
        <v>270</v>
      </c>
      <c r="B271" s="131">
        <f t="shared" si="209"/>
        <v>7364</v>
      </c>
      <c r="C271" s="102">
        <f t="shared" si="210"/>
        <v>0</v>
      </c>
      <c r="D271" s="102">
        <f t="shared" si="211"/>
        <v>0</v>
      </c>
      <c r="E271" s="102">
        <f t="shared" si="191"/>
        <v>0</v>
      </c>
      <c r="F271" s="102">
        <f t="shared" si="212"/>
        <v>0</v>
      </c>
      <c r="L271" s="100">
        <v>270</v>
      </c>
      <c r="M271" s="131">
        <f t="shared" ca="1" si="213"/>
        <v>54385</v>
      </c>
      <c r="N271" s="102">
        <f t="shared" si="214"/>
        <v>0</v>
      </c>
      <c r="O271" s="102">
        <f t="shared" si="215"/>
        <v>0</v>
      </c>
      <c r="P271" s="102">
        <f t="shared" si="192"/>
        <v>0</v>
      </c>
      <c r="Q271" s="102">
        <f t="shared" si="193"/>
        <v>0</v>
      </c>
      <c r="W271" s="100">
        <v>270</v>
      </c>
      <c r="X271" s="131">
        <f t="shared" ca="1" si="216"/>
        <v>54385</v>
      </c>
      <c r="Y271" s="102">
        <f t="shared" si="217"/>
        <v>0</v>
      </c>
      <c r="Z271" s="102">
        <f t="shared" si="218"/>
        <v>0</v>
      </c>
      <c r="AA271" s="102">
        <f t="shared" si="194"/>
        <v>0</v>
      </c>
      <c r="AB271" s="102">
        <f t="shared" si="195"/>
        <v>0</v>
      </c>
      <c r="AH271" s="100">
        <v>270</v>
      </c>
      <c r="AI271" s="131">
        <f t="shared" ca="1" si="219"/>
        <v>54385</v>
      </c>
      <c r="AJ271" s="102">
        <f t="shared" si="220"/>
        <v>0</v>
      </c>
      <c r="AK271" s="102">
        <f t="shared" si="221"/>
        <v>0</v>
      </c>
      <c r="AL271" s="102">
        <f t="shared" si="233"/>
        <v>0</v>
      </c>
      <c r="AM271" s="102">
        <f t="shared" si="196"/>
        <v>0</v>
      </c>
      <c r="AS271" s="530">
        <v>270</v>
      </c>
      <c r="AT271" s="531">
        <f t="shared" ca="1" si="222"/>
        <v>54385</v>
      </c>
      <c r="AU271" s="532">
        <f ca="1">IF(AU270=0,SUMIFS('Key Life Events'!$L$3:$L$28,'Key Life Events'!$H$3:$H$28,'Loan Amortization'!$AY$3,'Key Life Events'!$N$3:$N$28,'Loan Amortization'!AT271),AU270-AX270)</f>
        <v>0</v>
      </c>
      <c r="AV271" s="532">
        <f t="shared" ca="1" si="223"/>
        <v>0</v>
      </c>
      <c r="AW271" s="532">
        <f t="shared" ca="1" si="190"/>
        <v>0</v>
      </c>
      <c r="AX271" s="532">
        <f t="shared" ca="1" si="197"/>
        <v>0</v>
      </c>
      <c r="BC271" s="536">
        <f t="shared" ca="1" si="198"/>
        <v>2048</v>
      </c>
      <c r="BF271" s="530">
        <v>270</v>
      </c>
      <c r="BG271" s="531">
        <f t="shared" ca="1" si="224"/>
        <v>54385</v>
      </c>
      <c r="BH271" s="532">
        <f ca="1">IF(BH270=0,SUMIFS('Key Life Events'!$L$3:$L$28,'Key Life Events'!$H$3:$H$28,'Loan Amortization'!$BL$3,'Key Life Events'!$N$3:$N$28,'Loan Amortization'!BG271),BH270-BK270)</f>
        <v>0</v>
      </c>
      <c r="BI271" s="532">
        <f t="shared" ca="1" si="225"/>
        <v>0</v>
      </c>
      <c r="BJ271" s="532">
        <f t="shared" ca="1" si="226"/>
        <v>0</v>
      </c>
      <c r="BK271" s="532">
        <f t="shared" ca="1" si="199"/>
        <v>0</v>
      </c>
      <c r="BP271" s="536">
        <f t="shared" ca="1" si="200"/>
        <v>2048</v>
      </c>
      <c r="BQ271" s="535">
        <f ca="1"/>
        <v>0</v>
      </c>
      <c r="BS271" s="530">
        <v>270</v>
      </c>
      <c r="BT271" s="531">
        <f t="shared" ca="1" si="227"/>
        <v>54385</v>
      </c>
      <c r="BU271" s="532">
        <f ca="1">IF(BU270=0,SUMIFS('Key Life Events'!$L$3:$L$28,'Key Life Events'!$H$3:$H$28,'Loan Amortization'!$BY$3,'Key Life Events'!$N$3:$N$28,'Loan Amortization'!BT271),BU270-BX270)</f>
        <v>0</v>
      </c>
      <c r="BV271" s="532">
        <f t="shared" ca="1" si="232"/>
        <v>0</v>
      </c>
      <c r="BW271" s="532">
        <f t="shared" ca="1" si="228"/>
        <v>0</v>
      </c>
      <c r="BX271" s="532">
        <f t="shared" ca="1" si="201"/>
        <v>0</v>
      </c>
      <c r="CC271" s="536">
        <f t="shared" ca="1" si="202"/>
        <v>2048</v>
      </c>
      <c r="CD271" s="535">
        <f ca="1"/>
        <v>0</v>
      </c>
      <c r="CF271" s="530">
        <v>270</v>
      </c>
      <c r="CG271" s="531">
        <f t="shared" ca="1" si="229"/>
        <v>54385</v>
      </c>
      <c r="CH271" s="532">
        <f ca="1">IF(CH270=0,SUMIFS('Key Life Events'!$L$3:$L$28,'Key Life Events'!$H$3:$H$28,'Loan Amortization'!$CL$3,'Key Life Events'!$N$3:$N$28,'Loan Amortization'!CG271),CH270-CK270)</f>
        <v>0</v>
      </c>
      <c r="CI271" s="532">
        <f t="shared" ca="1" si="230"/>
        <v>0</v>
      </c>
      <c r="CJ271" s="532">
        <f t="shared" ca="1" si="231"/>
        <v>0</v>
      </c>
      <c r="CK271" s="532">
        <f t="shared" ca="1" si="203"/>
        <v>0</v>
      </c>
      <c r="CP271" s="536">
        <f t="shared" ca="1" si="204"/>
        <v>2048</v>
      </c>
      <c r="CQ271" s="535">
        <f ca="1"/>
        <v>0</v>
      </c>
      <c r="CS271" s="100">
        <f t="shared" si="205"/>
        <v>270</v>
      </c>
      <c r="CT271" s="102">
        <f t="shared" ca="1" si="206"/>
        <v>0</v>
      </c>
      <c r="CU271" s="102">
        <f t="shared" ca="1" si="207"/>
        <v>0</v>
      </c>
      <c r="CV271" s="511">
        <f t="shared" ca="1" si="208"/>
        <v>2048</v>
      </c>
    </row>
    <row r="272" spans="1:100" x14ac:dyDescent="0.3">
      <c r="A272" s="100">
        <v>271</v>
      </c>
      <c r="B272" s="131">
        <f t="shared" si="209"/>
        <v>7393</v>
      </c>
      <c r="C272" s="102">
        <f t="shared" si="210"/>
        <v>0</v>
      </c>
      <c r="D272" s="102">
        <f t="shared" si="211"/>
        <v>0</v>
      </c>
      <c r="E272" s="102">
        <f t="shared" si="191"/>
        <v>0</v>
      </c>
      <c r="F272" s="102">
        <f t="shared" si="212"/>
        <v>0</v>
      </c>
      <c r="L272" s="100">
        <v>271</v>
      </c>
      <c r="M272" s="131">
        <f t="shared" ca="1" si="213"/>
        <v>54415</v>
      </c>
      <c r="N272" s="102">
        <f t="shared" si="214"/>
        <v>0</v>
      </c>
      <c r="O272" s="102">
        <f t="shared" si="215"/>
        <v>0</v>
      </c>
      <c r="P272" s="102">
        <f t="shared" si="192"/>
        <v>0</v>
      </c>
      <c r="Q272" s="102">
        <f t="shared" si="193"/>
        <v>0</v>
      </c>
      <c r="W272" s="100">
        <v>271</v>
      </c>
      <c r="X272" s="131">
        <f t="shared" ca="1" si="216"/>
        <v>54415</v>
      </c>
      <c r="Y272" s="102">
        <f t="shared" si="217"/>
        <v>0</v>
      </c>
      <c r="Z272" s="102">
        <f t="shared" si="218"/>
        <v>0</v>
      </c>
      <c r="AA272" s="102">
        <f t="shared" si="194"/>
        <v>0</v>
      </c>
      <c r="AB272" s="102">
        <f t="shared" si="195"/>
        <v>0</v>
      </c>
      <c r="AH272" s="100">
        <v>271</v>
      </c>
      <c r="AI272" s="131">
        <f t="shared" ca="1" si="219"/>
        <v>54415</v>
      </c>
      <c r="AJ272" s="102">
        <f t="shared" si="220"/>
        <v>0</v>
      </c>
      <c r="AK272" s="102">
        <f t="shared" si="221"/>
        <v>0</v>
      </c>
      <c r="AL272" s="102">
        <f t="shared" si="233"/>
        <v>0</v>
      </c>
      <c r="AM272" s="102">
        <f t="shared" si="196"/>
        <v>0</v>
      </c>
      <c r="AS272" s="530">
        <v>271</v>
      </c>
      <c r="AT272" s="531">
        <f t="shared" ca="1" si="222"/>
        <v>54415</v>
      </c>
      <c r="AU272" s="532">
        <f ca="1">IF(AU271=0,SUMIFS('Key Life Events'!$L$3:$L$28,'Key Life Events'!$H$3:$H$28,'Loan Amortization'!$AY$3,'Key Life Events'!$N$3:$N$28,'Loan Amortization'!AT272),AU271-AX271)</f>
        <v>0</v>
      </c>
      <c r="AV272" s="532">
        <f t="shared" ca="1" si="223"/>
        <v>0</v>
      </c>
      <c r="AW272" s="532">
        <f t="shared" ca="1" si="190"/>
        <v>0</v>
      </c>
      <c r="AX272" s="532">
        <f t="shared" ca="1" si="197"/>
        <v>0</v>
      </c>
      <c r="BC272" s="536">
        <f t="shared" ca="1" si="198"/>
        <v>2048</v>
      </c>
      <c r="BF272" s="530">
        <v>271</v>
      </c>
      <c r="BG272" s="531">
        <f t="shared" ca="1" si="224"/>
        <v>54415</v>
      </c>
      <c r="BH272" s="532">
        <f ca="1">IF(BH271=0,SUMIFS('Key Life Events'!$L$3:$L$28,'Key Life Events'!$H$3:$H$28,'Loan Amortization'!$BL$3,'Key Life Events'!$N$3:$N$28,'Loan Amortization'!BG272),BH271-BK271)</f>
        <v>0</v>
      </c>
      <c r="BI272" s="532">
        <f t="shared" ca="1" si="225"/>
        <v>0</v>
      </c>
      <c r="BJ272" s="532">
        <f t="shared" ca="1" si="226"/>
        <v>0</v>
      </c>
      <c r="BK272" s="532">
        <f t="shared" ca="1" si="199"/>
        <v>0</v>
      </c>
      <c r="BP272" s="536">
        <f t="shared" ca="1" si="200"/>
        <v>2048</v>
      </c>
      <c r="BQ272" s="535">
        <f ca="1"/>
        <v>0</v>
      </c>
      <c r="BS272" s="530">
        <v>271</v>
      </c>
      <c r="BT272" s="531">
        <f t="shared" ca="1" si="227"/>
        <v>54415</v>
      </c>
      <c r="BU272" s="532">
        <f ca="1">IF(BU271=0,SUMIFS('Key Life Events'!$L$3:$L$28,'Key Life Events'!$H$3:$H$28,'Loan Amortization'!$BY$3,'Key Life Events'!$N$3:$N$28,'Loan Amortization'!BT272),BU271-BX271)</f>
        <v>0</v>
      </c>
      <c r="BV272" s="532">
        <f t="shared" ca="1" si="232"/>
        <v>0</v>
      </c>
      <c r="BW272" s="532">
        <f t="shared" ca="1" si="228"/>
        <v>0</v>
      </c>
      <c r="BX272" s="532">
        <f t="shared" ca="1" si="201"/>
        <v>0</v>
      </c>
      <c r="CC272" s="536">
        <f t="shared" ca="1" si="202"/>
        <v>2048</v>
      </c>
      <c r="CD272" s="535">
        <f ca="1"/>
        <v>0</v>
      </c>
      <c r="CF272" s="530">
        <v>271</v>
      </c>
      <c r="CG272" s="531">
        <f t="shared" ca="1" si="229"/>
        <v>54415</v>
      </c>
      <c r="CH272" s="532">
        <f ca="1">IF(CH271=0,SUMIFS('Key Life Events'!$L$3:$L$28,'Key Life Events'!$H$3:$H$28,'Loan Amortization'!$CL$3,'Key Life Events'!$N$3:$N$28,'Loan Amortization'!CG272),CH271-CK271)</f>
        <v>0</v>
      </c>
      <c r="CI272" s="532">
        <f t="shared" ca="1" si="230"/>
        <v>0</v>
      </c>
      <c r="CJ272" s="532">
        <f t="shared" ca="1" si="231"/>
        <v>0</v>
      </c>
      <c r="CK272" s="532">
        <f t="shared" ca="1" si="203"/>
        <v>0</v>
      </c>
      <c r="CP272" s="536">
        <f t="shared" ca="1" si="204"/>
        <v>2048</v>
      </c>
      <c r="CQ272" s="535">
        <f ca="1"/>
        <v>0</v>
      </c>
      <c r="CS272" s="100">
        <f t="shared" si="205"/>
        <v>271</v>
      </c>
      <c r="CT272" s="102">
        <f t="shared" ca="1" si="206"/>
        <v>0</v>
      </c>
      <c r="CU272" s="102">
        <f t="shared" ca="1" si="207"/>
        <v>0</v>
      </c>
      <c r="CV272" s="511">
        <f t="shared" ca="1" si="208"/>
        <v>2048</v>
      </c>
    </row>
    <row r="273" spans="1:100" x14ac:dyDescent="0.3">
      <c r="A273" s="100">
        <v>272</v>
      </c>
      <c r="B273" s="131">
        <f t="shared" si="209"/>
        <v>7424</v>
      </c>
      <c r="C273" s="102">
        <f t="shared" si="210"/>
        <v>0</v>
      </c>
      <c r="D273" s="102">
        <f t="shared" si="211"/>
        <v>0</v>
      </c>
      <c r="E273" s="102">
        <f t="shared" si="191"/>
        <v>0</v>
      </c>
      <c r="F273" s="102">
        <f t="shared" si="212"/>
        <v>0</v>
      </c>
      <c r="L273" s="100">
        <v>272</v>
      </c>
      <c r="M273" s="131">
        <f t="shared" ca="1" si="213"/>
        <v>54446</v>
      </c>
      <c r="N273" s="102">
        <f t="shared" si="214"/>
        <v>0</v>
      </c>
      <c r="O273" s="102">
        <f t="shared" si="215"/>
        <v>0</v>
      </c>
      <c r="P273" s="102">
        <f t="shared" si="192"/>
        <v>0</v>
      </c>
      <c r="Q273" s="102">
        <f t="shared" si="193"/>
        <v>0</v>
      </c>
      <c r="W273" s="100">
        <v>272</v>
      </c>
      <c r="X273" s="131">
        <f t="shared" ca="1" si="216"/>
        <v>54446</v>
      </c>
      <c r="Y273" s="102">
        <f t="shared" si="217"/>
        <v>0</v>
      </c>
      <c r="Z273" s="102">
        <f t="shared" si="218"/>
        <v>0</v>
      </c>
      <c r="AA273" s="102">
        <f t="shared" si="194"/>
        <v>0</v>
      </c>
      <c r="AB273" s="102">
        <f t="shared" si="195"/>
        <v>0</v>
      </c>
      <c r="AH273" s="100">
        <v>272</v>
      </c>
      <c r="AI273" s="131">
        <f t="shared" ca="1" si="219"/>
        <v>54446</v>
      </c>
      <c r="AJ273" s="102">
        <f t="shared" si="220"/>
        <v>0</v>
      </c>
      <c r="AK273" s="102">
        <f t="shared" si="221"/>
        <v>0</v>
      </c>
      <c r="AL273" s="102">
        <f t="shared" si="233"/>
        <v>0</v>
      </c>
      <c r="AM273" s="102">
        <f t="shared" si="196"/>
        <v>0</v>
      </c>
      <c r="AS273" s="530">
        <v>272</v>
      </c>
      <c r="AT273" s="531">
        <f t="shared" ca="1" si="222"/>
        <v>54446</v>
      </c>
      <c r="AU273" s="532">
        <f ca="1">IF(AU272=0,SUMIFS('Key Life Events'!$L$3:$L$28,'Key Life Events'!$H$3:$H$28,'Loan Amortization'!$AY$3,'Key Life Events'!$N$3:$N$28,'Loan Amortization'!AT273),AU272-AX272)</f>
        <v>0</v>
      </c>
      <c r="AV273" s="532">
        <f t="shared" ca="1" si="223"/>
        <v>0</v>
      </c>
      <c r="AW273" s="532">
        <f t="shared" ca="1" si="190"/>
        <v>0</v>
      </c>
      <c r="AX273" s="532">
        <f t="shared" ca="1" si="197"/>
        <v>0</v>
      </c>
      <c r="BC273" s="536">
        <f t="shared" ca="1" si="198"/>
        <v>2049</v>
      </c>
      <c r="BF273" s="530">
        <v>272</v>
      </c>
      <c r="BG273" s="531">
        <f t="shared" ca="1" si="224"/>
        <v>54446</v>
      </c>
      <c r="BH273" s="532">
        <f ca="1">IF(BH272=0,SUMIFS('Key Life Events'!$L$3:$L$28,'Key Life Events'!$H$3:$H$28,'Loan Amortization'!$BL$3,'Key Life Events'!$N$3:$N$28,'Loan Amortization'!BG273),BH272-BK272)</f>
        <v>0</v>
      </c>
      <c r="BI273" s="532">
        <f t="shared" ca="1" si="225"/>
        <v>0</v>
      </c>
      <c r="BJ273" s="532">
        <f t="shared" ca="1" si="226"/>
        <v>0</v>
      </c>
      <c r="BK273" s="532">
        <f t="shared" ca="1" si="199"/>
        <v>0</v>
      </c>
      <c r="BP273" s="536">
        <f t="shared" ca="1" si="200"/>
        <v>2049</v>
      </c>
      <c r="BQ273" s="535">
        <f ca="1"/>
        <v>0</v>
      </c>
      <c r="BS273" s="530">
        <v>272</v>
      </c>
      <c r="BT273" s="531">
        <f t="shared" ca="1" si="227"/>
        <v>54446</v>
      </c>
      <c r="BU273" s="532">
        <f ca="1">IF(BU272=0,SUMIFS('Key Life Events'!$L$3:$L$28,'Key Life Events'!$H$3:$H$28,'Loan Amortization'!$BY$3,'Key Life Events'!$N$3:$N$28,'Loan Amortization'!BT273),BU272-BX272)</f>
        <v>0</v>
      </c>
      <c r="BV273" s="532">
        <f t="shared" ca="1" si="232"/>
        <v>0</v>
      </c>
      <c r="BW273" s="532">
        <f t="shared" ca="1" si="228"/>
        <v>0</v>
      </c>
      <c r="BX273" s="532">
        <f t="shared" ca="1" si="201"/>
        <v>0</v>
      </c>
      <c r="CC273" s="536">
        <f t="shared" ca="1" si="202"/>
        <v>2049</v>
      </c>
      <c r="CD273" s="535">
        <f ca="1"/>
        <v>0</v>
      </c>
      <c r="CF273" s="530">
        <v>272</v>
      </c>
      <c r="CG273" s="531">
        <f t="shared" ca="1" si="229"/>
        <v>54446</v>
      </c>
      <c r="CH273" s="532">
        <f ca="1">IF(CH272=0,SUMIFS('Key Life Events'!$L$3:$L$28,'Key Life Events'!$H$3:$H$28,'Loan Amortization'!$CL$3,'Key Life Events'!$N$3:$N$28,'Loan Amortization'!CG273),CH272-CK272)</f>
        <v>0</v>
      </c>
      <c r="CI273" s="532">
        <f t="shared" ca="1" si="230"/>
        <v>0</v>
      </c>
      <c r="CJ273" s="532">
        <f t="shared" ca="1" si="231"/>
        <v>0</v>
      </c>
      <c r="CK273" s="532">
        <f t="shared" ca="1" si="203"/>
        <v>0</v>
      </c>
      <c r="CP273" s="536">
        <f t="shared" ca="1" si="204"/>
        <v>2049</v>
      </c>
      <c r="CQ273" s="535">
        <f ca="1"/>
        <v>0</v>
      </c>
      <c r="CS273" s="100">
        <f t="shared" si="205"/>
        <v>272</v>
      </c>
      <c r="CT273" s="102">
        <f t="shared" ca="1" si="206"/>
        <v>0</v>
      </c>
      <c r="CU273" s="102">
        <f t="shared" ca="1" si="207"/>
        <v>0</v>
      </c>
      <c r="CV273" s="511">
        <f t="shared" ca="1" si="208"/>
        <v>2049</v>
      </c>
    </row>
    <row r="274" spans="1:100" x14ac:dyDescent="0.3">
      <c r="A274" s="100">
        <v>273</v>
      </c>
      <c r="B274" s="131">
        <f t="shared" si="209"/>
        <v>7454</v>
      </c>
      <c r="C274" s="102">
        <f t="shared" si="210"/>
        <v>0</v>
      </c>
      <c r="D274" s="102">
        <f t="shared" si="211"/>
        <v>0</v>
      </c>
      <c r="E274" s="102">
        <f t="shared" si="191"/>
        <v>0</v>
      </c>
      <c r="F274" s="102">
        <f t="shared" si="212"/>
        <v>0</v>
      </c>
      <c r="L274" s="100">
        <v>273</v>
      </c>
      <c r="M274" s="131">
        <f t="shared" ca="1" si="213"/>
        <v>54477</v>
      </c>
      <c r="N274" s="102">
        <f t="shared" si="214"/>
        <v>0</v>
      </c>
      <c r="O274" s="102">
        <f t="shared" si="215"/>
        <v>0</v>
      </c>
      <c r="P274" s="102">
        <f t="shared" si="192"/>
        <v>0</v>
      </c>
      <c r="Q274" s="102">
        <f t="shared" si="193"/>
        <v>0</v>
      </c>
      <c r="W274" s="100">
        <v>273</v>
      </c>
      <c r="X274" s="131">
        <f t="shared" ca="1" si="216"/>
        <v>54477</v>
      </c>
      <c r="Y274" s="102">
        <f t="shared" si="217"/>
        <v>0</v>
      </c>
      <c r="Z274" s="102">
        <f t="shared" si="218"/>
        <v>0</v>
      </c>
      <c r="AA274" s="102">
        <f t="shared" si="194"/>
        <v>0</v>
      </c>
      <c r="AB274" s="102">
        <f t="shared" si="195"/>
        <v>0</v>
      </c>
      <c r="AH274" s="100">
        <v>273</v>
      </c>
      <c r="AI274" s="131">
        <f t="shared" ca="1" si="219"/>
        <v>54477</v>
      </c>
      <c r="AJ274" s="102">
        <f t="shared" si="220"/>
        <v>0</v>
      </c>
      <c r="AK274" s="102">
        <f t="shared" si="221"/>
        <v>0</v>
      </c>
      <c r="AL274" s="102">
        <f t="shared" si="233"/>
        <v>0</v>
      </c>
      <c r="AM274" s="102">
        <f t="shared" si="196"/>
        <v>0</v>
      </c>
      <c r="AS274" s="530">
        <v>273</v>
      </c>
      <c r="AT274" s="531">
        <f t="shared" ca="1" si="222"/>
        <v>54477</v>
      </c>
      <c r="AU274" s="532">
        <f ca="1">IF(AU273=0,SUMIFS('Key Life Events'!$L$3:$L$28,'Key Life Events'!$H$3:$H$28,'Loan Amortization'!$AY$3,'Key Life Events'!$N$3:$N$28,'Loan Amortization'!AT274),AU273-AX273)</f>
        <v>0</v>
      </c>
      <c r="AV274" s="532">
        <f t="shared" ca="1" si="223"/>
        <v>0</v>
      </c>
      <c r="AW274" s="532">
        <f t="shared" ca="1" si="190"/>
        <v>0</v>
      </c>
      <c r="AX274" s="532">
        <f t="shared" ca="1" si="197"/>
        <v>0</v>
      </c>
      <c r="BC274" s="536">
        <f t="shared" ca="1" si="198"/>
        <v>2049</v>
      </c>
      <c r="BF274" s="530">
        <v>273</v>
      </c>
      <c r="BG274" s="531">
        <f t="shared" ca="1" si="224"/>
        <v>54477</v>
      </c>
      <c r="BH274" s="532">
        <f ca="1">IF(BH273=0,SUMIFS('Key Life Events'!$L$3:$L$28,'Key Life Events'!$H$3:$H$28,'Loan Amortization'!$BL$3,'Key Life Events'!$N$3:$N$28,'Loan Amortization'!BG274),BH273-BK273)</f>
        <v>0</v>
      </c>
      <c r="BI274" s="532">
        <f t="shared" ca="1" si="225"/>
        <v>0</v>
      </c>
      <c r="BJ274" s="532">
        <f t="shared" ca="1" si="226"/>
        <v>0</v>
      </c>
      <c r="BK274" s="532">
        <f t="shared" ca="1" si="199"/>
        <v>0</v>
      </c>
      <c r="BP274" s="536">
        <f t="shared" ca="1" si="200"/>
        <v>2049</v>
      </c>
      <c r="BQ274" s="535">
        <f ca="1"/>
        <v>0</v>
      </c>
      <c r="BS274" s="530">
        <v>273</v>
      </c>
      <c r="BT274" s="531">
        <f t="shared" ca="1" si="227"/>
        <v>54477</v>
      </c>
      <c r="BU274" s="532">
        <f ca="1">IF(BU273=0,SUMIFS('Key Life Events'!$L$3:$L$28,'Key Life Events'!$H$3:$H$28,'Loan Amortization'!$BY$3,'Key Life Events'!$N$3:$N$28,'Loan Amortization'!BT274),BU273-BX273)</f>
        <v>0</v>
      </c>
      <c r="BV274" s="532">
        <f t="shared" ca="1" si="232"/>
        <v>0</v>
      </c>
      <c r="BW274" s="532">
        <f t="shared" ca="1" si="228"/>
        <v>0</v>
      </c>
      <c r="BX274" s="532">
        <f t="shared" ca="1" si="201"/>
        <v>0</v>
      </c>
      <c r="CC274" s="536">
        <f t="shared" ca="1" si="202"/>
        <v>2049</v>
      </c>
      <c r="CD274" s="535">
        <f ca="1"/>
        <v>0</v>
      </c>
      <c r="CF274" s="530">
        <v>273</v>
      </c>
      <c r="CG274" s="531">
        <f t="shared" ca="1" si="229"/>
        <v>54477</v>
      </c>
      <c r="CH274" s="532">
        <f ca="1">IF(CH273=0,SUMIFS('Key Life Events'!$L$3:$L$28,'Key Life Events'!$H$3:$H$28,'Loan Amortization'!$CL$3,'Key Life Events'!$N$3:$N$28,'Loan Amortization'!CG274),CH273-CK273)</f>
        <v>0</v>
      </c>
      <c r="CI274" s="532">
        <f t="shared" ca="1" si="230"/>
        <v>0</v>
      </c>
      <c r="CJ274" s="532">
        <f t="shared" ca="1" si="231"/>
        <v>0</v>
      </c>
      <c r="CK274" s="532">
        <f t="shared" ca="1" si="203"/>
        <v>0</v>
      </c>
      <c r="CP274" s="536">
        <f t="shared" ca="1" si="204"/>
        <v>2049</v>
      </c>
      <c r="CQ274" s="535">
        <f ca="1"/>
        <v>0</v>
      </c>
      <c r="CS274" s="100">
        <f t="shared" si="205"/>
        <v>273</v>
      </c>
      <c r="CT274" s="102">
        <f t="shared" ca="1" si="206"/>
        <v>0</v>
      </c>
      <c r="CU274" s="102">
        <f t="shared" ca="1" si="207"/>
        <v>0</v>
      </c>
      <c r="CV274" s="511">
        <f t="shared" ca="1" si="208"/>
        <v>2049</v>
      </c>
    </row>
    <row r="275" spans="1:100" x14ac:dyDescent="0.3">
      <c r="A275" s="100">
        <v>274</v>
      </c>
      <c r="B275" s="131">
        <f t="shared" si="209"/>
        <v>7485</v>
      </c>
      <c r="C275" s="102">
        <f t="shared" si="210"/>
        <v>0</v>
      </c>
      <c r="D275" s="102">
        <f t="shared" si="211"/>
        <v>0</v>
      </c>
      <c r="E275" s="102">
        <f t="shared" si="191"/>
        <v>0</v>
      </c>
      <c r="F275" s="102">
        <f t="shared" si="212"/>
        <v>0</v>
      </c>
      <c r="L275" s="100">
        <v>274</v>
      </c>
      <c r="M275" s="131">
        <f t="shared" ca="1" si="213"/>
        <v>54505</v>
      </c>
      <c r="N275" s="102">
        <f t="shared" si="214"/>
        <v>0</v>
      </c>
      <c r="O275" s="102">
        <f t="shared" si="215"/>
        <v>0</v>
      </c>
      <c r="P275" s="102">
        <f t="shared" si="192"/>
        <v>0</v>
      </c>
      <c r="Q275" s="102">
        <f t="shared" si="193"/>
        <v>0</v>
      </c>
      <c r="W275" s="100">
        <v>274</v>
      </c>
      <c r="X275" s="131">
        <f t="shared" ca="1" si="216"/>
        <v>54505</v>
      </c>
      <c r="Y275" s="102">
        <f t="shared" si="217"/>
        <v>0</v>
      </c>
      <c r="Z275" s="102">
        <f t="shared" si="218"/>
        <v>0</v>
      </c>
      <c r="AA275" s="102">
        <f t="shared" si="194"/>
        <v>0</v>
      </c>
      <c r="AB275" s="102">
        <f t="shared" si="195"/>
        <v>0</v>
      </c>
      <c r="AH275" s="100">
        <v>274</v>
      </c>
      <c r="AI275" s="131">
        <f t="shared" ca="1" si="219"/>
        <v>54505</v>
      </c>
      <c r="AJ275" s="102">
        <f t="shared" si="220"/>
        <v>0</v>
      </c>
      <c r="AK275" s="102">
        <f t="shared" si="221"/>
        <v>0</v>
      </c>
      <c r="AL275" s="102">
        <f t="shared" si="233"/>
        <v>0</v>
      </c>
      <c r="AM275" s="102">
        <f t="shared" si="196"/>
        <v>0</v>
      </c>
      <c r="AS275" s="530">
        <v>274</v>
      </c>
      <c r="AT275" s="531">
        <f t="shared" ca="1" si="222"/>
        <v>54505</v>
      </c>
      <c r="AU275" s="532">
        <f ca="1">IF(AU274=0,SUMIFS('Key Life Events'!$L$3:$L$28,'Key Life Events'!$H$3:$H$28,'Loan Amortization'!$AY$3,'Key Life Events'!$N$3:$N$28,'Loan Amortization'!AT275),AU274-AX274)</f>
        <v>0</v>
      </c>
      <c r="AV275" s="532">
        <f t="shared" ca="1" si="223"/>
        <v>0</v>
      </c>
      <c r="AW275" s="532">
        <f t="shared" ca="1" si="190"/>
        <v>0</v>
      </c>
      <c r="AX275" s="532">
        <f t="shared" ca="1" si="197"/>
        <v>0</v>
      </c>
      <c r="BC275" s="536">
        <f t="shared" ca="1" si="198"/>
        <v>2049</v>
      </c>
      <c r="BF275" s="530">
        <v>274</v>
      </c>
      <c r="BG275" s="531">
        <f t="shared" ca="1" si="224"/>
        <v>54505</v>
      </c>
      <c r="BH275" s="532">
        <f ca="1">IF(BH274=0,SUMIFS('Key Life Events'!$L$3:$L$28,'Key Life Events'!$H$3:$H$28,'Loan Amortization'!$BL$3,'Key Life Events'!$N$3:$N$28,'Loan Amortization'!BG275),BH274-BK274)</f>
        <v>0</v>
      </c>
      <c r="BI275" s="532">
        <f t="shared" ca="1" si="225"/>
        <v>0</v>
      </c>
      <c r="BJ275" s="532">
        <f t="shared" ca="1" si="226"/>
        <v>0</v>
      </c>
      <c r="BK275" s="532">
        <f t="shared" ca="1" si="199"/>
        <v>0</v>
      </c>
      <c r="BP275" s="536">
        <f t="shared" ca="1" si="200"/>
        <v>2049</v>
      </c>
      <c r="BQ275" s="535">
        <f ca="1"/>
        <v>0</v>
      </c>
      <c r="BS275" s="530">
        <v>274</v>
      </c>
      <c r="BT275" s="531">
        <f t="shared" ca="1" si="227"/>
        <v>54505</v>
      </c>
      <c r="BU275" s="532">
        <f ca="1">IF(BU274=0,SUMIFS('Key Life Events'!$L$3:$L$28,'Key Life Events'!$H$3:$H$28,'Loan Amortization'!$BY$3,'Key Life Events'!$N$3:$N$28,'Loan Amortization'!BT275),BU274-BX274)</f>
        <v>0</v>
      </c>
      <c r="BV275" s="532">
        <f t="shared" ca="1" si="232"/>
        <v>0</v>
      </c>
      <c r="BW275" s="532">
        <f t="shared" ca="1" si="228"/>
        <v>0</v>
      </c>
      <c r="BX275" s="532">
        <f t="shared" ca="1" si="201"/>
        <v>0</v>
      </c>
      <c r="CC275" s="536">
        <f t="shared" ca="1" si="202"/>
        <v>2049</v>
      </c>
      <c r="CD275" s="535">
        <f ca="1"/>
        <v>0</v>
      </c>
      <c r="CF275" s="530">
        <v>274</v>
      </c>
      <c r="CG275" s="531">
        <f t="shared" ca="1" si="229"/>
        <v>54505</v>
      </c>
      <c r="CH275" s="532">
        <f ca="1">IF(CH274=0,SUMIFS('Key Life Events'!$L$3:$L$28,'Key Life Events'!$H$3:$H$28,'Loan Amortization'!$CL$3,'Key Life Events'!$N$3:$N$28,'Loan Amortization'!CG275),CH274-CK274)</f>
        <v>0</v>
      </c>
      <c r="CI275" s="532">
        <f t="shared" ca="1" si="230"/>
        <v>0</v>
      </c>
      <c r="CJ275" s="532">
        <f t="shared" ca="1" si="231"/>
        <v>0</v>
      </c>
      <c r="CK275" s="532">
        <f t="shared" ca="1" si="203"/>
        <v>0</v>
      </c>
      <c r="CP275" s="536">
        <f t="shared" ca="1" si="204"/>
        <v>2049</v>
      </c>
      <c r="CQ275" s="535">
        <f ca="1"/>
        <v>0</v>
      </c>
      <c r="CS275" s="100">
        <f t="shared" si="205"/>
        <v>274</v>
      </c>
      <c r="CT275" s="102">
        <f t="shared" ca="1" si="206"/>
        <v>0</v>
      </c>
      <c r="CU275" s="102">
        <f t="shared" ca="1" si="207"/>
        <v>0</v>
      </c>
      <c r="CV275" s="511">
        <f t="shared" ca="1" si="208"/>
        <v>2049</v>
      </c>
    </row>
    <row r="276" spans="1:100" x14ac:dyDescent="0.3">
      <c r="A276" s="100">
        <v>275</v>
      </c>
      <c r="B276" s="131">
        <f t="shared" si="209"/>
        <v>7515</v>
      </c>
      <c r="C276" s="102">
        <f t="shared" si="210"/>
        <v>0</v>
      </c>
      <c r="D276" s="102">
        <f t="shared" si="211"/>
        <v>0</v>
      </c>
      <c r="E276" s="102">
        <f t="shared" si="191"/>
        <v>0</v>
      </c>
      <c r="F276" s="102">
        <f t="shared" si="212"/>
        <v>0</v>
      </c>
      <c r="L276" s="100">
        <v>275</v>
      </c>
      <c r="M276" s="131">
        <f t="shared" ca="1" si="213"/>
        <v>54536</v>
      </c>
      <c r="N276" s="102">
        <f t="shared" si="214"/>
        <v>0</v>
      </c>
      <c r="O276" s="102">
        <f t="shared" si="215"/>
        <v>0</v>
      </c>
      <c r="P276" s="102">
        <f t="shared" si="192"/>
        <v>0</v>
      </c>
      <c r="Q276" s="102">
        <f t="shared" si="193"/>
        <v>0</v>
      </c>
      <c r="W276" s="100">
        <v>275</v>
      </c>
      <c r="X276" s="131">
        <f t="shared" ca="1" si="216"/>
        <v>54536</v>
      </c>
      <c r="Y276" s="102">
        <f t="shared" si="217"/>
        <v>0</v>
      </c>
      <c r="Z276" s="102">
        <f t="shared" si="218"/>
        <v>0</v>
      </c>
      <c r="AA276" s="102">
        <f t="shared" si="194"/>
        <v>0</v>
      </c>
      <c r="AB276" s="102">
        <f t="shared" si="195"/>
        <v>0</v>
      </c>
      <c r="AH276" s="100">
        <v>275</v>
      </c>
      <c r="AI276" s="131">
        <f t="shared" ca="1" si="219"/>
        <v>54536</v>
      </c>
      <c r="AJ276" s="102">
        <f t="shared" si="220"/>
        <v>0</v>
      </c>
      <c r="AK276" s="102">
        <f t="shared" si="221"/>
        <v>0</v>
      </c>
      <c r="AL276" s="102">
        <f t="shared" si="233"/>
        <v>0</v>
      </c>
      <c r="AM276" s="102">
        <f t="shared" si="196"/>
        <v>0</v>
      </c>
      <c r="AS276" s="530">
        <v>275</v>
      </c>
      <c r="AT276" s="531">
        <f t="shared" ca="1" si="222"/>
        <v>54536</v>
      </c>
      <c r="AU276" s="532">
        <f ca="1">IF(AU275=0,SUMIFS('Key Life Events'!$L$3:$L$28,'Key Life Events'!$H$3:$H$28,'Loan Amortization'!$AY$3,'Key Life Events'!$N$3:$N$28,'Loan Amortization'!AT276),AU275-AX275)</f>
        <v>0</v>
      </c>
      <c r="AV276" s="532">
        <f t="shared" ca="1" si="223"/>
        <v>0</v>
      </c>
      <c r="AW276" s="532">
        <f t="shared" ca="1" si="190"/>
        <v>0</v>
      </c>
      <c r="AX276" s="532">
        <f t="shared" ca="1" si="197"/>
        <v>0</v>
      </c>
      <c r="BC276" s="536">
        <f t="shared" ca="1" si="198"/>
        <v>2049</v>
      </c>
      <c r="BF276" s="530">
        <v>275</v>
      </c>
      <c r="BG276" s="531">
        <f t="shared" ca="1" si="224"/>
        <v>54536</v>
      </c>
      <c r="BH276" s="532">
        <f ca="1">IF(BH275=0,SUMIFS('Key Life Events'!$L$3:$L$28,'Key Life Events'!$H$3:$H$28,'Loan Amortization'!$BL$3,'Key Life Events'!$N$3:$N$28,'Loan Amortization'!BG276),BH275-BK275)</f>
        <v>0</v>
      </c>
      <c r="BI276" s="532">
        <f t="shared" ca="1" si="225"/>
        <v>0</v>
      </c>
      <c r="BJ276" s="532">
        <f t="shared" ca="1" si="226"/>
        <v>0</v>
      </c>
      <c r="BK276" s="532">
        <f t="shared" ca="1" si="199"/>
        <v>0</v>
      </c>
      <c r="BP276" s="536">
        <f t="shared" ca="1" si="200"/>
        <v>2049</v>
      </c>
      <c r="BQ276" s="535">
        <f ca="1"/>
        <v>0</v>
      </c>
      <c r="BS276" s="530">
        <v>275</v>
      </c>
      <c r="BT276" s="531">
        <f t="shared" ca="1" si="227"/>
        <v>54536</v>
      </c>
      <c r="BU276" s="532">
        <f ca="1">IF(BU275=0,SUMIFS('Key Life Events'!$L$3:$L$28,'Key Life Events'!$H$3:$H$28,'Loan Amortization'!$BY$3,'Key Life Events'!$N$3:$N$28,'Loan Amortization'!BT276),BU275-BX275)</f>
        <v>0</v>
      </c>
      <c r="BV276" s="532">
        <f t="shared" ca="1" si="232"/>
        <v>0</v>
      </c>
      <c r="BW276" s="532">
        <f t="shared" ca="1" si="228"/>
        <v>0</v>
      </c>
      <c r="BX276" s="532">
        <f t="shared" ca="1" si="201"/>
        <v>0</v>
      </c>
      <c r="CC276" s="536">
        <f t="shared" ca="1" si="202"/>
        <v>2049</v>
      </c>
      <c r="CD276" s="535">
        <f ca="1"/>
        <v>0</v>
      </c>
      <c r="CF276" s="530">
        <v>275</v>
      </c>
      <c r="CG276" s="531">
        <f t="shared" ca="1" si="229"/>
        <v>54536</v>
      </c>
      <c r="CH276" s="532">
        <f ca="1">IF(CH275=0,SUMIFS('Key Life Events'!$L$3:$L$28,'Key Life Events'!$H$3:$H$28,'Loan Amortization'!$CL$3,'Key Life Events'!$N$3:$N$28,'Loan Amortization'!CG276),CH275-CK275)</f>
        <v>0</v>
      </c>
      <c r="CI276" s="532">
        <f t="shared" ca="1" si="230"/>
        <v>0</v>
      </c>
      <c r="CJ276" s="532">
        <f t="shared" ca="1" si="231"/>
        <v>0</v>
      </c>
      <c r="CK276" s="532">
        <f t="shared" ca="1" si="203"/>
        <v>0</v>
      </c>
      <c r="CP276" s="536">
        <f t="shared" ca="1" si="204"/>
        <v>2049</v>
      </c>
      <c r="CQ276" s="535">
        <f ca="1"/>
        <v>0</v>
      </c>
      <c r="CS276" s="100">
        <f t="shared" si="205"/>
        <v>275</v>
      </c>
      <c r="CT276" s="102">
        <f t="shared" ca="1" si="206"/>
        <v>0</v>
      </c>
      <c r="CU276" s="102">
        <f t="shared" ca="1" si="207"/>
        <v>0</v>
      </c>
      <c r="CV276" s="511">
        <f t="shared" ca="1" si="208"/>
        <v>2049</v>
      </c>
    </row>
    <row r="277" spans="1:100" x14ac:dyDescent="0.3">
      <c r="A277" s="100">
        <v>276</v>
      </c>
      <c r="B277" s="131">
        <f t="shared" si="209"/>
        <v>7546</v>
      </c>
      <c r="C277" s="102">
        <f t="shared" si="210"/>
        <v>0</v>
      </c>
      <c r="D277" s="102">
        <f t="shared" si="211"/>
        <v>0</v>
      </c>
      <c r="E277" s="102">
        <f t="shared" si="191"/>
        <v>0</v>
      </c>
      <c r="F277" s="102">
        <f t="shared" si="212"/>
        <v>0</v>
      </c>
      <c r="L277" s="100">
        <v>276</v>
      </c>
      <c r="M277" s="131">
        <f t="shared" ca="1" si="213"/>
        <v>54566</v>
      </c>
      <c r="N277" s="102">
        <f t="shared" si="214"/>
        <v>0</v>
      </c>
      <c r="O277" s="102">
        <f t="shared" si="215"/>
        <v>0</v>
      </c>
      <c r="P277" s="102">
        <f t="shared" si="192"/>
        <v>0</v>
      </c>
      <c r="Q277" s="102">
        <f t="shared" si="193"/>
        <v>0</v>
      </c>
      <c r="W277" s="100">
        <v>276</v>
      </c>
      <c r="X277" s="131">
        <f t="shared" ca="1" si="216"/>
        <v>54566</v>
      </c>
      <c r="Y277" s="102">
        <f t="shared" si="217"/>
        <v>0</v>
      </c>
      <c r="Z277" s="102">
        <f t="shared" si="218"/>
        <v>0</v>
      </c>
      <c r="AA277" s="102">
        <f t="shared" si="194"/>
        <v>0</v>
      </c>
      <c r="AB277" s="102">
        <f t="shared" si="195"/>
        <v>0</v>
      </c>
      <c r="AH277" s="100">
        <v>276</v>
      </c>
      <c r="AI277" s="131">
        <f t="shared" ca="1" si="219"/>
        <v>54566</v>
      </c>
      <c r="AJ277" s="102">
        <f t="shared" si="220"/>
        <v>0</v>
      </c>
      <c r="AK277" s="102">
        <f t="shared" si="221"/>
        <v>0</v>
      </c>
      <c r="AL277" s="102">
        <f t="shared" si="233"/>
        <v>0</v>
      </c>
      <c r="AM277" s="102">
        <f t="shared" si="196"/>
        <v>0</v>
      </c>
      <c r="AS277" s="530">
        <v>276</v>
      </c>
      <c r="AT277" s="531">
        <f t="shared" ca="1" si="222"/>
        <v>54566</v>
      </c>
      <c r="AU277" s="532">
        <f ca="1">IF(AU276=0,SUMIFS('Key Life Events'!$L$3:$L$28,'Key Life Events'!$H$3:$H$28,'Loan Amortization'!$AY$3,'Key Life Events'!$N$3:$N$28,'Loan Amortization'!AT277),AU276-AX276)</f>
        <v>0</v>
      </c>
      <c r="AV277" s="532">
        <f t="shared" ca="1" si="223"/>
        <v>0</v>
      </c>
      <c r="AW277" s="532">
        <f t="shared" ca="1" si="190"/>
        <v>0</v>
      </c>
      <c r="AX277" s="532">
        <f t="shared" ca="1" si="197"/>
        <v>0</v>
      </c>
      <c r="BC277" s="536">
        <f t="shared" ca="1" si="198"/>
        <v>2049</v>
      </c>
      <c r="BF277" s="530">
        <v>276</v>
      </c>
      <c r="BG277" s="531">
        <f t="shared" ca="1" si="224"/>
        <v>54566</v>
      </c>
      <c r="BH277" s="532">
        <f ca="1">IF(BH276=0,SUMIFS('Key Life Events'!$L$3:$L$28,'Key Life Events'!$H$3:$H$28,'Loan Amortization'!$BL$3,'Key Life Events'!$N$3:$N$28,'Loan Amortization'!BG277),BH276-BK276)</f>
        <v>0</v>
      </c>
      <c r="BI277" s="532">
        <f t="shared" ca="1" si="225"/>
        <v>0</v>
      </c>
      <c r="BJ277" s="532">
        <f t="shared" ca="1" si="226"/>
        <v>0</v>
      </c>
      <c r="BK277" s="532">
        <f t="shared" ca="1" si="199"/>
        <v>0</v>
      </c>
      <c r="BP277" s="536">
        <f t="shared" ca="1" si="200"/>
        <v>2049</v>
      </c>
      <c r="BQ277" s="535">
        <f ca="1"/>
        <v>0</v>
      </c>
      <c r="BS277" s="530">
        <v>276</v>
      </c>
      <c r="BT277" s="531">
        <f t="shared" ca="1" si="227"/>
        <v>54566</v>
      </c>
      <c r="BU277" s="532">
        <f ca="1">IF(BU276=0,SUMIFS('Key Life Events'!$L$3:$L$28,'Key Life Events'!$H$3:$H$28,'Loan Amortization'!$BY$3,'Key Life Events'!$N$3:$N$28,'Loan Amortization'!BT277),BU276-BX276)</f>
        <v>0</v>
      </c>
      <c r="BV277" s="532">
        <f t="shared" ca="1" si="232"/>
        <v>0</v>
      </c>
      <c r="BW277" s="532">
        <f t="shared" ca="1" si="228"/>
        <v>0</v>
      </c>
      <c r="BX277" s="532">
        <f t="shared" ca="1" si="201"/>
        <v>0</v>
      </c>
      <c r="CC277" s="536">
        <f t="shared" ca="1" si="202"/>
        <v>2049</v>
      </c>
      <c r="CD277" s="535">
        <f ca="1"/>
        <v>0</v>
      </c>
      <c r="CF277" s="530">
        <v>276</v>
      </c>
      <c r="CG277" s="531">
        <f t="shared" ca="1" si="229"/>
        <v>54566</v>
      </c>
      <c r="CH277" s="532">
        <f ca="1">IF(CH276=0,SUMIFS('Key Life Events'!$L$3:$L$28,'Key Life Events'!$H$3:$H$28,'Loan Amortization'!$CL$3,'Key Life Events'!$N$3:$N$28,'Loan Amortization'!CG277),CH276-CK276)</f>
        <v>0</v>
      </c>
      <c r="CI277" s="532">
        <f t="shared" ca="1" si="230"/>
        <v>0</v>
      </c>
      <c r="CJ277" s="532">
        <f t="shared" ca="1" si="231"/>
        <v>0</v>
      </c>
      <c r="CK277" s="532">
        <f t="shared" ca="1" si="203"/>
        <v>0</v>
      </c>
      <c r="CP277" s="536">
        <f t="shared" ca="1" si="204"/>
        <v>2049</v>
      </c>
      <c r="CQ277" s="535">
        <f ca="1"/>
        <v>0</v>
      </c>
      <c r="CS277" s="100">
        <f t="shared" si="205"/>
        <v>276</v>
      </c>
      <c r="CT277" s="102">
        <f t="shared" ca="1" si="206"/>
        <v>0</v>
      </c>
      <c r="CU277" s="102">
        <f t="shared" ca="1" si="207"/>
        <v>0</v>
      </c>
      <c r="CV277" s="511">
        <f t="shared" ca="1" si="208"/>
        <v>2049</v>
      </c>
    </row>
    <row r="278" spans="1:100" x14ac:dyDescent="0.3">
      <c r="A278" s="100">
        <v>277</v>
      </c>
      <c r="B278" s="131">
        <f t="shared" si="209"/>
        <v>7577</v>
      </c>
      <c r="C278" s="102">
        <f t="shared" si="210"/>
        <v>0</v>
      </c>
      <c r="D278" s="102">
        <f t="shared" si="211"/>
        <v>0</v>
      </c>
      <c r="E278" s="102">
        <f t="shared" si="191"/>
        <v>0</v>
      </c>
      <c r="F278" s="102">
        <f t="shared" si="212"/>
        <v>0</v>
      </c>
      <c r="L278" s="100">
        <v>277</v>
      </c>
      <c r="M278" s="131">
        <f t="shared" ca="1" si="213"/>
        <v>54597</v>
      </c>
      <c r="N278" s="102">
        <f t="shared" si="214"/>
        <v>0</v>
      </c>
      <c r="O278" s="102">
        <f t="shared" si="215"/>
        <v>0</v>
      </c>
      <c r="P278" s="102">
        <f t="shared" si="192"/>
        <v>0</v>
      </c>
      <c r="Q278" s="102">
        <f t="shared" si="193"/>
        <v>0</v>
      </c>
      <c r="W278" s="100">
        <v>277</v>
      </c>
      <c r="X278" s="131">
        <f t="shared" ca="1" si="216"/>
        <v>54597</v>
      </c>
      <c r="Y278" s="102">
        <f t="shared" si="217"/>
        <v>0</v>
      </c>
      <c r="Z278" s="102">
        <f t="shared" si="218"/>
        <v>0</v>
      </c>
      <c r="AA278" s="102">
        <f t="shared" si="194"/>
        <v>0</v>
      </c>
      <c r="AB278" s="102">
        <f t="shared" si="195"/>
        <v>0</v>
      </c>
      <c r="AH278" s="100">
        <v>277</v>
      </c>
      <c r="AI278" s="131">
        <f t="shared" ca="1" si="219"/>
        <v>54597</v>
      </c>
      <c r="AJ278" s="102">
        <f t="shared" si="220"/>
        <v>0</v>
      </c>
      <c r="AK278" s="102">
        <f t="shared" si="221"/>
        <v>0</v>
      </c>
      <c r="AL278" s="102">
        <f t="shared" si="233"/>
        <v>0</v>
      </c>
      <c r="AM278" s="102">
        <f t="shared" si="196"/>
        <v>0</v>
      </c>
      <c r="AS278" s="530">
        <v>277</v>
      </c>
      <c r="AT278" s="531">
        <f t="shared" ca="1" si="222"/>
        <v>54597</v>
      </c>
      <c r="AU278" s="532">
        <f ca="1">IF(AU277=0,SUMIFS('Key Life Events'!$L$3:$L$28,'Key Life Events'!$H$3:$H$28,'Loan Amortization'!$AY$3,'Key Life Events'!$N$3:$N$28,'Loan Amortization'!AT278),AU277-AX277)</f>
        <v>0</v>
      </c>
      <c r="AV278" s="532">
        <f t="shared" ca="1" si="223"/>
        <v>0</v>
      </c>
      <c r="AW278" s="532">
        <f t="shared" ca="1" si="190"/>
        <v>0</v>
      </c>
      <c r="AX278" s="532">
        <f t="shared" ca="1" si="197"/>
        <v>0</v>
      </c>
      <c r="BC278" s="536">
        <f t="shared" ca="1" si="198"/>
        <v>2049</v>
      </c>
      <c r="BF278" s="530">
        <v>277</v>
      </c>
      <c r="BG278" s="531">
        <f t="shared" ca="1" si="224"/>
        <v>54597</v>
      </c>
      <c r="BH278" s="532">
        <f ca="1">IF(BH277=0,SUMIFS('Key Life Events'!$L$3:$L$28,'Key Life Events'!$H$3:$H$28,'Loan Amortization'!$BL$3,'Key Life Events'!$N$3:$N$28,'Loan Amortization'!BG278),BH277-BK277)</f>
        <v>0</v>
      </c>
      <c r="BI278" s="532">
        <f t="shared" ca="1" si="225"/>
        <v>0</v>
      </c>
      <c r="BJ278" s="532">
        <f t="shared" ca="1" si="226"/>
        <v>0</v>
      </c>
      <c r="BK278" s="532">
        <f t="shared" ca="1" si="199"/>
        <v>0</v>
      </c>
      <c r="BP278" s="536">
        <f t="shared" ca="1" si="200"/>
        <v>2049</v>
      </c>
      <c r="BQ278" s="535">
        <f ca="1"/>
        <v>0</v>
      </c>
      <c r="BS278" s="530">
        <v>277</v>
      </c>
      <c r="BT278" s="531">
        <f t="shared" ca="1" si="227"/>
        <v>54597</v>
      </c>
      <c r="BU278" s="532">
        <f ca="1">IF(BU277=0,SUMIFS('Key Life Events'!$L$3:$L$28,'Key Life Events'!$H$3:$H$28,'Loan Amortization'!$BY$3,'Key Life Events'!$N$3:$N$28,'Loan Amortization'!BT278),BU277-BX277)</f>
        <v>0</v>
      </c>
      <c r="BV278" s="532">
        <f t="shared" ca="1" si="232"/>
        <v>0</v>
      </c>
      <c r="BW278" s="532">
        <f t="shared" ca="1" si="228"/>
        <v>0</v>
      </c>
      <c r="BX278" s="532">
        <f t="shared" ca="1" si="201"/>
        <v>0</v>
      </c>
      <c r="CC278" s="536">
        <f t="shared" ca="1" si="202"/>
        <v>2049</v>
      </c>
      <c r="CD278" s="535">
        <f ca="1"/>
        <v>0</v>
      </c>
      <c r="CF278" s="530">
        <v>277</v>
      </c>
      <c r="CG278" s="531">
        <f t="shared" ca="1" si="229"/>
        <v>54597</v>
      </c>
      <c r="CH278" s="532">
        <f ca="1">IF(CH277=0,SUMIFS('Key Life Events'!$L$3:$L$28,'Key Life Events'!$H$3:$H$28,'Loan Amortization'!$CL$3,'Key Life Events'!$N$3:$N$28,'Loan Amortization'!CG278),CH277-CK277)</f>
        <v>0</v>
      </c>
      <c r="CI278" s="532">
        <f t="shared" ca="1" si="230"/>
        <v>0</v>
      </c>
      <c r="CJ278" s="532">
        <f t="shared" ca="1" si="231"/>
        <v>0</v>
      </c>
      <c r="CK278" s="532">
        <f t="shared" ca="1" si="203"/>
        <v>0</v>
      </c>
      <c r="CP278" s="536">
        <f t="shared" ca="1" si="204"/>
        <v>2049</v>
      </c>
      <c r="CQ278" s="535">
        <f ca="1"/>
        <v>0</v>
      </c>
      <c r="CS278" s="100">
        <f t="shared" si="205"/>
        <v>277</v>
      </c>
      <c r="CT278" s="102">
        <f t="shared" ca="1" si="206"/>
        <v>0</v>
      </c>
      <c r="CU278" s="102">
        <f t="shared" ca="1" si="207"/>
        <v>0</v>
      </c>
      <c r="CV278" s="511">
        <f t="shared" ca="1" si="208"/>
        <v>2049</v>
      </c>
    </row>
    <row r="279" spans="1:100" x14ac:dyDescent="0.3">
      <c r="A279" s="100">
        <v>278</v>
      </c>
      <c r="B279" s="131">
        <f t="shared" si="209"/>
        <v>7607</v>
      </c>
      <c r="C279" s="102">
        <f t="shared" si="210"/>
        <v>0</v>
      </c>
      <c r="D279" s="102">
        <f t="shared" si="211"/>
        <v>0</v>
      </c>
      <c r="E279" s="102">
        <f t="shared" si="191"/>
        <v>0</v>
      </c>
      <c r="F279" s="102">
        <f t="shared" si="212"/>
        <v>0</v>
      </c>
      <c r="L279" s="100">
        <v>278</v>
      </c>
      <c r="M279" s="131">
        <f t="shared" ca="1" si="213"/>
        <v>54627</v>
      </c>
      <c r="N279" s="102">
        <f t="shared" si="214"/>
        <v>0</v>
      </c>
      <c r="O279" s="102">
        <f t="shared" si="215"/>
        <v>0</v>
      </c>
      <c r="P279" s="102">
        <f t="shared" si="192"/>
        <v>0</v>
      </c>
      <c r="Q279" s="102">
        <f t="shared" si="193"/>
        <v>0</v>
      </c>
      <c r="W279" s="100">
        <v>278</v>
      </c>
      <c r="X279" s="131">
        <f t="shared" ca="1" si="216"/>
        <v>54627</v>
      </c>
      <c r="Y279" s="102">
        <f t="shared" si="217"/>
        <v>0</v>
      </c>
      <c r="Z279" s="102">
        <f t="shared" si="218"/>
        <v>0</v>
      </c>
      <c r="AA279" s="102">
        <f t="shared" si="194"/>
        <v>0</v>
      </c>
      <c r="AB279" s="102">
        <f t="shared" si="195"/>
        <v>0</v>
      </c>
      <c r="AH279" s="100">
        <v>278</v>
      </c>
      <c r="AI279" s="131">
        <f t="shared" ca="1" si="219"/>
        <v>54627</v>
      </c>
      <c r="AJ279" s="102">
        <f t="shared" si="220"/>
        <v>0</v>
      </c>
      <c r="AK279" s="102">
        <f t="shared" si="221"/>
        <v>0</v>
      </c>
      <c r="AL279" s="102">
        <f t="shared" si="233"/>
        <v>0</v>
      </c>
      <c r="AM279" s="102">
        <f t="shared" si="196"/>
        <v>0</v>
      </c>
      <c r="AS279" s="530">
        <v>278</v>
      </c>
      <c r="AT279" s="531">
        <f t="shared" ca="1" si="222"/>
        <v>54627</v>
      </c>
      <c r="AU279" s="532">
        <f ca="1">IF(AU278=0,SUMIFS('Key Life Events'!$L$3:$L$28,'Key Life Events'!$H$3:$H$28,'Loan Amortization'!$AY$3,'Key Life Events'!$N$3:$N$28,'Loan Amortization'!AT279),AU278-AX278)</f>
        <v>0</v>
      </c>
      <c r="AV279" s="532">
        <f t="shared" ca="1" si="223"/>
        <v>0</v>
      </c>
      <c r="AW279" s="532">
        <f t="shared" ca="1" si="190"/>
        <v>0</v>
      </c>
      <c r="AX279" s="532">
        <f t="shared" ca="1" si="197"/>
        <v>0</v>
      </c>
      <c r="BC279" s="536">
        <f t="shared" ca="1" si="198"/>
        <v>2049</v>
      </c>
      <c r="BF279" s="530">
        <v>278</v>
      </c>
      <c r="BG279" s="531">
        <f t="shared" ca="1" si="224"/>
        <v>54627</v>
      </c>
      <c r="BH279" s="532">
        <f ca="1">IF(BH278=0,SUMIFS('Key Life Events'!$L$3:$L$28,'Key Life Events'!$H$3:$H$28,'Loan Amortization'!$BL$3,'Key Life Events'!$N$3:$N$28,'Loan Amortization'!BG279),BH278-BK278)</f>
        <v>0</v>
      </c>
      <c r="BI279" s="532">
        <f t="shared" ca="1" si="225"/>
        <v>0</v>
      </c>
      <c r="BJ279" s="532">
        <f t="shared" ca="1" si="226"/>
        <v>0</v>
      </c>
      <c r="BK279" s="532">
        <f t="shared" ca="1" si="199"/>
        <v>0</v>
      </c>
      <c r="BP279" s="536">
        <f t="shared" ca="1" si="200"/>
        <v>2049</v>
      </c>
      <c r="BQ279" s="535">
        <f ca="1"/>
        <v>0</v>
      </c>
      <c r="BS279" s="530">
        <v>278</v>
      </c>
      <c r="BT279" s="531">
        <f t="shared" ca="1" si="227"/>
        <v>54627</v>
      </c>
      <c r="BU279" s="532">
        <f ca="1">IF(BU278=0,SUMIFS('Key Life Events'!$L$3:$L$28,'Key Life Events'!$H$3:$H$28,'Loan Amortization'!$BY$3,'Key Life Events'!$N$3:$N$28,'Loan Amortization'!BT279),BU278-BX278)</f>
        <v>0</v>
      </c>
      <c r="BV279" s="532">
        <f t="shared" ca="1" si="232"/>
        <v>0</v>
      </c>
      <c r="BW279" s="532">
        <f t="shared" ca="1" si="228"/>
        <v>0</v>
      </c>
      <c r="BX279" s="532">
        <f t="shared" ca="1" si="201"/>
        <v>0</v>
      </c>
      <c r="CC279" s="536">
        <f t="shared" ca="1" si="202"/>
        <v>2049</v>
      </c>
      <c r="CD279" s="535">
        <f ca="1"/>
        <v>0</v>
      </c>
      <c r="CF279" s="530">
        <v>278</v>
      </c>
      <c r="CG279" s="531">
        <f t="shared" ca="1" si="229"/>
        <v>54627</v>
      </c>
      <c r="CH279" s="532">
        <f ca="1">IF(CH278=0,SUMIFS('Key Life Events'!$L$3:$L$28,'Key Life Events'!$H$3:$H$28,'Loan Amortization'!$CL$3,'Key Life Events'!$N$3:$N$28,'Loan Amortization'!CG279),CH278-CK278)</f>
        <v>0</v>
      </c>
      <c r="CI279" s="532">
        <f t="shared" ca="1" si="230"/>
        <v>0</v>
      </c>
      <c r="CJ279" s="532">
        <f t="shared" ca="1" si="231"/>
        <v>0</v>
      </c>
      <c r="CK279" s="532">
        <f t="shared" ca="1" si="203"/>
        <v>0</v>
      </c>
      <c r="CP279" s="536">
        <f t="shared" ca="1" si="204"/>
        <v>2049</v>
      </c>
      <c r="CQ279" s="535">
        <f ca="1"/>
        <v>0</v>
      </c>
      <c r="CS279" s="100">
        <f t="shared" si="205"/>
        <v>278</v>
      </c>
      <c r="CT279" s="102">
        <f t="shared" ca="1" si="206"/>
        <v>0</v>
      </c>
      <c r="CU279" s="102">
        <f t="shared" ca="1" si="207"/>
        <v>0</v>
      </c>
      <c r="CV279" s="511">
        <f t="shared" ca="1" si="208"/>
        <v>2049</v>
      </c>
    </row>
    <row r="280" spans="1:100" x14ac:dyDescent="0.3">
      <c r="A280" s="100">
        <v>279</v>
      </c>
      <c r="B280" s="131">
        <f t="shared" si="209"/>
        <v>7638</v>
      </c>
      <c r="C280" s="102">
        <f t="shared" si="210"/>
        <v>0</v>
      </c>
      <c r="D280" s="102">
        <f t="shared" si="211"/>
        <v>0</v>
      </c>
      <c r="E280" s="102">
        <f t="shared" si="191"/>
        <v>0</v>
      </c>
      <c r="F280" s="102">
        <f t="shared" si="212"/>
        <v>0</v>
      </c>
      <c r="L280" s="100">
        <v>279</v>
      </c>
      <c r="M280" s="131">
        <f t="shared" ca="1" si="213"/>
        <v>54658</v>
      </c>
      <c r="N280" s="102">
        <f t="shared" si="214"/>
        <v>0</v>
      </c>
      <c r="O280" s="102">
        <f t="shared" si="215"/>
        <v>0</v>
      </c>
      <c r="P280" s="102">
        <f t="shared" si="192"/>
        <v>0</v>
      </c>
      <c r="Q280" s="102">
        <f t="shared" si="193"/>
        <v>0</v>
      </c>
      <c r="W280" s="100">
        <v>279</v>
      </c>
      <c r="X280" s="131">
        <f t="shared" ca="1" si="216"/>
        <v>54658</v>
      </c>
      <c r="Y280" s="102">
        <f t="shared" si="217"/>
        <v>0</v>
      </c>
      <c r="Z280" s="102">
        <f t="shared" si="218"/>
        <v>0</v>
      </c>
      <c r="AA280" s="102">
        <f t="shared" si="194"/>
        <v>0</v>
      </c>
      <c r="AB280" s="102">
        <f t="shared" si="195"/>
        <v>0</v>
      </c>
      <c r="AH280" s="100">
        <v>279</v>
      </c>
      <c r="AI280" s="131">
        <f t="shared" ca="1" si="219"/>
        <v>54658</v>
      </c>
      <c r="AJ280" s="102">
        <f t="shared" si="220"/>
        <v>0</v>
      </c>
      <c r="AK280" s="102">
        <f t="shared" si="221"/>
        <v>0</v>
      </c>
      <c r="AL280" s="102">
        <f t="shared" si="233"/>
        <v>0</v>
      </c>
      <c r="AM280" s="102">
        <f t="shared" si="196"/>
        <v>0</v>
      </c>
      <c r="AS280" s="530">
        <v>279</v>
      </c>
      <c r="AT280" s="531">
        <f t="shared" ca="1" si="222"/>
        <v>54658</v>
      </c>
      <c r="AU280" s="532">
        <f ca="1">IF(AU279=0,SUMIFS('Key Life Events'!$L$3:$L$28,'Key Life Events'!$H$3:$H$28,'Loan Amortization'!$AY$3,'Key Life Events'!$N$3:$N$28,'Loan Amortization'!AT280),AU279-AX279)</f>
        <v>0</v>
      </c>
      <c r="AV280" s="532">
        <f t="shared" ca="1" si="223"/>
        <v>0</v>
      </c>
      <c r="AW280" s="532">
        <f t="shared" ca="1" si="190"/>
        <v>0</v>
      </c>
      <c r="AX280" s="532">
        <f t="shared" ca="1" si="197"/>
        <v>0</v>
      </c>
      <c r="BC280" s="536">
        <f t="shared" ca="1" si="198"/>
        <v>2049</v>
      </c>
      <c r="BF280" s="530">
        <v>279</v>
      </c>
      <c r="BG280" s="531">
        <f t="shared" ca="1" si="224"/>
        <v>54658</v>
      </c>
      <c r="BH280" s="532">
        <f ca="1">IF(BH279=0,SUMIFS('Key Life Events'!$L$3:$L$28,'Key Life Events'!$H$3:$H$28,'Loan Amortization'!$BL$3,'Key Life Events'!$N$3:$N$28,'Loan Amortization'!BG280),BH279-BK279)</f>
        <v>0</v>
      </c>
      <c r="BI280" s="532">
        <f t="shared" ca="1" si="225"/>
        <v>0</v>
      </c>
      <c r="BJ280" s="532">
        <f t="shared" ca="1" si="226"/>
        <v>0</v>
      </c>
      <c r="BK280" s="532">
        <f t="shared" ca="1" si="199"/>
        <v>0</v>
      </c>
      <c r="BP280" s="536">
        <f t="shared" ca="1" si="200"/>
        <v>2049</v>
      </c>
      <c r="BQ280" s="535">
        <f ca="1"/>
        <v>0</v>
      </c>
      <c r="BS280" s="530">
        <v>279</v>
      </c>
      <c r="BT280" s="531">
        <f t="shared" ca="1" si="227"/>
        <v>54658</v>
      </c>
      <c r="BU280" s="532">
        <f ca="1">IF(BU279=0,SUMIFS('Key Life Events'!$L$3:$L$28,'Key Life Events'!$H$3:$H$28,'Loan Amortization'!$BY$3,'Key Life Events'!$N$3:$N$28,'Loan Amortization'!BT280),BU279-BX279)</f>
        <v>0</v>
      </c>
      <c r="BV280" s="532">
        <f t="shared" ca="1" si="232"/>
        <v>0</v>
      </c>
      <c r="BW280" s="532">
        <f t="shared" ca="1" si="228"/>
        <v>0</v>
      </c>
      <c r="BX280" s="532">
        <f t="shared" ca="1" si="201"/>
        <v>0</v>
      </c>
      <c r="CC280" s="536">
        <f t="shared" ca="1" si="202"/>
        <v>2049</v>
      </c>
      <c r="CD280" s="535">
        <f ca="1"/>
        <v>0</v>
      </c>
      <c r="CF280" s="530">
        <v>279</v>
      </c>
      <c r="CG280" s="531">
        <f t="shared" ca="1" si="229"/>
        <v>54658</v>
      </c>
      <c r="CH280" s="532">
        <f ca="1">IF(CH279=0,SUMIFS('Key Life Events'!$L$3:$L$28,'Key Life Events'!$H$3:$H$28,'Loan Amortization'!$CL$3,'Key Life Events'!$N$3:$N$28,'Loan Amortization'!CG280),CH279-CK279)</f>
        <v>0</v>
      </c>
      <c r="CI280" s="532">
        <f t="shared" ca="1" si="230"/>
        <v>0</v>
      </c>
      <c r="CJ280" s="532">
        <f t="shared" ca="1" si="231"/>
        <v>0</v>
      </c>
      <c r="CK280" s="532">
        <f t="shared" ca="1" si="203"/>
        <v>0</v>
      </c>
      <c r="CP280" s="536">
        <f t="shared" ca="1" si="204"/>
        <v>2049</v>
      </c>
      <c r="CQ280" s="535">
        <f ca="1"/>
        <v>0</v>
      </c>
      <c r="CS280" s="100">
        <f t="shared" si="205"/>
        <v>279</v>
      </c>
      <c r="CT280" s="102">
        <f t="shared" ca="1" si="206"/>
        <v>0</v>
      </c>
      <c r="CU280" s="102">
        <f t="shared" ca="1" si="207"/>
        <v>0</v>
      </c>
      <c r="CV280" s="511">
        <f t="shared" ca="1" si="208"/>
        <v>2049</v>
      </c>
    </row>
    <row r="281" spans="1:100" x14ac:dyDescent="0.3">
      <c r="A281" s="100">
        <v>280</v>
      </c>
      <c r="B281" s="131">
        <f t="shared" si="209"/>
        <v>7668</v>
      </c>
      <c r="C281" s="102">
        <f t="shared" si="210"/>
        <v>0</v>
      </c>
      <c r="D281" s="102">
        <f t="shared" si="211"/>
        <v>0</v>
      </c>
      <c r="E281" s="102">
        <f t="shared" si="191"/>
        <v>0</v>
      </c>
      <c r="F281" s="102">
        <f t="shared" si="212"/>
        <v>0</v>
      </c>
      <c r="L281" s="100">
        <v>280</v>
      </c>
      <c r="M281" s="131">
        <f t="shared" ca="1" si="213"/>
        <v>54689</v>
      </c>
      <c r="N281" s="102">
        <f t="shared" si="214"/>
        <v>0</v>
      </c>
      <c r="O281" s="102">
        <f t="shared" si="215"/>
        <v>0</v>
      </c>
      <c r="P281" s="102">
        <f t="shared" si="192"/>
        <v>0</v>
      </c>
      <c r="Q281" s="102">
        <f t="shared" si="193"/>
        <v>0</v>
      </c>
      <c r="W281" s="100">
        <v>280</v>
      </c>
      <c r="X281" s="131">
        <f t="shared" ca="1" si="216"/>
        <v>54689</v>
      </c>
      <c r="Y281" s="102">
        <f t="shared" si="217"/>
        <v>0</v>
      </c>
      <c r="Z281" s="102">
        <f t="shared" si="218"/>
        <v>0</v>
      </c>
      <c r="AA281" s="102">
        <f t="shared" si="194"/>
        <v>0</v>
      </c>
      <c r="AB281" s="102">
        <f t="shared" si="195"/>
        <v>0</v>
      </c>
      <c r="AH281" s="100">
        <v>280</v>
      </c>
      <c r="AI281" s="131">
        <f t="shared" ca="1" si="219"/>
        <v>54689</v>
      </c>
      <c r="AJ281" s="102">
        <f t="shared" si="220"/>
        <v>0</v>
      </c>
      <c r="AK281" s="102">
        <f t="shared" si="221"/>
        <v>0</v>
      </c>
      <c r="AL281" s="102">
        <f t="shared" si="233"/>
        <v>0</v>
      </c>
      <c r="AM281" s="102">
        <f t="shared" si="196"/>
        <v>0</v>
      </c>
      <c r="AS281" s="530">
        <v>280</v>
      </c>
      <c r="AT281" s="531">
        <f t="shared" ca="1" si="222"/>
        <v>54689</v>
      </c>
      <c r="AU281" s="532">
        <f ca="1">IF(AU280=0,SUMIFS('Key Life Events'!$L$3:$L$28,'Key Life Events'!$H$3:$H$28,'Loan Amortization'!$AY$3,'Key Life Events'!$N$3:$N$28,'Loan Amortization'!AT281),AU280-AX280)</f>
        <v>0</v>
      </c>
      <c r="AV281" s="532">
        <f t="shared" ca="1" si="223"/>
        <v>0</v>
      </c>
      <c r="AW281" s="532">
        <f t="shared" ca="1" si="190"/>
        <v>0</v>
      </c>
      <c r="AX281" s="532">
        <f t="shared" ca="1" si="197"/>
        <v>0</v>
      </c>
      <c r="BC281" s="536">
        <f t="shared" ca="1" si="198"/>
        <v>2049</v>
      </c>
      <c r="BF281" s="530">
        <v>280</v>
      </c>
      <c r="BG281" s="531">
        <f t="shared" ca="1" si="224"/>
        <v>54689</v>
      </c>
      <c r="BH281" s="532">
        <f ca="1">IF(BH280=0,SUMIFS('Key Life Events'!$L$3:$L$28,'Key Life Events'!$H$3:$H$28,'Loan Amortization'!$BL$3,'Key Life Events'!$N$3:$N$28,'Loan Amortization'!BG281),BH280-BK280)</f>
        <v>0</v>
      </c>
      <c r="BI281" s="532">
        <f t="shared" ca="1" si="225"/>
        <v>0</v>
      </c>
      <c r="BJ281" s="532">
        <f t="shared" ca="1" si="226"/>
        <v>0</v>
      </c>
      <c r="BK281" s="532">
        <f t="shared" ca="1" si="199"/>
        <v>0</v>
      </c>
      <c r="BP281" s="536">
        <f t="shared" ca="1" si="200"/>
        <v>2049</v>
      </c>
      <c r="BQ281" s="535">
        <f ca="1"/>
        <v>0</v>
      </c>
      <c r="BS281" s="530">
        <v>280</v>
      </c>
      <c r="BT281" s="531">
        <f t="shared" ca="1" si="227"/>
        <v>54689</v>
      </c>
      <c r="BU281" s="532">
        <f ca="1">IF(BU280=0,SUMIFS('Key Life Events'!$L$3:$L$28,'Key Life Events'!$H$3:$H$28,'Loan Amortization'!$BY$3,'Key Life Events'!$N$3:$N$28,'Loan Amortization'!BT281),BU280-BX280)</f>
        <v>0</v>
      </c>
      <c r="BV281" s="532">
        <f t="shared" ca="1" si="232"/>
        <v>0</v>
      </c>
      <c r="BW281" s="532">
        <f t="shared" ca="1" si="228"/>
        <v>0</v>
      </c>
      <c r="BX281" s="532">
        <f t="shared" ca="1" si="201"/>
        <v>0</v>
      </c>
      <c r="CC281" s="536">
        <f t="shared" ca="1" si="202"/>
        <v>2049</v>
      </c>
      <c r="CD281" s="535">
        <f ca="1"/>
        <v>0</v>
      </c>
      <c r="CF281" s="530">
        <v>280</v>
      </c>
      <c r="CG281" s="531">
        <f t="shared" ca="1" si="229"/>
        <v>54689</v>
      </c>
      <c r="CH281" s="532">
        <f ca="1">IF(CH280=0,SUMIFS('Key Life Events'!$L$3:$L$28,'Key Life Events'!$H$3:$H$28,'Loan Amortization'!$CL$3,'Key Life Events'!$N$3:$N$28,'Loan Amortization'!CG281),CH280-CK280)</f>
        <v>0</v>
      </c>
      <c r="CI281" s="532">
        <f t="shared" ca="1" si="230"/>
        <v>0</v>
      </c>
      <c r="CJ281" s="532">
        <f t="shared" ca="1" si="231"/>
        <v>0</v>
      </c>
      <c r="CK281" s="532">
        <f t="shared" ca="1" si="203"/>
        <v>0</v>
      </c>
      <c r="CP281" s="536">
        <f t="shared" ca="1" si="204"/>
        <v>2049</v>
      </c>
      <c r="CQ281" s="535">
        <f ca="1"/>
        <v>0</v>
      </c>
      <c r="CS281" s="100">
        <f t="shared" si="205"/>
        <v>280</v>
      </c>
      <c r="CT281" s="102">
        <f t="shared" ca="1" si="206"/>
        <v>0</v>
      </c>
      <c r="CU281" s="102">
        <f t="shared" ca="1" si="207"/>
        <v>0</v>
      </c>
      <c r="CV281" s="511">
        <f t="shared" ca="1" si="208"/>
        <v>2049</v>
      </c>
    </row>
    <row r="282" spans="1:100" x14ac:dyDescent="0.3">
      <c r="A282" s="100">
        <v>281</v>
      </c>
      <c r="B282" s="131">
        <f t="shared" si="209"/>
        <v>7699</v>
      </c>
      <c r="C282" s="102">
        <f t="shared" si="210"/>
        <v>0</v>
      </c>
      <c r="D282" s="102">
        <f t="shared" si="211"/>
        <v>0</v>
      </c>
      <c r="E282" s="102">
        <f t="shared" si="191"/>
        <v>0</v>
      </c>
      <c r="F282" s="102">
        <f t="shared" si="212"/>
        <v>0</v>
      </c>
      <c r="L282" s="100">
        <v>281</v>
      </c>
      <c r="M282" s="131">
        <f t="shared" ca="1" si="213"/>
        <v>54719</v>
      </c>
      <c r="N282" s="102">
        <f t="shared" si="214"/>
        <v>0</v>
      </c>
      <c r="O282" s="102">
        <f t="shared" si="215"/>
        <v>0</v>
      </c>
      <c r="P282" s="102">
        <f t="shared" si="192"/>
        <v>0</v>
      </c>
      <c r="Q282" s="102">
        <f t="shared" si="193"/>
        <v>0</v>
      </c>
      <c r="W282" s="100">
        <v>281</v>
      </c>
      <c r="X282" s="131">
        <f t="shared" ca="1" si="216"/>
        <v>54719</v>
      </c>
      <c r="Y282" s="102">
        <f t="shared" si="217"/>
        <v>0</v>
      </c>
      <c r="Z282" s="102">
        <f t="shared" si="218"/>
        <v>0</v>
      </c>
      <c r="AA282" s="102">
        <f t="shared" si="194"/>
        <v>0</v>
      </c>
      <c r="AB282" s="102">
        <f t="shared" si="195"/>
        <v>0</v>
      </c>
      <c r="AH282" s="100">
        <v>281</v>
      </c>
      <c r="AI282" s="131">
        <f t="shared" ca="1" si="219"/>
        <v>54719</v>
      </c>
      <c r="AJ282" s="102">
        <f t="shared" si="220"/>
        <v>0</v>
      </c>
      <c r="AK282" s="102">
        <f t="shared" si="221"/>
        <v>0</v>
      </c>
      <c r="AL282" s="102">
        <f t="shared" si="233"/>
        <v>0</v>
      </c>
      <c r="AM282" s="102">
        <f t="shared" si="196"/>
        <v>0</v>
      </c>
      <c r="AS282" s="530">
        <v>281</v>
      </c>
      <c r="AT282" s="531">
        <f t="shared" ca="1" si="222"/>
        <v>54719</v>
      </c>
      <c r="AU282" s="532">
        <f ca="1">IF(AU281=0,SUMIFS('Key Life Events'!$L$3:$L$28,'Key Life Events'!$H$3:$H$28,'Loan Amortization'!$AY$3,'Key Life Events'!$N$3:$N$28,'Loan Amortization'!AT282),AU281-AX281)</f>
        <v>0</v>
      </c>
      <c r="AV282" s="532">
        <f t="shared" ca="1" si="223"/>
        <v>0</v>
      </c>
      <c r="AW282" s="532">
        <f t="shared" ca="1" si="190"/>
        <v>0</v>
      </c>
      <c r="AX282" s="532">
        <f t="shared" ca="1" si="197"/>
        <v>0</v>
      </c>
      <c r="BC282" s="536">
        <f t="shared" ca="1" si="198"/>
        <v>2049</v>
      </c>
      <c r="BF282" s="530">
        <v>281</v>
      </c>
      <c r="BG282" s="531">
        <f t="shared" ca="1" si="224"/>
        <v>54719</v>
      </c>
      <c r="BH282" s="532">
        <f ca="1">IF(BH281=0,SUMIFS('Key Life Events'!$L$3:$L$28,'Key Life Events'!$H$3:$H$28,'Loan Amortization'!$BL$3,'Key Life Events'!$N$3:$N$28,'Loan Amortization'!BG282),BH281-BK281)</f>
        <v>0</v>
      </c>
      <c r="BI282" s="532">
        <f t="shared" ca="1" si="225"/>
        <v>0</v>
      </c>
      <c r="BJ282" s="532">
        <f t="shared" ca="1" si="226"/>
        <v>0</v>
      </c>
      <c r="BK282" s="532">
        <f t="shared" ca="1" si="199"/>
        <v>0</v>
      </c>
      <c r="BP282" s="536">
        <f t="shared" ca="1" si="200"/>
        <v>2049</v>
      </c>
      <c r="BQ282" s="535">
        <f ca="1"/>
        <v>0</v>
      </c>
      <c r="BS282" s="530">
        <v>281</v>
      </c>
      <c r="BT282" s="531">
        <f t="shared" ca="1" si="227"/>
        <v>54719</v>
      </c>
      <c r="BU282" s="532">
        <f ca="1">IF(BU281=0,SUMIFS('Key Life Events'!$L$3:$L$28,'Key Life Events'!$H$3:$H$28,'Loan Amortization'!$BY$3,'Key Life Events'!$N$3:$N$28,'Loan Amortization'!BT282),BU281-BX281)</f>
        <v>0</v>
      </c>
      <c r="BV282" s="532">
        <f t="shared" ca="1" si="232"/>
        <v>0</v>
      </c>
      <c r="BW282" s="532">
        <f t="shared" ca="1" si="228"/>
        <v>0</v>
      </c>
      <c r="BX282" s="532">
        <f t="shared" ca="1" si="201"/>
        <v>0</v>
      </c>
      <c r="CC282" s="536">
        <f t="shared" ca="1" si="202"/>
        <v>2049</v>
      </c>
      <c r="CD282" s="535">
        <f ca="1"/>
        <v>0</v>
      </c>
      <c r="CF282" s="530">
        <v>281</v>
      </c>
      <c r="CG282" s="531">
        <f t="shared" ca="1" si="229"/>
        <v>54719</v>
      </c>
      <c r="CH282" s="532">
        <f ca="1">IF(CH281=0,SUMIFS('Key Life Events'!$L$3:$L$28,'Key Life Events'!$H$3:$H$28,'Loan Amortization'!$CL$3,'Key Life Events'!$N$3:$N$28,'Loan Amortization'!CG282),CH281-CK281)</f>
        <v>0</v>
      </c>
      <c r="CI282" s="532">
        <f t="shared" ca="1" si="230"/>
        <v>0</v>
      </c>
      <c r="CJ282" s="532">
        <f t="shared" ca="1" si="231"/>
        <v>0</v>
      </c>
      <c r="CK282" s="532">
        <f t="shared" ca="1" si="203"/>
        <v>0</v>
      </c>
      <c r="CP282" s="536">
        <f t="shared" ca="1" si="204"/>
        <v>2049</v>
      </c>
      <c r="CQ282" s="535">
        <f ca="1"/>
        <v>0</v>
      </c>
      <c r="CS282" s="100">
        <f t="shared" si="205"/>
        <v>281</v>
      </c>
      <c r="CT282" s="102">
        <f t="shared" ca="1" si="206"/>
        <v>0</v>
      </c>
      <c r="CU282" s="102">
        <f t="shared" ca="1" si="207"/>
        <v>0</v>
      </c>
      <c r="CV282" s="511">
        <f t="shared" ca="1" si="208"/>
        <v>2049</v>
      </c>
    </row>
    <row r="283" spans="1:100" x14ac:dyDescent="0.3">
      <c r="A283" s="100">
        <v>282</v>
      </c>
      <c r="B283" s="131">
        <f t="shared" si="209"/>
        <v>7730</v>
      </c>
      <c r="C283" s="102">
        <f t="shared" si="210"/>
        <v>0</v>
      </c>
      <c r="D283" s="102">
        <f t="shared" si="211"/>
        <v>0</v>
      </c>
      <c r="E283" s="102">
        <f t="shared" si="191"/>
        <v>0</v>
      </c>
      <c r="F283" s="102">
        <f t="shared" si="212"/>
        <v>0</v>
      </c>
      <c r="L283" s="100">
        <v>282</v>
      </c>
      <c r="M283" s="131">
        <f t="shared" ca="1" si="213"/>
        <v>54750</v>
      </c>
      <c r="N283" s="102">
        <f t="shared" si="214"/>
        <v>0</v>
      </c>
      <c r="O283" s="102">
        <f t="shared" si="215"/>
        <v>0</v>
      </c>
      <c r="P283" s="102">
        <f t="shared" si="192"/>
        <v>0</v>
      </c>
      <c r="Q283" s="102">
        <f t="shared" si="193"/>
        <v>0</v>
      </c>
      <c r="W283" s="100">
        <v>282</v>
      </c>
      <c r="X283" s="131">
        <f t="shared" ca="1" si="216"/>
        <v>54750</v>
      </c>
      <c r="Y283" s="102">
        <f t="shared" si="217"/>
        <v>0</v>
      </c>
      <c r="Z283" s="102">
        <f t="shared" si="218"/>
        <v>0</v>
      </c>
      <c r="AA283" s="102">
        <f t="shared" si="194"/>
        <v>0</v>
      </c>
      <c r="AB283" s="102">
        <f t="shared" si="195"/>
        <v>0</v>
      </c>
      <c r="AH283" s="100">
        <v>282</v>
      </c>
      <c r="AI283" s="131">
        <f t="shared" ca="1" si="219"/>
        <v>54750</v>
      </c>
      <c r="AJ283" s="102">
        <f t="shared" si="220"/>
        <v>0</v>
      </c>
      <c r="AK283" s="102">
        <f t="shared" si="221"/>
        <v>0</v>
      </c>
      <c r="AL283" s="102">
        <f t="shared" si="233"/>
        <v>0</v>
      </c>
      <c r="AM283" s="102">
        <f t="shared" si="196"/>
        <v>0</v>
      </c>
      <c r="AS283" s="530">
        <v>282</v>
      </c>
      <c r="AT283" s="531">
        <f t="shared" ca="1" si="222"/>
        <v>54750</v>
      </c>
      <c r="AU283" s="532">
        <f ca="1">IF(AU282=0,SUMIFS('Key Life Events'!$L$3:$L$28,'Key Life Events'!$H$3:$H$28,'Loan Amortization'!$AY$3,'Key Life Events'!$N$3:$N$28,'Loan Amortization'!AT283),AU282-AX282)</f>
        <v>0</v>
      </c>
      <c r="AV283" s="532">
        <f t="shared" ca="1" si="223"/>
        <v>0</v>
      </c>
      <c r="AW283" s="532">
        <f t="shared" ca="1" si="190"/>
        <v>0</v>
      </c>
      <c r="AX283" s="532">
        <f t="shared" ca="1" si="197"/>
        <v>0</v>
      </c>
      <c r="BC283" s="536">
        <f t="shared" ca="1" si="198"/>
        <v>2049</v>
      </c>
      <c r="BF283" s="530">
        <v>282</v>
      </c>
      <c r="BG283" s="531">
        <f t="shared" ca="1" si="224"/>
        <v>54750</v>
      </c>
      <c r="BH283" s="532">
        <f ca="1">IF(BH282=0,SUMIFS('Key Life Events'!$L$3:$L$28,'Key Life Events'!$H$3:$H$28,'Loan Amortization'!$BL$3,'Key Life Events'!$N$3:$N$28,'Loan Amortization'!BG283),BH282-BK282)</f>
        <v>0</v>
      </c>
      <c r="BI283" s="532">
        <f t="shared" ca="1" si="225"/>
        <v>0</v>
      </c>
      <c r="BJ283" s="532">
        <f t="shared" ca="1" si="226"/>
        <v>0</v>
      </c>
      <c r="BK283" s="532">
        <f t="shared" ca="1" si="199"/>
        <v>0</v>
      </c>
      <c r="BP283" s="536">
        <f t="shared" ca="1" si="200"/>
        <v>2049</v>
      </c>
      <c r="BQ283" s="535">
        <f ca="1"/>
        <v>0</v>
      </c>
      <c r="BS283" s="530">
        <v>282</v>
      </c>
      <c r="BT283" s="531">
        <f t="shared" ca="1" si="227"/>
        <v>54750</v>
      </c>
      <c r="BU283" s="532">
        <f ca="1">IF(BU282=0,SUMIFS('Key Life Events'!$L$3:$L$28,'Key Life Events'!$H$3:$H$28,'Loan Amortization'!$BY$3,'Key Life Events'!$N$3:$N$28,'Loan Amortization'!BT283),BU282-BX282)</f>
        <v>0</v>
      </c>
      <c r="BV283" s="532">
        <f t="shared" ca="1" si="232"/>
        <v>0</v>
      </c>
      <c r="BW283" s="532">
        <f t="shared" ca="1" si="228"/>
        <v>0</v>
      </c>
      <c r="BX283" s="532">
        <f t="shared" ca="1" si="201"/>
        <v>0</v>
      </c>
      <c r="CC283" s="536">
        <f t="shared" ca="1" si="202"/>
        <v>2049</v>
      </c>
      <c r="CD283" s="535">
        <f ca="1"/>
        <v>0</v>
      </c>
      <c r="CF283" s="530">
        <v>282</v>
      </c>
      <c r="CG283" s="531">
        <f t="shared" ca="1" si="229"/>
        <v>54750</v>
      </c>
      <c r="CH283" s="532">
        <f ca="1">IF(CH282=0,SUMIFS('Key Life Events'!$L$3:$L$28,'Key Life Events'!$H$3:$H$28,'Loan Amortization'!$CL$3,'Key Life Events'!$N$3:$N$28,'Loan Amortization'!CG283),CH282-CK282)</f>
        <v>0</v>
      </c>
      <c r="CI283" s="532">
        <f t="shared" ca="1" si="230"/>
        <v>0</v>
      </c>
      <c r="CJ283" s="532">
        <f t="shared" ca="1" si="231"/>
        <v>0</v>
      </c>
      <c r="CK283" s="532">
        <f t="shared" ca="1" si="203"/>
        <v>0</v>
      </c>
      <c r="CP283" s="536">
        <f t="shared" ca="1" si="204"/>
        <v>2049</v>
      </c>
      <c r="CQ283" s="535">
        <f ca="1"/>
        <v>0</v>
      </c>
      <c r="CS283" s="100">
        <f t="shared" si="205"/>
        <v>282</v>
      </c>
      <c r="CT283" s="102">
        <f t="shared" ca="1" si="206"/>
        <v>0</v>
      </c>
      <c r="CU283" s="102">
        <f t="shared" ca="1" si="207"/>
        <v>0</v>
      </c>
      <c r="CV283" s="511">
        <f t="shared" ca="1" si="208"/>
        <v>2049</v>
      </c>
    </row>
    <row r="284" spans="1:100" x14ac:dyDescent="0.3">
      <c r="A284" s="100">
        <v>283</v>
      </c>
      <c r="B284" s="131">
        <f t="shared" si="209"/>
        <v>7758</v>
      </c>
      <c r="C284" s="102">
        <f t="shared" si="210"/>
        <v>0</v>
      </c>
      <c r="D284" s="102">
        <f t="shared" si="211"/>
        <v>0</v>
      </c>
      <c r="E284" s="102">
        <f t="shared" si="191"/>
        <v>0</v>
      </c>
      <c r="F284" s="102">
        <f t="shared" si="212"/>
        <v>0</v>
      </c>
      <c r="L284" s="100">
        <v>283</v>
      </c>
      <c r="M284" s="131">
        <f t="shared" ca="1" si="213"/>
        <v>54780</v>
      </c>
      <c r="N284" s="102">
        <f t="shared" si="214"/>
        <v>0</v>
      </c>
      <c r="O284" s="102">
        <f t="shared" si="215"/>
        <v>0</v>
      </c>
      <c r="P284" s="102">
        <f t="shared" si="192"/>
        <v>0</v>
      </c>
      <c r="Q284" s="102">
        <f t="shared" si="193"/>
        <v>0</v>
      </c>
      <c r="W284" s="100">
        <v>283</v>
      </c>
      <c r="X284" s="131">
        <f t="shared" ca="1" si="216"/>
        <v>54780</v>
      </c>
      <c r="Y284" s="102">
        <f t="shared" si="217"/>
        <v>0</v>
      </c>
      <c r="Z284" s="102">
        <f t="shared" si="218"/>
        <v>0</v>
      </c>
      <c r="AA284" s="102">
        <f t="shared" si="194"/>
        <v>0</v>
      </c>
      <c r="AB284" s="102">
        <f t="shared" si="195"/>
        <v>0</v>
      </c>
      <c r="AH284" s="100">
        <v>283</v>
      </c>
      <c r="AI284" s="131">
        <f t="shared" ca="1" si="219"/>
        <v>54780</v>
      </c>
      <c r="AJ284" s="102">
        <f t="shared" si="220"/>
        <v>0</v>
      </c>
      <c r="AK284" s="102">
        <f t="shared" si="221"/>
        <v>0</v>
      </c>
      <c r="AL284" s="102">
        <f t="shared" si="233"/>
        <v>0</v>
      </c>
      <c r="AM284" s="102">
        <f t="shared" si="196"/>
        <v>0</v>
      </c>
      <c r="AS284" s="530">
        <v>283</v>
      </c>
      <c r="AT284" s="531">
        <f t="shared" ca="1" si="222"/>
        <v>54780</v>
      </c>
      <c r="AU284" s="532">
        <f ca="1">IF(AU283=0,SUMIFS('Key Life Events'!$L$3:$L$28,'Key Life Events'!$H$3:$H$28,'Loan Amortization'!$AY$3,'Key Life Events'!$N$3:$N$28,'Loan Amortization'!AT284),AU283-AX283)</f>
        <v>0</v>
      </c>
      <c r="AV284" s="532">
        <f t="shared" ca="1" si="223"/>
        <v>0</v>
      </c>
      <c r="AW284" s="532">
        <f t="shared" ca="1" si="190"/>
        <v>0</v>
      </c>
      <c r="AX284" s="532">
        <f t="shared" ca="1" si="197"/>
        <v>0</v>
      </c>
      <c r="BC284" s="536">
        <f t="shared" ca="1" si="198"/>
        <v>2049</v>
      </c>
      <c r="BF284" s="530">
        <v>283</v>
      </c>
      <c r="BG284" s="531">
        <f t="shared" ca="1" si="224"/>
        <v>54780</v>
      </c>
      <c r="BH284" s="532">
        <f ca="1">IF(BH283=0,SUMIFS('Key Life Events'!$L$3:$L$28,'Key Life Events'!$H$3:$H$28,'Loan Amortization'!$BL$3,'Key Life Events'!$N$3:$N$28,'Loan Amortization'!BG284),BH283-BK283)</f>
        <v>0</v>
      </c>
      <c r="BI284" s="532">
        <f t="shared" ca="1" si="225"/>
        <v>0</v>
      </c>
      <c r="BJ284" s="532">
        <f t="shared" ca="1" si="226"/>
        <v>0</v>
      </c>
      <c r="BK284" s="532">
        <f t="shared" ca="1" si="199"/>
        <v>0</v>
      </c>
      <c r="BP284" s="536">
        <f t="shared" ca="1" si="200"/>
        <v>2049</v>
      </c>
      <c r="BQ284" s="535">
        <f ca="1"/>
        <v>0</v>
      </c>
      <c r="BS284" s="530">
        <v>283</v>
      </c>
      <c r="BT284" s="531">
        <f t="shared" ca="1" si="227"/>
        <v>54780</v>
      </c>
      <c r="BU284" s="532">
        <f ca="1">IF(BU283=0,SUMIFS('Key Life Events'!$L$3:$L$28,'Key Life Events'!$H$3:$H$28,'Loan Amortization'!$BY$3,'Key Life Events'!$N$3:$N$28,'Loan Amortization'!BT284),BU283-BX283)</f>
        <v>0</v>
      </c>
      <c r="BV284" s="532">
        <f t="shared" ca="1" si="232"/>
        <v>0</v>
      </c>
      <c r="BW284" s="532">
        <f t="shared" ca="1" si="228"/>
        <v>0</v>
      </c>
      <c r="BX284" s="532">
        <f t="shared" ca="1" si="201"/>
        <v>0</v>
      </c>
      <c r="CC284" s="536">
        <f t="shared" ca="1" si="202"/>
        <v>2049</v>
      </c>
      <c r="CD284" s="535">
        <f ca="1"/>
        <v>0</v>
      </c>
      <c r="CF284" s="530">
        <v>283</v>
      </c>
      <c r="CG284" s="531">
        <f t="shared" ca="1" si="229"/>
        <v>54780</v>
      </c>
      <c r="CH284" s="532">
        <f ca="1">IF(CH283=0,SUMIFS('Key Life Events'!$L$3:$L$28,'Key Life Events'!$H$3:$H$28,'Loan Amortization'!$CL$3,'Key Life Events'!$N$3:$N$28,'Loan Amortization'!CG284),CH283-CK283)</f>
        <v>0</v>
      </c>
      <c r="CI284" s="532">
        <f t="shared" ca="1" si="230"/>
        <v>0</v>
      </c>
      <c r="CJ284" s="532">
        <f t="shared" ca="1" si="231"/>
        <v>0</v>
      </c>
      <c r="CK284" s="532">
        <f t="shared" ca="1" si="203"/>
        <v>0</v>
      </c>
      <c r="CP284" s="536">
        <f t="shared" ca="1" si="204"/>
        <v>2049</v>
      </c>
      <c r="CQ284" s="535">
        <f ca="1"/>
        <v>0</v>
      </c>
      <c r="CS284" s="100">
        <f t="shared" si="205"/>
        <v>283</v>
      </c>
      <c r="CT284" s="102">
        <f t="shared" ca="1" si="206"/>
        <v>0</v>
      </c>
      <c r="CU284" s="102">
        <f t="shared" ca="1" si="207"/>
        <v>0</v>
      </c>
      <c r="CV284" s="511">
        <f t="shared" ca="1" si="208"/>
        <v>2049</v>
      </c>
    </row>
    <row r="285" spans="1:100" x14ac:dyDescent="0.3">
      <c r="A285" s="100">
        <v>284</v>
      </c>
      <c r="B285" s="131">
        <f t="shared" si="209"/>
        <v>7789</v>
      </c>
      <c r="C285" s="102">
        <f t="shared" si="210"/>
        <v>0</v>
      </c>
      <c r="D285" s="102">
        <f t="shared" si="211"/>
        <v>0</v>
      </c>
      <c r="E285" s="102">
        <f t="shared" si="191"/>
        <v>0</v>
      </c>
      <c r="F285" s="102">
        <f t="shared" si="212"/>
        <v>0</v>
      </c>
      <c r="L285" s="100">
        <v>284</v>
      </c>
      <c r="M285" s="131">
        <f t="shared" ca="1" si="213"/>
        <v>54811</v>
      </c>
      <c r="N285" s="102">
        <f t="shared" si="214"/>
        <v>0</v>
      </c>
      <c r="O285" s="102">
        <f t="shared" si="215"/>
        <v>0</v>
      </c>
      <c r="P285" s="102">
        <f t="shared" si="192"/>
        <v>0</v>
      </c>
      <c r="Q285" s="102">
        <f t="shared" si="193"/>
        <v>0</v>
      </c>
      <c r="W285" s="100">
        <v>284</v>
      </c>
      <c r="X285" s="131">
        <f t="shared" ca="1" si="216"/>
        <v>54811</v>
      </c>
      <c r="Y285" s="102">
        <f t="shared" si="217"/>
        <v>0</v>
      </c>
      <c r="Z285" s="102">
        <f t="shared" si="218"/>
        <v>0</v>
      </c>
      <c r="AA285" s="102">
        <f t="shared" si="194"/>
        <v>0</v>
      </c>
      <c r="AB285" s="102">
        <f t="shared" si="195"/>
        <v>0</v>
      </c>
      <c r="AH285" s="100">
        <v>284</v>
      </c>
      <c r="AI285" s="131">
        <f t="shared" ca="1" si="219"/>
        <v>54811</v>
      </c>
      <c r="AJ285" s="102">
        <f t="shared" si="220"/>
        <v>0</v>
      </c>
      <c r="AK285" s="102">
        <f t="shared" si="221"/>
        <v>0</v>
      </c>
      <c r="AL285" s="102">
        <f t="shared" si="233"/>
        <v>0</v>
      </c>
      <c r="AM285" s="102">
        <f t="shared" si="196"/>
        <v>0</v>
      </c>
      <c r="AS285" s="530">
        <v>284</v>
      </c>
      <c r="AT285" s="531">
        <f t="shared" ca="1" si="222"/>
        <v>54811</v>
      </c>
      <c r="AU285" s="532">
        <f ca="1">IF(AU284=0,SUMIFS('Key Life Events'!$L$3:$L$28,'Key Life Events'!$H$3:$H$28,'Loan Amortization'!$AY$3,'Key Life Events'!$N$3:$N$28,'Loan Amortization'!AT285),AU284-AX284)</f>
        <v>0</v>
      </c>
      <c r="AV285" s="532">
        <f t="shared" ca="1" si="223"/>
        <v>0</v>
      </c>
      <c r="AW285" s="532">
        <f t="shared" ca="1" si="190"/>
        <v>0</v>
      </c>
      <c r="AX285" s="532">
        <f t="shared" ca="1" si="197"/>
        <v>0</v>
      </c>
      <c r="BC285" s="536">
        <f t="shared" ca="1" si="198"/>
        <v>2050</v>
      </c>
      <c r="BF285" s="530">
        <v>284</v>
      </c>
      <c r="BG285" s="531">
        <f t="shared" ca="1" si="224"/>
        <v>54811</v>
      </c>
      <c r="BH285" s="532">
        <f ca="1">IF(BH284=0,SUMIFS('Key Life Events'!$L$3:$L$28,'Key Life Events'!$H$3:$H$28,'Loan Amortization'!$BL$3,'Key Life Events'!$N$3:$N$28,'Loan Amortization'!BG285),BH284-BK284)</f>
        <v>0</v>
      </c>
      <c r="BI285" s="532">
        <f t="shared" ca="1" si="225"/>
        <v>0</v>
      </c>
      <c r="BJ285" s="532">
        <f t="shared" ca="1" si="226"/>
        <v>0</v>
      </c>
      <c r="BK285" s="532">
        <f t="shared" ca="1" si="199"/>
        <v>0</v>
      </c>
      <c r="BP285" s="536">
        <f t="shared" ca="1" si="200"/>
        <v>2050</v>
      </c>
      <c r="BQ285" s="535">
        <f ca="1"/>
        <v>0</v>
      </c>
      <c r="BS285" s="530">
        <v>284</v>
      </c>
      <c r="BT285" s="531">
        <f t="shared" ca="1" si="227"/>
        <v>54811</v>
      </c>
      <c r="BU285" s="532">
        <f ca="1">IF(BU284=0,SUMIFS('Key Life Events'!$L$3:$L$28,'Key Life Events'!$H$3:$H$28,'Loan Amortization'!$BY$3,'Key Life Events'!$N$3:$N$28,'Loan Amortization'!BT285),BU284-BX284)</f>
        <v>0</v>
      </c>
      <c r="BV285" s="532">
        <f t="shared" ca="1" si="232"/>
        <v>0</v>
      </c>
      <c r="BW285" s="532">
        <f t="shared" ca="1" si="228"/>
        <v>0</v>
      </c>
      <c r="BX285" s="532">
        <f t="shared" ca="1" si="201"/>
        <v>0</v>
      </c>
      <c r="CC285" s="536">
        <f t="shared" ca="1" si="202"/>
        <v>2050</v>
      </c>
      <c r="CD285" s="535">
        <f ca="1"/>
        <v>0</v>
      </c>
      <c r="CF285" s="530">
        <v>284</v>
      </c>
      <c r="CG285" s="531">
        <f t="shared" ca="1" si="229"/>
        <v>54811</v>
      </c>
      <c r="CH285" s="532">
        <f ca="1">IF(CH284=0,SUMIFS('Key Life Events'!$L$3:$L$28,'Key Life Events'!$H$3:$H$28,'Loan Amortization'!$CL$3,'Key Life Events'!$N$3:$N$28,'Loan Amortization'!CG285),CH284-CK284)</f>
        <v>0</v>
      </c>
      <c r="CI285" s="532">
        <f t="shared" ca="1" si="230"/>
        <v>0</v>
      </c>
      <c r="CJ285" s="532">
        <f t="shared" ca="1" si="231"/>
        <v>0</v>
      </c>
      <c r="CK285" s="532">
        <f t="shared" ca="1" si="203"/>
        <v>0</v>
      </c>
      <c r="CP285" s="536">
        <f t="shared" ca="1" si="204"/>
        <v>2050</v>
      </c>
      <c r="CQ285" s="535">
        <f ca="1"/>
        <v>0</v>
      </c>
      <c r="CS285" s="100">
        <f t="shared" si="205"/>
        <v>284</v>
      </c>
      <c r="CT285" s="102">
        <f t="shared" ca="1" si="206"/>
        <v>0</v>
      </c>
      <c r="CU285" s="102">
        <f t="shared" ca="1" si="207"/>
        <v>0</v>
      </c>
      <c r="CV285" s="511">
        <f t="shared" ca="1" si="208"/>
        <v>2050</v>
      </c>
    </row>
    <row r="286" spans="1:100" x14ac:dyDescent="0.3">
      <c r="A286" s="100">
        <v>285</v>
      </c>
      <c r="B286" s="131">
        <f t="shared" si="209"/>
        <v>7819</v>
      </c>
      <c r="C286" s="102">
        <f t="shared" si="210"/>
        <v>0</v>
      </c>
      <c r="D286" s="102">
        <f t="shared" si="211"/>
        <v>0</v>
      </c>
      <c r="E286" s="102">
        <f t="shared" si="191"/>
        <v>0</v>
      </c>
      <c r="F286" s="102">
        <f t="shared" si="212"/>
        <v>0</v>
      </c>
      <c r="L286" s="100">
        <v>285</v>
      </c>
      <c r="M286" s="131">
        <f t="shared" ca="1" si="213"/>
        <v>54842</v>
      </c>
      <c r="N286" s="102">
        <f t="shared" si="214"/>
        <v>0</v>
      </c>
      <c r="O286" s="102">
        <f t="shared" si="215"/>
        <v>0</v>
      </c>
      <c r="P286" s="102">
        <f t="shared" si="192"/>
        <v>0</v>
      </c>
      <c r="Q286" s="102">
        <f t="shared" si="193"/>
        <v>0</v>
      </c>
      <c r="W286" s="100">
        <v>285</v>
      </c>
      <c r="X286" s="131">
        <f t="shared" ca="1" si="216"/>
        <v>54842</v>
      </c>
      <c r="Y286" s="102">
        <f t="shared" si="217"/>
        <v>0</v>
      </c>
      <c r="Z286" s="102">
        <f t="shared" si="218"/>
        <v>0</v>
      </c>
      <c r="AA286" s="102">
        <f t="shared" si="194"/>
        <v>0</v>
      </c>
      <c r="AB286" s="102">
        <f t="shared" si="195"/>
        <v>0</v>
      </c>
      <c r="AH286" s="100">
        <v>285</v>
      </c>
      <c r="AI286" s="131">
        <f t="shared" ca="1" si="219"/>
        <v>54842</v>
      </c>
      <c r="AJ286" s="102">
        <f t="shared" si="220"/>
        <v>0</v>
      </c>
      <c r="AK286" s="102">
        <f t="shared" si="221"/>
        <v>0</v>
      </c>
      <c r="AL286" s="102">
        <f t="shared" si="233"/>
        <v>0</v>
      </c>
      <c r="AM286" s="102">
        <f t="shared" si="196"/>
        <v>0</v>
      </c>
      <c r="AS286" s="530">
        <v>285</v>
      </c>
      <c r="AT286" s="531">
        <f t="shared" ca="1" si="222"/>
        <v>54842</v>
      </c>
      <c r="AU286" s="532">
        <f ca="1">IF(AU285=0,SUMIFS('Key Life Events'!$L$3:$L$28,'Key Life Events'!$H$3:$H$28,'Loan Amortization'!$AY$3,'Key Life Events'!$N$3:$N$28,'Loan Amortization'!AT286),AU285-AX285)</f>
        <v>0</v>
      </c>
      <c r="AV286" s="532">
        <f t="shared" ca="1" si="223"/>
        <v>0</v>
      </c>
      <c r="AW286" s="532">
        <f t="shared" ca="1" si="190"/>
        <v>0</v>
      </c>
      <c r="AX286" s="532">
        <f t="shared" ca="1" si="197"/>
        <v>0</v>
      </c>
      <c r="BC286" s="536">
        <f t="shared" ca="1" si="198"/>
        <v>2050</v>
      </c>
      <c r="BF286" s="530">
        <v>285</v>
      </c>
      <c r="BG286" s="531">
        <f t="shared" ca="1" si="224"/>
        <v>54842</v>
      </c>
      <c r="BH286" s="532">
        <f ca="1">IF(BH285=0,SUMIFS('Key Life Events'!$L$3:$L$28,'Key Life Events'!$H$3:$H$28,'Loan Amortization'!$BL$3,'Key Life Events'!$N$3:$N$28,'Loan Amortization'!BG286),BH285-BK285)</f>
        <v>0</v>
      </c>
      <c r="BI286" s="532">
        <f t="shared" ca="1" si="225"/>
        <v>0</v>
      </c>
      <c r="BJ286" s="532">
        <f t="shared" ca="1" si="226"/>
        <v>0</v>
      </c>
      <c r="BK286" s="532">
        <f t="shared" ca="1" si="199"/>
        <v>0</v>
      </c>
      <c r="BP286" s="536">
        <f t="shared" ca="1" si="200"/>
        <v>2050</v>
      </c>
      <c r="BQ286" s="535">
        <f ca="1"/>
        <v>0</v>
      </c>
      <c r="BS286" s="530">
        <v>285</v>
      </c>
      <c r="BT286" s="531">
        <f t="shared" ca="1" si="227"/>
        <v>54842</v>
      </c>
      <c r="BU286" s="532">
        <f ca="1">IF(BU285=0,SUMIFS('Key Life Events'!$L$3:$L$28,'Key Life Events'!$H$3:$H$28,'Loan Amortization'!$BY$3,'Key Life Events'!$N$3:$N$28,'Loan Amortization'!BT286),BU285-BX285)</f>
        <v>0</v>
      </c>
      <c r="BV286" s="532">
        <f t="shared" ca="1" si="232"/>
        <v>0</v>
      </c>
      <c r="BW286" s="532">
        <f t="shared" ca="1" si="228"/>
        <v>0</v>
      </c>
      <c r="BX286" s="532">
        <f t="shared" ca="1" si="201"/>
        <v>0</v>
      </c>
      <c r="CC286" s="536">
        <f t="shared" ca="1" si="202"/>
        <v>2050</v>
      </c>
      <c r="CD286" s="535">
        <f ca="1"/>
        <v>0</v>
      </c>
      <c r="CF286" s="530">
        <v>285</v>
      </c>
      <c r="CG286" s="531">
        <f t="shared" ca="1" si="229"/>
        <v>54842</v>
      </c>
      <c r="CH286" s="532">
        <f ca="1">IF(CH285=0,SUMIFS('Key Life Events'!$L$3:$L$28,'Key Life Events'!$H$3:$H$28,'Loan Amortization'!$CL$3,'Key Life Events'!$N$3:$N$28,'Loan Amortization'!CG286),CH285-CK285)</f>
        <v>0</v>
      </c>
      <c r="CI286" s="532">
        <f t="shared" ca="1" si="230"/>
        <v>0</v>
      </c>
      <c r="CJ286" s="532">
        <f t="shared" ca="1" si="231"/>
        <v>0</v>
      </c>
      <c r="CK286" s="532">
        <f t="shared" ca="1" si="203"/>
        <v>0</v>
      </c>
      <c r="CP286" s="536">
        <f t="shared" ca="1" si="204"/>
        <v>2050</v>
      </c>
      <c r="CQ286" s="535">
        <f ca="1"/>
        <v>0</v>
      </c>
      <c r="CS286" s="100">
        <f t="shared" si="205"/>
        <v>285</v>
      </c>
      <c r="CT286" s="102">
        <f t="shared" ca="1" si="206"/>
        <v>0</v>
      </c>
      <c r="CU286" s="102">
        <f t="shared" ca="1" si="207"/>
        <v>0</v>
      </c>
      <c r="CV286" s="511">
        <f t="shared" ca="1" si="208"/>
        <v>2050</v>
      </c>
    </row>
    <row r="287" spans="1:100" x14ac:dyDescent="0.3">
      <c r="A287" s="100">
        <v>286</v>
      </c>
      <c r="B287" s="131">
        <f t="shared" si="209"/>
        <v>7850</v>
      </c>
      <c r="C287" s="102">
        <f t="shared" si="210"/>
        <v>0</v>
      </c>
      <c r="D287" s="102">
        <f t="shared" si="211"/>
        <v>0</v>
      </c>
      <c r="E287" s="102">
        <f t="shared" si="191"/>
        <v>0</v>
      </c>
      <c r="F287" s="102">
        <f t="shared" si="212"/>
        <v>0</v>
      </c>
      <c r="L287" s="100">
        <v>286</v>
      </c>
      <c r="M287" s="131">
        <f t="shared" ca="1" si="213"/>
        <v>54870</v>
      </c>
      <c r="N287" s="102">
        <f t="shared" si="214"/>
        <v>0</v>
      </c>
      <c r="O287" s="102">
        <f t="shared" si="215"/>
        <v>0</v>
      </c>
      <c r="P287" s="102">
        <f t="shared" si="192"/>
        <v>0</v>
      </c>
      <c r="Q287" s="102">
        <f t="shared" si="193"/>
        <v>0</v>
      </c>
      <c r="W287" s="100">
        <v>286</v>
      </c>
      <c r="X287" s="131">
        <f t="shared" ca="1" si="216"/>
        <v>54870</v>
      </c>
      <c r="Y287" s="102">
        <f t="shared" si="217"/>
        <v>0</v>
      </c>
      <c r="Z287" s="102">
        <f t="shared" si="218"/>
        <v>0</v>
      </c>
      <c r="AA287" s="102">
        <f t="shared" si="194"/>
        <v>0</v>
      </c>
      <c r="AB287" s="102">
        <f t="shared" si="195"/>
        <v>0</v>
      </c>
      <c r="AH287" s="100">
        <v>286</v>
      </c>
      <c r="AI287" s="131">
        <f t="shared" ca="1" si="219"/>
        <v>54870</v>
      </c>
      <c r="AJ287" s="102">
        <f t="shared" si="220"/>
        <v>0</v>
      </c>
      <c r="AK287" s="102">
        <f t="shared" si="221"/>
        <v>0</v>
      </c>
      <c r="AL287" s="102">
        <f t="shared" si="233"/>
        <v>0</v>
      </c>
      <c r="AM287" s="102">
        <f t="shared" si="196"/>
        <v>0</v>
      </c>
      <c r="AS287" s="530">
        <v>286</v>
      </c>
      <c r="AT287" s="531">
        <f t="shared" ca="1" si="222"/>
        <v>54870</v>
      </c>
      <c r="AU287" s="532">
        <f ca="1">IF(AU286=0,SUMIFS('Key Life Events'!$L$3:$L$28,'Key Life Events'!$H$3:$H$28,'Loan Amortization'!$AY$3,'Key Life Events'!$N$3:$N$28,'Loan Amortization'!AT287),AU286-AX286)</f>
        <v>0</v>
      </c>
      <c r="AV287" s="532">
        <f t="shared" ca="1" si="223"/>
        <v>0</v>
      </c>
      <c r="AW287" s="532">
        <f t="shared" ca="1" si="190"/>
        <v>0</v>
      </c>
      <c r="AX287" s="532">
        <f t="shared" ca="1" si="197"/>
        <v>0</v>
      </c>
      <c r="BC287" s="536">
        <f t="shared" ca="1" si="198"/>
        <v>2050</v>
      </c>
      <c r="BF287" s="530">
        <v>286</v>
      </c>
      <c r="BG287" s="531">
        <f t="shared" ca="1" si="224"/>
        <v>54870</v>
      </c>
      <c r="BH287" s="532">
        <f ca="1">IF(BH286=0,SUMIFS('Key Life Events'!$L$3:$L$28,'Key Life Events'!$H$3:$H$28,'Loan Amortization'!$BL$3,'Key Life Events'!$N$3:$N$28,'Loan Amortization'!BG287),BH286-BK286)</f>
        <v>0</v>
      </c>
      <c r="BI287" s="532">
        <f t="shared" ca="1" si="225"/>
        <v>0</v>
      </c>
      <c r="BJ287" s="532">
        <f t="shared" ca="1" si="226"/>
        <v>0</v>
      </c>
      <c r="BK287" s="532">
        <f t="shared" ca="1" si="199"/>
        <v>0</v>
      </c>
      <c r="BP287" s="536">
        <f t="shared" ca="1" si="200"/>
        <v>2050</v>
      </c>
      <c r="BQ287" s="535">
        <f ca="1"/>
        <v>0</v>
      </c>
      <c r="BS287" s="530">
        <v>286</v>
      </c>
      <c r="BT287" s="531">
        <f t="shared" ca="1" si="227"/>
        <v>54870</v>
      </c>
      <c r="BU287" s="532">
        <f ca="1">IF(BU286=0,SUMIFS('Key Life Events'!$L$3:$L$28,'Key Life Events'!$H$3:$H$28,'Loan Amortization'!$BY$3,'Key Life Events'!$N$3:$N$28,'Loan Amortization'!BT287),BU286-BX286)</f>
        <v>0</v>
      </c>
      <c r="BV287" s="532">
        <f t="shared" ca="1" si="232"/>
        <v>0</v>
      </c>
      <c r="BW287" s="532">
        <f t="shared" ca="1" si="228"/>
        <v>0</v>
      </c>
      <c r="BX287" s="532">
        <f t="shared" ca="1" si="201"/>
        <v>0</v>
      </c>
      <c r="CC287" s="536">
        <f t="shared" ca="1" si="202"/>
        <v>2050</v>
      </c>
      <c r="CD287" s="535">
        <f ca="1"/>
        <v>0</v>
      </c>
      <c r="CF287" s="530">
        <v>286</v>
      </c>
      <c r="CG287" s="531">
        <f t="shared" ca="1" si="229"/>
        <v>54870</v>
      </c>
      <c r="CH287" s="532">
        <f ca="1">IF(CH286=0,SUMIFS('Key Life Events'!$L$3:$L$28,'Key Life Events'!$H$3:$H$28,'Loan Amortization'!$CL$3,'Key Life Events'!$N$3:$N$28,'Loan Amortization'!CG287),CH286-CK286)</f>
        <v>0</v>
      </c>
      <c r="CI287" s="532">
        <f t="shared" ca="1" si="230"/>
        <v>0</v>
      </c>
      <c r="CJ287" s="532">
        <f t="shared" ca="1" si="231"/>
        <v>0</v>
      </c>
      <c r="CK287" s="532">
        <f t="shared" ca="1" si="203"/>
        <v>0</v>
      </c>
      <c r="CP287" s="536">
        <f t="shared" ca="1" si="204"/>
        <v>2050</v>
      </c>
      <c r="CQ287" s="535">
        <f ca="1"/>
        <v>0</v>
      </c>
      <c r="CS287" s="100">
        <f t="shared" si="205"/>
        <v>286</v>
      </c>
      <c r="CT287" s="102">
        <f t="shared" ca="1" si="206"/>
        <v>0</v>
      </c>
      <c r="CU287" s="102">
        <f t="shared" ca="1" si="207"/>
        <v>0</v>
      </c>
      <c r="CV287" s="511">
        <f t="shared" ca="1" si="208"/>
        <v>2050</v>
      </c>
    </row>
    <row r="288" spans="1:100" x14ac:dyDescent="0.3">
      <c r="A288" s="100">
        <v>287</v>
      </c>
      <c r="B288" s="131">
        <f t="shared" si="209"/>
        <v>7880</v>
      </c>
      <c r="C288" s="102">
        <f t="shared" si="210"/>
        <v>0</v>
      </c>
      <c r="D288" s="102">
        <f t="shared" si="211"/>
        <v>0</v>
      </c>
      <c r="E288" s="102">
        <f t="shared" si="191"/>
        <v>0</v>
      </c>
      <c r="F288" s="102">
        <f t="shared" si="212"/>
        <v>0</v>
      </c>
      <c r="L288" s="100">
        <v>287</v>
      </c>
      <c r="M288" s="131">
        <f t="shared" ca="1" si="213"/>
        <v>54901</v>
      </c>
      <c r="N288" s="102">
        <f t="shared" si="214"/>
        <v>0</v>
      </c>
      <c r="O288" s="102">
        <f t="shared" si="215"/>
        <v>0</v>
      </c>
      <c r="P288" s="102">
        <f t="shared" si="192"/>
        <v>0</v>
      </c>
      <c r="Q288" s="102">
        <f t="shared" si="193"/>
        <v>0</v>
      </c>
      <c r="W288" s="100">
        <v>287</v>
      </c>
      <c r="X288" s="131">
        <f t="shared" ca="1" si="216"/>
        <v>54901</v>
      </c>
      <c r="Y288" s="102">
        <f t="shared" si="217"/>
        <v>0</v>
      </c>
      <c r="Z288" s="102">
        <f t="shared" si="218"/>
        <v>0</v>
      </c>
      <c r="AA288" s="102">
        <f t="shared" si="194"/>
        <v>0</v>
      </c>
      <c r="AB288" s="102">
        <f t="shared" si="195"/>
        <v>0</v>
      </c>
      <c r="AH288" s="100">
        <v>287</v>
      </c>
      <c r="AI288" s="131">
        <f t="shared" ca="1" si="219"/>
        <v>54901</v>
      </c>
      <c r="AJ288" s="102">
        <f t="shared" si="220"/>
        <v>0</v>
      </c>
      <c r="AK288" s="102">
        <f t="shared" si="221"/>
        <v>0</v>
      </c>
      <c r="AL288" s="102">
        <f t="shared" si="233"/>
        <v>0</v>
      </c>
      <c r="AM288" s="102">
        <f t="shared" si="196"/>
        <v>0</v>
      </c>
      <c r="AS288" s="530">
        <v>287</v>
      </c>
      <c r="AT288" s="531">
        <f t="shared" ca="1" si="222"/>
        <v>54901</v>
      </c>
      <c r="AU288" s="532">
        <f ca="1">IF(AU287=0,SUMIFS('Key Life Events'!$L$3:$L$28,'Key Life Events'!$H$3:$H$28,'Loan Amortization'!$AY$3,'Key Life Events'!$N$3:$N$28,'Loan Amortization'!AT288),AU287-AX287)</f>
        <v>0</v>
      </c>
      <c r="AV288" s="532">
        <f t="shared" ca="1" si="223"/>
        <v>0</v>
      </c>
      <c r="AW288" s="532">
        <f t="shared" ca="1" si="190"/>
        <v>0</v>
      </c>
      <c r="AX288" s="532">
        <f t="shared" ca="1" si="197"/>
        <v>0</v>
      </c>
      <c r="BC288" s="536">
        <f t="shared" ca="1" si="198"/>
        <v>2050</v>
      </c>
      <c r="BF288" s="530">
        <v>287</v>
      </c>
      <c r="BG288" s="531">
        <f t="shared" ca="1" si="224"/>
        <v>54901</v>
      </c>
      <c r="BH288" s="532">
        <f ca="1">IF(BH287=0,SUMIFS('Key Life Events'!$L$3:$L$28,'Key Life Events'!$H$3:$H$28,'Loan Amortization'!$BL$3,'Key Life Events'!$N$3:$N$28,'Loan Amortization'!BG288),BH287-BK287)</f>
        <v>0</v>
      </c>
      <c r="BI288" s="532">
        <f t="shared" ca="1" si="225"/>
        <v>0</v>
      </c>
      <c r="BJ288" s="532">
        <f t="shared" ca="1" si="226"/>
        <v>0</v>
      </c>
      <c r="BK288" s="532">
        <f t="shared" ca="1" si="199"/>
        <v>0</v>
      </c>
      <c r="BP288" s="536">
        <f t="shared" ca="1" si="200"/>
        <v>2050</v>
      </c>
      <c r="BQ288" s="535">
        <f ca="1"/>
        <v>0</v>
      </c>
      <c r="BS288" s="530">
        <v>287</v>
      </c>
      <c r="BT288" s="531">
        <f t="shared" ca="1" si="227"/>
        <v>54901</v>
      </c>
      <c r="BU288" s="532">
        <f ca="1">IF(BU287=0,SUMIFS('Key Life Events'!$L$3:$L$28,'Key Life Events'!$H$3:$H$28,'Loan Amortization'!$BY$3,'Key Life Events'!$N$3:$N$28,'Loan Amortization'!BT288),BU287-BX287)</f>
        <v>0</v>
      </c>
      <c r="BV288" s="532">
        <f t="shared" ca="1" si="232"/>
        <v>0</v>
      </c>
      <c r="BW288" s="532">
        <f t="shared" ca="1" si="228"/>
        <v>0</v>
      </c>
      <c r="BX288" s="532">
        <f t="shared" ca="1" si="201"/>
        <v>0</v>
      </c>
      <c r="CC288" s="536">
        <f t="shared" ca="1" si="202"/>
        <v>2050</v>
      </c>
      <c r="CD288" s="535">
        <f ca="1"/>
        <v>0</v>
      </c>
      <c r="CF288" s="530">
        <v>287</v>
      </c>
      <c r="CG288" s="531">
        <f t="shared" ca="1" si="229"/>
        <v>54901</v>
      </c>
      <c r="CH288" s="532">
        <f ca="1">IF(CH287=0,SUMIFS('Key Life Events'!$L$3:$L$28,'Key Life Events'!$H$3:$H$28,'Loan Amortization'!$CL$3,'Key Life Events'!$N$3:$N$28,'Loan Amortization'!CG288),CH287-CK287)</f>
        <v>0</v>
      </c>
      <c r="CI288" s="532">
        <f t="shared" ca="1" si="230"/>
        <v>0</v>
      </c>
      <c r="CJ288" s="532">
        <f t="shared" ca="1" si="231"/>
        <v>0</v>
      </c>
      <c r="CK288" s="532">
        <f t="shared" ca="1" si="203"/>
        <v>0</v>
      </c>
      <c r="CP288" s="536">
        <f t="shared" ca="1" si="204"/>
        <v>2050</v>
      </c>
      <c r="CQ288" s="535">
        <f ca="1"/>
        <v>0</v>
      </c>
      <c r="CS288" s="100">
        <f t="shared" si="205"/>
        <v>287</v>
      </c>
      <c r="CT288" s="102">
        <f t="shared" ca="1" si="206"/>
        <v>0</v>
      </c>
      <c r="CU288" s="102">
        <f t="shared" ca="1" si="207"/>
        <v>0</v>
      </c>
      <c r="CV288" s="511">
        <f t="shared" ca="1" si="208"/>
        <v>2050</v>
      </c>
    </row>
    <row r="289" spans="1:100" x14ac:dyDescent="0.3">
      <c r="A289" s="100">
        <v>288</v>
      </c>
      <c r="B289" s="131">
        <f t="shared" ref="B289:B352" si="234">IF(C288&lt;D288,,EDATE(B288,1))</f>
        <v>7911</v>
      </c>
      <c r="C289" s="102">
        <f t="shared" ref="C289:C352" si="235">IF(C288&lt;D288,0,C288-F288)</f>
        <v>0</v>
      </c>
      <c r="D289" s="102">
        <f t="shared" ref="D289:D352" si="236">IF(C289&lt;=D288,C289+E289,D$2)</f>
        <v>0</v>
      </c>
      <c r="E289" s="102">
        <f t="shared" ref="E289:E352" si="237">(C289*H$1)/12</f>
        <v>0</v>
      </c>
      <c r="F289" s="102">
        <f t="shared" ref="F289:F352" si="238">D289-E289</f>
        <v>0</v>
      </c>
      <c r="L289" s="100">
        <v>288</v>
      </c>
      <c r="M289" s="131">
        <f t="shared" ref="M289:M352" ca="1" si="239">IF(N288&lt;O288,,EDATE(M288,1))</f>
        <v>54931</v>
      </c>
      <c r="N289" s="102">
        <f t="shared" ref="N289:N352" si="240">IF(N288&lt;O288,0,N288-Q288)</f>
        <v>0</v>
      </c>
      <c r="O289" s="102">
        <f t="shared" ref="O289:O352" si="241">IF(N289&lt;=O288,N289+P289,O$2)</f>
        <v>0</v>
      </c>
      <c r="P289" s="102">
        <f t="shared" ref="P289:P352" si="242">(N289*S$1)/12</f>
        <v>0</v>
      </c>
      <c r="Q289" s="102">
        <f t="shared" ref="Q289:Q352" si="243">O289-P289</f>
        <v>0</v>
      </c>
      <c r="W289" s="100">
        <v>288</v>
      </c>
      <c r="X289" s="131">
        <f t="shared" ref="X289:X352" ca="1" si="244">IF(Y288&lt;Z288,,EDATE(X288,1))</f>
        <v>54931</v>
      </c>
      <c r="Y289" s="102">
        <f t="shared" ref="Y289:Y352" si="245">IF(Y288&lt;Z288,0,Y288-AB288)</f>
        <v>0</v>
      </c>
      <c r="Z289" s="102">
        <f t="shared" ref="Z289:Z352" si="246">IF(Y289&lt;=Z288,Y289+AA289,Z$2)</f>
        <v>0</v>
      </c>
      <c r="AA289" s="102">
        <f t="shared" ref="AA289:AA352" si="247">(Y289*AD$1)/12</f>
        <v>0</v>
      </c>
      <c r="AB289" s="102">
        <f t="shared" ref="AB289:AB352" si="248">Z289-AA289</f>
        <v>0</v>
      </c>
      <c r="AH289" s="100">
        <v>288</v>
      </c>
      <c r="AI289" s="131">
        <f t="shared" ref="AI289:AI352" ca="1" si="249">IF(AJ288&lt;AK288,,EDATE(AI288,1))</f>
        <v>54931</v>
      </c>
      <c r="AJ289" s="102">
        <f t="shared" ref="AJ289:AJ352" si="250">IF(AJ288&lt;AK288,0,AJ288-AM288)</f>
        <v>0</v>
      </c>
      <c r="AK289" s="102">
        <f t="shared" ref="AK289:AK352" si="251">IF(AJ289&lt;=AK288,AJ289+AL289,AK$2)</f>
        <v>0</v>
      </c>
      <c r="AL289" s="102">
        <f t="shared" ref="AL289:AL352" si="252">(AJ289*AO$1)/12</f>
        <v>0</v>
      </c>
      <c r="AM289" s="102">
        <f t="shared" ref="AM289:AM352" si="253">AK289-AL289</f>
        <v>0</v>
      </c>
      <c r="AS289" s="530">
        <v>288</v>
      </c>
      <c r="AT289" s="531">
        <f t="shared" ca="1" si="222"/>
        <v>54931</v>
      </c>
      <c r="AU289" s="532">
        <f ca="1">IF(AU288=0,SUMIFS('Key Life Events'!$L$3:$L$28,'Key Life Events'!$H$3:$H$28,'Loan Amortization'!$AY$3,'Key Life Events'!$N$3:$N$28,'Loan Amortization'!AT289),AU288-AX288)</f>
        <v>0</v>
      </c>
      <c r="AV289" s="532">
        <f t="shared" ca="1" si="223"/>
        <v>0</v>
      </c>
      <c r="AW289" s="532">
        <f t="shared" ca="1" si="190"/>
        <v>0</v>
      </c>
      <c r="AX289" s="532">
        <f t="shared" ca="1" si="197"/>
        <v>0</v>
      </c>
      <c r="BC289" s="536">
        <f t="shared" ca="1" si="198"/>
        <v>2050</v>
      </c>
      <c r="BF289" s="530">
        <v>288</v>
      </c>
      <c r="BG289" s="531">
        <f t="shared" ca="1" si="224"/>
        <v>54931</v>
      </c>
      <c r="BH289" s="532">
        <f ca="1">IF(BH288=0,SUMIFS('Key Life Events'!$L$3:$L$28,'Key Life Events'!$H$3:$H$28,'Loan Amortization'!$BL$3,'Key Life Events'!$N$3:$N$28,'Loan Amortization'!BG289),BH288-BK288)</f>
        <v>0</v>
      </c>
      <c r="BI289" s="532">
        <f t="shared" ca="1" si="225"/>
        <v>0</v>
      </c>
      <c r="BJ289" s="532">
        <f t="shared" ca="1" si="226"/>
        <v>0</v>
      </c>
      <c r="BK289" s="532">
        <f t="shared" ca="1" si="199"/>
        <v>0</v>
      </c>
      <c r="BP289" s="536">
        <f t="shared" ca="1" si="200"/>
        <v>2050</v>
      </c>
      <c r="BQ289" s="535">
        <f ca="1"/>
        <v>0</v>
      </c>
      <c r="BS289" s="530">
        <v>288</v>
      </c>
      <c r="BT289" s="531">
        <f t="shared" ca="1" si="227"/>
        <v>54931</v>
      </c>
      <c r="BU289" s="532">
        <f ca="1">IF(BU288=0,SUMIFS('Key Life Events'!$L$3:$L$28,'Key Life Events'!$H$3:$H$28,'Loan Amortization'!$BY$3,'Key Life Events'!$N$3:$N$28,'Loan Amortization'!BT289),BU288-BX288)</f>
        <v>0</v>
      </c>
      <c r="BV289" s="532">
        <f t="shared" ca="1" si="232"/>
        <v>0</v>
      </c>
      <c r="BW289" s="532">
        <f t="shared" ca="1" si="228"/>
        <v>0</v>
      </c>
      <c r="BX289" s="532">
        <f t="shared" ca="1" si="201"/>
        <v>0</v>
      </c>
      <c r="CC289" s="536">
        <f t="shared" ca="1" si="202"/>
        <v>2050</v>
      </c>
      <c r="CD289" s="535">
        <f ca="1"/>
        <v>0</v>
      </c>
      <c r="CF289" s="530">
        <v>288</v>
      </c>
      <c r="CG289" s="531">
        <f t="shared" ca="1" si="229"/>
        <v>54931</v>
      </c>
      <c r="CH289" s="532">
        <f ca="1">IF(CH288=0,SUMIFS('Key Life Events'!$L$3:$L$28,'Key Life Events'!$H$3:$H$28,'Loan Amortization'!$CL$3,'Key Life Events'!$N$3:$N$28,'Loan Amortization'!CG289),CH288-CK288)</f>
        <v>0</v>
      </c>
      <c r="CI289" s="532">
        <f t="shared" ca="1" si="230"/>
        <v>0</v>
      </c>
      <c r="CJ289" s="532">
        <f t="shared" ca="1" si="231"/>
        <v>0</v>
      </c>
      <c r="CK289" s="532">
        <f t="shared" ca="1" si="203"/>
        <v>0</v>
      </c>
      <c r="CP289" s="536">
        <f t="shared" ca="1" si="204"/>
        <v>2050</v>
      </c>
      <c r="CQ289" s="535">
        <f ca="1"/>
        <v>0</v>
      </c>
      <c r="CS289" s="100">
        <f t="shared" ref="CS289:CS307" si="254">AH289</f>
        <v>288</v>
      </c>
      <c r="CT289" s="102">
        <f t="shared" ref="CT289:CT307" ca="1" si="255">C289+Y289+AJ289+N289+AU289+BH289+BU289+CH289</f>
        <v>0</v>
      </c>
      <c r="CU289" s="102">
        <f t="shared" ref="CU289:CU307" ca="1" si="256">D289+Z289+AK289+O289+AV289+BI289+BV289+CI289</f>
        <v>0</v>
      </c>
      <c r="CV289" s="511">
        <f t="shared" ca="1" si="208"/>
        <v>2050</v>
      </c>
    </row>
    <row r="290" spans="1:100" x14ac:dyDescent="0.3">
      <c r="A290" s="100">
        <v>289</v>
      </c>
      <c r="B290" s="131">
        <f t="shared" si="234"/>
        <v>7942</v>
      </c>
      <c r="C290" s="102">
        <f t="shared" si="235"/>
        <v>0</v>
      </c>
      <c r="D290" s="102">
        <f t="shared" si="236"/>
        <v>0</v>
      </c>
      <c r="E290" s="102">
        <f t="shared" si="237"/>
        <v>0</v>
      </c>
      <c r="F290" s="102">
        <f t="shared" si="238"/>
        <v>0</v>
      </c>
      <c r="L290" s="100">
        <v>289</v>
      </c>
      <c r="M290" s="131">
        <f t="shared" ca="1" si="239"/>
        <v>54962</v>
      </c>
      <c r="N290" s="102">
        <f t="shared" si="240"/>
        <v>0</v>
      </c>
      <c r="O290" s="102">
        <f t="shared" si="241"/>
        <v>0</v>
      </c>
      <c r="P290" s="102">
        <f t="shared" si="242"/>
        <v>0</v>
      </c>
      <c r="Q290" s="102">
        <f t="shared" si="243"/>
        <v>0</v>
      </c>
      <c r="W290" s="100">
        <v>289</v>
      </c>
      <c r="X290" s="131">
        <f t="shared" ca="1" si="244"/>
        <v>54962</v>
      </c>
      <c r="Y290" s="102">
        <f t="shared" si="245"/>
        <v>0</v>
      </c>
      <c r="Z290" s="102">
        <f t="shared" si="246"/>
        <v>0</v>
      </c>
      <c r="AA290" s="102">
        <f t="shared" si="247"/>
        <v>0</v>
      </c>
      <c r="AB290" s="102">
        <f t="shared" si="248"/>
        <v>0</v>
      </c>
      <c r="AH290" s="100">
        <v>289</v>
      </c>
      <c r="AI290" s="131">
        <f t="shared" ca="1" si="249"/>
        <v>54962</v>
      </c>
      <c r="AJ290" s="102">
        <f t="shared" si="250"/>
        <v>0</v>
      </c>
      <c r="AK290" s="102">
        <f t="shared" si="251"/>
        <v>0</v>
      </c>
      <c r="AL290" s="102">
        <f t="shared" si="252"/>
        <v>0</v>
      </c>
      <c r="AM290" s="102">
        <f t="shared" si="253"/>
        <v>0</v>
      </c>
      <c r="AS290" s="530">
        <v>289</v>
      </c>
      <c r="AT290" s="531">
        <f t="shared" ca="1" si="222"/>
        <v>54962</v>
      </c>
      <c r="AU290" s="532">
        <f ca="1">IF(AU289=0,SUMIFS('Key Life Events'!$L$3:$L$28,'Key Life Events'!$H$3:$H$28,'Loan Amortization'!$AY$3,'Key Life Events'!$N$3:$N$28,'Loan Amortization'!AT290),AU289-AX289)</f>
        <v>0</v>
      </c>
      <c r="AV290" s="532">
        <f t="shared" ca="1" si="223"/>
        <v>0</v>
      </c>
      <c r="AW290" s="532">
        <f t="shared" ca="1" si="190"/>
        <v>0</v>
      </c>
      <c r="AX290" s="532">
        <f t="shared" ca="1" si="197"/>
        <v>0</v>
      </c>
      <c r="BC290" s="536">
        <f t="shared" ca="1" si="198"/>
        <v>2050</v>
      </c>
      <c r="BF290" s="530">
        <v>289</v>
      </c>
      <c r="BG290" s="531">
        <f t="shared" ca="1" si="224"/>
        <v>54962</v>
      </c>
      <c r="BH290" s="532">
        <f ca="1">IF(BH289=0,SUMIFS('Key Life Events'!$L$3:$L$28,'Key Life Events'!$H$3:$H$28,'Loan Amortization'!$BL$3,'Key Life Events'!$N$3:$N$28,'Loan Amortization'!BG290),BH289-BK289)</f>
        <v>0</v>
      </c>
      <c r="BI290" s="532">
        <f t="shared" ca="1" si="225"/>
        <v>0</v>
      </c>
      <c r="BJ290" s="532">
        <f t="shared" ca="1" si="226"/>
        <v>0</v>
      </c>
      <c r="BK290" s="532">
        <f t="shared" ca="1" si="199"/>
        <v>0</v>
      </c>
      <c r="BP290" s="536">
        <f t="shared" ca="1" si="200"/>
        <v>2050</v>
      </c>
      <c r="BQ290" s="535">
        <f ca="1"/>
        <v>0</v>
      </c>
      <c r="BS290" s="530">
        <v>289</v>
      </c>
      <c r="BT290" s="531">
        <f t="shared" ca="1" si="227"/>
        <v>54962</v>
      </c>
      <c r="BU290" s="532">
        <f ca="1">IF(BU289=0,SUMIFS('Key Life Events'!$L$3:$L$28,'Key Life Events'!$H$3:$H$28,'Loan Amortization'!$BY$3,'Key Life Events'!$N$3:$N$28,'Loan Amortization'!BT290),BU289-BX289)</f>
        <v>0</v>
      </c>
      <c r="BV290" s="532">
        <f t="shared" ca="1" si="232"/>
        <v>0</v>
      </c>
      <c r="BW290" s="532">
        <f t="shared" ca="1" si="228"/>
        <v>0</v>
      </c>
      <c r="BX290" s="532">
        <f t="shared" ca="1" si="201"/>
        <v>0</v>
      </c>
      <c r="CC290" s="536">
        <f t="shared" ca="1" si="202"/>
        <v>2050</v>
      </c>
      <c r="CD290" s="535">
        <f ca="1"/>
        <v>0</v>
      </c>
      <c r="CF290" s="530">
        <v>289</v>
      </c>
      <c r="CG290" s="531">
        <f t="shared" ca="1" si="229"/>
        <v>54962</v>
      </c>
      <c r="CH290" s="532">
        <f ca="1">IF(CH289=0,SUMIFS('Key Life Events'!$L$3:$L$28,'Key Life Events'!$H$3:$H$28,'Loan Amortization'!$CL$3,'Key Life Events'!$N$3:$N$28,'Loan Amortization'!CG290),CH289-CK289)</f>
        <v>0</v>
      </c>
      <c r="CI290" s="532">
        <f t="shared" ca="1" si="230"/>
        <v>0</v>
      </c>
      <c r="CJ290" s="532">
        <f t="shared" ca="1" si="231"/>
        <v>0</v>
      </c>
      <c r="CK290" s="532">
        <f t="shared" ca="1" si="203"/>
        <v>0</v>
      </c>
      <c r="CP290" s="536">
        <f t="shared" ca="1" si="204"/>
        <v>2050</v>
      </c>
      <c r="CQ290" s="535">
        <f ca="1"/>
        <v>0</v>
      </c>
      <c r="CS290" s="100">
        <f t="shared" si="254"/>
        <v>289</v>
      </c>
      <c r="CT290" s="102">
        <f t="shared" ca="1" si="255"/>
        <v>0</v>
      </c>
      <c r="CU290" s="102">
        <f t="shared" ca="1" si="256"/>
        <v>0</v>
      </c>
      <c r="CV290" s="511">
        <f t="shared" ca="1" si="208"/>
        <v>2050</v>
      </c>
    </row>
    <row r="291" spans="1:100" x14ac:dyDescent="0.3">
      <c r="A291" s="100">
        <v>290</v>
      </c>
      <c r="B291" s="131">
        <f t="shared" si="234"/>
        <v>7972</v>
      </c>
      <c r="C291" s="102">
        <f t="shared" si="235"/>
        <v>0</v>
      </c>
      <c r="D291" s="102">
        <f t="shared" si="236"/>
        <v>0</v>
      </c>
      <c r="E291" s="102">
        <f t="shared" si="237"/>
        <v>0</v>
      </c>
      <c r="F291" s="102">
        <f t="shared" si="238"/>
        <v>0</v>
      </c>
      <c r="L291" s="100">
        <v>290</v>
      </c>
      <c r="M291" s="131">
        <f t="shared" ca="1" si="239"/>
        <v>54992</v>
      </c>
      <c r="N291" s="102">
        <f t="shared" si="240"/>
        <v>0</v>
      </c>
      <c r="O291" s="102">
        <f t="shared" si="241"/>
        <v>0</v>
      </c>
      <c r="P291" s="102">
        <f t="shared" si="242"/>
        <v>0</v>
      </c>
      <c r="Q291" s="102">
        <f t="shared" si="243"/>
        <v>0</v>
      </c>
      <c r="W291" s="100">
        <v>290</v>
      </c>
      <c r="X291" s="131">
        <f t="shared" ca="1" si="244"/>
        <v>54992</v>
      </c>
      <c r="Y291" s="102">
        <f t="shared" si="245"/>
        <v>0</v>
      </c>
      <c r="Z291" s="102">
        <f t="shared" si="246"/>
        <v>0</v>
      </c>
      <c r="AA291" s="102">
        <f t="shared" si="247"/>
        <v>0</v>
      </c>
      <c r="AB291" s="102">
        <f t="shared" si="248"/>
        <v>0</v>
      </c>
      <c r="AH291" s="100">
        <v>290</v>
      </c>
      <c r="AI291" s="131">
        <f t="shared" ca="1" si="249"/>
        <v>54992</v>
      </c>
      <c r="AJ291" s="102">
        <f t="shared" si="250"/>
        <v>0</v>
      </c>
      <c r="AK291" s="102">
        <f t="shared" si="251"/>
        <v>0</v>
      </c>
      <c r="AL291" s="102">
        <f t="shared" si="252"/>
        <v>0</v>
      </c>
      <c r="AM291" s="102">
        <f t="shared" si="253"/>
        <v>0</v>
      </c>
      <c r="AS291" s="530">
        <v>290</v>
      </c>
      <c r="AT291" s="531">
        <f t="shared" ca="1" si="222"/>
        <v>54992</v>
      </c>
      <c r="AU291" s="532">
        <f ca="1">IF(AU290=0,SUMIFS('Key Life Events'!$L$3:$L$28,'Key Life Events'!$H$3:$H$28,'Loan Amortization'!$AY$3,'Key Life Events'!$N$3:$N$28,'Loan Amortization'!AT291),AU290-AX290)</f>
        <v>0</v>
      </c>
      <c r="AV291" s="532">
        <f t="shared" ca="1" si="223"/>
        <v>0</v>
      </c>
      <c r="AW291" s="532">
        <f t="shared" ca="1" si="190"/>
        <v>0</v>
      </c>
      <c r="AX291" s="532">
        <f t="shared" ca="1" si="197"/>
        <v>0</v>
      </c>
      <c r="BC291" s="536">
        <f t="shared" ca="1" si="198"/>
        <v>2050</v>
      </c>
      <c r="BF291" s="530">
        <v>290</v>
      </c>
      <c r="BG291" s="531">
        <f t="shared" ca="1" si="224"/>
        <v>54992</v>
      </c>
      <c r="BH291" s="532">
        <f ca="1">IF(BH290=0,SUMIFS('Key Life Events'!$L$3:$L$28,'Key Life Events'!$H$3:$H$28,'Loan Amortization'!$BL$3,'Key Life Events'!$N$3:$N$28,'Loan Amortization'!BG291),BH290-BK290)</f>
        <v>0</v>
      </c>
      <c r="BI291" s="532">
        <f t="shared" ca="1" si="225"/>
        <v>0</v>
      </c>
      <c r="BJ291" s="532">
        <f t="shared" ca="1" si="226"/>
        <v>0</v>
      </c>
      <c r="BK291" s="532">
        <f t="shared" ca="1" si="199"/>
        <v>0</v>
      </c>
      <c r="BP291" s="536">
        <f t="shared" ca="1" si="200"/>
        <v>2050</v>
      </c>
      <c r="BQ291" s="535">
        <f ca="1"/>
        <v>0</v>
      </c>
      <c r="BS291" s="530">
        <v>290</v>
      </c>
      <c r="BT291" s="531">
        <f t="shared" ca="1" si="227"/>
        <v>54992</v>
      </c>
      <c r="BU291" s="532">
        <f ca="1">IF(BU290=0,SUMIFS('Key Life Events'!$L$3:$L$28,'Key Life Events'!$H$3:$H$28,'Loan Amortization'!$BY$3,'Key Life Events'!$N$3:$N$28,'Loan Amortization'!BT291),BU290-BX290)</f>
        <v>0</v>
      </c>
      <c r="BV291" s="532">
        <f t="shared" ca="1" si="232"/>
        <v>0</v>
      </c>
      <c r="BW291" s="532">
        <f t="shared" ca="1" si="228"/>
        <v>0</v>
      </c>
      <c r="BX291" s="532">
        <f t="shared" ca="1" si="201"/>
        <v>0</v>
      </c>
      <c r="CC291" s="536">
        <f t="shared" ca="1" si="202"/>
        <v>2050</v>
      </c>
      <c r="CD291" s="535">
        <f ca="1"/>
        <v>0</v>
      </c>
      <c r="CF291" s="530">
        <v>290</v>
      </c>
      <c r="CG291" s="531">
        <f t="shared" ca="1" si="229"/>
        <v>54992</v>
      </c>
      <c r="CH291" s="532">
        <f ca="1">IF(CH290=0,SUMIFS('Key Life Events'!$L$3:$L$28,'Key Life Events'!$H$3:$H$28,'Loan Amortization'!$CL$3,'Key Life Events'!$N$3:$N$28,'Loan Amortization'!CG291),CH290-CK290)</f>
        <v>0</v>
      </c>
      <c r="CI291" s="532">
        <f t="shared" ca="1" si="230"/>
        <v>0</v>
      </c>
      <c r="CJ291" s="532">
        <f t="shared" ca="1" si="231"/>
        <v>0</v>
      </c>
      <c r="CK291" s="532">
        <f t="shared" ca="1" si="203"/>
        <v>0</v>
      </c>
      <c r="CP291" s="536">
        <f t="shared" ca="1" si="204"/>
        <v>2050</v>
      </c>
      <c r="CQ291" s="535">
        <f ca="1"/>
        <v>0</v>
      </c>
      <c r="CS291" s="100">
        <f t="shared" si="254"/>
        <v>290</v>
      </c>
      <c r="CT291" s="102">
        <f t="shared" ca="1" si="255"/>
        <v>0</v>
      </c>
      <c r="CU291" s="102">
        <f t="shared" ca="1" si="256"/>
        <v>0</v>
      </c>
      <c r="CV291" s="511">
        <f t="shared" ca="1" si="208"/>
        <v>2050</v>
      </c>
    </row>
    <row r="292" spans="1:100" x14ac:dyDescent="0.3">
      <c r="A292" s="100">
        <v>291</v>
      </c>
      <c r="B292" s="131">
        <f t="shared" si="234"/>
        <v>8003</v>
      </c>
      <c r="C292" s="102">
        <f t="shared" si="235"/>
        <v>0</v>
      </c>
      <c r="D292" s="102">
        <f t="shared" si="236"/>
        <v>0</v>
      </c>
      <c r="E292" s="102">
        <f t="shared" si="237"/>
        <v>0</v>
      </c>
      <c r="F292" s="102">
        <f t="shared" si="238"/>
        <v>0</v>
      </c>
      <c r="L292" s="100">
        <v>291</v>
      </c>
      <c r="M292" s="131">
        <f t="shared" ca="1" si="239"/>
        <v>55023</v>
      </c>
      <c r="N292" s="102">
        <f t="shared" si="240"/>
        <v>0</v>
      </c>
      <c r="O292" s="102">
        <f t="shared" si="241"/>
        <v>0</v>
      </c>
      <c r="P292" s="102">
        <f t="shared" si="242"/>
        <v>0</v>
      </c>
      <c r="Q292" s="102">
        <f t="shared" si="243"/>
        <v>0</v>
      </c>
      <c r="W292" s="100">
        <v>291</v>
      </c>
      <c r="X292" s="131">
        <f t="shared" ca="1" si="244"/>
        <v>55023</v>
      </c>
      <c r="Y292" s="102">
        <f t="shared" si="245"/>
        <v>0</v>
      </c>
      <c r="Z292" s="102">
        <f t="shared" si="246"/>
        <v>0</v>
      </c>
      <c r="AA292" s="102">
        <f t="shared" si="247"/>
        <v>0</v>
      </c>
      <c r="AB292" s="102">
        <f t="shared" si="248"/>
        <v>0</v>
      </c>
      <c r="AH292" s="100">
        <v>291</v>
      </c>
      <c r="AI292" s="131">
        <f t="shared" ca="1" si="249"/>
        <v>55023</v>
      </c>
      <c r="AJ292" s="102">
        <f t="shared" si="250"/>
        <v>0</v>
      </c>
      <c r="AK292" s="102">
        <f t="shared" si="251"/>
        <v>0</v>
      </c>
      <c r="AL292" s="102">
        <f t="shared" si="252"/>
        <v>0</v>
      </c>
      <c r="AM292" s="102">
        <f t="shared" si="253"/>
        <v>0</v>
      </c>
      <c r="AS292" s="530">
        <v>291</v>
      </c>
      <c r="AT292" s="531">
        <f t="shared" ca="1" si="222"/>
        <v>55023</v>
      </c>
      <c r="AU292" s="532">
        <f ca="1">IF(AU291=0,SUMIFS('Key Life Events'!$L$3:$L$28,'Key Life Events'!$H$3:$H$28,'Loan Amortization'!$AY$3,'Key Life Events'!$N$3:$N$28,'Loan Amortization'!AT292),AU291-AX291)</f>
        <v>0</v>
      </c>
      <c r="AV292" s="532">
        <f t="shared" ca="1" si="223"/>
        <v>0</v>
      </c>
      <c r="AW292" s="532">
        <f t="shared" ca="1" si="190"/>
        <v>0</v>
      </c>
      <c r="AX292" s="532">
        <f t="shared" ca="1" si="197"/>
        <v>0</v>
      </c>
      <c r="BC292" s="536">
        <f t="shared" ca="1" si="198"/>
        <v>2050</v>
      </c>
      <c r="BF292" s="530">
        <v>291</v>
      </c>
      <c r="BG292" s="531">
        <f t="shared" ca="1" si="224"/>
        <v>55023</v>
      </c>
      <c r="BH292" s="532">
        <f ca="1">IF(BH291=0,SUMIFS('Key Life Events'!$L$3:$L$28,'Key Life Events'!$H$3:$H$28,'Loan Amortization'!$BL$3,'Key Life Events'!$N$3:$N$28,'Loan Amortization'!BG292),BH291-BK291)</f>
        <v>0</v>
      </c>
      <c r="BI292" s="532">
        <f t="shared" ca="1" si="225"/>
        <v>0</v>
      </c>
      <c r="BJ292" s="532">
        <f t="shared" ca="1" si="226"/>
        <v>0</v>
      </c>
      <c r="BK292" s="532">
        <f t="shared" ca="1" si="199"/>
        <v>0</v>
      </c>
      <c r="BP292" s="536">
        <f t="shared" ca="1" si="200"/>
        <v>2050</v>
      </c>
      <c r="BQ292" s="535">
        <f ca="1"/>
        <v>0</v>
      </c>
      <c r="BS292" s="530">
        <v>291</v>
      </c>
      <c r="BT292" s="531">
        <f t="shared" ca="1" si="227"/>
        <v>55023</v>
      </c>
      <c r="BU292" s="532">
        <f ca="1">IF(BU291=0,SUMIFS('Key Life Events'!$L$3:$L$28,'Key Life Events'!$H$3:$H$28,'Loan Amortization'!$BY$3,'Key Life Events'!$N$3:$N$28,'Loan Amortization'!BT292),BU291-BX291)</f>
        <v>0</v>
      </c>
      <c r="BV292" s="532">
        <f t="shared" ca="1" si="232"/>
        <v>0</v>
      </c>
      <c r="BW292" s="532">
        <f t="shared" ca="1" si="228"/>
        <v>0</v>
      </c>
      <c r="BX292" s="532">
        <f t="shared" ca="1" si="201"/>
        <v>0</v>
      </c>
      <c r="CC292" s="536">
        <f t="shared" ca="1" si="202"/>
        <v>2050</v>
      </c>
      <c r="CD292" s="535">
        <f ca="1"/>
        <v>0</v>
      </c>
      <c r="CF292" s="530">
        <v>291</v>
      </c>
      <c r="CG292" s="531">
        <f t="shared" ca="1" si="229"/>
        <v>55023</v>
      </c>
      <c r="CH292" s="532">
        <f ca="1">IF(CH291=0,SUMIFS('Key Life Events'!$L$3:$L$28,'Key Life Events'!$H$3:$H$28,'Loan Amortization'!$CL$3,'Key Life Events'!$N$3:$N$28,'Loan Amortization'!CG292),CH291-CK291)</f>
        <v>0</v>
      </c>
      <c r="CI292" s="532">
        <f t="shared" ca="1" si="230"/>
        <v>0</v>
      </c>
      <c r="CJ292" s="532">
        <f t="shared" ca="1" si="231"/>
        <v>0</v>
      </c>
      <c r="CK292" s="532">
        <f t="shared" ca="1" si="203"/>
        <v>0</v>
      </c>
      <c r="CP292" s="536">
        <f t="shared" ca="1" si="204"/>
        <v>2050</v>
      </c>
      <c r="CQ292" s="535">
        <f ca="1"/>
        <v>0</v>
      </c>
      <c r="CS292" s="100">
        <f t="shared" si="254"/>
        <v>291</v>
      </c>
      <c r="CT292" s="102">
        <f t="shared" ca="1" si="255"/>
        <v>0</v>
      </c>
      <c r="CU292" s="102">
        <f t="shared" ca="1" si="256"/>
        <v>0</v>
      </c>
      <c r="CV292" s="511">
        <f t="shared" ca="1" si="208"/>
        <v>2050</v>
      </c>
    </row>
    <row r="293" spans="1:100" x14ac:dyDescent="0.3">
      <c r="A293" s="100">
        <v>292</v>
      </c>
      <c r="B293" s="131">
        <f t="shared" si="234"/>
        <v>8033</v>
      </c>
      <c r="C293" s="102">
        <f t="shared" si="235"/>
        <v>0</v>
      </c>
      <c r="D293" s="102">
        <f t="shared" si="236"/>
        <v>0</v>
      </c>
      <c r="E293" s="102">
        <f t="shared" si="237"/>
        <v>0</v>
      </c>
      <c r="F293" s="102">
        <f t="shared" si="238"/>
        <v>0</v>
      </c>
      <c r="L293" s="100">
        <v>292</v>
      </c>
      <c r="M293" s="131">
        <f t="shared" ca="1" si="239"/>
        <v>55054</v>
      </c>
      <c r="N293" s="102">
        <f t="shared" si="240"/>
        <v>0</v>
      </c>
      <c r="O293" s="102">
        <f t="shared" si="241"/>
        <v>0</v>
      </c>
      <c r="P293" s="102">
        <f t="shared" si="242"/>
        <v>0</v>
      </c>
      <c r="Q293" s="102">
        <f t="shared" si="243"/>
        <v>0</v>
      </c>
      <c r="W293" s="100">
        <v>292</v>
      </c>
      <c r="X293" s="131">
        <f t="shared" ca="1" si="244"/>
        <v>55054</v>
      </c>
      <c r="Y293" s="102">
        <f t="shared" si="245"/>
        <v>0</v>
      </c>
      <c r="Z293" s="102">
        <f t="shared" si="246"/>
        <v>0</v>
      </c>
      <c r="AA293" s="102">
        <f t="shared" si="247"/>
        <v>0</v>
      </c>
      <c r="AB293" s="102">
        <f t="shared" si="248"/>
        <v>0</v>
      </c>
      <c r="AH293" s="100">
        <v>292</v>
      </c>
      <c r="AI293" s="131">
        <f t="shared" ca="1" si="249"/>
        <v>55054</v>
      </c>
      <c r="AJ293" s="102">
        <f t="shared" si="250"/>
        <v>0</v>
      </c>
      <c r="AK293" s="102">
        <f t="shared" si="251"/>
        <v>0</v>
      </c>
      <c r="AL293" s="102">
        <f t="shared" si="252"/>
        <v>0</v>
      </c>
      <c r="AM293" s="102">
        <f t="shared" si="253"/>
        <v>0</v>
      </c>
      <c r="AS293" s="530">
        <v>292</v>
      </c>
      <c r="AT293" s="531">
        <f t="shared" ca="1" si="222"/>
        <v>55054</v>
      </c>
      <c r="AU293" s="532">
        <f ca="1">IF(AU292=0,SUMIFS('Key Life Events'!$L$3:$L$28,'Key Life Events'!$H$3:$H$28,'Loan Amortization'!$AY$3,'Key Life Events'!$N$3:$N$28,'Loan Amortization'!AT293),AU292-AX292)</f>
        <v>0</v>
      </c>
      <c r="AV293" s="532">
        <f t="shared" ca="1" si="223"/>
        <v>0</v>
      </c>
      <c r="AW293" s="532">
        <f t="shared" ca="1" si="190"/>
        <v>0</v>
      </c>
      <c r="AX293" s="532">
        <f t="shared" ca="1" si="197"/>
        <v>0</v>
      </c>
      <c r="BC293" s="536">
        <f t="shared" ca="1" si="198"/>
        <v>2050</v>
      </c>
      <c r="BF293" s="530">
        <v>292</v>
      </c>
      <c r="BG293" s="531">
        <f t="shared" ca="1" si="224"/>
        <v>55054</v>
      </c>
      <c r="BH293" s="532">
        <f ca="1">IF(BH292=0,SUMIFS('Key Life Events'!$L$3:$L$28,'Key Life Events'!$H$3:$H$28,'Loan Amortization'!$BL$3,'Key Life Events'!$N$3:$N$28,'Loan Amortization'!BG293),BH292-BK292)</f>
        <v>0</v>
      </c>
      <c r="BI293" s="532">
        <f t="shared" ca="1" si="225"/>
        <v>0</v>
      </c>
      <c r="BJ293" s="532">
        <f t="shared" ca="1" si="226"/>
        <v>0</v>
      </c>
      <c r="BK293" s="532">
        <f t="shared" ca="1" si="199"/>
        <v>0</v>
      </c>
      <c r="BP293" s="536">
        <f t="shared" ca="1" si="200"/>
        <v>2050</v>
      </c>
      <c r="BQ293" s="535">
        <f ca="1"/>
        <v>0</v>
      </c>
      <c r="BS293" s="530">
        <v>292</v>
      </c>
      <c r="BT293" s="531">
        <f t="shared" ca="1" si="227"/>
        <v>55054</v>
      </c>
      <c r="BU293" s="532">
        <f ca="1">IF(BU292=0,SUMIFS('Key Life Events'!$L$3:$L$28,'Key Life Events'!$H$3:$H$28,'Loan Amortization'!$BY$3,'Key Life Events'!$N$3:$N$28,'Loan Amortization'!BT293),BU292-BX292)</f>
        <v>0</v>
      </c>
      <c r="BV293" s="532">
        <f t="shared" ca="1" si="232"/>
        <v>0</v>
      </c>
      <c r="BW293" s="532">
        <f t="shared" ca="1" si="228"/>
        <v>0</v>
      </c>
      <c r="BX293" s="532">
        <f t="shared" ca="1" si="201"/>
        <v>0</v>
      </c>
      <c r="CC293" s="536">
        <f t="shared" ca="1" si="202"/>
        <v>2050</v>
      </c>
      <c r="CD293" s="535">
        <f ca="1"/>
        <v>0</v>
      </c>
      <c r="CF293" s="530">
        <v>292</v>
      </c>
      <c r="CG293" s="531">
        <f t="shared" ca="1" si="229"/>
        <v>55054</v>
      </c>
      <c r="CH293" s="532">
        <f ca="1">IF(CH292=0,SUMIFS('Key Life Events'!$L$3:$L$28,'Key Life Events'!$H$3:$H$28,'Loan Amortization'!$CL$3,'Key Life Events'!$N$3:$N$28,'Loan Amortization'!CG293),CH292-CK292)</f>
        <v>0</v>
      </c>
      <c r="CI293" s="532">
        <f t="shared" ca="1" si="230"/>
        <v>0</v>
      </c>
      <c r="CJ293" s="532">
        <f t="shared" ca="1" si="231"/>
        <v>0</v>
      </c>
      <c r="CK293" s="532">
        <f t="shared" ca="1" si="203"/>
        <v>0</v>
      </c>
      <c r="CP293" s="536">
        <f t="shared" ca="1" si="204"/>
        <v>2050</v>
      </c>
      <c r="CQ293" s="535">
        <f ca="1"/>
        <v>0</v>
      </c>
      <c r="CS293" s="100">
        <f t="shared" si="254"/>
        <v>292</v>
      </c>
      <c r="CT293" s="102">
        <f t="shared" ca="1" si="255"/>
        <v>0</v>
      </c>
      <c r="CU293" s="102">
        <f t="shared" ca="1" si="256"/>
        <v>0</v>
      </c>
      <c r="CV293" s="511">
        <f t="shared" ca="1" si="208"/>
        <v>2050</v>
      </c>
    </row>
    <row r="294" spans="1:100" x14ac:dyDescent="0.3">
      <c r="A294" s="100">
        <v>293</v>
      </c>
      <c r="B294" s="131">
        <f t="shared" si="234"/>
        <v>8064</v>
      </c>
      <c r="C294" s="102">
        <f t="shared" si="235"/>
        <v>0</v>
      </c>
      <c r="D294" s="102">
        <f t="shared" si="236"/>
        <v>0</v>
      </c>
      <c r="E294" s="102">
        <f t="shared" si="237"/>
        <v>0</v>
      </c>
      <c r="F294" s="102">
        <f t="shared" si="238"/>
        <v>0</v>
      </c>
      <c r="L294" s="100">
        <v>293</v>
      </c>
      <c r="M294" s="131">
        <f t="shared" ca="1" si="239"/>
        <v>55084</v>
      </c>
      <c r="N294" s="102">
        <f t="shared" si="240"/>
        <v>0</v>
      </c>
      <c r="O294" s="102">
        <f t="shared" si="241"/>
        <v>0</v>
      </c>
      <c r="P294" s="102">
        <f t="shared" si="242"/>
        <v>0</v>
      </c>
      <c r="Q294" s="102">
        <f t="shared" si="243"/>
        <v>0</v>
      </c>
      <c r="W294" s="100">
        <v>293</v>
      </c>
      <c r="X294" s="131">
        <f t="shared" ca="1" si="244"/>
        <v>55084</v>
      </c>
      <c r="Y294" s="102">
        <f t="shared" si="245"/>
        <v>0</v>
      </c>
      <c r="Z294" s="102">
        <f t="shared" si="246"/>
        <v>0</v>
      </c>
      <c r="AA294" s="102">
        <f t="shared" si="247"/>
        <v>0</v>
      </c>
      <c r="AB294" s="102">
        <f t="shared" si="248"/>
        <v>0</v>
      </c>
      <c r="AH294" s="100">
        <v>293</v>
      </c>
      <c r="AI294" s="131">
        <f t="shared" ca="1" si="249"/>
        <v>55084</v>
      </c>
      <c r="AJ294" s="102">
        <f t="shared" si="250"/>
        <v>0</v>
      </c>
      <c r="AK294" s="102">
        <f t="shared" si="251"/>
        <v>0</v>
      </c>
      <c r="AL294" s="102">
        <f t="shared" si="252"/>
        <v>0</v>
      </c>
      <c r="AM294" s="102">
        <f t="shared" si="253"/>
        <v>0</v>
      </c>
      <c r="AS294" s="530">
        <v>293</v>
      </c>
      <c r="AT294" s="531">
        <f t="shared" ca="1" si="222"/>
        <v>55084</v>
      </c>
      <c r="AU294" s="532">
        <f ca="1">IF(AU293=0,SUMIFS('Key Life Events'!$L$3:$L$28,'Key Life Events'!$H$3:$H$28,'Loan Amortization'!$AY$3,'Key Life Events'!$N$3:$N$28,'Loan Amortization'!AT294),AU293-AX293)</f>
        <v>0</v>
      </c>
      <c r="AV294" s="532">
        <f t="shared" ca="1" si="223"/>
        <v>0</v>
      </c>
      <c r="AW294" s="532">
        <f t="shared" ca="1" si="190"/>
        <v>0</v>
      </c>
      <c r="AX294" s="532">
        <f t="shared" ca="1" si="197"/>
        <v>0</v>
      </c>
      <c r="BC294" s="536">
        <f t="shared" ca="1" si="198"/>
        <v>2050</v>
      </c>
      <c r="BF294" s="530">
        <v>293</v>
      </c>
      <c r="BG294" s="531">
        <f t="shared" ca="1" si="224"/>
        <v>55084</v>
      </c>
      <c r="BH294" s="532">
        <f ca="1">IF(BH293=0,SUMIFS('Key Life Events'!$L$3:$L$28,'Key Life Events'!$H$3:$H$28,'Loan Amortization'!$BL$3,'Key Life Events'!$N$3:$N$28,'Loan Amortization'!BG294),BH293-BK293)</f>
        <v>0</v>
      </c>
      <c r="BI294" s="532">
        <f t="shared" ca="1" si="225"/>
        <v>0</v>
      </c>
      <c r="BJ294" s="532">
        <f t="shared" ca="1" si="226"/>
        <v>0</v>
      </c>
      <c r="BK294" s="532">
        <f t="shared" ca="1" si="199"/>
        <v>0</v>
      </c>
      <c r="BP294" s="536">
        <f t="shared" ca="1" si="200"/>
        <v>2050</v>
      </c>
      <c r="BQ294" s="535">
        <f ca="1"/>
        <v>0</v>
      </c>
      <c r="BS294" s="530">
        <v>293</v>
      </c>
      <c r="BT294" s="531">
        <f t="shared" ca="1" si="227"/>
        <v>55084</v>
      </c>
      <c r="BU294" s="532">
        <f ca="1">IF(BU293=0,SUMIFS('Key Life Events'!$L$3:$L$28,'Key Life Events'!$H$3:$H$28,'Loan Amortization'!$BY$3,'Key Life Events'!$N$3:$N$28,'Loan Amortization'!BT294),BU293-BX293)</f>
        <v>0</v>
      </c>
      <c r="BV294" s="532">
        <f t="shared" ca="1" si="232"/>
        <v>0</v>
      </c>
      <c r="BW294" s="532">
        <f t="shared" ca="1" si="228"/>
        <v>0</v>
      </c>
      <c r="BX294" s="532">
        <f t="shared" ca="1" si="201"/>
        <v>0</v>
      </c>
      <c r="CC294" s="536">
        <f t="shared" ca="1" si="202"/>
        <v>2050</v>
      </c>
      <c r="CD294" s="535">
        <f ca="1"/>
        <v>0</v>
      </c>
      <c r="CF294" s="530">
        <v>293</v>
      </c>
      <c r="CG294" s="531">
        <f t="shared" ca="1" si="229"/>
        <v>55084</v>
      </c>
      <c r="CH294" s="532">
        <f ca="1">IF(CH293=0,SUMIFS('Key Life Events'!$L$3:$L$28,'Key Life Events'!$H$3:$H$28,'Loan Amortization'!$CL$3,'Key Life Events'!$N$3:$N$28,'Loan Amortization'!CG294),CH293-CK293)</f>
        <v>0</v>
      </c>
      <c r="CI294" s="532">
        <f t="shared" ca="1" si="230"/>
        <v>0</v>
      </c>
      <c r="CJ294" s="532">
        <f t="shared" ca="1" si="231"/>
        <v>0</v>
      </c>
      <c r="CK294" s="532">
        <f t="shared" ca="1" si="203"/>
        <v>0</v>
      </c>
      <c r="CP294" s="536">
        <f t="shared" ca="1" si="204"/>
        <v>2050</v>
      </c>
      <c r="CQ294" s="535">
        <f ca="1"/>
        <v>0</v>
      </c>
      <c r="CS294" s="100">
        <f t="shared" si="254"/>
        <v>293</v>
      </c>
      <c r="CT294" s="102">
        <f t="shared" ca="1" si="255"/>
        <v>0</v>
      </c>
      <c r="CU294" s="102">
        <f t="shared" ca="1" si="256"/>
        <v>0</v>
      </c>
      <c r="CV294" s="511">
        <f t="shared" ca="1" si="208"/>
        <v>2050</v>
      </c>
    </row>
    <row r="295" spans="1:100" x14ac:dyDescent="0.3">
      <c r="A295" s="100">
        <v>294</v>
      </c>
      <c r="B295" s="131">
        <f t="shared" si="234"/>
        <v>8095</v>
      </c>
      <c r="C295" s="102">
        <f t="shared" si="235"/>
        <v>0</v>
      </c>
      <c r="D295" s="102">
        <f t="shared" si="236"/>
        <v>0</v>
      </c>
      <c r="E295" s="102">
        <f t="shared" si="237"/>
        <v>0</v>
      </c>
      <c r="F295" s="102">
        <f t="shared" si="238"/>
        <v>0</v>
      </c>
      <c r="L295" s="100">
        <v>294</v>
      </c>
      <c r="M295" s="131">
        <f t="shared" ca="1" si="239"/>
        <v>55115</v>
      </c>
      <c r="N295" s="102">
        <f t="shared" si="240"/>
        <v>0</v>
      </c>
      <c r="O295" s="102">
        <f t="shared" si="241"/>
        <v>0</v>
      </c>
      <c r="P295" s="102">
        <f t="shared" si="242"/>
        <v>0</v>
      </c>
      <c r="Q295" s="102">
        <f t="shared" si="243"/>
        <v>0</v>
      </c>
      <c r="W295" s="100">
        <v>294</v>
      </c>
      <c r="X295" s="131">
        <f t="shared" ca="1" si="244"/>
        <v>55115</v>
      </c>
      <c r="Y295" s="102">
        <f t="shared" si="245"/>
        <v>0</v>
      </c>
      <c r="Z295" s="102">
        <f t="shared" si="246"/>
        <v>0</v>
      </c>
      <c r="AA295" s="102">
        <f t="shared" si="247"/>
        <v>0</v>
      </c>
      <c r="AB295" s="102">
        <f t="shared" si="248"/>
        <v>0</v>
      </c>
      <c r="AH295" s="100">
        <v>294</v>
      </c>
      <c r="AI295" s="131">
        <f t="shared" ca="1" si="249"/>
        <v>55115</v>
      </c>
      <c r="AJ295" s="102">
        <f t="shared" si="250"/>
        <v>0</v>
      </c>
      <c r="AK295" s="102">
        <f t="shared" si="251"/>
        <v>0</v>
      </c>
      <c r="AL295" s="102">
        <f t="shared" si="252"/>
        <v>0</v>
      </c>
      <c r="AM295" s="102">
        <f t="shared" si="253"/>
        <v>0</v>
      </c>
      <c r="AS295" s="530">
        <v>294</v>
      </c>
      <c r="AT295" s="531">
        <f t="shared" ca="1" si="222"/>
        <v>55115</v>
      </c>
      <c r="AU295" s="532">
        <f ca="1">IF(AU294=0,SUMIFS('Key Life Events'!$L$3:$L$28,'Key Life Events'!$H$3:$H$28,'Loan Amortization'!$AY$3,'Key Life Events'!$N$3:$N$28,'Loan Amortization'!AT295),AU294-AX294)</f>
        <v>0</v>
      </c>
      <c r="AV295" s="532">
        <f t="shared" ca="1" si="223"/>
        <v>0</v>
      </c>
      <c r="AW295" s="532">
        <f t="shared" ca="1" si="190"/>
        <v>0</v>
      </c>
      <c r="AX295" s="532">
        <f t="shared" ca="1" si="197"/>
        <v>0</v>
      </c>
      <c r="BC295" s="536">
        <f t="shared" ca="1" si="198"/>
        <v>2050</v>
      </c>
      <c r="BF295" s="530">
        <v>294</v>
      </c>
      <c r="BG295" s="531">
        <f t="shared" ca="1" si="224"/>
        <v>55115</v>
      </c>
      <c r="BH295" s="532">
        <f ca="1">IF(BH294=0,SUMIFS('Key Life Events'!$L$3:$L$28,'Key Life Events'!$H$3:$H$28,'Loan Amortization'!$BL$3,'Key Life Events'!$N$3:$N$28,'Loan Amortization'!BG295),BH294-BK294)</f>
        <v>0</v>
      </c>
      <c r="BI295" s="532">
        <f t="shared" ca="1" si="225"/>
        <v>0</v>
      </c>
      <c r="BJ295" s="532">
        <f t="shared" ca="1" si="226"/>
        <v>0</v>
      </c>
      <c r="BK295" s="532">
        <f t="shared" ca="1" si="199"/>
        <v>0</v>
      </c>
      <c r="BP295" s="536">
        <f t="shared" ca="1" si="200"/>
        <v>2050</v>
      </c>
      <c r="BQ295" s="535">
        <f ca="1"/>
        <v>0</v>
      </c>
      <c r="BS295" s="530">
        <v>294</v>
      </c>
      <c r="BT295" s="531">
        <f t="shared" ca="1" si="227"/>
        <v>55115</v>
      </c>
      <c r="BU295" s="532">
        <f ca="1">IF(BU294=0,SUMIFS('Key Life Events'!$L$3:$L$28,'Key Life Events'!$H$3:$H$28,'Loan Amortization'!$BY$3,'Key Life Events'!$N$3:$N$28,'Loan Amortization'!BT295),BU294-BX294)</f>
        <v>0</v>
      </c>
      <c r="BV295" s="532">
        <f t="shared" ca="1" si="232"/>
        <v>0</v>
      </c>
      <c r="BW295" s="532">
        <f t="shared" ca="1" si="228"/>
        <v>0</v>
      </c>
      <c r="BX295" s="532">
        <f t="shared" ca="1" si="201"/>
        <v>0</v>
      </c>
      <c r="CC295" s="536">
        <f t="shared" ca="1" si="202"/>
        <v>2050</v>
      </c>
      <c r="CD295" s="535">
        <f ca="1"/>
        <v>0</v>
      </c>
      <c r="CF295" s="530">
        <v>294</v>
      </c>
      <c r="CG295" s="531">
        <f t="shared" ca="1" si="229"/>
        <v>55115</v>
      </c>
      <c r="CH295" s="532">
        <f ca="1">IF(CH294=0,SUMIFS('Key Life Events'!$L$3:$L$28,'Key Life Events'!$H$3:$H$28,'Loan Amortization'!$CL$3,'Key Life Events'!$N$3:$N$28,'Loan Amortization'!CG295),CH294-CK294)</f>
        <v>0</v>
      </c>
      <c r="CI295" s="532">
        <f t="shared" ca="1" si="230"/>
        <v>0</v>
      </c>
      <c r="CJ295" s="532">
        <f t="shared" ca="1" si="231"/>
        <v>0</v>
      </c>
      <c r="CK295" s="532">
        <f t="shared" ca="1" si="203"/>
        <v>0</v>
      </c>
      <c r="CP295" s="536">
        <f t="shared" ca="1" si="204"/>
        <v>2050</v>
      </c>
      <c r="CQ295" s="535">
        <f ca="1"/>
        <v>0</v>
      </c>
      <c r="CS295" s="100">
        <f t="shared" si="254"/>
        <v>294</v>
      </c>
      <c r="CT295" s="102">
        <f t="shared" ca="1" si="255"/>
        <v>0</v>
      </c>
      <c r="CU295" s="102">
        <f t="shared" ca="1" si="256"/>
        <v>0</v>
      </c>
      <c r="CV295" s="511">
        <f t="shared" ca="1" si="208"/>
        <v>2050</v>
      </c>
    </row>
    <row r="296" spans="1:100" x14ac:dyDescent="0.3">
      <c r="A296" s="100">
        <v>295</v>
      </c>
      <c r="B296" s="131">
        <f t="shared" si="234"/>
        <v>8123</v>
      </c>
      <c r="C296" s="102">
        <f t="shared" si="235"/>
        <v>0</v>
      </c>
      <c r="D296" s="102">
        <f t="shared" si="236"/>
        <v>0</v>
      </c>
      <c r="E296" s="102">
        <f t="shared" si="237"/>
        <v>0</v>
      </c>
      <c r="F296" s="102">
        <f t="shared" si="238"/>
        <v>0</v>
      </c>
      <c r="L296" s="100">
        <v>295</v>
      </c>
      <c r="M296" s="131">
        <f t="shared" ca="1" si="239"/>
        <v>55145</v>
      </c>
      <c r="N296" s="102">
        <f t="shared" si="240"/>
        <v>0</v>
      </c>
      <c r="O296" s="102">
        <f t="shared" si="241"/>
        <v>0</v>
      </c>
      <c r="P296" s="102">
        <f t="shared" si="242"/>
        <v>0</v>
      </c>
      <c r="Q296" s="102">
        <f t="shared" si="243"/>
        <v>0</v>
      </c>
      <c r="W296" s="100">
        <v>295</v>
      </c>
      <c r="X296" s="131">
        <f t="shared" ca="1" si="244"/>
        <v>55145</v>
      </c>
      <c r="Y296" s="102">
        <f t="shared" si="245"/>
        <v>0</v>
      </c>
      <c r="Z296" s="102">
        <f t="shared" si="246"/>
        <v>0</v>
      </c>
      <c r="AA296" s="102">
        <f t="shared" si="247"/>
        <v>0</v>
      </c>
      <c r="AB296" s="102">
        <f t="shared" si="248"/>
        <v>0</v>
      </c>
      <c r="AH296" s="100">
        <v>295</v>
      </c>
      <c r="AI296" s="131">
        <f t="shared" ca="1" si="249"/>
        <v>55145</v>
      </c>
      <c r="AJ296" s="102">
        <f t="shared" si="250"/>
        <v>0</v>
      </c>
      <c r="AK296" s="102">
        <f t="shared" si="251"/>
        <v>0</v>
      </c>
      <c r="AL296" s="102">
        <f t="shared" si="252"/>
        <v>0</v>
      </c>
      <c r="AM296" s="102">
        <f t="shared" si="253"/>
        <v>0</v>
      </c>
      <c r="AS296" s="530">
        <v>295</v>
      </c>
      <c r="AT296" s="531">
        <f t="shared" ca="1" si="222"/>
        <v>55145</v>
      </c>
      <c r="AU296" s="532">
        <f ca="1">IF(AU295=0,SUMIFS('Key Life Events'!$L$3:$L$28,'Key Life Events'!$H$3:$H$28,'Loan Amortization'!$AY$3,'Key Life Events'!$N$3:$N$28,'Loan Amortization'!AT296),AU295-AX295)</f>
        <v>0</v>
      </c>
      <c r="AV296" s="532">
        <f t="shared" ca="1" si="223"/>
        <v>0</v>
      </c>
      <c r="AW296" s="532">
        <f t="shared" ca="1" si="190"/>
        <v>0</v>
      </c>
      <c r="AX296" s="532">
        <f t="shared" ca="1" si="197"/>
        <v>0</v>
      </c>
      <c r="BC296" s="536">
        <f t="shared" ca="1" si="198"/>
        <v>2050</v>
      </c>
      <c r="BF296" s="530">
        <v>295</v>
      </c>
      <c r="BG296" s="531">
        <f t="shared" ca="1" si="224"/>
        <v>55145</v>
      </c>
      <c r="BH296" s="532">
        <f ca="1">IF(BH295=0,SUMIFS('Key Life Events'!$L$3:$L$28,'Key Life Events'!$H$3:$H$28,'Loan Amortization'!$BL$3,'Key Life Events'!$N$3:$N$28,'Loan Amortization'!BG296),BH295-BK295)</f>
        <v>0</v>
      </c>
      <c r="BI296" s="532">
        <f t="shared" ca="1" si="225"/>
        <v>0</v>
      </c>
      <c r="BJ296" s="532">
        <f t="shared" ca="1" si="226"/>
        <v>0</v>
      </c>
      <c r="BK296" s="532">
        <f t="shared" ca="1" si="199"/>
        <v>0</v>
      </c>
      <c r="BP296" s="536">
        <f t="shared" ca="1" si="200"/>
        <v>2050</v>
      </c>
      <c r="BQ296" s="535">
        <f ca="1"/>
        <v>0</v>
      </c>
      <c r="BS296" s="530">
        <v>295</v>
      </c>
      <c r="BT296" s="531">
        <f t="shared" ca="1" si="227"/>
        <v>55145</v>
      </c>
      <c r="BU296" s="532">
        <f ca="1">IF(BU295=0,SUMIFS('Key Life Events'!$L$3:$L$28,'Key Life Events'!$H$3:$H$28,'Loan Amortization'!$BY$3,'Key Life Events'!$N$3:$N$28,'Loan Amortization'!BT296),BU295-BX295)</f>
        <v>0</v>
      </c>
      <c r="BV296" s="532">
        <f t="shared" ca="1" si="232"/>
        <v>0</v>
      </c>
      <c r="BW296" s="532">
        <f t="shared" ca="1" si="228"/>
        <v>0</v>
      </c>
      <c r="BX296" s="532">
        <f t="shared" ca="1" si="201"/>
        <v>0</v>
      </c>
      <c r="CC296" s="536">
        <f t="shared" ca="1" si="202"/>
        <v>2050</v>
      </c>
      <c r="CD296" s="535">
        <f ca="1"/>
        <v>0</v>
      </c>
      <c r="CF296" s="530">
        <v>295</v>
      </c>
      <c r="CG296" s="531">
        <f t="shared" ca="1" si="229"/>
        <v>55145</v>
      </c>
      <c r="CH296" s="532">
        <f ca="1">IF(CH295=0,SUMIFS('Key Life Events'!$L$3:$L$28,'Key Life Events'!$H$3:$H$28,'Loan Amortization'!$CL$3,'Key Life Events'!$N$3:$N$28,'Loan Amortization'!CG296),CH295-CK295)</f>
        <v>0</v>
      </c>
      <c r="CI296" s="532">
        <f t="shared" ca="1" si="230"/>
        <v>0</v>
      </c>
      <c r="CJ296" s="532">
        <f t="shared" ca="1" si="231"/>
        <v>0</v>
      </c>
      <c r="CK296" s="532">
        <f t="shared" ca="1" si="203"/>
        <v>0</v>
      </c>
      <c r="CP296" s="536">
        <f t="shared" ca="1" si="204"/>
        <v>2050</v>
      </c>
      <c r="CQ296" s="535">
        <f ca="1"/>
        <v>0</v>
      </c>
      <c r="CS296" s="100">
        <f t="shared" si="254"/>
        <v>295</v>
      </c>
      <c r="CT296" s="102">
        <f t="shared" ca="1" si="255"/>
        <v>0</v>
      </c>
      <c r="CU296" s="102">
        <f t="shared" ca="1" si="256"/>
        <v>0</v>
      </c>
      <c r="CV296" s="511">
        <f t="shared" ca="1" si="208"/>
        <v>2050</v>
      </c>
    </row>
    <row r="297" spans="1:100" x14ac:dyDescent="0.3">
      <c r="A297" s="100">
        <v>296</v>
      </c>
      <c r="B297" s="131">
        <f t="shared" si="234"/>
        <v>8154</v>
      </c>
      <c r="C297" s="102">
        <f t="shared" si="235"/>
        <v>0</v>
      </c>
      <c r="D297" s="102">
        <f t="shared" si="236"/>
        <v>0</v>
      </c>
      <c r="E297" s="102">
        <f t="shared" si="237"/>
        <v>0</v>
      </c>
      <c r="F297" s="102">
        <f t="shared" si="238"/>
        <v>0</v>
      </c>
      <c r="L297" s="100">
        <v>296</v>
      </c>
      <c r="M297" s="131">
        <f t="shared" ca="1" si="239"/>
        <v>55176</v>
      </c>
      <c r="N297" s="102">
        <f t="shared" si="240"/>
        <v>0</v>
      </c>
      <c r="O297" s="102">
        <f t="shared" si="241"/>
        <v>0</v>
      </c>
      <c r="P297" s="102">
        <f t="shared" si="242"/>
        <v>0</v>
      </c>
      <c r="Q297" s="102">
        <f t="shared" si="243"/>
        <v>0</v>
      </c>
      <c r="W297" s="100">
        <v>296</v>
      </c>
      <c r="X297" s="131">
        <f t="shared" ca="1" si="244"/>
        <v>55176</v>
      </c>
      <c r="Y297" s="102">
        <f t="shared" si="245"/>
        <v>0</v>
      </c>
      <c r="Z297" s="102">
        <f t="shared" si="246"/>
        <v>0</v>
      </c>
      <c r="AA297" s="102">
        <f t="shared" si="247"/>
        <v>0</v>
      </c>
      <c r="AB297" s="102">
        <f t="shared" si="248"/>
        <v>0</v>
      </c>
      <c r="AH297" s="100">
        <v>296</v>
      </c>
      <c r="AI297" s="131">
        <f t="shared" ca="1" si="249"/>
        <v>55176</v>
      </c>
      <c r="AJ297" s="102">
        <f t="shared" si="250"/>
        <v>0</v>
      </c>
      <c r="AK297" s="102">
        <f t="shared" si="251"/>
        <v>0</v>
      </c>
      <c r="AL297" s="102">
        <f t="shared" si="252"/>
        <v>0</v>
      </c>
      <c r="AM297" s="102">
        <f t="shared" si="253"/>
        <v>0</v>
      </c>
      <c r="AS297" s="530">
        <v>296</v>
      </c>
      <c r="AT297" s="531">
        <f t="shared" ca="1" si="222"/>
        <v>55176</v>
      </c>
      <c r="AU297" s="532">
        <f ca="1">IF(AU296=0,SUMIFS('Key Life Events'!$L$3:$L$28,'Key Life Events'!$H$3:$H$28,'Loan Amortization'!$AY$3,'Key Life Events'!$N$3:$N$28,'Loan Amortization'!AT297),AU296-AX296)</f>
        <v>0</v>
      </c>
      <c r="AV297" s="532">
        <f t="shared" ca="1" si="223"/>
        <v>0</v>
      </c>
      <c r="AW297" s="532">
        <f t="shared" ca="1" si="190"/>
        <v>0</v>
      </c>
      <c r="AX297" s="532">
        <f t="shared" ca="1" si="197"/>
        <v>0</v>
      </c>
      <c r="BC297" s="536">
        <f t="shared" ca="1" si="198"/>
        <v>2051</v>
      </c>
      <c r="BF297" s="530">
        <v>296</v>
      </c>
      <c r="BG297" s="531">
        <f t="shared" ca="1" si="224"/>
        <v>55176</v>
      </c>
      <c r="BH297" s="532">
        <f ca="1">IF(BH296=0,SUMIFS('Key Life Events'!$L$3:$L$28,'Key Life Events'!$H$3:$H$28,'Loan Amortization'!$BL$3,'Key Life Events'!$N$3:$N$28,'Loan Amortization'!BG297),BH296-BK296)</f>
        <v>0</v>
      </c>
      <c r="BI297" s="532">
        <f t="shared" ca="1" si="225"/>
        <v>0</v>
      </c>
      <c r="BJ297" s="532">
        <f t="shared" ca="1" si="226"/>
        <v>0</v>
      </c>
      <c r="BK297" s="532">
        <f t="shared" ca="1" si="199"/>
        <v>0</v>
      </c>
      <c r="BP297" s="536">
        <f t="shared" ca="1" si="200"/>
        <v>2051</v>
      </c>
      <c r="BQ297" s="535">
        <f ca="1"/>
        <v>0</v>
      </c>
      <c r="BS297" s="530">
        <v>296</v>
      </c>
      <c r="BT297" s="531">
        <f t="shared" ca="1" si="227"/>
        <v>55176</v>
      </c>
      <c r="BU297" s="532">
        <f ca="1">IF(BU296=0,SUMIFS('Key Life Events'!$L$3:$L$28,'Key Life Events'!$H$3:$H$28,'Loan Amortization'!$BY$3,'Key Life Events'!$N$3:$N$28,'Loan Amortization'!BT297),BU296-BX296)</f>
        <v>0</v>
      </c>
      <c r="BV297" s="532">
        <f t="shared" ca="1" si="232"/>
        <v>0</v>
      </c>
      <c r="BW297" s="532">
        <f t="shared" ca="1" si="228"/>
        <v>0</v>
      </c>
      <c r="BX297" s="532">
        <f t="shared" ca="1" si="201"/>
        <v>0</v>
      </c>
      <c r="CC297" s="536">
        <f t="shared" ca="1" si="202"/>
        <v>2051</v>
      </c>
      <c r="CD297" s="535">
        <f ca="1"/>
        <v>0</v>
      </c>
      <c r="CF297" s="530">
        <v>296</v>
      </c>
      <c r="CG297" s="531">
        <f t="shared" ca="1" si="229"/>
        <v>55176</v>
      </c>
      <c r="CH297" s="532">
        <f ca="1">IF(CH296=0,SUMIFS('Key Life Events'!$L$3:$L$28,'Key Life Events'!$H$3:$H$28,'Loan Amortization'!$CL$3,'Key Life Events'!$N$3:$N$28,'Loan Amortization'!CG297),CH296-CK296)</f>
        <v>0</v>
      </c>
      <c r="CI297" s="532">
        <f t="shared" ca="1" si="230"/>
        <v>0</v>
      </c>
      <c r="CJ297" s="532">
        <f t="shared" ca="1" si="231"/>
        <v>0</v>
      </c>
      <c r="CK297" s="532">
        <f t="shared" ca="1" si="203"/>
        <v>0</v>
      </c>
      <c r="CP297" s="536">
        <f t="shared" ca="1" si="204"/>
        <v>2051</v>
      </c>
      <c r="CQ297" s="535">
        <f ca="1"/>
        <v>0</v>
      </c>
      <c r="CS297" s="100">
        <f t="shared" si="254"/>
        <v>296</v>
      </c>
      <c r="CT297" s="102">
        <f t="shared" ca="1" si="255"/>
        <v>0</v>
      </c>
      <c r="CU297" s="102">
        <f t="shared" ca="1" si="256"/>
        <v>0</v>
      </c>
      <c r="CV297" s="511">
        <f t="shared" ca="1" si="208"/>
        <v>2051</v>
      </c>
    </row>
    <row r="298" spans="1:100" x14ac:dyDescent="0.3">
      <c r="A298" s="100">
        <v>297</v>
      </c>
      <c r="B298" s="131">
        <f t="shared" si="234"/>
        <v>8184</v>
      </c>
      <c r="C298" s="102">
        <f t="shared" si="235"/>
        <v>0</v>
      </c>
      <c r="D298" s="102">
        <f t="shared" si="236"/>
        <v>0</v>
      </c>
      <c r="E298" s="102">
        <f t="shared" si="237"/>
        <v>0</v>
      </c>
      <c r="F298" s="102">
        <f t="shared" si="238"/>
        <v>0</v>
      </c>
      <c r="L298" s="100">
        <v>297</v>
      </c>
      <c r="M298" s="131">
        <f t="shared" ca="1" si="239"/>
        <v>55207</v>
      </c>
      <c r="N298" s="102">
        <f t="shared" si="240"/>
        <v>0</v>
      </c>
      <c r="O298" s="102">
        <f t="shared" si="241"/>
        <v>0</v>
      </c>
      <c r="P298" s="102">
        <f t="shared" si="242"/>
        <v>0</v>
      </c>
      <c r="Q298" s="102">
        <f t="shared" si="243"/>
        <v>0</v>
      </c>
      <c r="W298" s="100">
        <v>297</v>
      </c>
      <c r="X298" s="131">
        <f t="shared" ca="1" si="244"/>
        <v>55207</v>
      </c>
      <c r="Y298" s="102">
        <f t="shared" si="245"/>
        <v>0</v>
      </c>
      <c r="Z298" s="102">
        <f t="shared" si="246"/>
        <v>0</v>
      </c>
      <c r="AA298" s="102">
        <f t="shared" si="247"/>
        <v>0</v>
      </c>
      <c r="AB298" s="102">
        <f t="shared" si="248"/>
        <v>0</v>
      </c>
      <c r="AH298" s="100">
        <v>297</v>
      </c>
      <c r="AI298" s="131">
        <f t="shared" ca="1" si="249"/>
        <v>55207</v>
      </c>
      <c r="AJ298" s="102">
        <f t="shared" si="250"/>
        <v>0</v>
      </c>
      <c r="AK298" s="102">
        <f t="shared" si="251"/>
        <v>0</v>
      </c>
      <c r="AL298" s="102">
        <f t="shared" si="252"/>
        <v>0</v>
      </c>
      <c r="AM298" s="102">
        <f t="shared" si="253"/>
        <v>0</v>
      </c>
      <c r="AS298" s="530">
        <v>297</v>
      </c>
      <c r="AT298" s="531">
        <f t="shared" ca="1" si="222"/>
        <v>55207</v>
      </c>
      <c r="AU298" s="532">
        <f ca="1">IF(AU297=0,SUMIFS('Key Life Events'!$L$3:$L$28,'Key Life Events'!$H$3:$H$28,'Loan Amortization'!$AY$3,'Key Life Events'!$N$3:$N$28,'Loan Amortization'!AT298),AU297-AX297)</f>
        <v>0</v>
      </c>
      <c r="AV298" s="532">
        <f t="shared" ca="1" si="223"/>
        <v>0</v>
      </c>
      <c r="AW298" s="532">
        <f t="shared" ca="1" si="190"/>
        <v>0</v>
      </c>
      <c r="AX298" s="532">
        <f t="shared" ca="1" si="197"/>
        <v>0</v>
      </c>
      <c r="BC298" s="536">
        <f t="shared" ca="1" si="198"/>
        <v>2051</v>
      </c>
      <c r="BF298" s="530">
        <v>297</v>
      </c>
      <c r="BG298" s="531">
        <f t="shared" ca="1" si="224"/>
        <v>55207</v>
      </c>
      <c r="BH298" s="532">
        <f ca="1">IF(BH297=0,SUMIFS('Key Life Events'!$L$3:$L$28,'Key Life Events'!$H$3:$H$28,'Loan Amortization'!$BL$3,'Key Life Events'!$N$3:$N$28,'Loan Amortization'!BG298),BH297-BK297)</f>
        <v>0</v>
      </c>
      <c r="BI298" s="532">
        <f t="shared" ca="1" si="225"/>
        <v>0</v>
      </c>
      <c r="BJ298" s="532">
        <f t="shared" ca="1" si="226"/>
        <v>0</v>
      </c>
      <c r="BK298" s="532">
        <f t="shared" ca="1" si="199"/>
        <v>0</v>
      </c>
      <c r="BP298" s="536">
        <f t="shared" ca="1" si="200"/>
        <v>2051</v>
      </c>
      <c r="BQ298" s="535">
        <f ca="1"/>
        <v>0</v>
      </c>
      <c r="BS298" s="530">
        <v>297</v>
      </c>
      <c r="BT298" s="531">
        <f t="shared" ca="1" si="227"/>
        <v>55207</v>
      </c>
      <c r="BU298" s="532">
        <f ca="1">IF(BU297=0,SUMIFS('Key Life Events'!$L$3:$L$28,'Key Life Events'!$H$3:$H$28,'Loan Amortization'!$BY$3,'Key Life Events'!$N$3:$N$28,'Loan Amortization'!BT298),BU297-BX297)</f>
        <v>0</v>
      </c>
      <c r="BV298" s="532">
        <f t="shared" ca="1" si="232"/>
        <v>0</v>
      </c>
      <c r="BW298" s="532">
        <f t="shared" ca="1" si="228"/>
        <v>0</v>
      </c>
      <c r="BX298" s="532">
        <f t="shared" ca="1" si="201"/>
        <v>0</v>
      </c>
      <c r="CC298" s="536">
        <f t="shared" ca="1" si="202"/>
        <v>2051</v>
      </c>
      <c r="CD298" s="535">
        <f ca="1"/>
        <v>0</v>
      </c>
      <c r="CF298" s="530">
        <v>297</v>
      </c>
      <c r="CG298" s="531">
        <f t="shared" ca="1" si="229"/>
        <v>55207</v>
      </c>
      <c r="CH298" s="532">
        <f ca="1">IF(CH297=0,SUMIFS('Key Life Events'!$L$3:$L$28,'Key Life Events'!$H$3:$H$28,'Loan Amortization'!$CL$3,'Key Life Events'!$N$3:$N$28,'Loan Amortization'!CG298),CH297-CK297)</f>
        <v>0</v>
      </c>
      <c r="CI298" s="532">
        <f t="shared" ca="1" si="230"/>
        <v>0</v>
      </c>
      <c r="CJ298" s="532">
        <f t="shared" ca="1" si="231"/>
        <v>0</v>
      </c>
      <c r="CK298" s="532">
        <f t="shared" ca="1" si="203"/>
        <v>0</v>
      </c>
      <c r="CP298" s="536">
        <f t="shared" ca="1" si="204"/>
        <v>2051</v>
      </c>
      <c r="CQ298" s="535">
        <f ca="1"/>
        <v>0</v>
      </c>
      <c r="CS298" s="100">
        <f t="shared" si="254"/>
        <v>297</v>
      </c>
      <c r="CT298" s="102">
        <f t="shared" ca="1" si="255"/>
        <v>0</v>
      </c>
      <c r="CU298" s="102">
        <f t="shared" ca="1" si="256"/>
        <v>0</v>
      </c>
      <c r="CV298" s="511">
        <f t="shared" ca="1" si="208"/>
        <v>2051</v>
      </c>
    </row>
    <row r="299" spans="1:100" x14ac:dyDescent="0.3">
      <c r="A299" s="100">
        <v>298</v>
      </c>
      <c r="B299" s="131">
        <f t="shared" si="234"/>
        <v>8215</v>
      </c>
      <c r="C299" s="102">
        <f t="shared" si="235"/>
        <v>0</v>
      </c>
      <c r="D299" s="102">
        <f t="shared" si="236"/>
        <v>0</v>
      </c>
      <c r="E299" s="102">
        <f t="shared" si="237"/>
        <v>0</v>
      </c>
      <c r="F299" s="102">
        <f t="shared" si="238"/>
        <v>0</v>
      </c>
      <c r="L299" s="100">
        <v>298</v>
      </c>
      <c r="M299" s="131">
        <f t="shared" ca="1" si="239"/>
        <v>55235</v>
      </c>
      <c r="N299" s="102">
        <f t="shared" si="240"/>
        <v>0</v>
      </c>
      <c r="O299" s="102">
        <f t="shared" si="241"/>
        <v>0</v>
      </c>
      <c r="P299" s="102">
        <f t="shared" si="242"/>
        <v>0</v>
      </c>
      <c r="Q299" s="102">
        <f t="shared" si="243"/>
        <v>0</v>
      </c>
      <c r="W299" s="100">
        <v>298</v>
      </c>
      <c r="X299" s="131">
        <f t="shared" ca="1" si="244"/>
        <v>55235</v>
      </c>
      <c r="Y299" s="102">
        <f t="shared" si="245"/>
        <v>0</v>
      </c>
      <c r="Z299" s="102">
        <f t="shared" si="246"/>
        <v>0</v>
      </c>
      <c r="AA299" s="102">
        <f t="shared" si="247"/>
        <v>0</v>
      </c>
      <c r="AB299" s="102">
        <f t="shared" si="248"/>
        <v>0</v>
      </c>
      <c r="AH299" s="100">
        <v>298</v>
      </c>
      <c r="AI299" s="131">
        <f t="shared" ca="1" si="249"/>
        <v>55235</v>
      </c>
      <c r="AJ299" s="102">
        <f t="shared" si="250"/>
        <v>0</v>
      </c>
      <c r="AK299" s="102">
        <f t="shared" si="251"/>
        <v>0</v>
      </c>
      <c r="AL299" s="102">
        <f t="shared" si="252"/>
        <v>0</v>
      </c>
      <c r="AM299" s="102">
        <f t="shared" si="253"/>
        <v>0</v>
      </c>
      <c r="AS299" s="530">
        <v>298</v>
      </c>
      <c r="AT299" s="531">
        <f t="shared" ca="1" si="222"/>
        <v>55235</v>
      </c>
      <c r="AU299" s="532">
        <f ca="1">IF(AU298=0,SUMIFS('Key Life Events'!$L$3:$L$28,'Key Life Events'!$H$3:$H$28,'Loan Amortization'!$AY$3,'Key Life Events'!$N$3:$N$28,'Loan Amortization'!AT299),AU298-AX298)</f>
        <v>0</v>
      </c>
      <c r="AV299" s="532">
        <f t="shared" ca="1" si="223"/>
        <v>0</v>
      </c>
      <c r="AW299" s="532">
        <f t="shared" ca="1" si="190"/>
        <v>0</v>
      </c>
      <c r="AX299" s="532">
        <f t="shared" ca="1" si="197"/>
        <v>0</v>
      </c>
      <c r="BC299" s="536">
        <f t="shared" ca="1" si="198"/>
        <v>2051</v>
      </c>
      <c r="BF299" s="530">
        <v>298</v>
      </c>
      <c r="BG299" s="531">
        <f t="shared" ca="1" si="224"/>
        <v>55235</v>
      </c>
      <c r="BH299" s="532">
        <f ca="1">IF(BH298=0,SUMIFS('Key Life Events'!$L$3:$L$28,'Key Life Events'!$H$3:$H$28,'Loan Amortization'!$BL$3,'Key Life Events'!$N$3:$N$28,'Loan Amortization'!BG299),BH298-BK298)</f>
        <v>0</v>
      </c>
      <c r="BI299" s="532">
        <f t="shared" ca="1" si="225"/>
        <v>0</v>
      </c>
      <c r="BJ299" s="532">
        <f t="shared" ca="1" si="226"/>
        <v>0</v>
      </c>
      <c r="BK299" s="532">
        <f t="shared" ca="1" si="199"/>
        <v>0</v>
      </c>
      <c r="BP299" s="536">
        <f t="shared" ca="1" si="200"/>
        <v>2051</v>
      </c>
      <c r="BQ299" s="535">
        <f ca="1"/>
        <v>0</v>
      </c>
      <c r="BS299" s="530">
        <v>298</v>
      </c>
      <c r="BT299" s="531">
        <f t="shared" ca="1" si="227"/>
        <v>55235</v>
      </c>
      <c r="BU299" s="532">
        <f ca="1">IF(BU298=0,SUMIFS('Key Life Events'!$L$3:$L$28,'Key Life Events'!$H$3:$H$28,'Loan Amortization'!$BY$3,'Key Life Events'!$N$3:$N$28,'Loan Amortization'!BT299),BU298-BX298)</f>
        <v>0</v>
      </c>
      <c r="BV299" s="532">
        <f t="shared" ca="1" si="232"/>
        <v>0</v>
      </c>
      <c r="BW299" s="532">
        <f t="shared" ca="1" si="228"/>
        <v>0</v>
      </c>
      <c r="BX299" s="532">
        <f t="shared" ca="1" si="201"/>
        <v>0</v>
      </c>
      <c r="CC299" s="536">
        <f t="shared" ca="1" si="202"/>
        <v>2051</v>
      </c>
      <c r="CD299" s="535">
        <f ca="1"/>
        <v>0</v>
      </c>
      <c r="CF299" s="530">
        <v>298</v>
      </c>
      <c r="CG299" s="531">
        <f t="shared" ca="1" si="229"/>
        <v>55235</v>
      </c>
      <c r="CH299" s="532">
        <f ca="1">IF(CH298=0,SUMIFS('Key Life Events'!$L$3:$L$28,'Key Life Events'!$H$3:$H$28,'Loan Amortization'!$CL$3,'Key Life Events'!$N$3:$N$28,'Loan Amortization'!CG299),CH298-CK298)</f>
        <v>0</v>
      </c>
      <c r="CI299" s="532">
        <f t="shared" ca="1" si="230"/>
        <v>0</v>
      </c>
      <c r="CJ299" s="532">
        <f t="shared" ca="1" si="231"/>
        <v>0</v>
      </c>
      <c r="CK299" s="532">
        <f t="shared" ca="1" si="203"/>
        <v>0</v>
      </c>
      <c r="CP299" s="536">
        <f t="shared" ca="1" si="204"/>
        <v>2051</v>
      </c>
      <c r="CQ299" s="535">
        <f ca="1"/>
        <v>0</v>
      </c>
      <c r="CS299" s="100">
        <f t="shared" si="254"/>
        <v>298</v>
      </c>
      <c r="CT299" s="102">
        <f t="shared" ca="1" si="255"/>
        <v>0</v>
      </c>
      <c r="CU299" s="102">
        <f t="shared" ca="1" si="256"/>
        <v>0</v>
      </c>
      <c r="CV299" s="511">
        <f t="shared" ca="1" si="208"/>
        <v>2051</v>
      </c>
    </row>
    <row r="300" spans="1:100" x14ac:dyDescent="0.3">
      <c r="A300" s="100">
        <v>299</v>
      </c>
      <c r="B300" s="131">
        <f t="shared" si="234"/>
        <v>8245</v>
      </c>
      <c r="C300" s="102">
        <f t="shared" si="235"/>
        <v>0</v>
      </c>
      <c r="D300" s="102">
        <f t="shared" si="236"/>
        <v>0</v>
      </c>
      <c r="E300" s="102">
        <f t="shared" si="237"/>
        <v>0</v>
      </c>
      <c r="F300" s="102">
        <f t="shared" si="238"/>
        <v>0</v>
      </c>
      <c r="L300" s="100">
        <v>299</v>
      </c>
      <c r="M300" s="131">
        <f t="shared" ca="1" si="239"/>
        <v>55266</v>
      </c>
      <c r="N300" s="102">
        <f t="shared" si="240"/>
        <v>0</v>
      </c>
      <c r="O300" s="102">
        <f t="shared" si="241"/>
        <v>0</v>
      </c>
      <c r="P300" s="102">
        <f t="shared" si="242"/>
        <v>0</v>
      </c>
      <c r="Q300" s="102">
        <f t="shared" si="243"/>
        <v>0</v>
      </c>
      <c r="W300" s="100">
        <v>299</v>
      </c>
      <c r="X300" s="131">
        <f t="shared" ca="1" si="244"/>
        <v>55266</v>
      </c>
      <c r="Y300" s="102">
        <f t="shared" si="245"/>
        <v>0</v>
      </c>
      <c r="Z300" s="102">
        <f t="shared" si="246"/>
        <v>0</v>
      </c>
      <c r="AA300" s="102">
        <f t="shared" si="247"/>
        <v>0</v>
      </c>
      <c r="AB300" s="102">
        <f t="shared" si="248"/>
        <v>0</v>
      </c>
      <c r="AH300" s="100">
        <v>299</v>
      </c>
      <c r="AI300" s="131">
        <f t="shared" ca="1" si="249"/>
        <v>55266</v>
      </c>
      <c r="AJ300" s="102">
        <f t="shared" si="250"/>
        <v>0</v>
      </c>
      <c r="AK300" s="102">
        <f t="shared" si="251"/>
        <v>0</v>
      </c>
      <c r="AL300" s="102">
        <f t="shared" si="252"/>
        <v>0</v>
      </c>
      <c r="AM300" s="102">
        <f t="shared" si="253"/>
        <v>0</v>
      </c>
      <c r="AS300" s="530">
        <v>299</v>
      </c>
      <c r="AT300" s="531">
        <f t="shared" ca="1" si="222"/>
        <v>55266</v>
      </c>
      <c r="AU300" s="532">
        <f ca="1">IF(AU299=0,SUMIFS('Key Life Events'!$L$3:$L$28,'Key Life Events'!$H$3:$H$28,'Loan Amortization'!$AY$3,'Key Life Events'!$N$3:$N$28,'Loan Amortization'!AT300),AU299-AX299)</f>
        <v>0</v>
      </c>
      <c r="AV300" s="532">
        <f t="shared" ca="1" si="223"/>
        <v>0</v>
      </c>
      <c r="AW300" s="532">
        <f t="shared" ca="1" si="190"/>
        <v>0</v>
      </c>
      <c r="AX300" s="532">
        <f t="shared" ca="1" si="197"/>
        <v>0</v>
      </c>
      <c r="BC300" s="536">
        <f t="shared" ca="1" si="198"/>
        <v>2051</v>
      </c>
      <c r="BF300" s="530">
        <v>299</v>
      </c>
      <c r="BG300" s="531">
        <f t="shared" ca="1" si="224"/>
        <v>55266</v>
      </c>
      <c r="BH300" s="532">
        <f ca="1">IF(BH299=0,SUMIFS('Key Life Events'!$L$3:$L$28,'Key Life Events'!$H$3:$H$28,'Loan Amortization'!$BL$3,'Key Life Events'!$N$3:$N$28,'Loan Amortization'!BG300),BH299-BK299)</f>
        <v>0</v>
      </c>
      <c r="BI300" s="532">
        <f t="shared" ca="1" si="225"/>
        <v>0</v>
      </c>
      <c r="BJ300" s="532">
        <f t="shared" ca="1" si="226"/>
        <v>0</v>
      </c>
      <c r="BK300" s="532">
        <f t="shared" ca="1" si="199"/>
        <v>0</v>
      </c>
      <c r="BP300" s="536">
        <f t="shared" ca="1" si="200"/>
        <v>2051</v>
      </c>
      <c r="BQ300" s="535">
        <f ca="1"/>
        <v>0</v>
      </c>
      <c r="BS300" s="530">
        <v>299</v>
      </c>
      <c r="BT300" s="531">
        <f t="shared" ca="1" si="227"/>
        <v>55266</v>
      </c>
      <c r="BU300" s="532">
        <f ca="1">IF(BU299=0,SUMIFS('Key Life Events'!$L$3:$L$28,'Key Life Events'!$H$3:$H$28,'Loan Amortization'!$BY$3,'Key Life Events'!$N$3:$N$28,'Loan Amortization'!BT300),BU299-BX299)</f>
        <v>0</v>
      </c>
      <c r="BV300" s="532">
        <f t="shared" ca="1" si="232"/>
        <v>0</v>
      </c>
      <c r="BW300" s="532">
        <f t="shared" ca="1" si="228"/>
        <v>0</v>
      </c>
      <c r="BX300" s="532">
        <f t="shared" ca="1" si="201"/>
        <v>0</v>
      </c>
      <c r="CC300" s="536">
        <f t="shared" ca="1" si="202"/>
        <v>2051</v>
      </c>
      <c r="CD300" s="535">
        <f ca="1"/>
        <v>0</v>
      </c>
      <c r="CF300" s="530">
        <v>299</v>
      </c>
      <c r="CG300" s="531">
        <f t="shared" ca="1" si="229"/>
        <v>55266</v>
      </c>
      <c r="CH300" s="532">
        <f ca="1">IF(CH299=0,SUMIFS('Key Life Events'!$L$3:$L$28,'Key Life Events'!$H$3:$H$28,'Loan Amortization'!$CL$3,'Key Life Events'!$N$3:$N$28,'Loan Amortization'!CG300),CH299-CK299)</f>
        <v>0</v>
      </c>
      <c r="CI300" s="532">
        <f t="shared" ca="1" si="230"/>
        <v>0</v>
      </c>
      <c r="CJ300" s="532">
        <f t="shared" ca="1" si="231"/>
        <v>0</v>
      </c>
      <c r="CK300" s="532">
        <f t="shared" ca="1" si="203"/>
        <v>0</v>
      </c>
      <c r="CP300" s="536">
        <f t="shared" ca="1" si="204"/>
        <v>2051</v>
      </c>
      <c r="CQ300" s="535">
        <f ca="1"/>
        <v>0</v>
      </c>
      <c r="CS300" s="100">
        <f t="shared" si="254"/>
        <v>299</v>
      </c>
      <c r="CT300" s="102">
        <f t="shared" ca="1" si="255"/>
        <v>0</v>
      </c>
      <c r="CU300" s="102">
        <f t="shared" ca="1" si="256"/>
        <v>0</v>
      </c>
      <c r="CV300" s="511">
        <f t="shared" ca="1" si="208"/>
        <v>2051</v>
      </c>
    </row>
    <row r="301" spans="1:100" x14ac:dyDescent="0.3">
      <c r="A301" s="100">
        <v>300</v>
      </c>
      <c r="B301" s="131">
        <f t="shared" si="234"/>
        <v>8276</v>
      </c>
      <c r="C301" s="102">
        <f t="shared" si="235"/>
        <v>0</v>
      </c>
      <c r="D301" s="102">
        <f t="shared" si="236"/>
        <v>0</v>
      </c>
      <c r="E301" s="102">
        <f t="shared" si="237"/>
        <v>0</v>
      </c>
      <c r="F301" s="102">
        <f t="shared" si="238"/>
        <v>0</v>
      </c>
      <c r="L301" s="100">
        <v>300</v>
      </c>
      <c r="M301" s="131">
        <f t="shared" ca="1" si="239"/>
        <v>55296</v>
      </c>
      <c r="N301" s="102">
        <f t="shared" si="240"/>
        <v>0</v>
      </c>
      <c r="O301" s="102">
        <f t="shared" si="241"/>
        <v>0</v>
      </c>
      <c r="P301" s="102">
        <f t="shared" si="242"/>
        <v>0</v>
      </c>
      <c r="Q301" s="102">
        <f t="shared" si="243"/>
        <v>0</v>
      </c>
      <c r="W301" s="100">
        <v>300</v>
      </c>
      <c r="X301" s="131">
        <f t="shared" ca="1" si="244"/>
        <v>55296</v>
      </c>
      <c r="Y301" s="102">
        <f t="shared" si="245"/>
        <v>0</v>
      </c>
      <c r="Z301" s="102">
        <f t="shared" si="246"/>
        <v>0</v>
      </c>
      <c r="AA301" s="102">
        <f t="shared" si="247"/>
        <v>0</v>
      </c>
      <c r="AB301" s="102">
        <f t="shared" si="248"/>
        <v>0</v>
      </c>
      <c r="AH301" s="100">
        <v>300</v>
      </c>
      <c r="AI301" s="131">
        <f t="shared" ca="1" si="249"/>
        <v>55296</v>
      </c>
      <c r="AJ301" s="102">
        <f t="shared" si="250"/>
        <v>0</v>
      </c>
      <c r="AK301" s="102">
        <f t="shared" si="251"/>
        <v>0</v>
      </c>
      <c r="AL301" s="102">
        <f t="shared" si="252"/>
        <v>0</v>
      </c>
      <c r="AM301" s="102">
        <f t="shared" si="253"/>
        <v>0</v>
      </c>
      <c r="AS301" s="530">
        <v>300</v>
      </c>
      <c r="AT301" s="531">
        <f t="shared" ca="1" si="222"/>
        <v>55296</v>
      </c>
      <c r="AU301" s="532">
        <f ca="1">IF(AU300=0,SUMIFS('Key Life Events'!$L$3:$L$28,'Key Life Events'!$H$3:$H$28,'Loan Amortization'!$AY$3,'Key Life Events'!$N$3:$N$28,'Loan Amortization'!AT301),AU300-AX300)</f>
        <v>0</v>
      </c>
      <c r="AV301" s="532">
        <f t="shared" ca="1" si="223"/>
        <v>0</v>
      </c>
      <c r="AW301" s="532">
        <f t="shared" ca="1" si="190"/>
        <v>0</v>
      </c>
      <c r="AX301" s="532">
        <f t="shared" ca="1" si="197"/>
        <v>0</v>
      </c>
      <c r="BC301" s="536">
        <f t="shared" ca="1" si="198"/>
        <v>2051</v>
      </c>
      <c r="BF301" s="530">
        <v>300</v>
      </c>
      <c r="BG301" s="531">
        <f t="shared" ca="1" si="224"/>
        <v>55296</v>
      </c>
      <c r="BH301" s="532">
        <f ca="1">IF(BH300=0,SUMIFS('Key Life Events'!$L$3:$L$28,'Key Life Events'!$H$3:$H$28,'Loan Amortization'!$BL$3,'Key Life Events'!$N$3:$N$28,'Loan Amortization'!BG301),BH300-BK300)</f>
        <v>0</v>
      </c>
      <c r="BI301" s="532">
        <f t="shared" ca="1" si="225"/>
        <v>0</v>
      </c>
      <c r="BJ301" s="532">
        <f t="shared" ca="1" si="226"/>
        <v>0</v>
      </c>
      <c r="BK301" s="532">
        <f t="shared" ca="1" si="199"/>
        <v>0</v>
      </c>
      <c r="BP301" s="536">
        <f t="shared" ca="1" si="200"/>
        <v>2051</v>
      </c>
      <c r="BQ301" s="535">
        <f ca="1"/>
        <v>0</v>
      </c>
      <c r="BS301" s="530">
        <v>300</v>
      </c>
      <c r="BT301" s="531">
        <f t="shared" ca="1" si="227"/>
        <v>55296</v>
      </c>
      <c r="BU301" s="532">
        <f ca="1">IF(BU300=0,SUMIFS('Key Life Events'!$L$3:$L$28,'Key Life Events'!$H$3:$H$28,'Loan Amortization'!$BY$3,'Key Life Events'!$N$3:$N$28,'Loan Amortization'!BT301),BU300-BX300)</f>
        <v>0</v>
      </c>
      <c r="BV301" s="532">
        <f t="shared" ca="1" si="232"/>
        <v>0</v>
      </c>
      <c r="BW301" s="532">
        <f t="shared" ca="1" si="228"/>
        <v>0</v>
      </c>
      <c r="BX301" s="532">
        <f t="shared" ca="1" si="201"/>
        <v>0</v>
      </c>
      <c r="CC301" s="536">
        <f t="shared" ca="1" si="202"/>
        <v>2051</v>
      </c>
      <c r="CD301" s="535">
        <f ca="1"/>
        <v>0</v>
      </c>
      <c r="CF301" s="530">
        <v>300</v>
      </c>
      <c r="CG301" s="531">
        <f t="shared" ca="1" si="229"/>
        <v>55296</v>
      </c>
      <c r="CH301" s="532">
        <f ca="1">IF(CH300=0,SUMIFS('Key Life Events'!$L$3:$L$28,'Key Life Events'!$H$3:$H$28,'Loan Amortization'!$CL$3,'Key Life Events'!$N$3:$N$28,'Loan Amortization'!CG301),CH300-CK300)</f>
        <v>0</v>
      </c>
      <c r="CI301" s="532">
        <f t="shared" ca="1" si="230"/>
        <v>0</v>
      </c>
      <c r="CJ301" s="532">
        <f t="shared" ca="1" si="231"/>
        <v>0</v>
      </c>
      <c r="CK301" s="532">
        <f t="shared" ca="1" si="203"/>
        <v>0</v>
      </c>
      <c r="CP301" s="536">
        <f t="shared" ca="1" si="204"/>
        <v>2051</v>
      </c>
      <c r="CQ301" s="535">
        <f ca="1"/>
        <v>0</v>
      </c>
      <c r="CS301" s="100">
        <f t="shared" si="254"/>
        <v>300</v>
      </c>
      <c r="CT301" s="102">
        <f t="shared" ca="1" si="255"/>
        <v>0</v>
      </c>
      <c r="CU301" s="102">
        <f t="shared" ca="1" si="256"/>
        <v>0</v>
      </c>
      <c r="CV301" s="511">
        <f t="shared" ca="1" si="208"/>
        <v>2051</v>
      </c>
    </row>
    <row r="302" spans="1:100" x14ac:dyDescent="0.3">
      <c r="A302" s="100">
        <v>301</v>
      </c>
      <c r="B302" s="131">
        <f t="shared" si="234"/>
        <v>8307</v>
      </c>
      <c r="C302" s="102">
        <f t="shared" si="235"/>
        <v>0</v>
      </c>
      <c r="D302" s="102">
        <f t="shared" si="236"/>
        <v>0</v>
      </c>
      <c r="E302" s="102">
        <f t="shared" si="237"/>
        <v>0</v>
      </c>
      <c r="F302" s="102">
        <f t="shared" si="238"/>
        <v>0</v>
      </c>
      <c r="L302" s="100">
        <v>301</v>
      </c>
      <c r="M302" s="131">
        <f t="shared" ca="1" si="239"/>
        <v>55327</v>
      </c>
      <c r="N302" s="102">
        <f t="shared" si="240"/>
        <v>0</v>
      </c>
      <c r="O302" s="102">
        <f t="shared" si="241"/>
        <v>0</v>
      </c>
      <c r="P302" s="102">
        <f t="shared" si="242"/>
        <v>0</v>
      </c>
      <c r="Q302" s="102">
        <f t="shared" si="243"/>
        <v>0</v>
      </c>
      <c r="W302" s="100">
        <v>301</v>
      </c>
      <c r="X302" s="131">
        <f t="shared" ca="1" si="244"/>
        <v>55327</v>
      </c>
      <c r="Y302" s="102">
        <f t="shared" si="245"/>
        <v>0</v>
      </c>
      <c r="Z302" s="102">
        <f t="shared" si="246"/>
        <v>0</v>
      </c>
      <c r="AA302" s="102">
        <f t="shared" si="247"/>
        <v>0</v>
      </c>
      <c r="AB302" s="102">
        <f t="shared" si="248"/>
        <v>0</v>
      </c>
      <c r="AH302" s="100">
        <v>301</v>
      </c>
      <c r="AI302" s="131">
        <f t="shared" ca="1" si="249"/>
        <v>55327</v>
      </c>
      <c r="AJ302" s="102">
        <f t="shared" si="250"/>
        <v>0</v>
      </c>
      <c r="AK302" s="102">
        <f t="shared" si="251"/>
        <v>0</v>
      </c>
      <c r="AL302" s="102">
        <f t="shared" si="252"/>
        <v>0</v>
      </c>
      <c r="AM302" s="102">
        <f t="shared" si="253"/>
        <v>0</v>
      </c>
      <c r="AS302" s="530">
        <v>301</v>
      </c>
      <c r="AT302" s="531">
        <f t="shared" ca="1" si="222"/>
        <v>55327</v>
      </c>
      <c r="AU302" s="532">
        <f ca="1">IF(AU301=0,SUMIFS('Key Life Events'!$L$3:$L$28,'Key Life Events'!$H$3:$H$28,'Loan Amortization'!$AY$3,'Key Life Events'!$N$3:$N$28,'Loan Amortization'!AT302),AU301-AX301)</f>
        <v>0</v>
      </c>
      <c r="AV302" s="532">
        <f t="shared" ca="1" si="223"/>
        <v>0</v>
      </c>
      <c r="AW302" s="532">
        <f t="shared" ca="1" si="190"/>
        <v>0</v>
      </c>
      <c r="AX302" s="532">
        <f t="shared" ca="1" si="197"/>
        <v>0</v>
      </c>
      <c r="BC302" s="536">
        <f t="shared" ca="1" si="198"/>
        <v>2051</v>
      </c>
      <c r="BF302" s="530">
        <v>301</v>
      </c>
      <c r="BG302" s="531">
        <f t="shared" ca="1" si="224"/>
        <v>55327</v>
      </c>
      <c r="BH302" s="532">
        <f ca="1">IF(BH301=0,SUMIFS('Key Life Events'!$L$3:$L$28,'Key Life Events'!$H$3:$H$28,'Loan Amortization'!$BL$3,'Key Life Events'!$N$3:$N$28,'Loan Amortization'!BG302),BH301-BK301)</f>
        <v>0</v>
      </c>
      <c r="BI302" s="532">
        <f t="shared" ca="1" si="225"/>
        <v>0</v>
      </c>
      <c r="BJ302" s="532">
        <f t="shared" ca="1" si="226"/>
        <v>0</v>
      </c>
      <c r="BK302" s="532">
        <f t="shared" ca="1" si="199"/>
        <v>0</v>
      </c>
      <c r="BP302" s="536">
        <f t="shared" ca="1" si="200"/>
        <v>2051</v>
      </c>
      <c r="BQ302" s="535">
        <f ca="1"/>
        <v>0</v>
      </c>
      <c r="BS302" s="530">
        <v>301</v>
      </c>
      <c r="BT302" s="531">
        <f t="shared" ca="1" si="227"/>
        <v>55327</v>
      </c>
      <c r="BU302" s="532">
        <f ca="1">IF(BU301=0,SUMIFS('Key Life Events'!$L$3:$L$28,'Key Life Events'!$H$3:$H$28,'Loan Amortization'!$BY$3,'Key Life Events'!$N$3:$N$28,'Loan Amortization'!BT302),BU301-BX301)</f>
        <v>0</v>
      </c>
      <c r="BV302" s="532">
        <f t="shared" ca="1" si="232"/>
        <v>0</v>
      </c>
      <c r="BW302" s="532">
        <f t="shared" ca="1" si="228"/>
        <v>0</v>
      </c>
      <c r="BX302" s="532">
        <f t="shared" ca="1" si="201"/>
        <v>0</v>
      </c>
      <c r="CC302" s="536">
        <f t="shared" ca="1" si="202"/>
        <v>2051</v>
      </c>
      <c r="CD302" s="535">
        <f ca="1"/>
        <v>0</v>
      </c>
      <c r="CF302" s="530">
        <v>301</v>
      </c>
      <c r="CG302" s="531">
        <f t="shared" ca="1" si="229"/>
        <v>55327</v>
      </c>
      <c r="CH302" s="532">
        <f ca="1">IF(CH301=0,SUMIFS('Key Life Events'!$L$3:$L$28,'Key Life Events'!$H$3:$H$28,'Loan Amortization'!$CL$3,'Key Life Events'!$N$3:$N$28,'Loan Amortization'!CG302),CH301-CK301)</f>
        <v>0</v>
      </c>
      <c r="CI302" s="532">
        <f t="shared" ca="1" si="230"/>
        <v>0</v>
      </c>
      <c r="CJ302" s="532">
        <f t="shared" ca="1" si="231"/>
        <v>0</v>
      </c>
      <c r="CK302" s="532">
        <f t="shared" ca="1" si="203"/>
        <v>0</v>
      </c>
      <c r="CP302" s="536">
        <f t="shared" ca="1" si="204"/>
        <v>2051</v>
      </c>
      <c r="CQ302" s="535">
        <f ca="1"/>
        <v>0</v>
      </c>
      <c r="CS302" s="100">
        <f t="shared" si="254"/>
        <v>301</v>
      </c>
      <c r="CT302" s="102">
        <f t="shared" ca="1" si="255"/>
        <v>0</v>
      </c>
      <c r="CU302" s="102">
        <f t="shared" ca="1" si="256"/>
        <v>0</v>
      </c>
      <c r="CV302" s="511">
        <f t="shared" ca="1" si="208"/>
        <v>2051</v>
      </c>
    </row>
    <row r="303" spans="1:100" x14ac:dyDescent="0.3">
      <c r="A303" s="100">
        <v>302</v>
      </c>
      <c r="B303" s="131">
        <f t="shared" si="234"/>
        <v>8337</v>
      </c>
      <c r="C303" s="102">
        <f t="shared" si="235"/>
        <v>0</v>
      </c>
      <c r="D303" s="102">
        <f t="shared" si="236"/>
        <v>0</v>
      </c>
      <c r="E303" s="102">
        <f t="shared" si="237"/>
        <v>0</v>
      </c>
      <c r="F303" s="102">
        <f t="shared" si="238"/>
        <v>0</v>
      </c>
      <c r="L303" s="100">
        <v>302</v>
      </c>
      <c r="M303" s="131">
        <f t="shared" ca="1" si="239"/>
        <v>55357</v>
      </c>
      <c r="N303" s="102">
        <f t="shared" si="240"/>
        <v>0</v>
      </c>
      <c r="O303" s="102">
        <f t="shared" si="241"/>
        <v>0</v>
      </c>
      <c r="P303" s="102">
        <f t="shared" si="242"/>
        <v>0</v>
      </c>
      <c r="Q303" s="102">
        <f t="shared" si="243"/>
        <v>0</v>
      </c>
      <c r="W303" s="100">
        <v>302</v>
      </c>
      <c r="X303" s="131">
        <f t="shared" ca="1" si="244"/>
        <v>55357</v>
      </c>
      <c r="Y303" s="102">
        <f t="shared" si="245"/>
        <v>0</v>
      </c>
      <c r="Z303" s="102">
        <f t="shared" si="246"/>
        <v>0</v>
      </c>
      <c r="AA303" s="102">
        <f t="shared" si="247"/>
        <v>0</v>
      </c>
      <c r="AB303" s="102">
        <f t="shared" si="248"/>
        <v>0</v>
      </c>
      <c r="AH303" s="100">
        <v>302</v>
      </c>
      <c r="AI303" s="131">
        <f t="shared" ca="1" si="249"/>
        <v>55357</v>
      </c>
      <c r="AJ303" s="102">
        <f t="shared" si="250"/>
        <v>0</v>
      </c>
      <c r="AK303" s="102">
        <f t="shared" si="251"/>
        <v>0</v>
      </c>
      <c r="AL303" s="102">
        <f t="shared" si="252"/>
        <v>0</v>
      </c>
      <c r="AM303" s="102">
        <f t="shared" si="253"/>
        <v>0</v>
      </c>
      <c r="AS303" s="530">
        <v>302</v>
      </c>
      <c r="AT303" s="531">
        <f t="shared" ca="1" si="222"/>
        <v>55357</v>
      </c>
      <c r="AU303" s="532">
        <f ca="1">IF(AU302=0,SUMIFS('Key Life Events'!$L$3:$L$28,'Key Life Events'!$H$3:$H$28,'Loan Amortization'!$AY$3,'Key Life Events'!$N$3:$N$28,'Loan Amortization'!AT303),AU302-AX302)</f>
        <v>0</v>
      </c>
      <c r="AV303" s="532">
        <f t="shared" ca="1" si="223"/>
        <v>0</v>
      </c>
      <c r="AW303" s="532">
        <f t="shared" ca="1" si="190"/>
        <v>0</v>
      </c>
      <c r="AX303" s="532">
        <f t="shared" ca="1" si="197"/>
        <v>0</v>
      </c>
      <c r="BC303" s="536">
        <f t="shared" ca="1" si="198"/>
        <v>2051</v>
      </c>
      <c r="BF303" s="530">
        <v>302</v>
      </c>
      <c r="BG303" s="531">
        <f t="shared" ca="1" si="224"/>
        <v>55357</v>
      </c>
      <c r="BH303" s="532">
        <f ca="1">IF(BH302=0,SUMIFS('Key Life Events'!$L$3:$L$28,'Key Life Events'!$H$3:$H$28,'Loan Amortization'!$BL$3,'Key Life Events'!$N$3:$N$28,'Loan Amortization'!BG303),BH302-BK302)</f>
        <v>0</v>
      </c>
      <c r="BI303" s="532">
        <f t="shared" ca="1" si="225"/>
        <v>0</v>
      </c>
      <c r="BJ303" s="532">
        <f t="shared" ca="1" si="226"/>
        <v>0</v>
      </c>
      <c r="BK303" s="532">
        <f t="shared" ca="1" si="199"/>
        <v>0</v>
      </c>
      <c r="BP303" s="536">
        <f t="shared" ca="1" si="200"/>
        <v>2051</v>
      </c>
      <c r="BQ303" s="535">
        <f ca="1"/>
        <v>0</v>
      </c>
      <c r="BS303" s="530">
        <v>302</v>
      </c>
      <c r="BT303" s="531">
        <f t="shared" ca="1" si="227"/>
        <v>55357</v>
      </c>
      <c r="BU303" s="532">
        <f ca="1">IF(BU302=0,SUMIFS('Key Life Events'!$L$3:$L$28,'Key Life Events'!$H$3:$H$28,'Loan Amortization'!$BY$3,'Key Life Events'!$N$3:$N$28,'Loan Amortization'!BT303),BU302-BX302)</f>
        <v>0</v>
      </c>
      <c r="BV303" s="532">
        <f t="shared" ca="1" si="232"/>
        <v>0</v>
      </c>
      <c r="BW303" s="532">
        <f t="shared" ca="1" si="228"/>
        <v>0</v>
      </c>
      <c r="BX303" s="532">
        <f t="shared" ca="1" si="201"/>
        <v>0</v>
      </c>
      <c r="CC303" s="536">
        <f t="shared" ca="1" si="202"/>
        <v>2051</v>
      </c>
      <c r="CD303" s="535">
        <f ca="1"/>
        <v>0</v>
      </c>
      <c r="CF303" s="530">
        <v>302</v>
      </c>
      <c r="CG303" s="531">
        <f t="shared" ca="1" si="229"/>
        <v>55357</v>
      </c>
      <c r="CH303" s="532">
        <f ca="1">IF(CH302=0,SUMIFS('Key Life Events'!$L$3:$L$28,'Key Life Events'!$H$3:$H$28,'Loan Amortization'!$CL$3,'Key Life Events'!$N$3:$N$28,'Loan Amortization'!CG303),CH302-CK302)</f>
        <v>0</v>
      </c>
      <c r="CI303" s="532">
        <f t="shared" ca="1" si="230"/>
        <v>0</v>
      </c>
      <c r="CJ303" s="532">
        <f t="shared" ca="1" si="231"/>
        <v>0</v>
      </c>
      <c r="CK303" s="532">
        <f t="shared" ca="1" si="203"/>
        <v>0</v>
      </c>
      <c r="CP303" s="536">
        <f t="shared" ca="1" si="204"/>
        <v>2051</v>
      </c>
      <c r="CQ303" s="535">
        <f ca="1"/>
        <v>0</v>
      </c>
      <c r="CS303" s="100">
        <f t="shared" si="254"/>
        <v>302</v>
      </c>
      <c r="CT303" s="102">
        <f t="shared" ca="1" si="255"/>
        <v>0</v>
      </c>
      <c r="CU303" s="102">
        <f t="shared" ca="1" si="256"/>
        <v>0</v>
      </c>
      <c r="CV303" s="511">
        <f t="shared" ca="1" si="208"/>
        <v>2051</v>
      </c>
    </row>
    <row r="304" spans="1:100" x14ac:dyDescent="0.3">
      <c r="A304" s="100">
        <v>303</v>
      </c>
      <c r="B304" s="131">
        <f t="shared" si="234"/>
        <v>8368</v>
      </c>
      <c r="C304" s="102">
        <f t="shared" si="235"/>
        <v>0</v>
      </c>
      <c r="D304" s="102">
        <f t="shared" si="236"/>
        <v>0</v>
      </c>
      <c r="E304" s="102">
        <f t="shared" si="237"/>
        <v>0</v>
      </c>
      <c r="F304" s="102">
        <f t="shared" si="238"/>
        <v>0</v>
      </c>
      <c r="L304" s="100">
        <v>303</v>
      </c>
      <c r="M304" s="131">
        <f t="shared" ca="1" si="239"/>
        <v>55388</v>
      </c>
      <c r="N304" s="102">
        <f t="shared" si="240"/>
        <v>0</v>
      </c>
      <c r="O304" s="102">
        <f t="shared" si="241"/>
        <v>0</v>
      </c>
      <c r="P304" s="102">
        <f t="shared" si="242"/>
        <v>0</v>
      </c>
      <c r="Q304" s="102">
        <f t="shared" si="243"/>
        <v>0</v>
      </c>
      <c r="W304" s="100">
        <v>303</v>
      </c>
      <c r="X304" s="131">
        <f t="shared" ca="1" si="244"/>
        <v>55388</v>
      </c>
      <c r="Y304" s="102">
        <f t="shared" si="245"/>
        <v>0</v>
      </c>
      <c r="Z304" s="102">
        <f t="shared" si="246"/>
        <v>0</v>
      </c>
      <c r="AA304" s="102">
        <f t="shared" si="247"/>
        <v>0</v>
      </c>
      <c r="AB304" s="102">
        <f t="shared" si="248"/>
        <v>0</v>
      </c>
      <c r="AH304" s="100">
        <v>303</v>
      </c>
      <c r="AI304" s="131">
        <f t="shared" ca="1" si="249"/>
        <v>55388</v>
      </c>
      <c r="AJ304" s="102">
        <f t="shared" si="250"/>
        <v>0</v>
      </c>
      <c r="AK304" s="102">
        <f t="shared" si="251"/>
        <v>0</v>
      </c>
      <c r="AL304" s="102">
        <f t="shared" si="252"/>
        <v>0</v>
      </c>
      <c r="AM304" s="102">
        <f t="shared" si="253"/>
        <v>0</v>
      </c>
      <c r="AS304" s="530">
        <v>303</v>
      </c>
      <c r="AT304" s="531">
        <f t="shared" ca="1" si="222"/>
        <v>55388</v>
      </c>
      <c r="AU304" s="532">
        <f ca="1">IF(AU303=0,SUMIFS('Key Life Events'!$L$3:$L$28,'Key Life Events'!$H$3:$H$28,'Loan Amortization'!$AY$3,'Key Life Events'!$N$3:$N$28,'Loan Amortization'!AT304),AU303-AX303)</f>
        <v>0</v>
      </c>
      <c r="AV304" s="532">
        <f t="shared" ca="1" si="223"/>
        <v>0</v>
      </c>
      <c r="AW304" s="532">
        <f t="shared" ca="1" si="190"/>
        <v>0</v>
      </c>
      <c r="AX304" s="532">
        <f t="shared" ca="1" si="197"/>
        <v>0</v>
      </c>
      <c r="BC304" s="536">
        <f t="shared" ca="1" si="198"/>
        <v>2051</v>
      </c>
      <c r="BF304" s="530">
        <v>303</v>
      </c>
      <c r="BG304" s="531">
        <f t="shared" ca="1" si="224"/>
        <v>55388</v>
      </c>
      <c r="BH304" s="532">
        <f ca="1">IF(BH303=0,SUMIFS('Key Life Events'!$L$3:$L$28,'Key Life Events'!$H$3:$H$28,'Loan Amortization'!$BL$3,'Key Life Events'!$N$3:$N$28,'Loan Amortization'!BG304),BH303-BK303)</f>
        <v>0</v>
      </c>
      <c r="BI304" s="532">
        <f t="shared" ca="1" si="225"/>
        <v>0</v>
      </c>
      <c r="BJ304" s="532">
        <f t="shared" ca="1" si="226"/>
        <v>0</v>
      </c>
      <c r="BK304" s="532">
        <f t="shared" ca="1" si="199"/>
        <v>0</v>
      </c>
      <c r="BP304" s="536">
        <f t="shared" ca="1" si="200"/>
        <v>2051</v>
      </c>
      <c r="BQ304" s="535">
        <f ca="1"/>
        <v>0</v>
      </c>
      <c r="BS304" s="530">
        <v>303</v>
      </c>
      <c r="BT304" s="531">
        <f t="shared" ca="1" si="227"/>
        <v>55388</v>
      </c>
      <c r="BU304" s="532">
        <f ca="1">IF(BU303=0,SUMIFS('Key Life Events'!$L$3:$L$28,'Key Life Events'!$H$3:$H$28,'Loan Amortization'!$BY$3,'Key Life Events'!$N$3:$N$28,'Loan Amortization'!BT304),BU303-BX303)</f>
        <v>0</v>
      </c>
      <c r="BV304" s="532">
        <f t="shared" ca="1" si="232"/>
        <v>0</v>
      </c>
      <c r="BW304" s="532">
        <f t="shared" ca="1" si="228"/>
        <v>0</v>
      </c>
      <c r="BX304" s="532">
        <f t="shared" ca="1" si="201"/>
        <v>0</v>
      </c>
      <c r="CC304" s="536">
        <f t="shared" ca="1" si="202"/>
        <v>2051</v>
      </c>
      <c r="CD304" s="535">
        <f ca="1"/>
        <v>0</v>
      </c>
      <c r="CF304" s="530">
        <v>303</v>
      </c>
      <c r="CG304" s="531">
        <f t="shared" ca="1" si="229"/>
        <v>55388</v>
      </c>
      <c r="CH304" s="532">
        <f ca="1">IF(CH303=0,SUMIFS('Key Life Events'!$L$3:$L$28,'Key Life Events'!$H$3:$H$28,'Loan Amortization'!$CL$3,'Key Life Events'!$N$3:$N$28,'Loan Amortization'!CG304),CH303-CK303)</f>
        <v>0</v>
      </c>
      <c r="CI304" s="532">
        <f t="shared" ca="1" si="230"/>
        <v>0</v>
      </c>
      <c r="CJ304" s="532">
        <f t="shared" ca="1" si="231"/>
        <v>0</v>
      </c>
      <c r="CK304" s="532">
        <f t="shared" ca="1" si="203"/>
        <v>0</v>
      </c>
      <c r="CP304" s="536">
        <f t="shared" ca="1" si="204"/>
        <v>2051</v>
      </c>
      <c r="CQ304" s="535">
        <f ca="1"/>
        <v>0</v>
      </c>
      <c r="CS304" s="100">
        <f t="shared" si="254"/>
        <v>303</v>
      </c>
      <c r="CT304" s="102">
        <f t="shared" ca="1" si="255"/>
        <v>0</v>
      </c>
      <c r="CU304" s="102">
        <f t="shared" ca="1" si="256"/>
        <v>0</v>
      </c>
      <c r="CV304" s="511">
        <f t="shared" ca="1" si="208"/>
        <v>2051</v>
      </c>
    </row>
    <row r="305" spans="1:100" x14ac:dyDescent="0.3">
      <c r="A305" s="100">
        <v>304</v>
      </c>
      <c r="B305" s="131">
        <f t="shared" si="234"/>
        <v>8398</v>
      </c>
      <c r="C305" s="102">
        <f t="shared" si="235"/>
        <v>0</v>
      </c>
      <c r="D305" s="102">
        <f t="shared" si="236"/>
        <v>0</v>
      </c>
      <c r="E305" s="102">
        <f t="shared" si="237"/>
        <v>0</v>
      </c>
      <c r="F305" s="102">
        <f t="shared" si="238"/>
        <v>0</v>
      </c>
      <c r="L305" s="100">
        <v>304</v>
      </c>
      <c r="M305" s="131">
        <f t="shared" ca="1" si="239"/>
        <v>55419</v>
      </c>
      <c r="N305" s="102">
        <f t="shared" si="240"/>
        <v>0</v>
      </c>
      <c r="O305" s="102">
        <f t="shared" si="241"/>
        <v>0</v>
      </c>
      <c r="P305" s="102">
        <f t="shared" si="242"/>
        <v>0</v>
      </c>
      <c r="Q305" s="102">
        <f t="shared" si="243"/>
        <v>0</v>
      </c>
      <c r="W305" s="100">
        <v>304</v>
      </c>
      <c r="X305" s="131">
        <f t="shared" ca="1" si="244"/>
        <v>55419</v>
      </c>
      <c r="Y305" s="102">
        <f t="shared" si="245"/>
        <v>0</v>
      </c>
      <c r="Z305" s="102">
        <f t="shared" si="246"/>
        <v>0</v>
      </c>
      <c r="AA305" s="102">
        <f t="shared" si="247"/>
        <v>0</v>
      </c>
      <c r="AB305" s="102">
        <f t="shared" si="248"/>
        <v>0</v>
      </c>
      <c r="AH305" s="100">
        <v>304</v>
      </c>
      <c r="AI305" s="131">
        <f t="shared" ca="1" si="249"/>
        <v>55419</v>
      </c>
      <c r="AJ305" s="102">
        <f t="shared" si="250"/>
        <v>0</v>
      </c>
      <c r="AK305" s="102">
        <f t="shared" si="251"/>
        <v>0</v>
      </c>
      <c r="AL305" s="102">
        <f t="shared" si="252"/>
        <v>0</v>
      </c>
      <c r="AM305" s="102">
        <f t="shared" si="253"/>
        <v>0</v>
      </c>
      <c r="AS305" s="530">
        <v>304</v>
      </c>
      <c r="AT305" s="531">
        <f t="shared" ca="1" si="222"/>
        <v>55419</v>
      </c>
      <c r="AU305" s="532">
        <f ca="1">IF(AU304=0,SUMIFS('Key Life Events'!$L$3:$L$28,'Key Life Events'!$H$3:$H$28,'Loan Amortization'!$AY$3,'Key Life Events'!$N$3:$N$28,'Loan Amortization'!AT305),AU304-AX304)</f>
        <v>0</v>
      </c>
      <c r="AV305" s="532">
        <f t="shared" ca="1" si="223"/>
        <v>0</v>
      </c>
      <c r="AW305" s="532">
        <f t="shared" ca="1" si="190"/>
        <v>0</v>
      </c>
      <c r="AX305" s="532">
        <f t="shared" ca="1" si="197"/>
        <v>0</v>
      </c>
      <c r="BC305" s="536">
        <f t="shared" ca="1" si="198"/>
        <v>2051</v>
      </c>
      <c r="BF305" s="530">
        <v>304</v>
      </c>
      <c r="BG305" s="531">
        <f t="shared" ca="1" si="224"/>
        <v>55419</v>
      </c>
      <c r="BH305" s="532">
        <f ca="1">IF(BH304=0,SUMIFS('Key Life Events'!$L$3:$L$28,'Key Life Events'!$H$3:$H$28,'Loan Amortization'!$BL$3,'Key Life Events'!$N$3:$N$28,'Loan Amortization'!BG305),BH304-BK304)</f>
        <v>0</v>
      </c>
      <c r="BI305" s="532">
        <f t="shared" ca="1" si="225"/>
        <v>0</v>
      </c>
      <c r="BJ305" s="532">
        <f t="shared" ca="1" si="226"/>
        <v>0</v>
      </c>
      <c r="BK305" s="532">
        <f t="shared" ca="1" si="199"/>
        <v>0</v>
      </c>
      <c r="BP305" s="536">
        <f t="shared" ca="1" si="200"/>
        <v>2051</v>
      </c>
      <c r="BQ305" s="535">
        <f ca="1"/>
        <v>0</v>
      </c>
      <c r="BS305" s="530">
        <v>304</v>
      </c>
      <c r="BT305" s="531">
        <f t="shared" ca="1" si="227"/>
        <v>55419</v>
      </c>
      <c r="BU305" s="532">
        <f ca="1">IF(BU304=0,SUMIFS('Key Life Events'!$L$3:$L$28,'Key Life Events'!$H$3:$H$28,'Loan Amortization'!$BY$3,'Key Life Events'!$N$3:$N$28,'Loan Amortization'!BT305),BU304-BX304)</f>
        <v>0</v>
      </c>
      <c r="BV305" s="532">
        <f t="shared" ca="1" si="232"/>
        <v>0</v>
      </c>
      <c r="BW305" s="532">
        <f t="shared" ca="1" si="228"/>
        <v>0</v>
      </c>
      <c r="BX305" s="532">
        <f t="shared" ca="1" si="201"/>
        <v>0</v>
      </c>
      <c r="CC305" s="536">
        <f t="shared" ca="1" si="202"/>
        <v>2051</v>
      </c>
      <c r="CD305" s="535">
        <f ca="1"/>
        <v>0</v>
      </c>
      <c r="CF305" s="530">
        <v>304</v>
      </c>
      <c r="CG305" s="531">
        <f t="shared" ca="1" si="229"/>
        <v>55419</v>
      </c>
      <c r="CH305" s="532">
        <f ca="1">IF(CH304=0,SUMIFS('Key Life Events'!$L$3:$L$28,'Key Life Events'!$H$3:$H$28,'Loan Amortization'!$CL$3,'Key Life Events'!$N$3:$N$28,'Loan Amortization'!CG305),CH304-CK304)</f>
        <v>0</v>
      </c>
      <c r="CI305" s="532">
        <f t="shared" ca="1" si="230"/>
        <v>0</v>
      </c>
      <c r="CJ305" s="532">
        <f t="shared" ca="1" si="231"/>
        <v>0</v>
      </c>
      <c r="CK305" s="532">
        <f t="shared" ca="1" si="203"/>
        <v>0</v>
      </c>
      <c r="CP305" s="536">
        <f t="shared" ca="1" si="204"/>
        <v>2051</v>
      </c>
      <c r="CQ305" s="535">
        <f ca="1"/>
        <v>0</v>
      </c>
      <c r="CS305" s="100">
        <f t="shared" si="254"/>
        <v>304</v>
      </c>
      <c r="CT305" s="102">
        <f t="shared" ca="1" si="255"/>
        <v>0</v>
      </c>
      <c r="CU305" s="102">
        <f t="shared" ca="1" si="256"/>
        <v>0</v>
      </c>
      <c r="CV305" s="511">
        <f t="shared" ca="1" si="208"/>
        <v>2051</v>
      </c>
    </row>
    <row r="306" spans="1:100" x14ac:dyDescent="0.3">
      <c r="A306" s="100">
        <v>305</v>
      </c>
      <c r="B306" s="131">
        <f t="shared" si="234"/>
        <v>8429</v>
      </c>
      <c r="C306" s="102">
        <f t="shared" si="235"/>
        <v>0</v>
      </c>
      <c r="D306" s="102">
        <f t="shared" si="236"/>
        <v>0</v>
      </c>
      <c r="E306" s="102">
        <f t="shared" si="237"/>
        <v>0</v>
      </c>
      <c r="F306" s="102">
        <f t="shared" si="238"/>
        <v>0</v>
      </c>
      <c r="L306" s="100">
        <v>305</v>
      </c>
      <c r="M306" s="131">
        <f t="shared" ca="1" si="239"/>
        <v>55449</v>
      </c>
      <c r="N306" s="102">
        <f t="shared" si="240"/>
        <v>0</v>
      </c>
      <c r="O306" s="102">
        <f t="shared" si="241"/>
        <v>0</v>
      </c>
      <c r="P306" s="102">
        <f t="shared" si="242"/>
        <v>0</v>
      </c>
      <c r="Q306" s="102">
        <f t="shared" si="243"/>
        <v>0</v>
      </c>
      <c r="W306" s="100">
        <v>305</v>
      </c>
      <c r="X306" s="131">
        <f t="shared" ca="1" si="244"/>
        <v>55449</v>
      </c>
      <c r="Y306" s="102">
        <f t="shared" si="245"/>
        <v>0</v>
      </c>
      <c r="Z306" s="102">
        <f t="shared" si="246"/>
        <v>0</v>
      </c>
      <c r="AA306" s="102">
        <f t="shared" si="247"/>
        <v>0</v>
      </c>
      <c r="AB306" s="102">
        <f t="shared" si="248"/>
        <v>0</v>
      </c>
      <c r="AH306" s="100">
        <v>305</v>
      </c>
      <c r="AI306" s="131">
        <f t="shared" ca="1" si="249"/>
        <v>55449</v>
      </c>
      <c r="AJ306" s="102">
        <f t="shared" si="250"/>
        <v>0</v>
      </c>
      <c r="AK306" s="102">
        <f t="shared" si="251"/>
        <v>0</v>
      </c>
      <c r="AL306" s="102">
        <f t="shared" si="252"/>
        <v>0</v>
      </c>
      <c r="AM306" s="102">
        <f t="shared" si="253"/>
        <v>0</v>
      </c>
      <c r="AS306" s="530">
        <v>305</v>
      </c>
      <c r="AT306" s="531">
        <f t="shared" ca="1" si="222"/>
        <v>55449</v>
      </c>
      <c r="AU306" s="532">
        <f ca="1">IF(AU305=0,SUMIFS('Key Life Events'!$L$3:$L$28,'Key Life Events'!$H$3:$H$28,'Loan Amortization'!$AY$3,'Key Life Events'!$N$3:$N$28,'Loan Amortization'!AT306),AU305-AX305)</f>
        <v>0</v>
      </c>
      <c r="AV306" s="532">
        <f t="shared" ca="1" si="223"/>
        <v>0</v>
      </c>
      <c r="AW306" s="532">
        <f t="shared" ca="1" si="190"/>
        <v>0</v>
      </c>
      <c r="AX306" s="532">
        <f t="shared" ca="1" si="197"/>
        <v>0</v>
      </c>
      <c r="BC306" s="536">
        <f t="shared" ca="1" si="198"/>
        <v>2051</v>
      </c>
      <c r="BF306" s="530">
        <v>305</v>
      </c>
      <c r="BG306" s="531">
        <f t="shared" ca="1" si="224"/>
        <v>55449</v>
      </c>
      <c r="BH306" s="532">
        <f ca="1">IF(BH305=0,SUMIFS('Key Life Events'!$L$3:$L$28,'Key Life Events'!$H$3:$H$28,'Loan Amortization'!$BL$3,'Key Life Events'!$N$3:$N$28,'Loan Amortization'!BG306),BH305-BK305)</f>
        <v>0</v>
      </c>
      <c r="BI306" s="532">
        <f t="shared" ca="1" si="225"/>
        <v>0</v>
      </c>
      <c r="BJ306" s="532">
        <f t="shared" ca="1" si="226"/>
        <v>0</v>
      </c>
      <c r="BK306" s="532">
        <f t="shared" ca="1" si="199"/>
        <v>0</v>
      </c>
      <c r="BP306" s="536">
        <f t="shared" ca="1" si="200"/>
        <v>2051</v>
      </c>
      <c r="BQ306" s="535">
        <f ca="1"/>
        <v>0</v>
      </c>
      <c r="BS306" s="530">
        <v>305</v>
      </c>
      <c r="BT306" s="531">
        <f t="shared" ca="1" si="227"/>
        <v>55449</v>
      </c>
      <c r="BU306" s="532">
        <f ca="1">IF(BU305=0,SUMIFS('Key Life Events'!$L$3:$L$28,'Key Life Events'!$H$3:$H$28,'Loan Amortization'!$BY$3,'Key Life Events'!$N$3:$N$28,'Loan Amortization'!BT306),BU305-BX305)</f>
        <v>0</v>
      </c>
      <c r="BV306" s="532">
        <f t="shared" ca="1" si="232"/>
        <v>0</v>
      </c>
      <c r="BW306" s="532">
        <f t="shared" ca="1" si="228"/>
        <v>0</v>
      </c>
      <c r="BX306" s="532">
        <f t="shared" ca="1" si="201"/>
        <v>0</v>
      </c>
      <c r="CC306" s="536">
        <f t="shared" ca="1" si="202"/>
        <v>2051</v>
      </c>
      <c r="CD306" s="535">
        <f ca="1"/>
        <v>0</v>
      </c>
      <c r="CF306" s="530">
        <v>305</v>
      </c>
      <c r="CG306" s="531">
        <f t="shared" ca="1" si="229"/>
        <v>55449</v>
      </c>
      <c r="CH306" s="532">
        <f ca="1">IF(CH305=0,SUMIFS('Key Life Events'!$L$3:$L$28,'Key Life Events'!$H$3:$H$28,'Loan Amortization'!$CL$3,'Key Life Events'!$N$3:$N$28,'Loan Amortization'!CG306),CH305-CK305)</f>
        <v>0</v>
      </c>
      <c r="CI306" s="532">
        <f t="shared" ca="1" si="230"/>
        <v>0</v>
      </c>
      <c r="CJ306" s="532">
        <f t="shared" ca="1" si="231"/>
        <v>0</v>
      </c>
      <c r="CK306" s="532">
        <f t="shared" ca="1" si="203"/>
        <v>0</v>
      </c>
      <c r="CP306" s="536">
        <f t="shared" ca="1" si="204"/>
        <v>2051</v>
      </c>
      <c r="CQ306" s="535">
        <f ca="1"/>
        <v>0</v>
      </c>
      <c r="CS306" s="100">
        <f t="shared" si="254"/>
        <v>305</v>
      </c>
      <c r="CT306" s="102">
        <f t="shared" ca="1" si="255"/>
        <v>0</v>
      </c>
      <c r="CU306" s="102">
        <f t="shared" ca="1" si="256"/>
        <v>0</v>
      </c>
      <c r="CV306" s="511">
        <f t="shared" ca="1" si="208"/>
        <v>2051</v>
      </c>
    </row>
    <row r="307" spans="1:100" x14ac:dyDescent="0.3">
      <c r="A307" s="100">
        <v>306</v>
      </c>
      <c r="B307" s="131">
        <f t="shared" si="234"/>
        <v>8460</v>
      </c>
      <c r="C307" s="102">
        <f t="shared" si="235"/>
        <v>0</v>
      </c>
      <c r="D307" s="102">
        <f t="shared" si="236"/>
        <v>0</v>
      </c>
      <c r="E307" s="102">
        <f t="shared" si="237"/>
        <v>0</v>
      </c>
      <c r="F307" s="102">
        <f t="shared" si="238"/>
        <v>0</v>
      </c>
      <c r="L307" s="100">
        <v>306</v>
      </c>
      <c r="M307" s="131">
        <f t="shared" ca="1" si="239"/>
        <v>55480</v>
      </c>
      <c r="N307" s="102">
        <f t="shared" si="240"/>
        <v>0</v>
      </c>
      <c r="O307" s="102">
        <f t="shared" si="241"/>
        <v>0</v>
      </c>
      <c r="P307" s="102">
        <f t="shared" si="242"/>
        <v>0</v>
      </c>
      <c r="Q307" s="102">
        <f t="shared" si="243"/>
        <v>0</v>
      </c>
      <c r="W307" s="100">
        <v>306</v>
      </c>
      <c r="X307" s="131">
        <f t="shared" ca="1" si="244"/>
        <v>55480</v>
      </c>
      <c r="Y307" s="102">
        <f t="shared" si="245"/>
        <v>0</v>
      </c>
      <c r="Z307" s="102">
        <f t="shared" si="246"/>
        <v>0</v>
      </c>
      <c r="AA307" s="102">
        <f t="shared" si="247"/>
        <v>0</v>
      </c>
      <c r="AB307" s="102">
        <f t="shared" si="248"/>
        <v>0</v>
      </c>
      <c r="AH307" s="100">
        <v>306</v>
      </c>
      <c r="AI307" s="131">
        <f t="shared" ca="1" si="249"/>
        <v>55480</v>
      </c>
      <c r="AJ307" s="102">
        <f t="shared" si="250"/>
        <v>0</v>
      </c>
      <c r="AK307" s="102">
        <f t="shared" si="251"/>
        <v>0</v>
      </c>
      <c r="AL307" s="102">
        <f t="shared" si="252"/>
        <v>0</v>
      </c>
      <c r="AM307" s="102">
        <f t="shared" si="253"/>
        <v>0</v>
      </c>
      <c r="AS307" s="530">
        <v>306</v>
      </c>
      <c r="AT307" s="531">
        <f t="shared" ca="1" si="222"/>
        <v>55480</v>
      </c>
      <c r="AU307" s="532">
        <f ca="1">IF(AU306=0,SUMIFS('Key Life Events'!$L$3:$L$28,'Key Life Events'!$H$3:$H$28,'Loan Amortization'!$AY$3,'Key Life Events'!$N$3:$N$28,'Loan Amortization'!AT307),AU306-AX306)</f>
        <v>0</v>
      </c>
      <c r="AV307" s="532">
        <f t="shared" ca="1" si="223"/>
        <v>0</v>
      </c>
      <c r="AW307" s="532">
        <f t="shared" ca="1" si="190"/>
        <v>0</v>
      </c>
      <c r="AX307" s="532">
        <f t="shared" ca="1" si="197"/>
        <v>0</v>
      </c>
      <c r="BC307" s="536">
        <f t="shared" ca="1" si="198"/>
        <v>2051</v>
      </c>
      <c r="BF307" s="530">
        <v>306</v>
      </c>
      <c r="BG307" s="531">
        <f t="shared" ca="1" si="224"/>
        <v>55480</v>
      </c>
      <c r="BH307" s="532">
        <f ca="1">IF(BH306=0,SUMIFS('Key Life Events'!$L$3:$L$28,'Key Life Events'!$H$3:$H$28,'Loan Amortization'!$BL$3,'Key Life Events'!$N$3:$N$28,'Loan Amortization'!BG307),BH306-BK306)</f>
        <v>0</v>
      </c>
      <c r="BI307" s="532">
        <f t="shared" ca="1" si="225"/>
        <v>0</v>
      </c>
      <c r="BJ307" s="532">
        <f t="shared" ca="1" si="226"/>
        <v>0</v>
      </c>
      <c r="BK307" s="532">
        <f t="shared" ca="1" si="199"/>
        <v>0</v>
      </c>
      <c r="BP307" s="536">
        <f t="shared" ca="1" si="200"/>
        <v>2051</v>
      </c>
      <c r="BQ307" s="535">
        <f ca="1"/>
        <v>0</v>
      </c>
      <c r="BS307" s="530">
        <v>306</v>
      </c>
      <c r="BT307" s="531">
        <f t="shared" ca="1" si="227"/>
        <v>55480</v>
      </c>
      <c r="BU307" s="532">
        <f ca="1">IF(BU306=0,SUMIFS('Key Life Events'!$L$3:$L$28,'Key Life Events'!$H$3:$H$28,'Loan Amortization'!$BY$3,'Key Life Events'!$N$3:$N$28,'Loan Amortization'!BT307),BU306-BX306)</f>
        <v>0</v>
      </c>
      <c r="BV307" s="532">
        <f t="shared" ca="1" si="232"/>
        <v>0</v>
      </c>
      <c r="BW307" s="532">
        <f t="shared" ca="1" si="228"/>
        <v>0</v>
      </c>
      <c r="BX307" s="532">
        <f t="shared" ca="1" si="201"/>
        <v>0</v>
      </c>
      <c r="CC307" s="536">
        <f t="shared" ca="1" si="202"/>
        <v>2051</v>
      </c>
      <c r="CD307" s="535">
        <f ca="1"/>
        <v>0</v>
      </c>
      <c r="CF307" s="530">
        <v>306</v>
      </c>
      <c r="CG307" s="531">
        <f t="shared" ca="1" si="229"/>
        <v>55480</v>
      </c>
      <c r="CH307" s="532">
        <f ca="1">IF(CH306=0,SUMIFS('Key Life Events'!$L$3:$L$28,'Key Life Events'!$H$3:$H$28,'Loan Amortization'!$CL$3,'Key Life Events'!$N$3:$N$28,'Loan Amortization'!CG307),CH306-CK306)</f>
        <v>0</v>
      </c>
      <c r="CI307" s="532">
        <f t="shared" ca="1" si="230"/>
        <v>0</v>
      </c>
      <c r="CJ307" s="532">
        <f t="shared" ca="1" si="231"/>
        <v>0</v>
      </c>
      <c r="CK307" s="532">
        <f t="shared" ca="1" si="203"/>
        <v>0</v>
      </c>
      <c r="CP307" s="536">
        <f t="shared" ca="1" si="204"/>
        <v>2051</v>
      </c>
      <c r="CQ307" s="535">
        <f ca="1"/>
        <v>0</v>
      </c>
      <c r="CS307" s="100">
        <f t="shared" si="254"/>
        <v>306</v>
      </c>
      <c r="CT307" s="102">
        <f t="shared" ca="1" si="255"/>
        <v>0</v>
      </c>
      <c r="CU307" s="102">
        <f t="shared" ca="1" si="256"/>
        <v>0</v>
      </c>
      <c r="CV307" s="511">
        <f t="shared" ca="1" si="208"/>
        <v>2051</v>
      </c>
    </row>
    <row r="308" spans="1:100" x14ac:dyDescent="0.3">
      <c r="A308" s="100">
        <v>307</v>
      </c>
      <c r="B308" s="131">
        <f t="shared" si="234"/>
        <v>8488</v>
      </c>
      <c r="C308" s="102">
        <f t="shared" si="235"/>
        <v>0</v>
      </c>
      <c r="D308" s="102">
        <f t="shared" si="236"/>
        <v>0</v>
      </c>
      <c r="E308" s="102">
        <f t="shared" si="237"/>
        <v>0</v>
      </c>
      <c r="F308" s="102">
        <f t="shared" si="238"/>
        <v>0</v>
      </c>
      <c r="L308" s="100">
        <v>307</v>
      </c>
      <c r="M308" s="131">
        <f t="shared" ca="1" si="239"/>
        <v>55510</v>
      </c>
      <c r="N308" s="102">
        <f t="shared" si="240"/>
        <v>0</v>
      </c>
      <c r="O308" s="102">
        <f t="shared" si="241"/>
        <v>0</v>
      </c>
      <c r="P308" s="102">
        <f t="shared" si="242"/>
        <v>0</v>
      </c>
      <c r="Q308" s="102">
        <f t="shared" si="243"/>
        <v>0</v>
      </c>
      <c r="W308" s="100">
        <v>307</v>
      </c>
      <c r="X308" s="131">
        <f t="shared" ca="1" si="244"/>
        <v>55510</v>
      </c>
      <c r="Y308" s="102">
        <f t="shared" si="245"/>
        <v>0</v>
      </c>
      <c r="Z308" s="102">
        <f t="shared" si="246"/>
        <v>0</v>
      </c>
      <c r="AA308" s="102">
        <f t="shared" si="247"/>
        <v>0</v>
      </c>
      <c r="AB308" s="102">
        <f t="shared" si="248"/>
        <v>0</v>
      </c>
      <c r="AH308" s="100">
        <v>307</v>
      </c>
      <c r="AI308" s="131">
        <f t="shared" ca="1" si="249"/>
        <v>55510</v>
      </c>
      <c r="AJ308" s="102">
        <f t="shared" si="250"/>
        <v>0</v>
      </c>
      <c r="AK308" s="102">
        <f t="shared" si="251"/>
        <v>0</v>
      </c>
      <c r="AL308" s="102">
        <f t="shared" si="252"/>
        <v>0</v>
      </c>
      <c r="AM308" s="102">
        <f t="shared" si="253"/>
        <v>0</v>
      </c>
      <c r="AS308" s="530">
        <v>307</v>
      </c>
      <c r="AT308" s="531">
        <f t="shared" ca="1" si="222"/>
        <v>55510</v>
      </c>
      <c r="AU308" s="532">
        <f ca="1">IF(AU307=0,SUMIFS('Key Life Events'!$L$3:$L$28,'Key Life Events'!$H$3:$H$28,'Loan Amortization'!$AY$3,'Key Life Events'!$N$3:$N$28,'Loan Amortization'!AT308),AU307-AX307)</f>
        <v>0</v>
      </c>
      <c r="AV308" s="532">
        <f t="shared" ca="1" si="223"/>
        <v>0</v>
      </c>
      <c r="AW308" s="532">
        <f t="shared" ca="1" si="190"/>
        <v>0</v>
      </c>
      <c r="AX308" s="532">
        <f t="shared" ca="1" si="197"/>
        <v>0</v>
      </c>
      <c r="BC308" s="536">
        <f t="shared" ca="1" si="198"/>
        <v>2051</v>
      </c>
      <c r="BF308" s="530">
        <v>307</v>
      </c>
      <c r="BG308" s="531">
        <f t="shared" ca="1" si="224"/>
        <v>55510</v>
      </c>
      <c r="BH308" s="532">
        <f ca="1">IF(BH307=0,SUMIFS('Key Life Events'!$L$3:$L$28,'Key Life Events'!$H$3:$H$28,'Loan Amortization'!$BL$3,'Key Life Events'!$N$3:$N$28,'Loan Amortization'!BG308),BH307-BK307)</f>
        <v>0</v>
      </c>
      <c r="BI308" s="532">
        <f t="shared" ca="1" si="225"/>
        <v>0</v>
      </c>
      <c r="BJ308" s="532">
        <f t="shared" ca="1" si="226"/>
        <v>0</v>
      </c>
      <c r="BK308" s="532">
        <f t="shared" ca="1" si="199"/>
        <v>0</v>
      </c>
      <c r="BP308" s="536">
        <f t="shared" ca="1" si="200"/>
        <v>2051</v>
      </c>
      <c r="BQ308" s="535">
        <f ca="1"/>
        <v>0</v>
      </c>
      <c r="BS308" s="530">
        <v>307</v>
      </c>
      <c r="BT308" s="531">
        <f t="shared" ca="1" si="227"/>
        <v>55510</v>
      </c>
      <c r="BU308" s="532">
        <f ca="1">IF(BU307=0,SUMIFS('Key Life Events'!$L$3:$L$28,'Key Life Events'!$H$3:$H$28,'Loan Amortization'!$BY$3,'Key Life Events'!$N$3:$N$28,'Loan Amortization'!BT308),BU307-BX307)</f>
        <v>0</v>
      </c>
      <c r="BV308" s="532">
        <f t="shared" ca="1" si="232"/>
        <v>0</v>
      </c>
      <c r="BW308" s="532">
        <f t="shared" ca="1" si="228"/>
        <v>0</v>
      </c>
      <c r="BX308" s="532">
        <f t="shared" ca="1" si="201"/>
        <v>0</v>
      </c>
      <c r="CC308" s="536">
        <f t="shared" ca="1" si="202"/>
        <v>2051</v>
      </c>
      <c r="CD308" s="535">
        <f ca="1"/>
        <v>0</v>
      </c>
      <c r="CF308" s="530">
        <v>307</v>
      </c>
      <c r="CG308" s="531">
        <f t="shared" ca="1" si="229"/>
        <v>55510</v>
      </c>
      <c r="CH308" s="532">
        <f ca="1">IF(CH307=0,SUMIFS('Key Life Events'!$L$3:$L$28,'Key Life Events'!$H$3:$H$28,'Loan Amortization'!$CL$3,'Key Life Events'!$N$3:$N$28,'Loan Amortization'!CG308),CH307-CK307)</f>
        <v>0</v>
      </c>
      <c r="CI308" s="532">
        <f t="shared" ca="1" si="230"/>
        <v>0</v>
      </c>
      <c r="CJ308" s="532">
        <f t="shared" ca="1" si="231"/>
        <v>0</v>
      </c>
      <c r="CK308" s="532">
        <f t="shared" ca="1" si="203"/>
        <v>0</v>
      </c>
      <c r="CP308" s="536">
        <f t="shared" ca="1" si="204"/>
        <v>2051</v>
      </c>
      <c r="CQ308" s="535">
        <f ca="1"/>
        <v>0</v>
      </c>
      <c r="CS308" s="100">
        <f t="shared" ref="CS308:CS371" si="257">AH308</f>
        <v>307</v>
      </c>
      <c r="CT308" s="102">
        <f t="shared" ref="CT308:CT371" ca="1" si="258">C308+Y308+AJ308+N308+AU308+BH308+BU308+CH308</f>
        <v>0</v>
      </c>
      <c r="CU308" s="102">
        <f t="shared" ref="CU308:CU371" ca="1" si="259">D308+Z308+AK308+O308+AV308+BI308+BV308+CI308</f>
        <v>0</v>
      </c>
      <c r="CV308" s="511">
        <f t="shared" ca="1" si="208"/>
        <v>2051</v>
      </c>
    </row>
    <row r="309" spans="1:100" x14ac:dyDescent="0.3">
      <c r="A309" s="100">
        <v>308</v>
      </c>
      <c r="B309" s="131">
        <f t="shared" si="234"/>
        <v>8519</v>
      </c>
      <c r="C309" s="102">
        <f t="shared" si="235"/>
        <v>0</v>
      </c>
      <c r="D309" s="102">
        <f t="shared" si="236"/>
        <v>0</v>
      </c>
      <c r="E309" s="102">
        <f t="shared" si="237"/>
        <v>0</v>
      </c>
      <c r="F309" s="102">
        <f t="shared" si="238"/>
        <v>0</v>
      </c>
      <c r="L309" s="100">
        <v>308</v>
      </c>
      <c r="M309" s="131">
        <f t="shared" ca="1" si="239"/>
        <v>55541</v>
      </c>
      <c r="N309" s="102">
        <f t="shared" si="240"/>
        <v>0</v>
      </c>
      <c r="O309" s="102">
        <f t="shared" si="241"/>
        <v>0</v>
      </c>
      <c r="P309" s="102">
        <f t="shared" si="242"/>
        <v>0</v>
      </c>
      <c r="Q309" s="102">
        <f t="shared" si="243"/>
        <v>0</v>
      </c>
      <c r="W309" s="100">
        <v>308</v>
      </c>
      <c r="X309" s="131">
        <f t="shared" ca="1" si="244"/>
        <v>55541</v>
      </c>
      <c r="Y309" s="102">
        <f t="shared" si="245"/>
        <v>0</v>
      </c>
      <c r="Z309" s="102">
        <f t="shared" si="246"/>
        <v>0</v>
      </c>
      <c r="AA309" s="102">
        <f t="shared" si="247"/>
        <v>0</v>
      </c>
      <c r="AB309" s="102">
        <f t="shared" si="248"/>
        <v>0</v>
      </c>
      <c r="AH309" s="100">
        <v>308</v>
      </c>
      <c r="AI309" s="131">
        <f t="shared" ca="1" si="249"/>
        <v>55541</v>
      </c>
      <c r="AJ309" s="102">
        <f t="shared" si="250"/>
        <v>0</v>
      </c>
      <c r="AK309" s="102">
        <f t="shared" si="251"/>
        <v>0</v>
      </c>
      <c r="AL309" s="102">
        <f t="shared" si="252"/>
        <v>0</v>
      </c>
      <c r="AM309" s="102">
        <f t="shared" si="253"/>
        <v>0</v>
      </c>
      <c r="AS309" s="530">
        <v>308</v>
      </c>
      <c r="AT309" s="531">
        <f t="shared" ca="1" si="222"/>
        <v>55541</v>
      </c>
      <c r="AU309" s="532">
        <f ca="1">IF(AU308=0,SUMIFS('Key Life Events'!$L$3:$L$28,'Key Life Events'!$H$3:$H$28,'Loan Amortization'!$AY$3,'Key Life Events'!$N$3:$N$28,'Loan Amortization'!AT309),AU308-AX308)</f>
        <v>0</v>
      </c>
      <c r="AV309" s="532">
        <f t="shared" ca="1" si="223"/>
        <v>0</v>
      </c>
      <c r="AW309" s="532">
        <f t="shared" ca="1" si="190"/>
        <v>0</v>
      </c>
      <c r="AX309" s="532">
        <f t="shared" ca="1" si="197"/>
        <v>0</v>
      </c>
      <c r="BC309" s="536">
        <f t="shared" ca="1" si="198"/>
        <v>2052</v>
      </c>
      <c r="BF309" s="530">
        <v>308</v>
      </c>
      <c r="BG309" s="531">
        <f t="shared" ca="1" si="224"/>
        <v>55541</v>
      </c>
      <c r="BH309" s="532">
        <f ca="1">IF(BH308=0,SUMIFS('Key Life Events'!$L$3:$L$28,'Key Life Events'!$H$3:$H$28,'Loan Amortization'!$BL$3,'Key Life Events'!$N$3:$N$28,'Loan Amortization'!BG309),BH308-BK308)</f>
        <v>0</v>
      </c>
      <c r="BI309" s="532">
        <f t="shared" ca="1" si="225"/>
        <v>0</v>
      </c>
      <c r="BJ309" s="532">
        <f t="shared" ca="1" si="226"/>
        <v>0</v>
      </c>
      <c r="BK309" s="532">
        <f t="shared" ca="1" si="199"/>
        <v>0</v>
      </c>
      <c r="BP309" s="536">
        <f t="shared" ca="1" si="200"/>
        <v>2052</v>
      </c>
      <c r="BQ309" s="535">
        <f ca="1"/>
        <v>0</v>
      </c>
      <c r="BS309" s="530">
        <v>308</v>
      </c>
      <c r="BT309" s="531">
        <f t="shared" ca="1" si="227"/>
        <v>55541</v>
      </c>
      <c r="BU309" s="532">
        <f ca="1">IF(BU308=0,SUMIFS('Key Life Events'!$L$3:$L$28,'Key Life Events'!$H$3:$H$28,'Loan Amortization'!$BY$3,'Key Life Events'!$N$3:$N$28,'Loan Amortization'!BT309),BU308-BX308)</f>
        <v>0</v>
      </c>
      <c r="BV309" s="532">
        <f t="shared" ca="1" si="232"/>
        <v>0</v>
      </c>
      <c r="BW309" s="532">
        <f t="shared" ca="1" si="228"/>
        <v>0</v>
      </c>
      <c r="BX309" s="532">
        <f t="shared" ca="1" si="201"/>
        <v>0</v>
      </c>
      <c r="CC309" s="536">
        <f t="shared" ca="1" si="202"/>
        <v>2052</v>
      </c>
      <c r="CD309" s="535">
        <f ca="1"/>
        <v>0</v>
      </c>
      <c r="CF309" s="530">
        <v>308</v>
      </c>
      <c r="CG309" s="531">
        <f t="shared" ca="1" si="229"/>
        <v>55541</v>
      </c>
      <c r="CH309" s="532">
        <f ca="1">IF(CH308=0,SUMIFS('Key Life Events'!$L$3:$L$28,'Key Life Events'!$H$3:$H$28,'Loan Amortization'!$CL$3,'Key Life Events'!$N$3:$N$28,'Loan Amortization'!CG309),CH308-CK308)</f>
        <v>0</v>
      </c>
      <c r="CI309" s="532">
        <f t="shared" ca="1" si="230"/>
        <v>0</v>
      </c>
      <c r="CJ309" s="532">
        <f t="shared" ca="1" si="231"/>
        <v>0</v>
      </c>
      <c r="CK309" s="532">
        <f t="shared" ca="1" si="203"/>
        <v>0</v>
      </c>
      <c r="CP309" s="536">
        <f t="shared" ca="1" si="204"/>
        <v>2052</v>
      </c>
      <c r="CQ309" s="535">
        <f ca="1"/>
        <v>0</v>
      </c>
      <c r="CS309" s="100">
        <f t="shared" si="257"/>
        <v>308</v>
      </c>
      <c r="CT309" s="102">
        <f t="shared" ca="1" si="258"/>
        <v>0</v>
      </c>
      <c r="CU309" s="102">
        <f t="shared" ca="1" si="259"/>
        <v>0</v>
      </c>
      <c r="CV309" s="511">
        <f t="shared" ca="1" si="208"/>
        <v>2052</v>
      </c>
    </row>
    <row r="310" spans="1:100" x14ac:dyDescent="0.3">
      <c r="A310" s="100">
        <v>309</v>
      </c>
      <c r="B310" s="131">
        <f t="shared" si="234"/>
        <v>8549</v>
      </c>
      <c r="C310" s="102">
        <f t="shared" si="235"/>
        <v>0</v>
      </c>
      <c r="D310" s="102">
        <f t="shared" si="236"/>
        <v>0</v>
      </c>
      <c r="E310" s="102">
        <f t="shared" si="237"/>
        <v>0</v>
      </c>
      <c r="F310" s="102">
        <f t="shared" si="238"/>
        <v>0</v>
      </c>
      <c r="L310" s="100">
        <v>309</v>
      </c>
      <c r="M310" s="131">
        <f t="shared" ca="1" si="239"/>
        <v>55572</v>
      </c>
      <c r="N310" s="102">
        <f t="shared" si="240"/>
        <v>0</v>
      </c>
      <c r="O310" s="102">
        <f t="shared" si="241"/>
        <v>0</v>
      </c>
      <c r="P310" s="102">
        <f t="shared" si="242"/>
        <v>0</v>
      </c>
      <c r="Q310" s="102">
        <f t="shared" si="243"/>
        <v>0</v>
      </c>
      <c r="W310" s="100">
        <v>309</v>
      </c>
      <c r="X310" s="131">
        <f t="shared" ca="1" si="244"/>
        <v>55572</v>
      </c>
      <c r="Y310" s="102">
        <f t="shared" si="245"/>
        <v>0</v>
      </c>
      <c r="Z310" s="102">
        <f t="shared" si="246"/>
        <v>0</v>
      </c>
      <c r="AA310" s="102">
        <f t="shared" si="247"/>
        <v>0</v>
      </c>
      <c r="AB310" s="102">
        <f t="shared" si="248"/>
        <v>0</v>
      </c>
      <c r="AH310" s="100">
        <v>309</v>
      </c>
      <c r="AI310" s="131">
        <f t="shared" ca="1" si="249"/>
        <v>55572</v>
      </c>
      <c r="AJ310" s="102">
        <f t="shared" si="250"/>
        <v>0</v>
      </c>
      <c r="AK310" s="102">
        <f t="shared" si="251"/>
        <v>0</v>
      </c>
      <c r="AL310" s="102">
        <f t="shared" si="252"/>
        <v>0</v>
      </c>
      <c r="AM310" s="102">
        <f t="shared" si="253"/>
        <v>0</v>
      </c>
      <c r="AS310" s="530">
        <v>309</v>
      </c>
      <c r="AT310" s="531">
        <f t="shared" ca="1" si="222"/>
        <v>55572</v>
      </c>
      <c r="AU310" s="532">
        <f ca="1">IF(AU309=0,SUMIFS('Key Life Events'!$L$3:$L$28,'Key Life Events'!$H$3:$H$28,'Loan Amortization'!$AY$3,'Key Life Events'!$N$3:$N$28,'Loan Amortization'!AT310),AU309-AX309)</f>
        <v>0</v>
      </c>
      <c r="AV310" s="532">
        <f t="shared" ca="1" si="223"/>
        <v>0</v>
      </c>
      <c r="AW310" s="532">
        <f t="shared" ca="1" si="190"/>
        <v>0</v>
      </c>
      <c r="AX310" s="532">
        <f t="shared" ca="1" si="197"/>
        <v>0</v>
      </c>
      <c r="BC310" s="536">
        <f t="shared" ca="1" si="198"/>
        <v>2052</v>
      </c>
      <c r="BF310" s="530">
        <v>309</v>
      </c>
      <c r="BG310" s="531">
        <f t="shared" ca="1" si="224"/>
        <v>55572</v>
      </c>
      <c r="BH310" s="532">
        <f ca="1">IF(BH309=0,SUMIFS('Key Life Events'!$L$3:$L$28,'Key Life Events'!$H$3:$H$28,'Loan Amortization'!$BL$3,'Key Life Events'!$N$3:$N$28,'Loan Amortization'!BG310),BH309-BK309)</f>
        <v>0</v>
      </c>
      <c r="BI310" s="532">
        <f t="shared" ca="1" si="225"/>
        <v>0</v>
      </c>
      <c r="BJ310" s="532">
        <f t="shared" ca="1" si="226"/>
        <v>0</v>
      </c>
      <c r="BK310" s="532">
        <f t="shared" ca="1" si="199"/>
        <v>0</v>
      </c>
      <c r="BP310" s="536">
        <f t="shared" ca="1" si="200"/>
        <v>2052</v>
      </c>
      <c r="BQ310" s="535">
        <f ca="1"/>
        <v>0</v>
      </c>
      <c r="BS310" s="530">
        <v>309</v>
      </c>
      <c r="BT310" s="531">
        <f t="shared" ca="1" si="227"/>
        <v>55572</v>
      </c>
      <c r="BU310" s="532">
        <f ca="1">IF(BU309=0,SUMIFS('Key Life Events'!$L$3:$L$28,'Key Life Events'!$H$3:$H$28,'Loan Amortization'!$BY$3,'Key Life Events'!$N$3:$N$28,'Loan Amortization'!BT310),BU309-BX309)</f>
        <v>0</v>
      </c>
      <c r="BV310" s="532">
        <f t="shared" ca="1" si="232"/>
        <v>0</v>
      </c>
      <c r="BW310" s="532">
        <f t="shared" ca="1" si="228"/>
        <v>0</v>
      </c>
      <c r="BX310" s="532">
        <f t="shared" ca="1" si="201"/>
        <v>0</v>
      </c>
      <c r="CC310" s="536">
        <f t="shared" ca="1" si="202"/>
        <v>2052</v>
      </c>
      <c r="CD310" s="535">
        <f ca="1"/>
        <v>0</v>
      </c>
      <c r="CF310" s="530">
        <v>309</v>
      </c>
      <c r="CG310" s="531">
        <f t="shared" ca="1" si="229"/>
        <v>55572</v>
      </c>
      <c r="CH310" s="532">
        <f ca="1">IF(CH309=0,SUMIFS('Key Life Events'!$L$3:$L$28,'Key Life Events'!$H$3:$H$28,'Loan Amortization'!$CL$3,'Key Life Events'!$N$3:$N$28,'Loan Amortization'!CG310),CH309-CK309)</f>
        <v>0</v>
      </c>
      <c r="CI310" s="532">
        <f t="shared" ca="1" si="230"/>
        <v>0</v>
      </c>
      <c r="CJ310" s="532">
        <f t="shared" ca="1" si="231"/>
        <v>0</v>
      </c>
      <c r="CK310" s="532">
        <f t="shared" ca="1" si="203"/>
        <v>0</v>
      </c>
      <c r="CP310" s="536">
        <f t="shared" ca="1" si="204"/>
        <v>2052</v>
      </c>
      <c r="CQ310" s="535">
        <f ca="1"/>
        <v>0</v>
      </c>
      <c r="CS310" s="100">
        <f t="shared" si="257"/>
        <v>309</v>
      </c>
      <c r="CT310" s="102">
        <f t="shared" ca="1" si="258"/>
        <v>0</v>
      </c>
      <c r="CU310" s="102">
        <f t="shared" ca="1" si="259"/>
        <v>0</v>
      </c>
      <c r="CV310" s="511">
        <f t="shared" ca="1" si="208"/>
        <v>2052</v>
      </c>
    </row>
    <row r="311" spans="1:100" x14ac:dyDescent="0.3">
      <c r="A311" s="100">
        <v>310</v>
      </c>
      <c r="B311" s="131">
        <f t="shared" si="234"/>
        <v>8580</v>
      </c>
      <c r="C311" s="102">
        <f t="shared" si="235"/>
        <v>0</v>
      </c>
      <c r="D311" s="102">
        <f t="shared" si="236"/>
        <v>0</v>
      </c>
      <c r="E311" s="102">
        <f t="shared" si="237"/>
        <v>0</v>
      </c>
      <c r="F311" s="102">
        <f t="shared" si="238"/>
        <v>0</v>
      </c>
      <c r="L311" s="100">
        <v>310</v>
      </c>
      <c r="M311" s="131">
        <f t="shared" ca="1" si="239"/>
        <v>55601</v>
      </c>
      <c r="N311" s="102">
        <f t="shared" si="240"/>
        <v>0</v>
      </c>
      <c r="O311" s="102">
        <f t="shared" si="241"/>
        <v>0</v>
      </c>
      <c r="P311" s="102">
        <f t="shared" si="242"/>
        <v>0</v>
      </c>
      <c r="Q311" s="102">
        <f t="shared" si="243"/>
        <v>0</v>
      </c>
      <c r="W311" s="100">
        <v>310</v>
      </c>
      <c r="X311" s="131">
        <f t="shared" ca="1" si="244"/>
        <v>55601</v>
      </c>
      <c r="Y311" s="102">
        <f t="shared" si="245"/>
        <v>0</v>
      </c>
      <c r="Z311" s="102">
        <f t="shared" si="246"/>
        <v>0</v>
      </c>
      <c r="AA311" s="102">
        <f t="shared" si="247"/>
        <v>0</v>
      </c>
      <c r="AB311" s="102">
        <f t="shared" si="248"/>
        <v>0</v>
      </c>
      <c r="AH311" s="100">
        <v>310</v>
      </c>
      <c r="AI311" s="131">
        <f t="shared" ca="1" si="249"/>
        <v>55601</v>
      </c>
      <c r="AJ311" s="102">
        <f t="shared" si="250"/>
        <v>0</v>
      </c>
      <c r="AK311" s="102">
        <f t="shared" si="251"/>
        <v>0</v>
      </c>
      <c r="AL311" s="102">
        <f t="shared" si="252"/>
        <v>0</v>
      </c>
      <c r="AM311" s="102">
        <f t="shared" si="253"/>
        <v>0</v>
      </c>
      <c r="AS311" s="530">
        <v>310</v>
      </c>
      <c r="AT311" s="531">
        <f t="shared" ca="1" si="222"/>
        <v>55601</v>
      </c>
      <c r="AU311" s="532">
        <f ca="1">IF(AU310=0,SUMIFS('Key Life Events'!$L$3:$L$28,'Key Life Events'!$H$3:$H$28,'Loan Amortization'!$AY$3,'Key Life Events'!$N$3:$N$28,'Loan Amortization'!AT311),AU310-AX310)</f>
        <v>0</v>
      </c>
      <c r="AV311" s="532">
        <f t="shared" ca="1" si="223"/>
        <v>0</v>
      </c>
      <c r="AW311" s="532">
        <f t="shared" ca="1" si="190"/>
        <v>0</v>
      </c>
      <c r="AX311" s="532">
        <f t="shared" ca="1" si="197"/>
        <v>0</v>
      </c>
      <c r="BC311" s="536">
        <f t="shared" ca="1" si="198"/>
        <v>2052</v>
      </c>
      <c r="BF311" s="530">
        <v>310</v>
      </c>
      <c r="BG311" s="531">
        <f t="shared" ca="1" si="224"/>
        <v>55601</v>
      </c>
      <c r="BH311" s="532">
        <f ca="1">IF(BH310=0,SUMIFS('Key Life Events'!$L$3:$L$28,'Key Life Events'!$H$3:$H$28,'Loan Amortization'!$BL$3,'Key Life Events'!$N$3:$N$28,'Loan Amortization'!BG311),BH310-BK310)</f>
        <v>0</v>
      </c>
      <c r="BI311" s="532">
        <f t="shared" ca="1" si="225"/>
        <v>0</v>
      </c>
      <c r="BJ311" s="532">
        <f t="shared" ca="1" si="226"/>
        <v>0</v>
      </c>
      <c r="BK311" s="532">
        <f t="shared" ca="1" si="199"/>
        <v>0</v>
      </c>
      <c r="BP311" s="536">
        <f t="shared" ca="1" si="200"/>
        <v>2052</v>
      </c>
      <c r="BQ311" s="535">
        <f ca="1"/>
        <v>0</v>
      </c>
      <c r="BS311" s="530">
        <v>310</v>
      </c>
      <c r="BT311" s="531">
        <f t="shared" ca="1" si="227"/>
        <v>55601</v>
      </c>
      <c r="BU311" s="532">
        <f ca="1">IF(BU310=0,SUMIFS('Key Life Events'!$L$3:$L$28,'Key Life Events'!$H$3:$H$28,'Loan Amortization'!$BY$3,'Key Life Events'!$N$3:$N$28,'Loan Amortization'!BT311),BU310-BX310)</f>
        <v>0</v>
      </c>
      <c r="BV311" s="532">
        <f t="shared" ca="1" si="232"/>
        <v>0</v>
      </c>
      <c r="BW311" s="532">
        <f t="shared" ca="1" si="228"/>
        <v>0</v>
      </c>
      <c r="BX311" s="532">
        <f t="shared" ca="1" si="201"/>
        <v>0</v>
      </c>
      <c r="CC311" s="536">
        <f t="shared" ca="1" si="202"/>
        <v>2052</v>
      </c>
      <c r="CD311" s="535">
        <f ca="1"/>
        <v>0</v>
      </c>
      <c r="CF311" s="530">
        <v>310</v>
      </c>
      <c r="CG311" s="531">
        <f t="shared" ca="1" si="229"/>
        <v>55601</v>
      </c>
      <c r="CH311" s="532">
        <f ca="1">IF(CH310=0,SUMIFS('Key Life Events'!$L$3:$L$28,'Key Life Events'!$H$3:$H$28,'Loan Amortization'!$CL$3,'Key Life Events'!$N$3:$N$28,'Loan Amortization'!CG311),CH310-CK310)</f>
        <v>0</v>
      </c>
      <c r="CI311" s="532">
        <f t="shared" ca="1" si="230"/>
        <v>0</v>
      </c>
      <c r="CJ311" s="532">
        <f t="shared" ca="1" si="231"/>
        <v>0</v>
      </c>
      <c r="CK311" s="532">
        <f t="shared" ca="1" si="203"/>
        <v>0</v>
      </c>
      <c r="CP311" s="536">
        <f t="shared" ca="1" si="204"/>
        <v>2052</v>
      </c>
      <c r="CQ311" s="535">
        <f ca="1"/>
        <v>0</v>
      </c>
      <c r="CS311" s="100">
        <f t="shared" si="257"/>
        <v>310</v>
      </c>
      <c r="CT311" s="102">
        <f t="shared" ca="1" si="258"/>
        <v>0</v>
      </c>
      <c r="CU311" s="102">
        <f t="shared" ca="1" si="259"/>
        <v>0</v>
      </c>
      <c r="CV311" s="511">
        <f t="shared" ca="1" si="208"/>
        <v>2052</v>
      </c>
    </row>
    <row r="312" spans="1:100" x14ac:dyDescent="0.3">
      <c r="A312" s="100">
        <v>311</v>
      </c>
      <c r="B312" s="131">
        <f t="shared" si="234"/>
        <v>8610</v>
      </c>
      <c r="C312" s="102">
        <f t="shared" si="235"/>
        <v>0</v>
      </c>
      <c r="D312" s="102">
        <f t="shared" si="236"/>
        <v>0</v>
      </c>
      <c r="E312" s="102">
        <f t="shared" si="237"/>
        <v>0</v>
      </c>
      <c r="F312" s="102">
        <f t="shared" si="238"/>
        <v>0</v>
      </c>
      <c r="L312" s="100">
        <v>311</v>
      </c>
      <c r="M312" s="131">
        <f t="shared" ca="1" si="239"/>
        <v>55632</v>
      </c>
      <c r="N312" s="102">
        <f t="shared" si="240"/>
        <v>0</v>
      </c>
      <c r="O312" s="102">
        <f t="shared" si="241"/>
        <v>0</v>
      </c>
      <c r="P312" s="102">
        <f t="shared" si="242"/>
        <v>0</v>
      </c>
      <c r="Q312" s="102">
        <f t="shared" si="243"/>
        <v>0</v>
      </c>
      <c r="W312" s="100">
        <v>311</v>
      </c>
      <c r="X312" s="131">
        <f t="shared" ca="1" si="244"/>
        <v>55632</v>
      </c>
      <c r="Y312" s="102">
        <f t="shared" si="245"/>
        <v>0</v>
      </c>
      <c r="Z312" s="102">
        <f t="shared" si="246"/>
        <v>0</v>
      </c>
      <c r="AA312" s="102">
        <f t="shared" si="247"/>
        <v>0</v>
      </c>
      <c r="AB312" s="102">
        <f t="shared" si="248"/>
        <v>0</v>
      </c>
      <c r="AH312" s="100">
        <v>311</v>
      </c>
      <c r="AI312" s="131">
        <f t="shared" ca="1" si="249"/>
        <v>55632</v>
      </c>
      <c r="AJ312" s="102">
        <f t="shared" si="250"/>
        <v>0</v>
      </c>
      <c r="AK312" s="102">
        <f t="shared" si="251"/>
        <v>0</v>
      </c>
      <c r="AL312" s="102">
        <f t="shared" si="252"/>
        <v>0</v>
      </c>
      <c r="AM312" s="102">
        <f t="shared" si="253"/>
        <v>0</v>
      </c>
      <c r="AS312" s="530">
        <v>311</v>
      </c>
      <c r="AT312" s="531">
        <f t="shared" ca="1" si="222"/>
        <v>55632</v>
      </c>
      <c r="AU312" s="532">
        <f ca="1">IF(AU311=0,SUMIFS('Key Life Events'!$L$3:$L$28,'Key Life Events'!$H$3:$H$28,'Loan Amortization'!$AY$3,'Key Life Events'!$N$3:$N$28,'Loan Amortization'!AT312),AU311-AX311)</f>
        <v>0</v>
      </c>
      <c r="AV312" s="532">
        <f t="shared" ca="1" si="223"/>
        <v>0</v>
      </c>
      <c r="AW312" s="532">
        <f t="shared" ca="1" si="190"/>
        <v>0</v>
      </c>
      <c r="AX312" s="532">
        <f t="shared" ca="1" si="197"/>
        <v>0</v>
      </c>
      <c r="BC312" s="536">
        <f t="shared" ca="1" si="198"/>
        <v>2052</v>
      </c>
      <c r="BF312" s="530">
        <v>311</v>
      </c>
      <c r="BG312" s="531">
        <f t="shared" ca="1" si="224"/>
        <v>55632</v>
      </c>
      <c r="BH312" s="532">
        <f ca="1">IF(BH311=0,SUMIFS('Key Life Events'!$L$3:$L$28,'Key Life Events'!$H$3:$H$28,'Loan Amortization'!$BL$3,'Key Life Events'!$N$3:$N$28,'Loan Amortization'!BG312),BH311-BK311)</f>
        <v>0</v>
      </c>
      <c r="BI312" s="532">
        <f t="shared" ca="1" si="225"/>
        <v>0</v>
      </c>
      <c r="BJ312" s="532">
        <f t="shared" ca="1" si="226"/>
        <v>0</v>
      </c>
      <c r="BK312" s="532">
        <f t="shared" ca="1" si="199"/>
        <v>0</v>
      </c>
      <c r="BP312" s="536">
        <f t="shared" ca="1" si="200"/>
        <v>2052</v>
      </c>
      <c r="BQ312" s="535">
        <f ca="1"/>
        <v>0</v>
      </c>
      <c r="BS312" s="530">
        <v>311</v>
      </c>
      <c r="BT312" s="531">
        <f t="shared" ca="1" si="227"/>
        <v>55632</v>
      </c>
      <c r="BU312" s="532">
        <f ca="1">IF(BU311=0,SUMIFS('Key Life Events'!$L$3:$L$28,'Key Life Events'!$H$3:$H$28,'Loan Amortization'!$BY$3,'Key Life Events'!$N$3:$N$28,'Loan Amortization'!BT312),BU311-BX311)</f>
        <v>0</v>
      </c>
      <c r="BV312" s="532">
        <f t="shared" ca="1" si="232"/>
        <v>0</v>
      </c>
      <c r="BW312" s="532">
        <f t="shared" ca="1" si="228"/>
        <v>0</v>
      </c>
      <c r="BX312" s="532">
        <f t="shared" ca="1" si="201"/>
        <v>0</v>
      </c>
      <c r="CC312" s="536">
        <f t="shared" ca="1" si="202"/>
        <v>2052</v>
      </c>
      <c r="CD312" s="535">
        <f ca="1"/>
        <v>0</v>
      </c>
      <c r="CF312" s="530">
        <v>311</v>
      </c>
      <c r="CG312" s="531">
        <f t="shared" ca="1" si="229"/>
        <v>55632</v>
      </c>
      <c r="CH312" s="532">
        <f ca="1">IF(CH311=0,SUMIFS('Key Life Events'!$L$3:$L$28,'Key Life Events'!$H$3:$H$28,'Loan Amortization'!$CL$3,'Key Life Events'!$N$3:$N$28,'Loan Amortization'!CG312),CH311-CK311)</f>
        <v>0</v>
      </c>
      <c r="CI312" s="532">
        <f t="shared" ca="1" si="230"/>
        <v>0</v>
      </c>
      <c r="CJ312" s="532">
        <f t="shared" ca="1" si="231"/>
        <v>0</v>
      </c>
      <c r="CK312" s="532">
        <f t="shared" ca="1" si="203"/>
        <v>0</v>
      </c>
      <c r="CP312" s="536">
        <f t="shared" ca="1" si="204"/>
        <v>2052</v>
      </c>
      <c r="CQ312" s="535">
        <f ca="1"/>
        <v>0</v>
      </c>
      <c r="CS312" s="100">
        <f t="shared" si="257"/>
        <v>311</v>
      </c>
      <c r="CT312" s="102">
        <f t="shared" ca="1" si="258"/>
        <v>0</v>
      </c>
      <c r="CU312" s="102">
        <f t="shared" ca="1" si="259"/>
        <v>0</v>
      </c>
      <c r="CV312" s="511">
        <f t="shared" ca="1" si="208"/>
        <v>2052</v>
      </c>
    </row>
    <row r="313" spans="1:100" x14ac:dyDescent="0.3">
      <c r="A313" s="100">
        <v>312</v>
      </c>
      <c r="B313" s="131">
        <f t="shared" si="234"/>
        <v>8641</v>
      </c>
      <c r="C313" s="102">
        <f t="shared" si="235"/>
        <v>0</v>
      </c>
      <c r="D313" s="102">
        <f t="shared" si="236"/>
        <v>0</v>
      </c>
      <c r="E313" s="102">
        <f t="shared" si="237"/>
        <v>0</v>
      </c>
      <c r="F313" s="102">
        <f t="shared" si="238"/>
        <v>0</v>
      </c>
      <c r="L313" s="100">
        <v>312</v>
      </c>
      <c r="M313" s="131">
        <f t="shared" ca="1" si="239"/>
        <v>55662</v>
      </c>
      <c r="N313" s="102">
        <f t="shared" si="240"/>
        <v>0</v>
      </c>
      <c r="O313" s="102">
        <f t="shared" si="241"/>
        <v>0</v>
      </c>
      <c r="P313" s="102">
        <f t="shared" si="242"/>
        <v>0</v>
      </c>
      <c r="Q313" s="102">
        <f t="shared" si="243"/>
        <v>0</v>
      </c>
      <c r="W313" s="100">
        <v>312</v>
      </c>
      <c r="X313" s="131">
        <f t="shared" ca="1" si="244"/>
        <v>55662</v>
      </c>
      <c r="Y313" s="102">
        <f t="shared" si="245"/>
        <v>0</v>
      </c>
      <c r="Z313" s="102">
        <f t="shared" si="246"/>
        <v>0</v>
      </c>
      <c r="AA313" s="102">
        <f t="shared" si="247"/>
        <v>0</v>
      </c>
      <c r="AB313" s="102">
        <f t="shared" si="248"/>
        <v>0</v>
      </c>
      <c r="AH313" s="100">
        <v>312</v>
      </c>
      <c r="AI313" s="131">
        <f t="shared" ca="1" si="249"/>
        <v>55662</v>
      </c>
      <c r="AJ313" s="102">
        <f t="shared" si="250"/>
        <v>0</v>
      </c>
      <c r="AK313" s="102">
        <f t="shared" si="251"/>
        <v>0</v>
      </c>
      <c r="AL313" s="102">
        <f t="shared" si="252"/>
        <v>0</v>
      </c>
      <c r="AM313" s="102">
        <f t="shared" si="253"/>
        <v>0</v>
      </c>
      <c r="AS313" s="530">
        <v>312</v>
      </c>
      <c r="AT313" s="531">
        <f t="shared" ca="1" si="222"/>
        <v>55662</v>
      </c>
      <c r="AU313" s="532">
        <f ca="1">IF(AU312=0,SUMIFS('Key Life Events'!$L$3:$L$28,'Key Life Events'!$H$3:$H$28,'Loan Amortization'!$AY$3,'Key Life Events'!$N$3:$N$28,'Loan Amortization'!AT313),AU312-AX312)</f>
        <v>0</v>
      </c>
      <c r="AV313" s="532">
        <f t="shared" ca="1" si="223"/>
        <v>0</v>
      </c>
      <c r="AW313" s="532">
        <f t="shared" ca="1" si="190"/>
        <v>0</v>
      </c>
      <c r="AX313" s="532">
        <f t="shared" ca="1" si="197"/>
        <v>0</v>
      </c>
      <c r="BC313" s="536">
        <f t="shared" ca="1" si="198"/>
        <v>2052</v>
      </c>
      <c r="BF313" s="530">
        <v>312</v>
      </c>
      <c r="BG313" s="531">
        <f t="shared" ca="1" si="224"/>
        <v>55662</v>
      </c>
      <c r="BH313" s="532">
        <f ca="1">IF(BH312=0,SUMIFS('Key Life Events'!$L$3:$L$28,'Key Life Events'!$H$3:$H$28,'Loan Amortization'!$BL$3,'Key Life Events'!$N$3:$N$28,'Loan Amortization'!BG313),BH312-BK312)</f>
        <v>0</v>
      </c>
      <c r="BI313" s="532">
        <f t="shared" ca="1" si="225"/>
        <v>0</v>
      </c>
      <c r="BJ313" s="532">
        <f t="shared" ca="1" si="226"/>
        <v>0</v>
      </c>
      <c r="BK313" s="532">
        <f t="shared" ca="1" si="199"/>
        <v>0</v>
      </c>
      <c r="BP313" s="536">
        <f t="shared" ca="1" si="200"/>
        <v>2052</v>
      </c>
      <c r="BQ313" s="535">
        <f ca="1"/>
        <v>0</v>
      </c>
      <c r="BS313" s="530">
        <v>312</v>
      </c>
      <c r="BT313" s="531">
        <f t="shared" ca="1" si="227"/>
        <v>55662</v>
      </c>
      <c r="BU313" s="532">
        <f ca="1">IF(BU312=0,SUMIFS('Key Life Events'!$L$3:$L$28,'Key Life Events'!$H$3:$H$28,'Loan Amortization'!$BY$3,'Key Life Events'!$N$3:$N$28,'Loan Amortization'!BT313),BU312-BX312)</f>
        <v>0</v>
      </c>
      <c r="BV313" s="532">
        <f t="shared" ca="1" si="232"/>
        <v>0</v>
      </c>
      <c r="BW313" s="532">
        <f t="shared" ca="1" si="228"/>
        <v>0</v>
      </c>
      <c r="BX313" s="532">
        <f t="shared" ca="1" si="201"/>
        <v>0</v>
      </c>
      <c r="CC313" s="536">
        <f t="shared" ca="1" si="202"/>
        <v>2052</v>
      </c>
      <c r="CD313" s="535">
        <f ca="1"/>
        <v>0</v>
      </c>
      <c r="CF313" s="530">
        <v>312</v>
      </c>
      <c r="CG313" s="531">
        <f t="shared" ca="1" si="229"/>
        <v>55662</v>
      </c>
      <c r="CH313" s="532">
        <f ca="1">IF(CH312=0,SUMIFS('Key Life Events'!$L$3:$L$28,'Key Life Events'!$H$3:$H$28,'Loan Amortization'!$CL$3,'Key Life Events'!$N$3:$N$28,'Loan Amortization'!CG313),CH312-CK312)</f>
        <v>0</v>
      </c>
      <c r="CI313" s="532">
        <f t="shared" ca="1" si="230"/>
        <v>0</v>
      </c>
      <c r="CJ313" s="532">
        <f t="shared" ca="1" si="231"/>
        <v>0</v>
      </c>
      <c r="CK313" s="532">
        <f t="shared" ca="1" si="203"/>
        <v>0</v>
      </c>
      <c r="CP313" s="536">
        <f t="shared" ca="1" si="204"/>
        <v>2052</v>
      </c>
      <c r="CQ313" s="535">
        <f ca="1"/>
        <v>0</v>
      </c>
      <c r="CS313" s="100">
        <f t="shared" si="257"/>
        <v>312</v>
      </c>
      <c r="CT313" s="102">
        <f t="shared" ca="1" si="258"/>
        <v>0</v>
      </c>
      <c r="CU313" s="102">
        <f t="shared" ca="1" si="259"/>
        <v>0</v>
      </c>
      <c r="CV313" s="511">
        <f t="shared" ca="1" si="208"/>
        <v>2052</v>
      </c>
    </row>
    <row r="314" spans="1:100" x14ac:dyDescent="0.3">
      <c r="A314" s="100">
        <v>313</v>
      </c>
      <c r="B314" s="131">
        <f t="shared" si="234"/>
        <v>8672</v>
      </c>
      <c r="C314" s="102">
        <f t="shared" si="235"/>
        <v>0</v>
      </c>
      <c r="D314" s="102">
        <f t="shared" si="236"/>
        <v>0</v>
      </c>
      <c r="E314" s="102">
        <f t="shared" si="237"/>
        <v>0</v>
      </c>
      <c r="F314" s="102">
        <f t="shared" si="238"/>
        <v>0</v>
      </c>
      <c r="L314" s="100">
        <v>313</v>
      </c>
      <c r="M314" s="131">
        <f t="shared" ca="1" si="239"/>
        <v>55693</v>
      </c>
      <c r="N314" s="102">
        <f t="shared" si="240"/>
        <v>0</v>
      </c>
      <c r="O314" s="102">
        <f t="shared" si="241"/>
        <v>0</v>
      </c>
      <c r="P314" s="102">
        <f t="shared" si="242"/>
        <v>0</v>
      </c>
      <c r="Q314" s="102">
        <f t="shared" si="243"/>
        <v>0</v>
      </c>
      <c r="W314" s="100">
        <v>313</v>
      </c>
      <c r="X314" s="131">
        <f t="shared" ca="1" si="244"/>
        <v>55693</v>
      </c>
      <c r="Y314" s="102">
        <f t="shared" si="245"/>
        <v>0</v>
      </c>
      <c r="Z314" s="102">
        <f t="shared" si="246"/>
        <v>0</v>
      </c>
      <c r="AA314" s="102">
        <f t="shared" si="247"/>
        <v>0</v>
      </c>
      <c r="AB314" s="102">
        <f t="shared" si="248"/>
        <v>0</v>
      </c>
      <c r="AH314" s="100">
        <v>313</v>
      </c>
      <c r="AI314" s="131">
        <f t="shared" ca="1" si="249"/>
        <v>55693</v>
      </c>
      <c r="AJ314" s="102">
        <f t="shared" si="250"/>
        <v>0</v>
      </c>
      <c r="AK314" s="102">
        <f t="shared" si="251"/>
        <v>0</v>
      </c>
      <c r="AL314" s="102">
        <f t="shared" si="252"/>
        <v>0</v>
      </c>
      <c r="AM314" s="102">
        <f t="shared" si="253"/>
        <v>0</v>
      </c>
      <c r="AS314" s="530">
        <v>313</v>
      </c>
      <c r="AT314" s="531">
        <f t="shared" ca="1" si="222"/>
        <v>55693</v>
      </c>
      <c r="AU314" s="532">
        <f ca="1">IF(AU313=0,SUMIFS('Key Life Events'!$L$3:$L$28,'Key Life Events'!$H$3:$H$28,'Loan Amortization'!$AY$3,'Key Life Events'!$N$3:$N$28,'Loan Amortization'!AT314),AU313-AX313)</f>
        <v>0</v>
      </c>
      <c r="AV314" s="532">
        <f t="shared" ca="1" si="223"/>
        <v>0</v>
      </c>
      <c r="AW314" s="532">
        <f t="shared" ca="1" si="190"/>
        <v>0</v>
      </c>
      <c r="AX314" s="532">
        <f t="shared" ca="1" si="197"/>
        <v>0</v>
      </c>
      <c r="BC314" s="536">
        <f t="shared" ca="1" si="198"/>
        <v>2052</v>
      </c>
      <c r="BF314" s="530">
        <v>313</v>
      </c>
      <c r="BG314" s="531">
        <f t="shared" ca="1" si="224"/>
        <v>55693</v>
      </c>
      <c r="BH314" s="532">
        <f ca="1">IF(BH313=0,SUMIFS('Key Life Events'!$L$3:$L$28,'Key Life Events'!$H$3:$H$28,'Loan Amortization'!$BL$3,'Key Life Events'!$N$3:$N$28,'Loan Amortization'!BG314),BH313-BK313)</f>
        <v>0</v>
      </c>
      <c r="BI314" s="532">
        <f t="shared" ca="1" si="225"/>
        <v>0</v>
      </c>
      <c r="BJ314" s="532">
        <f t="shared" ca="1" si="226"/>
        <v>0</v>
      </c>
      <c r="BK314" s="532">
        <f t="shared" ca="1" si="199"/>
        <v>0</v>
      </c>
      <c r="BP314" s="536">
        <f t="shared" ca="1" si="200"/>
        <v>2052</v>
      </c>
      <c r="BQ314" s="535">
        <f ca="1"/>
        <v>0</v>
      </c>
      <c r="BS314" s="530">
        <v>313</v>
      </c>
      <c r="BT314" s="531">
        <f t="shared" ca="1" si="227"/>
        <v>55693</v>
      </c>
      <c r="BU314" s="532">
        <f ca="1">IF(BU313=0,SUMIFS('Key Life Events'!$L$3:$L$28,'Key Life Events'!$H$3:$H$28,'Loan Amortization'!$BY$3,'Key Life Events'!$N$3:$N$28,'Loan Amortization'!BT314),BU313-BX313)</f>
        <v>0</v>
      </c>
      <c r="BV314" s="532">
        <f t="shared" ca="1" si="232"/>
        <v>0</v>
      </c>
      <c r="BW314" s="532">
        <f t="shared" ca="1" si="228"/>
        <v>0</v>
      </c>
      <c r="BX314" s="532">
        <f t="shared" ca="1" si="201"/>
        <v>0</v>
      </c>
      <c r="CC314" s="536">
        <f t="shared" ca="1" si="202"/>
        <v>2052</v>
      </c>
      <c r="CD314" s="535">
        <f ca="1"/>
        <v>0</v>
      </c>
      <c r="CF314" s="530">
        <v>313</v>
      </c>
      <c r="CG314" s="531">
        <f t="shared" ca="1" si="229"/>
        <v>55693</v>
      </c>
      <c r="CH314" s="532">
        <f ca="1">IF(CH313=0,SUMIFS('Key Life Events'!$L$3:$L$28,'Key Life Events'!$H$3:$H$28,'Loan Amortization'!$CL$3,'Key Life Events'!$N$3:$N$28,'Loan Amortization'!CG314),CH313-CK313)</f>
        <v>0</v>
      </c>
      <c r="CI314" s="532">
        <f t="shared" ca="1" si="230"/>
        <v>0</v>
      </c>
      <c r="CJ314" s="532">
        <f t="shared" ca="1" si="231"/>
        <v>0</v>
      </c>
      <c r="CK314" s="532">
        <f t="shared" ca="1" si="203"/>
        <v>0</v>
      </c>
      <c r="CP314" s="536">
        <f t="shared" ca="1" si="204"/>
        <v>2052</v>
      </c>
      <c r="CQ314" s="535">
        <f ca="1"/>
        <v>0</v>
      </c>
      <c r="CS314" s="100">
        <f t="shared" si="257"/>
        <v>313</v>
      </c>
      <c r="CT314" s="102">
        <f t="shared" ca="1" si="258"/>
        <v>0</v>
      </c>
      <c r="CU314" s="102">
        <f t="shared" ca="1" si="259"/>
        <v>0</v>
      </c>
      <c r="CV314" s="511">
        <f t="shared" ca="1" si="208"/>
        <v>2052</v>
      </c>
    </row>
    <row r="315" spans="1:100" x14ac:dyDescent="0.3">
      <c r="A315" s="100">
        <v>314</v>
      </c>
      <c r="B315" s="131">
        <f t="shared" si="234"/>
        <v>8702</v>
      </c>
      <c r="C315" s="102">
        <f t="shared" si="235"/>
        <v>0</v>
      </c>
      <c r="D315" s="102">
        <f t="shared" si="236"/>
        <v>0</v>
      </c>
      <c r="E315" s="102">
        <f t="shared" si="237"/>
        <v>0</v>
      </c>
      <c r="F315" s="102">
        <f t="shared" si="238"/>
        <v>0</v>
      </c>
      <c r="L315" s="100">
        <v>314</v>
      </c>
      <c r="M315" s="131">
        <f t="shared" ca="1" si="239"/>
        <v>55723</v>
      </c>
      <c r="N315" s="102">
        <f t="shared" si="240"/>
        <v>0</v>
      </c>
      <c r="O315" s="102">
        <f t="shared" si="241"/>
        <v>0</v>
      </c>
      <c r="P315" s="102">
        <f t="shared" si="242"/>
        <v>0</v>
      </c>
      <c r="Q315" s="102">
        <f t="shared" si="243"/>
        <v>0</v>
      </c>
      <c r="W315" s="100">
        <v>314</v>
      </c>
      <c r="X315" s="131">
        <f t="shared" ca="1" si="244"/>
        <v>55723</v>
      </c>
      <c r="Y315" s="102">
        <f t="shared" si="245"/>
        <v>0</v>
      </c>
      <c r="Z315" s="102">
        <f t="shared" si="246"/>
        <v>0</v>
      </c>
      <c r="AA315" s="102">
        <f t="shared" si="247"/>
        <v>0</v>
      </c>
      <c r="AB315" s="102">
        <f t="shared" si="248"/>
        <v>0</v>
      </c>
      <c r="AH315" s="100">
        <v>314</v>
      </c>
      <c r="AI315" s="131">
        <f t="shared" ca="1" si="249"/>
        <v>55723</v>
      </c>
      <c r="AJ315" s="102">
        <f t="shared" si="250"/>
        <v>0</v>
      </c>
      <c r="AK315" s="102">
        <f t="shared" si="251"/>
        <v>0</v>
      </c>
      <c r="AL315" s="102">
        <f t="shared" si="252"/>
        <v>0</v>
      </c>
      <c r="AM315" s="102">
        <f t="shared" si="253"/>
        <v>0</v>
      </c>
      <c r="AS315" s="530">
        <v>314</v>
      </c>
      <c r="AT315" s="531">
        <f t="shared" ca="1" si="222"/>
        <v>55723</v>
      </c>
      <c r="AU315" s="532">
        <f ca="1">IF(AU314=0,SUMIFS('Key Life Events'!$L$3:$L$28,'Key Life Events'!$H$3:$H$28,'Loan Amortization'!$AY$3,'Key Life Events'!$N$3:$N$28,'Loan Amortization'!AT315),AU314-AX314)</f>
        <v>0</v>
      </c>
      <c r="AV315" s="532">
        <f t="shared" ca="1" si="223"/>
        <v>0</v>
      </c>
      <c r="AW315" s="532">
        <f t="shared" ca="1" si="190"/>
        <v>0</v>
      </c>
      <c r="AX315" s="532">
        <f t="shared" ca="1" si="197"/>
        <v>0</v>
      </c>
      <c r="BC315" s="536">
        <f t="shared" ca="1" si="198"/>
        <v>2052</v>
      </c>
      <c r="BF315" s="530">
        <v>314</v>
      </c>
      <c r="BG315" s="531">
        <f t="shared" ca="1" si="224"/>
        <v>55723</v>
      </c>
      <c r="BH315" s="532">
        <f ca="1">IF(BH314=0,SUMIFS('Key Life Events'!$L$3:$L$28,'Key Life Events'!$H$3:$H$28,'Loan Amortization'!$BL$3,'Key Life Events'!$N$3:$N$28,'Loan Amortization'!BG315),BH314-BK314)</f>
        <v>0</v>
      </c>
      <c r="BI315" s="532">
        <f t="shared" ca="1" si="225"/>
        <v>0</v>
      </c>
      <c r="BJ315" s="532">
        <f t="shared" ca="1" si="226"/>
        <v>0</v>
      </c>
      <c r="BK315" s="532">
        <f t="shared" ca="1" si="199"/>
        <v>0</v>
      </c>
      <c r="BP315" s="536">
        <f t="shared" ca="1" si="200"/>
        <v>2052</v>
      </c>
      <c r="BQ315" s="535">
        <f ca="1"/>
        <v>0</v>
      </c>
      <c r="BS315" s="530">
        <v>314</v>
      </c>
      <c r="BT315" s="531">
        <f t="shared" ca="1" si="227"/>
        <v>55723</v>
      </c>
      <c r="BU315" s="532">
        <f ca="1">IF(BU314=0,SUMIFS('Key Life Events'!$L$3:$L$28,'Key Life Events'!$H$3:$H$28,'Loan Amortization'!$BY$3,'Key Life Events'!$N$3:$N$28,'Loan Amortization'!BT315),BU314-BX314)</f>
        <v>0</v>
      </c>
      <c r="BV315" s="532">
        <f t="shared" ca="1" si="232"/>
        <v>0</v>
      </c>
      <c r="BW315" s="532">
        <f t="shared" ca="1" si="228"/>
        <v>0</v>
      </c>
      <c r="BX315" s="532">
        <f t="shared" ca="1" si="201"/>
        <v>0</v>
      </c>
      <c r="CC315" s="536">
        <f t="shared" ca="1" si="202"/>
        <v>2052</v>
      </c>
      <c r="CD315" s="535">
        <f ca="1"/>
        <v>0</v>
      </c>
      <c r="CF315" s="530">
        <v>314</v>
      </c>
      <c r="CG315" s="531">
        <f t="shared" ca="1" si="229"/>
        <v>55723</v>
      </c>
      <c r="CH315" s="532">
        <f ca="1">IF(CH314=0,SUMIFS('Key Life Events'!$L$3:$L$28,'Key Life Events'!$H$3:$H$28,'Loan Amortization'!$CL$3,'Key Life Events'!$N$3:$N$28,'Loan Amortization'!CG315),CH314-CK314)</f>
        <v>0</v>
      </c>
      <c r="CI315" s="532">
        <f t="shared" ca="1" si="230"/>
        <v>0</v>
      </c>
      <c r="CJ315" s="532">
        <f t="shared" ca="1" si="231"/>
        <v>0</v>
      </c>
      <c r="CK315" s="532">
        <f t="shared" ca="1" si="203"/>
        <v>0</v>
      </c>
      <c r="CP315" s="536">
        <f t="shared" ca="1" si="204"/>
        <v>2052</v>
      </c>
      <c r="CQ315" s="535">
        <f ca="1"/>
        <v>0</v>
      </c>
      <c r="CS315" s="100">
        <f t="shared" si="257"/>
        <v>314</v>
      </c>
      <c r="CT315" s="102">
        <f t="shared" ca="1" si="258"/>
        <v>0</v>
      </c>
      <c r="CU315" s="102">
        <f t="shared" ca="1" si="259"/>
        <v>0</v>
      </c>
      <c r="CV315" s="511">
        <f t="shared" ca="1" si="208"/>
        <v>2052</v>
      </c>
    </row>
    <row r="316" spans="1:100" x14ac:dyDescent="0.3">
      <c r="A316" s="100">
        <v>315</v>
      </c>
      <c r="B316" s="131">
        <f t="shared" si="234"/>
        <v>8733</v>
      </c>
      <c r="C316" s="102">
        <f t="shared" si="235"/>
        <v>0</v>
      </c>
      <c r="D316" s="102">
        <f t="shared" si="236"/>
        <v>0</v>
      </c>
      <c r="E316" s="102">
        <f t="shared" si="237"/>
        <v>0</v>
      </c>
      <c r="F316" s="102">
        <f t="shared" si="238"/>
        <v>0</v>
      </c>
      <c r="L316" s="100">
        <v>315</v>
      </c>
      <c r="M316" s="131">
        <f t="shared" ca="1" si="239"/>
        <v>55754</v>
      </c>
      <c r="N316" s="102">
        <f t="shared" si="240"/>
        <v>0</v>
      </c>
      <c r="O316" s="102">
        <f t="shared" si="241"/>
        <v>0</v>
      </c>
      <c r="P316" s="102">
        <f t="shared" si="242"/>
        <v>0</v>
      </c>
      <c r="Q316" s="102">
        <f t="shared" si="243"/>
        <v>0</v>
      </c>
      <c r="W316" s="100">
        <v>315</v>
      </c>
      <c r="X316" s="131">
        <f t="shared" ca="1" si="244"/>
        <v>55754</v>
      </c>
      <c r="Y316" s="102">
        <f t="shared" si="245"/>
        <v>0</v>
      </c>
      <c r="Z316" s="102">
        <f t="shared" si="246"/>
        <v>0</v>
      </c>
      <c r="AA316" s="102">
        <f t="shared" si="247"/>
        <v>0</v>
      </c>
      <c r="AB316" s="102">
        <f t="shared" si="248"/>
        <v>0</v>
      </c>
      <c r="AH316" s="100">
        <v>315</v>
      </c>
      <c r="AI316" s="131">
        <f t="shared" ca="1" si="249"/>
        <v>55754</v>
      </c>
      <c r="AJ316" s="102">
        <f t="shared" si="250"/>
        <v>0</v>
      </c>
      <c r="AK316" s="102">
        <f t="shared" si="251"/>
        <v>0</v>
      </c>
      <c r="AL316" s="102">
        <f t="shared" si="252"/>
        <v>0</v>
      </c>
      <c r="AM316" s="102">
        <f t="shared" si="253"/>
        <v>0</v>
      </c>
      <c r="AS316" s="530">
        <v>315</v>
      </c>
      <c r="AT316" s="531">
        <f t="shared" ca="1" si="222"/>
        <v>55754</v>
      </c>
      <c r="AU316" s="532">
        <f ca="1">IF(AU315=0,SUMIFS('Key Life Events'!$L$3:$L$28,'Key Life Events'!$H$3:$H$28,'Loan Amortization'!$AY$3,'Key Life Events'!$N$3:$N$28,'Loan Amortization'!AT316),AU315-AX315)</f>
        <v>0</v>
      </c>
      <c r="AV316" s="532">
        <f t="shared" ca="1" si="223"/>
        <v>0</v>
      </c>
      <c r="AW316" s="532">
        <f t="shared" ca="1" si="190"/>
        <v>0</v>
      </c>
      <c r="AX316" s="532">
        <f t="shared" ca="1" si="197"/>
        <v>0</v>
      </c>
      <c r="BC316" s="536">
        <f t="shared" ca="1" si="198"/>
        <v>2052</v>
      </c>
      <c r="BF316" s="530">
        <v>315</v>
      </c>
      <c r="BG316" s="531">
        <f t="shared" ca="1" si="224"/>
        <v>55754</v>
      </c>
      <c r="BH316" s="532">
        <f ca="1">IF(BH315=0,SUMIFS('Key Life Events'!$L$3:$L$28,'Key Life Events'!$H$3:$H$28,'Loan Amortization'!$BL$3,'Key Life Events'!$N$3:$N$28,'Loan Amortization'!BG316),BH315-BK315)</f>
        <v>0</v>
      </c>
      <c r="BI316" s="532">
        <f t="shared" ca="1" si="225"/>
        <v>0</v>
      </c>
      <c r="BJ316" s="532">
        <f t="shared" ca="1" si="226"/>
        <v>0</v>
      </c>
      <c r="BK316" s="532">
        <f t="shared" ca="1" si="199"/>
        <v>0</v>
      </c>
      <c r="BP316" s="536">
        <f t="shared" ca="1" si="200"/>
        <v>2052</v>
      </c>
      <c r="BQ316" s="535">
        <f ca="1"/>
        <v>0</v>
      </c>
      <c r="BS316" s="530">
        <v>315</v>
      </c>
      <c r="BT316" s="531">
        <f t="shared" ca="1" si="227"/>
        <v>55754</v>
      </c>
      <c r="BU316" s="532">
        <f ca="1">IF(BU315=0,SUMIFS('Key Life Events'!$L$3:$L$28,'Key Life Events'!$H$3:$H$28,'Loan Amortization'!$BY$3,'Key Life Events'!$N$3:$N$28,'Loan Amortization'!BT316),BU315-BX315)</f>
        <v>0</v>
      </c>
      <c r="BV316" s="532">
        <f t="shared" ca="1" si="232"/>
        <v>0</v>
      </c>
      <c r="BW316" s="532">
        <f t="shared" ca="1" si="228"/>
        <v>0</v>
      </c>
      <c r="BX316" s="532">
        <f t="shared" ca="1" si="201"/>
        <v>0</v>
      </c>
      <c r="CC316" s="536">
        <f t="shared" ca="1" si="202"/>
        <v>2052</v>
      </c>
      <c r="CD316" s="535">
        <f ca="1"/>
        <v>0</v>
      </c>
      <c r="CF316" s="530">
        <v>315</v>
      </c>
      <c r="CG316" s="531">
        <f t="shared" ca="1" si="229"/>
        <v>55754</v>
      </c>
      <c r="CH316" s="532">
        <f ca="1">IF(CH315=0,SUMIFS('Key Life Events'!$L$3:$L$28,'Key Life Events'!$H$3:$H$28,'Loan Amortization'!$CL$3,'Key Life Events'!$N$3:$N$28,'Loan Amortization'!CG316),CH315-CK315)</f>
        <v>0</v>
      </c>
      <c r="CI316" s="532">
        <f t="shared" ca="1" si="230"/>
        <v>0</v>
      </c>
      <c r="CJ316" s="532">
        <f t="shared" ca="1" si="231"/>
        <v>0</v>
      </c>
      <c r="CK316" s="532">
        <f t="shared" ca="1" si="203"/>
        <v>0</v>
      </c>
      <c r="CP316" s="536">
        <f t="shared" ca="1" si="204"/>
        <v>2052</v>
      </c>
      <c r="CQ316" s="535">
        <f ca="1"/>
        <v>0</v>
      </c>
      <c r="CS316" s="100">
        <f t="shared" si="257"/>
        <v>315</v>
      </c>
      <c r="CT316" s="102">
        <f t="shared" ca="1" si="258"/>
        <v>0</v>
      </c>
      <c r="CU316" s="102">
        <f t="shared" ca="1" si="259"/>
        <v>0</v>
      </c>
      <c r="CV316" s="511">
        <f t="shared" ca="1" si="208"/>
        <v>2052</v>
      </c>
    </row>
    <row r="317" spans="1:100" x14ac:dyDescent="0.3">
      <c r="A317" s="100">
        <v>316</v>
      </c>
      <c r="B317" s="131">
        <f t="shared" si="234"/>
        <v>8763</v>
      </c>
      <c r="C317" s="102">
        <f t="shared" si="235"/>
        <v>0</v>
      </c>
      <c r="D317" s="102">
        <f t="shared" si="236"/>
        <v>0</v>
      </c>
      <c r="E317" s="102">
        <f t="shared" si="237"/>
        <v>0</v>
      </c>
      <c r="F317" s="102">
        <f t="shared" si="238"/>
        <v>0</v>
      </c>
      <c r="L317" s="100">
        <v>316</v>
      </c>
      <c r="M317" s="131">
        <f t="shared" ca="1" si="239"/>
        <v>55785</v>
      </c>
      <c r="N317" s="102">
        <f t="shared" si="240"/>
        <v>0</v>
      </c>
      <c r="O317" s="102">
        <f t="shared" si="241"/>
        <v>0</v>
      </c>
      <c r="P317" s="102">
        <f t="shared" si="242"/>
        <v>0</v>
      </c>
      <c r="Q317" s="102">
        <f t="shared" si="243"/>
        <v>0</v>
      </c>
      <c r="W317" s="100">
        <v>316</v>
      </c>
      <c r="X317" s="131">
        <f t="shared" ca="1" si="244"/>
        <v>55785</v>
      </c>
      <c r="Y317" s="102">
        <f t="shared" si="245"/>
        <v>0</v>
      </c>
      <c r="Z317" s="102">
        <f t="shared" si="246"/>
        <v>0</v>
      </c>
      <c r="AA317" s="102">
        <f t="shared" si="247"/>
        <v>0</v>
      </c>
      <c r="AB317" s="102">
        <f t="shared" si="248"/>
        <v>0</v>
      </c>
      <c r="AH317" s="100">
        <v>316</v>
      </c>
      <c r="AI317" s="131">
        <f t="shared" ca="1" si="249"/>
        <v>55785</v>
      </c>
      <c r="AJ317" s="102">
        <f t="shared" si="250"/>
        <v>0</v>
      </c>
      <c r="AK317" s="102">
        <f t="shared" si="251"/>
        <v>0</v>
      </c>
      <c r="AL317" s="102">
        <f t="shared" si="252"/>
        <v>0</v>
      </c>
      <c r="AM317" s="102">
        <f t="shared" si="253"/>
        <v>0</v>
      </c>
      <c r="AS317" s="530">
        <v>316</v>
      </c>
      <c r="AT317" s="531">
        <f t="shared" ca="1" si="222"/>
        <v>55785</v>
      </c>
      <c r="AU317" s="532">
        <f ca="1">IF(AU316=0,SUMIFS('Key Life Events'!$L$3:$L$28,'Key Life Events'!$H$3:$H$28,'Loan Amortization'!$AY$3,'Key Life Events'!$N$3:$N$28,'Loan Amortization'!AT317),AU316-AX316)</f>
        <v>0</v>
      </c>
      <c r="AV317" s="532">
        <f t="shared" ca="1" si="223"/>
        <v>0</v>
      </c>
      <c r="AW317" s="532">
        <f t="shared" ca="1" si="190"/>
        <v>0</v>
      </c>
      <c r="AX317" s="532">
        <f t="shared" ca="1" si="197"/>
        <v>0</v>
      </c>
      <c r="BC317" s="536">
        <f t="shared" ca="1" si="198"/>
        <v>2052</v>
      </c>
      <c r="BF317" s="530">
        <v>316</v>
      </c>
      <c r="BG317" s="531">
        <f t="shared" ca="1" si="224"/>
        <v>55785</v>
      </c>
      <c r="BH317" s="532">
        <f ca="1">IF(BH316=0,SUMIFS('Key Life Events'!$L$3:$L$28,'Key Life Events'!$H$3:$H$28,'Loan Amortization'!$BL$3,'Key Life Events'!$N$3:$N$28,'Loan Amortization'!BG317),BH316-BK316)</f>
        <v>0</v>
      </c>
      <c r="BI317" s="532">
        <f t="shared" ca="1" si="225"/>
        <v>0</v>
      </c>
      <c r="BJ317" s="532">
        <f t="shared" ca="1" si="226"/>
        <v>0</v>
      </c>
      <c r="BK317" s="532">
        <f t="shared" ca="1" si="199"/>
        <v>0</v>
      </c>
      <c r="BP317" s="536">
        <f t="shared" ca="1" si="200"/>
        <v>2052</v>
      </c>
      <c r="BQ317" s="535">
        <f ca="1"/>
        <v>0</v>
      </c>
      <c r="BS317" s="530">
        <v>316</v>
      </c>
      <c r="BT317" s="531">
        <f t="shared" ca="1" si="227"/>
        <v>55785</v>
      </c>
      <c r="BU317" s="532">
        <f ca="1">IF(BU316=0,SUMIFS('Key Life Events'!$L$3:$L$28,'Key Life Events'!$H$3:$H$28,'Loan Amortization'!$BY$3,'Key Life Events'!$N$3:$N$28,'Loan Amortization'!BT317),BU316-BX316)</f>
        <v>0</v>
      </c>
      <c r="BV317" s="532">
        <f t="shared" ca="1" si="232"/>
        <v>0</v>
      </c>
      <c r="BW317" s="532">
        <f t="shared" ca="1" si="228"/>
        <v>0</v>
      </c>
      <c r="BX317" s="532">
        <f t="shared" ca="1" si="201"/>
        <v>0</v>
      </c>
      <c r="CC317" s="536">
        <f t="shared" ca="1" si="202"/>
        <v>2052</v>
      </c>
      <c r="CD317" s="535">
        <f ca="1"/>
        <v>0</v>
      </c>
      <c r="CF317" s="530">
        <v>316</v>
      </c>
      <c r="CG317" s="531">
        <f t="shared" ca="1" si="229"/>
        <v>55785</v>
      </c>
      <c r="CH317" s="532">
        <f ca="1">IF(CH316=0,SUMIFS('Key Life Events'!$L$3:$L$28,'Key Life Events'!$H$3:$H$28,'Loan Amortization'!$CL$3,'Key Life Events'!$N$3:$N$28,'Loan Amortization'!CG317),CH316-CK316)</f>
        <v>0</v>
      </c>
      <c r="CI317" s="532">
        <f t="shared" ca="1" si="230"/>
        <v>0</v>
      </c>
      <c r="CJ317" s="532">
        <f t="shared" ca="1" si="231"/>
        <v>0</v>
      </c>
      <c r="CK317" s="532">
        <f t="shared" ca="1" si="203"/>
        <v>0</v>
      </c>
      <c r="CP317" s="536">
        <f t="shared" ca="1" si="204"/>
        <v>2052</v>
      </c>
      <c r="CQ317" s="535">
        <f ca="1"/>
        <v>0</v>
      </c>
      <c r="CS317" s="100">
        <f t="shared" si="257"/>
        <v>316</v>
      </c>
      <c r="CT317" s="102">
        <f t="shared" ca="1" si="258"/>
        <v>0</v>
      </c>
      <c r="CU317" s="102">
        <f t="shared" ca="1" si="259"/>
        <v>0</v>
      </c>
      <c r="CV317" s="511">
        <f t="shared" ca="1" si="208"/>
        <v>2052</v>
      </c>
    </row>
    <row r="318" spans="1:100" x14ac:dyDescent="0.3">
      <c r="A318" s="100">
        <v>317</v>
      </c>
      <c r="B318" s="131">
        <f t="shared" si="234"/>
        <v>8794</v>
      </c>
      <c r="C318" s="102">
        <f t="shared" si="235"/>
        <v>0</v>
      </c>
      <c r="D318" s="102">
        <f t="shared" si="236"/>
        <v>0</v>
      </c>
      <c r="E318" s="102">
        <f t="shared" si="237"/>
        <v>0</v>
      </c>
      <c r="F318" s="102">
        <f t="shared" si="238"/>
        <v>0</v>
      </c>
      <c r="L318" s="100">
        <v>317</v>
      </c>
      <c r="M318" s="131">
        <f t="shared" ca="1" si="239"/>
        <v>55815</v>
      </c>
      <c r="N318" s="102">
        <f t="shared" si="240"/>
        <v>0</v>
      </c>
      <c r="O318" s="102">
        <f t="shared" si="241"/>
        <v>0</v>
      </c>
      <c r="P318" s="102">
        <f t="shared" si="242"/>
        <v>0</v>
      </c>
      <c r="Q318" s="102">
        <f t="shared" si="243"/>
        <v>0</v>
      </c>
      <c r="W318" s="100">
        <v>317</v>
      </c>
      <c r="X318" s="131">
        <f t="shared" ca="1" si="244"/>
        <v>55815</v>
      </c>
      <c r="Y318" s="102">
        <f t="shared" si="245"/>
        <v>0</v>
      </c>
      <c r="Z318" s="102">
        <f t="shared" si="246"/>
        <v>0</v>
      </c>
      <c r="AA318" s="102">
        <f t="shared" si="247"/>
        <v>0</v>
      </c>
      <c r="AB318" s="102">
        <f t="shared" si="248"/>
        <v>0</v>
      </c>
      <c r="AH318" s="100">
        <v>317</v>
      </c>
      <c r="AI318" s="131">
        <f t="shared" ca="1" si="249"/>
        <v>55815</v>
      </c>
      <c r="AJ318" s="102">
        <f t="shared" si="250"/>
        <v>0</v>
      </c>
      <c r="AK318" s="102">
        <f t="shared" si="251"/>
        <v>0</v>
      </c>
      <c r="AL318" s="102">
        <f t="shared" si="252"/>
        <v>0</v>
      </c>
      <c r="AM318" s="102">
        <f t="shared" si="253"/>
        <v>0</v>
      </c>
      <c r="AS318" s="530">
        <v>317</v>
      </c>
      <c r="AT318" s="531">
        <f t="shared" ca="1" si="222"/>
        <v>55815</v>
      </c>
      <c r="AU318" s="532">
        <f ca="1">IF(AU317=0,SUMIFS('Key Life Events'!$L$3:$L$28,'Key Life Events'!$H$3:$H$28,'Loan Amortization'!$AY$3,'Key Life Events'!$N$3:$N$28,'Loan Amortization'!AT318),AU317-AX317)</f>
        <v>0</v>
      </c>
      <c r="AV318" s="532">
        <f t="shared" ca="1" si="223"/>
        <v>0</v>
      </c>
      <c r="AW318" s="532">
        <f t="shared" ca="1" si="190"/>
        <v>0</v>
      </c>
      <c r="AX318" s="532">
        <f t="shared" ca="1" si="197"/>
        <v>0</v>
      </c>
      <c r="BC318" s="536">
        <f t="shared" ca="1" si="198"/>
        <v>2052</v>
      </c>
      <c r="BF318" s="530">
        <v>317</v>
      </c>
      <c r="BG318" s="531">
        <f t="shared" ca="1" si="224"/>
        <v>55815</v>
      </c>
      <c r="BH318" s="532">
        <f ca="1">IF(BH317=0,SUMIFS('Key Life Events'!$L$3:$L$28,'Key Life Events'!$H$3:$H$28,'Loan Amortization'!$BL$3,'Key Life Events'!$N$3:$N$28,'Loan Amortization'!BG318),BH317-BK317)</f>
        <v>0</v>
      </c>
      <c r="BI318" s="532">
        <f t="shared" ca="1" si="225"/>
        <v>0</v>
      </c>
      <c r="BJ318" s="532">
        <f t="shared" ca="1" si="226"/>
        <v>0</v>
      </c>
      <c r="BK318" s="532">
        <f t="shared" ca="1" si="199"/>
        <v>0</v>
      </c>
      <c r="BP318" s="536">
        <f t="shared" ca="1" si="200"/>
        <v>2052</v>
      </c>
      <c r="BQ318" s="535">
        <f ca="1"/>
        <v>0</v>
      </c>
      <c r="BS318" s="530">
        <v>317</v>
      </c>
      <c r="BT318" s="531">
        <f t="shared" ca="1" si="227"/>
        <v>55815</v>
      </c>
      <c r="BU318" s="532">
        <f ca="1">IF(BU317=0,SUMIFS('Key Life Events'!$L$3:$L$28,'Key Life Events'!$H$3:$H$28,'Loan Amortization'!$BY$3,'Key Life Events'!$N$3:$N$28,'Loan Amortization'!BT318),BU317-BX317)</f>
        <v>0</v>
      </c>
      <c r="BV318" s="532">
        <f t="shared" ca="1" si="232"/>
        <v>0</v>
      </c>
      <c r="BW318" s="532">
        <f t="shared" ca="1" si="228"/>
        <v>0</v>
      </c>
      <c r="BX318" s="532">
        <f t="shared" ca="1" si="201"/>
        <v>0</v>
      </c>
      <c r="CC318" s="536">
        <f t="shared" ca="1" si="202"/>
        <v>2052</v>
      </c>
      <c r="CD318" s="535">
        <f ca="1"/>
        <v>0</v>
      </c>
      <c r="CF318" s="530">
        <v>317</v>
      </c>
      <c r="CG318" s="531">
        <f t="shared" ca="1" si="229"/>
        <v>55815</v>
      </c>
      <c r="CH318" s="532">
        <f ca="1">IF(CH317=0,SUMIFS('Key Life Events'!$L$3:$L$28,'Key Life Events'!$H$3:$H$28,'Loan Amortization'!$CL$3,'Key Life Events'!$N$3:$N$28,'Loan Amortization'!CG318),CH317-CK317)</f>
        <v>0</v>
      </c>
      <c r="CI318" s="532">
        <f t="shared" ca="1" si="230"/>
        <v>0</v>
      </c>
      <c r="CJ318" s="532">
        <f t="shared" ca="1" si="231"/>
        <v>0</v>
      </c>
      <c r="CK318" s="532">
        <f t="shared" ca="1" si="203"/>
        <v>0</v>
      </c>
      <c r="CP318" s="536">
        <f t="shared" ca="1" si="204"/>
        <v>2052</v>
      </c>
      <c r="CQ318" s="535">
        <f ca="1"/>
        <v>0</v>
      </c>
      <c r="CS318" s="100">
        <f t="shared" si="257"/>
        <v>317</v>
      </c>
      <c r="CT318" s="102">
        <f t="shared" ca="1" si="258"/>
        <v>0</v>
      </c>
      <c r="CU318" s="102">
        <f t="shared" ca="1" si="259"/>
        <v>0</v>
      </c>
      <c r="CV318" s="511">
        <f t="shared" ca="1" si="208"/>
        <v>2052</v>
      </c>
    </row>
    <row r="319" spans="1:100" x14ac:dyDescent="0.3">
      <c r="A319" s="100">
        <v>318</v>
      </c>
      <c r="B319" s="131">
        <f t="shared" si="234"/>
        <v>8825</v>
      </c>
      <c r="C319" s="102">
        <f t="shared" si="235"/>
        <v>0</v>
      </c>
      <c r="D319" s="102">
        <f t="shared" si="236"/>
        <v>0</v>
      </c>
      <c r="E319" s="102">
        <f t="shared" si="237"/>
        <v>0</v>
      </c>
      <c r="F319" s="102">
        <f t="shared" si="238"/>
        <v>0</v>
      </c>
      <c r="L319" s="100">
        <v>318</v>
      </c>
      <c r="M319" s="131">
        <f t="shared" ca="1" si="239"/>
        <v>55846</v>
      </c>
      <c r="N319" s="102">
        <f t="shared" si="240"/>
        <v>0</v>
      </c>
      <c r="O319" s="102">
        <f t="shared" si="241"/>
        <v>0</v>
      </c>
      <c r="P319" s="102">
        <f t="shared" si="242"/>
        <v>0</v>
      </c>
      <c r="Q319" s="102">
        <f t="shared" si="243"/>
        <v>0</v>
      </c>
      <c r="W319" s="100">
        <v>318</v>
      </c>
      <c r="X319" s="131">
        <f t="shared" ca="1" si="244"/>
        <v>55846</v>
      </c>
      <c r="Y319" s="102">
        <f t="shared" si="245"/>
        <v>0</v>
      </c>
      <c r="Z319" s="102">
        <f t="shared" si="246"/>
        <v>0</v>
      </c>
      <c r="AA319" s="102">
        <f t="shared" si="247"/>
        <v>0</v>
      </c>
      <c r="AB319" s="102">
        <f t="shared" si="248"/>
        <v>0</v>
      </c>
      <c r="AH319" s="100">
        <v>318</v>
      </c>
      <c r="AI319" s="131">
        <f t="shared" ca="1" si="249"/>
        <v>55846</v>
      </c>
      <c r="AJ319" s="102">
        <f t="shared" si="250"/>
        <v>0</v>
      </c>
      <c r="AK319" s="102">
        <f t="shared" si="251"/>
        <v>0</v>
      </c>
      <c r="AL319" s="102">
        <f t="shared" si="252"/>
        <v>0</v>
      </c>
      <c r="AM319" s="102">
        <f t="shared" si="253"/>
        <v>0</v>
      </c>
      <c r="AS319" s="530">
        <v>318</v>
      </c>
      <c r="AT319" s="531">
        <f t="shared" ca="1" si="222"/>
        <v>55846</v>
      </c>
      <c r="AU319" s="532">
        <f ca="1">IF(AU318=0,SUMIFS('Key Life Events'!$L$3:$L$28,'Key Life Events'!$H$3:$H$28,'Loan Amortization'!$AY$3,'Key Life Events'!$N$3:$N$28,'Loan Amortization'!AT319),AU318-AX318)</f>
        <v>0</v>
      </c>
      <c r="AV319" s="532">
        <f t="shared" ca="1" si="223"/>
        <v>0</v>
      </c>
      <c r="AW319" s="532">
        <f t="shared" ca="1" si="190"/>
        <v>0</v>
      </c>
      <c r="AX319" s="532">
        <f t="shared" ca="1" si="197"/>
        <v>0</v>
      </c>
      <c r="BC319" s="536">
        <f t="shared" ca="1" si="198"/>
        <v>2052</v>
      </c>
      <c r="BF319" s="530">
        <v>318</v>
      </c>
      <c r="BG319" s="531">
        <f t="shared" ca="1" si="224"/>
        <v>55846</v>
      </c>
      <c r="BH319" s="532">
        <f ca="1">IF(BH318=0,SUMIFS('Key Life Events'!$L$3:$L$28,'Key Life Events'!$H$3:$H$28,'Loan Amortization'!$BL$3,'Key Life Events'!$N$3:$N$28,'Loan Amortization'!BG319),BH318-BK318)</f>
        <v>0</v>
      </c>
      <c r="BI319" s="532">
        <f t="shared" ca="1" si="225"/>
        <v>0</v>
      </c>
      <c r="BJ319" s="532">
        <f t="shared" ca="1" si="226"/>
        <v>0</v>
      </c>
      <c r="BK319" s="532">
        <f t="shared" ca="1" si="199"/>
        <v>0</v>
      </c>
      <c r="BP319" s="536">
        <f t="shared" ca="1" si="200"/>
        <v>2052</v>
      </c>
      <c r="BQ319" s="535">
        <f ca="1"/>
        <v>0</v>
      </c>
      <c r="BS319" s="530">
        <v>318</v>
      </c>
      <c r="BT319" s="531">
        <f t="shared" ca="1" si="227"/>
        <v>55846</v>
      </c>
      <c r="BU319" s="532">
        <f ca="1">IF(BU318=0,SUMIFS('Key Life Events'!$L$3:$L$28,'Key Life Events'!$H$3:$H$28,'Loan Amortization'!$BY$3,'Key Life Events'!$N$3:$N$28,'Loan Amortization'!BT319),BU318-BX318)</f>
        <v>0</v>
      </c>
      <c r="BV319" s="532">
        <f t="shared" ca="1" si="232"/>
        <v>0</v>
      </c>
      <c r="BW319" s="532">
        <f t="shared" ca="1" si="228"/>
        <v>0</v>
      </c>
      <c r="BX319" s="532">
        <f t="shared" ca="1" si="201"/>
        <v>0</v>
      </c>
      <c r="CC319" s="536">
        <f t="shared" ca="1" si="202"/>
        <v>2052</v>
      </c>
      <c r="CD319" s="535">
        <f ca="1"/>
        <v>0</v>
      </c>
      <c r="CF319" s="530">
        <v>318</v>
      </c>
      <c r="CG319" s="531">
        <f t="shared" ca="1" si="229"/>
        <v>55846</v>
      </c>
      <c r="CH319" s="532">
        <f ca="1">IF(CH318=0,SUMIFS('Key Life Events'!$L$3:$L$28,'Key Life Events'!$H$3:$H$28,'Loan Amortization'!$CL$3,'Key Life Events'!$N$3:$N$28,'Loan Amortization'!CG319),CH318-CK318)</f>
        <v>0</v>
      </c>
      <c r="CI319" s="532">
        <f t="shared" ca="1" si="230"/>
        <v>0</v>
      </c>
      <c r="CJ319" s="532">
        <f t="shared" ca="1" si="231"/>
        <v>0</v>
      </c>
      <c r="CK319" s="532">
        <f t="shared" ca="1" si="203"/>
        <v>0</v>
      </c>
      <c r="CP319" s="536">
        <f t="shared" ca="1" si="204"/>
        <v>2052</v>
      </c>
      <c r="CQ319" s="535">
        <f ca="1"/>
        <v>0</v>
      </c>
      <c r="CS319" s="100">
        <f t="shared" si="257"/>
        <v>318</v>
      </c>
      <c r="CT319" s="102">
        <f t="shared" ca="1" si="258"/>
        <v>0</v>
      </c>
      <c r="CU319" s="102">
        <f t="shared" ca="1" si="259"/>
        <v>0</v>
      </c>
      <c r="CV319" s="511">
        <f t="shared" ca="1" si="208"/>
        <v>2052</v>
      </c>
    </row>
    <row r="320" spans="1:100" x14ac:dyDescent="0.3">
      <c r="A320" s="100">
        <v>319</v>
      </c>
      <c r="B320" s="131">
        <f t="shared" si="234"/>
        <v>8854</v>
      </c>
      <c r="C320" s="102">
        <f t="shared" si="235"/>
        <v>0</v>
      </c>
      <c r="D320" s="102">
        <f t="shared" si="236"/>
        <v>0</v>
      </c>
      <c r="E320" s="102">
        <f t="shared" si="237"/>
        <v>0</v>
      </c>
      <c r="F320" s="102">
        <f t="shared" si="238"/>
        <v>0</v>
      </c>
      <c r="L320" s="100">
        <v>319</v>
      </c>
      <c r="M320" s="131">
        <f t="shared" ca="1" si="239"/>
        <v>55876</v>
      </c>
      <c r="N320" s="102">
        <f t="shared" si="240"/>
        <v>0</v>
      </c>
      <c r="O320" s="102">
        <f t="shared" si="241"/>
        <v>0</v>
      </c>
      <c r="P320" s="102">
        <f t="shared" si="242"/>
        <v>0</v>
      </c>
      <c r="Q320" s="102">
        <f t="shared" si="243"/>
        <v>0</v>
      </c>
      <c r="W320" s="100">
        <v>319</v>
      </c>
      <c r="X320" s="131">
        <f t="shared" ca="1" si="244"/>
        <v>55876</v>
      </c>
      <c r="Y320" s="102">
        <f t="shared" si="245"/>
        <v>0</v>
      </c>
      <c r="Z320" s="102">
        <f t="shared" si="246"/>
        <v>0</v>
      </c>
      <c r="AA320" s="102">
        <f t="shared" si="247"/>
        <v>0</v>
      </c>
      <c r="AB320" s="102">
        <f t="shared" si="248"/>
        <v>0</v>
      </c>
      <c r="AH320" s="100">
        <v>319</v>
      </c>
      <c r="AI320" s="131">
        <f t="shared" ca="1" si="249"/>
        <v>55876</v>
      </c>
      <c r="AJ320" s="102">
        <f t="shared" si="250"/>
        <v>0</v>
      </c>
      <c r="AK320" s="102">
        <f t="shared" si="251"/>
        <v>0</v>
      </c>
      <c r="AL320" s="102">
        <f t="shared" si="252"/>
        <v>0</v>
      </c>
      <c r="AM320" s="102">
        <f t="shared" si="253"/>
        <v>0</v>
      </c>
      <c r="AS320" s="530">
        <v>319</v>
      </c>
      <c r="AT320" s="531">
        <f t="shared" ca="1" si="222"/>
        <v>55876</v>
      </c>
      <c r="AU320" s="532">
        <f ca="1">IF(AU319=0,SUMIFS('Key Life Events'!$L$3:$L$28,'Key Life Events'!$H$3:$H$28,'Loan Amortization'!$AY$3,'Key Life Events'!$N$3:$N$28,'Loan Amortization'!AT320),AU319-AX319)</f>
        <v>0</v>
      </c>
      <c r="AV320" s="532">
        <f t="shared" ca="1" si="223"/>
        <v>0</v>
      </c>
      <c r="AW320" s="532">
        <f t="shared" ca="1" si="190"/>
        <v>0</v>
      </c>
      <c r="AX320" s="532">
        <f t="shared" ca="1" si="197"/>
        <v>0</v>
      </c>
      <c r="BC320" s="536">
        <f t="shared" ca="1" si="198"/>
        <v>2052</v>
      </c>
      <c r="BF320" s="530">
        <v>319</v>
      </c>
      <c r="BG320" s="531">
        <f t="shared" ca="1" si="224"/>
        <v>55876</v>
      </c>
      <c r="BH320" s="532">
        <f ca="1">IF(BH319=0,SUMIFS('Key Life Events'!$L$3:$L$28,'Key Life Events'!$H$3:$H$28,'Loan Amortization'!$BL$3,'Key Life Events'!$N$3:$N$28,'Loan Amortization'!BG320),BH319-BK319)</f>
        <v>0</v>
      </c>
      <c r="BI320" s="532">
        <f t="shared" ca="1" si="225"/>
        <v>0</v>
      </c>
      <c r="BJ320" s="532">
        <f t="shared" ca="1" si="226"/>
        <v>0</v>
      </c>
      <c r="BK320" s="532">
        <f t="shared" ca="1" si="199"/>
        <v>0</v>
      </c>
      <c r="BP320" s="536">
        <f t="shared" ca="1" si="200"/>
        <v>2052</v>
      </c>
      <c r="BQ320" s="535">
        <f ca="1"/>
        <v>0</v>
      </c>
      <c r="BS320" s="530">
        <v>319</v>
      </c>
      <c r="BT320" s="531">
        <f t="shared" ca="1" si="227"/>
        <v>55876</v>
      </c>
      <c r="BU320" s="532">
        <f ca="1">IF(BU319=0,SUMIFS('Key Life Events'!$L$3:$L$28,'Key Life Events'!$H$3:$H$28,'Loan Amortization'!$BY$3,'Key Life Events'!$N$3:$N$28,'Loan Amortization'!BT320),BU319-BX319)</f>
        <v>0</v>
      </c>
      <c r="BV320" s="532">
        <f t="shared" ca="1" si="232"/>
        <v>0</v>
      </c>
      <c r="BW320" s="532">
        <f t="shared" ca="1" si="228"/>
        <v>0</v>
      </c>
      <c r="BX320" s="532">
        <f t="shared" ca="1" si="201"/>
        <v>0</v>
      </c>
      <c r="CC320" s="536">
        <f t="shared" ca="1" si="202"/>
        <v>2052</v>
      </c>
      <c r="CD320" s="535">
        <f ca="1"/>
        <v>0</v>
      </c>
      <c r="CF320" s="530">
        <v>319</v>
      </c>
      <c r="CG320" s="531">
        <f t="shared" ca="1" si="229"/>
        <v>55876</v>
      </c>
      <c r="CH320" s="532">
        <f ca="1">IF(CH319=0,SUMIFS('Key Life Events'!$L$3:$L$28,'Key Life Events'!$H$3:$H$28,'Loan Amortization'!$CL$3,'Key Life Events'!$N$3:$N$28,'Loan Amortization'!CG320),CH319-CK319)</f>
        <v>0</v>
      </c>
      <c r="CI320" s="532">
        <f t="shared" ca="1" si="230"/>
        <v>0</v>
      </c>
      <c r="CJ320" s="532">
        <f t="shared" ca="1" si="231"/>
        <v>0</v>
      </c>
      <c r="CK320" s="532">
        <f t="shared" ca="1" si="203"/>
        <v>0</v>
      </c>
      <c r="CP320" s="536">
        <f t="shared" ca="1" si="204"/>
        <v>2052</v>
      </c>
      <c r="CQ320" s="535">
        <f ca="1"/>
        <v>0</v>
      </c>
      <c r="CS320" s="100">
        <f t="shared" si="257"/>
        <v>319</v>
      </c>
      <c r="CT320" s="102">
        <f t="shared" ca="1" si="258"/>
        <v>0</v>
      </c>
      <c r="CU320" s="102">
        <f t="shared" ca="1" si="259"/>
        <v>0</v>
      </c>
      <c r="CV320" s="511">
        <f t="shared" ca="1" si="208"/>
        <v>2052</v>
      </c>
    </row>
    <row r="321" spans="1:100" x14ac:dyDescent="0.3">
      <c r="A321" s="100">
        <v>320</v>
      </c>
      <c r="B321" s="131">
        <f t="shared" si="234"/>
        <v>8885</v>
      </c>
      <c r="C321" s="102">
        <f t="shared" si="235"/>
        <v>0</v>
      </c>
      <c r="D321" s="102">
        <f t="shared" si="236"/>
        <v>0</v>
      </c>
      <c r="E321" s="102">
        <f t="shared" si="237"/>
        <v>0</v>
      </c>
      <c r="F321" s="102">
        <f t="shared" si="238"/>
        <v>0</v>
      </c>
      <c r="L321" s="100">
        <v>320</v>
      </c>
      <c r="M321" s="131">
        <f t="shared" ca="1" si="239"/>
        <v>55907</v>
      </c>
      <c r="N321" s="102">
        <f t="shared" si="240"/>
        <v>0</v>
      </c>
      <c r="O321" s="102">
        <f t="shared" si="241"/>
        <v>0</v>
      </c>
      <c r="P321" s="102">
        <f t="shared" si="242"/>
        <v>0</v>
      </c>
      <c r="Q321" s="102">
        <f t="shared" si="243"/>
        <v>0</v>
      </c>
      <c r="W321" s="100">
        <v>320</v>
      </c>
      <c r="X321" s="131">
        <f t="shared" ca="1" si="244"/>
        <v>55907</v>
      </c>
      <c r="Y321" s="102">
        <f t="shared" si="245"/>
        <v>0</v>
      </c>
      <c r="Z321" s="102">
        <f t="shared" si="246"/>
        <v>0</v>
      </c>
      <c r="AA321" s="102">
        <f t="shared" si="247"/>
        <v>0</v>
      </c>
      <c r="AB321" s="102">
        <f t="shared" si="248"/>
        <v>0</v>
      </c>
      <c r="AH321" s="100">
        <v>320</v>
      </c>
      <c r="AI321" s="131">
        <f t="shared" ca="1" si="249"/>
        <v>55907</v>
      </c>
      <c r="AJ321" s="102">
        <f t="shared" si="250"/>
        <v>0</v>
      </c>
      <c r="AK321" s="102">
        <f t="shared" si="251"/>
        <v>0</v>
      </c>
      <c r="AL321" s="102">
        <f t="shared" si="252"/>
        <v>0</v>
      </c>
      <c r="AM321" s="102">
        <f t="shared" si="253"/>
        <v>0</v>
      </c>
      <c r="AS321" s="530">
        <v>320</v>
      </c>
      <c r="AT321" s="531">
        <f t="shared" ca="1" si="222"/>
        <v>55907</v>
      </c>
      <c r="AU321" s="532">
        <f ca="1">IF(AU320=0,SUMIFS('Key Life Events'!$L$3:$L$28,'Key Life Events'!$H$3:$H$28,'Loan Amortization'!$AY$3,'Key Life Events'!$N$3:$N$28,'Loan Amortization'!AT321),AU320-AX320)</f>
        <v>0</v>
      </c>
      <c r="AV321" s="532">
        <f t="shared" ca="1" si="223"/>
        <v>0</v>
      </c>
      <c r="AW321" s="532">
        <f t="shared" ca="1" si="190"/>
        <v>0</v>
      </c>
      <c r="AX321" s="532">
        <f t="shared" ca="1" si="197"/>
        <v>0</v>
      </c>
      <c r="BC321" s="536">
        <f t="shared" ca="1" si="198"/>
        <v>2053</v>
      </c>
      <c r="BF321" s="530">
        <v>320</v>
      </c>
      <c r="BG321" s="531">
        <f t="shared" ca="1" si="224"/>
        <v>55907</v>
      </c>
      <c r="BH321" s="532">
        <f ca="1">IF(BH320=0,SUMIFS('Key Life Events'!$L$3:$L$28,'Key Life Events'!$H$3:$H$28,'Loan Amortization'!$BL$3,'Key Life Events'!$N$3:$N$28,'Loan Amortization'!BG321),BH320-BK320)</f>
        <v>0</v>
      </c>
      <c r="BI321" s="532">
        <f t="shared" ca="1" si="225"/>
        <v>0</v>
      </c>
      <c r="BJ321" s="532">
        <f t="shared" ca="1" si="226"/>
        <v>0</v>
      </c>
      <c r="BK321" s="532">
        <f t="shared" ca="1" si="199"/>
        <v>0</v>
      </c>
      <c r="BP321" s="536">
        <f t="shared" ca="1" si="200"/>
        <v>2053</v>
      </c>
      <c r="BQ321" s="535">
        <f ca="1"/>
        <v>0</v>
      </c>
      <c r="BS321" s="530">
        <v>320</v>
      </c>
      <c r="BT321" s="531">
        <f t="shared" ca="1" si="227"/>
        <v>55907</v>
      </c>
      <c r="BU321" s="532">
        <f ca="1">IF(BU320=0,SUMIFS('Key Life Events'!$L$3:$L$28,'Key Life Events'!$H$3:$H$28,'Loan Amortization'!$BY$3,'Key Life Events'!$N$3:$N$28,'Loan Amortization'!BT321),BU320-BX320)</f>
        <v>0</v>
      </c>
      <c r="BV321" s="532">
        <f t="shared" ca="1" si="232"/>
        <v>0</v>
      </c>
      <c r="BW321" s="532">
        <f t="shared" ca="1" si="228"/>
        <v>0</v>
      </c>
      <c r="BX321" s="532">
        <f t="shared" ca="1" si="201"/>
        <v>0</v>
      </c>
      <c r="CC321" s="536">
        <f t="shared" ca="1" si="202"/>
        <v>2053</v>
      </c>
      <c r="CD321" s="535">
        <f ca="1"/>
        <v>0</v>
      </c>
      <c r="CF321" s="530">
        <v>320</v>
      </c>
      <c r="CG321" s="531">
        <f t="shared" ca="1" si="229"/>
        <v>55907</v>
      </c>
      <c r="CH321" s="532">
        <f ca="1">IF(CH320=0,SUMIFS('Key Life Events'!$L$3:$L$28,'Key Life Events'!$H$3:$H$28,'Loan Amortization'!$CL$3,'Key Life Events'!$N$3:$N$28,'Loan Amortization'!CG321),CH320-CK320)</f>
        <v>0</v>
      </c>
      <c r="CI321" s="532">
        <f t="shared" ca="1" si="230"/>
        <v>0</v>
      </c>
      <c r="CJ321" s="532">
        <f t="shared" ca="1" si="231"/>
        <v>0</v>
      </c>
      <c r="CK321" s="532">
        <f t="shared" ca="1" si="203"/>
        <v>0</v>
      </c>
      <c r="CP321" s="536">
        <f t="shared" ca="1" si="204"/>
        <v>2053</v>
      </c>
      <c r="CQ321" s="535">
        <f ca="1"/>
        <v>0</v>
      </c>
      <c r="CS321" s="100">
        <f t="shared" si="257"/>
        <v>320</v>
      </c>
      <c r="CT321" s="102">
        <f t="shared" ca="1" si="258"/>
        <v>0</v>
      </c>
      <c r="CU321" s="102">
        <f t="shared" ca="1" si="259"/>
        <v>0</v>
      </c>
      <c r="CV321" s="511">
        <f t="shared" ca="1" si="208"/>
        <v>2053</v>
      </c>
    </row>
    <row r="322" spans="1:100" x14ac:dyDescent="0.3">
      <c r="A322" s="100">
        <v>321</v>
      </c>
      <c r="B322" s="131">
        <f t="shared" si="234"/>
        <v>8915</v>
      </c>
      <c r="C322" s="102">
        <f t="shared" si="235"/>
        <v>0</v>
      </c>
      <c r="D322" s="102">
        <f t="shared" si="236"/>
        <v>0</v>
      </c>
      <c r="E322" s="102">
        <f t="shared" si="237"/>
        <v>0</v>
      </c>
      <c r="F322" s="102">
        <f t="shared" si="238"/>
        <v>0</v>
      </c>
      <c r="L322" s="100">
        <v>321</v>
      </c>
      <c r="M322" s="131">
        <f t="shared" ca="1" si="239"/>
        <v>55938</v>
      </c>
      <c r="N322" s="102">
        <f t="shared" si="240"/>
        <v>0</v>
      </c>
      <c r="O322" s="102">
        <f t="shared" si="241"/>
        <v>0</v>
      </c>
      <c r="P322" s="102">
        <f t="shared" si="242"/>
        <v>0</v>
      </c>
      <c r="Q322" s="102">
        <f t="shared" si="243"/>
        <v>0</v>
      </c>
      <c r="W322" s="100">
        <v>321</v>
      </c>
      <c r="X322" s="131">
        <f t="shared" ca="1" si="244"/>
        <v>55938</v>
      </c>
      <c r="Y322" s="102">
        <f t="shared" si="245"/>
        <v>0</v>
      </c>
      <c r="Z322" s="102">
        <f t="shared" si="246"/>
        <v>0</v>
      </c>
      <c r="AA322" s="102">
        <f t="shared" si="247"/>
        <v>0</v>
      </c>
      <c r="AB322" s="102">
        <f t="shared" si="248"/>
        <v>0</v>
      </c>
      <c r="AH322" s="100">
        <v>321</v>
      </c>
      <c r="AI322" s="131">
        <f t="shared" ca="1" si="249"/>
        <v>55938</v>
      </c>
      <c r="AJ322" s="102">
        <f t="shared" si="250"/>
        <v>0</v>
      </c>
      <c r="AK322" s="102">
        <f t="shared" si="251"/>
        <v>0</v>
      </c>
      <c r="AL322" s="102">
        <f t="shared" si="252"/>
        <v>0</v>
      </c>
      <c r="AM322" s="102">
        <f t="shared" si="253"/>
        <v>0</v>
      </c>
      <c r="AS322" s="530">
        <v>321</v>
      </c>
      <c r="AT322" s="531">
        <f t="shared" ca="1" si="222"/>
        <v>55938</v>
      </c>
      <c r="AU322" s="532">
        <f ca="1">IF(AU321=0,SUMIFS('Key Life Events'!$L$3:$L$28,'Key Life Events'!$H$3:$H$28,'Loan Amortization'!$AY$3,'Key Life Events'!$N$3:$N$28,'Loan Amortization'!AT322),AU321-AX321)</f>
        <v>0</v>
      </c>
      <c r="AV322" s="532">
        <f t="shared" ca="1" si="223"/>
        <v>0</v>
      </c>
      <c r="AW322" s="532">
        <f t="shared" ref="AW322:AW385" ca="1" si="260">(AU322*AZ$1)/12</f>
        <v>0</v>
      </c>
      <c r="AX322" s="532">
        <f t="shared" ca="1" si="197"/>
        <v>0</v>
      </c>
      <c r="BC322" s="536">
        <f t="shared" ca="1" si="198"/>
        <v>2053</v>
      </c>
      <c r="BF322" s="530">
        <v>321</v>
      </c>
      <c r="BG322" s="531">
        <f t="shared" ca="1" si="224"/>
        <v>55938</v>
      </c>
      <c r="BH322" s="532">
        <f ca="1">IF(BH321=0,SUMIFS('Key Life Events'!$L$3:$L$28,'Key Life Events'!$H$3:$H$28,'Loan Amortization'!$BL$3,'Key Life Events'!$N$3:$N$28,'Loan Amortization'!BG322),BH321-BK321)</f>
        <v>0</v>
      </c>
      <c r="BI322" s="532">
        <f t="shared" ca="1" si="225"/>
        <v>0</v>
      </c>
      <c r="BJ322" s="532">
        <f t="shared" ca="1" si="226"/>
        <v>0</v>
      </c>
      <c r="BK322" s="532">
        <f t="shared" ca="1" si="199"/>
        <v>0</v>
      </c>
      <c r="BP322" s="536">
        <f t="shared" ca="1" si="200"/>
        <v>2053</v>
      </c>
      <c r="BQ322" s="535">
        <f ca="1"/>
        <v>0</v>
      </c>
      <c r="BS322" s="530">
        <v>321</v>
      </c>
      <c r="BT322" s="531">
        <f t="shared" ca="1" si="227"/>
        <v>55938</v>
      </c>
      <c r="BU322" s="532">
        <f ca="1">IF(BU321=0,SUMIFS('Key Life Events'!$L$3:$L$28,'Key Life Events'!$H$3:$H$28,'Loan Amortization'!$BY$3,'Key Life Events'!$N$3:$N$28,'Loan Amortization'!BT322),BU321-BX321)</f>
        <v>0</v>
      </c>
      <c r="BV322" s="532">
        <f t="shared" ca="1" si="232"/>
        <v>0</v>
      </c>
      <c r="BW322" s="532">
        <f t="shared" ca="1" si="228"/>
        <v>0</v>
      </c>
      <c r="BX322" s="532">
        <f t="shared" ca="1" si="201"/>
        <v>0</v>
      </c>
      <c r="CC322" s="536">
        <f t="shared" ca="1" si="202"/>
        <v>2053</v>
      </c>
      <c r="CD322" s="535">
        <f ca="1"/>
        <v>0</v>
      </c>
      <c r="CF322" s="530">
        <v>321</v>
      </c>
      <c r="CG322" s="531">
        <f t="shared" ca="1" si="229"/>
        <v>55938</v>
      </c>
      <c r="CH322" s="532">
        <f ca="1">IF(CH321=0,SUMIFS('Key Life Events'!$L$3:$L$28,'Key Life Events'!$H$3:$H$28,'Loan Amortization'!$CL$3,'Key Life Events'!$N$3:$N$28,'Loan Amortization'!CG322),CH321-CK321)</f>
        <v>0</v>
      </c>
      <c r="CI322" s="532">
        <f t="shared" ca="1" si="230"/>
        <v>0</v>
      </c>
      <c r="CJ322" s="532">
        <f t="shared" ca="1" si="231"/>
        <v>0</v>
      </c>
      <c r="CK322" s="532">
        <f t="shared" ca="1" si="203"/>
        <v>0</v>
      </c>
      <c r="CP322" s="536">
        <f t="shared" ca="1" si="204"/>
        <v>2053</v>
      </c>
      <c r="CQ322" s="535">
        <f ca="1"/>
        <v>0</v>
      </c>
      <c r="CS322" s="100">
        <f t="shared" si="257"/>
        <v>321</v>
      </c>
      <c r="CT322" s="102">
        <f t="shared" ca="1" si="258"/>
        <v>0</v>
      </c>
      <c r="CU322" s="102">
        <f t="shared" ca="1" si="259"/>
        <v>0</v>
      </c>
      <c r="CV322" s="511">
        <f t="shared" ca="1" si="208"/>
        <v>2053</v>
      </c>
    </row>
    <row r="323" spans="1:100" x14ac:dyDescent="0.3">
      <c r="A323" s="100">
        <v>322</v>
      </c>
      <c r="B323" s="131">
        <f t="shared" si="234"/>
        <v>8946</v>
      </c>
      <c r="C323" s="102">
        <f t="shared" si="235"/>
        <v>0</v>
      </c>
      <c r="D323" s="102">
        <f t="shared" si="236"/>
        <v>0</v>
      </c>
      <c r="E323" s="102">
        <f t="shared" si="237"/>
        <v>0</v>
      </c>
      <c r="F323" s="102">
        <f t="shared" si="238"/>
        <v>0</v>
      </c>
      <c r="L323" s="100">
        <v>322</v>
      </c>
      <c r="M323" s="131">
        <f t="shared" ca="1" si="239"/>
        <v>55966</v>
      </c>
      <c r="N323" s="102">
        <f t="shared" si="240"/>
        <v>0</v>
      </c>
      <c r="O323" s="102">
        <f t="shared" si="241"/>
        <v>0</v>
      </c>
      <c r="P323" s="102">
        <f t="shared" si="242"/>
        <v>0</v>
      </c>
      <c r="Q323" s="102">
        <f t="shared" si="243"/>
        <v>0</v>
      </c>
      <c r="W323" s="100">
        <v>322</v>
      </c>
      <c r="X323" s="131">
        <f t="shared" ca="1" si="244"/>
        <v>55966</v>
      </c>
      <c r="Y323" s="102">
        <f t="shared" si="245"/>
        <v>0</v>
      </c>
      <c r="Z323" s="102">
        <f t="shared" si="246"/>
        <v>0</v>
      </c>
      <c r="AA323" s="102">
        <f t="shared" si="247"/>
        <v>0</v>
      </c>
      <c r="AB323" s="102">
        <f t="shared" si="248"/>
        <v>0</v>
      </c>
      <c r="AH323" s="100">
        <v>322</v>
      </c>
      <c r="AI323" s="131">
        <f t="shared" ca="1" si="249"/>
        <v>55966</v>
      </c>
      <c r="AJ323" s="102">
        <f t="shared" si="250"/>
        <v>0</v>
      </c>
      <c r="AK323" s="102">
        <f t="shared" si="251"/>
        <v>0</v>
      </c>
      <c r="AL323" s="102">
        <f t="shared" si="252"/>
        <v>0</v>
      </c>
      <c r="AM323" s="102">
        <f t="shared" si="253"/>
        <v>0</v>
      </c>
      <c r="AS323" s="530">
        <v>322</v>
      </c>
      <c r="AT323" s="531">
        <f t="shared" ca="1" si="222"/>
        <v>55966</v>
      </c>
      <c r="AU323" s="532">
        <f ca="1">IF(AU322=0,SUMIFS('Key Life Events'!$L$3:$L$28,'Key Life Events'!$H$3:$H$28,'Loan Amortization'!$AY$3,'Key Life Events'!$N$3:$N$28,'Loan Amortization'!AT323),AU322-AX322)</f>
        <v>0</v>
      </c>
      <c r="AV323" s="532">
        <f t="shared" ca="1" si="223"/>
        <v>0</v>
      </c>
      <c r="AW323" s="532">
        <f t="shared" ca="1" si="260"/>
        <v>0</v>
      </c>
      <c r="AX323" s="532">
        <f t="shared" ref="AX323:AX386" ca="1" si="261">AV323-AW323</f>
        <v>0</v>
      </c>
      <c r="BC323" s="536">
        <f t="shared" ref="BC323:BC386" ca="1" si="262">YEAR(AT323)</f>
        <v>2053</v>
      </c>
      <c r="BF323" s="530">
        <v>322</v>
      </c>
      <c r="BG323" s="531">
        <f t="shared" ca="1" si="224"/>
        <v>55966</v>
      </c>
      <c r="BH323" s="532">
        <f ca="1">IF(BH322=0,SUMIFS('Key Life Events'!$L$3:$L$28,'Key Life Events'!$H$3:$H$28,'Loan Amortization'!$BL$3,'Key Life Events'!$N$3:$N$28,'Loan Amortization'!BG323),BH322-BK322)</f>
        <v>0</v>
      </c>
      <c r="BI323" s="532">
        <f t="shared" ca="1" si="225"/>
        <v>0</v>
      </c>
      <c r="BJ323" s="532">
        <f t="shared" ca="1" si="226"/>
        <v>0</v>
      </c>
      <c r="BK323" s="532">
        <f t="shared" ref="BK323:BK386" ca="1" si="263">BI323-BJ323</f>
        <v>0</v>
      </c>
      <c r="BP323" s="536">
        <f t="shared" ref="BP323:BP386" ca="1" si="264">YEAR(BG323)</f>
        <v>2053</v>
      </c>
      <c r="BQ323" s="535">
        <f ca="1"/>
        <v>0</v>
      </c>
      <c r="BS323" s="530">
        <v>322</v>
      </c>
      <c r="BT323" s="531">
        <f t="shared" ca="1" si="227"/>
        <v>55966</v>
      </c>
      <c r="BU323" s="532">
        <f ca="1">IF(BU322=0,SUMIFS('Key Life Events'!$L$3:$L$28,'Key Life Events'!$H$3:$H$28,'Loan Amortization'!$BY$3,'Key Life Events'!$N$3:$N$28,'Loan Amortization'!BT323),BU322-BX322)</f>
        <v>0</v>
      </c>
      <c r="BV323" s="532">
        <f t="shared" ca="1" si="232"/>
        <v>0</v>
      </c>
      <c r="BW323" s="532">
        <f t="shared" ca="1" si="228"/>
        <v>0</v>
      </c>
      <c r="BX323" s="532">
        <f t="shared" ref="BX323:BX386" ca="1" si="265">BV323-BW323</f>
        <v>0</v>
      </c>
      <c r="CC323" s="536">
        <f t="shared" ref="CC323:CC386" ca="1" si="266">YEAR(BT323)</f>
        <v>2053</v>
      </c>
      <c r="CD323" s="535">
        <f ca="1"/>
        <v>0</v>
      </c>
      <c r="CF323" s="530">
        <v>322</v>
      </c>
      <c r="CG323" s="531">
        <f t="shared" ca="1" si="229"/>
        <v>55966</v>
      </c>
      <c r="CH323" s="532">
        <f ca="1">IF(CH322=0,SUMIFS('Key Life Events'!$L$3:$L$28,'Key Life Events'!$H$3:$H$28,'Loan Amortization'!$CL$3,'Key Life Events'!$N$3:$N$28,'Loan Amortization'!CG323),CH322-CK322)</f>
        <v>0</v>
      </c>
      <c r="CI323" s="532">
        <f t="shared" ca="1" si="230"/>
        <v>0</v>
      </c>
      <c r="CJ323" s="532">
        <f t="shared" ca="1" si="231"/>
        <v>0</v>
      </c>
      <c r="CK323" s="532">
        <f t="shared" ref="CK323:CK386" ca="1" si="267">CI323-CJ323</f>
        <v>0</v>
      </c>
      <c r="CP323" s="536">
        <f t="shared" ref="CP323:CP386" ca="1" si="268">YEAR(CG323)</f>
        <v>2053</v>
      </c>
      <c r="CQ323" s="535">
        <f ca="1"/>
        <v>0</v>
      </c>
      <c r="CS323" s="100">
        <f t="shared" si="257"/>
        <v>322</v>
      </c>
      <c r="CT323" s="102">
        <f t="shared" ca="1" si="258"/>
        <v>0</v>
      </c>
      <c r="CU323" s="102">
        <f t="shared" ca="1" si="259"/>
        <v>0</v>
      </c>
      <c r="CV323" s="511">
        <f t="shared" ref="CV323:CV386" ca="1" si="269">MAX(TEXT(B323,"yyyy"),TEXT(M323,"yyyy"),TEXT(X323,"yyyy"),TEXT(AT323,"yyyy"),TEXT(AI323,"yyyy"),TEXT(BG323,"yyyy"),TEXT(BT323,"yyyy"),TEXT(CG323,"yyyy"))</f>
        <v>2053</v>
      </c>
    </row>
    <row r="324" spans="1:100" x14ac:dyDescent="0.3">
      <c r="A324" s="100">
        <v>323</v>
      </c>
      <c r="B324" s="131">
        <f t="shared" si="234"/>
        <v>8976</v>
      </c>
      <c r="C324" s="102">
        <f t="shared" si="235"/>
        <v>0</v>
      </c>
      <c r="D324" s="102">
        <f t="shared" si="236"/>
        <v>0</v>
      </c>
      <c r="E324" s="102">
        <f t="shared" si="237"/>
        <v>0</v>
      </c>
      <c r="F324" s="102">
        <f t="shared" si="238"/>
        <v>0</v>
      </c>
      <c r="L324" s="100">
        <v>323</v>
      </c>
      <c r="M324" s="131">
        <f t="shared" ca="1" si="239"/>
        <v>55997</v>
      </c>
      <c r="N324" s="102">
        <f t="shared" si="240"/>
        <v>0</v>
      </c>
      <c r="O324" s="102">
        <f t="shared" si="241"/>
        <v>0</v>
      </c>
      <c r="P324" s="102">
        <f t="shared" si="242"/>
        <v>0</v>
      </c>
      <c r="Q324" s="102">
        <f t="shared" si="243"/>
        <v>0</v>
      </c>
      <c r="W324" s="100">
        <v>323</v>
      </c>
      <c r="X324" s="131">
        <f t="shared" ca="1" si="244"/>
        <v>55997</v>
      </c>
      <c r="Y324" s="102">
        <f t="shared" si="245"/>
        <v>0</v>
      </c>
      <c r="Z324" s="102">
        <f t="shared" si="246"/>
        <v>0</v>
      </c>
      <c r="AA324" s="102">
        <f t="shared" si="247"/>
        <v>0</v>
      </c>
      <c r="AB324" s="102">
        <f t="shared" si="248"/>
        <v>0</v>
      </c>
      <c r="AH324" s="100">
        <v>323</v>
      </c>
      <c r="AI324" s="131">
        <f t="shared" ca="1" si="249"/>
        <v>55997</v>
      </c>
      <c r="AJ324" s="102">
        <f t="shared" si="250"/>
        <v>0</v>
      </c>
      <c r="AK324" s="102">
        <f t="shared" si="251"/>
        <v>0</v>
      </c>
      <c r="AL324" s="102">
        <f t="shared" si="252"/>
        <v>0</v>
      </c>
      <c r="AM324" s="102">
        <f t="shared" si="253"/>
        <v>0</v>
      </c>
      <c r="AS324" s="530">
        <v>323</v>
      </c>
      <c r="AT324" s="531">
        <f t="shared" ref="AT324:AT387" ca="1" si="270">IF(AU323&lt;AV323,,EDATE(AT323,1))</f>
        <v>55997</v>
      </c>
      <c r="AU324" s="532">
        <f ca="1">IF(AU323=0,SUMIFS('Key Life Events'!$L$3:$L$28,'Key Life Events'!$H$3:$H$28,'Loan Amortization'!$AY$3,'Key Life Events'!$N$3:$N$28,'Loan Amortization'!AT324),AU323-AX323)</f>
        <v>0</v>
      </c>
      <c r="AV324" s="532">
        <f t="shared" ref="AV324:AV387" ca="1" si="271">IF(AND(AU323=0,AU324&gt;0),PMT($AZ$1/12,$BB$1*12,-AU324,0,0),IF(AU324&lt;=AV323,AU324+AW324,AV323))</f>
        <v>0</v>
      </c>
      <c r="AW324" s="532">
        <f t="shared" ca="1" si="260"/>
        <v>0</v>
      </c>
      <c r="AX324" s="532">
        <f t="shared" ca="1" si="261"/>
        <v>0</v>
      </c>
      <c r="BC324" s="536">
        <f t="shared" ca="1" si="262"/>
        <v>2053</v>
      </c>
      <c r="BF324" s="530">
        <v>323</v>
      </c>
      <c r="BG324" s="531">
        <f t="shared" ref="BG324:BG387" ca="1" si="272">IF(BH323&lt;BI323,,EDATE(BG323,1))</f>
        <v>55997</v>
      </c>
      <c r="BH324" s="532">
        <f ca="1">IF(BH323=0,SUMIFS('Key Life Events'!$L$3:$L$28,'Key Life Events'!$H$3:$H$28,'Loan Amortization'!$BL$3,'Key Life Events'!$N$3:$N$28,'Loan Amortization'!BG324),BH323-BK323)</f>
        <v>0</v>
      </c>
      <c r="BI324" s="532">
        <f t="shared" ref="BI324:BI387" ca="1" si="273">IF(AND(BH323=0,BH324&gt;0),PMT(BM$1/12,BO$1*12,-BH324,0,0),IF(BH324&lt;=BI323,BH324+BJ324,BI323))</f>
        <v>0</v>
      </c>
      <c r="BJ324" s="532">
        <f t="shared" ref="BJ324:BJ387" ca="1" si="274">(BH324*BM$1)/12</f>
        <v>0</v>
      </c>
      <c r="BK324" s="532">
        <f t="shared" ca="1" si="263"/>
        <v>0</v>
      </c>
      <c r="BP324" s="536">
        <f t="shared" ca="1" si="264"/>
        <v>2053</v>
      </c>
      <c r="BQ324" s="535">
        <f ca="1"/>
        <v>0</v>
      </c>
      <c r="BS324" s="530">
        <v>323</v>
      </c>
      <c r="BT324" s="531">
        <f t="shared" ref="BT324:BT387" ca="1" si="275">IF(BU323&lt;BV323,,EDATE(BT323,1))</f>
        <v>55997</v>
      </c>
      <c r="BU324" s="532">
        <f ca="1">IF(BU323=0,SUMIFS('Key Life Events'!$L$3:$L$28,'Key Life Events'!$H$3:$H$28,'Loan Amortization'!$BY$3,'Key Life Events'!$N$3:$N$28,'Loan Amortization'!BT324),BU323-BX323)</f>
        <v>0</v>
      </c>
      <c r="BV324" s="532">
        <f t="shared" ca="1" si="232"/>
        <v>0</v>
      </c>
      <c r="BW324" s="532">
        <f t="shared" ref="BW324:BW387" ca="1" si="276">(BU324*BZ$1)/12</f>
        <v>0</v>
      </c>
      <c r="BX324" s="532">
        <f t="shared" ca="1" si="265"/>
        <v>0</v>
      </c>
      <c r="CC324" s="536">
        <f t="shared" ca="1" si="266"/>
        <v>2053</v>
      </c>
      <c r="CD324" s="535">
        <f ca="1"/>
        <v>0</v>
      </c>
      <c r="CF324" s="530">
        <v>323</v>
      </c>
      <c r="CG324" s="531">
        <f t="shared" ref="CG324:CG387" ca="1" si="277">IF(CH323&lt;CI323,,EDATE(CG323,1))</f>
        <v>55997</v>
      </c>
      <c r="CH324" s="532">
        <f ca="1">IF(CH323=0,SUMIFS('Key Life Events'!$L$3:$L$28,'Key Life Events'!$H$3:$H$28,'Loan Amortization'!$CL$3,'Key Life Events'!$N$3:$N$28,'Loan Amortization'!CG324),CH323-CK323)</f>
        <v>0</v>
      </c>
      <c r="CI324" s="532">
        <f t="shared" ref="CI324:CI387" ca="1" si="278">IF(AND(CH323=0,CH324&gt;0),PMT(CM$1/12,CO$1*12,-CH324,0,0),IF(CH324&lt;=CI323,CH324+CJ324,CI323))</f>
        <v>0</v>
      </c>
      <c r="CJ324" s="532">
        <f t="shared" ref="CJ324:CJ387" ca="1" si="279">(CH324*CM$1)/12</f>
        <v>0</v>
      </c>
      <c r="CK324" s="532">
        <f t="shared" ca="1" si="267"/>
        <v>0</v>
      </c>
      <c r="CP324" s="536">
        <f t="shared" ca="1" si="268"/>
        <v>2053</v>
      </c>
      <c r="CQ324" s="535">
        <f ca="1"/>
        <v>0</v>
      </c>
      <c r="CS324" s="100">
        <f t="shared" si="257"/>
        <v>323</v>
      </c>
      <c r="CT324" s="102">
        <f t="shared" ca="1" si="258"/>
        <v>0</v>
      </c>
      <c r="CU324" s="102">
        <f t="shared" ca="1" si="259"/>
        <v>0</v>
      </c>
      <c r="CV324" s="511">
        <f t="shared" ca="1" si="269"/>
        <v>2053</v>
      </c>
    </row>
    <row r="325" spans="1:100" x14ac:dyDescent="0.3">
      <c r="A325" s="100">
        <v>324</v>
      </c>
      <c r="B325" s="131">
        <f t="shared" si="234"/>
        <v>9007</v>
      </c>
      <c r="C325" s="102">
        <f t="shared" si="235"/>
        <v>0</v>
      </c>
      <c r="D325" s="102">
        <f t="shared" si="236"/>
        <v>0</v>
      </c>
      <c r="E325" s="102">
        <f t="shared" si="237"/>
        <v>0</v>
      </c>
      <c r="F325" s="102">
        <f t="shared" si="238"/>
        <v>0</v>
      </c>
      <c r="L325" s="100">
        <v>324</v>
      </c>
      <c r="M325" s="131">
        <f t="shared" ca="1" si="239"/>
        <v>56027</v>
      </c>
      <c r="N325" s="102">
        <f t="shared" si="240"/>
        <v>0</v>
      </c>
      <c r="O325" s="102">
        <f t="shared" si="241"/>
        <v>0</v>
      </c>
      <c r="P325" s="102">
        <f t="shared" si="242"/>
        <v>0</v>
      </c>
      <c r="Q325" s="102">
        <f t="shared" si="243"/>
        <v>0</v>
      </c>
      <c r="W325" s="100">
        <v>324</v>
      </c>
      <c r="X325" s="131">
        <f t="shared" ca="1" si="244"/>
        <v>56027</v>
      </c>
      <c r="Y325" s="102">
        <f t="shared" si="245"/>
        <v>0</v>
      </c>
      <c r="Z325" s="102">
        <f t="shared" si="246"/>
        <v>0</v>
      </c>
      <c r="AA325" s="102">
        <f t="shared" si="247"/>
        <v>0</v>
      </c>
      <c r="AB325" s="102">
        <f t="shared" si="248"/>
        <v>0</v>
      </c>
      <c r="AH325" s="100">
        <v>324</v>
      </c>
      <c r="AI325" s="131">
        <f t="shared" ca="1" si="249"/>
        <v>56027</v>
      </c>
      <c r="AJ325" s="102">
        <f t="shared" si="250"/>
        <v>0</v>
      </c>
      <c r="AK325" s="102">
        <f t="shared" si="251"/>
        <v>0</v>
      </c>
      <c r="AL325" s="102">
        <f t="shared" si="252"/>
        <v>0</v>
      </c>
      <c r="AM325" s="102">
        <f t="shared" si="253"/>
        <v>0</v>
      </c>
      <c r="AS325" s="530">
        <v>324</v>
      </c>
      <c r="AT325" s="531">
        <f t="shared" ca="1" si="270"/>
        <v>56027</v>
      </c>
      <c r="AU325" s="532">
        <f ca="1">IF(AU324=0,SUMIFS('Key Life Events'!$L$3:$L$28,'Key Life Events'!$H$3:$H$28,'Loan Amortization'!$AY$3,'Key Life Events'!$N$3:$N$28,'Loan Amortization'!AT325),AU324-AX324)</f>
        <v>0</v>
      </c>
      <c r="AV325" s="532">
        <f t="shared" ca="1" si="271"/>
        <v>0</v>
      </c>
      <c r="AW325" s="532">
        <f t="shared" ca="1" si="260"/>
        <v>0</v>
      </c>
      <c r="AX325" s="532">
        <f t="shared" ca="1" si="261"/>
        <v>0</v>
      </c>
      <c r="BC325" s="536">
        <f t="shared" ca="1" si="262"/>
        <v>2053</v>
      </c>
      <c r="BF325" s="530">
        <v>324</v>
      </c>
      <c r="BG325" s="531">
        <f t="shared" ca="1" si="272"/>
        <v>56027</v>
      </c>
      <c r="BH325" s="532">
        <f ca="1">IF(BH324=0,SUMIFS('Key Life Events'!$L$3:$L$28,'Key Life Events'!$H$3:$H$28,'Loan Amortization'!$BL$3,'Key Life Events'!$N$3:$N$28,'Loan Amortization'!BG325),BH324-BK324)</f>
        <v>0</v>
      </c>
      <c r="BI325" s="532">
        <f t="shared" ca="1" si="273"/>
        <v>0</v>
      </c>
      <c r="BJ325" s="532">
        <f t="shared" ca="1" si="274"/>
        <v>0</v>
      </c>
      <c r="BK325" s="532">
        <f t="shared" ca="1" si="263"/>
        <v>0</v>
      </c>
      <c r="BP325" s="536">
        <f t="shared" ca="1" si="264"/>
        <v>2053</v>
      </c>
      <c r="BQ325" s="535">
        <f ca="1"/>
        <v>0</v>
      </c>
      <c r="BS325" s="530">
        <v>324</v>
      </c>
      <c r="BT325" s="531">
        <f t="shared" ca="1" si="275"/>
        <v>56027</v>
      </c>
      <c r="BU325" s="532">
        <f ca="1">IF(BU324=0,SUMIFS('Key Life Events'!$L$3:$L$28,'Key Life Events'!$H$3:$H$28,'Loan Amortization'!$BY$3,'Key Life Events'!$N$3:$N$28,'Loan Amortization'!BT325),BU324-BX324)</f>
        <v>0</v>
      </c>
      <c r="BV325" s="532">
        <f t="shared" ca="1" si="232"/>
        <v>0</v>
      </c>
      <c r="BW325" s="532">
        <f t="shared" ca="1" si="276"/>
        <v>0</v>
      </c>
      <c r="BX325" s="532">
        <f t="shared" ca="1" si="265"/>
        <v>0</v>
      </c>
      <c r="CC325" s="536">
        <f t="shared" ca="1" si="266"/>
        <v>2053</v>
      </c>
      <c r="CD325" s="535">
        <f ca="1"/>
        <v>0</v>
      </c>
      <c r="CF325" s="530">
        <v>324</v>
      </c>
      <c r="CG325" s="531">
        <f t="shared" ca="1" si="277"/>
        <v>56027</v>
      </c>
      <c r="CH325" s="532">
        <f ca="1">IF(CH324=0,SUMIFS('Key Life Events'!$L$3:$L$28,'Key Life Events'!$H$3:$H$28,'Loan Amortization'!$CL$3,'Key Life Events'!$N$3:$N$28,'Loan Amortization'!CG325),CH324-CK324)</f>
        <v>0</v>
      </c>
      <c r="CI325" s="532">
        <f t="shared" ca="1" si="278"/>
        <v>0</v>
      </c>
      <c r="CJ325" s="532">
        <f t="shared" ca="1" si="279"/>
        <v>0</v>
      </c>
      <c r="CK325" s="532">
        <f t="shared" ca="1" si="267"/>
        <v>0</v>
      </c>
      <c r="CP325" s="536">
        <f t="shared" ca="1" si="268"/>
        <v>2053</v>
      </c>
      <c r="CQ325" s="535">
        <f ca="1"/>
        <v>0</v>
      </c>
      <c r="CS325" s="100">
        <f t="shared" si="257"/>
        <v>324</v>
      </c>
      <c r="CT325" s="102">
        <f t="shared" ca="1" si="258"/>
        <v>0</v>
      </c>
      <c r="CU325" s="102">
        <f t="shared" ca="1" si="259"/>
        <v>0</v>
      </c>
      <c r="CV325" s="511">
        <f t="shared" ca="1" si="269"/>
        <v>2053</v>
      </c>
    </row>
    <row r="326" spans="1:100" x14ac:dyDescent="0.3">
      <c r="A326" s="100">
        <v>325</v>
      </c>
      <c r="B326" s="131">
        <f t="shared" si="234"/>
        <v>9038</v>
      </c>
      <c r="C326" s="102">
        <f t="shared" si="235"/>
        <v>0</v>
      </c>
      <c r="D326" s="102">
        <f t="shared" si="236"/>
        <v>0</v>
      </c>
      <c r="E326" s="102">
        <f t="shared" si="237"/>
        <v>0</v>
      </c>
      <c r="F326" s="102">
        <f t="shared" si="238"/>
        <v>0</v>
      </c>
      <c r="L326" s="100">
        <v>325</v>
      </c>
      <c r="M326" s="131">
        <f t="shared" ca="1" si="239"/>
        <v>56058</v>
      </c>
      <c r="N326" s="102">
        <f t="shared" si="240"/>
        <v>0</v>
      </c>
      <c r="O326" s="102">
        <f t="shared" si="241"/>
        <v>0</v>
      </c>
      <c r="P326" s="102">
        <f t="shared" si="242"/>
        <v>0</v>
      </c>
      <c r="Q326" s="102">
        <f t="shared" si="243"/>
        <v>0</v>
      </c>
      <c r="W326" s="100">
        <v>325</v>
      </c>
      <c r="X326" s="131">
        <f t="shared" ca="1" si="244"/>
        <v>56058</v>
      </c>
      <c r="Y326" s="102">
        <f t="shared" si="245"/>
        <v>0</v>
      </c>
      <c r="Z326" s="102">
        <f t="shared" si="246"/>
        <v>0</v>
      </c>
      <c r="AA326" s="102">
        <f t="shared" si="247"/>
        <v>0</v>
      </c>
      <c r="AB326" s="102">
        <f t="shared" si="248"/>
        <v>0</v>
      </c>
      <c r="AH326" s="100">
        <v>325</v>
      </c>
      <c r="AI326" s="131">
        <f t="shared" ca="1" si="249"/>
        <v>56058</v>
      </c>
      <c r="AJ326" s="102">
        <f t="shared" si="250"/>
        <v>0</v>
      </c>
      <c r="AK326" s="102">
        <f t="shared" si="251"/>
        <v>0</v>
      </c>
      <c r="AL326" s="102">
        <f t="shared" si="252"/>
        <v>0</v>
      </c>
      <c r="AM326" s="102">
        <f t="shared" si="253"/>
        <v>0</v>
      </c>
      <c r="AS326" s="530">
        <v>325</v>
      </c>
      <c r="AT326" s="531">
        <f t="shared" ca="1" si="270"/>
        <v>56058</v>
      </c>
      <c r="AU326" s="532">
        <f ca="1">IF(AU325=0,SUMIFS('Key Life Events'!$L$3:$L$28,'Key Life Events'!$H$3:$H$28,'Loan Amortization'!$AY$3,'Key Life Events'!$N$3:$N$28,'Loan Amortization'!AT326),AU325-AX325)</f>
        <v>0</v>
      </c>
      <c r="AV326" s="532">
        <f t="shared" ca="1" si="271"/>
        <v>0</v>
      </c>
      <c r="AW326" s="532">
        <f t="shared" ca="1" si="260"/>
        <v>0</v>
      </c>
      <c r="AX326" s="532">
        <f t="shared" ca="1" si="261"/>
        <v>0</v>
      </c>
      <c r="BC326" s="536">
        <f t="shared" ca="1" si="262"/>
        <v>2053</v>
      </c>
      <c r="BF326" s="530">
        <v>325</v>
      </c>
      <c r="BG326" s="531">
        <f t="shared" ca="1" si="272"/>
        <v>56058</v>
      </c>
      <c r="BH326" s="532">
        <f ca="1">IF(BH325=0,SUMIFS('Key Life Events'!$L$3:$L$28,'Key Life Events'!$H$3:$H$28,'Loan Amortization'!$BL$3,'Key Life Events'!$N$3:$N$28,'Loan Amortization'!BG326),BH325-BK325)</f>
        <v>0</v>
      </c>
      <c r="BI326" s="532">
        <f t="shared" ca="1" si="273"/>
        <v>0</v>
      </c>
      <c r="BJ326" s="532">
        <f t="shared" ca="1" si="274"/>
        <v>0</v>
      </c>
      <c r="BK326" s="532">
        <f t="shared" ca="1" si="263"/>
        <v>0</v>
      </c>
      <c r="BP326" s="536">
        <f t="shared" ca="1" si="264"/>
        <v>2053</v>
      </c>
      <c r="BQ326" s="535">
        <f ca="1"/>
        <v>0</v>
      </c>
      <c r="BS326" s="530">
        <v>325</v>
      </c>
      <c r="BT326" s="531">
        <f t="shared" ca="1" si="275"/>
        <v>56058</v>
      </c>
      <c r="BU326" s="532">
        <f ca="1">IF(BU325=0,SUMIFS('Key Life Events'!$L$3:$L$28,'Key Life Events'!$H$3:$H$28,'Loan Amortization'!$BY$3,'Key Life Events'!$N$3:$N$28,'Loan Amortization'!BT326),BU325-BX325)</f>
        <v>0</v>
      </c>
      <c r="BV326" s="532">
        <f t="shared" ref="BV326:BV389" ca="1" si="280">IF(AND(BU325=0,BU326&gt;0),PMT(BZ$1/12,CB$1*12,-BU326,0,0),IF(BU326&lt;=BV325,BU326+BW326,BV325))</f>
        <v>0</v>
      </c>
      <c r="BW326" s="532">
        <f t="shared" ca="1" si="276"/>
        <v>0</v>
      </c>
      <c r="BX326" s="532">
        <f t="shared" ca="1" si="265"/>
        <v>0</v>
      </c>
      <c r="CC326" s="536">
        <f t="shared" ca="1" si="266"/>
        <v>2053</v>
      </c>
      <c r="CD326" s="535">
        <f ca="1"/>
        <v>0</v>
      </c>
      <c r="CF326" s="530">
        <v>325</v>
      </c>
      <c r="CG326" s="531">
        <f t="shared" ca="1" si="277"/>
        <v>56058</v>
      </c>
      <c r="CH326" s="532">
        <f ca="1">IF(CH325=0,SUMIFS('Key Life Events'!$L$3:$L$28,'Key Life Events'!$H$3:$H$28,'Loan Amortization'!$CL$3,'Key Life Events'!$N$3:$N$28,'Loan Amortization'!CG326),CH325-CK325)</f>
        <v>0</v>
      </c>
      <c r="CI326" s="532">
        <f t="shared" ca="1" si="278"/>
        <v>0</v>
      </c>
      <c r="CJ326" s="532">
        <f t="shared" ca="1" si="279"/>
        <v>0</v>
      </c>
      <c r="CK326" s="532">
        <f t="shared" ca="1" si="267"/>
        <v>0</v>
      </c>
      <c r="CP326" s="536">
        <f t="shared" ca="1" si="268"/>
        <v>2053</v>
      </c>
      <c r="CQ326" s="535">
        <f ca="1"/>
        <v>0</v>
      </c>
      <c r="CS326" s="100">
        <f t="shared" si="257"/>
        <v>325</v>
      </c>
      <c r="CT326" s="102">
        <f t="shared" ca="1" si="258"/>
        <v>0</v>
      </c>
      <c r="CU326" s="102">
        <f t="shared" ca="1" si="259"/>
        <v>0</v>
      </c>
      <c r="CV326" s="511">
        <f t="shared" ca="1" si="269"/>
        <v>2053</v>
      </c>
    </row>
    <row r="327" spans="1:100" x14ac:dyDescent="0.3">
      <c r="A327" s="100">
        <v>326</v>
      </c>
      <c r="B327" s="131">
        <f t="shared" si="234"/>
        <v>9068</v>
      </c>
      <c r="C327" s="102">
        <f t="shared" si="235"/>
        <v>0</v>
      </c>
      <c r="D327" s="102">
        <f t="shared" si="236"/>
        <v>0</v>
      </c>
      <c r="E327" s="102">
        <f t="shared" si="237"/>
        <v>0</v>
      </c>
      <c r="F327" s="102">
        <f t="shared" si="238"/>
        <v>0</v>
      </c>
      <c r="L327" s="100">
        <v>326</v>
      </c>
      <c r="M327" s="131">
        <f t="shared" ca="1" si="239"/>
        <v>56088</v>
      </c>
      <c r="N327" s="102">
        <f t="shared" si="240"/>
        <v>0</v>
      </c>
      <c r="O327" s="102">
        <f t="shared" si="241"/>
        <v>0</v>
      </c>
      <c r="P327" s="102">
        <f t="shared" si="242"/>
        <v>0</v>
      </c>
      <c r="Q327" s="102">
        <f t="shared" si="243"/>
        <v>0</v>
      </c>
      <c r="W327" s="100">
        <v>326</v>
      </c>
      <c r="X327" s="131">
        <f t="shared" ca="1" si="244"/>
        <v>56088</v>
      </c>
      <c r="Y327" s="102">
        <f t="shared" si="245"/>
        <v>0</v>
      </c>
      <c r="Z327" s="102">
        <f t="shared" si="246"/>
        <v>0</v>
      </c>
      <c r="AA327" s="102">
        <f t="shared" si="247"/>
        <v>0</v>
      </c>
      <c r="AB327" s="102">
        <f t="shared" si="248"/>
        <v>0</v>
      </c>
      <c r="AH327" s="100">
        <v>326</v>
      </c>
      <c r="AI327" s="131">
        <f t="shared" ca="1" si="249"/>
        <v>56088</v>
      </c>
      <c r="AJ327" s="102">
        <f t="shared" si="250"/>
        <v>0</v>
      </c>
      <c r="AK327" s="102">
        <f t="shared" si="251"/>
        <v>0</v>
      </c>
      <c r="AL327" s="102">
        <f t="shared" si="252"/>
        <v>0</v>
      </c>
      <c r="AM327" s="102">
        <f t="shared" si="253"/>
        <v>0</v>
      </c>
      <c r="AS327" s="530">
        <v>326</v>
      </c>
      <c r="AT327" s="531">
        <f t="shared" ca="1" si="270"/>
        <v>56088</v>
      </c>
      <c r="AU327" s="532">
        <f ca="1">IF(AU326=0,SUMIFS('Key Life Events'!$L$3:$L$28,'Key Life Events'!$H$3:$H$28,'Loan Amortization'!$AY$3,'Key Life Events'!$N$3:$N$28,'Loan Amortization'!AT327),AU326-AX326)</f>
        <v>0</v>
      </c>
      <c r="AV327" s="532">
        <f t="shared" ca="1" si="271"/>
        <v>0</v>
      </c>
      <c r="AW327" s="532">
        <f t="shared" ca="1" si="260"/>
        <v>0</v>
      </c>
      <c r="AX327" s="532">
        <f t="shared" ca="1" si="261"/>
        <v>0</v>
      </c>
      <c r="BC327" s="536">
        <f t="shared" ca="1" si="262"/>
        <v>2053</v>
      </c>
      <c r="BF327" s="530">
        <v>326</v>
      </c>
      <c r="BG327" s="531">
        <f t="shared" ca="1" si="272"/>
        <v>56088</v>
      </c>
      <c r="BH327" s="532">
        <f ca="1">IF(BH326=0,SUMIFS('Key Life Events'!$L$3:$L$28,'Key Life Events'!$H$3:$H$28,'Loan Amortization'!$BL$3,'Key Life Events'!$N$3:$N$28,'Loan Amortization'!BG327),BH326-BK326)</f>
        <v>0</v>
      </c>
      <c r="BI327" s="532">
        <f t="shared" ca="1" si="273"/>
        <v>0</v>
      </c>
      <c r="BJ327" s="532">
        <f t="shared" ca="1" si="274"/>
        <v>0</v>
      </c>
      <c r="BK327" s="532">
        <f t="shared" ca="1" si="263"/>
        <v>0</v>
      </c>
      <c r="BP327" s="536">
        <f t="shared" ca="1" si="264"/>
        <v>2053</v>
      </c>
      <c r="BQ327" s="535">
        <f ca="1"/>
        <v>0</v>
      </c>
      <c r="BS327" s="530">
        <v>326</v>
      </c>
      <c r="BT327" s="531">
        <f t="shared" ca="1" si="275"/>
        <v>56088</v>
      </c>
      <c r="BU327" s="532">
        <f ca="1">IF(BU326=0,SUMIFS('Key Life Events'!$L$3:$L$28,'Key Life Events'!$H$3:$H$28,'Loan Amortization'!$BY$3,'Key Life Events'!$N$3:$N$28,'Loan Amortization'!BT327),BU326-BX326)</f>
        <v>0</v>
      </c>
      <c r="BV327" s="532">
        <f t="shared" ca="1" si="280"/>
        <v>0</v>
      </c>
      <c r="BW327" s="532">
        <f t="shared" ca="1" si="276"/>
        <v>0</v>
      </c>
      <c r="BX327" s="532">
        <f t="shared" ca="1" si="265"/>
        <v>0</v>
      </c>
      <c r="CC327" s="536">
        <f t="shared" ca="1" si="266"/>
        <v>2053</v>
      </c>
      <c r="CD327" s="535">
        <f ca="1"/>
        <v>0</v>
      </c>
      <c r="CF327" s="530">
        <v>326</v>
      </c>
      <c r="CG327" s="531">
        <f t="shared" ca="1" si="277"/>
        <v>56088</v>
      </c>
      <c r="CH327" s="532">
        <f ca="1">IF(CH326=0,SUMIFS('Key Life Events'!$L$3:$L$28,'Key Life Events'!$H$3:$H$28,'Loan Amortization'!$CL$3,'Key Life Events'!$N$3:$N$28,'Loan Amortization'!CG327),CH326-CK326)</f>
        <v>0</v>
      </c>
      <c r="CI327" s="532">
        <f t="shared" ca="1" si="278"/>
        <v>0</v>
      </c>
      <c r="CJ327" s="532">
        <f t="shared" ca="1" si="279"/>
        <v>0</v>
      </c>
      <c r="CK327" s="532">
        <f t="shared" ca="1" si="267"/>
        <v>0</v>
      </c>
      <c r="CP327" s="536">
        <f t="shared" ca="1" si="268"/>
        <v>2053</v>
      </c>
      <c r="CQ327" s="535">
        <f ca="1"/>
        <v>0</v>
      </c>
      <c r="CS327" s="100">
        <f t="shared" si="257"/>
        <v>326</v>
      </c>
      <c r="CT327" s="102">
        <f t="shared" ca="1" si="258"/>
        <v>0</v>
      </c>
      <c r="CU327" s="102">
        <f t="shared" ca="1" si="259"/>
        <v>0</v>
      </c>
      <c r="CV327" s="511">
        <f t="shared" ca="1" si="269"/>
        <v>2053</v>
      </c>
    </row>
    <row r="328" spans="1:100" x14ac:dyDescent="0.3">
      <c r="A328" s="100">
        <v>327</v>
      </c>
      <c r="B328" s="131">
        <f t="shared" si="234"/>
        <v>9099</v>
      </c>
      <c r="C328" s="102">
        <f t="shared" si="235"/>
        <v>0</v>
      </c>
      <c r="D328" s="102">
        <f t="shared" si="236"/>
        <v>0</v>
      </c>
      <c r="E328" s="102">
        <f t="shared" si="237"/>
        <v>0</v>
      </c>
      <c r="F328" s="102">
        <f t="shared" si="238"/>
        <v>0</v>
      </c>
      <c r="L328" s="100">
        <v>327</v>
      </c>
      <c r="M328" s="131">
        <f t="shared" ca="1" si="239"/>
        <v>56119</v>
      </c>
      <c r="N328" s="102">
        <f t="shared" si="240"/>
        <v>0</v>
      </c>
      <c r="O328" s="102">
        <f t="shared" si="241"/>
        <v>0</v>
      </c>
      <c r="P328" s="102">
        <f t="shared" si="242"/>
        <v>0</v>
      </c>
      <c r="Q328" s="102">
        <f t="shared" si="243"/>
        <v>0</v>
      </c>
      <c r="W328" s="100">
        <v>327</v>
      </c>
      <c r="X328" s="131">
        <f t="shared" ca="1" si="244"/>
        <v>56119</v>
      </c>
      <c r="Y328" s="102">
        <f t="shared" si="245"/>
        <v>0</v>
      </c>
      <c r="Z328" s="102">
        <f t="shared" si="246"/>
        <v>0</v>
      </c>
      <c r="AA328" s="102">
        <f t="shared" si="247"/>
        <v>0</v>
      </c>
      <c r="AB328" s="102">
        <f t="shared" si="248"/>
        <v>0</v>
      </c>
      <c r="AH328" s="100">
        <v>327</v>
      </c>
      <c r="AI328" s="131">
        <f t="shared" ca="1" si="249"/>
        <v>56119</v>
      </c>
      <c r="AJ328" s="102">
        <f t="shared" si="250"/>
        <v>0</v>
      </c>
      <c r="AK328" s="102">
        <f t="shared" si="251"/>
        <v>0</v>
      </c>
      <c r="AL328" s="102">
        <f t="shared" si="252"/>
        <v>0</v>
      </c>
      <c r="AM328" s="102">
        <f t="shared" si="253"/>
        <v>0</v>
      </c>
      <c r="AS328" s="530">
        <v>327</v>
      </c>
      <c r="AT328" s="531">
        <f t="shared" ca="1" si="270"/>
        <v>56119</v>
      </c>
      <c r="AU328" s="532">
        <f ca="1">IF(AU327=0,SUMIFS('Key Life Events'!$L$3:$L$28,'Key Life Events'!$H$3:$H$28,'Loan Amortization'!$AY$3,'Key Life Events'!$N$3:$N$28,'Loan Amortization'!AT328),AU327-AX327)</f>
        <v>0</v>
      </c>
      <c r="AV328" s="532">
        <f t="shared" ca="1" si="271"/>
        <v>0</v>
      </c>
      <c r="AW328" s="532">
        <f t="shared" ca="1" si="260"/>
        <v>0</v>
      </c>
      <c r="AX328" s="532">
        <f t="shared" ca="1" si="261"/>
        <v>0</v>
      </c>
      <c r="BC328" s="536">
        <f t="shared" ca="1" si="262"/>
        <v>2053</v>
      </c>
      <c r="BF328" s="530">
        <v>327</v>
      </c>
      <c r="BG328" s="531">
        <f t="shared" ca="1" si="272"/>
        <v>56119</v>
      </c>
      <c r="BH328" s="532">
        <f ca="1">IF(BH327=0,SUMIFS('Key Life Events'!$L$3:$L$28,'Key Life Events'!$H$3:$H$28,'Loan Amortization'!$BL$3,'Key Life Events'!$N$3:$N$28,'Loan Amortization'!BG328),BH327-BK327)</f>
        <v>0</v>
      </c>
      <c r="BI328" s="532">
        <f t="shared" ca="1" si="273"/>
        <v>0</v>
      </c>
      <c r="BJ328" s="532">
        <f t="shared" ca="1" si="274"/>
        <v>0</v>
      </c>
      <c r="BK328" s="532">
        <f t="shared" ca="1" si="263"/>
        <v>0</v>
      </c>
      <c r="BP328" s="536">
        <f t="shared" ca="1" si="264"/>
        <v>2053</v>
      </c>
      <c r="BS328" s="530">
        <v>327</v>
      </c>
      <c r="BT328" s="531">
        <f t="shared" ca="1" si="275"/>
        <v>56119</v>
      </c>
      <c r="BU328" s="532">
        <f ca="1">IF(BU327=0,SUMIFS('Key Life Events'!$L$3:$L$28,'Key Life Events'!$H$3:$H$28,'Loan Amortization'!$BY$3,'Key Life Events'!$N$3:$N$28,'Loan Amortization'!BT328),BU327-BX327)</f>
        <v>0</v>
      </c>
      <c r="BV328" s="532">
        <f t="shared" ca="1" si="280"/>
        <v>0</v>
      </c>
      <c r="BW328" s="532">
        <f t="shared" ca="1" si="276"/>
        <v>0</v>
      </c>
      <c r="BX328" s="532">
        <f t="shared" ca="1" si="265"/>
        <v>0</v>
      </c>
      <c r="CC328" s="536">
        <f t="shared" ca="1" si="266"/>
        <v>2053</v>
      </c>
      <c r="CF328" s="530">
        <v>327</v>
      </c>
      <c r="CG328" s="531">
        <f t="shared" ca="1" si="277"/>
        <v>56119</v>
      </c>
      <c r="CH328" s="532">
        <f ca="1">IF(CH327=0,SUMIFS('Key Life Events'!$L$3:$L$28,'Key Life Events'!$H$3:$H$28,'Loan Amortization'!$CL$3,'Key Life Events'!$N$3:$N$28,'Loan Amortization'!CG328),CH327-CK327)</f>
        <v>0</v>
      </c>
      <c r="CI328" s="532">
        <f t="shared" ca="1" si="278"/>
        <v>0</v>
      </c>
      <c r="CJ328" s="532">
        <f t="shared" ca="1" si="279"/>
        <v>0</v>
      </c>
      <c r="CK328" s="532">
        <f t="shared" ca="1" si="267"/>
        <v>0</v>
      </c>
      <c r="CP328" s="536">
        <f t="shared" ca="1" si="268"/>
        <v>2053</v>
      </c>
      <c r="CS328" s="100">
        <f t="shared" si="257"/>
        <v>327</v>
      </c>
      <c r="CT328" s="102">
        <f t="shared" ca="1" si="258"/>
        <v>0</v>
      </c>
      <c r="CU328" s="102">
        <f t="shared" ca="1" si="259"/>
        <v>0</v>
      </c>
      <c r="CV328" s="511">
        <f t="shared" ca="1" si="269"/>
        <v>2053</v>
      </c>
    </row>
    <row r="329" spans="1:100" x14ac:dyDescent="0.3">
      <c r="A329" s="100">
        <v>328</v>
      </c>
      <c r="B329" s="131">
        <f t="shared" si="234"/>
        <v>9129</v>
      </c>
      <c r="C329" s="102">
        <f t="shared" si="235"/>
        <v>0</v>
      </c>
      <c r="D329" s="102">
        <f t="shared" si="236"/>
        <v>0</v>
      </c>
      <c r="E329" s="102">
        <f t="shared" si="237"/>
        <v>0</v>
      </c>
      <c r="F329" s="102">
        <f t="shared" si="238"/>
        <v>0</v>
      </c>
      <c r="L329" s="100">
        <v>328</v>
      </c>
      <c r="M329" s="131">
        <f t="shared" ca="1" si="239"/>
        <v>56150</v>
      </c>
      <c r="N329" s="102">
        <f t="shared" si="240"/>
        <v>0</v>
      </c>
      <c r="O329" s="102">
        <f t="shared" si="241"/>
        <v>0</v>
      </c>
      <c r="P329" s="102">
        <f t="shared" si="242"/>
        <v>0</v>
      </c>
      <c r="Q329" s="102">
        <f t="shared" si="243"/>
        <v>0</v>
      </c>
      <c r="W329" s="100">
        <v>328</v>
      </c>
      <c r="X329" s="131">
        <f t="shared" ca="1" si="244"/>
        <v>56150</v>
      </c>
      <c r="Y329" s="102">
        <f t="shared" si="245"/>
        <v>0</v>
      </c>
      <c r="Z329" s="102">
        <f t="shared" si="246"/>
        <v>0</v>
      </c>
      <c r="AA329" s="102">
        <f t="shared" si="247"/>
        <v>0</v>
      </c>
      <c r="AB329" s="102">
        <f t="shared" si="248"/>
        <v>0</v>
      </c>
      <c r="AH329" s="100">
        <v>328</v>
      </c>
      <c r="AI329" s="131">
        <f t="shared" ca="1" si="249"/>
        <v>56150</v>
      </c>
      <c r="AJ329" s="102">
        <f t="shared" si="250"/>
        <v>0</v>
      </c>
      <c r="AK329" s="102">
        <f t="shared" si="251"/>
        <v>0</v>
      </c>
      <c r="AL329" s="102">
        <f t="shared" si="252"/>
        <v>0</v>
      </c>
      <c r="AM329" s="102">
        <f t="shared" si="253"/>
        <v>0</v>
      </c>
      <c r="AS329" s="530">
        <v>328</v>
      </c>
      <c r="AT329" s="531">
        <f t="shared" ca="1" si="270"/>
        <v>56150</v>
      </c>
      <c r="AU329" s="532">
        <f ca="1">IF(AU328=0,SUMIFS('Key Life Events'!$L$3:$L$28,'Key Life Events'!$H$3:$H$28,'Loan Amortization'!$AY$3,'Key Life Events'!$N$3:$N$28,'Loan Amortization'!AT329),AU328-AX328)</f>
        <v>0</v>
      </c>
      <c r="AV329" s="532">
        <f t="shared" ca="1" si="271"/>
        <v>0</v>
      </c>
      <c r="AW329" s="532">
        <f t="shared" ca="1" si="260"/>
        <v>0</v>
      </c>
      <c r="AX329" s="532">
        <f t="shared" ca="1" si="261"/>
        <v>0</v>
      </c>
      <c r="BC329" s="536">
        <f t="shared" ca="1" si="262"/>
        <v>2053</v>
      </c>
      <c r="BF329" s="530">
        <v>328</v>
      </c>
      <c r="BG329" s="531">
        <f t="shared" ca="1" si="272"/>
        <v>56150</v>
      </c>
      <c r="BH329" s="532">
        <f ca="1">IF(BH328=0,SUMIFS('Key Life Events'!$L$3:$L$28,'Key Life Events'!$H$3:$H$28,'Loan Amortization'!$BL$3,'Key Life Events'!$N$3:$N$28,'Loan Amortization'!BG329),BH328-BK328)</f>
        <v>0</v>
      </c>
      <c r="BI329" s="532">
        <f t="shared" ca="1" si="273"/>
        <v>0</v>
      </c>
      <c r="BJ329" s="532">
        <f t="shared" ca="1" si="274"/>
        <v>0</v>
      </c>
      <c r="BK329" s="532">
        <f t="shared" ca="1" si="263"/>
        <v>0</v>
      </c>
      <c r="BP329" s="536">
        <f t="shared" ca="1" si="264"/>
        <v>2053</v>
      </c>
      <c r="BS329" s="530">
        <v>328</v>
      </c>
      <c r="BT329" s="531">
        <f t="shared" ca="1" si="275"/>
        <v>56150</v>
      </c>
      <c r="BU329" s="532">
        <f ca="1">IF(BU328=0,SUMIFS('Key Life Events'!$L$3:$L$28,'Key Life Events'!$H$3:$H$28,'Loan Amortization'!$BY$3,'Key Life Events'!$N$3:$N$28,'Loan Amortization'!BT329),BU328-BX328)</f>
        <v>0</v>
      </c>
      <c r="BV329" s="532">
        <f t="shared" ca="1" si="280"/>
        <v>0</v>
      </c>
      <c r="BW329" s="532">
        <f t="shared" ca="1" si="276"/>
        <v>0</v>
      </c>
      <c r="BX329" s="532">
        <f t="shared" ca="1" si="265"/>
        <v>0</v>
      </c>
      <c r="CC329" s="536">
        <f t="shared" ca="1" si="266"/>
        <v>2053</v>
      </c>
      <c r="CF329" s="530">
        <v>328</v>
      </c>
      <c r="CG329" s="531">
        <f t="shared" ca="1" si="277"/>
        <v>56150</v>
      </c>
      <c r="CH329" s="532">
        <f ca="1">IF(CH328=0,SUMIFS('Key Life Events'!$L$3:$L$28,'Key Life Events'!$H$3:$H$28,'Loan Amortization'!$CL$3,'Key Life Events'!$N$3:$N$28,'Loan Amortization'!CG329),CH328-CK328)</f>
        <v>0</v>
      </c>
      <c r="CI329" s="532">
        <f t="shared" ca="1" si="278"/>
        <v>0</v>
      </c>
      <c r="CJ329" s="532">
        <f t="shared" ca="1" si="279"/>
        <v>0</v>
      </c>
      <c r="CK329" s="532">
        <f t="shared" ca="1" si="267"/>
        <v>0</v>
      </c>
      <c r="CP329" s="536">
        <f t="shared" ca="1" si="268"/>
        <v>2053</v>
      </c>
      <c r="CS329" s="100">
        <f t="shared" si="257"/>
        <v>328</v>
      </c>
      <c r="CT329" s="102">
        <f t="shared" ca="1" si="258"/>
        <v>0</v>
      </c>
      <c r="CU329" s="102">
        <f t="shared" ca="1" si="259"/>
        <v>0</v>
      </c>
      <c r="CV329" s="511">
        <f t="shared" ca="1" si="269"/>
        <v>2053</v>
      </c>
    </row>
    <row r="330" spans="1:100" x14ac:dyDescent="0.3">
      <c r="A330" s="100">
        <v>329</v>
      </c>
      <c r="B330" s="131">
        <f t="shared" si="234"/>
        <v>9160</v>
      </c>
      <c r="C330" s="102">
        <f t="shared" si="235"/>
        <v>0</v>
      </c>
      <c r="D330" s="102">
        <f t="shared" si="236"/>
        <v>0</v>
      </c>
      <c r="E330" s="102">
        <f t="shared" si="237"/>
        <v>0</v>
      </c>
      <c r="F330" s="102">
        <f t="shared" si="238"/>
        <v>0</v>
      </c>
      <c r="L330" s="100">
        <v>329</v>
      </c>
      <c r="M330" s="131">
        <f t="shared" ca="1" si="239"/>
        <v>56180</v>
      </c>
      <c r="N330" s="102">
        <f t="shared" si="240"/>
        <v>0</v>
      </c>
      <c r="O330" s="102">
        <f t="shared" si="241"/>
        <v>0</v>
      </c>
      <c r="P330" s="102">
        <f t="shared" si="242"/>
        <v>0</v>
      </c>
      <c r="Q330" s="102">
        <f t="shared" si="243"/>
        <v>0</v>
      </c>
      <c r="W330" s="100">
        <v>329</v>
      </c>
      <c r="X330" s="131">
        <f t="shared" ca="1" si="244"/>
        <v>56180</v>
      </c>
      <c r="Y330" s="102">
        <f t="shared" si="245"/>
        <v>0</v>
      </c>
      <c r="Z330" s="102">
        <f t="shared" si="246"/>
        <v>0</v>
      </c>
      <c r="AA330" s="102">
        <f t="shared" si="247"/>
        <v>0</v>
      </c>
      <c r="AB330" s="102">
        <f t="shared" si="248"/>
        <v>0</v>
      </c>
      <c r="AH330" s="100">
        <v>329</v>
      </c>
      <c r="AI330" s="131">
        <f t="shared" ca="1" si="249"/>
        <v>56180</v>
      </c>
      <c r="AJ330" s="102">
        <f t="shared" si="250"/>
        <v>0</v>
      </c>
      <c r="AK330" s="102">
        <f t="shared" si="251"/>
        <v>0</v>
      </c>
      <c r="AL330" s="102">
        <f t="shared" si="252"/>
        <v>0</v>
      </c>
      <c r="AM330" s="102">
        <f t="shared" si="253"/>
        <v>0</v>
      </c>
      <c r="AS330" s="530">
        <v>329</v>
      </c>
      <c r="AT330" s="531">
        <f t="shared" ca="1" si="270"/>
        <v>56180</v>
      </c>
      <c r="AU330" s="532">
        <f ca="1">IF(AU329=0,SUMIFS('Key Life Events'!$L$3:$L$28,'Key Life Events'!$H$3:$H$28,'Loan Amortization'!$AY$3,'Key Life Events'!$N$3:$N$28,'Loan Amortization'!AT330),AU329-AX329)</f>
        <v>0</v>
      </c>
      <c r="AV330" s="532">
        <f t="shared" ca="1" si="271"/>
        <v>0</v>
      </c>
      <c r="AW330" s="532">
        <f t="shared" ca="1" si="260"/>
        <v>0</v>
      </c>
      <c r="AX330" s="532">
        <f t="shared" ca="1" si="261"/>
        <v>0</v>
      </c>
      <c r="BC330" s="536">
        <f t="shared" ca="1" si="262"/>
        <v>2053</v>
      </c>
      <c r="BF330" s="530">
        <v>329</v>
      </c>
      <c r="BG330" s="531">
        <f t="shared" ca="1" si="272"/>
        <v>56180</v>
      </c>
      <c r="BH330" s="532">
        <f ca="1">IF(BH329=0,SUMIFS('Key Life Events'!$L$3:$L$28,'Key Life Events'!$H$3:$H$28,'Loan Amortization'!$BL$3,'Key Life Events'!$N$3:$N$28,'Loan Amortization'!BG330),BH329-BK329)</f>
        <v>0</v>
      </c>
      <c r="BI330" s="532">
        <f t="shared" ca="1" si="273"/>
        <v>0</v>
      </c>
      <c r="BJ330" s="532">
        <f t="shared" ca="1" si="274"/>
        <v>0</v>
      </c>
      <c r="BK330" s="532">
        <f t="shared" ca="1" si="263"/>
        <v>0</v>
      </c>
      <c r="BP330" s="536">
        <f t="shared" ca="1" si="264"/>
        <v>2053</v>
      </c>
      <c r="BS330" s="530">
        <v>329</v>
      </c>
      <c r="BT330" s="531">
        <f t="shared" ca="1" si="275"/>
        <v>56180</v>
      </c>
      <c r="BU330" s="532">
        <f ca="1">IF(BU329=0,SUMIFS('Key Life Events'!$L$3:$L$28,'Key Life Events'!$H$3:$H$28,'Loan Amortization'!$BY$3,'Key Life Events'!$N$3:$N$28,'Loan Amortization'!BT330),BU329-BX329)</f>
        <v>0</v>
      </c>
      <c r="BV330" s="532">
        <f t="shared" ca="1" si="280"/>
        <v>0</v>
      </c>
      <c r="BW330" s="532">
        <f t="shared" ca="1" si="276"/>
        <v>0</v>
      </c>
      <c r="BX330" s="532">
        <f t="shared" ca="1" si="265"/>
        <v>0</v>
      </c>
      <c r="CC330" s="536">
        <f t="shared" ca="1" si="266"/>
        <v>2053</v>
      </c>
      <c r="CF330" s="530">
        <v>329</v>
      </c>
      <c r="CG330" s="531">
        <f t="shared" ca="1" si="277"/>
        <v>56180</v>
      </c>
      <c r="CH330" s="532">
        <f ca="1">IF(CH329=0,SUMIFS('Key Life Events'!$L$3:$L$28,'Key Life Events'!$H$3:$H$28,'Loan Amortization'!$CL$3,'Key Life Events'!$N$3:$N$28,'Loan Amortization'!CG330),CH329-CK329)</f>
        <v>0</v>
      </c>
      <c r="CI330" s="532">
        <f t="shared" ca="1" si="278"/>
        <v>0</v>
      </c>
      <c r="CJ330" s="532">
        <f t="shared" ca="1" si="279"/>
        <v>0</v>
      </c>
      <c r="CK330" s="532">
        <f t="shared" ca="1" si="267"/>
        <v>0</v>
      </c>
      <c r="CP330" s="536">
        <f t="shared" ca="1" si="268"/>
        <v>2053</v>
      </c>
      <c r="CS330" s="100">
        <f t="shared" si="257"/>
        <v>329</v>
      </c>
      <c r="CT330" s="102">
        <f t="shared" ca="1" si="258"/>
        <v>0</v>
      </c>
      <c r="CU330" s="102">
        <f t="shared" ca="1" si="259"/>
        <v>0</v>
      </c>
      <c r="CV330" s="511">
        <f t="shared" ca="1" si="269"/>
        <v>2053</v>
      </c>
    </row>
    <row r="331" spans="1:100" x14ac:dyDescent="0.3">
      <c r="A331" s="100">
        <v>330</v>
      </c>
      <c r="B331" s="131">
        <f t="shared" si="234"/>
        <v>9191</v>
      </c>
      <c r="C331" s="102">
        <f t="shared" si="235"/>
        <v>0</v>
      </c>
      <c r="D331" s="102">
        <f t="shared" si="236"/>
        <v>0</v>
      </c>
      <c r="E331" s="102">
        <f t="shared" si="237"/>
        <v>0</v>
      </c>
      <c r="F331" s="102">
        <f t="shared" si="238"/>
        <v>0</v>
      </c>
      <c r="L331" s="100">
        <v>330</v>
      </c>
      <c r="M331" s="131">
        <f t="shared" ca="1" si="239"/>
        <v>56211</v>
      </c>
      <c r="N331" s="102">
        <f t="shared" si="240"/>
        <v>0</v>
      </c>
      <c r="O331" s="102">
        <f t="shared" si="241"/>
        <v>0</v>
      </c>
      <c r="P331" s="102">
        <f t="shared" si="242"/>
        <v>0</v>
      </c>
      <c r="Q331" s="102">
        <f t="shared" si="243"/>
        <v>0</v>
      </c>
      <c r="W331" s="100">
        <v>330</v>
      </c>
      <c r="X331" s="131">
        <f t="shared" ca="1" si="244"/>
        <v>56211</v>
      </c>
      <c r="Y331" s="102">
        <f t="shared" si="245"/>
        <v>0</v>
      </c>
      <c r="Z331" s="102">
        <f t="shared" si="246"/>
        <v>0</v>
      </c>
      <c r="AA331" s="102">
        <f t="shared" si="247"/>
        <v>0</v>
      </c>
      <c r="AB331" s="102">
        <f t="shared" si="248"/>
        <v>0</v>
      </c>
      <c r="AH331" s="100">
        <v>330</v>
      </c>
      <c r="AI331" s="131">
        <f t="shared" ca="1" si="249"/>
        <v>56211</v>
      </c>
      <c r="AJ331" s="102">
        <f t="shared" si="250"/>
        <v>0</v>
      </c>
      <c r="AK331" s="102">
        <f t="shared" si="251"/>
        <v>0</v>
      </c>
      <c r="AL331" s="102">
        <f t="shared" si="252"/>
        <v>0</v>
      </c>
      <c r="AM331" s="102">
        <f t="shared" si="253"/>
        <v>0</v>
      </c>
      <c r="AS331" s="530">
        <v>330</v>
      </c>
      <c r="AT331" s="531">
        <f t="shared" ca="1" si="270"/>
        <v>56211</v>
      </c>
      <c r="AU331" s="532">
        <f ca="1">IF(AU330=0,SUMIFS('Key Life Events'!$L$3:$L$28,'Key Life Events'!$H$3:$H$28,'Loan Amortization'!$AY$3,'Key Life Events'!$N$3:$N$28,'Loan Amortization'!AT331),AU330-AX330)</f>
        <v>0</v>
      </c>
      <c r="AV331" s="532">
        <f t="shared" ca="1" si="271"/>
        <v>0</v>
      </c>
      <c r="AW331" s="532">
        <f t="shared" ca="1" si="260"/>
        <v>0</v>
      </c>
      <c r="AX331" s="532">
        <f t="shared" ca="1" si="261"/>
        <v>0</v>
      </c>
      <c r="BC331" s="536">
        <f t="shared" ca="1" si="262"/>
        <v>2053</v>
      </c>
      <c r="BF331" s="530">
        <v>330</v>
      </c>
      <c r="BG331" s="531">
        <f t="shared" ca="1" si="272"/>
        <v>56211</v>
      </c>
      <c r="BH331" s="532">
        <f ca="1">IF(BH330=0,SUMIFS('Key Life Events'!$L$3:$L$28,'Key Life Events'!$H$3:$H$28,'Loan Amortization'!$BL$3,'Key Life Events'!$N$3:$N$28,'Loan Amortization'!BG331),BH330-BK330)</f>
        <v>0</v>
      </c>
      <c r="BI331" s="532">
        <f t="shared" ca="1" si="273"/>
        <v>0</v>
      </c>
      <c r="BJ331" s="532">
        <f t="shared" ca="1" si="274"/>
        <v>0</v>
      </c>
      <c r="BK331" s="532">
        <f t="shared" ca="1" si="263"/>
        <v>0</v>
      </c>
      <c r="BP331" s="536">
        <f t="shared" ca="1" si="264"/>
        <v>2053</v>
      </c>
      <c r="BS331" s="530">
        <v>330</v>
      </c>
      <c r="BT331" s="531">
        <f t="shared" ca="1" si="275"/>
        <v>56211</v>
      </c>
      <c r="BU331" s="532">
        <f ca="1">IF(BU330=0,SUMIFS('Key Life Events'!$L$3:$L$28,'Key Life Events'!$H$3:$H$28,'Loan Amortization'!$BY$3,'Key Life Events'!$N$3:$N$28,'Loan Amortization'!BT331),BU330-BX330)</f>
        <v>0</v>
      </c>
      <c r="BV331" s="532">
        <f t="shared" ca="1" si="280"/>
        <v>0</v>
      </c>
      <c r="BW331" s="532">
        <f t="shared" ca="1" si="276"/>
        <v>0</v>
      </c>
      <c r="BX331" s="532">
        <f t="shared" ca="1" si="265"/>
        <v>0</v>
      </c>
      <c r="CC331" s="536">
        <f t="shared" ca="1" si="266"/>
        <v>2053</v>
      </c>
      <c r="CF331" s="530">
        <v>330</v>
      </c>
      <c r="CG331" s="531">
        <f t="shared" ca="1" si="277"/>
        <v>56211</v>
      </c>
      <c r="CH331" s="532">
        <f ca="1">IF(CH330=0,SUMIFS('Key Life Events'!$L$3:$L$28,'Key Life Events'!$H$3:$H$28,'Loan Amortization'!$CL$3,'Key Life Events'!$N$3:$N$28,'Loan Amortization'!CG331),CH330-CK330)</f>
        <v>0</v>
      </c>
      <c r="CI331" s="532">
        <f t="shared" ca="1" si="278"/>
        <v>0</v>
      </c>
      <c r="CJ331" s="532">
        <f t="shared" ca="1" si="279"/>
        <v>0</v>
      </c>
      <c r="CK331" s="532">
        <f t="shared" ca="1" si="267"/>
        <v>0</v>
      </c>
      <c r="CP331" s="536">
        <f t="shared" ca="1" si="268"/>
        <v>2053</v>
      </c>
      <c r="CS331" s="100">
        <f t="shared" si="257"/>
        <v>330</v>
      </c>
      <c r="CT331" s="102">
        <f t="shared" ca="1" si="258"/>
        <v>0</v>
      </c>
      <c r="CU331" s="102">
        <f t="shared" ca="1" si="259"/>
        <v>0</v>
      </c>
      <c r="CV331" s="511">
        <f t="shared" ca="1" si="269"/>
        <v>2053</v>
      </c>
    </row>
    <row r="332" spans="1:100" x14ac:dyDescent="0.3">
      <c r="A332" s="100">
        <v>331</v>
      </c>
      <c r="B332" s="131">
        <f t="shared" si="234"/>
        <v>9219</v>
      </c>
      <c r="C332" s="102">
        <f t="shared" si="235"/>
        <v>0</v>
      </c>
      <c r="D332" s="102">
        <f t="shared" si="236"/>
        <v>0</v>
      </c>
      <c r="E332" s="102">
        <f t="shared" si="237"/>
        <v>0</v>
      </c>
      <c r="F332" s="102">
        <f t="shared" si="238"/>
        <v>0</v>
      </c>
      <c r="L332" s="100">
        <v>331</v>
      </c>
      <c r="M332" s="131">
        <f t="shared" ca="1" si="239"/>
        <v>56241</v>
      </c>
      <c r="N332" s="102">
        <f t="shared" si="240"/>
        <v>0</v>
      </c>
      <c r="O332" s="102">
        <f t="shared" si="241"/>
        <v>0</v>
      </c>
      <c r="P332" s="102">
        <f t="shared" si="242"/>
        <v>0</v>
      </c>
      <c r="Q332" s="102">
        <f t="shared" si="243"/>
        <v>0</v>
      </c>
      <c r="W332" s="100">
        <v>331</v>
      </c>
      <c r="X332" s="131">
        <f t="shared" ca="1" si="244"/>
        <v>56241</v>
      </c>
      <c r="Y332" s="102">
        <f t="shared" si="245"/>
        <v>0</v>
      </c>
      <c r="Z332" s="102">
        <f t="shared" si="246"/>
        <v>0</v>
      </c>
      <c r="AA332" s="102">
        <f t="shared" si="247"/>
        <v>0</v>
      </c>
      <c r="AB332" s="102">
        <f t="shared" si="248"/>
        <v>0</v>
      </c>
      <c r="AH332" s="100">
        <v>331</v>
      </c>
      <c r="AI332" s="131">
        <f t="shared" ca="1" si="249"/>
        <v>56241</v>
      </c>
      <c r="AJ332" s="102">
        <f t="shared" si="250"/>
        <v>0</v>
      </c>
      <c r="AK332" s="102">
        <f t="shared" si="251"/>
        <v>0</v>
      </c>
      <c r="AL332" s="102">
        <f t="shared" si="252"/>
        <v>0</v>
      </c>
      <c r="AM332" s="102">
        <f t="shared" si="253"/>
        <v>0</v>
      </c>
      <c r="AS332" s="530">
        <v>331</v>
      </c>
      <c r="AT332" s="531">
        <f t="shared" ca="1" si="270"/>
        <v>56241</v>
      </c>
      <c r="AU332" s="532">
        <f ca="1">IF(AU331=0,SUMIFS('Key Life Events'!$L$3:$L$28,'Key Life Events'!$H$3:$H$28,'Loan Amortization'!$AY$3,'Key Life Events'!$N$3:$N$28,'Loan Amortization'!AT332),AU331-AX331)</f>
        <v>0</v>
      </c>
      <c r="AV332" s="532">
        <f t="shared" ca="1" si="271"/>
        <v>0</v>
      </c>
      <c r="AW332" s="532">
        <f t="shared" ca="1" si="260"/>
        <v>0</v>
      </c>
      <c r="AX332" s="532">
        <f t="shared" ca="1" si="261"/>
        <v>0</v>
      </c>
      <c r="BC332" s="536">
        <f t="shared" ca="1" si="262"/>
        <v>2053</v>
      </c>
      <c r="BF332" s="530">
        <v>331</v>
      </c>
      <c r="BG332" s="531">
        <f t="shared" ca="1" si="272"/>
        <v>56241</v>
      </c>
      <c r="BH332" s="532">
        <f ca="1">IF(BH331=0,SUMIFS('Key Life Events'!$L$3:$L$28,'Key Life Events'!$H$3:$H$28,'Loan Amortization'!$BL$3,'Key Life Events'!$N$3:$N$28,'Loan Amortization'!BG332),BH331-BK331)</f>
        <v>0</v>
      </c>
      <c r="BI332" s="532">
        <f t="shared" ca="1" si="273"/>
        <v>0</v>
      </c>
      <c r="BJ332" s="532">
        <f t="shared" ca="1" si="274"/>
        <v>0</v>
      </c>
      <c r="BK332" s="532">
        <f t="shared" ca="1" si="263"/>
        <v>0</v>
      </c>
      <c r="BP332" s="536">
        <f t="shared" ca="1" si="264"/>
        <v>2053</v>
      </c>
      <c r="BS332" s="530">
        <v>331</v>
      </c>
      <c r="BT332" s="531">
        <f t="shared" ca="1" si="275"/>
        <v>56241</v>
      </c>
      <c r="BU332" s="532">
        <f ca="1">IF(BU331=0,SUMIFS('Key Life Events'!$L$3:$L$28,'Key Life Events'!$H$3:$H$28,'Loan Amortization'!$BY$3,'Key Life Events'!$N$3:$N$28,'Loan Amortization'!BT332),BU331-BX331)</f>
        <v>0</v>
      </c>
      <c r="BV332" s="532">
        <f t="shared" ca="1" si="280"/>
        <v>0</v>
      </c>
      <c r="BW332" s="532">
        <f t="shared" ca="1" si="276"/>
        <v>0</v>
      </c>
      <c r="BX332" s="532">
        <f t="shared" ca="1" si="265"/>
        <v>0</v>
      </c>
      <c r="CC332" s="536">
        <f t="shared" ca="1" si="266"/>
        <v>2053</v>
      </c>
      <c r="CF332" s="530">
        <v>331</v>
      </c>
      <c r="CG332" s="531">
        <f t="shared" ca="1" si="277"/>
        <v>56241</v>
      </c>
      <c r="CH332" s="532">
        <f ca="1">IF(CH331=0,SUMIFS('Key Life Events'!$L$3:$L$28,'Key Life Events'!$H$3:$H$28,'Loan Amortization'!$CL$3,'Key Life Events'!$N$3:$N$28,'Loan Amortization'!CG332),CH331-CK331)</f>
        <v>0</v>
      </c>
      <c r="CI332" s="532">
        <f t="shared" ca="1" si="278"/>
        <v>0</v>
      </c>
      <c r="CJ332" s="532">
        <f t="shared" ca="1" si="279"/>
        <v>0</v>
      </c>
      <c r="CK332" s="532">
        <f t="shared" ca="1" si="267"/>
        <v>0</v>
      </c>
      <c r="CP332" s="536">
        <f t="shared" ca="1" si="268"/>
        <v>2053</v>
      </c>
      <c r="CS332" s="100">
        <f t="shared" si="257"/>
        <v>331</v>
      </c>
      <c r="CT332" s="102">
        <f t="shared" ca="1" si="258"/>
        <v>0</v>
      </c>
      <c r="CU332" s="102">
        <f t="shared" ca="1" si="259"/>
        <v>0</v>
      </c>
      <c r="CV332" s="511">
        <f t="shared" ca="1" si="269"/>
        <v>2053</v>
      </c>
    </row>
    <row r="333" spans="1:100" x14ac:dyDescent="0.3">
      <c r="A333" s="100">
        <v>332</v>
      </c>
      <c r="B333" s="131">
        <f t="shared" si="234"/>
        <v>9250</v>
      </c>
      <c r="C333" s="102">
        <f t="shared" si="235"/>
        <v>0</v>
      </c>
      <c r="D333" s="102">
        <f t="shared" si="236"/>
        <v>0</v>
      </c>
      <c r="E333" s="102">
        <f t="shared" si="237"/>
        <v>0</v>
      </c>
      <c r="F333" s="102">
        <f t="shared" si="238"/>
        <v>0</v>
      </c>
      <c r="L333" s="100">
        <v>332</v>
      </c>
      <c r="M333" s="131">
        <f t="shared" ca="1" si="239"/>
        <v>56272</v>
      </c>
      <c r="N333" s="102">
        <f t="shared" si="240"/>
        <v>0</v>
      </c>
      <c r="O333" s="102">
        <f t="shared" si="241"/>
        <v>0</v>
      </c>
      <c r="P333" s="102">
        <f t="shared" si="242"/>
        <v>0</v>
      </c>
      <c r="Q333" s="102">
        <f t="shared" si="243"/>
        <v>0</v>
      </c>
      <c r="W333" s="100">
        <v>332</v>
      </c>
      <c r="X333" s="131">
        <f t="shared" ca="1" si="244"/>
        <v>56272</v>
      </c>
      <c r="Y333" s="102">
        <f t="shared" si="245"/>
        <v>0</v>
      </c>
      <c r="Z333" s="102">
        <f t="shared" si="246"/>
        <v>0</v>
      </c>
      <c r="AA333" s="102">
        <f t="shared" si="247"/>
        <v>0</v>
      </c>
      <c r="AB333" s="102">
        <f t="shared" si="248"/>
        <v>0</v>
      </c>
      <c r="AH333" s="100">
        <v>332</v>
      </c>
      <c r="AI333" s="131">
        <f t="shared" ca="1" si="249"/>
        <v>56272</v>
      </c>
      <c r="AJ333" s="102">
        <f t="shared" si="250"/>
        <v>0</v>
      </c>
      <c r="AK333" s="102">
        <f t="shared" si="251"/>
        <v>0</v>
      </c>
      <c r="AL333" s="102">
        <f t="shared" si="252"/>
        <v>0</v>
      </c>
      <c r="AM333" s="102">
        <f t="shared" si="253"/>
        <v>0</v>
      </c>
      <c r="AS333" s="530">
        <v>332</v>
      </c>
      <c r="AT333" s="531">
        <f t="shared" ca="1" si="270"/>
        <v>56272</v>
      </c>
      <c r="AU333" s="532">
        <f ca="1">IF(AU332=0,SUMIFS('Key Life Events'!$L$3:$L$28,'Key Life Events'!$H$3:$H$28,'Loan Amortization'!$AY$3,'Key Life Events'!$N$3:$N$28,'Loan Amortization'!AT333),AU332-AX332)</f>
        <v>0</v>
      </c>
      <c r="AV333" s="532">
        <f t="shared" ca="1" si="271"/>
        <v>0</v>
      </c>
      <c r="AW333" s="532">
        <f t="shared" ca="1" si="260"/>
        <v>0</v>
      </c>
      <c r="AX333" s="532">
        <f t="shared" ca="1" si="261"/>
        <v>0</v>
      </c>
      <c r="BC333" s="536">
        <f t="shared" ca="1" si="262"/>
        <v>2054</v>
      </c>
      <c r="BF333" s="530">
        <v>332</v>
      </c>
      <c r="BG333" s="531">
        <f t="shared" ca="1" si="272"/>
        <v>56272</v>
      </c>
      <c r="BH333" s="532">
        <f ca="1">IF(BH332=0,SUMIFS('Key Life Events'!$L$3:$L$28,'Key Life Events'!$H$3:$H$28,'Loan Amortization'!$BL$3,'Key Life Events'!$N$3:$N$28,'Loan Amortization'!BG333),BH332-BK332)</f>
        <v>0</v>
      </c>
      <c r="BI333" s="532">
        <f t="shared" ca="1" si="273"/>
        <v>0</v>
      </c>
      <c r="BJ333" s="532">
        <f t="shared" ca="1" si="274"/>
        <v>0</v>
      </c>
      <c r="BK333" s="532">
        <f t="shared" ca="1" si="263"/>
        <v>0</v>
      </c>
      <c r="BP333" s="536">
        <f t="shared" ca="1" si="264"/>
        <v>2054</v>
      </c>
      <c r="BS333" s="530">
        <v>332</v>
      </c>
      <c r="BT333" s="531">
        <f t="shared" ca="1" si="275"/>
        <v>56272</v>
      </c>
      <c r="BU333" s="532">
        <f ca="1">IF(BU332=0,SUMIFS('Key Life Events'!$L$3:$L$28,'Key Life Events'!$H$3:$H$28,'Loan Amortization'!$BY$3,'Key Life Events'!$N$3:$N$28,'Loan Amortization'!BT333),BU332-BX332)</f>
        <v>0</v>
      </c>
      <c r="BV333" s="532">
        <f t="shared" ca="1" si="280"/>
        <v>0</v>
      </c>
      <c r="BW333" s="532">
        <f t="shared" ca="1" si="276"/>
        <v>0</v>
      </c>
      <c r="BX333" s="532">
        <f t="shared" ca="1" si="265"/>
        <v>0</v>
      </c>
      <c r="CC333" s="536">
        <f t="shared" ca="1" si="266"/>
        <v>2054</v>
      </c>
      <c r="CF333" s="530">
        <v>332</v>
      </c>
      <c r="CG333" s="531">
        <f t="shared" ca="1" si="277"/>
        <v>56272</v>
      </c>
      <c r="CH333" s="532">
        <f ca="1">IF(CH332=0,SUMIFS('Key Life Events'!$L$3:$L$28,'Key Life Events'!$H$3:$H$28,'Loan Amortization'!$CL$3,'Key Life Events'!$N$3:$N$28,'Loan Amortization'!CG333),CH332-CK332)</f>
        <v>0</v>
      </c>
      <c r="CI333" s="532">
        <f t="shared" ca="1" si="278"/>
        <v>0</v>
      </c>
      <c r="CJ333" s="532">
        <f t="shared" ca="1" si="279"/>
        <v>0</v>
      </c>
      <c r="CK333" s="532">
        <f t="shared" ca="1" si="267"/>
        <v>0</v>
      </c>
      <c r="CP333" s="536">
        <f t="shared" ca="1" si="268"/>
        <v>2054</v>
      </c>
      <c r="CS333" s="100">
        <f t="shared" si="257"/>
        <v>332</v>
      </c>
      <c r="CT333" s="102">
        <f t="shared" ca="1" si="258"/>
        <v>0</v>
      </c>
      <c r="CU333" s="102">
        <f t="shared" ca="1" si="259"/>
        <v>0</v>
      </c>
      <c r="CV333" s="511">
        <f t="shared" ca="1" si="269"/>
        <v>2054</v>
      </c>
    </row>
    <row r="334" spans="1:100" x14ac:dyDescent="0.3">
      <c r="A334" s="100">
        <v>333</v>
      </c>
      <c r="B334" s="131">
        <f t="shared" si="234"/>
        <v>9280</v>
      </c>
      <c r="C334" s="102">
        <f t="shared" si="235"/>
        <v>0</v>
      </c>
      <c r="D334" s="102">
        <f t="shared" si="236"/>
        <v>0</v>
      </c>
      <c r="E334" s="102">
        <f t="shared" si="237"/>
        <v>0</v>
      </c>
      <c r="F334" s="102">
        <f t="shared" si="238"/>
        <v>0</v>
      </c>
      <c r="L334" s="100">
        <v>333</v>
      </c>
      <c r="M334" s="131">
        <f t="shared" ca="1" si="239"/>
        <v>56303</v>
      </c>
      <c r="N334" s="102">
        <f t="shared" si="240"/>
        <v>0</v>
      </c>
      <c r="O334" s="102">
        <f t="shared" si="241"/>
        <v>0</v>
      </c>
      <c r="P334" s="102">
        <f t="shared" si="242"/>
        <v>0</v>
      </c>
      <c r="Q334" s="102">
        <f t="shared" si="243"/>
        <v>0</v>
      </c>
      <c r="W334" s="100">
        <v>333</v>
      </c>
      <c r="X334" s="131">
        <f t="shared" ca="1" si="244"/>
        <v>56303</v>
      </c>
      <c r="Y334" s="102">
        <f t="shared" si="245"/>
        <v>0</v>
      </c>
      <c r="Z334" s="102">
        <f t="shared" si="246"/>
        <v>0</v>
      </c>
      <c r="AA334" s="102">
        <f t="shared" si="247"/>
        <v>0</v>
      </c>
      <c r="AB334" s="102">
        <f t="shared" si="248"/>
        <v>0</v>
      </c>
      <c r="AH334" s="100">
        <v>333</v>
      </c>
      <c r="AI334" s="131">
        <f t="shared" ca="1" si="249"/>
        <v>56303</v>
      </c>
      <c r="AJ334" s="102">
        <f t="shared" si="250"/>
        <v>0</v>
      </c>
      <c r="AK334" s="102">
        <f t="shared" si="251"/>
        <v>0</v>
      </c>
      <c r="AL334" s="102">
        <f t="shared" si="252"/>
        <v>0</v>
      </c>
      <c r="AM334" s="102">
        <f t="shared" si="253"/>
        <v>0</v>
      </c>
      <c r="AS334" s="530">
        <v>333</v>
      </c>
      <c r="AT334" s="531">
        <f t="shared" ca="1" si="270"/>
        <v>56303</v>
      </c>
      <c r="AU334" s="532">
        <f ca="1">IF(AU333=0,SUMIFS('Key Life Events'!$L$3:$L$28,'Key Life Events'!$H$3:$H$28,'Loan Amortization'!$AY$3,'Key Life Events'!$N$3:$N$28,'Loan Amortization'!AT334),AU333-AX333)</f>
        <v>0</v>
      </c>
      <c r="AV334" s="532">
        <f t="shared" ca="1" si="271"/>
        <v>0</v>
      </c>
      <c r="AW334" s="532">
        <f t="shared" ca="1" si="260"/>
        <v>0</v>
      </c>
      <c r="AX334" s="532">
        <f t="shared" ca="1" si="261"/>
        <v>0</v>
      </c>
      <c r="BC334" s="536">
        <f t="shared" ca="1" si="262"/>
        <v>2054</v>
      </c>
      <c r="BF334" s="530">
        <v>333</v>
      </c>
      <c r="BG334" s="531">
        <f t="shared" ca="1" si="272"/>
        <v>56303</v>
      </c>
      <c r="BH334" s="532">
        <f ca="1">IF(BH333=0,SUMIFS('Key Life Events'!$L$3:$L$28,'Key Life Events'!$H$3:$H$28,'Loan Amortization'!$BL$3,'Key Life Events'!$N$3:$N$28,'Loan Amortization'!BG334),BH333-BK333)</f>
        <v>0</v>
      </c>
      <c r="BI334" s="532">
        <f t="shared" ca="1" si="273"/>
        <v>0</v>
      </c>
      <c r="BJ334" s="532">
        <f t="shared" ca="1" si="274"/>
        <v>0</v>
      </c>
      <c r="BK334" s="532">
        <f t="shared" ca="1" si="263"/>
        <v>0</v>
      </c>
      <c r="BP334" s="536">
        <f t="shared" ca="1" si="264"/>
        <v>2054</v>
      </c>
      <c r="BS334" s="530">
        <v>333</v>
      </c>
      <c r="BT334" s="531">
        <f t="shared" ca="1" si="275"/>
        <v>56303</v>
      </c>
      <c r="BU334" s="532">
        <f ca="1">IF(BU333=0,SUMIFS('Key Life Events'!$L$3:$L$28,'Key Life Events'!$H$3:$H$28,'Loan Amortization'!$BY$3,'Key Life Events'!$N$3:$N$28,'Loan Amortization'!BT334),BU333-BX333)</f>
        <v>0</v>
      </c>
      <c r="BV334" s="532">
        <f t="shared" ca="1" si="280"/>
        <v>0</v>
      </c>
      <c r="BW334" s="532">
        <f t="shared" ca="1" si="276"/>
        <v>0</v>
      </c>
      <c r="BX334" s="532">
        <f t="shared" ca="1" si="265"/>
        <v>0</v>
      </c>
      <c r="CC334" s="536">
        <f t="shared" ca="1" si="266"/>
        <v>2054</v>
      </c>
      <c r="CF334" s="530">
        <v>333</v>
      </c>
      <c r="CG334" s="531">
        <f t="shared" ca="1" si="277"/>
        <v>56303</v>
      </c>
      <c r="CH334" s="532">
        <f ca="1">IF(CH333=0,SUMIFS('Key Life Events'!$L$3:$L$28,'Key Life Events'!$H$3:$H$28,'Loan Amortization'!$CL$3,'Key Life Events'!$N$3:$N$28,'Loan Amortization'!CG334),CH333-CK333)</f>
        <v>0</v>
      </c>
      <c r="CI334" s="532">
        <f t="shared" ca="1" si="278"/>
        <v>0</v>
      </c>
      <c r="CJ334" s="532">
        <f t="shared" ca="1" si="279"/>
        <v>0</v>
      </c>
      <c r="CK334" s="532">
        <f t="shared" ca="1" si="267"/>
        <v>0</v>
      </c>
      <c r="CP334" s="536">
        <f t="shared" ca="1" si="268"/>
        <v>2054</v>
      </c>
      <c r="CS334" s="100">
        <f t="shared" si="257"/>
        <v>333</v>
      </c>
      <c r="CT334" s="102">
        <f t="shared" ca="1" si="258"/>
        <v>0</v>
      </c>
      <c r="CU334" s="102">
        <f t="shared" ca="1" si="259"/>
        <v>0</v>
      </c>
      <c r="CV334" s="511">
        <f t="shared" ca="1" si="269"/>
        <v>2054</v>
      </c>
    </row>
    <row r="335" spans="1:100" x14ac:dyDescent="0.3">
      <c r="A335" s="100">
        <v>334</v>
      </c>
      <c r="B335" s="131">
        <f t="shared" si="234"/>
        <v>9311</v>
      </c>
      <c r="C335" s="102">
        <f t="shared" si="235"/>
        <v>0</v>
      </c>
      <c r="D335" s="102">
        <f t="shared" si="236"/>
        <v>0</v>
      </c>
      <c r="E335" s="102">
        <f t="shared" si="237"/>
        <v>0</v>
      </c>
      <c r="F335" s="102">
        <f t="shared" si="238"/>
        <v>0</v>
      </c>
      <c r="L335" s="100">
        <v>334</v>
      </c>
      <c r="M335" s="131">
        <f t="shared" ca="1" si="239"/>
        <v>56331</v>
      </c>
      <c r="N335" s="102">
        <f t="shared" si="240"/>
        <v>0</v>
      </c>
      <c r="O335" s="102">
        <f t="shared" si="241"/>
        <v>0</v>
      </c>
      <c r="P335" s="102">
        <f t="shared" si="242"/>
        <v>0</v>
      </c>
      <c r="Q335" s="102">
        <f t="shared" si="243"/>
        <v>0</v>
      </c>
      <c r="W335" s="100">
        <v>334</v>
      </c>
      <c r="X335" s="131">
        <f t="shared" ca="1" si="244"/>
        <v>56331</v>
      </c>
      <c r="Y335" s="102">
        <f t="shared" si="245"/>
        <v>0</v>
      </c>
      <c r="Z335" s="102">
        <f t="shared" si="246"/>
        <v>0</v>
      </c>
      <c r="AA335" s="102">
        <f t="shared" si="247"/>
        <v>0</v>
      </c>
      <c r="AB335" s="102">
        <f t="shared" si="248"/>
        <v>0</v>
      </c>
      <c r="AH335" s="100">
        <v>334</v>
      </c>
      <c r="AI335" s="131">
        <f t="shared" ca="1" si="249"/>
        <v>56331</v>
      </c>
      <c r="AJ335" s="102">
        <f t="shared" si="250"/>
        <v>0</v>
      </c>
      <c r="AK335" s="102">
        <f t="shared" si="251"/>
        <v>0</v>
      </c>
      <c r="AL335" s="102">
        <f t="shared" si="252"/>
        <v>0</v>
      </c>
      <c r="AM335" s="102">
        <f t="shared" si="253"/>
        <v>0</v>
      </c>
      <c r="AS335" s="530">
        <v>334</v>
      </c>
      <c r="AT335" s="531">
        <f t="shared" ca="1" si="270"/>
        <v>56331</v>
      </c>
      <c r="AU335" s="532">
        <f ca="1">IF(AU334=0,SUMIFS('Key Life Events'!$L$3:$L$28,'Key Life Events'!$H$3:$H$28,'Loan Amortization'!$AY$3,'Key Life Events'!$N$3:$N$28,'Loan Amortization'!AT335),AU334-AX334)</f>
        <v>0</v>
      </c>
      <c r="AV335" s="532">
        <f t="shared" ca="1" si="271"/>
        <v>0</v>
      </c>
      <c r="AW335" s="532">
        <f t="shared" ca="1" si="260"/>
        <v>0</v>
      </c>
      <c r="AX335" s="532">
        <f t="shared" ca="1" si="261"/>
        <v>0</v>
      </c>
      <c r="BC335" s="536">
        <f t="shared" ca="1" si="262"/>
        <v>2054</v>
      </c>
      <c r="BF335" s="530">
        <v>334</v>
      </c>
      <c r="BG335" s="531">
        <f t="shared" ca="1" si="272"/>
        <v>56331</v>
      </c>
      <c r="BH335" s="532">
        <f ca="1">IF(BH334=0,SUMIFS('Key Life Events'!$L$3:$L$28,'Key Life Events'!$H$3:$H$28,'Loan Amortization'!$BL$3,'Key Life Events'!$N$3:$N$28,'Loan Amortization'!BG335),BH334-BK334)</f>
        <v>0</v>
      </c>
      <c r="BI335" s="532">
        <f t="shared" ca="1" si="273"/>
        <v>0</v>
      </c>
      <c r="BJ335" s="532">
        <f t="shared" ca="1" si="274"/>
        <v>0</v>
      </c>
      <c r="BK335" s="532">
        <f t="shared" ca="1" si="263"/>
        <v>0</v>
      </c>
      <c r="BP335" s="536">
        <f t="shared" ca="1" si="264"/>
        <v>2054</v>
      </c>
      <c r="BS335" s="530">
        <v>334</v>
      </c>
      <c r="BT335" s="531">
        <f t="shared" ca="1" si="275"/>
        <v>56331</v>
      </c>
      <c r="BU335" s="532">
        <f ca="1">IF(BU334=0,SUMIFS('Key Life Events'!$L$3:$L$28,'Key Life Events'!$H$3:$H$28,'Loan Amortization'!$BY$3,'Key Life Events'!$N$3:$N$28,'Loan Amortization'!BT335),BU334-BX334)</f>
        <v>0</v>
      </c>
      <c r="BV335" s="532">
        <f t="shared" ca="1" si="280"/>
        <v>0</v>
      </c>
      <c r="BW335" s="532">
        <f t="shared" ca="1" si="276"/>
        <v>0</v>
      </c>
      <c r="BX335" s="532">
        <f t="shared" ca="1" si="265"/>
        <v>0</v>
      </c>
      <c r="CC335" s="536">
        <f t="shared" ca="1" si="266"/>
        <v>2054</v>
      </c>
      <c r="CF335" s="530">
        <v>334</v>
      </c>
      <c r="CG335" s="531">
        <f t="shared" ca="1" si="277"/>
        <v>56331</v>
      </c>
      <c r="CH335" s="532">
        <f ca="1">IF(CH334=0,SUMIFS('Key Life Events'!$L$3:$L$28,'Key Life Events'!$H$3:$H$28,'Loan Amortization'!$CL$3,'Key Life Events'!$N$3:$N$28,'Loan Amortization'!CG335),CH334-CK334)</f>
        <v>0</v>
      </c>
      <c r="CI335" s="532">
        <f t="shared" ca="1" si="278"/>
        <v>0</v>
      </c>
      <c r="CJ335" s="532">
        <f t="shared" ca="1" si="279"/>
        <v>0</v>
      </c>
      <c r="CK335" s="532">
        <f t="shared" ca="1" si="267"/>
        <v>0</v>
      </c>
      <c r="CP335" s="536">
        <f t="shared" ca="1" si="268"/>
        <v>2054</v>
      </c>
      <c r="CS335" s="100">
        <f t="shared" si="257"/>
        <v>334</v>
      </c>
      <c r="CT335" s="102">
        <f t="shared" ca="1" si="258"/>
        <v>0</v>
      </c>
      <c r="CU335" s="102">
        <f t="shared" ca="1" si="259"/>
        <v>0</v>
      </c>
      <c r="CV335" s="511">
        <f t="shared" ca="1" si="269"/>
        <v>2054</v>
      </c>
    </row>
    <row r="336" spans="1:100" x14ac:dyDescent="0.3">
      <c r="A336" s="100">
        <v>335</v>
      </c>
      <c r="B336" s="131">
        <f t="shared" si="234"/>
        <v>9341</v>
      </c>
      <c r="C336" s="102">
        <f t="shared" si="235"/>
        <v>0</v>
      </c>
      <c r="D336" s="102">
        <f t="shared" si="236"/>
        <v>0</v>
      </c>
      <c r="E336" s="102">
        <f t="shared" si="237"/>
        <v>0</v>
      </c>
      <c r="F336" s="102">
        <f t="shared" si="238"/>
        <v>0</v>
      </c>
      <c r="L336" s="100">
        <v>335</v>
      </c>
      <c r="M336" s="131">
        <f t="shared" ca="1" si="239"/>
        <v>56362</v>
      </c>
      <c r="N336" s="102">
        <f t="shared" si="240"/>
        <v>0</v>
      </c>
      <c r="O336" s="102">
        <f t="shared" si="241"/>
        <v>0</v>
      </c>
      <c r="P336" s="102">
        <f t="shared" si="242"/>
        <v>0</v>
      </c>
      <c r="Q336" s="102">
        <f t="shared" si="243"/>
        <v>0</v>
      </c>
      <c r="W336" s="100">
        <v>335</v>
      </c>
      <c r="X336" s="131">
        <f t="shared" ca="1" si="244"/>
        <v>56362</v>
      </c>
      <c r="Y336" s="102">
        <f t="shared" si="245"/>
        <v>0</v>
      </c>
      <c r="Z336" s="102">
        <f t="shared" si="246"/>
        <v>0</v>
      </c>
      <c r="AA336" s="102">
        <f t="shared" si="247"/>
        <v>0</v>
      </c>
      <c r="AB336" s="102">
        <f t="shared" si="248"/>
        <v>0</v>
      </c>
      <c r="AH336" s="100">
        <v>335</v>
      </c>
      <c r="AI336" s="131">
        <f t="shared" ca="1" si="249"/>
        <v>56362</v>
      </c>
      <c r="AJ336" s="102">
        <f t="shared" si="250"/>
        <v>0</v>
      </c>
      <c r="AK336" s="102">
        <f t="shared" si="251"/>
        <v>0</v>
      </c>
      <c r="AL336" s="102">
        <f t="shared" si="252"/>
        <v>0</v>
      </c>
      <c r="AM336" s="102">
        <f t="shared" si="253"/>
        <v>0</v>
      </c>
      <c r="AS336" s="530">
        <v>335</v>
      </c>
      <c r="AT336" s="531">
        <f t="shared" ca="1" si="270"/>
        <v>56362</v>
      </c>
      <c r="AU336" s="532">
        <f ca="1">IF(AU335=0,SUMIFS('Key Life Events'!$L$3:$L$28,'Key Life Events'!$H$3:$H$28,'Loan Amortization'!$AY$3,'Key Life Events'!$N$3:$N$28,'Loan Amortization'!AT336),AU335-AX335)</f>
        <v>0</v>
      </c>
      <c r="AV336" s="532">
        <f t="shared" ca="1" si="271"/>
        <v>0</v>
      </c>
      <c r="AW336" s="532">
        <f t="shared" ca="1" si="260"/>
        <v>0</v>
      </c>
      <c r="AX336" s="532">
        <f t="shared" ca="1" si="261"/>
        <v>0</v>
      </c>
      <c r="BC336" s="536">
        <f t="shared" ca="1" si="262"/>
        <v>2054</v>
      </c>
      <c r="BF336" s="530">
        <v>335</v>
      </c>
      <c r="BG336" s="531">
        <f t="shared" ca="1" si="272"/>
        <v>56362</v>
      </c>
      <c r="BH336" s="532">
        <f ca="1">IF(BH335=0,SUMIFS('Key Life Events'!$L$3:$L$28,'Key Life Events'!$H$3:$H$28,'Loan Amortization'!$BL$3,'Key Life Events'!$N$3:$N$28,'Loan Amortization'!BG336),BH335-BK335)</f>
        <v>0</v>
      </c>
      <c r="BI336" s="532">
        <f t="shared" ca="1" si="273"/>
        <v>0</v>
      </c>
      <c r="BJ336" s="532">
        <f t="shared" ca="1" si="274"/>
        <v>0</v>
      </c>
      <c r="BK336" s="532">
        <f t="shared" ca="1" si="263"/>
        <v>0</v>
      </c>
      <c r="BP336" s="536">
        <f t="shared" ca="1" si="264"/>
        <v>2054</v>
      </c>
      <c r="BS336" s="530">
        <v>335</v>
      </c>
      <c r="BT336" s="531">
        <f t="shared" ca="1" si="275"/>
        <v>56362</v>
      </c>
      <c r="BU336" s="532">
        <f ca="1">IF(BU335=0,SUMIFS('Key Life Events'!$L$3:$L$28,'Key Life Events'!$H$3:$H$28,'Loan Amortization'!$BY$3,'Key Life Events'!$N$3:$N$28,'Loan Amortization'!BT336),BU335-BX335)</f>
        <v>0</v>
      </c>
      <c r="BV336" s="532">
        <f t="shared" ca="1" si="280"/>
        <v>0</v>
      </c>
      <c r="BW336" s="532">
        <f t="shared" ca="1" si="276"/>
        <v>0</v>
      </c>
      <c r="BX336" s="532">
        <f t="shared" ca="1" si="265"/>
        <v>0</v>
      </c>
      <c r="CC336" s="536">
        <f t="shared" ca="1" si="266"/>
        <v>2054</v>
      </c>
      <c r="CF336" s="530">
        <v>335</v>
      </c>
      <c r="CG336" s="531">
        <f t="shared" ca="1" si="277"/>
        <v>56362</v>
      </c>
      <c r="CH336" s="532">
        <f ca="1">IF(CH335=0,SUMIFS('Key Life Events'!$L$3:$L$28,'Key Life Events'!$H$3:$H$28,'Loan Amortization'!$CL$3,'Key Life Events'!$N$3:$N$28,'Loan Amortization'!CG336),CH335-CK335)</f>
        <v>0</v>
      </c>
      <c r="CI336" s="532">
        <f t="shared" ca="1" si="278"/>
        <v>0</v>
      </c>
      <c r="CJ336" s="532">
        <f t="shared" ca="1" si="279"/>
        <v>0</v>
      </c>
      <c r="CK336" s="532">
        <f t="shared" ca="1" si="267"/>
        <v>0</v>
      </c>
      <c r="CP336" s="536">
        <f t="shared" ca="1" si="268"/>
        <v>2054</v>
      </c>
      <c r="CS336" s="100">
        <f t="shared" si="257"/>
        <v>335</v>
      </c>
      <c r="CT336" s="102">
        <f t="shared" ca="1" si="258"/>
        <v>0</v>
      </c>
      <c r="CU336" s="102">
        <f t="shared" ca="1" si="259"/>
        <v>0</v>
      </c>
      <c r="CV336" s="511">
        <f t="shared" ca="1" si="269"/>
        <v>2054</v>
      </c>
    </row>
    <row r="337" spans="1:100" x14ac:dyDescent="0.3">
      <c r="A337" s="100">
        <v>336</v>
      </c>
      <c r="B337" s="131">
        <f t="shared" si="234"/>
        <v>9372</v>
      </c>
      <c r="C337" s="102">
        <f t="shared" si="235"/>
        <v>0</v>
      </c>
      <c r="D337" s="102">
        <f t="shared" si="236"/>
        <v>0</v>
      </c>
      <c r="E337" s="102">
        <f t="shared" si="237"/>
        <v>0</v>
      </c>
      <c r="F337" s="102">
        <f t="shared" si="238"/>
        <v>0</v>
      </c>
      <c r="L337" s="100">
        <v>336</v>
      </c>
      <c r="M337" s="131">
        <f t="shared" ca="1" si="239"/>
        <v>56392</v>
      </c>
      <c r="N337" s="102">
        <f t="shared" si="240"/>
        <v>0</v>
      </c>
      <c r="O337" s="102">
        <f t="shared" si="241"/>
        <v>0</v>
      </c>
      <c r="P337" s="102">
        <f t="shared" si="242"/>
        <v>0</v>
      </c>
      <c r="Q337" s="102">
        <f t="shared" si="243"/>
        <v>0</v>
      </c>
      <c r="W337" s="100">
        <v>336</v>
      </c>
      <c r="X337" s="131">
        <f t="shared" ca="1" si="244"/>
        <v>56392</v>
      </c>
      <c r="Y337" s="102">
        <f t="shared" si="245"/>
        <v>0</v>
      </c>
      <c r="Z337" s="102">
        <f t="shared" si="246"/>
        <v>0</v>
      </c>
      <c r="AA337" s="102">
        <f t="shared" si="247"/>
        <v>0</v>
      </c>
      <c r="AB337" s="102">
        <f t="shared" si="248"/>
        <v>0</v>
      </c>
      <c r="AH337" s="100">
        <v>336</v>
      </c>
      <c r="AI337" s="131">
        <f t="shared" ca="1" si="249"/>
        <v>56392</v>
      </c>
      <c r="AJ337" s="102">
        <f t="shared" si="250"/>
        <v>0</v>
      </c>
      <c r="AK337" s="102">
        <f t="shared" si="251"/>
        <v>0</v>
      </c>
      <c r="AL337" s="102">
        <f t="shared" si="252"/>
        <v>0</v>
      </c>
      <c r="AM337" s="102">
        <f t="shared" si="253"/>
        <v>0</v>
      </c>
      <c r="AS337" s="530">
        <v>336</v>
      </c>
      <c r="AT337" s="531">
        <f t="shared" ca="1" si="270"/>
        <v>56392</v>
      </c>
      <c r="AU337" s="532">
        <f ca="1">IF(AU336=0,SUMIFS('Key Life Events'!$L$3:$L$28,'Key Life Events'!$H$3:$H$28,'Loan Amortization'!$AY$3,'Key Life Events'!$N$3:$N$28,'Loan Amortization'!AT337),AU336-AX336)</f>
        <v>0</v>
      </c>
      <c r="AV337" s="532">
        <f t="shared" ca="1" si="271"/>
        <v>0</v>
      </c>
      <c r="AW337" s="532">
        <f t="shared" ca="1" si="260"/>
        <v>0</v>
      </c>
      <c r="AX337" s="532">
        <f t="shared" ca="1" si="261"/>
        <v>0</v>
      </c>
      <c r="BC337" s="536">
        <f t="shared" ca="1" si="262"/>
        <v>2054</v>
      </c>
      <c r="BF337" s="530">
        <v>336</v>
      </c>
      <c r="BG337" s="531">
        <f t="shared" ca="1" si="272"/>
        <v>56392</v>
      </c>
      <c r="BH337" s="532">
        <f ca="1">IF(BH336=0,SUMIFS('Key Life Events'!$L$3:$L$28,'Key Life Events'!$H$3:$H$28,'Loan Amortization'!$BL$3,'Key Life Events'!$N$3:$N$28,'Loan Amortization'!BG337),BH336-BK336)</f>
        <v>0</v>
      </c>
      <c r="BI337" s="532">
        <f t="shared" ca="1" si="273"/>
        <v>0</v>
      </c>
      <c r="BJ337" s="532">
        <f t="shared" ca="1" si="274"/>
        <v>0</v>
      </c>
      <c r="BK337" s="532">
        <f t="shared" ca="1" si="263"/>
        <v>0</v>
      </c>
      <c r="BP337" s="536">
        <f t="shared" ca="1" si="264"/>
        <v>2054</v>
      </c>
      <c r="BS337" s="530">
        <v>336</v>
      </c>
      <c r="BT337" s="531">
        <f t="shared" ca="1" si="275"/>
        <v>56392</v>
      </c>
      <c r="BU337" s="532">
        <f ca="1">IF(BU336=0,SUMIFS('Key Life Events'!$L$3:$L$28,'Key Life Events'!$H$3:$H$28,'Loan Amortization'!$BY$3,'Key Life Events'!$N$3:$N$28,'Loan Amortization'!BT337),BU336-BX336)</f>
        <v>0</v>
      </c>
      <c r="BV337" s="532">
        <f t="shared" ca="1" si="280"/>
        <v>0</v>
      </c>
      <c r="BW337" s="532">
        <f t="shared" ca="1" si="276"/>
        <v>0</v>
      </c>
      <c r="BX337" s="532">
        <f t="shared" ca="1" si="265"/>
        <v>0</v>
      </c>
      <c r="CC337" s="536">
        <f t="shared" ca="1" si="266"/>
        <v>2054</v>
      </c>
      <c r="CF337" s="530">
        <v>336</v>
      </c>
      <c r="CG337" s="531">
        <f t="shared" ca="1" si="277"/>
        <v>56392</v>
      </c>
      <c r="CH337" s="532">
        <f ca="1">IF(CH336=0,SUMIFS('Key Life Events'!$L$3:$L$28,'Key Life Events'!$H$3:$H$28,'Loan Amortization'!$CL$3,'Key Life Events'!$N$3:$N$28,'Loan Amortization'!CG337),CH336-CK336)</f>
        <v>0</v>
      </c>
      <c r="CI337" s="532">
        <f t="shared" ca="1" si="278"/>
        <v>0</v>
      </c>
      <c r="CJ337" s="532">
        <f t="shared" ca="1" si="279"/>
        <v>0</v>
      </c>
      <c r="CK337" s="532">
        <f t="shared" ca="1" si="267"/>
        <v>0</v>
      </c>
      <c r="CP337" s="536">
        <f t="shared" ca="1" si="268"/>
        <v>2054</v>
      </c>
      <c r="CS337" s="100">
        <f t="shared" si="257"/>
        <v>336</v>
      </c>
      <c r="CT337" s="102">
        <f t="shared" ca="1" si="258"/>
        <v>0</v>
      </c>
      <c r="CU337" s="102">
        <f t="shared" ca="1" si="259"/>
        <v>0</v>
      </c>
      <c r="CV337" s="511">
        <f t="shared" ca="1" si="269"/>
        <v>2054</v>
      </c>
    </row>
    <row r="338" spans="1:100" x14ac:dyDescent="0.3">
      <c r="A338" s="100">
        <v>337</v>
      </c>
      <c r="B338" s="131">
        <f t="shared" si="234"/>
        <v>9403</v>
      </c>
      <c r="C338" s="102">
        <f t="shared" si="235"/>
        <v>0</v>
      </c>
      <c r="D338" s="102">
        <f t="shared" si="236"/>
        <v>0</v>
      </c>
      <c r="E338" s="102">
        <f t="shared" si="237"/>
        <v>0</v>
      </c>
      <c r="F338" s="102">
        <f t="shared" si="238"/>
        <v>0</v>
      </c>
      <c r="L338" s="100">
        <v>337</v>
      </c>
      <c r="M338" s="131">
        <f t="shared" ca="1" si="239"/>
        <v>56423</v>
      </c>
      <c r="N338" s="102">
        <f t="shared" si="240"/>
        <v>0</v>
      </c>
      <c r="O338" s="102">
        <f t="shared" si="241"/>
        <v>0</v>
      </c>
      <c r="P338" s="102">
        <f t="shared" si="242"/>
        <v>0</v>
      </c>
      <c r="Q338" s="102">
        <f t="shared" si="243"/>
        <v>0</v>
      </c>
      <c r="W338" s="100">
        <v>337</v>
      </c>
      <c r="X338" s="131">
        <f t="shared" ca="1" si="244"/>
        <v>56423</v>
      </c>
      <c r="Y338" s="102">
        <f t="shared" si="245"/>
        <v>0</v>
      </c>
      <c r="Z338" s="102">
        <f t="shared" si="246"/>
        <v>0</v>
      </c>
      <c r="AA338" s="102">
        <f t="shared" si="247"/>
        <v>0</v>
      </c>
      <c r="AB338" s="102">
        <f t="shared" si="248"/>
        <v>0</v>
      </c>
      <c r="AH338" s="100">
        <v>337</v>
      </c>
      <c r="AI338" s="131">
        <f t="shared" ca="1" si="249"/>
        <v>56423</v>
      </c>
      <c r="AJ338" s="102">
        <f t="shared" si="250"/>
        <v>0</v>
      </c>
      <c r="AK338" s="102">
        <f t="shared" si="251"/>
        <v>0</v>
      </c>
      <c r="AL338" s="102">
        <f t="shared" si="252"/>
        <v>0</v>
      </c>
      <c r="AM338" s="102">
        <f t="shared" si="253"/>
        <v>0</v>
      </c>
      <c r="AS338" s="530">
        <v>337</v>
      </c>
      <c r="AT338" s="531">
        <f t="shared" ca="1" si="270"/>
        <v>56423</v>
      </c>
      <c r="AU338" s="532">
        <f ca="1">IF(AU337=0,SUMIFS('Key Life Events'!$L$3:$L$28,'Key Life Events'!$H$3:$H$28,'Loan Amortization'!$AY$3,'Key Life Events'!$N$3:$N$28,'Loan Amortization'!AT338),AU337-AX337)</f>
        <v>0</v>
      </c>
      <c r="AV338" s="532">
        <f t="shared" ca="1" si="271"/>
        <v>0</v>
      </c>
      <c r="AW338" s="532">
        <f t="shared" ca="1" si="260"/>
        <v>0</v>
      </c>
      <c r="AX338" s="532">
        <f t="shared" ca="1" si="261"/>
        <v>0</v>
      </c>
      <c r="BC338" s="536">
        <f t="shared" ca="1" si="262"/>
        <v>2054</v>
      </c>
      <c r="BF338" s="530">
        <v>337</v>
      </c>
      <c r="BG338" s="531">
        <f t="shared" ca="1" si="272"/>
        <v>56423</v>
      </c>
      <c r="BH338" s="532">
        <f ca="1">IF(BH337=0,SUMIFS('Key Life Events'!$L$3:$L$28,'Key Life Events'!$H$3:$H$28,'Loan Amortization'!$BL$3,'Key Life Events'!$N$3:$N$28,'Loan Amortization'!BG338),BH337-BK337)</f>
        <v>0</v>
      </c>
      <c r="BI338" s="532">
        <f t="shared" ca="1" si="273"/>
        <v>0</v>
      </c>
      <c r="BJ338" s="532">
        <f t="shared" ca="1" si="274"/>
        <v>0</v>
      </c>
      <c r="BK338" s="532">
        <f t="shared" ca="1" si="263"/>
        <v>0</v>
      </c>
      <c r="BP338" s="536">
        <f t="shared" ca="1" si="264"/>
        <v>2054</v>
      </c>
      <c r="BS338" s="530">
        <v>337</v>
      </c>
      <c r="BT338" s="531">
        <f t="shared" ca="1" si="275"/>
        <v>56423</v>
      </c>
      <c r="BU338" s="532">
        <f ca="1">IF(BU337=0,SUMIFS('Key Life Events'!$L$3:$L$28,'Key Life Events'!$H$3:$H$28,'Loan Amortization'!$BY$3,'Key Life Events'!$N$3:$N$28,'Loan Amortization'!BT338),BU337-BX337)</f>
        <v>0</v>
      </c>
      <c r="BV338" s="532">
        <f t="shared" ca="1" si="280"/>
        <v>0</v>
      </c>
      <c r="BW338" s="532">
        <f t="shared" ca="1" si="276"/>
        <v>0</v>
      </c>
      <c r="BX338" s="532">
        <f t="shared" ca="1" si="265"/>
        <v>0</v>
      </c>
      <c r="CC338" s="536">
        <f t="shared" ca="1" si="266"/>
        <v>2054</v>
      </c>
      <c r="CF338" s="530">
        <v>337</v>
      </c>
      <c r="CG338" s="531">
        <f t="shared" ca="1" si="277"/>
        <v>56423</v>
      </c>
      <c r="CH338" s="532">
        <f ca="1">IF(CH337=0,SUMIFS('Key Life Events'!$L$3:$L$28,'Key Life Events'!$H$3:$H$28,'Loan Amortization'!$CL$3,'Key Life Events'!$N$3:$N$28,'Loan Amortization'!CG338),CH337-CK337)</f>
        <v>0</v>
      </c>
      <c r="CI338" s="532">
        <f t="shared" ca="1" si="278"/>
        <v>0</v>
      </c>
      <c r="CJ338" s="532">
        <f t="shared" ca="1" si="279"/>
        <v>0</v>
      </c>
      <c r="CK338" s="532">
        <f t="shared" ca="1" si="267"/>
        <v>0</v>
      </c>
      <c r="CP338" s="536">
        <f t="shared" ca="1" si="268"/>
        <v>2054</v>
      </c>
      <c r="CS338" s="100">
        <f t="shared" si="257"/>
        <v>337</v>
      </c>
      <c r="CT338" s="102">
        <f t="shared" ca="1" si="258"/>
        <v>0</v>
      </c>
      <c r="CU338" s="102">
        <f t="shared" ca="1" si="259"/>
        <v>0</v>
      </c>
      <c r="CV338" s="511">
        <f t="shared" ca="1" si="269"/>
        <v>2054</v>
      </c>
    </row>
    <row r="339" spans="1:100" x14ac:dyDescent="0.3">
      <c r="A339" s="100">
        <v>338</v>
      </c>
      <c r="B339" s="131">
        <f t="shared" si="234"/>
        <v>9433</v>
      </c>
      <c r="C339" s="102">
        <f t="shared" si="235"/>
        <v>0</v>
      </c>
      <c r="D339" s="102">
        <f t="shared" si="236"/>
        <v>0</v>
      </c>
      <c r="E339" s="102">
        <f t="shared" si="237"/>
        <v>0</v>
      </c>
      <c r="F339" s="102">
        <f t="shared" si="238"/>
        <v>0</v>
      </c>
      <c r="L339" s="100">
        <v>338</v>
      </c>
      <c r="M339" s="131">
        <f t="shared" ca="1" si="239"/>
        <v>56453</v>
      </c>
      <c r="N339" s="102">
        <f t="shared" si="240"/>
        <v>0</v>
      </c>
      <c r="O339" s="102">
        <f t="shared" si="241"/>
        <v>0</v>
      </c>
      <c r="P339" s="102">
        <f t="shared" si="242"/>
        <v>0</v>
      </c>
      <c r="Q339" s="102">
        <f t="shared" si="243"/>
        <v>0</v>
      </c>
      <c r="W339" s="100">
        <v>338</v>
      </c>
      <c r="X339" s="131">
        <f t="shared" ca="1" si="244"/>
        <v>56453</v>
      </c>
      <c r="Y339" s="102">
        <f t="shared" si="245"/>
        <v>0</v>
      </c>
      <c r="Z339" s="102">
        <f t="shared" si="246"/>
        <v>0</v>
      </c>
      <c r="AA339" s="102">
        <f t="shared" si="247"/>
        <v>0</v>
      </c>
      <c r="AB339" s="102">
        <f t="shared" si="248"/>
        <v>0</v>
      </c>
      <c r="AH339" s="100">
        <v>338</v>
      </c>
      <c r="AI339" s="131">
        <f t="shared" ca="1" si="249"/>
        <v>56453</v>
      </c>
      <c r="AJ339" s="102">
        <f t="shared" si="250"/>
        <v>0</v>
      </c>
      <c r="AK339" s="102">
        <f t="shared" si="251"/>
        <v>0</v>
      </c>
      <c r="AL339" s="102">
        <f t="shared" si="252"/>
        <v>0</v>
      </c>
      <c r="AM339" s="102">
        <f t="shared" si="253"/>
        <v>0</v>
      </c>
      <c r="AS339" s="530">
        <v>338</v>
      </c>
      <c r="AT339" s="531">
        <f t="shared" ca="1" si="270"/>
        <v>56453</v>
      </c>
      <c r="AU339" s="532">
        <f ca="1">IF(AU338=0,SUMIFS('Key Life Events'!$L$3:$L$28,'Key Life Events'!$H$3:$H$28,'Loan Amortization'!$AY$3,'Key Life Events'!$N$3:$N$28,'Loan Amortization'!AT339),AU338-AX338)</f>
        <v>0</v>
      </c>
      <c r="AV339" s="532">
        <f t="shared" ca="1" si="271"/>
        <v>0</v>
      </c>
      <c r="AW339" s="532">
        <f t="shared" ca="1" si="260"/>
        <v>0</v>
      </c>
      <c r="AX339" s="532">
        <f t="shared" ca="1" si="261"/>
        <v>0</v>
      </c>
      <c r="BC339" s="536">
        <f t="shared" ca="1" si="262"/>
        <v>2054</v>
      </c>
      <c r="BF339" s="530">
        <v>338</v>
      </c>
      <c r="BG339" s="531">
        <f t="shared" ca="1" si="272"/>
        <v>56453</v>
      </c>
      <c r="BH339" s="532">
        <f ca="1">IF(BH338=0,SUMIFS('Key Life Events'!$L$3:$L$28,'Key Life Events'!$H$3:$H$28,'Loan Amortization'!$BL$3,'Key Life Events'!$N$3:$N$28,'Loan Amortization'!BG339),BH338-BK338)</f>
        <v>0</v>
      </c>
      <c r="BI339" s="532">
        <f t="shared" ca="1" si="273"/>
        <v>0</v>
      </c>
      <c r="BJ339" s="532">
        <f t="shared" ca="1" si="274"/>
        <v>0</v>
      </c>
      <c r="BK339" s="532">
        <f t="shared" ca="1" si="263"/>
        <v>0</v>
      </c>
      <c r="BP339" s="536">
        <f t="shared" ca="1" si="264"/>
        <v>2054</v>
      </c>
      <c r="BS339" s="530">
        <v>338</v>
      </c>
      <c r="BT339" s="531">
        <f t="shared" ca="1" si="275"/>
        <v>56453</v>
      </c>
      <c r="BU339" s="532">
        <f ca="1">IF(BU338=0,SUMIFS('Key Life Events'!$L$3:$L$28,'Key Life Events'!$H$3:$H$28,'Loan Amortization'!$BY$3,'Key Life Events'!$N$3:$N$28,'Loan Amortization'!BT339),BU338-BX338)</f>
        <v>0</v>
      </c>
      <c r="BV339" s="532">
        <f t="shared" ca="1" si="280"/>
        <v>0</v>
      </c>
      <c r="BW339" s="532">
        <f t="shared" ca="1" si="276"/>
        <v>0</v>
      </c>
      <c r="BX339" s="532">
        <f t="shared" ca="1" si="265"/>
        <v>0</v>
      </c>
      <c r="CC339" s="536">
        <f t="shared" ca="1" si="266"/>
        <v>2054</v>
      </c>
      <c r="CF339" s="530">
        <v>338</v>
      </c>
      <c r="CG339" s="531">
        <f t="shared" ca="1" si="277"/>
        <v>56453</v>
      </c>
      <c r="CH339" s="532">
        <f ca="1">IF(CH338=0,SUMIFS('Key Life Events'!$L$3:$L$28,'Key Life Events'!$H$3:$H$28,'Loan Amortization'!$CL$3,'Key Life Events'!$N$3:$N$28,'Loan Amortization'!CG339),CH338-CK338)</f>
        <v>0</v>
      </c>
      <c r="CI339" s="532">
        <f t="shared" ca="1" si="278"/>
        <v>0</v>
      </c>
      <c r="CJ339" s="532">
        <f t="shared" ca="1" si="279"/>
        <v>0</v>
      </c>
      <c r="CK339" s="532">
        <f t="shared" ca="1" si="267"/>
        <v>0</v>
      </c>
      <c r="CP339" s="536">
        <f t="shared" ca="1" si="268"/>
        <v>2054</v>
      </c>
      <c r="CS339" s="100">
        <f t="shared" si="257"/>
        <v>338</v>
      </c>
      <c r="CT339" s="102">
        <f t="shared" ca="1" si="258"/>
        <v>0</v>
      </c>
      <c r="CU339" s="102">
        <f t="shared" ca="1" si="259"/>
        <v>0</v>
      </c>
      <c r="CV339" s="511">
        <f t="shared" ca="1" si="269"/>
        <v>2054</v>
      </c>
    </row>
    <row r="340" spans="1:100" x14ac:dyDescent="0.3">
      <c r="A340" s="100">
        <v>339</v>
      </c>
      <c r="B340" s="131">
        <f t="shared" si="234"/>
        <v>9464</v>
      </c>
      <c r="C340" s="102">
        <f t="shared" si="235"/>
        <v>0</v>
      </c>
      <c r="D340" s="102">
        <f t="shared" si="236"/>
        <v>0</v>
      </c>
      <c r="E340" s="102">
        <f t="shared" si="237"/>
        <v>0</v>
      </c>
      <c r="F340" s="102">
        <f t="shared" si="238"/>
        <v>0</v>
      </c>
      <c r="L340" s="100">
        <v>339</v>
      </c>
      <c r="M340" s="131">
        <f t="shared" ca="1" si="239"/>
        <v>56484</v>
      </c>
      <c r="N340" s="102">
        <f t="shared" si="240"/>
        <v>0</v>
      </c>
      <c r="O340" s="102">
        <f t="shared" si="241"/>
        <v>0</v>
      </c>
      <c r="P340" s="102">
        <f t="shared" si="242"/>
        <v>0</v>
      </c>
      <c r="Q340" s="102">
        <f t="shared" si="243"/>
        <v>0</v>
      </c>
      <c r="W340" s="100">
        <v>339</v>
      </c>
      <c r="X340" s="131">
        <f t="shared" ca="1" si="244"/>
        <v>56484</v>
      </c>
      <c r="Y340" s="102">
        <f t="shared" si="245"/>
        <v>0</v>
      </c>
      <c r="Z340" s="102">
        <f t="shared" si="246"/>
        <v>0</v>
      </c>
      <c r="AA340" s="102">
        <f t="shared" si="247"/>
        <v>0</v>
      </c>
      <c r="AB340" s="102">
        <f t="shared" si="248"/>
        <v>0</v>
      </c>
      <c r="AH340" s="100">
        <v>339</v>
      </c>
      <c r="AI340" s="131">
        <f t="shared" ca="1" si="249"/>
        <v>56484</v>
      </c>
      <c r="AJ340" s="102">
        <f t="shared" si="250"/>
        <v>0</v>
      </c>
      <c r="AK340" s="102">
        <f t="shared" si="251"/>
        <v>0</v>
      </c>
      <c r="AL340" s="102">
        <f t="shared" si="252"/>
        <v>0</v>
      </c>
      <c r="AM340" s="102">
        <f t="shared" si="253"/>
        <v>0</v>
      </c>
      <c r="AS340" s="530">
        <v>339</v>
      </c>
      <c r="AT340" s="531">
        <f t="shared" ca="1" si="270"/>
        <v>56484</v>
      </c>
      <c r="AU340" s="532">
        <f ca="1">IF(AU339=0,SUMIFS('Key Life Events'!$L$3:$L$28,'Key Life Events'!$H$3:$H$28,'Loan Amortization'!$AY$3,'Key Life Events'!$N$3:$N$28,'Loan Amortization'!AT340),AU339-AX339)</f>
        <v>0</v>
      </c>
      <c r="AV340" s="532">
        <f t="shared" ca="1" si="271"/>
        <v>0</v>
      </c>
      <c r="AW340" s="532">
        <f t="shared" ca="1" si="260"/>
        <v>0</v>
      </c>
      <c r="AX340" s="532">
        <f t="shared" ca="1" si="261"/>
        <v>0</v>
      </c>
      <c r="BC340" s="536">
        <f t="shared" ca="1" si="262"/>
        <v>2054</v>
      </c>
      <c r="BF340" s="530">
        <v>339</v>
      </c>
      <c r="BG340" s="531">
        <f t="shared" ca="1" si="272"/>
        <v>56484</v>
      </c>
      <c r="BH340" s="532">
        <f ca="1">IF(BH339=0,SUMIFS('Key Life Events'!$L$3:$L$28,'Key Life Events'!$H$3:$H$28,'Loan Amortization'!$BL$3,'Key Life Events'!$N$3:$N$28,'Loan Amortization'!BG340),BH339-BK339)</f>
        <v>0</v>
      </c>
      <c r="BI340" s="532">
        <f t="shared" ca="1" si="273"/>
        <v>0</v>
      </c>
      <c r="BJ340" s="532">
        <f t="shared" ca="1" si="274"/>
        <v>0</v>
      </c>
      <c r="BK340" s="532">
        <f t="shared" ca="1" si="263"/>
        <v>0</v>
      </c>
      <c r="BP340" s="536">
        <f t="shared" ca="1" si="264"/>
        <v>2054</v>
      </c>
      <c r="BS340" s="530">
        <v>339</v>
      </c>
      <c r="BT340" s="531">
        <f t="shared" ca="1" si="275"/>
        <v>56484</v>
      </c>
      <c r="BU340" s="532">
        <f ca="1">IF(BU339=0,SUMIFS('Key Life Events'!$L$3:$L$28,'Key Life Events'!$H$3:$H$28,'Loan Amortization'!$BY$3,'Key Life Events'!$N$3:$N$28,'Loan Amortization'!BT340),BU339-BX339)</f>
        <v>0</v>
      </c>
      <c r="BV340" s="532">
        <f t="shared" ca="1" si="280"/>
        <v>0</v>
      </c>
      <c r="BW340" s="532">
        <f t="shared" ca="1" si="276"/>
        <v>0</v>
      </c>
      <c r="BX340" s="532">
        <f t="shared" ca="1" si="265"/>
        <v>0</v>
      </c>
      <c r="CC340" s="536">
        <f t="shared" ca="1" si="266"/>
        <v>2054</v>
      </c>
      <c r="CF340" s="530">
        <v>339</v>
      </c>
      <c r="CG340" s="531">
        <f t="shared" ca="1" si="277"/>
        <v>56484</v>
      </c>
      <c r="CH340" s="532">
        <f ca="1">IF(CH339=0,SUMIFS('Key Life Events'!$L$3:$L$28,'Key Life Events'!$H$3:$H$28,'Loan Amortization'!$CL$3,'Key Life Events'!$N$3:$N$28,'Loan Amortization'!CG340),CH339-CK339)</f>
        <v>0</v>
      </c>
      <c r="CI340" s="532">
        <f t="shared" ca="1" si="278"/>
        <v>0</v>
      </c>
      <c r="CJ340" s="532">
        <f t="shared" ca="1" si="279"/>
        <v>0</v>
      </c>
      <c r="CK340" s="532">
        <f t="shared" ca="1" si="267"/>
        <v>0</v>
      </c>
      <c r="CP340" s="536">
        <f t="shared" ca="1" si="268"/>
        <v>2054</v>
      </c>
      <c r="CS340" s="100">
        <f t="shared" si="257"/>
        <v>339</v>
      </c>
      <c r="CT340" s="102">
        <f t="shared" ca="1" si="258"/>
        <v>0</v>
      </c>
      <c r="CU340" s="102">
        <f t="shared" ca="1" si="259"/>
        <v>0</v>
      </c>
      <c r="CV340" s="511">
        <f t="shared" ca="1" si="269"/>
        <v>2054</v>
      </c>
    </row>
    <row r="341" spans="1:100" x14ac:dyDescent="0.3">
      <c r="A341" s="100">
        <v>340</v>
      </c>
      <c r="B341" s="131">
        <f t="shared" si="234"/>
        <v>9494</v>
      </c>
      <c r="C341" s="102">
        <f t="shared" si="235"/>
        <v>0</v>
      </c>
      <c r="D341" s="102">
        <f t="shared" si="236"/>
        <v>0</v>
      </c>
      <c r="E341" s="102">
        <f t="shared" si="237"/>
        <v>0</v>
      </c>
      <c r="F341" s="102">
        <f t="shared" si="238"/>
        <v>0</v>
      </c>
      <c r="L341" s="100">
        <v>340</v>
      </c>
      <c r="M341" s="131">
        <f t="shared" ca="1" si="239"/>
        <v>56515</v>
      </c>
      <c r="N341" s="102">
        <f t="shared" si="240"/>
        <v>0</v>
      </c>
      <c r="O341" s="102">
        <f t="shared" si="241"/>
        <v>0</v>
      </c>
      <c r="P341" s="102">
        <f t="shared" si="242"/>
        <v>0</v>
      </c>
      <c r="Q341" s="102">
        <f t="shared" si="243"/>
        <v>0</v>
      </c>
      <c r="W341" s="100">
        <v>340</v>
      </c>
      <c r="X341" s="131">
        <f t="shared" ca="1" si="244"/>
        <v>56515</v>
      </c>
      <c r="Y341" s="102">
        <f t="shared" si="245"/>
        <v>0</v>
      </c>
      <c r="Z341" s="102">
        <f t="shared" si="246"/>
        <v>0</v>
      </c>
      <c r="AA341" s="102">
        <f t="shared" si="247"/>
        <v>0</v>
      </c>
      <c r="AB341" s="102">
        <f t="shared" si="248"/>
        <v>0</v>
      </c>
      <c r="AH341" s="100">
        <v>340</v>
      </c>
      <c r="AI341" s="131">
        <f t="shared" ca="1" si="249"/>
        <v>56515</v>
      </c>
      <c r="AJ341" s="102">
        <f t="shared" si="250"/>
        <v>0</v>
      </c>
      <c r="AK341" s="102">
        <f t="shared" si="251"/>
        <v>0</v>
      </c>
      <c r="AL341" s="102">
        <f t="shared" si="252"/>
        <v>0</v>
      </c>
      <c r="AM341" s="102">
        <f t="shared" si="253"/>
        <v>0</v>
      </c>
      <c r="AS341" s="530">
        <v>340</v>
      </c>
      <c r="AT341" s="531">
        <f t="shared" ca="1" si="270"/>
        <v>56515</v>
      </c>
      <c r="AU341" s="532">
        <f ca="1">IF(AU340=0,SUMIFS('Key Life Events'!$L$3:$L$28,'Key Life Events'!$H$3:$H$28,'Loan Amortization'!$AY$3,'Key Life Events'!$N$3:$N$28,'Loan Amortization'!AT341),AU340-AX340)</f>
        <v>0</v>
      </c>
      <c r="AV341" s="532">
        <f t="shared" ca="1" si="271"/>
        <v>0</v>
      </c>
      <c r="AW341" s="532">
        <f t="shared" ca="1" si="260"/>
        <v>0</v>
      </c>
      <c r="AX341" s="532">
        <f t="shared" ca="1" si="261"/>
        <v>0</v>
      </c>
      <c r="BC341" s="536">
        <f t="shared" ca="1" si="262"/>
        <v>2054</v>
      </c>
      <c r="BF341" s="530">
        <v>340</v>
      </c>
      <c r="BG341" s="531">
        <f t="shared" ca="1" si="272"/>
        <v>56515</v>
      </c>
      <c r="BH341" s="532">
        <f ca="1">IF(BH340=0,SUMIFS('Key Life Events'!$L$3:$L$28,'Key Life Events'!$H$3:$H$28,'Loan Amortization'!$BL$3,'Key Life Events'!$N$3:$N$28,'Loan Amortization'!BG341),BH340-BK340)</f>
        <v>0</v>
      </c>
      <c r="BI341" s="532">
        <f t="shared" ca="1" si="273"/>
        <v>0</v>
      </c>
      <c r="BJ341" s="532">
        <f t="shared" ca="1" si="274"/>
        <v>0</v>
      </c>
      <c r="BK341" s="532">
        <f t="shared" ca="1" si="263"/>
        <v>0</v>
      </c>
      <c r="BP341" s="536">
        <f t="shared" ca="1" si="264"/>
        <v>2054</v>
      </c>
      <c r="BS341" s="530">
        <v>340</v>
      </c>
      <c r="BT341" s="531">
        <f t="shared" ca="1" si="275"/>
        <v>56515</v>
      </c>
      <c r="BU341" s="532">
        <f ca="1">IF(BU340=0,SUMIFS('Key Life Events'!$L$3:$L$28,'Key Life Events'!$H$3:$H$28,'Loan Amortization'!$BY$3,'Key Life Events'!$N$3:$N$28,'Loan Amortization'!BT341),BU340-BX340)</f>
        <v>0</v>
      </c>
      <c r="BV341" s="532">
        <f t="shared" ca="1" si="280"/>
        <v>0</v>
      </c>
      <c r="BW341" s="532">
        <f t="shared" ca="1" si="276"/>
        <v>0</v>
      </c>
      <c r="BX341" s="532">
        <f t="shared" ca="1" si="265"/>
        <v>0</v>
      </c>
      <c r="CC341" s="536">
        <f t="shared" ca="1" si="266"/>
        <v>2054</v>
      </c>
      <c r="CF341" s="530">
        <v>340</v>
      </c>
      <c r="CG341" s="531">
        <f t="shared" ca="1" si="277"/>
        <v>56515</v>
      </c>
      <c r="CH341" s="532">
        <f ca="1">IF(CH340=0,SUMIFS('Key Life Events'!$L$3:$L$28,'Key Life Events'!$H$3:$H$28,'Loan Amortization'!$CL$3,'Key Life Events'!$N$3:$N$28,'Loan Amortization'!CG341),CH340-CK340)</f>
        <v>0</v>
      </c>
      <c r="CI341" s="532">
        <f t="shared" ca="1" si="278"/>
        <v>0</v>
      </c>
      <c r="CJ341" s="532">
        <f t="shared" ca="1" si="279"/>
        <v>0</v>
      </c>
      <c r="CK341" s="532">
        <f t="shared" ca="1" si="267"/>
        <v>0</v>
      </c>
      <c r="CP341" s="536">
        <f t="shared" ca="1" si="268"/>
        <v>2054</v>
      </c>
      <c r="CS341" s="100">
        <f t="shared" si="257"/>
        <v>340</v>
      </c>
      <c r="CT341" s="102">
        <f t="shared" ca="1" si="258"/>
        <v>0</v>
      </c>
      <c r="CU341" s="102">
        <f t="shared" ca="1" si="259"/>
        <v>0</v>
      </c>
      <c r="CV341" s="511">
        <f t="shared" ca="1" si="269"/>
        <v>2054</v>
      </c>
    </row>
    <row r="342" spans="1:100" x14ac:dyDescent="0.3">
      <c r="A342" s="100">
        <v>341</v>
      </c>
      <c r="B342" s="131">
        <f t="shared" si="234"/>
        <v>9525</v>
      </c>
      <c r="C342" s="102">
        <f t="shared" si="235"/>
        <v>0</v>
      </c>
      <c r="D342" s="102">
        <f t="shared" si="236"/>
        <v>0</v>
      </c>
      <c r="E342" s="102">
        <f t="shared" si="237"/>
        <v>0</v>
      </c>
      <c r="F342" s="102">
        <f t="shared" si="238"/>
        <v>0</v>
      </c>
      <c r="L342" s="100">
        <v>341</v>
      </c>
      <c r="M342" s="131">
        <f t="shared" ca="1" si="239"/>
        <v>56545</v>
      </c>
      <c r="N342" s="102">
        <f t="shared" si="240"/>
        <v>0</v>
      </c>
      <c r="O342" s="102">
        <f t="shared" si="241"/>
        <v>0</v>
      </c>
      <c r="P342" s="102">
        <f t="shared" si="242"/>
        <v>0</v>
      </c>
      <c r="Q342" s="102">
        <f t="shared" si="243"/>
        <v>0</v>
      </c>
      <c r="W342" s="100">
        <v>341</v>
      </c>
      <c r="X342" s="131">
        <f t="shared" ca="1" si="244"/>
        <v>56545</v>
      </c>
      <c r="Y342" s="102">
        <f t="shared" si="245"/>
        <v>0</v>
      </c>
      <c r="Z342" s="102">
        <f t="shared" si="246"/>
        <v>0</v>
      </c>
      <c r="AA342" s="102">
        <f t="shared" si="247"/>
        <v>0</v>
      </c>
      <c r="AB342" s="102">
        <f t="shared" si="248"/>
        <v>0</v>
      </c>
      <c r="AH342" s="100">
        <v>341</v>
      </c>
      <c r="AI342" s="131">
        <f t="shared" ca="1" si="249"/>
        <v>56545</v>
      </c>
      <c r="AJ342" s="102">
        <f t="shared" si="250"/>
        <v>0</v>
      </c>
      <c r="AK342" s="102">
        <f t="shared" si="251"/>
        <v>0</v>
      </c>
      <c r="AL342" s="102">
        <f t="shared" si="252"/>
        <v>0</v>
      </c>
      <c r="AM342" s="102">
        <f t="shared" si="253"/>
        <v>0</v>
      </c>
      <c r="AS342" s="530">
        <v>341</v>
      </c>
      <c r="AT342" s="531">
        <f t="shared" ca="1" si="270"/>
        <v>56545</v>
      </c>
      <c r="AU342" s="532">
        <f ca="1">IF(AU341=0,SUMIFS('Key Life Events'!$L$3:$L$28,'Key Life Events'!$H$3:$H$28,'Loan Amortization'!$AY$3,'Key Life Events'!$N$3:$N$28,'Loan Amortization'!AT342),AU341-AX341)</f>
        <v>0</v>
      </c>
      <c r="AV342" s="532">
        <f t="shared" ca="1" si="271"/>
        <v>0</v>
      </c>
      <c r="AW342" s="532">
        <f t="shared" ca="1" si="260"/>
        <v>0</v>
      </c>
      <c r="AX342" s="532">
        <f t="shared" ca="1" si="261"/>
        <v>0</v>
      </c>
      <c r="BC342" s="536">
        <f t="shared" ca="1" si="262"/>
        <v>2054</v>
      </c>
      <c r="BF342" s="530">
        <v>341</v>
      </c>
      <c r="BG342" s="531">
        <f t="shared" ca="1" si="272"/>
        <v>56545</v>
      </c>
      <c r="BH342" s="532">
        <f ca="1">IF(BH341=0,SUMIFS('Key Life Events'!$L$3:$L$28,'Key Life Events'!$H$3:$H$28,'Loan Amortization'!$BL$3,'Key Life Events'!$N$3:$N$28,'Loan Amortization'!BG342),BH341-BK341)</f>
        <v>0</v>
      </c>
      <c r="BI342" s="532">
        <f t="shared" ca="1" si="273"/>
        <v>0</v>
      </c>
      <c r="BJ342" s="532">
        <f t="shared" ca="1" si="274"/>
        <v>0</v>
      </c>
      <c r="BK342" s="532">
        <f t="shared" ca="1" si="263"/>
        <v>0</v>
      </c>
      <c r="BP342" s="536">
        <f t="shared" ca="1" si="264"/>
        <v>2054</v>
      </c>
      <c r="BS342" s="530">
        <v>341</v>
      </c>
      <c r="BT342" s="531">
        <f t="shared" ca="1" si="275"/>
        <v>56545</v>
      </c>
      <c r="BU342" s="532">
        <f ca="1">IF(BU341=0,SUMIFS('Key Life Events'!$L$3:$L$28,'Key Life Events'!$H$3:$H$28,'Loan Amortization'!$BY$3,'Key Life Events'!$N$3:$N$28,'Loan Amortization'!BT342),BU341-BX341)</f>
        <v>0</v>
      </c>
      <c r="BV342" s="532">
        <f t="shared" ca="1" si="280"/>
        <v>0</v>
      </c>
      <c r="BW342" s="532">
        <f t="shared" ca="1" si="276"/>
        <v>0</v>
      </c>
      <c r="BX342" s="532">
        <f t="shared" ca="1" si="265"/>
        <v>0</v>
      </c>
      <c r="CC342" s="536">
        <f t="shared" ca="1" si="266"/>
        <v>2054</v>
      </c>
      <c r="CF342" s="530">
        <v>341</v>
      </c>
      <c r="CG342" s="531">
        <f t="shared" ca="1" si="277"/>
        <v>56545</v>
      </c>
      <c r="CH342" s="532">
        <f ca="1">IF(CH341=0,SUMIFS('Key Life Events'!$L$3:$L$28,'Key Life Events'!$H$3:$H$28,'Loan Amortization'!$CL$3,'Key Life Events'!$N$3:$N$28,'Loan Amortization'!CG342),CH341-CK341)</f>
        <v>0</v>
      </c>
      <c r="CI342" s="532">
        <f t="shared" ca="1" si="278"/>
        <v>0</v>
      </c>
      <c r="CJ342" s="532">
        <f t="shared" ca="1" si="279"/>
        <v>0</v>
      </c>
      <c r="CK342" s="532">
        <f t="shared" ca="1" si="267"/>
        <v>0</v>
      </c>
      <c r="CP342" s="536">
        <f t="shared" ca="1" si="268"/>
        <v>2054</v>
      </c>
      <c r="CS342" s="100">
        <f t="shared" si="257"/>
        <v>341</v>
      </c>
      <c r="CT342" s="102">
        <f t="shared" ca="1" si="258"/>
        <v>0</v>
      </c>
      <c r="CU342" s="102">
        <f t="shared" ca="1" si="259"/>
        <v>0</v>
      </c>
      <c r="CV342" s="511">
        <f t="shared" ca="1" si="269"/>
        <v>2054</v>
      </c>
    </row>
    <row r="343" spans="1:100" x14ac:dyDescent="0.3">
      <c r="A343" s="100">
        <v>342</v>
      </c>
      <c r="B343" s="131">
        <f t="shared" si="234"/>
        <v>9556</v>
      </c>
      <c r="C343" s="102">
        <f t="shared" si="235"/>
        <v>0</v>
      </c>
      <c r="D343" s="102">
        <f t="shared" si="236"/>
        <v>0</v>
      </c>
      <c r="E343" s="102">
        <f t="shared" si="237"/>
        <v>0</v>
      </c>
      <c r="F343" s="102">
        <f t="shared" si="238"/>
        <v>0</v>
      </c>
      <c r="L343" s="100">
        <v>342</v>
      </c>
      <c r="M343" s="131">
        <f t="shared" ca="1" si="239"/>
        <v>56576</v>
      </c>
      <c r="N343" s="102">
        <f t="shared" si="240"/>
        <v>0</v>
      </c>
      <c r="O343" s="102">
        <f t="shared" si="241"/>
        <v>0</v>
      </c>
      <c r="P343" s="102">
        <f t="shared" si="242"/>
        <v>0</v>
      </c>
      <c r="Q343" s="102">
        <f t="shared" si="243"/>
        <v>0</v>
      </c>
      <c r="W343" s="100">
        <v>342</v>
      </c>
      <c r="X343" s="131">
        <f t="shared" ca="1" si="244"/>
        <v>56576</v>
      </c>
      <c r="Y343" s="102">
        <f t="shared" si="245"/>
        <v>0</v>
      </c>
      <c r="Z343" s="102">
        <f t="shared" si="246"/>
        <v>0</v>
      </c>
      <c r="AA343" s="102">
        <f t="shared" si="247"/>
        <v>0</v>
      </c>
      <c r="AB343" s="102">
        <f t="shared" si="248"/>
        <v>0</v>
      </c>
      <c r="AH343" s="100">
        <v>342</v>
      </c>
      <c r="AI343" s="131">
        <f t="shared" ca="1" si="249"/>
        <v>56576</v>
      </c>
      <c r="AJ343" s="102">
        <f t="shared" si="250"/>
        <v>0</v>
      </c>
      <c r="AK343" s="102">
        <f t="shared" si="251"/>
        <v>0</v>
      </c>
      <c r="AL343" s="102">
        <f t="shared" si="252"/>
        <v>0</v>
      </c>
      <c r="AM343" s="102">
        <f t="shared" si="253"/>
        <v>0</v>
      </c>
      <c r="AS343" s="530">
        <v>342</v>
      </c>
      <c r="AT343" s="531">
        <f t="shared" ca="1" si="270"/>
        <v>56576</v>
      </c>
      <c r="AU343" s="532">
        <f ca="1">IF(AU342=0,SUMIFS('Key Life Events'!$L$3:$L$28,'Key Life Events'!$H$3:$H$28,'Loan Amortization'!$AY$3,'Key Life Events'!$N$3:$N$28,'Loan Amortization'!AT343),AU342-AX342)</f>
        <v>0</v>
      </c>
      <c r="AV343" s="532">
        <f t="shared" ca="1" si="271"/>
        <v>0</v>
      </c>
      <c r="AW343" s="532">
        <f t="shared" ca="1" si="260"/>
        <v>0</v>
      </c>
      <c r="AX343" s="532">
        <f t="shared" ca="1" si="261"/>
        <v>0</v>
      </c>
      <c r="BC343" s="536">
        <f t="shared" ca="1" si="262"/>
        <v>2054</v>
      </c>
      <c r="BF343" s="530">
        <v>342</v>
      </c>
      <c r="BG343" s="531">
        <f t="shared" ca="1" si="272"/>
        <v>56576</v>
      </c>
      <c r="BH343" s="532">
        <f ca="1">IF(BH342=0,SUMIFS('Key Life Events'!$L$3:$L$28,'Key Life Events'!$H$3:$H$28,'Loan Amortization'!$BL$3,'Key Life Events'!$N$3:$N$28,'Loan Amortization'!BG343),BH342-BK342)</f>
        <v>0</v>
      </c>
      <c r="BI343" s="532">
        <f t="shared" ca="1" si="273"/>
        <v>0</v>
      </c>
      <c r="BJ343" s="532">
        <f t="shared" ca="1" si="274"/>
        <v>0</v>
      </c>
      <c r="BK343" s="532">
        <f t="shared" ca="1" si="263"/>
        <v>0</v>
      </c>
      <c r="BP343" s="536">
        <f t="shared" ca="1" si="264"/>
        <v>2054</v>
      </c>
      <c r="BS343" s="530">
        <v>342</v>
      </c>
      <c r="BT343" s="531">
        <f t="shared" ca="1" si="275"/>
        <v>56576</v>
      </c>
      <c r="BU343" s="532">
        <f ca="1">IF(BU342=0,SUMIFS('Key Life Events'!$L$3:$L$28,'Key Life Events'!$H$3:$H$28,'Loan Amortization'!$BY$3,'Key Life Events'!$N$3:$N$28,'Loan Amortization'!BT343),BU342-BX342)</f>
        <v>0</v>
      </c>
      <c r="BV343" s="532">
        <f t="shared" ca="1" si="280"/>
        <v>0</v>
      </c>
      <c r="BW343" s="532">
        <f t="shared" ca="1" si="276"/>
        <v>0</v>
      </c>
      <c r="BX343" s="532">
        <f t="shared" ca="1" si="265"/>
        <v>0</v>
      </c>
      <c r="CC343" s="536">
        <f t="shared" ca="1" si="266"/>
        <v>2054</v>
      </c>
      <c r="CF343" s="530">
        <v>342</v>
      </c>
      <c r="CG343" s="531">
        <f t="shared" ca="1" si="277"/>
        <v>56576</v>
      </c>
      <c r="CH343" s="532">
        <f ca="1">IF(CH342=0,SUMIFS('Key Life Events'!$L$3:$L$28,'Key Life Events'!$H$3:$H$28,'Loan Amortization'!$CL$3,'Key Life Events'!$N$3:$N$28,'Loan Amortization'!CG343),CH342-CK342)</f>
        <v>0</v>
      </c>
      <c r="CI343" s="532">
        <f t="shared" ca="1" si="278"/>
        <v>0</v>
      </c>
      <c r="CJ343" s="532">
        <f t="shared" ca="1" si="279"/>
        <v>0</v>
      </c>
      <c r="CK343" s="532">
        <f t="shared" ca="1" si="267"/>
        <v>0</v>
      </c>
      <c r="CP343" s="536">
        <f t="shared" ca="1" si="268"/>
        <v>2054</v>
      </c>
      <c r="CS343" s="100">
        <f t="shared" si="257"/>
        <v>342</v>
      </c>
      <c r="CT343" s="102">
        <f t="shared" ca="1" si="258"/>
        <v>0</v>
      </c>
      <c r="CU343" s="102">
        <f t="shared" ca="1" si="259"/>
        <v>0</v>
      </c>
      <c r="CV343" s="511">
        <f t="shared" ca="1" si="269"/>
        <v>2054</v>
      </c>
    </row>
    <row r="344" spans="1:100" x14ac:dyDescent="0.3">
      <c r="A344" s="100">
        <v>343</v>
      </c>
      <c r="B344" s="131">
        <f t="shared" si="234"/>
        <v>9584</v>
      </c>
      <c r="C344" s="102">
        <f t="shared" si="235"/>
        <v>0</v>
      </c>
      <c r="D344" s="102">
        <f t="shared" si="236"/>
        <v>0</v>
      </c>
      <c r="E344" s="102">
        <f t="shared" si="237"/>
        <v>0</v>
      </c>
      <c r="F344" s="102">
        <f t="shared" si="238"/>
        <v>0</v>
      </c>
      <c r="L344" s="100">
        <v>343</v>
      </c>
      <c r="M344" s="131">
        <f t="shared" ca="1" si="239"/>
        <v>56606</v>
      </c>
      <c r="N344" s="102">
        <f t="shared" si="240"/>
        <v>0</v>
      </c>
      <c r="O344" s="102">
        <f t="shared" si="241"/>
        <v>0</v>
      </c>
      <c r="P344" s="102">
        <f t="shared" si="242"/>
        <v>0</v>
      </c>
      <c r="Q344" s="102">
        <f t="shared" si="243"/>
        <v>0</v>
      </c>
      <c r="W344" s="100">
        <v>343</v>
      </c>
      <c r="X344" s="131">
        <f t="shared" ca="1" si="244"/>
        <v>56606</v>
      </c>
      <c r="Y344" s="102">
        <f t="shared" si="245"/>
        <v>0</v>
      </c>
      <c r="Z344" s="102">
        <f t="shared" si="246"/>
        <v>0</v>
      </c>
      <c r="AA344" s="102">
        <f t="shared" si="247"/>
        <v>0</v>
      </c>
      <c r="AB344" s="102">
        <f t="shared" si="248"/>
        <v>0</v>
      </c>
      <c r="AH344" s="100">
        <v>343</v>
      </c>
      <c r="AI344" s="131">
        <f t="shared" ca="1" si="249"/>
        <v>56606</v>
      </c>
      <c r="AJ344" s="102">
        <f t="shared" si="250"/>
        <v>0</v>
      </c>
      <c r="AK344" s="102">
        <f t="shared" si="251"/>
        <v>0</v>
      </c>
      <c r="AL344" s="102">
        <f t="shared" si="252"/>
        <v>0</v>
      </c>
      <c r="AM344" s="102">
        <f t="shared" si="253"/>
        <v>0</v>
      </c>
      <c r="AS344" s="530">
        <v>343</v>
      </c>
      <c r="AT344" s="531">
        <f t="shared" ca="1" si="270"/>
        <v>56606</v>
      </c>
      <c r="AU344" s="532">
        <f ca="1">IF(AU343=0,SUMIFS('Key Life Events'!$L$3:$L$28,'Key Life Events'!$H$3:$H$28,'Loan Amortization'!$AY$3,'Key Life Events'!$N$3:$N$28,'Loan Amortization'!AT344),AU343-AX343)</f>
        <v>0</v>
      </c>
      <c r="AV344" s="532">
        <f t="shared" ca="1" si="271"/>
        <v>0</v>
      </c>
      <c r="AW344" s="532">
        <f t="shared" ca="1" si="260"/>
        <v>0</v>
      </c>
      <c r="AX344" s="532">
        <f t="shared" ca="1" si="261"/>
        <v>0</v>
      </c>
      <c r="BC344" s="536">
        <f t="shared" ca="1" si="262"/>
        <v>2054</v>
      </c>
      <c r="BF344" s="530">
        <v>343</v>
      </c>
      <c r="BG344" s="531">
        <f t="shared" ca="1" si="272"/>
        <v>56606</v>
      </c>
      <c r="BH344" s="532">
        <f ca="1">IF(BH343=0,SUMIFS('Key Life Events'!$L$3:$L$28,'Key Life Events'!$H$3:$H$28,'Loan Amortization'!$BL$3,'Key Life Events'!$N$3:$N$28,'Loan Amortization'!BG344),BH343-BK343)</f>
        <v>0</v>
      </c>
      <c r="BI344" s="532">
        <f t="shared" ca="1" si="273"/>
        <v>0</v>
      </c>
      <c r="BJ344" s="532">
        <f t="shared" ca="1" si="274"/>
        <v>0</v>
      </c>
      <c r="BK344" s="532">
        <f t="shared" ca="1" si="263"/>
        <v>0</v>
      </c>
      <c r="BP344" s="536">
        <f t="shared" ca="1" si="264"/>
        <v>2054</v>
      </c>
      <c r="BS344" s="530">
        <v>343</v>
      </c>
      <c r="BT344" s="531">
        <f t="shared" ca="1" si="275"/>
        <v>56606</v>
      </c>
      <c r="BU344" s="532">
        <f ca="1">IF(BU343=0,SUMIFS('Key Life Events'!$L$3:$L$28,'Key Life Events'!$H$3:$H$28,'Loan Amortization'!$BY$3,'Key Life Events'!$N$3:$N$28,'Loan Amortization'!BT344),BU343-BX343)</f>
        <v>0</v>
      </c>
      <c r="BV344" s="532">
        <f t="shared" ca="1" si="280"/>
        <v>0</v>
      </c>
      <c r="BW344" s="532">
        <f t="shared" ca="1" si="276"/>
        <v>0</v>
      </c>
      <c r="BX344" s="532">
        <f t="shared" ca="1" si="265"/>
        <v>0</v>
      </c>
      <c r="CC344" s="536">
        <f t="shared" ca="1" si="266"/>
        <v>2054</v>
      </c>
      <c r="CF344" s="530">
        <v>343</v>
      </c>
      <c r="CG344" s="531">
        <f t="shared" ca="1" si="277"/>
        <v>56606</v>
      </c>
      <c r="CH344" s="532">
        <f ca="1">IF(CH343=0,SUMIFS('Key Life Events'!$L$3:$L$28,'Key Life Events'!$H$3:$H$28,'Loan Amortization'!$CL$3,'Key Life Events'!$N$3:$N$28,'Loan Amortization'!CG344),CH343-CK343)</f>
        <v>0</v>
      </c>
      <c r="CI344" s="532">
        <f t="shared" ca="1" si="278"/>
        <v>0</v>
      </c>
      <c r="CJ344" s="532">
        <f t="shared" ca="1" si="279"/>
        <v>0</v>
      </c>
      <c r="CK344" s="532">
        <f t="shared" ca="1" si="267"/>
        <v>0</v>
      </c>
      <c r="CP344" s="536">
        <f t="shared" ca="1" si="268"/>
        <v>2054</v>
      </c>
      <c r="CS344" s="100">
        <f t="shared" si="257"/>
        <v>343</v>
      </c>
      <c r="CT344" s="102">
        <f t="shared" ca="1" si="258"/>
        <v>0</v>
      </c>
      <c r="CU344" s="102">
        <f t="shared" ca="1" si="259"/>
        <v>0</v>
      </c>
      <c r="CV344" s="511">
        <f t="shared" ca="1" si="269"/>
        <v>2054</v>
      </c>
    </row>
    <row r="345" spans="1:100" x14ac:dyDescent="0.3">
      <c r="A345" s="100">
        <v>344</v>
      </c>
      <c r="B345" s="131">
        <f t="shared" si="234"/>
        <v>9615</v>
      </c>
      <c r="C345" s="102">
        <f t="shared" si="235"/>
        <v>0</v>
      </c>
      <c r="D345" s="102">
        <f t="shared" si="236"/>
        <v>0</v>
      </c>
      <c r="E345" s="102">
        <f t="shared" si="237"/>
        <v>0</v>
      </c>
      <c r="F345" s="102">
        <f t="shared" si="238"/>
        <v>0</v>
      </c>
      <c r="L345" s="100">
        <v>344</v>
      </c>
      <c r="M345" s="131">
        <f t="shared" ca="1" si="239"/>
        <v>56637</v>
      </c>
      <c r="N345" s="102">
        <f t="shared" si="240"/>
        <v>0</v>
      </c>
      <c r="O345" s="102">
        <f t="shared" si="241"/>
        <v>0</v>
      </c>
      <c r="P345" s="102">
        <f t="shared" si="242"/>
        <v>0</v>
      </c>
      <c r="Q345" s="102">
        <f t="shared" si="243"/>
        <v>0</v>
      </c>
      <c r="W345" s="100">
        <v>344</v>
      </c>
      <c r="X345" s="131">
        <f t="shared" ca="1" si="244"/>
        <v>56637</v>
      </c>
      <c r="Y345" s="102">
        <f t="shared" si="245"/>
        <v>0</v>
      </c>
      <c r="Z345" s="102">
        <f t="shared" si="246"/>
        <v>0</v>
      </c>
      <c r="AA345" s="102">
        <f t="shared" si="247"/>
        <v>0</v>
      </c>
      <c r="AB345" s="102">
        <f t="shared" si="248"/>
        <v>0</v>
      </c>
      <c r="AH345" s="100">
        <v>344</v>
      </c>
      <c r="AI345" s="131">
        <f t="shared" ca="1" si="249"/>
        <v>56637</v>
      </c>
      <c r="AJ345" s="102">
        <f t="shared" si="250"/>
        <v>0</v>
      </c>
      <c r="AK345" s="102">
        <f t="shared" si="251"/>
        <v>0</v>
      </c>
      <c r="AL345" s="102">
        <f t="shared" si="252"/>
        <v>0</v>
      </c>
      <c r="AM345" s="102">
        <f t="shared" si="253"/>
        <v>0</v>
      </c>
      <c r="AS345" s="530">
        <v>344</v>
      </c>
      <c r="AT345" s="531">
        <f t="shared" ca="1" si="270"/>
        <v>56637</v>
      </c>
      <c r="AU345" s="532">
        <f ca="1">IF(AU344=0,SUMIFS('Key Life Events'!$L$3:$L$28,'Key Life Events'!$H$3:$H$28,'Loan Amortization'!$AY$3,'Key Life Events'!$N$3:$N$28,'Loan Amortization'!AT345),AU344-AX344)</f>
        <v>0</v>
      </c>
      <c r="AV345" s="532">
        <f t="shared" ca="1" si="271"/>
        <v>0</v>
      </c>
      <c r="AW345" s="532">
        <f t="shared" ca="1" si="260"/>
        <v>0</v>
      </c>
      <c r="AX345" s="532">
        <f t="shared" ca="1" si="261"/>
        <v>0</v>
      </c>
      <c r="BC345" s="536">
        <f t="shared" ca="1" si="262"/>
        <v>2055</v>
      </c>
      <c r="BF345" s="530">
        <v>344</v>
      </c>
      <c r="BG345" s="531">
        <f t="shared" ca="1" si="272"/>
        <v>56637</v>
      </c>
      <c r="BH345" s="532">
        <f ca="1">IF(BH344=0,SUMIFS('Key Life Events'!$L$3:$L$28,'Key Life Events'!$H$3:$H$28,'Loan Amortization'!$BL$3,'Key Life Events'!$N$3:$N$28,'Loan Amortization'!BG345),BH344-BK344)</f>
        <v>0</v>
      </c>
      <c r="BI345" s="532">
        <f t="shared" ca="1" si="273"/>
        <v>0</v>
      </c>
      <c r="BJ345" s="532">
        <f t="shared" ca="1" si="274"/>
        <v>0</v>
      </c>
      <c r="BK345" s="532">
        <f t="shared" ca="1" si="263"/>
        <v>0</v>
      </c>
      <c r="BP345" s="536">
        <f t="shared" ca="1" si="264"/>
        <v>2055</v>
      </c>
      <c r="BS345" s="530">
        <v>344</v>
      </c>
      <c r="BT345" s="531">
        <f t="shared" ca="1" si="275"/>
        <v>56637</v>
      </c>
      <c r="BU345" s="532">
        <f ca="1">IF(BU344=0,SUMIFS('Key Life Events'!$L$3:$L$28,'Key Life Events'!$H$3:$H$28,'Loan Amortization'!$BY$3,'Key Life Events'!$N$3:$N$28,'Loan Amortization'!BT345),BU344-BX344)</f>
        <v>0</v>
      </c>
      <c r="BV345" s="532">
        <f t="shared" ca="1" si="280"/>
        <v>0</v>
      </c>
      <c r="BW345" s="532">
        <f t="shared" ca="1" si="276"/>
        <v>0</v>
      </c>
      <c r="BX345" s="532">
        <f t="shared" ca="1" si="265"/>
        <v>0</v>
      </c>
      <c r="CC345" s="536">
        <f t="shared" ca="1" si="266"/>
        <v>2055</v>
      </c>
      <c r="CF345" s="530">
        <v>344</v>
      </c>
      <c r="CG345" s="531">
        <f t="shared" ca="1" si="277"/>
        <v>56637</v>
      </c>
      <c r="CH345" s="532">
        <f ca="1">IF(CH344=0,SUMIFS('Key Life Events'!$L$3:$L$28,'Key Life Events'!$H$3:$H$28,'Loan Amortization'!$CL$3,'Key Life Events'!$N$3:$N$28,'Loan Amortization'!CG345),CH344-CK344)</f>
        <v>0</v>
      </c>
      <c r="CI345" s="532">
        <f t="shared" ca="1" si="278"/>
        <v>0</v>
      </c>
      <c r="CJ345" s="532">
        <f t="shared" ca="1" si="279"/>
        <v>0</v>
      </c>
      <c r="CK345" s="532">
        <f t="shared" ca="1" si="267"/>
        <v>0</v>
      </c>
      <c r="CP345" s="536">
        <f t="shared" ca="1" si="268"/>
        <v>2055</v>
      </c>
      <c r="CS345" s="100">
        <f t="shared" si="257"/>
        <v>344</v>
      </c>
      <c r="CT345" s="102">
        <f t="shared" ca="1" si="258"/>
        <v>0</v>
      </c>
      <c r="CU345" s="102">
        <f t="shared" ca="1" si="259"/>
        <v>0</v>
      </c>
      <c r="CV345" s="511">
        <f t="shared" ca="1" si="269"/>
        <v>2055</v>
      </c>
    </row>
    <row r="346" spans="1:100" x14ac:dyDescent="0.3">
      <c r="A346" s="100">
        <v>345</v>
      </c>
      <c r="B346" s="131">
        <f t="shared" si="234"/>
        <v>9645</v>
      </c>
      <c r="C346" s="102">
        <f t="shared" si="235"/>
        <v>0</v>
      </c>
      <c r="D346" s="102">
        <f t="shared" si="236"/>
        <v>0</v>
      </c>
      <c r="E346" s="102">
        <f t="shared" si="237"/>
        <v>0</v>
      </c>
      <c r="F346" s="102">
        <f t="shared" si="238"/>
        <v>0</v>
      </c>
      <c r="L346" s="100">
        <v>345</v>
      </c>
      <c r="M346" s="131">
        <f t="shared" ca="1" si="239"/>
        <v>56668</v>
      </c>
      <c r="N346" s="102">
        <f t="shared" si="240"/>
        <v>0</v>
      </c>
      <c r="O346" s="102">
        <f t="shared" si="241"/>
        <v>0</v>
      </c>
      <c r="P346" s="102">
        <f t="shared" si="242"/>
        <v>0</v>
      </c>
      <c r="Q346" s="102">
        <f t="shared" si="243"/>
        <v>0</v>
      </c>
      <c r="W346" s="100">
        <v>345</v>
      </c>
      <c r="X346" s="131">
        <f t="shared" ca="1" si="244"/>
        <v>56668</v>
      </c>
      <c r="Y346" s="102">
        <f t="shared" si="245"/>
        <v>0</v>
      </c>
      <c r="Z346" s="102">
        <f t="shared" si="246"/>
        <v>0</v>
      </c>
      <c r="AA346" s="102">
        <f t="shared" si="247"/>
        <v>0</v>
      </c>
      <c r="AB346" s="102">
        <f t="shared" si="248"/>
        <v>0</v>
      </c>
      <c r="AH346" s="100">
        <v>345</v>
      </c>
      <c r="AI346" s="131">
        <f t="shared" ca="1" si="249"/>
        <v>56668</v>
      </c>
      <c r="AJ346" s="102">
        <f t="shared" si="250"/>
        <v>0</v>
      </c>
      <c r="AK346" s="102">
        <f t="shared" si="251"/>
        <v>0</v>
      </c>
      <c r="AL346" s="102">
        <f t="shared" si="252"/>
        <v>0</v>
      </c>
      <c r="AM346" s="102">
        <f t="shared" si="253"/>
        <v>0</v>
      </c>
      <c r="AS346" s="530">
        <v>345</v>
      </c>
      <c r="AT346" s="531">
        <f t="shared" ca="1" si="270"/>
        <v>56668</v>
      </c>
      <c r="AU346" s="532">
        <f ca="1">IF(AU345=0,SUMIFS('Key Life Events'!$L$3:$L$28,'Key Life Events'!$H$3:$H$28,'Loan Amortization'!$AY$3,'Key Life Events'!$N$3:$N$28,'Loan Amortization'!AT346),AU345-AX345)</f>
        <v>0</v>
      </c>
      <c r="AV346" s="532">
        <f t="shared" ca="1" si="271"/>
        <v>0</v>
      </c>
      <c r="AW346" s="532">
        <f t="shared" ca="1" si="260"/>
        <v>0</v>
      </c>
      <c r="AX346" s="532">
        <f t="shared" ca="1" si="261"/>
        <v>0</v>
      </c>
      <c r="BC346" s="536">
        <f t="shared" ca="1" si="262"/>
        <v>2055</v>
      </c>
      <c r="BF346" s="530">
        <v>345</v>
      </c>
      <c r="BG346" s="531">
        <f t="shared" ca="1" si="272"/>
        <v>56668</v>
      </c>
      <c r="BH346" s="532">
        <f ca="1">IF(BH345=0,SUMIFS('Key Life Events'!$L$3:$L$28,'Key Life Events'!$H$3:$H$28,'Loan Amortization'!$BL$3,'Key Life Events'!$N$3:$N$28,'Loan Amortization'!BG346),BH345-BK345)</f>
        <v>0</v>
      </c>
      <c r="BI346" s="532">
        <f t="shared" ca="1" si="273"/>
        <v>0</v>
      </c>
      <c r="BJ346" s="532">
        <f t="shared" ca="1" si="274"/>
        <v>0</v>
      </c>
      <c r="BK346" s="532">
        <f t="shared" ca="1" si="263"/>
        <v>0</v>
      </c>
      <c r="BP346" s="536">
        <f t="shared" ca="1" si="264"/>
        <v>2055</v>
      </c>
      <c r="BS346" s="530">
        <v>345</v>
      </c>
      <c r="BT346" s="531">
        <f t="shared" ca="1" si="275"/>
        <v>56668</v>
      </c>
      <c r="BU346" s="532">
        <f ca="1">IF(BU345=0,SUMIFS('Key Life Events'!$L$3:$L$28,'Key Life Events'!$H$3:$H$28,'Loan Amortization'!$BY$3,'Key Life Events'!$N$3:$N$28,'Loan Amortization'!BT346),BU345-BX345)</f>
        <v>0</v>
      </c>
      <c r="BV346" s="532">
        <f t="shared" ca="1" si="280"/>
        <v>0</v>
      </c>
      <c r="BW346" s="532">
        <f t="shared" ca="1" si="276"/>
        <v>0</v>
      </c>
      <c r="BX346" s="532">
        <f t="shared" ca="1" si="265"/>
        <v>0</v>
      </c>
      <c r="CC346" s="536">
        <f t="shared" ca="1" si="266"/>
        <v>2055</v>
      </c>
      <c r="CF346" s="530">
        <v>345</v>
      </c>
      <c r="CG346" s="531">
        <f t="shared" ca="1" si="277"/>
        <v>56668</v>
      </c>
      <c r="CH346" s="532">
        <f ca="1">IF(CH345=0,SUMIFS('Key Life Events'!$L$3:$L$28,'Key Life Events'!$H$3:$H$28,'Loan Amortization'!$CL$3,'Key Life Events'!$N$3:$N$28,'Loan Amortization'!CG346),CH345-CK345)</f>
        <v>0</v>
      </c>
      <c r="CI346" s="532">
        <f t="shared" ca="1" si="278"/>
        <v>0</v>
      </c>
      <c r="CJ346" s="532">
        <f t="shared" ca="1" si="279"/>
        <v>0</v>
      </c>
      <c r="CK346" s="532">
        <f t="shared" ca="1" si="267"/>
        <v>0</v>
      </c>
      <c r="CP346" s="536">
        <f t="shared" ca="1" si="268"/>
        <v>2055</v>
      </c>
      <c r="CS346" s="100">
        <f t="shared" si="257"/>
        <v>345</v>
      </c>
      <c r="CT346" s="102">
        <f t="shared" ca="1" si="258"/>
        <v>0</v>
      </c>
      <c r="CU346" s="102">
        <f t="shared" ca="1" si="259"/>
        <v>0</v>
      </c>
      <c r="CV346" s="511">
        <f t="shared" ca="1" si="269"/>
        <v>2055</v>
      </c>
    </row>
    <row r="347" spans="1:100" x14ac:dyDescent="0.3">
      <c r="A347" s="100">
        <v>346</v>
      </c>
      <c r="B347" s="131">
        <f t="shared" si="234"/>
        <v>9676</v>
      </c>
      <c r="C347" s="102">
        <f t="shared" si="235"/>
        <v>0</v>
      </c>
      <c r="D347" s="102">
        <f t="shared" si="236"/>
        <v>0</v>
      </c>
      <c r="E347" s="102">
        <f t="shared" si="237"/>
        <v>0</v>
      </c>
      <c r="F347" s="102">
        <f t="shared" si="238"/>
        <v>0</v>
      </c>
      <c r="L347" s="100">
        <v>346</v>
      </c>
      <c r="M347" s="131">
        <f t="shared" ca="1" si="239"/>
        <v>56696</v>
      </c>
      <c r="N347" s="102">
        <f t="shared" si="240"/>
        <v>0</v>
      </c>
      <c r="O347" s="102">
        <f t="shared" si="241"/>
        <v>0</v>
      </c>
      <c r="P347" s="102">
        <f t="shared" si="242"/>
        <v>0</v>
      </c>
      <c r="Q347" s="102">
        <f t="shared" si="243"/>
        <v>0</v>
      </c>
      <c r="W347" s="100">
        <v>346</v>
      </c>
      <c r="X347" s="131">
        <f t="shared" ca="1" si="244"/>
        <v>56696</v>
      </c>
      <c r="Y347" s="102">
        <f t="shared" si="245"/>
        <v>0</v>
      </c>
      <c r="Z347" s="102">
        <f t="shared" si="246"/>
        <v>0</v>
      </c>
      <c r="AA347" s="102">
        <f t="shared" si="247"/>
        <v>0</v>
      </c>
      <c r="AB347" s="102">
        <f t="shared" si="248"/>
        <v>0</v>
      </c>
      <c r="AH347" s="100">
        <v>346</v>
      </c>
      <c r="AI347" s="131">
        <f t="shared" ca="1" si="249"/>
        <v>56696</v>
      </c>
      <c r="AJ347" s="102">
        <f t="shared" si="250"/>
        <v>0</v>
      </c>
      <c r="AK347" s="102">
        <f t="shared" si="251"/>
        <v>0</v>
      </c>
      <c r="AL347" s="102">
        <f t="shared" si="252"/>
        <v>0</v>
      </c>
      <c r="AM347" s="102">
        <f t="shared" si="253"/>
        <v>0</v>
      </c>
      <c r="AS347" s="530">
        <v>346</v>
      </c>
      <c r="AT347" s="531">
        <f t="shared" ca="1" si="270"/>
        <v>56696</v>
      </c>
      <c r="AU347" s="532">
        <f ca="1">IF(AU346=0,SUMIFS('Key Life Events'!$L$3:$L$28,'Key Life Events'!$H$3:$H$28,'Loan Amortization'!$AY$3,'Key Life Events'!$N$3:$N$28,'Loan Amortization'!AT347),AU346-AX346)</f>
        <v>0</v>
      </c>
      <c r="AV347" s="532">
        <f t="shared" ca="1" si="271"/>
        <v>0</v>
      </c>
      <c r="AW347" s="532">
        <f t="shared" ca="1" si="260"/>
        <v>0</v>
      </c>
      <c r="AX347" s="532">
        <f t="shared" ca="1" si="261"/>
        <v>0</v>
      </c>
      <c r="BC347" s="536">
        <f t="shared" ca="1" si="262"/>
        <v>2055</v>
      </c>
      <c r="BF347" s="530">
        <v>346</v>
      </c>
      <c r="BG347" s="531">
        <f t="shared" ca="1" si="272"/>
        <v>56696</v>
      </c>
      <c r="BH347" s="532">
        <f ca="1">IF(BH346=0,SUMIFS('Key Life Events'!$L$3:$L$28,'Key Life Events'!$H$3:$H$28,'Loan Amortization'!$BL$3,'Key Life Events'!$N$3:$N$28,'Loan Amortization'!BG347),BH346-BK346)</f>
        <v>0</v>
      </c>
      <c r="BI347" s="532">
        <f t="shared" ca="1" si="273"/>
        <v>0</v>
      </c>
      <c r="BJ347" s="532">
        <f t="shared" ca="1" si="274"/>
        <v>0</v>
      </c>
      <c r="BK347" s="532">
        <f t="shared" ca="1" si="263"/>
        <v>0</v>
      </c>
      <c r="BP347" s="536">
        <f t="shared" ca="1" si="264"/>
        <v>2055</v>
      </c>
      <c r="BS347" s="530">
        <v>346</v>
      </c>
      <c r="BT347" s="531">
        <f t="shared" ca="1" si="275"/>
        <v>56696</v>
      </c>
      <c r="BU347" s="532">
        <f ca="1">IF(BU346=0,SUMIFS('Key Life Events'!$L$3:$L$28,'Key Life Events'!$H$3:$H$28,'Loan Amortization'!$BY$3,'Key Life Events'!$N$3:$N$28,'Loan Amortization'!BT347),BU346-BX346)</f>
        <v>0</v>
      </c>
      <c r="BV347" s="532">
        <f t="shared" ca="1" si="280"/>
        <v>0</v>
      </c>
      <c r="BW347" s="532">
        <f t="shared" ca="1" si="276"/>
        <v>0</v>
      </c>
      <c r="BX347" s="532">
        <f t="shared" ca="1" si="265"/>
        <v>0</v>
      </c>
      <c r="CC347" s="536">
        <f t="shared" ca="1" si="266"/>
        <v>2055</v>
      </c>
      <c r="CF347" s="530">
        <v>346</v>
      </c>
      <c r="CG347" s="531">
        <f t="shared" ca="1" si="277"/>
        <v>56696</v>
      </c>
      <c r="CH347" s="532">
        <f ca="1">IF(CH346=0,SUMIFS('Key Life Events'!$L$3:$L$28,'Key Life Events'!$H$3:$H$28,'Loan Amortization'!$CL$3,'Key Life Events'!$N$3:$N$28,'Loan Amortization'!CG347),CH346-CK346)</f>
        <v>0</v>
      </c>
      <c r="CI347" s="532">
        <f t="shared" ca="1" si="278"/>
        <v>0</v>
      </c>
      <c r="CJ347" s="532">
        <f t="shared" ca="1" si="279"/>
        <v>0</v>
      </c>
      <c r="CK347" s="532">
        <f t="shared" ca="1" si="267"/>
        <v>0</v>
      </c>
      <c r="CP347" s="536">
        <f t="shared" ca="1" si="268"/>
        <v>2055</v>
      </c>
      <c r="CS347" s="100">
        <f t="shared" si="257"/>
        <v>346</v>
      </c>
      <c r="CT347" s="102">
        <f t="shared" ca="1" si="258"/>
        <v>0</v>
      </c>
      <c r="CU347" s="102">
        <f t="shared" ca="1" si="259"/>
        <v>0</v>
      </c>
      <c r="CV347" s="511">
        <f t="shared" ca="1" si="269"/>
        <v>2055</v>
      </c>
    </row>
    <row r="348" spans="1:100" x14ac:dyDescent="0.3">
      <c r="A348" s="100">
        <v>347</v>
      </c>
      <c r="B348" s="131">
        <f t="shared" si="234"/>
        <v>9706</v>
      </c>
      <c r="C348" s="102">
        <f t="shared" si="235"/>
        <v>0</v>
      </c>
      <c r="D348" s="102">
        <f t="shared" si="236"/>
        <v>0</v>
      </c>
      <c r="E348" s="102">
        <f t="shared" si="237"/>
        <v>0</v>
      </c>
      <c r="F348" s="102">
        <f t="shared" si="238"/>
        <v>0</v>
      </c>
      <c r="L348" s="100">
        <v>347</v>
      </c>
      <c r="M348" s="131">
        <f t="shared" ca="1" si="239"/>
        <v>56727</v>
      </c>
      <c r="N348" s="102">
        <f t="shared" si="240"/>
        <v>0</v>
      </c>
      <c r="O348" s="102">
        <f t="shared" si="241"/>
        <v>0</v>
      </c>
      <c r="P348" s="102">
        <f t="shared" si="242"/>
        <v>0</v>
      </c>
      <c r="Q348" s="102">
        <f t="shared" si="243"/>
        <v>0</v>
      </c>
      <c r="W348" s="100">
        <v>347</v>
      </c>
      <c r="X348" s="131">
        <f t="shared" ca="1" si="244"/>
        <v>56727</v>
      </c>
      <c r="Y348" s="102">
        <f t="shared" si="245"/>
        <v>0</v>
      </c>
      <c r="Z348" s="102">
        <f t="shared" si="246"/>
        <v>0</v>
      </c>
      <c r="AA348" s="102">
        <f t="shared" si="247"/>
        <v>0</v>
      </c>
      <c r="AB348" s="102">
        <f t="shared" si="248"/>
        <v>0</v>
      </c>
      <c r="AH348" s="100">
        <v>347</v>
      </c>
      <c r="AI348" s="131">
        <f t="shared" ca="1" si="249"/>
        <v>56727</v>
      </c>
      <c r="AJ348" s="102">
        <f t="shared" si="250"/>
        <v>0</v>
      </c>
      <c r="AK348" s="102">
        <f t="shared" si="251"/>
        <v>0</v>
      </c>
      <c r="AL348" s="102">
        <f t="shared" si="252"/>
        <v>0</v>
      </c>
      <c r="AM348" s="102">
        <f t="shared" si="253"/>
        <v>0</v>
      </c>
      <c r="AS348" s="530">
        <v>347</v>
      </c>
      <c r="AT348" s="531">
        <f t="shared" ca="1" si="270"/>
        <v>56727</v>
      </c>
      <c r="AU348" s="532">
        <f ca="1">IF(AU347=0,SUMIFS('Key Life Events'!$L$3:$L$28,'Key Life Events'!$H$3:$H$28,'Loan Amortization'!$AY$3,'Key Life Events'!$N$3:$N$28,'Loan Amortization'!AT348),AU347-AX347)</f>
        <v>0</v>
      </c>
      <c r="AV348" s="532">
        <f t="shared" ca="1" si="271"/>
        <v>0</v>
      </c>
      <c r="AW348" s="532">
        <f t="shared" ca="1" si="260"/>
        <v>0</v>
      </c>
      <c r="AX348" s="532">
        <f t="shared" ca="1" si="261"/>
        <v>0</v>
      </c>
      <c r="BC348" s="536">
        <f t="shared" ca="1" si="262"/>
        <v>2055</v>
      </c>
      <c r="BF348" s="530">
        <v>347</v>
      </c>
      <c r="BG348" s="531">
        <f t="shared" ca="1" si="272"/>
        <v>56727</v>
      </c>
      <c r="BH348" s="532">
        <f ca="1">IF(BH347=0,SUMIFS('Key Life Events'!$L$3:$L$28,'Key Life Events'!$H$3:$H$28,'Loan Amortization'!$BL$3,'Key Life Events'!$N$3:$N$28,'Loan Amortization'!BG348),BH347-BK347)</f>
        <v>0</v>
      </c>
      <c r="BI348" s="532">
        <f t="shared" ca="1" si="273"/>
        <v>0</v>
      </c>
      <c r="BJ348" s="532">
        <f t="shared" ca="1" si="274"/>
        <v>0</v>
      </c>
      <c r="BK348" s="532">
        <f t="shared" ca="1" si="263"/>
        <v>0</v>
      </c>
      <c r="BP348" s="536">
        <f t="shared" ca="1" si="264"/>
        <v>2055</v>
      </c>
      <c r="BS348" s="530">
        <v>347</v>
      </c>
      <c r="BT348" s="531">
        <f t="shared" ca="1" si="275"/>
        <v>56727</v>
      </c>
      <c r="BU348" s="532">
        <f ca="1">IF(BU347=0,SUMIFS('Key Life Events'!$L$3:$L$28,'Key Life Events'!$H$3:$H$28,'Loan Amortization'!$BY$3,'Key Life Events'!$N$3:$N$28,'Loan Amortization'!BT348),BU347-BX347)</f>
        <v>0</v>
      </c>
      <c r="BV348" s="532">
        <f t="shared" ca="1" si="280"/>
        <v>0</v>
      </c>
      <c r="BW348" s="532">
        <f t="shared" ca="1" si="276"/>
        <v>0</v>
      </c>
      <c r="BX348" s="532">
        <f t="shared" ca="1" si="265"/>
        <v>0</v>
      </c>
      <c r="CC348" s="536">
        <f t="shared" ca="1" si="266"/>
        <v>2055</v>
      </c>
      <c r="CF348" s="530">
        <v>347</v>
      </c>
      <c r="CG348" s="531">
        <f t="shared" ca="1" si="277"/>
        <v>56727</v>
      </c>
      <c r="CH348" s="532">
        <f ca="1">IF(CH347=0,SUMIFS('Key Life Events'!$L$3:$L$28,'Key Life Events'!$H$3:$H$28,'Loan Amortization'!$CL$3,'Key Life Events'!$N$3:$N$28,'Loan Amortization'!CG348),CH347-CK347)</f>
        <v>0</v>
      </c>
      <c r="CI348" s="532">
        <f t="shared" ca="1" si="278"/>
        <v>0</v>
      </c>
      <c r="CJ348" s="532">
        <f t="shared" ca="1" si="279"/>
        <v>0</v>
      </c>
      <c r="CK348" s="532">
        <f t="shared" ca="1" si="267"/>
        <v>0</v>
      </c>
      <c r="CP348" s="536">
        <f t="shared" ca="1" si="268"/>
        <v>2055</v>
      </c>
      <c r="CS348" s="100">
        <f t="shared" si="257"/>
        <v>347</v>
      </c>
      <c r="CT348" s="102">
        <f t="shared" ca="1" si="258"/>
        <v>0</v>
      </c>
      <c r="CU348" s="102">
        <f t="shared" ca="1" si="259"/>
        <v>0</v>
      </c>
      <c r="CV348" s="511">
        <f t="shared" ca="1" si="269"/>
        <v>2055</v>
      </c>
    </row>
    <row r="349" spans="1:100" x14ac:dyDescent="0.3">
      <c r="A349" s="100">
        <v>348</v>
      </c>
      <c r="B349" s="131">
        <f t="shared" si="234"/>
        <v>9737</v>
      </c>
      <c r="C349" s="102">
        <f t="shared" si="235"/>
        <v>0</v>
      </c>
      <c r="D349" s="102">
        <f t="shared" si="236"/>
        <v>0</v>
      </c>
      <c r="E349" s="102">
        <f t="shared" si="237"/>
        <v>0</v>
      </c>
      <c r="F349" s="102">
        <f t="shared" si="238"/>
        <v>0</v>
      </c>
      <c r="L349" s="100">
        <v>348</v>
      </c>
      <c r="M349" s="131">
        <f t="shared" ca="1" si="239"/>
        <v>56757</v>
      </c>
      <c r="N349" s="102">
        <f t="shared" si="240"/>
        <v>0</v>
      </c>
      <c r="O349" s="102">
        <f t="shared" si="241"/>
        <v>0</v>
      </c>
      <c r="P349" s="102">
        <f t="shared" si="242"/>
        <v>0</v>
      </c>
      <c r="Q349" s="102">
        <f t="shared" si="243"/>
        <v>0</v>
      </c>
      <c r="W349" s="100">
        <v>348</v>
      </c>
      <c r="X349" s="131">
        <f t="shared" ca="1" si="244"/>
        <v>56757</v>
      </c>
      <c r="Y349" s="102">
        <f t="shared" si="245"/>
        <v>0</v>
      </c>
      <c r="Z349" s="102">
        <f t="shared" si="246"/>
        <v>0</v>
      </c>
      <c r="AA349" s="102">
        <f t="shared" si="247"/>
        <v>0</v>
      </c>
      <c r="AB349" s="102">
        <f t="shared" si="248"/>
        <v>0</v>
      </c>
      <c r="AH349" s="100">
        <v>348</v>
      </c>
      <c r="AI349" s="131">
        <f t="shared" ca="1" si="249"/>
        <v>56757</v>
      </c>
      <c r="AJ349" s="102">
        <f t="shared" si="250"/>
        <v>0</v>
      </c>
      <c r="AK349" s="102">
        <f t="shared" si="251"/>
        <v>0</v>
      </c>
      <c r="AL349" s="102">
        <f t="shared" si="252"/>
        <v>0</v>
      </c>
      <c r="AM349" s="102">
        <f t="shared" si="253"/>
        <v>0</v>
      </c>
      <c r="AS349" s="530">
        <v>348</v>
      </c>
      <c r="AT349" s="531">
        <f t="shared" ca="1" si="270"/>
        <v>56757</v>
      </c>
      <c r="AU349" s="532">
        <f ca="1">IF(AU348=0,SUMIFS('Key Life Events'!$L$3:$L$28,'Key Life Events'!$H$3:$H$28,'Loan Amortization'!$AY$3,'Key Life Events'!$N$3:$N$28,'Loan Amortization'!AT349),AU348-AX348)</f>
        <v>0</v>
      </c>
      <c r="AV349" s="532">
        <f t="shared" ca="1" si="271"/>
        <v>0</v>
      </c>
      <c r="AW349" s="532">
        <f t="shared" ca="1" si="260"/>
        <v>0</v>
      </c>
      <c r="AX349" s="532">
        <f t="shared" ca="1" si="261"/>
        <v>0</v>
      </c>
      <c r="BC349" s="536">
        <f t="shared" ca="1" si="262"/>
        <v>2055</v>
      </c>
      <c r="BF349" s="530">
        <v>348</v>
      </c>
      <c r="BG349" s="531">
        <f t="shared" ca="1" si="272"/>
        <v>56757</v>
      </c>
      <c r="BH349" s="532">
        <f ca="1">IF(BH348=0,SUMIFS('Key Life Events'!$L$3:$L$28,'Key Life Events'!$H$3:$H$28,'Loan Amortization'!$BL$3,'Key Life Events'!$N$3:$N$28,'Loan Amortization'!BG349),BH348-BK348)</f>
        <v>0</v>
      </c>
      <c r="BI349" s="532">
        <f t="shared" ca="1" si="273"/>
        <v>0</v>
      </c>
      <c r="BJ349" s="532">
        <f t="shared" ca="1" si="274"/>
        <v>0</v>
      </c>
      <c r="BK349" s="532">
        <f t="shared" ca="1" si="263"/>
        <v>0</v>
      </c>
      <c r="BP349" s="536">
        <f t="shared" ca="1" si="264"/>
        <v>2055</v>
      </c>
      <c r="BS349" s="530">
        <v>348</v>
      </c>
      <c r="BT349" s="531">
        <f t="shared" ca="1" si="275"/>
        <v>56757</v>
      </c>
      <c r="BU349" s="532">
        <f ca="1">IF(BU348=0,SUMIFS('Key Life Events'!$L$3:$L$28,'Key Life Events'!$H$3:$H$28,'Loan Amortization'!$BY$3,'Key Life Events'!$N$3:$N$28,'Loan Amortization'!BT349),BU348-BX348)</f>
        <v>0</v>
      </c>
      <c r="BV349" s="532">
        <f t="shared" ca="1" si="280"/>
        <v>0</v>
      </c>
      <c r="BW349" s="532">
        <f t="shared" ca="1" si="276"/>
        <v>0</v>
      </c>
      <c r="BX349" s="532">
        <f t="shared" ca="1" si="265"/>
        <v>0</v>
      </c>
      <c r="CC349" s="536">
        <f t="shared" ca="1" si="266"/>
        <v>2055</v>
      </c>
      <c r="CF349" s="530">
        <v>348</v>
      </c>
      <c r="CG349" s="531">
        <f t="shared" ca="1" si="277"/>
        <v>56757</v>
      </c>
      <c r="CH349" s="532">
        <f ca="1">IF(CH348=0,SUMIFS('Key Life Events'!$L$3:$L$28,'Key Life Events'!$H$3:$H$28,'Loan Amortization'!$CL$3,'Key Life Events'!$N$3:$N$28,'Loan Amortization'!CG349),CH348-CK348)</f>
        <v>0</v>
      </c>
      <c r="CI349" s="532">
        <f t="shared" ca="1" si="278"/>
        <v>0</v>
      </c>
      <c r="CJ349" s="532">
        <f t="shared" ca="1" si="279"/>
        <v>0</v>
      </c>
      <c r="CK349" s="532">
        <f t="shared" ca="1" si="267"/>
        <v>0</v>
      </c>
      <c r="CP349" s="536">
        <f t="shared" ca="1" si="268"/>
        <v>2055</v>
      </c>
      <c r="CS349" s="100">
        <f t="shared" si="257"/>
        <v>348</v>
      </c>
      <c r="CT349" s="102">
        <f t="shared" ca="1" si="258"/>
        <v>0</v>
      </c>
      <c r="CU349" s="102">
        <f t="shared" ca="1" si="259"/>
        <v>0</v>
      </c>
      <c r="CV349" s="511">
        <f t="shared" ca="1" si="269"/>
        <v>2055</v>
      </c>
    </row>
    <row r="350" spans="1:100" x14ac:dyDescent="0.3">
      <c r="A350" s="100">
        <v>349</v>
      </c>
      <c r="B350" s="131">
        <f t="shared" si="234"/>
        <v>9768</v>
      </c>
      <c r="C350" s="102">
        <f t="shared" si="235"/>
        <v>0</v>
      </c>
      <c r="D350" s="102">
        <f t="shared" si="236"/>
        <v>0</v>
      </c>
      <c r="E350" s="102">
        <f t="shared" si="237"/>
        <v>0</v>
      </c>
      <c r="F350" s="102">
        <f t="shared" si="238"/>
        <v>0</v>
      </c>
      <c r="L350" s="100">
        <v>349</v>
      </c>
      <c r="M350" s="131">
        <f t="shared" ca="1" si="239"/>
        <v>56788</v>
      </c>
      <c r="N350" s="102">
        <f t="shared" si="240"/>
        <v>0</v>
      </c>
      <c r="O350" s="102">
        <f t="shared" si="241"/>
        <v>0</v>
      </c>
      <c r="P350" s="102">
        <f t="shared" si="242"/>
        <v>0</v>
      </c>
      <c r="Q350" s="102">
        <f t="shared" si="243"/>
        <v>0</v>
      </c>
      <c r="W350" s="100">
        <v>349</v>
      </c>
      <c r="X350" s="131">
        <f t="shared" ca="1" si="244"/>
        <v>56788</v>
      </c>
      <c r="Y350" s="102">
        <f t="shared" si="245"/>
        <v>0</v>
      </c>
      <c r="Z350" s="102">
        <f t="shared" si="246"/>
        <v>0</v>
      </c>
      <c r="AA350" s="102">
        <f t="shared" si="247"/>
        <v>0</v>
      </c>
      <c r="AB350" s="102">
        <f t="shared" si="248"/>
        <v>0</v>
      </c>
      <c r="AH350" s="100">
        <v>349</v>
      </c>
      <c r="AI350" s="131">
        <f t="shared" ca="1" si="249"/>
        <v>56788</v>
      </c>
      <c r="AJ350" s="102">
        <f t="shared" si="250"/>
        <v>0</v>
      </c>
      <c r="AK350" s="102">
        <f t="shared" si="251"/>
        <v>0</v>
      </c>
      <c r="AL350" s="102">
        <f t="shared" si="252"/>
        <v>0</v>
      </c>
      <c r="AM350" s="102">
        <f t="shared" si="253"/>
        <v>0</v>
      </c>
      <c r="AS350" s="530">
        <v>349</v>
      </c>
      <c r="AT350" s="531">
        <f t="shared" ca="1" si="270"/>
        <v>56788</v>
      </c>
      <c r="AU350" s="532">
        <f ca="1">IF(AU349=0,SUMIFS('Key Life Events'!$L$3:$L$28,'Key Life Events'!$H$3:$H$28,'Loan Amortization'!$AY$3,'Key Life Events'!$N$3:$N$28,'Loan Amortization'!AT350),AU349-AX349)</f>
        <v>0</v>
      </c>
      <c r="AV350" s="532">
        <f t="shared" ca="1" si="271"/>
        <v>0</v>
      </c>
      <c r="AW350" s="532">
        <f t="shared" ca="1" si="260"/>
        <v>0</v>
      </c>
      <c r="AX350" s="532">
        <f t="shared" ca="1" si="261"/>
        <v>0</v>
      </c>
      <c r="BC350" s="536">
        <f t="shared" ca="1" si="262"/>
        <v>2055</v>
      </c>
      <c r="BF350" s="530">
        <v>349</v>
      </c>
      <c r="BG350" s="531">
        <f t="shared" ca="1" si="272"/>
        <v>56788</v>
      </c>
      <c r="BH350" s="532">
        <f ca="1">IF(BH349=0,SUMIFS('Key Life Events'!$L$3:$L$28,'Key Life Events'!$H$3:$H$28,'Loan Amortization'!$BL$3,'Key Life Events'!$N$3:$N$28,'Loan Amortization'!BG350),BH349-BK349)</f>
        <v>0</v>
      </c>
      <c r="BI350" s="532">
        <f t="shared" ca="1" si="273"/>
        <v>0</v>
      </c>
      <c r="BJ350" s="532">
        <f t="shared" ca="1" si="274"/>
        <v>0</v>
      </c>
      <c r="BK350" s="532">
        <f t="shared" ca="1" si="263"/>
        <v>0</v>
      </c>
      <c r="BP350" s="536">
        <f t="shared" ca="1" si="264"/>
        <v>2055</v>
      </c>
      <c r="BS350" s="530">
        <v>349</v>
      </c>
      <c r="BT350" s="531">
        <f t="shared" ca="1" si="275"/>
        <v>56788</v>
      </c>
      <c r="BU350" s="532">
        <f ca="1">IF(BU349=0,SUMIFS('Key Life Events'!$L$3:$L$28,'Key Life Events'!$H$3:$H$28,'Loan Amortization'!$BY$3,'Key Life Events'!$N$3:$N$28,'Loan Amortization'!BT350),BU349-BX349)</f>
        <v>0</v>
      </c>
      <c r="BV350" s="532">
        <f t="shared" ca="1" si="280"/>
        <v>0</v>
      </c>
      <c r="BW350" s="532">
        <f t="shared" ca="1" si="276"/>
        <v>0</v>
      </c>
      <c r="BX350" s="532">
        <f t="shared" ca="1" si="265"/>
        <v>0</v>
      </c>
      <c r="CC350" s="536">
        <f t="shared" ca="1" si="266"/>
        <v>2055</v>
      </c>
      <c r="CF350" s="530">
        <v>349</v>
      </c>
      <c r="CG350" s="531">
        <f t="shared" ca="1" si="277"/>
        <v>56788</v>
      </c>
      <c r="CH350" s="532">
        <f ca="1">IF(CH349=0,SUMIFS('Key Life Events'!$L$3:$L$28,'Key Life Events'!$H$3:$H$28,'Loan Amortization'!$CL$3,'Key Life Events'!$N$3:$N$28,'Loan Amortization'!CG350),CH349-CK349)</f>
        <v>0</v>
      </c>
      <c r="CI350" s="532">
        <f t="shared" ca="1" si="278"/>
        <v>0</v>
      </c>
      <c r="CJ350" s="532">
        <f t="shared" ca="1" si="279"/>
        <v>0</v>
      </c>
      <c r="CK350" s="532">
        <f t="shared" ca="1" si="267"/>
        <v>0</v>
      </c>
      <c r="CP350" s="536">
        <f t="shared" ca="1" si="268"/>
        <v>2055</v>
      </c>
      <c r="CS350" s="100">
        <f t="shared" si="257"/>
        <v>349</v>
      </c>
      <c r="CT350" s="102">
        <f t="shared" ca="1" si="258"/>
        <v>0</v>
      </c>
      <c r="CU350" s="102">
        <f t="shared" ca="1" si="259"/>
        <v>0</v>
      </c>
      <c r="CV350" s="511">
        <f t="shared" ca="1" si="269"/>
        <v>2055</v>
      </c>
    </row>
    <row r="351" spans="1:100" x14ac:dyDescent="0.3">
      <c r="A351" s="100">
        <v>350</v>
      </c>
      <c r="B351" s="131">
        <f t="shared" si="234"/>
        <v>9798</v>
      </c>
      <c r="C351" s="102">
        <f t="shared" si="235"/>
        <v>0</v>
      </c>
      <c r="D351" s="102">
        <f t="shared" si="236"/>
        <v>0</v>
      </c>
      <c r="E351" s="102">
        <f t="shared" si="237"/>
        <v>0</v>
      </c>
      <c r="F351" s="102">
        <f t="shared" si="238"/>
        <v>0</v>
      </c>
      <c r="L351" s="100">
        <v>350</v>
      </c>
      <c r="M351" s="131">
        <f t="shared" ca="1" si="239"/>
        <v>56818</v>
      </c>
      <c r="N351" s="102">
        <f t="shared" si="240"/>
        <v>0</v>
      </c>
      <c r="O351" s="102">
        <f t="shared" si="241"/>
        <v>0</v>
      </c>
      <c r="P351" s="102">
        <f t="shared" si="242"/>
        <v>0</v>
      </c>
      <c r="Q351" s="102">
        <f t="shared" si="243"/>
        <v>0</v>
      </c>
      <c r="W351" s="100">
        <v>350</v>
      </c>
      <c r="X351" s="131">
        <f t="shared" ca="1" si="244"/>
        <v>56818</v>
      </c>
      <c r="Y351" s="102">
        <f t="shared" si="245"/>
        <v>0</v>
      </c>
      <c r="Z351" s="102">
        <f t="shared" si="246"/>
        <v>0</v>
      </c>
      <c r="AA351" s="102">
        <f t="shared" si="247"/>
        <v>0</v>
      </c>
      <c r="AB351" s="102">
        <f t="shared" si="248"/>
        <v>0</v>
      </c>
      <c r="AH351" s="100">
        <v>350</v>
      </c>
      <c r="AI351" s="131">
        <f t="shared" ca="1" si="249"/>
        <v>56818</v>
      </c>
      <c r="AJ351" s="102">
        <f t="shared" si="250"/>
        <v>0</v>
      </c>
      <c r="AK351" s="102">
        <f t="shared" si="251"/>
        <v>0</v>
      </c>
      <c r="AL351" s="102">
        <f t="shared" si="252"/>
        <v>0</v>
      </c>
      <c r="AM351" s="102">
        <f t="shared" si="253"/>
        <v>0</v>
      </c>
      <c r="AS351" s="530">
        <v>350</v>
      </c>
      <c r="AT351" s="531">
        <f t="shared" ca="1" si="270"/>
        <v>56818</v>
      </c>
      <c r="AU351" s="532">
        <f ca="1">IF(AU350=0,SUMIFS('Key Life Events'!$L$3:$L$28,'Key Life Events'!$H$3:$H$28,'Loan Amortization'!$AY$3,'Key Life Events'!$N$3:$N$28,'Loan Amortization'!AT351),AU350-AX350)</f>
        <v>0</v>
      </c>
      <c r="AV351" s="532">
        <f t="shared" ca="1" si="271"/>
        <v>0</v>
      </c>
      <c r="AW351" s="532">
        <f t="shared" ca="1" si="260"/>
        <v>0</v>
      </c>
      <c r="AX351" s="532">
        <f t="shared" ca="1" si="261"/>
        <v>0</v>
      </c>
      <c r="BC351" s="536">
        <f t="shared" ca="1" si="262"/>
        <v>2055</v>
      </c>
      <c r="BF351" s="530">
        <v>350</v>
      </c>
      <c r="BG351" s="531">
        <f t="shared" ca="1" si="272"/>
        <v>56818</v>
      </c>
      <c r="BH351" s="532">
        <f ca="1">IF(BH350=0,SUMIFS('Key Life Events'!$L$3:$L$28,'Key Life Events'!$H$3:$H$28,'Loan Amortization'!$BL$3,'Key Life Events'!$N$3:$N$28,'Loan Amortization'!BG351),BH350-BK350)</f>
        <v>0</v>
      </c>
      <c r="BI351" s="532">
        <f t="shared" ca="1" si="273"/>
        <v>0</v>
      </c>
      <c r="BJ351" s="532">
        <f t="shared" ca="1" si="274"/>
        <v>0</v>
      </c>
      <c r="BK351" s="532">
        <f t="shared" ca="1" si="263"/>
        <v>0</v>
      </c>
      <c r="BP351" s="536">
        <f t="shared" ca="1" si="264"/>
        <v>2055</v>
      </c>
      <c r="BS351" s="530">
        <v>350</v>
      </c>
      <c r="BT351" s="531">
        <f t="shared" ca="1" si="275"/>
        <v>56818</v>
      </c>
      <c r="BU351" s="532">
        <f ca="1">IF(BU350=0,SUMIFS('Key Life Events'!$L$3:$L$28,'Key Life Events'!$H$3:$H$28,'Loan Amortization'!$BY$3,'Key Life Events'!$N$3:$N$28,'Loan Amortization'!BT351),BU350-BX350)</f>
        <v>0</v>
      </c>
      <c r="BV351" s="532">
        <f t="shared" ca="1" si="280"/>
        <v>0</v>
      </c>
      <c r="BW351" s="532">
        <f t="shared" ca="1" si="276"/>
        <v>0</v>
      </c>
      <c r="BX351" s="532">
        <f t="shared" ca="1" si="265"/>
        <v>0</v>
      </c>
      <c r="CC351" s="536">
        <f t="shared" ca="1" si="266"/>
        <v>2055</v>
      </c>
      <c r="CF351" s="530">
        <v>350</v>
      </c>
      <c r="CG351" s="531">
        <f t="shared" ca="1" si="277"/>
        <v>56818</v>
      </c>
      <c r="CH351" s="532">
        <f ca="1">IF(CH350=0,SUMIFS('Key Life Events'!$L$3:$L$28,'Key Life Events'!$H$3:$H$28,'Loan Amortization'!$CL$3,'Key Life Events'!$N$3:$N$28,'Loan Amortization'!CG351),CH350-CK350)</f>
        <v>0</v>
      </c>
      <c r="CI351" s="532">
        <f t="shared" ca="1" si="278"/>
        <v>0</v>
      </c>
      <c r="CJ351" s="532">
        <f t="shared" ca="1" si="279"/>
        <v>0</v>
      </c>
      <c r="CK351" s="532">
        <f t="shared" ca="1" si="267"/>
        <v>0</v>
      </c>
      <c r="CP351" s="536">
        <f t="shared" ca="1" si="268"/>
        <v>2055</v>
      </c>
      <c r="CS351" s="100">
        <f t="shared" si="257"/>
        <v>350</v>
      </c>
      <c r="CT351" s="102">
        <f t="shared" ca="1" si="258"/>
        <v>0</v>
      </c>
      <c r="CU351" s="102">
        <f t="shared" ca="1" si="259"/>
        <v>0</v>
      </c>
      <c r="CV351" s="511">
        <f t="shared" ca="1" si="269"/>
        <v>2055</v>
      </c>
    </row>
    <row r="352" spans="1:100" x14ac:dyDescent="0.3">
      <c r="A352" s="100">
        <v>351</v>
      </c>
      <c r="B352" s="131">
        <f t="shared" si="234"/>
        <v>9829</v>
      </c>
      <c r="C352" s="102">
        <f t="shared" si="235"/>
        <v>0</v>
      </c>
      <c r="D352" s="102">
        <f t="shared" si="236"/>
        <v>0</v>
      </c>
      <c r="E352" s="102">
        <f t="shared" si="237"/>
        <v>0</v>
      </c>
      <c r="F352" s="102">
        <f t="shared" si="238"/>
        <v>0</v>
      </c>
      <c r="L352" s="100">
        <v>351</v>
      </c>
      <c r="M352" s="131">
        <f t="shared" ca="1" si="239"/>
        <v>56849</v>
      </c>
      <c r="N352" s="102">
        <f t="shared" si="240"/>
        <v>0</v>
      </c>
      <c r="O352" s="102">
        <f t="shared" si="241"/>
        <v>0</v>
      </c>
      <c r="P352" s="102">
        <f t="shared" si="242"/>
        <v>0</v>
      </c>
      <c r="Q352" s="102">
        <f t="shared" si="243"/>
        <v>0</v>
      </c>
      <c r="W352" s="100">
        <v>351</v>
      </c>
      <c r="X352" s="131">
        <f t="shared" ca="1" si="244"/>
        <v>56849</v>
      </c>
      <c r="Y352" s="102">
        <f t="shared" si="245"/>
        <v>0</v>
      </c>
      <c r="Z352" s="102">
        <f t="shared" si="246"/>
        <v>0</v>
      </c>
      <c r="AA352" s="102">
        <f t="shared" si="247"/>
        <v>0</v>
      </c>
      <c r="AB352" s="102">
        <f t="shared" si="248"/>
        <v>0</v>
      </c>
      <c r="AH352" s="100">
        <v>351</v>
      </c>
      <c r="AI352" s="131">
        <f t="shared" ca="1" si="249"/>
        <v>56849</v>
      </c>
      <c r="AJ352" s="102">
        <f t="shared" si="250"/>
        <v>0</v>
      </c>
      <c r="AK352" s="102">
        <f t="shared" si="251"/>
        <v>0</v>
      </c>
      <c r="AL352" s="102">
        <f t="shared" si="252"/>
        <v>0</v>
      </c>
      <c r="AM352" s="102">
        <f t="shared" si="253"/>
        <v>0</v>
      </c>
      <c r="AS352" s="530">
        <v>351</v>
      </c>
      <c r="AT352" s="531">
        <f t="shared" ca="1" si="270"/>
        <v>56849</v>
      </c>
      <c r="AU352" s="532">
        <f ca="1">IF(AU351=0,SUMIFS('Key Life Events'!$L$3:$L$28,'Key Life Events'!$H$3:$H$28,'Loan Amortization'!$AY$3,'Key Life Events'!$N$3:$N$28,'Loan Amortization'!AT352),AU351-AX351)</f>
        <v>0</v>
      </c>
      <c r="AV352" s="532">
        <f t="shared" ca="1" si="271"/>
        <v>0</v>
      </c>
      <c r="AW352" s="532">
        <f t="shared" ca="1" si="260"/>
        <v>0</v>
      </c>
      <c r="AX352" s="532">
        <f t="shared" ca="1" si="261"/>
        <v>0</v>
      </c>
      <c r="BC352" s="536">
        <f t="shared" ca="1" si="262"/>
        <v>2055</v>
      </c>
      <c r="BF352" s="530">
        <v>351</v>
      </c>
      <c r="BG352" s="531">
        <f t="shared" ca="1" si="272"/>
        <v>56849</v>
      </c>
      <c r="BH352" s="532">
        <f ca="1">IF(BH351=0,SUMIFS('Key Life Events'!$L$3:$L$28,'Key Life Events'!$H$3:$H$28,'Loan Amortization'!$BL$3,'Key Life Events'!$N$3:$N$28,'Loan Amortization'!BG352),BH351-BK351)</f>
        <v>0</v>
      </c>
      <c r="BI352" s="532">
        <f t="shared" ca="1" si="273"/>
        <v>0</v>
      </c>
      <c r="BJ352" s="532">
        <f t="shared" ca="1" si="274"/>
        <v>0</v>
      </c>
      <c r="BK352" s="532">
        <f t="shared" ca="1" si="263"/>
        <v>0</v>
      </c>
      <c r="BP352" s="536">
        <f t="shared" ca="1" si="264"/>
        <v>2055</v>
      </c>
      <c r="BS352" s="530">
        <v>351</v>
      </c>
      <c r="BT352" s="531">
        <f t="shared" ca="1" si="275"/>
        <v>56849</v>
      </c>
      <c r="BU352" s="532">
        <f ca="1">IF(BU351=0,SUMIFS('Key Life Events'!$L$3:$L$28,'Key Life Events'!$H$3:$H$28,'Loan Amortization'!$BY$3,'Key Life Events'!$N$3:$N$28,'Loan Amortization'!BT352),BU351-BX351)</f>
        <v>0</v>
      </c>
      <c r="BV352" s="532">
        <f t="shared" ca="1" si="280"/>
        <v>0</v>
      </c>
      <c r="BW352" s="532">
        <f t="shared" ca="1" si="276"/>
        <v>0</v>
      </c>
      <c r="BX352" s="532">
        <f t="shared" ca="1" si="265"/>
        <v>0</v>
      </c>
      <c r="CC352" s="536">
        <f t="shared" ca="1" si="266"/>
        <v>2055</v>
      </c>
      <c r="CF352" s="530">
        <v>351</v>
      </c>
      <c r="CG352" s="531">
        <f t="shared" ca="1" si="277"/>
        <v>56849</v>
      </c>
      <c r="CH352" s="532">
        <f ca="1">IF(CH351=0,SUMIFS('Key Life Events'!$L$3:$L$28,'Key Life Events'!$H$3:$H$28,'Loan Amortization'!$CL$3,'Key Life Events'!$N$3:$N$28,'Loan Amortization'!CG352),CH351-CK351)</f>
        <v>0</v>
      </c>
      <c r="CI352" s="532">
        <f t="shared" ca="1" si="278"/>
        <v>0</v>
      </c>
      <c r="CJ352" s="532">
        <f t="shared" ca="1" si="279"/>
        <v>0</v>
      </c>
      <c r="CK352" s="532">
        <f t="shared" ca="1" si="267"/>
        <v>0</v>
      </c>
      <c r="CP352" s="536">
        <f t="shared" ca="1" si="268"/>
        <v>2055</v>
      </c>
      <c r="CS352" s="100">
        <f t="shared" si="257"/>
        <v>351</v>
      </c>
      <c r="CT352" s="102">
        <f t="shared" ca="1" si="258"/>
        <v>0</v>
      </c>
      <c r="CU352" s="102">
        <f t="shared" ca="1" si="259"/>
        <v>0</v>
      </c>
      <c r="CV352" s="511">
        <f t="shared" ca="1" si="269"/>
        <v>2055</v>
      </c>
    </row>
    <row r="353" spans="1:100" x14ac:dyDescent="0.3">
      <c r="A353" s="100">
        <v>352</v>
      </c>
      <c r="B353" s="131">
        <f t="shared" ref="B353:B416" si="281">IF(C352&lt;D352,,EDATE(B352,1))</f>
        <v>9859</v>
      </c>
      <c r="C353" s="102">
        <f t="shared" ref="C353:C416" si="282">IF(C352&lt;D352,0,C352-F352)</f>
        <v>0</v>
      </c>
      <c r="D353" s="102">
        <f t="shared" ref="D353:D416" si="283">IF(C353&lt;=D352,C353+E353,D$2)</f>
        <v>0</v>
      </c>
      <c r="E353" s="102">
        <f t="shared" ref="E353:E416" si="284">(C353*H$1)/12</f>
        <v>0</v>
      </c>
      <c r="F353" s="102">
        <f t="shared" ref="F353:F416" si="285">D353-E353</f>
        <v>0</v>
      </c>
      <c r="L353" s="100">
        <v>352</v>
      </c>
      <c r="M353" s="131">
        <f t="shared" ref="M353:M416" ca="1" si="286">IF(N352&lt;O352,,EDATE(M352,1))</f>
        <v>56880</v>
      </c>
      <c r="N353" s="102">
        <f t="shared" ref="N353:N416" si="287">IF(N352&lt;O352,0,N352-Q352)</f>
        <v>0</v>
      </c>
      <c r="O353" s="102">
        <f t="shared" ref="O353:O416" si="288">IF(N353&lt;=O352,N353+P353,O$2)</f>
        <v>0</v>
      </c>
      <c r="P353" s="102">
        <f t="shared" ref="P353:P416" si="289">(N353*S$1)/12</f>
        <v>0</v>
      </c>
      <c r="Q353" s="102">
        <f t="shared" ref="Q353:Q416" si="290">O353-P353</f>
        <v>0</v>
      </c>
      <c r="W353" s="100">
        <v>352</v>
      </c>
      <c r="X353" s="131">
        <f t="shared" ref="X353:X416" ca="1" si="291">IF(Y352&lt;Z352,,EDATE(X352,1))</f>
        <v>56880</v>
      </c>
      <c r="Y353" s="102">
        <f t="shared" ref="Y353:Y416" si="292">IF(Y352&lt;Z352,0,Y352-AB352)</f>
        <v>0</v>
      </c>
      <c r="Z353" s="102">
        <f t="shared" ref="Z353:Z416" si="293">IF(Y353&lt;=Z352,Y353+AA353,Z$2)</f>
        <v>0</v>
      </c>
      <c r="AA353" s="102">
        <f t="shared" ref="AA353:AA416" si="294">(Y353*AD$1)/12</f>
        <v>0</v>
      </c>
      <c r="AB353" s="102">
        <f t="shared" ref="AB353:AB416" si="295">Z353-AA353</f>
        <v>0</v>
      </c>
      <c r="AH353" s="100">
        <v>352</v>
      </c>
      <c r="AI353" s="131">
        <f t="shared" ref="AI353:AI416" ca="1" si="296">IF(AJ352&lt;AK352,,EDATE(AI352,1))</f>
        <v>56880</v>
      </c>
      <c r="AJ353" s="102">
        <f t="shared" ref="AJ353:AJ416" si="297">IF(AJ352&lt;AK352,0,AJ352-AM352)</f>
        <v>0</v>
      </c>
      <c r="AK353" s="102">
        <f t="shared" ref="AK353:AK416" si="298">IF(AJ353&lt;=AK352,AJ353+AL353,AK$2)</f>
        <v>0</v>
      </c>
      <c r="AL353" s="102">
        <f t="shared" ref="AL353:AL416" si="299">(AJ353*AO$1)/12</f>
        <v>0</v>
      </c>
      <c r="AM353" s="102">
        <f t="shared" ref="AM353:AM416" si="300">AK353-AL353</f>
        <v>0</v>
      </c>
      <c r="AS353" s="530">
        <v>352</v>
      </c>
      <c r="AT353" s="531">
        <f t="shared" ca="1" si="270"/>
        <v>56880</v>
      </c>
      <c r="AU353" s="532">
        <f ca="1">IF(AU352=0,SUMIFS('Key Life Events'!$L$3:$L$28,'Key Life Events'!$H$3:$H$28,'Loan Amortization'!$AY$3,'Key Life Events'!$N$3:$N$28,'Loan Amortization'!AT353),AU352-AX352)</f>
        <v>0</v>
      </c>
      <c r="AV353" s="532">
        <f t="shared" ca="1" si="271"/>
        <v>0</v>
      </c>
      <c r="AW353" s="532">
        <f t="shared" ca="1" si="260"/>
        <v>0</v>
      </c>
      <c r="AX353" s="532">
        <f t="shared" ca="1" si="261"/>
        <v>0</v>
      </c>
      <c r="BC353" s="536">
        <f t="shared" ca="1" si="262"/>
        <v>2055</v>
      </c>
      <c r="BF353" s="530">
        <v>352</v>
      </c>
      <c r="BG353" s="531">
        <f t="shared" ca="1" si="272"/>
        <v>56880</v>
      </c>
      <c r="BH353" s="532">
        <f ca="1">IF(BH352=0,SUMIFS('Key Life Events'!$L$3:$L$28,'Key Life Events'!$H$3:$H$28,'Loan Amortization'!$BL$3,'Key Life Events'!$N$3:$N$28,'Loan Amortization'!BG353),BH352-BK352)</f>
        <v>0</v>
      </c>
      <c r="BI353" s="532">
        <f t="shared" ca="1" si="273"/>
        <v>0</v>
      </c>
      <c r="BJ353" s="532">
        <f t="shared" ca="1" si="274"/>
        <v>0</v>
      </c>
      <c r="BK353" s="532">
        <f t="shared" ca="1" si="263"/>
        <v>0</v>
      </c>
      <c r="BP353" s="536">
        <f t="shared" ca="1" si="264"/>
        <v>2055</v>
      </c>
      <c r="BS353" s="530">
        <v>352</v>
      </c>
      <c r="BT353" s="531">
        <f t="shared" ca="1" si="275"/>
        <v>56880</v>
      </c>
      <c r="BU353" s="532">
        <f ca="1">IF(BU352=0,SUMIFS('Key Life Events'!$L$3:$L$28,'Key Life Events'!$H$3:$H$28,'Loan Amortization'!$BY$3,'Key Life Events'!$N$3:$N$28,'Loan Amortization'!BT353),BU352-BX352)</f>
        <v>0</v>
      </c>
      <c r="BV353" s="532">
        <f t="shared" ca="1" si="280"/>
        <v>0</v>
      </c>
      <c r="BW353" s="532">
        <f t="shared" ca="1" si="276"/>
        <v>0</v>
      </c>
      <c r="BX353" s="532">
        <f t="shared" ca="1" si="265"/>
        <v>0</v>
      </c>
      <c r="CC353" s="536">
        <f t="shared" ca="1" si="266"/>
        <v>2055</v>
      </c>
      <c r="CF353" s="530">
        <v>352</v>
      </c>
      <c r="CG353" s="531">
        <f t="shared" ca="1" si="277"/>
        <v>56880</v>
      </c>
      <c r="CH353" s="532">
        <f ca="1">IF(CH352=0,SUMIFS('Key Life Events'!$L$3:$L$28,'Key Life Events'!$H$3:$H$28,'Loan Amortization'!$CL$3,'Key Life Events'!$N$3:$N$28,'Loan Amortization'!CG353),CH352-CK352)</f>
        <v>0</v>
      </c>
      <c r="CI353" s="532">
        <f t="shared" ca="1" si="278"/>
        <v>0</v>
      </c>
      <c r="CJ353" s="532">
        <f t="shared" ca="1" si="279"/>
        <v>0</v>
      </c>
      <c r="CK353" s="532">
        <f t="shared" ca="1" si="267"/>
        <v>0</v>
      </c>
      <c r="CP353" s="536">
        <f t="shared" ca="1" si="268"/>
        <v>2055</v>
      </c>
      <c r="CS353" s="100">
        <f t="shared" si="257"/>
        <v>352</v>
      </c>
      <c r="CT353" s="102">
        <f t="shared" ca="1" si="258"/>
        <v>0</v>
      </c>
      <c r="CU353" s="102">
        <f t="shared" ca="1" si="259"/>
        <v>0</v>
      </c>
      <c r="CV353" s="511">
        <f t="shared" ca="1" si="269"/>
        <v>2055</v>
      </c>
    </row>
    <row r="354" spans="1:100" x14ac:dyDescent="0.3">
      <c r="A354" s="100">
        <v>353</v>
      </c>
      <c r="B354" s="131">
        <f t="shared" si="281"/>
        <v>9890</v>
      </c>
      <c r="C354" s="102">
        <f t="shared" si="282"/>
        <v>0</v>
      </c>
      <c r="D354" s="102">
        <f t="shared" si="283"/>
        <v>0</v>
      </c>
      <c r="E354" s="102">
        <f t="shared" si="284"/>
        <v>0</v>
      </c>
      <c r="F354" s="102">
        <f t="shared" si="285"/>
        <v>0</v>
      </c>
      <c r="L354" s="100">
        <v>353</v>
      </c>
      <c r="M354" s="131">
        <f t="shared" ca="1" si="286"/>
        <v>56910</v>
      </c>
      <c r="N354" s="102">
        <f t="shared" si="287"/>
        <v>0</v>
      </c>
      <c r="O354" s="102">
        <f t="shared" si="288"/>
        <v>0</v>
      </c>
      <c r="P354" s="102">
        <f t="shared" si="289"/>
        <v>0</v>
      </c>
      <c r="Q354" s="102">
        <f t="shared" si="290"/>
        <v>0</v>
      </c>
      <c r="W354" s="100">
        <v>353</v>
      </c>
      <c r="X354" s="131">
        <f t="shared" ca="1" si="291"/>
        <v>56910</v>
      </c>
      <c r="Y354" s="102">
        <f t="shared" si="292"/>
        <v>0</v>
      </c>
      <c r="Z354" s="102">
        <f t="shared" si="293"/>
        <v>0</v>
      </c>
      <c r="AA354" s="102">
        <f t="shared" si="294"/>
        <v>0</v>
      </c>
      <c r="AB354" s="102">
        <f t="shared" si="295"/>
        <v>0</v>
      </c>
      <c r="AH354" s="100">
        <v>353</v>
      </c>
      <c r="AI354" s="131">
        <f t="shared" ca="1" si="296"/>
        <v>56910</v>
      </c>
      <c r="AJ354" s="102">
        <f t="shared" si="297"/>
        <v>0</v>
      </c>
      <c r="AK354" s="102">
        <f t="shared" si="298"/>
        <v>0</v>
      </c>
      <c r="AL354" s="102">
        <f t="shared" si="299"/>
        <v>0</v>
      </c>
      <c r="AM354" s="102">
        <f t="shared" si="300"/>
        <v>0</v>
      </c>
      <c r="AS354" s="530">
        <v>353</v>
      </c>
      <c r="AT354" s="531">
        <f t="shared" ca="1" si="270"/>
        <v>56910</v>
      </c>
      <c r="AU354" s="532">
        <f ca="1">IF(AU353=0,SUMIFS('Key Life Events'!$L$3:$L$28,'Key Life Events'!$H$3:$H$28,'Loan Amortization'!$AY$3,'Key Life Events'!$N$3:$N$28,'Loan Amortization'!AT354),AU353-AX353)</f>
        <v>0</v>
      </c>
      <c r="AV354" s="532">
        <f t="shared" ca="1" si="271"/>
        <v>0</v>
      </c>
      <c r="AW354" s="532">
        <f t="shared" ca="1" si="260"/>
        <v>0</v>
      </c>
      <c r="AX354" s="532">
        <f t="shared" ca="1" si="261"/>
        <v>0</v>
      </c>
      <c r="BC354" s="536">
        <f t="shared" ca="1" si="262"/>
        <v>2055</v>
      </c>
      <c r="BF354" s="530">
        <v>353</v>
      </c>
      <c r="BG354" s="531">
        <f t="shared" ca="1" si="272"/>
        <v>56910</v>
      </c>
      <c r="BH354" s="532">
        <f ca="1">IF(BH353=0,SUMIFS('Key Life Events'!$L$3:$L$28,'Key Life Events'!$H$3:$H$28,'Loan Amortization'!$BL$3,'Key Life Events'!$N$3:$N$28,'Loan Amortization'!BG354),BH353-BK353)</f>
        <v>0</v>
      </c>
      <c r="BI354" s="532">
        <f t="shared" ca="1" si="273"/>
        <v>0</v>
      </c>
      <c r="BJ354" s="532">
        <f t="shared" ca="1" si="274"/>
        <v>0</v>
      </c>
      <c r="BK354" s="532">
        <f t="shared" ca="1" si="263"/>
        <v>0</v>
      </c>
      <c r="BP354" s="536">
        <f t="shared" ca="1" si="264"/>
        <v>2055</v>
      </c>
      <c r="BS354" s="530">
        <v>353</v>
      </c>
      <c r="BT354" s="531">
        <f t="shared" ca="1" si="275"/>
        <v>56910</v>
      </c>
      <c r="BU354" s="532">
        <f ca="1">IF(BU353=0,SUMIFS('Key Life Events'!$L$3:$L$28,'Key Life Events'!$H$3:$H$28,'Loan Amortization'!$BY$3,'Key Life Events'!$N$3:$N$28,'Loan Amortization'!BT354),BU353-BX353)</f>
        <v>0</v>
      </c>
      <c r="BV354" s="532">
        <f t="shared" ca="1" si="280"/>
        <v>0</v>
      </c>
      <c r="BW354" s="532">
        <f t="shared" ca="1" si="276"/>
        <v>0</v>
      </c>
      <c r="BX354" s="532">
        <f t="shared" ca="1" si="265"/>
        <v>0</v>
      </c>
      <c r="CC354" s="536">
        <f t="shared" ca="1" si="266"/>
        <v>2055</v>
      </c>
      <c r="CF354" s="530">
        <v>353</v>
      </c>
      <c r="CG354" s="531">
        <f t="shared" ca="1" si="277"/>
        <v>56910</v>
      </c>
      <c r="CH354" s="532">
        <f ca="1">IF(CH353=0,SUMIFS('Key Life Events'!$L$3:$L$28,'Key Life Events'!$H$3:$H$28,'Loan Amortization'!$CL$3,'Key Life Events'!$N$3:$N$28,'Loan Amortization'!CG354),CH353-CK353)</f>
        <v>0</v>
      </c>
      <c r="CI354" s="532">
        <f t="shared" ca="1" si="278"/>
        <v>0</v>
      </c>
      <c r="CJ354" s="532">
        <f t="shared" ca="1" si="279"/>
        <v>0</v>
      </c>
      <c r="CK354" s="532">
        <f t="shared" ca="1" si="267"/>
        <v>0</v>
      </c>
      <c r="CP354" s="536">
        <f t="shared" ca="1" si="268"/>
        <v>2055</v>
      </c>
      <c r="CS354" s="100">
        <f t="shared" si="257"/>
        <v>353</v>
      </c>
      <c r="CT354" s="102">
        <f t="shared" ca="1" si="258"/>
        <v>0</v>
      </c>
      <c r="CU354" s="102">
        <f t="shared" ca="1" si="259"/>
        <v>0</v>
      </c>
      <c r="CV354" s="511">
        <f t="shared" ca="1" si="269"/>
        <v>2055</v>
      </c>
    </row>
    <row r="355" spans="1:100" x14ac:dyDescent="0.3">
      <c r="A355" s="100">
        <v>354</v>
      </c>
      <c r="B355" s="131">
        <f t="shared" si="281"/>
        <v>9921</v>
      </c>
      <c r="C355" s="102">
        <f t="shared" si="282"/>
        <v>0</v>
      </c>
      <c r="D355" s="102">
        <f t="shared" si="283"/>
        <v>0</v>
      </c>
      <c r="E355" s="102">
        <f t="shared" si="284"/>
        <v>0</v>
      </c>
      <c r="F355" s="102">
        <f t="shared" si="285"/>
        <v>0</v>
      </c>
      <c r="L355" s="100">
        <v>354</v>
      </c>
      <c r="M355" s="131">
        <f t="shared" ca="1" si="286"/>
        <v>56941</v>
      </c>
      <c r="N355" s="102">
        <f t="shared" si="287"/>
        <v>0</v>
      </c>
      <c r="O355" s="102">
        <f t="shared" si="288"/>
        <v>0</v>
      </c>
      <c r="P355" s="102">
        <f t="shared" si="289"/>
        <v>0</v>
      </c>
      <c r="Q355" s="102">
        <f t="shared" si="290"/>
        <v>0</v>
      </c>
      <c r="W355" s="100">
        <v>354</v>
      </c>
      <c r="X355" s="131">
        <f t="shared" ca="1" si="291"/>
        <v>56941</v>
      </c>
      <c r="Y355" s="102">
        <f t="shared" si="292"/>
        <v>0</v>
      </c>
      <c r="Z355" s="102">
        <f t="shared" si="293"/>
        <v>0</v>
      </c>
      <c r="AA355" s="102">
        <f t="shared" si="294"/>
        <v>0</v>
      </c>
      <c r="AB355" s="102">
        <f t="shared" si="295"/>
        <v>0</v>
      </c>
      <c r="AH355" s="100">
        <v>354</v>
      </c>
      <c r="AI355" s="131">
        <f t="shared" ca="1" si="296"/>
        <v>56941</v>
      </c>
      <c r="AJ355" s="102">
        <f t="shared" si="297"/>
        <v>0</v>
      </c>
      <c r="AK355" s="102">
        <f t="shared" si="298"/>
        <v>0</v>
      </c>
      <c r="AL355" s="102">
        <f t="shared" si="299"/>
        <v>0</v>
      </c>
      <c r="AM355" s="102">
        <f t="shared" si="300"/>
        <v>0</v>
      </c>
      <c r="AS355" s="530">
        <v>354</v>
      </c>
      <c r="AT355" s="531">
        <f t="shared" ca="1" si="270"/>
        <v>56941</v>
      </c>
      <c r="AU355" s="532">
        <f ca="1">IF(AU354=0,SUMIFS('Key Life Events'!$L$3:$L$28,'Key Life Events'!$H$3:$H$28,'Loan Amortization'!$AY$3,'Key Life Events'!$N$3:$N$28,'Loan Amortization'!AT355),AU354-AX354)</f>
        <v>0</v>
      </c>
      <c r="AV355" s="532">
        <f t="shared" ca="1" si="271"/>
        <v>0</v>
      </c>
      <c r="AW355" s="532">
        <f t="shared" ca="1" si="260"/>
        <v>0</v>
      </c>
      <c r="AX355" s="532">
        <f t="shared" ca="1" si="261"/>
        <v>0</v>
      </c>
      <c r="BC355" s="536">
        <f t="shared" ca="1" si="262"/>
        <v>2055</v>
      </c>
      <c r="BF355" s="530">
        <v>354</v>
      </c>
      <c r="BG355" s="531">
        <f t="shared" ca="1" si="272"/>
        <v>56941</v>
      </c>
      <c r="BH355" s="532">
        <f ca="1">IF(BH354=0,SUMIFS('Key Life Events'!$L$3:$L$28,'Key Life Events'!$H$3:$H$28,'Loan Amortization'!$BL$3,'Key Life Events'!$N$3:$N$28,'Loan Amortization'!BG355),BH354-BK354)</f>
        <v>0</v>
      </c>
      <c r="BI355" s="532">
        <f t="shared" ca="1" si="273"/>
        <v>0</v>
      </c>
      <c r="BJ355" s="532">
        <f t="shared" ca="1" si="274"/>
        <v>0</v>
      </c>
      <c r="BK355" s="532">
        <f t="shared" ca="1" si="263"/>
        <v>0</v>
      </c>
      <c r="BP355" s="536">
        <f t="shared" ca="1" si="264"/>
        <v>2055</v>
      </c>
      <c r="BS355" s="530">
        <v>354</v>
      </c>
      <c r="BT355" s="531">
        <f t="shared" ca="1" si="275"/>
        <v>56941</v>
      </c>
      <c r="BU355" s="532">
        <f ca="1">IF(BU354=0,SUMIFS('Key Life Events'!$L$3:$L$28,'Key Life Events'!$H$3:$H$28,'Loan Amortization'!$BY$3,'Key Life Events'!$N$3:$N$28,'Loan Amortization'!BT355),BU354-BX354)</f>
        <v>0</v>
      </c>
      <c r="BV355" s="532">
        <f t="shared" ca="1" si="280"/>
        <v>0</v>
      </c>
      <c r="BW355" s="532">
        <f t="shared" ca="1" si="276"/>
        <v>0</v>
      </c>
      <c r="BX355" s="532">
        <f t="shared" ca="1" si="265"/>
        <v>0</v>
      </c>
      <c r="CC355" s="536">
        <f t="shared" ca="1" si="266"/>
        <v>2055</v>
      </c>
      <c r="CF355" s="530">
        <v>354</v>
      </c>
      <c r="CG355" s="531">
        <f t="shared" ca="1" si="277"/>
        <v>56941</v>
      </c>
      <c r="CH355" s="532">
        <f ca="1">IF(CH354=0,SUMIFS('Key Life Events'!$L$3:$L$28,'Key Life Events'!$H$3:$H$28,'Loan Amortization'!$CL$3,'Key Life Events'!$N$3:$N$28,'Loan Amortization'!CG355),CH354-CK354)</f>
        <v>0</v>
      </c>
      <c r="CI355" s="532">
        <f t="shared" ca="1" si="278"/>
        <v>0</v>
      </c>
      <c r="CJ355" s="532">
        <f t="shared" ca="1" si="279"/>
        <v>0</v>
      </c>
      <c r="CK355" s="532">
        <f t="shared" ca="1" si="267"/>
        <v>0</v>
      </c>
      <c r="CP355" s="536">
        <f t="shared" ca="1" si="268"/>
        <v>2055</v>
      </c>
      <c r="CS355" s="100">
        <f t="shared" si="257"/>
        <v>354</v>
      </c>
      <c r="CT355" s="102">
        <f t="shared" ca="1" si="258"/>
        <v>0</v>
      </c>
      <c r="CU355" s="102">
        <f t="shared" ca="1" si="259"/>
        <v>0</v>
      </c>
      <c r="CV355" s="511">
        <f t="shared" ca="1" si="269"/>
        <v>2055</v>
      </c>
    </row>
    <row r="356" spans="1:100" x14ac:dyDescent="0.3">
      <c r="A356" s="100">
        <v>355</v>
      </c>
      <c r="B356" s="131">
        <f t="shared" si="281"/>
        <v>9949</v>
      </c>
      <c r="C356" s="102">
        <f t="shared" si="282"/>
        <v>0</v>
      </c>
      <c r="D356" s="102">
        <f t="shared" si="283"/>
        <v>0</v>
      </c>
      <c r="E356" s="102">
        <f t="shared" si="284"/>
        <v>0</v>
      </c>
      <c r="F356" s="102">
        <f t="shared" si="285"/>
        <v>0</v>
      </c>
      <c r="L356" s="100">
        <v>355</v>
      </c>
      <c r="M356" s="131">
        <f t="shared" ca="1" si="286"/>
        <v>56971</v>
      </c>
      <c r="N356" s="102">
        <f t="shared" si="287"/>
        <v>0</v>
      </c>
      <c r="O356" s="102">
        <f t="shared" si="288"/>
        <v>0</v>
      </c>
      <c r="P356" s="102">
        <f t="shared" si="289"/>
        <v>0</v>
      </c>
      <c r="Q356" s="102">
        <f t="shared" si="290"/>
        <v>0</v>
      </c>
      <c r="W356" s="100">
        <v>355</v>
      </c>
      <c r="X356" s="131">
        <f t="shared" ca="1" si="291"/>
        <v>56971</v>
      </c>
      <c r="Y356" s="102">
        <f t="shared" si="292"/>
        <v>0</v>
      </c>
      <c r="Z356" s="102">
        <f t="shared" si="293"/>
        <v>0</v>
      </c>
      <c r="AA356" s="102">
        <f t="shared" si="294"/>
        <v>0</v>
      </c>
      <c r="AB356" s="102">
        <f t="shared" si="295"/>
        <v>0</v>
      </c>
      <c r="AH356" s="100">
        <v>355</v>
      </c>
      <c r="AI356" s="131">
        <f t="shared" ca="1" si="296"/>
        <v>56971</v>
      </c>
      <c r="AJ356" s="102">
        <f t="shared" si="297"/>
        <v>0</v>
      </c>
      <c r="AK356" s="102">
        <f t="shared" si="298"/>
        <v>0</v>
      </c>
      <c r="AL356" s="102">
        <f t="shared" si="299"/>
        <v>0</v>
      </c>
      <c r="AM356" s="102">
        <f t="shared" si="300"/>
        <v>0</v>
      </c>
      <c r="AS356" s="530">
        <v>355</v>
      </c>
      <c r="AT356" s="531">
        <f t="shared" ca="1" si="270"/>
        <v>56971</v>
      </c>
      <c r="AU356" s="532">
        <f ca="1">IF(AU355=0,SUMIFS('Key Life Events'!$L$3:$L$28,'Key Life Events'!$H$3:$H$28,'Loan Amortization'!$AY$3,'Key Life Events'!$N$3:$N$28,'Loan Amortization'!AT356),AU355-AX355)</f>
        <v>0</v>
      </c>
      <c r="AV356" s="532">
        <f t="shared" ca="1" si="271"/>
        <v>0</v>
      </c>
      <c r="AW356" s="532">
        <f t="shared" ca="1" si="260"/>
        <v>0</v>
      </c>
      <c r="AX356" s="532">
        <f t="shared" ca="1" si="261"/>
        <v>0</v>
      </c>
      <c r="BC356" s="536">
        <f t="shared" ca="1" si="262"/>
        <v>2055</v>
      </c>
      <c r="BF356" s="530">
        <v>355</v>
      </c>
      <c r="BG356" s="531">
        <f t="shared" ca="1" si="272"/>
        <v>56971</v>
      </c>
      <c r="BH356" s="532">
        <f ca="1">IF(BH355=0,SUMIFS('Key Life Events'!$L$3:$L$28,'Key Life Events'!$H$3:$H$28,'Loan Amortization'!$BL$3,'Key Life Events'!$N$3:$N$28,'Loan Amortization'!BG356),BH355-BK355)</f>
        <v>0</v>
      </c>
      <c r="BI356" s="532">
        <f t="shared" ca="1" si="273"/>
        <v>0</v>
      </c>
      <c r="BJ356" s="532">
        <f t="shared" ca="1" si="274"/>
        <v>0</v>
      </c>
      <c r="BK356" s="532">
        <f t="shared" ca="1" si="263"/>
        <v>0</v>
      </c>
      <c r="BP356" s="536">
        <f t="shared" ca="1" si="264"/>
        <v>2055</v>
      </c>
      <c r="BS356" s="530">
        <v>355</v>
      </c>
      <c r="BT356" s="531">
        <f t="shared" ca="1" si="275"/>
        <v>56971</v>
      </c>
      <c r="BU356" s="532">
        <f ca="1">IF(BU355=0,SUMIFS('Key Life Events'!$L$3:$L$28,'Key Life Events'!$H$3:$H$28,'Loan Amortization'!$BY$3,'Key Life Events'!$N$3:$N$28,'Loan Amortization'!BT356),BU355-BX355)</f>
        <v>0</v>
      </c>
      <c r="BV356" s="532">
        <f t="shared" ca="1" si="280"/>
        <v>0</v>
      </c>
      <c r="BW356" s="532">
        <f t="shared" ca="1" si="276"/>
        <v>0</v>
      </c>
      <c r="BX356" s="532">
        <f t="shared" ca="1" si="265"/>
        <v>0</v>
      </c>
      <c r="CC356" s="536">
        <f t="shared" ca="1" si="266"/>
        <v>2055</v>
      </c>
      <c r="CF356" s="530">
        <v>355</v>
      </c>
      <c r="CG356" s="531">
        <f t="shared" ca="1" si="277"/>
        <v>56971</v>
      </c>
      <c r="CH356" s="532">
        <f ca="1">IF(CH355=0,SUMIFS('Key Life Events'!$L$3:$L$28,'Key Life Events'!$H$3:$H$28,'Loan Amortization'!$CL$3,'Key Life Events'!$N$3:$N$28,'Loan Amortization'!CG356),CH355-CK355)</f>
        <v>0</v>
      </c>
      <c r="CI356" s="532">
        <f t="shared" ca="1" si="278"/>
        <v>0</v>
      </c>
      <c r="CJ356" s="532">
        <f t="shared" ca="1" si="279"/>
        <v>0</v>
      </c>
      <c r="CK356" s="532">
        <f t="shared" ca="1" si="267"/>
        <v>0</v>
      </c>
      <c r="CP356" s="536">
        <f t="shared" ca="1" si="268"/>
        <v>2055</v>
      </c>
      <c r="CS356" s="100">
        <f t="shared" si="257"/>
        <v>355</v>
      </c>
      <c r="CT356" s="102">
        <f t="shared" ca="1" si="258"/>
        <v>0</v>
      </c>
      <c r="CU356" s="102">
        <f t="shared" ca="1" si="259"/>
        <v>0</v>
      </c>
      <c r="CV356" s="511">
        <f t="shared" ca="1" si="269"/>
        <v>2055</v>
      </c>
    </row>
    <row r="357" spans="1:100" x14ac:dyDescent="0.3">
      <c r="A357" s="100">
        <v>356</v>
      </c>
      <c r="B357" s="131">
        <f t="shared" si="281"/>
        <v>9980</v>
      </c>
      <c r="C357" s="102">
        <f t="shared" si="282"/>
        <v>0</v>
      </c>
      <c r="D357" s="102">
        <f t="shared" si="283"/>
        <v>0</v>
      </c>
      <c r="E357" s="102">
        <f t="shared" si="284"/>
        <v>0</v>
      </c>
      <c r="F357" s="102">
        <f t="shared" si="285"/>
        <v>0</v>
      </c>
      <c r="L357" s="100">
        <v>356</v>
      </c>
      <c r="M357" s="131">
        <f t="shared" ca="1" si="286"/>
        <v>57002</v>
      </c>
      <c r="N357" s="102">
        <f t="shared" si="287"/>
        <v>0</v>
      </c>
      <c r="O357" s="102">
        <f t="shared" si="288"/>
        <v>0</v>
      </c>
      <c r="P357" s="102">
        <f t="shared" si="289"/>
        <v>0</v>
      </c>
      <c r="Q357" s="102">
        <f t="shared" si="290"/>
        <v>0</v>
      </c>
      <c r="W357" s="100">
        <v>356</v>
      </c>
      <c r="X357" s="131">
        <f t="shared" ca="1" si="291"/>
        <v>57002</v>
      </c>
      <c r="Y357" s="102">
        <f t="shared" si="292"/>
        <v>0</v>
      </c>
      <c r="Z357" s="102">
        <f t="shared" si="293"/>
        <v>0</v>
      </c>
      <c r="AA357" s="102">
        <f t="shared" si="294"/>
        <v>0</v>
      </c>
      <c r="AB357" s="102">
        <f t="shared" si="295"/>
        <v>0</v>
      </c>
      <c r="AH357" s="100">
        <v>356</v>
      </c>
      <c r="AI357" s="131">
        <f t="shared" ca="1" si="296"/>
        <v>57002</v>
      </c>
      <c r="AJ357" s="102">
        <f t="shared" si="297"/>
        <v>0</v>
      </c>
      <c r="AK357" s="102">
        <f t="shared" si="298"/>
        <v>0</v>
      </c>
      <c r="AL357" s="102">
        <f t="shared" si="299"/>
        <v>0</v>
      </c>
      <c r="AM357" s="102">
        <f t="shared" si="300"/>
        <v>0</v>
      </c>
      <c r="AS357" s="530">
        <v>356</v>
      </c>
      <c r="AT357" s="531">
        <f t="shared" ca="1" si="270"/>
        <v>57002</v>
      </c>
      <c r="AU357" s="532">
        <f ca="1">IF(AU356=0,SUMIFS('Key Life Events'!$L$3:$L$28,'Key Life Events'!$H$3:$H$28,'Loan Amortization'!$AY$3,'Key Life Events'!$N$3:$N$28,'Loan Amortization'!AT357),AU356-AX356)</f>
        <v>0</v>
      </c>
      <c r="AV357" s="532">
        <f t="shared" ca="1" si="271"/>
        <v>0</v>
      </c>
      <c r="AW357" s="532">
        <f t="shared" ca="1" si="260"/>
        <v>0</v>
      </c>
      <c r="AX357" s="532">
        <f t="shared" ca="1" si="261"/>
        <v>0</v>
      </c>
      <c r="BC357" s="536">
        <f t="shared" ca="1" si="262"/>
        <v>2056</v>
      </c>
      <c r="BF357" s="530">
        <v>356</v>
      </c>
      <c r="BG357" s="531">
        <f t="shared" ca="1" si="272"/>
        <v>57002</v>
      </c>
      <c r="BH357" s="532">
        <f ca="1">IF(BH356=0,SUMIFS('Key Life Events'!$L$3:$L$28,'Key Life Events'!$H$3:$H$28,'Loan Amortization'!$BL$3,'Key Life Events'!$N$3:$N$28,'Loan Amortization'!BG357),BH356-BK356)</f>
        <v>0</v>
      </c>
      <c r="BI357" s="532">
        <f t="shared" ca="1" si="273"/>
        <v>0</v>
      </c>
      <c r="BJ357" s="532">
        <f t="shared" ca="1" si="274"/>
        <v>0</v>
      </c>
      <c r="BK357" s="532">
        <f t="shared" ca="1" si="263"/>
        <v>0</v>
      </c>
      <c r="BP357" s="536">
        <f t="shared" ca="1" si="264"/>
        <v>2056</v>
      </c>
      <c r="BS357" s="530">
        <v>356</v>
      </c>
      <c r="BT357" s="531">
        <f t="shared" ca="1" si="275"/>
        <v>57002</v>
      </c>
      <c r="BU357" s="532">
        <f ca="1">IF(BU356=0,SUMIFS('Key Life Events'!$L$3:$L$28,'Key Life Events'!$H$3:$H$28,'Loan Amortization'!$BY$3,'Key Life Events'!$N$3:$N$28,'Loan Amortization'!BT357),BU356-BX356)</f>
        <v>0</v>
      </c>
      <c r="BV357" s="532">
        <f t="shared" ca="1" si="280"/>
        <v>0</v>
      </c>
      <c r="BW357" s="532">
        <f t="shared" ca="1" si="276"/>
        <v>0</v>
      </c>
      <c r="BX357" s="532">
        <f t="shared" ca="1" si="265"/>
        <v>0</v>
      </c>
      <c r="CC357" s="536">
        <f t="shared" ca="1" si="266"/>
        <v>2056</v>
      </c>
      <c r="CF357" s="530">
        <v>356</v>
      </c>
      <c r="CG357" s="531">
        <f t="shared" ca="1" si="277"/>
        <v>57002</v>
      </c>
      <c r="CH357" s="532">
        <f ca="1">IF(CH356=0,SUMIFS('Key Life Events'!$L$3:$L$28,'Key Life Events'!$H$3:$H$28,'Loan Amortization'!$CL$3,'Key Life Events'!$N$3:$N$28,'Loan Amortization'!CG357),CH356-CK356)</f>
        <v>0</v>
      </c>
      <c r="CI357" s="532">
        <f t="shared" ca="1" si="278"/>
        <v>0</v>
      </c>
      <c r="CJ357" s="532">
        <f t="shared" ca="1" si="279"/>
        <v>0</v>
      </c>
      <c r="CK357" s="532">
        <f t="shared" ca="1" si="267"/>
        <v>0</v>
      </c>
      <c r="CP357" s="536">
        <f t="shared" ca="1" si="268"/>
        <v>2056</v>
      </c>
      <c r="CS357" s="100">
        <f t="shared" si="257"/>
        <v>356</v>
      </c>
      <c r="CT357" s="102">
        <f t="shared" ca="1" si="258"/>
        <v>0</v>
      </c>
      <c r="CU357" s="102">
        <f t="shared" ca="1" si="259"/>
        <v>0</v>
      </c>
      <c r="CV357" s="511">
        <f t="shared" ca="1" si="269"/>
        <v>2056</v>
      </c>
    </row>
    <row r="358" spans="1:100" x14ac:dyDescent="0.3">
      <c r="A358" s="100">
        <v>357</v>
      </c>
      <c r="B358" s="131">
        <f t="shared" si="281"/>
        <v>10010</v>
      </c>
      <c r="C358" s="102">
        <f t="shared" si="282"/>
        <v>0</v>
      </c>
      <c r="D358" s="102">
        <f t="shared" si="283"/>
        <v>0</v>
      </c>
      <c r="E358" s="102">
        <f t="shared" si="284"/>
        <v>0</v>
      </c>
      <c r="F358" s="102">
        <f t="shared" si="285"/>
        <v>0</v>
      </c>
      <c r="L358" s="100">
        <v>357</v>
      </c>
      <c r="M358" s="131">
        <f t="shared" ca="1" si="286"/>
        <v>57033</v>
      </c>
      <c r="N358" s="102">
        <f t="shared" si="287"/>
        <v>0</v>
      </c>
      <c r="O358" s="102">
        <f t="shared" si="288"/>
        <v>0</v>
      </c>
      <c r="P358" s="102">
        <f t="shared" si="289"/>
        <v>0</v>
      </c>
      <c r="Q358" s="102">
        <f t="shared" si="290"/>
        <v>0</v>
      </c>
      <c r="W358" s="100">
        <v>357</v>
      </c>
      <c r="X358" s="131">
        <f t="shared" ca="1" si="291"/>
        <v>57033</v>
      </c>
      <c r="Y358" s="102">
        <f t="shared" si="292"/>
        <v>0</v>
      </c>
      <c r="Z358" s="102">
        <f t="shared" si="293"/>
        <v>0</v>
      </c>
      <c r="AA358" s="102">
        <f t="shared" si="294"/>
        <v>0</v>
      </c>
      <c r="AB358" s="102">
        <f t="shared" si="295"/>
        <v>0</v>
      </c>
      <c r="AH358" s="100">
        <v>357</v>
      </c>
      <c r="AI358" s="131">
        <f t="shared" ca="1" si="296"/>
        <v>57033</v>
      </c>
      <c r="AJ358" s="102">
        <f t="shared" si="297"/>
        <v>0</v>
      </c>
      <c r="AK358" s="102">
        <f t="shared" si="298"/>
        <v>0</v>
      </c>
      <c r="AL358" s="102">
        <f t="shared" si="299"/>
        <v>0</v>
      </c>
      <c r="AM358" s="102">
        <f t="shared" si="300"/>
        <v>0</v>
      </c>
      <c r="AS358" s="530">
        <v>357</v>
      </c>
      <c r="AT358" s="531">
        <f t="shared" ca="1" si="270"/>
        <v>57033</v>
      </c>
      <c r="AU358" s="532">
        <f ca="1">IF(AU357=0,SUMIFS('Key Life Events'!$L$3:$L$28,'Key Life Events'!$H$3:$H$28,'Loan Amortization'!$AY$3,'Key Life Events'!$N$3:$N$28,'Loan Amortization'!AT358),AU357-AX357)</f>
        <v>0</v>
      </c>
      <c r="AV358" s="532">
        <f t="shared" ca="1" si="271"/>
        <v>0</v>
      </c>
      <c r="AW358" s="532">
        <f t="shared" ca="1" si="260"/>
        <v>0</v>
      </c>
      <c r="AX358" s="532">
        <f t="shared" ca="1" si="261"/>
        <v>0</v>
      </c>
      <c r="BC358" s="536">
        <f t="shared" ca="1" si="262"/>
        <v>2056</v>
      </c>
      <c r="BF358" s="530">
        <v>357</v>
      </c>
      <c r="BG358" s="531">
        <f t="shared" ca="1" si="272"/>
        <v>57033</v>
      </c>
      <c r="BH358" s="532">
        <f ca="1">IF(BH357=0,SUMIFS('Key Life Events'!$L$3:$L$28,'Key Life Events'!$H$3:$H$28,'Loan Amortization'!$BL$3,'Key Life Events'!$N$3:$N$28,'Loan Amortization'!BG358),BH357-BK357)</f>
        <v>0</v>
      </c>
      <c r="BI358" s="532">
        <f t="shared" ca="1" si="273"/>
        <v>0</v>
      </c>
      <c r="BJ358" s="532">
        <f t="shared" ca="1" si="274"/>
        <v>0</v>
      </c>
      <c r="BK358" s="532">
        <f t="shared" ca="1" si="263"/>
        <v>0</v>
      </c>
      <c r="BP358" s="536">
        <f t="shared" ca="1" si="264"/>
        <v>2056</v>
      </c>
      <c r="BS358" s="530">
        <v>357</v>
      </c>
      <c r="BT358" s="531">
        <f t="shared" ca="1" si="275"/>
        <v>57033</v>
      </c>
      <c r="BU358" s="532">
        <f ca="1">IF(BU357=0,SUMIFS('Key Life Events'!$L$3:$L$28,'Key Life Events'!$H$3:$H$28,'Loan Amortization'!$BY$3,'Key Life Events'!$N$3:$N$28,'Loan Amortization'!BT358),BU357-BX357)</f>
        <v>0</v>
      </c>
      <c r="BV358" s="532">
        <f t="shared" ca="1" si="280"/>
        <v>0</v>
      </c>
      <c r="BW358" s="532">
        <f t="shared" ca="1" si="276"/>
        <v>0</v>
      </c>
      <c r="BX358" s="532">
        <f t="shared" ca="1" si="265"/>
        <v>0</v>
      </c>
      <c r="CC358" s="536">
        <f t="shared" ca="1" si="266"/>
        <v>2056</v>
      </c>
      <c r="CF358" s="530">
        <v>357</v>
      </c>
      <c r="CG358" s="531">
        <f t="shared" ca="1" si="277"/>
        <v>57033</v>
      </c>
      <c r="CH358" s="532">
        <f ca="1">IF(CH357=0,SUMIFS('Key Life Events'!$L$3:$L$28,'Key Life Events'!$H$3:$H$28,'Loan Amortization'!$CL$3,'Key Life Events'!$N$3:$N$28,'Loan Amortization'!CG358),CH357-CK357)</f>
        <v>0</v>
      </c>
      <c r="CI358" s="532">
        <f t="shared" ca="1" si="278"/>
        <v>0</v>
      </c>
      <c r="CJ358" s="532">
        <f t="shared" ca="1" si="279"/>
        <v>0</v>
      </c>
      <c r="CK358" s="532">
        <f t="shared" ca="1" si="267"/>
        <v>0</v>
      </c>
      <c r="CP358" s="536">
        <f t="shared" ca="1" si="268"/>
        <v>2056</v>
      </c>
      <c r="CS358" s="100">
        <f t="shared" si="257"/>
        <v>357</v>
      </c>
      <c r="CT358" s="102">
        <f t="shared" ca="1" si="258"/>
        <v>0</v>
      </c>
      <c r="CU358" s="102">
        <f t="shared" ca="1" si="259"/>
        <v>0</v>
      </c>
      <c r="CV358" s="511">
        <f t="shared" ca="1" si="269"/>
        <v>2056</v>
      </c>
    </row>
    <row r="359" spans="1:100" x14ac:dyDescent="0.3">
      <c r="A359" s="100">
        <v>358</v>
      </c>
      <c r="B359" s="131">
        <f t="shared" si="281"/>
        <v>10041</v>
      </c>
      <c r="C359" s="102">
        <f t="shared" si="282"/>
        <v>0</v>
      </c>
      <c r="D359" s="102">
        <f t="shared" si="283"/>
        <v>0</v>
      </c>
      <c r="E359" s="102">
        <f t="shared" si="284"/>
        <v>0</v>
      </c>
      <c r="F359" s="102">
        <f t="shared" si="285"/>
        <v>0</v>
      </c>
      <c r="L359" s="100">
        <v>358</v>
      </c>
      <c r="M359" s="131">
        <f t="shared" ca="1" si="286"/>
        <v>57062</v>
      </c>
      <c r="N359" s="102">
        <f t="shared" si="287"/>
        <v>0</v>
      </c>
      <c r="O359" s="102">
        <f t="shared" si="288"/>
        <v>0</v>
      </c>
      <c r="P359" s="102">
        <f t="shared" si="289"/>
        <v>0</v>
      </c>
      <c r="Q359" s="102">
        <f t="shared" si="290"/>
        <v>0</v>
      </c>
      <c r="W359" s="100">
        <v>358</v>
      </c>
      <c r="X359" s="131">
        <f t="shared" ca="1" si="291"/>
        <v>57062</v>
      </c>
      <c r="Y359" s="102">
        <f t="shared" si="292"/>
        <v>0</v>
      </c>
      <c r="Z359" s="102">
        <f t="shared" si="293"/>
        <v>0</v>
      </c>
      <c r="AA359" s="102">
        <f t="shared" si="294"/>
        <v>0</v>
      </c>
      <c r="AB359" s="102">
        <f t="shared" si="295"/>
        <v>0</v>
      </c>
      <c r="AH359" s="100">
        <v>358</v>
      </c>
      <c r="AI359" s="131">
        <f t="shared" ca="1" si="296"/>
        <v>57062</v>
      </c>
      <c r="AJ359" s="102">
        <f t="shared" si="297"/>
        <v>0</v>
      </c>
      <c r="AK359" s="102">
        <f t="shared" si="298"/>
        <v>0</v>
      </c>
      <c r="AL359" s="102">
        <f t="shared" si="299"/>
        <v>0</v>
      </c>
      <c r="AM359" s="102">
        <f t="shared" si="300"/>
        <v>0</v>
      </c>
      <c r="AS359" s="530">
        <v>358</v>
      </c>
      <c r="AT359" s="531">
        <f t="shared" ca="1" si="270"/>
        <v>57062</v>
      </c>
      <c r="AU359" s="532">
        <f ca="1">IF(AU358=0,SUMIFS('Key Life Events'!$L$3:$L$28,'Key Life Events'!$H$3:$H$28,'Loan Amortization'!$AY$3,'Key Life Events'!$N$3:$N$28,'Loan Amortization'!AT359),AU358-AX358)</f>
        <v>0</v>
      </c>
      <c r="AV359" s="532">
        <f t="shared" ca="1" si="271"/>
        <v>0</v>
      </c>
      <c r="AW359" s="532">
        <f t="shared" ca="1" si="260"/>
        <v>0</v>
      </c>
      <c r="AX359" s="532">
        <f t="shared" ca="1" si="261"/>
        <v>0</v>
      </c>
      <c r="BC359" s="536">
        <f t="shared" ca="1" si="262"/>
        <v>2056</v>
      </c>
      <c r="BF359" s="530">
        <v>358</v>
      </c>
      <c r="BG359" s="531">
        <f t="shared" ca="1" si="272"/>
        <v>57062</v>
      </c>
      <c r="BH359" s="532">
        <f ca="1">IF(BH358=0,SUMIFS('Key Life Events'!$L$3:$L$28,'Key Life Events'!$H$3:$H$28,'Loan Amortization'!$BL$3,'Key Life Events'!$N$3:$N$28,'Loan Amortization'!BG359),BH358-BK358)</f>
        <v>0</v>
      </c>
      <c r="BI359" s="532">
        <f t="shared" ca="1" si="273"/>
        <v>0</v>
      </c>
      <c r="BJ359" s="532">
        <f t="shared" ca="1" si="274"/>
        <v>0</v>
      </c>
      <c r="BK359" s="532">
        <f t="shared" ca="1" si="263"/>
        <v>0</v>
      </c>
      <c r="BP359" s="536">
        <f t="shared" ca="1" si="264"/>
        <v>2056</v>
      </c>
      <c r="BS359" s="530">
        <v>358</v>
      </c>
      <c r="BT359" s="531">
        <f t="shared" ca="1" si="275"/>
        <v>57062</v>
      </c>
      <c r="BU359" s="532">
        <f ca="1">IF(BU358=0,SUMIFS('Key Life Events'!$L$3:$L$28,'Key Life Events'!$H$3:$H$28,'Loan Amortization'!$BY$3,'Key Life Events'!$N$3:$N$28,'Loan Amortization'!BT359),BU358-BX358)</f>
        <v>0</v>
      </c>
      <c r="BV359" s="532">
        <f t="shared" ca="1" si="280"/>
        <v>0</v>
      </c>
      <c r="BW359" s="532">
        <f t="shared" ca="1" si="276"/>
        <v>0</v>
      </c>
      <c r="BX359" s="532">
        <f t="shared" ca="1" si="265"/>
        <v>0</v>
      </c>
      <c r="CC359" s="536">
        <f t="shared" ca="1" si="266"/>
        <v>2056</v>
      </c>
      <c r="CF359" s="530">
        <v>358</v>
      </c>
      <c r="CG359" s="531">
        <f t="shared" ca="1" si="277"/>
        <v>57062</v>
      </c>
      <c r="CH359" s="532">
        <f ca="1">IF(CH358=0,SUMIFS('Key Life Events'!$L$3:$L$28,'Key Life Events'!$H$3:$H$28,'Loan Amortization'!$CL$3,'Key Life Events'!$N$3:$N$28,'Loan Amortization'!CG359),CH358-CK358)</f>
        <v>0</v>
      </c>
      <c r="CI359" s="532">
        <f t="shared" ca="1" si="278"/>
        <v>0</v>
      </c>
      <c r="CJ359" s="532">
        <f t="shared" ca="1" si="279"/>
        <v>0</v>
      </c>
      <c r="CK359" s="532">
        <f t="shared" ca="1" si="267"/>
        <v>0</v>
      </c>
      <c r="CP359" s="536">
        <f t="shared" ca="1" si="268"/>
        <v>2056</v>
      </c>
      <c r="CS359" s="100">
        <f t="shared" si="257"/>
        <v>358</v>
      </c>
      <c r="CT359" s="102">
        <f t="shared" ca="1" si="258"/>
        <v>0</v>
      </c>
      <c r="CU359" s="102">
        <f t="shared" ca="1" si="259"/>
        <v>0</v>
      </c>
      <c r="CV359" s="511">
        <f t="shared" ca="1" si="269"/>
        <v>2056</v>
      </c>
    </row>
    <row r="360" spans="1:100" x14ac:dyDescent="0.3">
      <c r="A360" s="100">
        <v>359</v>
      </c>
      <c r="B360" s="131">
        <f t="shared" si="281"/>
        <v>10071</v>
      </c>
      <c r="C360" s="102">
        <f t="shared" si="282"/>
        <v>0</v>
      </c>
      <c r="D360" s="102">
        <f t="shared" si="283"/>
        <v>0</v>
      </c>
      <c r="E360" s="102">
        <f t="shared" si="284"/>
        <v>0</v>
      </c>
      <c r="F360" s="102">
        <f t="shared" si="285"/>
        <v>0</v>
      </c>
      <c r="L360" s="100">
        <v>359</v>
      </c>
      <c r="M360" s="131">
        <f t="shared" ca="1" si="286"/>
        <v>57093</v>
      </c>
      <c r="N360" s="102">
        <f t="shared" si="287"/>
        <v>0</v>
      </c>
      <c r="O360" s="102">
        <f t="shared" si="288"/>
        <v>0</v>
      </c>
      <c r="P360" s="102">
        <f t="shared" si="289"/>
        <v>0</v>
      </c>
      <c r="Q360" s="102">
        <f t="shared" si="290"/>
        <v>0</v>
      </c>
      <c r="W360" s="100">
        <v>359</v>
      </c>
      <c r="X360" s="131">
        <f t="shared" ca="1" si="291"/>
        <v>57093</v>
      </c>
      <c r="Y360" s="102">
        <f t="shared" si="292"/>
        <v>0</v>
      </c>
      <c r="Z360" s="102">
        <f t="shared" si="293"/>
        <v>0</v>
      </c>
      <c r="AA360" s="102">
        <f t="shared" si="294"/>
        <v>0</v>
      </c>
      <c r="AB360" s="102">
        <f t="shared" si="295"/>
        <v>0</v>
      </c>
      <c r="AH360" s="100">
        <v>359</v>
      </c>
      <c r="AI360" s="131">
        <f t="shared" ca="1" si="296"/>
        <v>57093</v>
      </c>
      <c r="AJ360" s="102">
        <f t="shared" si="297"/>
        <v>0</v>
      </c>
      <c r="AK360" s="102">
        <f t="shared" si="298"/>
        <v>0</v>
      </c>
      <c r="AL360" s="102">
        <f t="shared" si="299"/>
        <v>0</v>
      </c>
      <c r="AM360" s="102">
        <f t="shared" si="300"/>
        <v>0</v>
      </c>
      <c r="AS360" s="530">
        <v>359</v>
      </c>
      <c r="AT360" s="531">
        <f t="shared" ca="1" si="270"/>
        <v>57093</v>
      </c>
      <c r="AU360" s="532">
        <f ca="1">IF(AU359=0,SUMIFS('Key Life Events'!$L$3:$L$28,'Key Life Events'!$H$3:$H$28,'Loan Amortization'!$AY$3,'Key Life Events'!$N$3:$N$28,'Loan Amortization'!AT360),AU359-AX359)</f>
        <v>0</v>
      </c>
      <c r="AV360" s="532">
        <f t="shared" ca="1" si="271"/>
        <v>0</v>
      </c>
      <c r="AW360" s="532">
        <f t="shared" ca="1" si="260"/>
        <v>0</v>
      </c>
      <c r="AX360" s="532">
        <f t="shared" ca="1" si="261"/>
        <v>0</v>
      </c>
      <c r="BC360" s="536">
        <f t="shared" ca="1" si="262"/>
        <v>2056</v>
      </c>
      <c r="BF360" s="530">
        <v>359</v>
      </c>
      <c r="BG360" s="531">
        <f t="shared" ca="1" si="272"/>
        <v>57093</v>
      </c>
      <c r="BH360" s="532">
        <f ca="1">IF(BH359=0,SUMIFS('Key Life Events'!$L$3:$L$28,'Key Life Events'!$H$3:$H$28,'Loan Amortization'!$BL$3,'Key Life Events'!$N$3:$N$28,'Loan Amortization'!BG360),BH359-BK359)</f>
        <v>0</v>
      </c>
      <c r="BI360" s="532">
        <f t="shared" ca="1" si="273"/>
        <v>0</v>
      </c>
      <c r="BJ360" s="532">
        <f t="shared" ca="1" si="274"/>
        <v>0</v>
      </c>
      <c r="BK360" s="532">
        <f t="shared" ca="1" si="263"/>
        <v>0</v>
      </c>
      <c r="BP360" s="536">
        <f t="shared" ca="1" si="264"/>
        <v>2056</v>
      </c>
      <c r="BS360" s="530">
        <v>359</v>
      </c>
      <c r="BT360" s="531">
        <f t="shared" ca="1" si="275"/>
        <v>57093</v>
      </c>
      <c r="BU360" s="532">
        <f ca="1">IF(BU359=0,SUMIFS('Key Life Events'!$L$3:$L$28,'Key Life Events'!$H$3:$H$28,'Loan Amortization'!$BY$3,'Key Life Events'!$N$3:$N$28,'Loan Amortization'!BT360),BU359-BX359)</f>
        <v>0</v>
      </c>
      <c r="BV360" s="532">
        <f t="shared" ca="1" si="280"/>
        <v>0</v>
      </c>
      <c r="BW360" s="532">
        <f t="shared" ca="1" si="276"/>
        <v>0</v>
      </c>
      <c r="BX360" s="532">
        <f t="shared" ca="1" si="265"/>
        <v>0</v>
      </c>
      <c r="CC360" s="536">
        <f t="shared" ca="1" si="266"/>
        <v>2056</v>
      </c>
      <c r="CF360" s="530">
        <v>359</v>
      </c>
      <c r="CG360" s="531">
        <f t="shared" ca="1" si="277"/>
        <v>57093</v>
      </c>
      <c r="CH360" s="532">
        <f ca="1">IF(CH359=0,SUMIFS('Key Life Events'!$L$3:$L$28,'Key Life Events'!$H$3:$H$28,'Loan Amortization'!$CL$3,'Key Life Events'!$N$3:$N$28,'Loan Amortization'!CG360),CH359-CK359)</f>
        <v>0</v>
      </c>
      <c r="CI360" s="532">
        <f t="shared" ca="1" si="278"/>
        <v>0</v>
      </c>
      <c r="CJ360" s="532">
        <f t="shared" ca="1" si="279"/>
        <v>0</v>
      </c>
      <c r="CK360" s="532">
        <f t="shared" ca="1" si="267"/>
        <v>0</v>
      </c>
      <c r="CP360" s="536">
        <f t="shared" ca="1" si="268"/>
        <v>2056</v>
      </c>
      <c r="CS360" s="100">
        <f t="shared" si="257"/>
        <v>359</v>
      </c>
      <c r="CT360" s="102">
        <f t="shared" ca="1" si="258"/>
        <v>0</v>
      </c>
      <c r="CU360" s="102">
        <f t="shared" ca="1" si="259"/>
        <v>0</v>
      </c>
      <c r="CV360" s="511">
        <f t="shared" ca="1" si="269"/>
        <v>2056</v>
      </c>
    </row>
    <row r="361" spans="1:100" x14ac:dyDescent="0.3">
      <c r="A361" s="100">
        <v>360</v>
      </c>
      <c r="B361" s="131">
        <f t="shared" si="281"/>
        <v>10102</v>
      </c>
      <c r="C361" s="102">
        <f t="shared" si="282"/>
        <v>0</v>
      </c>
      <c r="D361" s="102">
        <f t="shared" si="283"/>
        <v>0</v>
      </c>
      <c r="E361" s="102">
        <f t="shared" si="284"/>
        <v>0</v>
      </c>
      <c r="F361" s="102">
        <f t="shared" si="285"/>
        <v>0</v>
      </c>
      <c r="L361" s="100">
        <v>360</v>
      </c>
      <c r="M361" s="131">
        <f t="shared" ca="1" si="286"/>
        <v>57123</v>
      </c>
      <c r="N361" s="102">
        <f t="shared" si="287"/>
        <v>0</v>
      </c>
      <c r="O361" s="102">
        <f t="shared" si="288"/>
        <v>0</v>
      </c>
      <c r="P361" s="102">
        <f t="shared" si="289"/>
        <v>0</v>
      </c>
      <c r="Q361" s="102">
        <f t="shared" si="290"/>
        <v>0</v>
      </c>
      <c r="W361" s="100">
        <v>360</v>
      </c>
      <c r="X361" s="131">
        <f t="shared" ca="1" si="291"/>
        <v>57123</v>
      </c>
      <c r="Y361" s="102">
        <f t="shared" si="292"/>
        <v>0</v>
      </c>
      <c r="Z361" s="102">
        <f t="shared" si="293"/>
        <v>0</v>
      </c>
      <c r="AA361" s="102">
        <f t="shared" si="294"/>
        <v>0</v>
      </c>
      <c r="AB361" s="102">
        <f t="shared" si="295"/>
        <v>0</v>
      </c>
      <c r="AH361" s="100">
        <v>360</v>
      </c>
      <c r="AI361" s="131">
        <f t="shared" ca="1" si="296"/>
        <v>57123</v>
      </c>
      <c r="AJ361" s="102">
        <f t="shared" si="297"/>
        <v>0</v>
      </c>
      <c r="AK361" s="102">
        <f t="shared" si="298"/>
        <v>0</v>
      </c>
      <c r="AL361" s="102">
        <f t="shared" si="299"/>
        <v>0</v>
      </c>
      <c r="AM361" s="102">
        <f t="shared" si="300"/>
        <v>0</v>
      </c>
      <c r="AS361" s="530">
        <v>360</v>
      </c>
      <c r="AT361" s="531">
        <f t="shared" ca="1" si="270"/>
        <v>57123</v>
      </c>
      <c r="AU361" s="532">
        <f ca="1">IF(AU360=0,SUMIFS('Key Life Events'!$L$3:$L$28,'Key Life Events'!$H$3:$H$28,'Loan Amortization'!$AY$3,'Key Life Events'!$N$3:$N$28,'Loan Amortization'!AT361),AU360-AX360)</f>
        <v>0</v>
      </c>
      <c r="AV361" s="532">
        <f t="shared" ca="1" si="271"/>
        <v>0</v>
      </c>
      <c r="AW361" s="532">
        <f t="shared" ca="1" si="260"/>
        <v>0</v>
      </c>
      <c r="AX361" s="532">
        <f t="shared" ca="1" si="261"/>
        <v>0</v>
      </c>
      <c r="BC361" s="536">
        <f t="shared" ca="1" si="262"/>
        <v>2056</v>
      </c>
      <c r="BF361" s="530">
        <v>360</v>
      </c>
      <c r="BG361" s="531">
        <f t="shared" ca="1" si="272"/>
        <v>57123</v>
      </c>
      <c r="BH361" s="532">
        <f ca="1">IF(BH360=0,SUMIFS('Key Life Events'!$L$3:$L$28,'Key Life Events'!$H$3:$H$28,'Loan Amortization'!$BL$3,'Key Life Events'!$N$3:$N$28,'Loan Amortization'!BG361),BH360-BK360)</f>
        <v>0</v>
      </c>
      <c r="BI361" s="532">
        <f t="shared" ca="1" si="273"/>
        <v>0</v>
      </c>
      <c r="BJ361" s="532">
        <f t="shared" ca="1" si="274"/>
        <v>0</v>
      </c>
      <c r="BK361" s="532">
        <f t="shared" ca="1" si="263"/>
        <v>0</v>
      </c>
      <c r="BP361" s="536">
        <f t="shared" ca="1" si="264"/>
        <v>2056</v>
      </c>
      <c r="BS361" s="530">
        <v>360</v>
      </c>
      <c r="BT361" s="531">
        <f t="shared" ca="1" si="275"/>
        <v>57123</v>
      </c>
      <c r="BU361" s="532">
        <f ca="1">IF(BU360=0,SUMIFS('Key Life Events'!$L$3:$L$28,'Key Life Events'!$H$3:$H$28,'Loan Amortization'!$BY$3,'Key Life Events'!$N$3:$N$28,'Loan Amortization'!BT361),BU360-BX360)</f>
        <v>0</v>
      </c>
      <c r="BV361" s="532">
        <f t="shared" ca="1" si="280"/>
        <v>0</v>
      </c>
      <c r="BW361" s="532">
        <f t="shared" ca="1" si="276"/>
        <v>0</v>
      </c>
      <c r="BX361" s="532">
        <f t="shared" ca="1" si="265"/>
        <v>0</v>
      </c>
      <c r="CC361" s="536">
        <f t="shared" ca="1" si="266"/>
        <v>2056</v>
      </c>
      <c r="CF361" s="530">
        <v>360</v>
      </c>
      <c r="CG361" s="531">
        <f t="shared" ca="1" si="277"/>
        <v>57123</v>
      </c>
      <c r="CH361" s="532">
        <f ca="1">IF(CH360=0,SUMIFS('Key Life Events'!$L$3:$L$28,'Key Life Events'!$H$3:$H$28,'Loan Amortization'!$CL$3,'Key Life Events'!$N$3:$N$28,'Loan Amortization'!CG361),CH360-CK360)</f>
        <v>0</v>
      </c>
      <c r="CI361" s="532">
        <f t="shared" ca="1" si="278"/>
        <v>0</v>
      </c>
      <c r="CJ361" s="532">
        <f t="shared" ca="1" si="279"/>
        <v>0</v>
      </c>
      <c r="CK361" s="532">
        <f t="shared" ca="1" si="267"/>
        <v>0</v>
      </c>
      <c r="CP361" s="536">
        <f t="shared" ca="1" si="268"/>
        <v>2056</v>
      </c>
      <c r="CS361" s="100">
        <f t="shared" si="257"/>
        <v>360</v>
      </c>
      <c r="CT361" s="102">
        <f t="shared" ca="1" si="258"/>
        <v>0</v>
      </c>
      <c r="CU361" s="102">
        <f t="shared" ca="1" si="259"/>
        <v>0</v>
      </c>
      <c r="CV361" s="511">
        <f t="shared" ca="1" si="269"/>
        <v>2056</v>
      </c>
    </row>
    <row r="362" spans="1:100" x14ac:dyDescent="0.3">
      <c r="A362" s="100">
        <v>361</v>
      </c>
      <c r="B362" s="131">
        <f t="shared" si="281"/>
        <v>10133</v>
      </c>
      <c r="C362" s="102">
        <f t="shared" si="282"/>
        <v>0</v>
      </c>
      <c r="D362" s="102">
        <f t="shared" si="283"/>
        <v>0</v>
      </c>
      <c r="E362" s="102">
        <f t="shared" si="284"/>
        <v>0</v>
      </c>
      <c r="F362" s="102">
        <f t="shared" si="285"/>
        <v>0</v>
      </c>
      <c r="L362" s="100">
        <v>361</v>
      </c>
      <c r="M362" s="131">
        <f t="shared" ca="1" si="286"/>
        <v>57154</v>
      </c>
      <c r="N362" s="102">
        <f t="shared" si="287"/>
        <v>0</v>
      </c>
      <c r="O362" s="102">
        <f t="shared" si="288"/>
        <v>0</v>
      </c>
      <c r="P362" s="102">
        <f t="shared" si="289"/>
        <v>0</v>
      </c>
      <c r="Q362" s="102">
        <f t="shared" si="290"/>
        <v>0</v>
      </c>
      <c r="W362" s="100">
        <v>361</v>
      </c>
      <c r="X362" s="131">
        <f t="shared" ca="1" si="291"/>
        <v>57154</v>
      </c>
      <c r="Y362" s="102">
        <f t="shared" si="292"/>
        <v>0</v>
      </c>
      <c r="Z362" s="102">
        <f t="shared" si="293"/>
        <v>0</v>
      </c>
      <c r="AA362" s="102">
        <f t="shared" si="294"/>
        <v>0</v>
      </c>
      <c r="AB362" s="102">
        <f t="shared" si="295"/>
        <v>0</v>
      </c>
      <c r="AH362" s="100">
        <v>361</v>
      </c>
      <c r="AI362" s="131">
        <f t="shared" ca="1" si="296"/>
        <v>57154</v>
      </c>
      <c r="AJ362" s="102">
        <f t="shared" si="297"/>
        <v>0</v>
      </c>
      <c r="AK362" s="102">
        <f t="shared" si="298"/>
        <v>0</v>
      </c>
      <c r="AL362" s="102">
        <f t="shared" si="299"/>
        <v>0</v>
      </c>
      <c r="AM362" s="102">
        <f t="shared" si="300"/>
        <v>0</v>
      </c>
      <c r="AS362" s="530">
        <v>361</v>
      </c>
      <c r="AT362" s="531">
        <f t="shared" ca="1" si="270"/>
        <v>57154</v>
      </c>
      <c r="AU362" s="532">
        <f ca="1">IF(AU361=0,SUMIFS('Key Life Events'!$L$3:$L$28,'Key Life Events'!$H$3:$H$28,'Loan Amortization'!$AY$3,'Key Life Events'!$N$3:$N$28,'Loan Amortization'!AT362),AU361-AX361)</f>
        <v>0</v>
      </c>
      <c r="AV362" s="532">
        <f t="shared" ca="1" si="271"/>
        <v>0</v>
      </c>
      <c r="AW362" s="532">
        <f t="shared" ca="1" si="260"/>
        <v>0</v>
      </c>
      <c r="AX362" s="532">
        <f t="shared" ca="1" si="261"/>
        <v>0</v>
      </c>
      <c r="BC362" s="536">
        <f t="shared" ca="1" si="262"/>
        <v>2056</v>
      </c>
      <c r="BF362" s="530">
        <v>361</v>
      </c>
      <c r="BG362" s="531">
        <f t="shared" ca="1" si="272"/>
        <v>57154</v>
      </c>
      <c r="BH362" s="532">
        <f ca="1">IF(BH361=0,SUMIFS('Key Life Events'!$L$3:$L$28,'Key Life Events'!$H$3:$H$28,'Loan Amortization'!$BL$3,'Key Life Events'!$N$3:$N$28,'Loan Amortization'!BG362),BH361-BK361)</f>
        <v>0</v>
      </c>
      <c r="BI362" s="532">
        <f t="shared" ca="1" si="273"/>
        <v>0</v>
      </c>
      <c r="BJ362" s="532">
        <f t="shared" ca="1" si="274"/>
        <v>0</v>
      </c>
      <c r="BK362" s="532">
        <f t="shared" ca="1" si="263"/>
        <v>0</v>
      </c>
      <c r="BP362" s="536">
        <f t="shared" ca="1" si="264"/>
        <v>2056</v>
      </c>
      <c r="BS362" s="530">
        <v>361</v>
      </c>
      <c r="BT362" s="531">
        <f t="shared" ca="1" si="275"/>
        <v>57154</v>
      </c>
      <c r="BU362" s="532">
        <f ca="1">IF(BU361=0,SUMIFS('Key Life Events'!$L$3:$L$28,'Key Life Events'!$H$3:$H$28,'Loan Amortization'!$BY$3,'Key Life Events'!$N$3:$N$28,'Loan Amortization'!BT362),BU361-BX361)</f>
        <v>0</v>
      </c>
      <c r="BV362" s="532">
        <f t="shared" ca="1" si="280"/>
        <v>0</v>
      </c>
      <c r="BW362" s="532">
        <f t="shared" ca="1" si="276"/>
        <v>0</v>
      </c>
      <c r="BX362" s="532">
        <f t="shared" ca="1" si="265"/>
        <v>0</v>
      </c>
      <c r="CC362" s="536">
        <f t="shared" ca="1" si="266"/>
        <v>2056</v>
      </c>
      <c r="CF362" s="530">
        <v>361</v>
      </c>
      <c r="CG362" s="531">
        <f t="shared" ca="1" si="277"/>
        <v>57154</v>
      </c>
      <c r="CH362" s="532">
        <f ca="1">IF(CH361=0,SUMIFS('Key Life Events'!$L$3:$L$28,'Key Life Events'!$H$3:$H$28,'Loan Amortization'!$CL$3,'Key Life Events'!$N$3:$N$28,'Loan Amortization'!CG362),CH361-CK361)</f>
        <v>0</v>
      </c>
      <c r="CI362" s="532">
        <f t="shared" ca="1" si="278"/>
        <v>0</v>
      </c>
      <c r="CJ362" s="532">
        <f t="shared" ca="1" si="279"/>
        <v>0</v>
      </c>
      <c r="CK362" s="532">
        <f t="shared" ca="1" si="267"/>
        <v>0</v>
      </c>
      <c r="CP362" s="536">
        <f t="shared" ca="1" si="268"/>
        <v>2056</v>
      </c>
      <c r="CS362" s="100">
        <f t="shared" si="257"/>
        <v>361</v>
      </c>
      <c r="CT362" s="102">
        <f t="shared" ca="1" si="258"/>
        <v>0</v>
      </c>
      <c r="CU362" s="102">
        <f t="shared" ca="1" si="259"/>
        <v>0</v>
      </c>
      <c r="CV362" s="511">
        <f t="shared" ca="1" si="269"/>
        <v>2056</v>
      </c>
    </row>
    <row r="363" spans="1:100" x14ac:dyDescent="0.3">
      <c r="A363" s="100">
        <v>362</v>
      </c>
      <c r="B363" s="131">
        <f t="shared" si="281"/>
        <v>10163</v>
      </c>
      <c r="C363" s="102">
        <f t="shared" si="282"/>
        <v>0</v>
      </c>
      <c r="D363" s="102">
        <f t="shared" si="283"/>
        <v>0</v>
      </c>
      <c r="E363" s="102">
        <f t="shared" si="284"/>
        <v>0</v>
      </c>
      <c r="F363" s="102">
        <f t="shared" si="285"/>
        <v>0</v>
      </c>
      <c r="L363" s="100">
        <v>362</v>
      </c>
      <c r="M363" s="131">
        <f t="shared" ca="1" si="286"/>
        <v>57184</v>
      </c>
      <c r="N363" s="102">
        <f t="shared" si="287"/>
        <v>0</v>
      </c>
      <c r="O363" s="102">
        <f t="shared" si="288"/>
        <v>0</v>
      </c>
      <c r="P363" s="102">
        <f t="shared" si="289"/>
        <v>0</v>
      </c>
      <c r="Q363" s="102">
        <f t="shared" si="290"/>
        <v>0</v>
      </c>
      <c r="W363" s="100">
        <v>362</v>
      </c>
      <c r="X363" s="131">
        <f t="shared" ca="1" si="291"/>
        <v>57184</v>
      </c>
      <c r="Y363" s="102">
        <f t="shared" si="292"/>
        <v>0</v>
      </c>
      <c r="Z363" s="102">
        <f t="shared" si="293"/>
        <v>0</v>
      </c>
      <c r="AA363" s="102">
        <f t="shared" si="294"/>
        <v>0</v>
      </c>
      <c r="AB363" s="102">
        <f t="shared" si="295"/>
        <v>0</v>
      </c>
      <c r="AH363" s="100">
        <v>362</v>
      </c>
      <c r="AI363" s="131">
        <f t="shared" ca="1" si="296"/>
        <v>57184</v>
      </c>
      <c r="AJ363" s="102">
        <f t="shared" si="297"/>
        <v>0</v>
      </c>
      <c r="AK363" s="102">
        <f t="shared" si="298"/>
        <v>0</v>
      </c>
      <c r="AL363" s="102">
        <f t="shared" si="299"/>
        <v>0</v>
      </c>
      <c r="AM363" s="102">
        <f t="shared" si="300"/>
        <v>0</v>
      </c>
      <c r="AS363" s="530">
        <v>362</v>
      </c>
      <c r="AT363" s="531">
        <f t="shared" ca="1" si="270"/>
        <v>57184</v>
      </c>
      <c r="AU363" s="532">
        <f ca="1">IF(AU362=0,SUMIFS('Key Life Events'!$L$3:$L$28,'Key Life Events'!$H$3:$H$28,'Loan Amortization'!$AY$3,'Key Life Events'!$N$3:$N$28,'Loan Amortization'!AT363),AU362-AX362)</f>
        <v>0</v>
      </c>
      <c r="AV363" s="532">
        <f t="shared" ca="1" si="271"/>
        <v>0</v>
      </c>
      <c r="AW363" s="532">
        <f t="shared" ca="1" si="260"/>
        <v>0</v>
      </c>
      <c r="AX363" s="532">
        <f t="shared" ca="1" si="261"/>
        <v>0</v>
      </c>
      <c r="BC363" s="536">
        <f t="shared" ca="1" si="262"/>
        <v>2056</v>
      </c>
      <c r="BF363" s="530">
        <v>362</v>
      </c>
      <c r="BG363" s="531">
        <f t="shared" ca="1" si="272"/>
        <v>57184</v>
      </c>
      <c r="BH363" s="532">
        <f ca="1">IF(BH362=0,SUMIFS('Key Life Events'!$L$3:$L$28,'Key Life Events'!$H$3:$H$28,'Loan Amortization'!$BL$3,'Key Life Events'!$N$3:$N$28,'Loan Amortization'!BG363),BH362-BK362)</f>
        <v>0</v>
      </c>
      <c r="BI363" s="532">
        <f t="shared" ca="1" si="273"/>
        <v>0</v>
      </c>
      <c r="BJ363" s="532">
        <f t="shared" ca="1" si="274"/>
        <v>0</v>
      </c>
      <c r="BK363" s="532">
        <f t="shared" ca="1" si="263"/>
        <v>0</v>
      </c>
      <c r="BP363" s="536">
        <f t="shared" ca="1" si="264"/>
        <v>2056</v>
      </c>
      <c r="BS363" s="530">
        <v>362</v>
      </c>
      <c r="BT363" s="531">
        <f t="shared" ca="1" si="275"/>
        <v>57184</v>
      </c>
      <c r="BU363" s="532">
        <f ca="1">IF(BU362=0,SUMIFS('Key Life Events'!$L$3:$L$28,'Key Life Events'!$H$3:$H$28,'Loan Amortization'!$BY$3,'Key Life Events'!$N$3:$N$28,'Loan Amortization'!BT363),BU362-BX362)</f>
        <v>0</v>
      </c>
      <c r="BV363" s="532">
        <f t="shared" ca="1" si="280"/>
        <v>0</v>
      </c>
      <c r="BW363" s="532">
        <f t="shared" ca="1" si="276"/>
        <v>0</v>
      </c>
      <c r="BX363" s="532">
        <f t="shared" ca="1" si="265"/>
        <v>0</v>
      </c>
      <c r="CC363" s="536">
        <f t="shared" ca="1" si="266"/>
        <v>2056</v>
      </c>
      <c r="CF363" s="530">
        <v>362</v>
      </c>
      <c r="CG363" s="531">
        <f t="shared" ca="1" si="277"/>
        <v>57184</v>
      </c>
      <c r="CH363" s="532">
        <f ca="1">IF(CH362=0,SUMIFS('Key Life Events'!$L$3:$L$28,'Key Life Events'!$H$3:$H$28,'Loan Amortization'!$CL$3,'Key Life Events'!$N$3:$N$28,'Loan Amortization'!CG363),CH362-CK362)</f>
        <v>0</v>
      </c>
      <c r="CI363" s="532">
        <f t="shared" ca="1" si="278"/>
        <v>0</v>
      </c>
      <c r="CJ363" s="532">
        <f t="shared" ca="1" si="279"/>
        <v>0</v>
      </c>
      <c r="CK363" s="532">
        <f t="shared" ca="1" si="267"/>
        <v>0</v>
      </c>
      <c r="CP363" s="536">
        <f t="shared" ca="1" si="268"/>
        <v>2056</v>
      </c>
      <c r="CS363" s="100">
        <f t="shared" si="257"/>
        <v>362</v>
      </c>
      <c r="CT363" s="102">
        <f t="shared" ca="1" si="258"/>
        <v>0</v>
      </c>
      <c r="CU363" s="102">
        <f t="shared" ca="1" si="259"/>
        <v>0</v>
      </c>
      <c r="CV363" s="511">
        <f t="shared" ca="1" si="269"/>
        <v>2056</v>
      </c>
    </row>
    <row r="364" spans="1:100" x14ac:dyDescent="0.3">
      <c r="A364" s="100">
        <v>363</v>
      </c>
      <c r="B364" s="131">
        <f t="shared" si="281"/>
        <v>10194</v>
      </c>
      <c r="C364" s="102">
        <f t="shared" si="282"/>
        <v>0</v>
      </c>
      <c r="D364" s="102">
        <f t="shared" si="283"/>
        <v>0</v>
      </c>
      <c r="E364" s="102">
        <f t="shared" si="284"/>
        <v>0</v>
      </c>
      <c r="F364" s="102">
        <f t="shared" si="285"/>
        <v>0</v>
      </c>
      <c r="L364" s="100">
        <v>363</v>
      </c>
      <c r="M364" s="131">
        <f t="shared" ca="1" si="286"/>
        <v>57215</v>
      </c>
      <c r="N364" s="102">
        <f t="shared" si="287"/>
        <v>0</v>
      </c>
      <c r="O364" s="102">
        <f t="shared" si="288"/>
        <v>0</v>
      </c>
      <c r="P364" s="102">
        <f t="shared" si="289"/>
        <v>0</v>
      </c>
      <c r="Q364" s="102">
        <f t="shared" si="290"/>
        <v>0</v>
      </c>
      <c r="W364" s="100">
        <v>363</v>
      </c>
      <c r="X364" s="131">
        <f t="shared" ca="1" si="291"/>
        <v>57215</v>
      </c>
      <c r="Y364" s="102">
        <f t="shared" si="292"/>
        <v>0</v>
      </c>
      <c r="Z364" s="102">
        <f t="shared" si="293"/>
        <v>0</v>
      </c>
      <c r="AA364" s="102">
        <f t="shared" si="294"/>
        <v>0</v>
      </c>
      <c r="AB364" s="102">
        <f t="shared" si="295"/>
        <v>0</v>
      </c>
      <c r="AH364" s="100">
        <v>363</v>
      </c>
      <c r="AI364" s="131">
        <f t="shared" ca="1" si="296"/>
        <v>57215</v>
      </c>
      <c r="AJ364" s="102">
        <f t="shared" si="297"/>
        <v>0</v>
      </c>
      <c r="AK364" s="102">
        <f t="shared" si="298"/>
        <v>0</v>
      </c>
      <c r="AL364" s="102">
        <f t="shared" si="299"/>
        <v>0</v>
      </c>
      <c r="AM364" s="102">
        <f t="shared" si="300"/>
        <v>0</v>
      </c>
      <c r="AS364" s="530">
        <v>363</v>
      </c>
      <c r="AT364" s="531">
        <f t="shared" ca="1" si="270"/>
        <v>57215</v>
      </c>
      <c r="AU364" s="532">
        <f ca="1">IF(AU363=0,SUMIFS('Key Life Events'!$L$3:$L$28,'Key Life Events'!$H$3:$H$28,'Loan Amortization'!$AY$3,'Key Life Events'!$N$3:$N$28,'Loan Amortization'!AT364),AU363-AX363)</f>
        <v>0</v>
      </c>
      <c r="AV364" s="532">
        <f t="shared" ca="1" si="271"/>
        <v>0</v>
      </c>
      <c r="AW364" s="532">
        <f t="shared" ca="1" si="260"/>
        <v>0</v>
      </c>
      <c r="AX364" s="532">
        <f t="shared" ca="1" si="261"/>
        <v>0</v>
      </c>
      <c r="BC364" s="536">
        <f t="shared" ca="1" si="262"/>
        <v>2056</v>
      </c>
      <c r="BF364" s="530">
        <v>363</v>
      </c>
      <c r="BG364" s="531">
        <f t="shared" ca="1" si="272"/>
        <v>57215</v>
      </c>
      <c r="BH364" s="532">
        <f ca="1">IF(BH363=0,SUMIFS('Key Life Events'!$L$3:$L$28,'Key Life Events'!$H$3:$H$28,'Loan Amortization'!$BL$3,'Key Life Events'!$N$3:$N$28,'Loan Amortization'!BG364),BH363-BK363)</f>
        <v>0</v>
      </c>
      <c r="BI364" s="532">
        <f t="shared" ca="1" si="273"/>
        <v>0</v>
      </c>
      <c r="BJ364" s="532">
        <f t="shared" ca="1" si="274"/>
        <v>0</v>
      </c>
      <c r="BK364" s="532">
        <f t="shared" ca="1" si="263"/>
        <v>0</v>
      </c>
      <c r="BP364" s="536">
        <f t="shared" ca="1" si="264"/>
        <v>2056</v>
      </c>
      <c r="BS364" s="530">
        <v>363</v>
      </c>
      <c r="BT364" s="531">
        <f t="shared" ca="1" si="275"/>
        <v>57215</v>
      </c>
      <c r="BU364" s="532">
        <f ca="1">IF(BU363=0,SUMIFS('Key Life Events'!$L$3:$L$28,'Key Life Events'!$H$3:$H$28,'Loan Amortization'!$BY$3,'Key Life Events'!$N$3:$N$28,'Loan Amortization'!BT364),BU363-BX363)</f>
        <v>0</v>
      </c>
      <c r="BV364" s="532">
        <f t="shared" ca="1" si="280"/>
        <v>0</v>
      </c>
      <c r="BW364" s="532">
        <f t="shared" ca="1" si="276"/>
        <v>0</v>
      </c>
      <c r="BX364" s="532">
        <f t="shared" ca="1" si="265"/>
        <v>0</v>
      </c>
      <c r="CC364" s="536">
        <f t="shared" ca="1" si="266"/>
        <v>2056</v>
      </c>
      <c r="CF364" s="530">
        <v>363</v>
      </c>
      <c r="CG364" s="531">
        <f t="shared" ca="1" si="277"/>
        <v>57215</v>
      </c>
      <c r="CH364" s="532">
        <f ca="1">IF(CH363=0,SUMIFS('Key Life Events'!$L$3:$L$28,'Key Life Events'!$H$3:$H$28,'Loan Amortization'!$CL$3,'Key Life Events'!$N$3:$N$28,'Loan Amortization'!CG364),CH363-CK363)</f>
        <v>0</v>
      </c>
      <c r="CI364" s="532">
        <f t="shared" ca="1" si="278"/>
        <v>0</v>
      </c>
      <c r="CJ364" s="532">
        <f t="shared" ca="1" si="279"/>
        <v>0</v>
      </c>
      <c r="CK364" s="532">
        <f t="shared" ca="1" si="267"/>
        <v>0</v>
      </c>
      <c r="CP364" s="536">
        <f t="shared" ca="1" si="268"/>
        <v>2056</v>
      </c>
      <c r="CS364" s="100">
        <f t="shared" si="257"/>
        <v>363</v>
      </c>
      <c r="CT364" s="102">
        <f t="shared" ca="1" si="258"/>
        <v>0</v>
      </c>
      <c r="CU364" s="102">
        <f t="shared" ca="1" si="259"/>
        <v>0</v>
      </c>
      <c r="CV364" s="511">
        <f t="shared" ca="1" si="269"/>
        <v>2056</v>
      </c>
    </row>
    <row r="365" spans="1:100" x14ac:dyDescent="0.3">
      <c r="A365" s="100">
        <v>364</v>
      </c>
      <c r="B365" s="131">
        <f t="shared" si="281"/>
        <v>10224</v>
      </c>
      <c r="C365" s="102">
        <f t="shared" si="282"/>
        <v>0</v>
      </c>
      <c r="D365" s="102">
        <f t="shared" si="283"/>
        <v>0</v>
      </c>
      <c r="E365" s="102">
        <f t="shared" si="284"/>
        <v>0</v>
      </c>
      <c r="F365" s="102">
        <f t="shared" si="285"/>
        <v>0</v>
      </c>
      <c r="L365" s="100">
        <v>364</v>
      </c>
      <c r="M365" s="131">
        <f t="shared" ca="1" si="286"/>
        <v>57246</v>
      </c>
      <c r="N365" s="102">
        <f t="shared" si="287"/>
        <v>0</v>
      </c>
      <c r="O365" s="102">
        <f t="shared" si="288"/>
        <v>0</v>
      </c>
      <c r="P365" s="102">
        <f t="shared" si="289"/>
        <v>0</v>
      </c>
      <c r="Q365" s="102">
        <f t="shared" si="290"/>
        <v>0</v>
      </c>
      <c r="W365" s="100">
        <v>364</v>
      </c>
      <c r="X365" s="131">
        <f t="shared" ca="1" si="291"/>
        <v>57246</v>
      </c>
      <c r="Y365" s="102">
        <f t="shared" si="292"/>
        <v>0</v>
      </c>
      <c r="Z365" s="102">
        <f t="shared" si="293"/>
        <v>0</v>
      </c>
      <c r="AA365" s="102">
        <f t="shared" si="294"/>
        <v>0</v>
      </c>
      <c r="AB365" s="102">
        <f t="shared" si="295"/>
        <v>0</v>
      </c>
      <c r="AH365" s="100">
        <v>364</v>
      </c>
      <c r="AI365" s="131">
        <f t="shared" ca="1" si="296"/>
        <v>57246</v>
      </c>
      <c r="AJ365" s="102">
        <f t="shared" si="297"/>
        <v>0</v>
      </c>
      <c r="AK365" s="102">
        <f t="shared" si="298"/>
        <v>0</v>
      </c>
      <c r="AL365" s="102">
        <f t="shared" si="299"/>
        <v>0</v>
      </c>
      <c r="AM365" s="102">
        <f t="shared" si="300"/>
        <v>0</v>
      </c>
      <c r="AS365" s="530">
        <v>364</v>
      </c>
      <c r="AT365" s="531">
        <f t="shared" ca="1" si="270"/>
        <v>57246</v>
      </c>
      <c r="AU365" s="532">
        <f ca="1">IF(AU364=0,SUMIFS('Key Life Events'!$L$3:$L$28,'Key Life Events'!$H$3:$H$28,'Loan Amortization'!$AY$3,'Key Life Events'!$N$3:$N$28,'Loan Amortization'!AT365),AU364-AX364)</f>
        <v>0</v>
      </c>
      <c r="AV365" s="532">
        <f t="shared" ca="1" si="271"/>
        <v>0</v>
      </c>
      <c r="AW365" s="532">
        <f t="shared" ca="1" si="260"/>
        <v>0</v>
      </c>
      <c r="AX365" s="532">
        <f t="shared" ca="1" si="261"/>
        <v>0</v>
      </c>
      <c r="BC365" s="536">
        <f t="shared" ca="1" si="262"/>
        <v>2056</v>
      </c>
      <c r="BF365" s="530">
        <v>364</v>
      </c>
      <c r="BG365" s="531">
        <f t="shared" ca="1" si="272"/>
        <v>57246</v>
      </c>
      <c r="BH365" s="532">
        <f ca="1">IF(BH364=0,SUMIFS('Key Life Events'!$L$3:$L$28,'Key Life Events'!$H$3:$H$28,'Loan Amortization'!$BL$3,'Key Life Events'!$N$3:$N$28,'Loan Amortization'!BG365),BH364-BK364)</f>
        <v>0</v>
      </c>
      <c r="BI365" s="532">
        <f t="shared" ca="1" si="273"/>
        <v>0</v>
      </c>
      <c r="BJ365" s="532">
        <f t="shared" ca="1" si="274"/>
        <v>0</v>
      </c>
      <c r="BK365" s="532">
        <f t="shared" ca="1" si="263"/>
        <v>0</v>
      </c>
      <c r="BP365" s="536">
        <f t="shared" ca="1" si="264"/>
        <v>2056</v>
      </c>
      <c r="BS365" s="530">
        <v>364</v>
      </c>
      <c r="BT365" s="531">
        <f t="shared" ca="1" si="275"/>
        <v>57246</v>
      </c>
      <c r="BU365" s="532">
        <f ca="1">IF(BU364=0,SUMIFS('Key Life Events'!$L$3:$L$28,'Key Life Events'!$H$3:$H$28,'Loan Amortization'!$BY$3,'Key Life Events'!$N$3:$N$28,'Loan Amortization'!BT365),BU364-BX364)</f>
        <v>0</v>
      </c>
      <c r="BV365" s="532">
        <f t="shared" ca="1" si="280"/>
        <v>0</v>
      </c>
      <c r="BW365" s="532">
        <f t="shared" ca="1" si="276"/>
        <v>0</v>
      </c>
      <c r="BX365" s="532">
        <f t="shared" ca="1" si="265"/>
        <v>0</v>
      </c>
      <c r="CC365" s="536">
        <f t="shared" ca="1" si="266"/>
        <v>2056</v>
      </c>
      <c r="CF365" s="530">
        <v>364</v>
      </c>
      <c r="CG365" s="531">
        <f t="shared" ca="1" si="277"/>
        <v>57246</v>
      </c>
      <c r="CH365" s="532">
        <f ca="1">IF(CH364=0,SUMIFS('Key Life Events'!$L$3:$L$28,'Key Life Events'!$H$3:$H$28,'Loan Amortization'!$CL$3,'Key Life Events'!$N$3:$N$28,'Loan Amortization'!CG365),CH364-CK364)</f>
        <v>0</v>
      </c>
      <c r="CI365" s="532">
        <f t="shared" ca="1" si="278"/>
        <v>0</v>
      </c>
      <c r="CJ365" s="532">
        <f t="shared" ca="1" si="279"/>
        <v>0</v>
      </c>
      <c r="CK365" s="532">
        <f t="shared" ca="1" si="267"/>
        <v>0</v>
      </c>
      <c r="CP365" s="536">
        <f t="shared" ca="1" si="268"/>
        <v>2056</v>
      </c>
      <c r="CS365" s="100">
        <f t="shared" si="257"/>
        <v>364</v>
      </c>
      <c r="CT365" s="102">
        <f t="shared" ca="1" si="258"/>
        <v>0</v>
      </c>
      <c r="CU365" s="102">
        <f t="shared" ca="1" si="259"/>
        <v>0</v>
      </c>
      <c r="CV365" s="511">
        <f t="shared" ca="1" si="269"/>
        <v>2056</v>
      </c>
    </row>
    <row r="366" spans="1:100" x14ac:dyDescent="0.3">
      <c r="A366" s="100">
        <v>365</v>
      </c>
      <c r="B366" s="131">
        <f t="shared" si="281"/>
        <v>10255</v>
      </c>
      <c r="C366" s="102">
        <f t="shared" si="282"/>
        <v>0</v>
      </c>
      <c r="D366" s="102">
        <f t="shared" si="283"/>
        <v>0</v>
      </c>
      <c r="E366" s="102">
        <f t="shared" si="284"/>
        <v>0</v>
      </c>
      <c r="F366" s="102">
        <f t="shared" si="285"/>
        <v>0</v>
      </c>
      <c r="L366" s="100">
        <v>365</v>
      </c>
      <c r="M366" s="131">
        <f t="shared" ca="1" si="286"/>
        <v>57276</v>
      </c>
      <c r="N366" s="102">
        <f t="shared" si="287"/>
        <v>0</v>
      </c>
      <c r="O366" s="102">
        <f t="shared" si="288"/>
        <v>0</v>
      </c>
      <c r="P366" s="102">
        <f t="shared" si="289"/>
        <v>0</v>
      </c>
      <c r="Q366" s="102">
        <f t="shared" si="290"/>
        <v>0</v>
      </c>
      <c r="W366" s="100">
        <v>365</v>
      </c>
      <c r="X366" s="131">
        <f t="shared" ca="1" si="291"/>
        <v>57276</v>
      </c>
      <c r="Y366" s="102">
        <f t="shared" si="292"/>
        <v>0</v>
      </c>
      <c r="Z366" s="102">
        <f t="shared" si="293"/>
        <v>0</v>
      </c>
      <c r="AA366" s="102">
        <f t="shared" si="294"/>
        <v>0</v>
      </c>
      <c r="AB366" s="102">
        <f t="shared" si="295"/>
        <v>0</v>
      </c>
      <c r="AH366" s="100">
        <v>365</v>
      </c>
      <c r="AI366" s="131">
        <f t="shared" ca="1" si="296"/>
        <v>57276</v>
      </c>
      <c r="AJ366" s="102">
        <f t="shared" si="297"/>
        <v>0</v>
      </c>
      <c r="AK366" s="102">
        <f t="shared" si="298"/>
        <v>0</v>
      </c>
      <c r="AL366" s="102">
        <f t="shared" si="299"/>
        <v>0</v>
      </c>
      <c r="AM366" s="102">
        <f t="shared" si="300"/>
        <v>0</v>
      </c>
      <c r="AS366" s="530">
        <v>365</v>
      </c>
      <c r="AT366" s="531">
        <f t="shared" ca="1" si="270"/>
        <v>57276</v>
      </c>
      <c r="AU366" s="532">
        <f ca="1">IF(AU365=0,SUMIFS('Key Life Events'!$L$3:$L$28,'Key Life Events'!$H$3:$H$28,'Loan Amortization'!$AY$3,'Key Life Events'!$N$3:$N$28,'Loan Amortization'!AT366),AU365-AX365)</f>
        <v>0</v>
      </c>
      <c r="AV366" s="532">
        <f t="shared" ca="1" si="271"/>
        <v>0</v>
      </c>
      <c r="AW366" s="532">
        <f t="shared" ca="1" si="260"/>
        <v>0</v>
      </c>
      <c r="AX366" s="532">
        <f t="shared" ca="1" si="261"/>
        <v>0</v>
      </c>
      <c r="BC366" s="536">
        <f t="shared" ca="1" si="262"/>
        <v>2056</v>
      </c>
      <c r="BF366" s="530">
        <v>365</v>
      </c>
      <c r="BG366" s="531">
        <f t="shared" ca="1" si="272"/>
        <v>57276</v>
      </c>
      <c r="BH366" s="532">
        <f ca="1">IF(BH365=0,SUMIFS('Key Life Events'!$L$3:$L$28,'Key Life Events'!$H$3:$H$28,'Loan Amortization'!$BL$3,'Key Life Events'!$N$3:$N$28,'Loan Amortization'!BG366),BH365-BK365)</f>
        <v>0</v>
      </c>
      <c r="BI366" s="532">
        <f t="shared" ca="1" si="273"/>
        <v>0</v>
      </c>
      <c r="BJ366" s="532">
        <f t="shared" ca="1" si="274"/>
        <v>0</v>
      </c>
      <c r="BK366" s="532">
        <f t="shared" ca="1" si="263"/>
        <v>0</v>
      </c>
      <c r="BP366" s="536">
        <f t="shared" ca="1" si="264"/>
        <v>2056</v>
      </c>
      <c r="BS366" s="530">
        <v>365</v>
      </c>
      <c r="BT366" s="531">
        <f t="shared" ca="1" si="275"/>
        <v>57276</v>
      </c>
      <c r="BU366" s="532">
        <f ca="1">IF(BU365=0,SUMIFS('Key Life Events'!$L$3:$L$28,'Key Life Events'!$H$3:$H$28,'Loan Amortization'!$BY$3,'Key Life Events'!$N$3:$N$28,'Loan Amortization'!BT366),BU365-BX365)</f>
        <v>0</v>
      </c>
      <c r="BV366" s="532">
        <f t="shared" ca="1" si="280"/>
        <v>0</v>
      </c>
      <c r="BW366" s="532">
        <f t="shared" ca="1" si="276"/>
        <v>0</v>
      </c>
      <c r="BX366" s="532">
        <f t="shared" ca="1" si="265"/>
        <v>0</v>
      </c>
      <c r="CC366" s="536">
        <f t="shared" ca="1" si="266"/>
        <v>2056</v>
      </c>
      <c r="CF366" s="530">
        <v>365</v>
      </c>
      <c r="CG366" s="531">
        <f t="shared" ca="1" si="277"/>
        <v>57276</v>
      </c>
      <c r="CH366" s="532">
        <f ca="1">IF(CH365=0,SUMIFS('Key Life Events'!$L$3:$L$28,'Key Life Events'!$H$3:$H$28,'Loan Amortization'!$CL$3,'Key Life Events'!$N$3:$N$28,'Loan Amortization'!CG366),CH365-CK365)</f>
        <v>0</v>
      </c>
      <c r="CI366" s="532">
        <f t="shared" ca="1" si="278"/>
        <v>0</v>
      </c>
      <c r="CJ366" s="532">
        <f t="shared" ca="1" si="279"/>
        <v>0</v>
      </c>
      <c r="CK366" s="532">
        <f t="shared" ca="1" si="267"/>
        <v>0</v>
      </c>
      <c r="CP366" s="536">
        <f t="shared" ca="1" si="268"/>
        <v>2056</v>
      </c>
      <c r="CS366" s="100">
        <f t="shared" si="257"/>
        <v>365</v>
      </c>
      <c r="CT366" s="102">
        <f t="shared" ca="1" si="258"/>
        <v>0</v>
      </c>
      <c r="CU366" s="102">
        <f t="shared" ca="1" si="259"/>
        <v>0</v>
      </c>
      <c r="CV366" s="511">
        <f t="shared" ca="1" si="269"/>
        <v>2056</v>
      </c>
    </row>
    <row r="367" spans="1:100" x14ac:dyDescent="0.3">
      <c r="A367" s="100">
        <v>366</v>
      </c>
      <c r="B367" s="131">
        <f t="shared" si="281"/>
        <v>10286</v>
      </c>
      <c r="C367" s="102">
        <f t="shared" si="282"/>
        <v>0</v>
      </c>
      <c r="D367" s="102">
        <f t="shared" si="283"/>
        <v>0</v>
      </c>
      <c r="E367" s="102">
        <f t="shared" si="284"/>
        <v>0</v>
      </c>
      <c r="F367" s="102">
        <f t="shared" si="285"/>
        <v>0</v>
      </c>
      <c r="L367" s="100">
        <v>366</v>
      </c>
      <c r="M367" s="131">
        <f t="shared" ca="1" si="286"/>
        <v>57307</v>
      </c>
      <c r="N367" s="102">
        <f t="shared" si="287"/>
        <v>0</v>
      </c>
      <c r="O367" s="102">
        <f t="shared" si="288"/>
        <v>0</v>
      </c>
      <c r="P367" s="102">
        <f t="shared" si="289"/>
        <v>0</v>
      </c>
      <c r="Q367" s="102">
        <f t="shared" si="290"/>
        <v>0</v>
      </c>
      <c r="W367" s="100">
        <v>366</v>
      </c>
      <c r="X367" s="131">
        <f t="shared" ca="1" si="291"/>
        <v>57307</v>
      </c>
      <c r="Y367" s="102">
        <f t="shared" si="292"/>
        <v>0</v>
      </c>
      <c r="Z367" s="102">
        <f t="shared" si="293"/>
        <v>0</v>
      </c>
      <c r="AA367" s="102">
        <f t="shared" si="294"/>
        <v>0</v>
      </c>
      <c r="AB367" s="102">
        <f t="shared" si="295"/>
        <v>0</v>
      </c>
      <c r="AH367" s="100">
        <v>366</v>
      </c>
      <c r="AI367" s="131">
        <f t="shared" ca="1" si="296"/>
        <v>57307</v>
      </c>
      <c r="AJ367" s="102">
        <f t="shared" si="297"/>
        <v>0</v>
      </c>
      <c r="AK367" s="102">
        <f t="shared" si="298"/>
        <v>0</v>
      </c>
      <c r="AL367" s="102">
        <f t="shared" si="299"/>
        <v>0</v>
      </c>
      <c r="AM367" s="102">
        <f t="shared" si="300"/>
        <v>0</v>
      </c>
      <c r="AS367" s="530">
        <v>366</v>
      </c>
      <c r="AT367" s="531">
        <f t="shared" ca="1" si="270"/>
        <v>57307</v>
      </c>
      <c r="AU367" s="532">
        <f ca="1">IF(AU366=0,SUMIFS('Key Life Events'!$L$3:$L$28,'Key Life Events'!$H$3:$H$28,'Loan Amortization'!$AY$3,'Key Life Events'!$N$3:$N$28,'Loan Amortization'!AT367),AU366-AX366)</f>
        <v>0</v>
      </c>
      <c r="AV367" s="532">
        <f t="shared" ca="1" si="271"/>
        <v>0</v>
      </c>
      <c r="AW367" s="532">
        <f t="shared" ca="1" si="260"/>
        <v>0</v>
      </c>
      <c r="AX367" s="532">
        <f t="shared" ca="1" si="261"/>
        <v>0</v>
      </c>
      <c r="BC367" s="536">
        <f t="shared" ca="1" si="262"/>
        <v>2056</v>
      </c>
      <c r="BF367" s="530">
        <v>366</v>
      </c>
      <c r="BG367" s="531">
        <f t="shared" ca="1" si="272"/>
        <v>57307</v>
      </c>
      <c r="BH367" s="532">
        <f ca="1">IF(BH366=0,SUMIFS('Key Life Events'!$L$3:$L$28,'Key Life Events'!$H$3:$H$28,'Loan Amortization'!$BL$3,'Key Life Events'!$N$3:$N$28,'Loan Amortization'!BG367),BH366-BK366)</f>
        <v>0</v>
      </c>
      <c r="BI367" s="532">
        <f t="shared" ca="1" si="273"/>
        <v>0</v>
      </c>
      <c r="BJ367" s="532">
        <f t="shared" ca="1" si="274"/>
        <v>0</v>
      </c>
      <c r="BK367" s="532">
        <f t="shared" ca="1" si="263"/>
        <v>0</v>
      </c>
      <c r="BP367" s="536">
        <f t="shared" ca="1" si="264"/>
        <v>2056</v>
      </c>
      <c r="BS367" s="530">
        <v>366</v>
      </c>
      <c r="BT367" s="531">
        <f t="shared" ca="1" si="275"/>
        <v>57307</v>
      </c>
      <c r="BU367" s="532">
        <f ca="1">IF(BU366=0,SUMIFS('Key Life Events'!$L$3:$L$28,'Key Life Events'!$H$3:$H$28,'Loan Amortization'!$BY$3,'Key Life Events'!$N$3:$N$28,'Loan Amortization'!BT367),BU366-BX366)</f>
        <v>0</v>
      </c>
      <c r="BV367" s="532">
        <f t="shared" ca="1" si="280"/>
        <v>0</v>
      </c>
      <c r="BW367" s="532">
        <f t="shared" ca="1" si="276"/>
        <v>0</v>
      </c>
      <c r="BX367" s="532">
        <f t="shared" ca="1" si="265"/>
        <v>0</v>
      </c>
      <c r="CC367" s="536">
        <f t="shared" ca="1" si="266"/>
        <v>2056</v>
      </c>
      <c r="CF367" s="530">
        <v>366</v>
      </c>
      <c r="CG367" s="531">
        <f t="shared" ca="1" si="277"/>
        <v>57307</v>
      </c>
      <c r="CH367" s="532">
        <f ca="1">IF(CH366=0,SUMIFS('Key Life Events'!$L$3:$L$28,'Key Life Events'!$H$3:$H$28,'Loan Amortization'!$CL$3,'Key Life Events'!$N$3:$N$28,'Loan Amortization'!CG367),CH366-CK366)</f>
        <v>0</v>
      </c>
      <c r="CI367" s="532">
        <f t="shared" ca="1" si="278"/>
        <v>0</v>
      </c>
      <c r="CJ367" s="532">
        <f t="shared" ca="1" si="279"/>
        <v>0</v>
      </c>
      <c r="CK367" s="532">
        <f t="shared" ca="1" si="267"/>
        <v>0</v>
      </c>
      <c r="CP367" s="536">
        <f t="shared" ca="1" si="268"/>
        <v>2056</v>
      </c>
      <c r="CS367" s="100">
        <f t="shared" si="257"/>
        <v>366</v>
      </c>
      <c r="CT367" s="102">
        <f t="shared" ca="1" si="258"/>
        <v>0</v>
      </c>
      <c r="CU367" s="102">
        <f t="shared" ca="1" si="259"/>
        <v>0</v>
      </c>
      <c r="CV367" s="511">
        <f t="shared" ca="1" si="269"/>
        <v>2056</v>
      </c>
    </row>
    <row r="368" spans="1:100" x14ac:dyDescent="0.3">
      <c r="A368" s="100">
        <v>367</v>
      </c>
      <c r="B368" s="131">
        <f t="shared" si="281"/>
        <v>10315</v>
      </c>
      <c r="C368" s="102">
        <f t="shared" si="282"/>
        <v>0</v>
      </c>
      <c r="D368" s="102">
        <f t="shared" si="283"/>
        <v>0</v>
      </c>
      <c r="E368" s="102">
        <f t="shared" si="284"/>
        <v>0</v>
      </c>
      <c r="F368" s="102">
        <f t="shared" si="285"/>
        <v>0</v>
      </c>
      <c r="L368" s="100">
        <v>367</v>
      </c>
      <c r="M368" s="131">
        <f t="shared" ca="1" si="286"/>
        <v>57337</v>
      </c>
      <c r="N368" s="102">
        <f t="shared" si="287"/>
        <v>0</v>
      </c>
      <c r="O368" s="102">
        <f t="shared" si="288"/>
        <v>0</v>
      </c>
      <c r="P368" s="102">
        <f t="shared" si="289"/>
        <v>0</v>
      </c>
      <c r="Q368" s="102">
        <f t="shared" si="290"/>
        <v>0</v>
      </c>
      <c r="W368" s="100">
        <v>367</v>
      </c>
      <c r="X368" s="131">
        <f t="shared" ca="1" si="291"/>
        <v>57337</v>
      </c>
      <c r="Y368" s="102">
        <f t="shared" si="292"/>
        <v>0</v>
      </c>
      <c r="Z368" s="102">
        <f t="shared" si="293"/>
        <v>0</v>
      </c>
      <c r="AA368" s="102">
        <f t="shared" si="294"/>
        <v>0</v>
      </c>
      <c r="AB368" s="102">
        <f t="shared" si="295"/>
        <v>0</v>
      </c>
      <c r="AH368" s="100">
        <v>367</v>
      </c>
      <c r="AI368" s="131">
        <f t="shared" ca="1" si="296"/>
        <v>57337</v>
      </c>
      <c r="AJ368" s="102">
        <f t="shared" si="297"/>
        <v>0</v>
      </c>
      <c r="AK368" s="102">
        <f t="shared" si="298"/>
        <v>0</v>
      </c>
      <c r="AL368" s="102">
        <f t="shared" si="299"/>
        <v>0</v>
      </c>
      <c r="AM368" s="102">
        <f t="shared" si="300"/>
        <v>0</v>
      </c>
      <c r="AS368" s="530">
        <v>367</v>
      </c>
      <c r="AT368" s="531">
        <f t="shared" ca="1" si="270"/>
        <v>57337</v>
      </c>
      <c r="AU368" s="532">
        <f ca="1">IF(AU367=0,SUMIFS('Key Life Events'!$L$3:$L$28,'Key Life Events'!$H$3:$H$28,'Loan Amortization'!$AY$3,'Key Life Events'!$N$3:$N$28,'Loan Amortization'!AT368),AU367-AX367)</f>
        <v>0</v>
      </c>
      <c r="AV368" s="532">
        <f t="shared" ca="1" si="271"/>
        <v>0</v>
      </c>
      <c r="AW368" s="532">
        <f t="shared" ca="1" si="260"/>
        <v>0</v>
      </c>
      <c r="AX368" s="532">
        <f t="shared" ca="1" si="261"/>
        <v>0</v>
      </c>
      <c r="BC368" s="536">
        <f t="shared" ca="1" si="262"/>
        <v>2056</v>
      </c>
      <c r="BF368" s="530">
        <v>367</v>
      </c>
      <c r="BG368" s="531">
        <f t="shared" ca="1" si="272"/>
        <v>57337</v>
      </c>
      <c r="BH368" s="532">
        <f ca="1">IF(BH367=0,SUMIFS('Key Life Events'!$L$3:$L$28,'Key Life Events'!$H$3:$H$28,'Loan Amortization'!$BL$3,'Key Life Events'!$N$3:$N$28,'Loan Amortization'!BG368),BH367-BK367)</f>
        <v>0</v>
      </c>
      <c r="BI368" s="532">
        <f t="shared" ca="1" si="273"/>
        <v>0</v>
      </c>
      <c r="BJ368" s="532">
        <f t="shared" ca="1" si="274"/>
        <v>0</v>
      </c>
      <c r="BK368" s="532">
        <f t="shared" ca="1" si="263"/>
        <v>0</v>
      </c>
      <c r="BP368" s="536">
        <f t="shared" ca="1" si="264"/>
        <v>2056</v>
      </c>
      <c r="BS368" s="530">
        <v>367</v>
      </c>
      <c r="BT368" s="531">
        <f t="shared" ca="1" si="275"/>
        <v>57337</v>
      </c>
      <c r="BU368" s="532">
        <f ca="1">IF(BU367=0,SUMIFS('Key Life Events'!$L$3:$L$28,'Key Life Events'!$H$3:$H$28,'Loan Amortization'!$BY$3,'Key Life Events'!$N$3:$N$28,'Loan Amortization'!BT368),BU367-BX367)</f>
        <v>0</v>
      </c>
      <c r="BV368" s="532">
        <f t="shared" ca="1" si="280"/>
        <v>0</v>
      </c>
      <c r="BW368" s="532">
        <f t="shared" ca="1" si="276"/>
        <v>0</v>
      </c>
      <c r="BX368" s="532">
        <f t="shared" ca="1" si="265"/>
        <v>0</v>
      </c>
      <c r="CC368" s="536">
        <f t="shared" ca="1" si="266"/>
        <v>2056</v>
      </c>
      <c r="CF368" s="530">
        <v>367</v>
      </c>
      <c r="CG368" s="531">
        <f t="shared" ca="1" si="277"/>
        <v>57337</v>
      </c>
      <c r="CH368" s="532">
        <f ca="1">IF(CH367=0,SUMIFS('Key Life Events'!$L$3:$L$28,'Key Life Events'!$H$3:$H$28,'Loan Amortization'!$CL$3,'Key Life Events'!$N$3:$N$28,'Loan Amortization'!CG368),CH367-CK367)</f>
        <v>0</v>
      </c>
      <c r="CI368" s="532">
        <f t="shared" ca="1" si="278"/>
        <v>0</v>
      </c>
      <c r="CJ368" s="532">
        <f t="shared" ca="1" si="279"/>
        <v>0</v>
      </c>
      <c r="CK368" s="532">
        <f t="shared" ca="1" si="267"/>
        <v>0</v>
      </c>
      <c r="CP368" s="536">
        <f t="shared" ca="1" si="268"/>
        <v>2056</v>
      </c>
      <c r="CS368" s="100">
        <f t="shared" si="257"/>
        <v>367</v>
      </c>
      <c r="CT368" s="102">
        <f t="shared" ca="1" si="258"/>
        <v>0</v>
      </c>
      <c r="CU368" s="102">
        <f t="shared" ca="1" si="259"/>
        <v>0</v>
      </c>
      <c r="CV368" s="511">
        <f t="shared" ca="1" si="269"/>
        <v>2056</v>
      </c>
    </row>
    <row r="369" spans="1:100" x14ac:dyDescent="0.3">
      <c r="A369" s="100">
        <v>368</v>
      </c>
      <c r="B369" s="131">
        <f t="shared" si="281"/>
        <v>10346</v>
      </c>
      <c r="C369" s="102">
        <f t="shared" si="282"/>
        <v>0</v>
      </c>
      <c r="D369" s="102">
        <f t="shared" si="283"/>
        <v>0</v>
      </c>
      <c r="E369" s="102">
        <f t="shared" si="284"/>
        <v>0</v>
      </c>
      <c r="F369" s="102">
        <f t="shared" si="285"/>
        <v>0</v>
      </c>
      <c r="L369" s="100">
        <v>368</v>
      </c>
      <c r="M369" s="131">
        <f t="shared" ca="1" si="286"/>
        <v>57368</v>
      </c>
      <c r="N369" s="102">
        <f t="shared" si="287"/>
        <v>0</v>
      </c>
      <c r="O369" s="102">
        <f t="shared" si="288"/>
        <v>0</v>
      </c>
      <c r="P369" s="102">
        <f t="shared" si="289"/>
        <v>0</v>
      </c>
      <c r="Q369" s="102">
        <f t="shared" si="290"/>
        <v>0</v>
      </c>
      <c r="W369" s="100">
        <v>368</v>
      </c>
      <c r="X369" s="131">
        <f t="shared" ca="1" si="291"/>
        <v>57368</v>
      </c>
      <c r="Y369" s="102">
        <f t="shared" si="292"/>
        <v>0</v>
      </c>
      <c r="Z369" s="102">
        <f t="shared" si="293"/>
        <v>0</v>
      </c>
      <c r="AA369" s="102">
        <f t="shared" si="294"/>
        <v>0</v>
      </c>
      <c r="AB369" s="102">
        <f t="shared" si="295"/>
        <v>0</v>
      </c>
      <c r="AH369" s="100">
        <v>368</v>
      </c>
      <c r="AI369" s="131">
        <f t="shared" ca="1" si="296"/>
        <v>57368</v>
      </c>
      <c r="AJ369" s="102">
        <f t="shared" si="297"/>
        <v>0</v>
      </c>
      <c r="AK369" s="102">
        <f t="shared" si="298"/>
        <v>0</v>
      </c>
      <c r="AL369" s="102">
        <f t="shared" si="299"/>
        <v>0</v>
      </c>
      <c r="AM369" s="102">
        <f t="shared" si="300"/>
        <v>0</v>
      </c>
      <c r="AS369" s="530">
        <v>368</v>
      </c>
      <c r="AT369" s="531">
        <f t="shared" ca="1" si="270"/>
        <v>57368</v>
      </c>
      <c r="AU369" s="532">
        <f ca="1">IF(AU368=0,SUMIFS('Key Life Events'!$L$3:$L$28,'Key Life Events'!$H$3:$H$28,'Loan Amortization'!$AY$3,'Key Life Events'!$N$3:$N$28,'Loan Amortization'!AT369),AU368-AX368)</f>
        <v>0</v>
      </c>
      <c r="AV369" s="532">
        <f t="shared" ca="1" si="271"/>
        <v>0</v>
      </c>
      <c r="AW369" s="532">
        <f t="shared" ca="1" si="260"/>
        <v>0</v>
      </c>
      <c r="AX369" s="532">
        <f t="shared" ca="1" si="261"/>
        <v>0</v>
      </c>
      <c r="BC369" s="536">
        <f t="shared" ca="1" si="262"/>
        <v>2057</v>
      </c>
      <c r="BF369" s="530">
        <v>368</v>
      </c>
      <c r="BG369" s="531">
        <f t="shared" ca="1" si="272"/>
        <v>57368</v>
      </c>
      <c r="BH369" s="532">
        <f ca="1">IF(BH368=0,SUMIFS('Key Life Events'!$L$3:$L$28,'Key Life Events'!$H$3:$H$28,'Loan Amortization'!$BL$3,'Key Life Events'!$N$3:$N$28,'Loan Amortization'!BG369),BH368-BK368)</f>
        <v>0</v>
      </c>
      <c r="BI369" s="532">
        <f t="shared" ca="1" si="273"/>
        <v>0</v>
      </c>
      <c r="BJ369" s="532">
        <f t="shared" ca="1" si="274"/>
        <v>0</v>
      </c>
      <c r="BK369" s="532">
        <f t="shared" ca="1" si="263"/>
        <v>0</v>
      </c>
      <c r="BP369" s="536">
        <f t="shared" ca="1" si="264"/>
        <v>2057</v>
      </c>
      <c r="BS369" s="530">
        <v>368</v>
      </c>
      <c r="BT369" s="531">
        <f t="shared" ca="1" si="275"/>
        <v>57368</v>
      </c>
      <c r="BU369" s="532">
        <f ca="1">IF(BU368=0,SUMIFS('Key Life Events'!$L$3:$L$28,'Key Life Events'!$H$3:$H$28,'Loan Amortization'!$BY$3,'Key Life Events'!$N$3:$N$28,'Loan Amortization'!BT369),BU368-BX368)</f>
        <v>0</v>
      </c>
      <c r="BV369" s="532">
        <f t="shared" ca="1" si="280"/>
        <v>0</v>
      </c>
      <c r="BW369" s="532">
        <f t="shared" ca="1" si="276"/>
        <v>0</v>
      </c>
      <c r="BX369" s="532">
        <f t="shared" ca="1" si="265"/>
        <v>0</v>
      </c>
      <c r="CC369" s="536">
        <f t="shared" ca="1" si="266"/>
        <v>2057</v>
      </c>
      <c r="CF369" s="530">
        <v>368</v>
      </c>
      <c r="CG369" s="531">
        <f t="shared" ca="1" si="277"/>
        <v>57368</v>
      </c>
      <c r="CH369" s="532">
        <f ca="1">IF(CH368=0,SUMIFS('Key Life Events'!$L$3:$L$28,'Key Life Events'!$H$3:$H$28,'Loan Amortization'!$CL$3,'Key Life Events'!$N$3:$N$28,'Loan Amortization'!CG369),CH368-CK368)</f>
        <v>0</v>
      </c>
      <c r="CI369" s="532">
        <f t="shared" ca="1" si="278"/>
        <v>0</v>
      </c>
      <c r="CJ369" s="532">
        <f t="shared" ca="1" si="279"/>
        <v>0</v>
      </c>
      <c r="CK369" s="532">
        <f t="shared" ca="1" si="267"/>
        <v>0</v>
      </c>
      <c r="CP369" s="536">
        <f t="shared" ca="1" si="268"/>
        <v>2057</v>
      </c>
      <c r="CS369" s="100">
        <f t="shared" si="257"/>
        <v>368</v>
      </c>
      <c r="CT369" s="102">
        <f t="shared" ca="1" si="258"/>
        <v>0</v>
      </c>
      <c r="CU369" s="102">
        <f t="shared" ca="1" si="259"/>
        <v>0</v>
      </c>
      <c r="CV369" s="511">
        <f t="shared" ca="1" si="269"/>
        <v>2057</v>
      </c>
    </row>
    <row r="370" spans="1:100" x14ac:dyDescent="0.3">
      <c r="A370" s="100">
        <v>369</v>
      </c>
      <c r="B370" s="131">
        <f t="shared" si="281"/>
        <v>10376</v>
      </c>
      <c r="C370" s="102">
        <f t="shared" si="282"/>
        <v>0</v>
      </c>
      <c r="D370" s="102">
        <f t="shared" si="283"/>
        <v>0</v>
      </c>
      <c r="E370" s="102">
        <f t="shared" si="284"/>
        <v>0</v>
      </c>
      <c r="F370" s="102">
        <f t="shared" si="285"/>
        <v>0</v>
      </c>
      <c r="L370" s="100">
        <v>369</v>
      </c>
      <c r="M370" s="131">
        <f t="shared" ca="1" si="286"/>
        <v>57399</v>
      </c>
      <c r="N370" s="102">
        <f t="shared" si="287"/>
        <v>0</v>
      </c>
      <c r="O370" s="102">
        <f t="shared" si="288"/>
        <v>0</v>
      </c>
      <c r="P370" s="102">
        <f t="shared" si="289"/>
        <v>0</v>
      </c>
      <c r="Q370" s="102">
        <f t="shared" si="290"/>
        <v>0</v>
      </c>
      <c r="W370" s="100">
        <v>369</v>
      </c>
      <c r="X370" s="131">
        <f t="shared" ca="1" si="291"/>
        <v>57399</v>
      </c>
      <c r="Y370" s="102">
        <f t="shared" si="292"/>
        <v>0</v>
      </c>
      <c r="Z370" s="102">
        <f t="shared" si="293"/>
        <v>0</v>
      </c>
      <c r="AA370" s="102">
        <f t="shared" si="294"/>
        <v>0</v>
      </c>
      <c r="AB370" s="102">
        <f t="shared" si="295"/>
        <v>0</v>
      </c>
      <c r="AH370" s="100">
        <v>369</v>
      </c>
      <c r="AI370" s="131">
        <f t="shared" ca="1" si="296"/>
        <v>57399</v>
      </c>
      <c r="AJ370" s="102">
        <f t="shared" si="297"/>
        <v>0</v>
      </c>
      <c r="AK370" s="102">
        <f t="shared" si="298"/>
        <v>0</v>
      </c>
      <c r="AL370" s="102">
        <f t="shared" si="299"/>
        <v>0</v>
      </c>
      <c r="AM370" s="102">
        <f t="shared" si="300"/>
        <v>0</v>
      </c>
      <c r="AS370" s="530">
        <v>369</v>
      </c>
      <c r="AT370" s="531">
        <f t="shared" ca="1" si="270"/>
        <v>57399</v>
      </c>
      <c r="AU370" s="532">
        <f ca="1">IF(AU369=0,SUMIFS('Key Life Events'!$L$3:$L$28,'Key Life Events'!$H$3:$H$28,'Loan Amortization'!$AY$3,'Key Life Events'!$N$3:$N$28,'Loan Amortization'!AT370),AU369-AX369)</f>
        <v>0</v>
      </c>
      <c r="AV370" s="532">
        <f t="shared" ca="1" si="271"/>
        <v>0</v>
      </c>
      <c r="AW370" s="532">
        <f t="shared" ca="1" si="260"/>
        <v>0</v>
      </c>
      <c r="AX370" s="532">
        <f t="shared" ca="1" si="261"/>
        <v>0</v>
      </c>
      <c r="BC370" s="536">
        <f t="shared" ca="1" si="262"/>
        <v>2057</v>
      </c>
      <c r="BF370" s="530">
        <v>369</v>
      </c>
      <c r="BG370" s="531">
        <f t="shared" ca="1" si="272"/>
        <v>57399</v>
      </c>
      <c r="BH370" s="532">
        <f ca="1">IF(BH369=0,SUMIFS('Key Life Events'!$L$3:$L$28,'Key Life Events'!$H$3:$H$28,'Loan Amortization'!$BL$3,'Key Life Events'!$N$3:$N$28,'Loan Amortization'!BG370),BH369-BK369)</f>
        <v>0</v>
      </c>
      <c r="BI370" s="532">
        <f t="shared" ca="1" si="273"/>
        <v>0</v>
      </c>
      <c r="BJ370" s="532">
        <f t="shared" ca="1" si="274"/>
        <v>0</v>
      </c>
      <c r="BK370" s="532">
        <f t="shared" ca="1" si="263"/>
        <v>0</v>
      </c>
      <c r="BP370" s="536">
        <f t="shared" ca="1" si="264"/>
        <v>2057</v>
      </c>
      <c r="BS370" s="530">
        <v>369</v>
      </c>
      <c r="BT370" s="531">
        <f t="shared" ca="1" si="275"/>
        <v>57399</v>
      </c>
      <c r="BU370" s="532">
        <f ca="1">IF(BU369=0,SUMIFS('Key Life Events'!$L$3:$L$28,'Key Life Events'!$H$3:$H$28,'Loan Amortization'!$BY$3,'Key Life Events'!$N$3:$N$28,'Loan Amortization'!BT370),BU369-BX369)</f>
        <v>0</v>
      </c>
      <c r="BV370" s="532">
        <f t="shared" ca="1" si="280"/>
        <v>0</v>
      </c>
      <c r="BW370" s="532">
        <f t="shared" ca="1" si="276"/>
        <v>0</v>
      </c>
      <c r="BX370" s="532">
        <f t="shared" ca="1" si="265"/>
        <v>0</v>
      </c>
      <c r="CC370" s="536">
        <f t="shared" ca="1" si="266"/>
        <v>2057</v>
      </c>
      <c r="CF370" s="530">
        <v>369</v>
      </c>
      <c r="CG370" s="531">
        <f t="shared" ca="1" si="277"/>
        <v>57399</v>
      </c>
      <c r="CH370" s="532">
        <f ca="1">IF(CH369=0,SUMIFS('Key Life Events'!$L$3:$L$28,'Key Life Events'!$H$3:$H$28,'Loan Amortization'!$CL$3,'Key Life Events'!$N$3:$N$28,'Loan Amortization'!CG370),CH369-CK369)</f>
        <v>0</v>
      </c>
      <c r="CI370" s="532">
        <f t="shared" ca="1" si="278"/>
        <v>0</v>
      </c>
      <c r="CJ370" s="532">
        <f t="shared" ca="1" si="279"/>
        <v>0</v>
      </c>
      <c r="CK370" s="532">
        <f t="shared" ca="1" si="267"/>
        <v>0</v>
      </c>
      <c r="CP370" s="536">
        <f t="shared" ca="1" si="268"/>
        <v>2057</v>
      </c>
      <c r="CS370" s="100">
        <f t="shared" si="257"/>
        <v>369</v>
      </c>
      <c r="CT370" s="102">
        <f t="shared" ca="1" si="258"/>
        <v>0</v>
      </c>
      <c r="CU370" s="102">
        <f t="shared" ca="1" si="259"/>
        <v>0</v>
      </c>
      <c r="CV370" s="511">
        <f t="shared" ca="1" si="269"/>
        <v>2057</v>
      </c>
    </row>
    <row r="371" spans="1:100" x14ac:dyDescent="0.3">
      <c r="A371" s="100">
        <v>370</v>
      </c>
      <c r="B371" s="131">
        <f t="shared" si="281"/>
        <v>10407</v>
      </c>
      <c r="C371" s="102">
        <f t="shared" si="282"/>
        <v>0</v>
      </c>
      <c r="D371" s="102">
        <f t="shared" si="283"/>
        <v>0</v>
      </c>
      <c r="E371" s="102">
        <f t="shared" si="284"/>
        <v>0</v>
      </c>
      <c r="F371" s="102">
        <f t="shared" si="285"/>
        <v>0</v>
      </c>
      <c r="L371" s="100">
        <v>370</v>
      </c>
      <c r="M371" s="131">
        <f t="shared" ca="1" si="286"/>
        <v>57427</v>
      </c>
      <c r="N371" s="102">
        <f t="shared" si="287"/>
        <v>0</v>
      </c>
      <c r="O371" s="102">
        <f t="shared" si="288"/>
        <v>0</v>
      </c>
      <c r="P371" s="102">
        <f t="shared" si="289"/>
        <v>0</v>
      </c>
      <c r="Q371" s="102">
        <f t="shared" si="290"/>
        <v>0</v>
      </c>
      <c r="W371" s="100">
        <v>370</v>
      </c>
      <c r="X371" s="131">
        <f t="shared" ca="1" si="291"/>
        <v>57427</v>
      </c>
      <c r="Y371" s="102">
        <f t="shared" si="292"/>
        <v>0</v>
      </c>
      <c r="Z371" s="102">
        <f t="shared" si="293"/>
        <v>0</v>
      </c>
      <c r="AA371" s="102">
        <f t="shared" si="294"/>
        <v>0</v>
      </c>
      <c r="AB371" s="102">
        <f t="shared" si="295"/>
        <v>0</v>
      </c>
      <c r="AH371" s="100">
        <v>370</v>
      </c>
      <c r="AI371" s="131">
        <f t="shared" ca="1" si="296"/>
        <v>57427</v>
      </c>
      <c r="AJ371" s="102">
        <f t="shared" si="297"/>
        <v>0</v>
      </c>
      <c r="AK371" s="102">
        <f t="shared" si="298"/>
        <v>0</v>
      </c>
      <c r="AL371" s="102">
        <f t="shared" si="299"/>
        <v>0</v>
      </c>
      <c r="AM371" s="102">
        <f t="shared" si="300"/>
        <v>0</v>
      </c>
      <c r="AS371" s="530">
        <v>370</v>
      </c>
      <c r="AT371" s="531">
        <f t="shared" ca="1" si="270"/>
        <v>57427</v>
      </c>
      <c r="AU371" s="532">
        <f ca="1">IF(AU370=0,SUMIFS('Key Life Events'!$L$3:$L$28,'Key Life Events'!$H$3:$H$28,'Loan Amortization'!$AY$3,'Key Life Events'!$N$3:$N$28,'Loan Amortization'!AT371),AU370-AX370)</f>
        <v>0</v>
      </c>
      <c r="AV371" s="532">
        <f t="shared" ca="1" si="271"/>
        <v>0</v>
      </c>
      <c r="AW371" s="532">
        <f t="shared" ca="1" si="260"/>
        <v>0</v>
      </c>
      <c r="AX371" s="532">
        <f t="shared" ca="1" si="261"/>
        <v>0</v>
      </c>
      <c r="BC371" s="536">
        <f t="shared" ca="1" si="262"/>
        <v>2057</v>
      </c>
      <c r="BF371" s="530">
        <v>370</v>
      </c>
      <c r="BG371" s="531">
        <f t="shared" ca="1" si="272"/>
        <v>57427</v>
      </c>
      <c r="BH371" s="532">
        <f ca="1">IF(BH370=0,SUMIFS('Key Life Events'!$L$3:$L$28,'Key Life Events'!$H$3:$H$28,'Loan Amortization'!$BL$3,'Key Life Events'!$N$3:$N$28,'Loan Amortization'!BG371),BH370-BK370)</f>
        <v>0</v>
      </c>
      <c r="BI371" s="532">
        <f t="shared" ca="1" si="273"/>
        <v>0</v>
      </c>
      <c r="BJ371" s="532">
        <f t="shared" ca="1" si="274"/>
        <v>0</v>
      </c>
      <c r="BK371" s="532">
        <f t="shared" ca="1" si="263"/>
        <v>0</v>
      </c>
      <c r="BP371" s="536">
        <f t="shared" ca="1" si="264"/>
        <v>2057</v>
      </c>
      <c r="BS371" s="530">
        <v>370</v>
      </c>
      <c r="BT371" s="531">
        <f t="shared" ca="1" si="275"/>
        <v>57427</v>
      </c>
      <c r="BU371" s="532">
        <f ca="1">IF(BU370=0,SUMIFS('Key Life Events'!$L$3:$L$28,'Key Life Events'!$H$3:$H$28,'Loan Amortization'!$BY$3,'Key Life Events'!$N$3:$N$28,'Loan Amortization'!BT371),BU370-BX370)</f>
        <v>0</v>
      </c>
      <c r="BV371" s="532">
        <f t="shared" ca="1" si="280"/>
        <v>0</v>
      </c>
      <c r="BW371" s="532">
        <f t="shared" ca="1" si="276"/>
        <v>0</v>
      </c>
      <c r="BX371" s="532">
        <f t="shared" ca="1" si="265"/>
        <v>0</v>
      </c>
      <c r="CC371" s="536">
        <f t="shared" ca="1" si="266"/>
        <v>2057</v>
      </c>
      <c r="CF371" s="530">
        <v>370</v>
      </c>
      <c r="CG371" s="531">
        <f t="shared" ca="1" si="277"/>
        <v>57427</v>
      </c>
      <c r="CH371" s="532">
        <f ca="1">IF(CH370=0,SUMIFS('Key Life Events'!$L$3:$L$28,'Key Life Events'!$H$3:$H$28,'Loan Amortization'!$CL$3,'Key Life Events'!$N$3:$N$28,'Loan Amortization'!CG371),CH370-CK370)</f>
        <v>0</v>
      </c>
      <c r="CI371" s="532">
        <f t="shared" ca="1" si="278"/>
        <v>0</v>
      </c>
      <c r="CJ371" s="532">
        <f t="shared" ca="1" si="279"/>
        <v>0</v>
      </c>
      <c r="CK371" s="532">
        <f t="shared" ca="1" si="267"/>
        <v>0</v>
      </c>
      <c r="CP371" s="536">
        <f t="shared" ca="1" si="268"/>
        <v>2057</v>
      </c>
      <c r="CS371" s="100">
        <f t="shared" si="257"/>
        <v>370</v>
      </c>
      <c r="CT371" s="102">
        <f t="shared" ca="1" si="258"/>
        <v>0</v>
      </c>
      <c r="CU371" s="102">
        <f t="shared" ca="1" si="259"/>
        <v>0</v>
      </c>
      <c r="CV371" s="511">
        <f t="shared" ca="1" si="269"/>
        <v>2057</v>
      </c>
    </row>
    <row r="372" spans="1:100" x14ac:dyDescent="0.3">
      <c r="A372" s="100">
        <v>371</v>
      </c>
      <c r="B372" s="131">
        <f t="shared" si="281"/>
        <v>10437</v>
      </c>
      <c r="C372" s="102">
        <f t="shared" si="282"/>
        <v>0</v>
      </c>
      <c r="D372" s="102">
        <f t="shared" si="283"/>
        <v>0</v>
      </c>
      <c r="E372" s="102">
        <f t="shared" si="284"/>
        <v>0</v>
      </c>
      <c r="F372" s="102">
        <f t="shared" si="285"/>
        <v>0</v>
      </c>
      <c r="L372" s="100">
        <v>371</v>
      </c>
      <c r="M372" s="131">
        <f t="shared" ca="1" si="286"/>
        <v>57458</v>
      </c>
      <c r="N372" s="102">
        <f t="shared" si="287"/>
        <v>0</v>
      </c>
      <c r="O372" s="102">
        <f t="shared" si="288"/>
        <v>0</v>
      </c>
      <c r="P372" s="102">
        <f t="shared" si="289"/>
        <v>0</v>
      </c>
      <c r="Q372" s="102">
        <f t="shared" si="290"/>
        <v>0</v>
      </c>
      <c r="W372" s="100">
        <v>371</v>
      </c>
      <c r="X372" s="131">
        <f t="shared" ca="1" si="291"/>
        <v>57458</v>
      </c>
      <c r="Y372" s="102">
        <f t="shared" si="292"/>
        <v>0</v>
      </c>
      <c r="Z372" s="102">
        <f t="shared" si="293"/>
        <v>0</v>
      </c>
      <c r="AA372" s="102">
        <f t="shared" si="294"/>
        <v>0</v>
      </c>
      <c r="AB372" s="102">
        <f t="shared" si="295"/>
        <v>0</v>
      </c>
      <c r="AH372" s="100">
        <v>371</v>
      </c>
      <c r="AI372" s="131">
        <f t="shared" ca="1" si="296"/>
        <v>57458</v>
      </c>
      <c r="AJ372" s="102">
        <f t="shared" si="297"/>
        <v>0</v>
      </c>
      <c r="AK372" s="102">
        <f t="shared" si="298"/>
        <v>0</v>
      </c>
      <c r="AL372" s="102">
        <f t="shared" si="299"/>
        <v>0</v>
      </c>
      <c r="AM372" s="102">
        <f t="shared" si="300"/>
        <v>0</v>
      </c>
      <c r="AS372" s="530">
        <v>371</v>
      </c>
      <c r="AT372" s="531">
        <f t="shared" ca="1" si="270"/>
        <v>57458</v>
      </c>
      <c r="AU372" s="532">
        <f ca="1">IF(AU371=0,SUMIFS('Key Life Events'!$L$3:$L$28,'Key Life Events'!$H$3:$H$28,'Loan Amortization'!$AY$3,'Key Life Events'!$N$3:$N$28,'Loan Amortization'!AT372),AU371-AX371)</f>
        <v>0</v>
      </c>
      <c r="AV372" s="532">
        <f t="shared" ca="1" si="271"/>
        <v>0</v>
      </c>
      <c r="AW372" s="532">
        <f t="shared" ca="1" si="260"/>
        <v>0</v>
      </c>
      <c r="AX372" s="532">
        <f t="shared" ca="1" si="261"/>
        <v>0</v>
      </c>
      <c r="BC372" s="536">
        <f t="shared" ca="1" si="262"/>
        <v>2057</v>
      </c>
      <c r="BF372" s="530">
        <v>371</v>
      </c>
      <c r="BG372" s="531">
        <f t="shared" ca="1" si="272"/>
        <v>57458</v>
      </c>
      <c r="BH372" s="532">
        <f ca="1">IF(BH371=0,SUMIFS('Key Life Events'!$L$3:$L$28,'Key Life Events'!$H$3:$H$28,'Loan Amortization'!$BL$3,'Key Life Events'!$N$3:$N$28,'Loan Amortization'!BG372),BH371-BK371)</f>
        <v>0</v>
      </c>
      <c r="BI372" s="532">
        <f t="shared" ca="1" si="273"/>
        <v>0</v>
      </c>
      <c r="BJ372" s="532">
        <f t="shared" ca="1" si="274"/>
        <v>0</v>
      </c>
      <c r="BK372" s="532">
        <f t="shared" ca="1" si="263"/>
        <v>0</v>
      </c>
      <c r="BP372" s="536">
        <f t="shared" ca="1" si="264"/>
        <v>2057</v>
      </c>
      <c r="BS372" s="530">
        <v>371</v>
      </c>
      <c r="BT372" s="531">
        <f t="shared" ca="1" si="275"/>
        <v>57458</v>
      </c>
      <c r="BU372" s="532">
        <f ca="1">IF(BU371=0,SUMIFS('Key Life Events'!$L$3:$L$28,'Key Life Events'!$H$3:$H$28,'Loan Amortization'!$BY$3,'Key Life Events'!$N$3:$N$28,'Loan Amortization'!BT372),BU371-BX371)</f>
        <v>0</v>
      </c>
      <c r="BV372" s="532">
        <f t="shared" ca="1" si="280"/>
        <v>0</v>
      </c>
      <c r="BW372" s="532">
        <f t="shared" ca="1" si="276"/>
        <v>0</v>
      </c>
      <c r="BX372" s="532">
        <f t="shared" ca="1" si="265"/>
        <v>0</v>
      </c>
      <c r="CC372" s="536">
        <f t="shared" ca="1" si="266"/>
        <v>2057</v>
      </c>
      <c r="CF372" s="530">
        <v>371</v>
      </c>
      <c r="CG372" s="531">
        <f t="shared" ca="1" si="277"/>
        <v>57458</v>
      </c>
      <c r="CH372" s="532">
        <f ca="1">IF(CH371=0,SUMIFS('Key Life Events'!$L$3:$L$28,'Key Life Events'!$H$3:$H$28,'Loan Amortization'!$CL$3,'Key Life Events'!$N$3:$N$28,'Loan Amortization'!CG372),CH371-CK371)</f>
        <v>0</v>
      </c>
      <c r="CI372" s="532">
        <f t="shared" ca="1" si="278"/>
        <v>0</v>
      </c>
      <c r="CJ372" s="532">
        <f t="shared" ca="1" si="279"/>
        <v>0</v>
      </c>
      <c r="CK372" s="532">
        <f t="shared" ca="1" si="267"/>
        <v>0</v>
      </c>
      <c r="CP372" s="536">
        <f t="shared" ca="1" si="268"/>
        <v>2057</v>
      </c>
      <c r="CS372" s="100">
        <f t="shared" ref="CS372:CS435" si="301">AH372</f>
        <v>371</v>
      </c>
      <c r="CT372" s="102">
        <f t="shared" ref="CT372:CT435" ca="1" si="302">C372+Y372+AJ372+N372+AU372+BH372+BU372+CH372</f>
        <v>0</v>
      </c>
      <c r="CU372" s="102">
        <f t="shared" ref="CU372:CU435" ca="1" si="303">D372+Z372+AK372+O372+AV372+BI372+BV372+CI372</f>
        <v>0</v>
      </c>
      <c r="CV372" s="511">
        <f t="shared" ca="1" si="269"/>
        <v>2057</v>
      </c>
    </row>
    <row r="373" spans="1:100" x14ac:dyDescent="0.3">
      <c r="A373" s="100">
        <v>372</v>
      </c>
      <c r="B373" s="131">
        <f t="shared" si="281"/>
        <v>10468</v>
      </c>
      <c r="C373" s="102">
        <f t="shared" si="282"/>
        <v>0</v>
      </c>
      <c r="D373" s="102">
        <f t="shared" si="283"/>
        <v>0</v>
      </c>
      <c r="E373" s="102">
        <f t="shared" si="284"/>
        <v>0</v>
      </c>
      <c r="F373" s="102">
        <f t="shared" si="285"/>
        <v>0</v>
      </c>
      <c r="L373" s="100">
        <v>372</v>
      </c>
      <c r="M373" s="131">
        <f t="shared" ca="1" si="286"/>
        <v>57488</v>
      </c>
      <c r="N373" s="102">
        <f t="shared" si="287"/>
        <v>0</v>
      </c>
      <c r="O373" s="102">
        <f t="shared" si="288"/>
        <v>0</v>
      </c>
      <c r="P373" s="102">
        <f t="shared" si="289"/>
        <v>0</v>
      </c>
      <c r="Q373" s="102">
        <f t="shared" si="290"/>
        <v>0</v>
      </c>
      <c r="W373" s="100">
        <v>372</v>
      </c>
      <c r="X373" s="131">
        <f t="shared" ca="1" si="291"/>
        <v>57488</v>
      </c>
      <c r="Y373" s="102">
        <f t="shared" si="292"/>
        <v>0</v>
      </c>
      <c r="Z373" s="102">
        <f t="shared" si="293"/>
        <v>0</v>
      </c>
      <c r="AA373" s="102">
        <f t="shared" si="294"/>
        <v>0</v>
      </c>
      <c r="AB373" s="102">
        <f t="shared" si="295"/>
        <v>0</v>
      </c>
      <c r="AH373" s="100">
        <v>372</v>
      </c>
      <c r="AI373" s="131">
        <f t="shared" ca="1" si="296"/>
        <v>57488</v>
      </c>
      <c r="AJ373" s="102">
        <f t="shared" si="297"/>
        <v>0</v>
      </c>
      <c r="AK373" s="102">
        <f t="shared" si="298"/>
        <v>0</v>
      </c>
      <c r="AL373" s="102">
        <f t="shared" si="299"/>
        <v>0</v>
      </c>
      <c r="AM373" s="102">
        <f t="shared" si="300"/>
        <v>0</v>
      </c>
      <c r="AS373" s="530">
        <v>372</v>
      </c>
      <c r="AT373" s="531">
        <f t="shared" ca="1" si="270"/>
        <v>57488</v>
      </c>
      <c r="AU373" s="532">
        <f ca="1">IF(AU372=0,SUMIFS('Key Life Events'!$L$3:$L$28,'Key Life Events'!$H$3:$H$28,'Loan Amortization'!$AY$3,'Key Life Events'!$N$3:$N$28,'Loan Amortization'!AT373),AU372-AX372)</f>
        <v>0</v>
      </c>
      <c r="AV373" s="532">
        <f t="shared" ca="1" si="271"/>
        <v>0</v>
      </c>
      <c r="AW373" s="532">
        <f t="shared" ca="1" si="260"/>
        <v>0</v>
      </c>
      <c r="AX373" s="532">
        <f t="shared" ca="1" si="261"/>
        <v>0</v>
      </c>
      <c r="BC373" s="536">
        <f t="shared" ca="1" si="262"/>
        <v>2057</v>
      </c>
      <c r="BF373" s="530">
        <v>372</v>
      </c>
      <c r="BG373" s="531">
        <f t="shared" ca="1" si="272"/>
        <v>57488</v>
      </c>
      <c r="BH373" s="532">
        <f ca="1">IF(BH372=0,SUMIFS('Key Life Events'!$L$3:$L$28,'Key Life Events'!$H$3:$H$28,'Loan Amortization'!$BL$3,'Key Life Events'!$N$3:$N$28,'Loan Amortization'!BG373),BH372-BK372)</f>
        <v>0</v>
      </c>
      <c r="BI373" s="532">
        <f t="shared" ca="1" si="273"/>
        <v>0</v>
      </c>
      <c r="BJ373" s="532">
        <f t="shared" ca="1" si="274"/>
        <v>0</v>
      </c>
      <c r="BK373" s="532">
        <f t="shared" ca="1" si="263"/>
        <v>0</v>
      </c>
      <c r="BP373" s="536">
        <f t="shared" ca="1" si="264"/>
        <v>2057</v>
      </c>
      <c r="BS373" s="530">
        <v>372</v>
      </c>
      <c r="BT373" s="531">
        <f t="shared" ca="1" si="275"/>
        <v>57488</v>
      </c>
      <c r="BU373" s="532">
        <f ca="1">IF(BU372=0,SUMIFS('Key Life Events'!$L$3:$L$28,'Key Life Events'!$H$3:$H$28,'Loan Amortization'!$BY$3,'Key Life Events'!$N$3:$N$28,'Loan Amortization'!BT373),BU372-BX372)</f>
        <v>0</v>
      </c>
      <c r="BV373" s="532">
        <f t="shared" ca="1" si="280"/>
        <v>0</v>
      </c>
      <c r="BW373" s="532">
        <f t="shared" ca="1" si="276"/>
        <v>0</v>
      </c>
      <c r="BX373" s="532">
        <f t="shared" ca="1" si="265"/>
        <v>0</v>
      </c>
      <c r="CC373" s="536">
        <f t="shared" ca="1" si="266"/>
        <v>2057</v>
      </c>
      <c r="CF373" s="530">
        <v>372</v>
      </c>
      <c r="CG373" s="531">
        <f t="shared" ca="1" si="277"/>
        <v>57488</v>
      </c>
      <c r="CH373" s="532">
        <f ca="1">IF(CH372=0,SUMIFS('Key Life Events'!$L$3:$L$28,'Key Life Events'!$H$3:$H$28,'Loan Amortization'!$CL$3,'Key Life Events'!$N$3:$N$28,'Loan Amortization'!CG373),CH372-CK372)</f>
        <v>0</v>
      </c>
      <c r="CI373" s="532">
        <f t="shared" ca="1" si="278"/>
        <v>0</v>
      </c>
      <c r="CJ373" s="532">
        <f t="shared" ca="1" si="279"/>
        <v>0</v>
      </c>
      <c r="CK373" s="532">
        <f t="shared" ca="1" si="267"/>
        <v>0</v>
      </c>
      <c r="CP373" s="536">
        <f t="shared" ca="1" si="268"/>
        <v>2057</v>
      </c>
      <c r="CS373" s="100">
        <f t="shared" si="301"/>
        <v>372</v>
      </c>
      <c r="CT373" s="102">
        <f t="shared" ca="1" si="302"/>
        <v>0</v>
      </c>
      <c r="CU373" s="102">
        <f t="shared" ca="1" si="303"/>
        <v>0</v>
      </c>
      <c r="CV373" s="511">
        <f t="shared" ca="1" si="269"/>
        <v>2057</v>
      </c>
    </row>
    <row r="374" spans="1:100" x14ac:dyDescent="0.3">
      <c r="A374" s="100">
        <v>373</v>
      </c>
      <c r="B374" s="131">
        <f t="shared" si="281"/>
        <v>10499</v>
      </c>
      <c r="C374" s="102">
        <f t="shared" si="282"/>
        <v>0</v>
      </c>
      <c r="D374" s="102">
        <f t="shared" si="283"/>
        <v>0</v>
      </c>
      <c r="E374" s="102">
        <f t="shared" si="284"/>
        <v>0</v>
      </c>
      <c r="F374" s="102">
        <f t="shared" si="285"/>
        <v>0</v>
      </c>
      <c r="L374" s="100">
        <v>373</v>
      </c>
      <c r="M374" s="131">
        <f t="shared" ca="1" si="286"/>
        <v>57519</v>
      </c>
      <c r="N374" s="102">
        <f t="shared" si="287"/>
        <v>0</v>
      </c>
      <c r="O374" s="102">
        <f t="shared" si="288"/>
        <v>0</v>
      </c>
      <c r="P374" s="102">
        <f t="shared" si="289"/>
        <v>0</v>
      </c>
      <c r="Q374" s="102">
        <f t="shared" si="290"/>
        <v>0</v>
      </c>
      <c r="W374" s="100">
        <v>373</v>
      </c>
      <c r="X374" s="131">
        <f t="shared" ca="1" si="291"/>
        <v>57519</v>
      </c>
      <c r="Y374" s="102">
        <f t="shared" si="292"/>
        <v>0</v>
      </c>
      <c r="Z374" s="102">
        <f t="shared" si="293"/>
        <v>0</v>
      </c>
      <c r="AA374" s="102">
        <f t="shared" si="294"/>
        <v>0</v>
      </c>
      <c r="AB374" s="102">
        <f t="shared" si="295"/>
        <v>0</v>
      </c>
      <c r="AH374" s="100">
        <v>373</v>
      </c>
      <c r="AI374" s="131">
        <f t="shared" ca="1" si="296"/>
        <v>57519</v>
      </c>
      <c r="AJ374" s="102">
        <f t="shared" si="297"/>
        <v>0</v>
      </c>
      <c r="AK374" s="102">
        <f t="shared" si="298"/>
        <v>0</v>
      </c>
      <c r="AL374" s="102">
        <f t="shared" si="299"/>
        <v>0</v>
      </c>
      <c r="AM374" s="102">
        <f t="shared" si="300"/>
        <v>0</v>
      </c>
      <c r="AS374" s="530">
        <v>373</v>
      </c>
      <c r="AT374" s="531">
        <f t="shared" ca="1" si="270"/>
        <v>57519</v>
      </c>
      <c r="AU374" s="532">
        <f ca="1">IF(AU373=0,SUMIFS('Key Life Events'!$L$3:$L$28,'Key Life Events'!$H$3:$H$28,'Loan Amortization'!$AY$3,'Key Life Events'!$N$3:$N$28,'Loan Amortization'!AT374),AU373-AX373)</f>
        <v>0</v>
      </c>
      <c r="AV374" s="532">
        <f t="shared" ca="1" si="271"/>
        <v>0</v>
      </c>
      <c r="AW374" s="532">
        <f t="shared" ca="1" si="260"/>
        <v>0</v>
      </c>
      <c r="AX374" s="532">
        <f t="shared" ca="1" si="261"/>
        <v>0</v>
      </c>
      <c r="BC374" s="536">
        <f t="shared" ca="1" si="262"/>
        <v>2057</v>
      </c>
      <c r="BF374" s="530">
        <v>373</v>
      </c>
      <c r="BG374" s="531">
        <f t="shared" ca="1" si="272"/>
        <v>57519</v>
      </c>
      <c r="BH374" s="532">
        <f ca="1">IF(BH373=0,SUMIFS('Key Life Events'!$L$3:$L$28,'Key Life Events'!$H$3:$H$28,'Loan Amortization'!$BL$3,'Key Life Events'!$N$3:$N$28,'Loan Amortization'!BG374),BH373-BK373)</f>
        <v>0</v>
      </c>
      <c r="BI374" s="532">
        <f t="shared" ca="1" si="273"/>
        <v>0</v>
      </c>
      <c r="BJ374" s="532">
        <f t="shared" ca="1" si="274"/>
        <v>0</v>
      </c>
      <c r="BK374" s="532">
        <f t="shared" ca="1" si="263"/>
        <v>0</v>
      </c>
      <c r="BP374" s="536">
        <f t="shared" ca="1" si="264"/>
        <v>2057</v>
      </c>
      <c r="BS374" s="530">
        <v>373</v>
      </c>
      <c r="BT374" s="531">
        <f t="shared" ca="1" si="275"/>
        <v>57519</v>
      </c>
      <c r="BU374" s="532">
        <f ca="1">IF(BU373=0,SUMIFS('Key Life Events'!$L$3:$L$28,'Key Life Events'!$H$3:$H$28,'Loan Amortization'!$BY$3,'Key Life Events'!$N$3:$N$28,'Loan Amortization'!BT374),BU373-BX373)</f>
        <v>0</v>
      </c>
      <c r="BV374" s="532">
        <f t="shared" ca="1" si="280"/>
        <v>0</v>
      </c>
      <c r="BW374" s="532">
        <f t="shared" ca="1" si="276"/>
        <v>0</v>
      </c>
      <c r="BX374" s="532">
        <f t="shared" ca="1" si="265"/>
        <v>0</v>
      </c>
      <c r="CC374" s="536">
        <f t="shared" ca="1" si="266"/>
        <v>2057</v>
      </c>
      <c r="CF374" s="530">
        <v>373</v>
      </c>
      <c r="CG374" s="531">
        <f t="shared" ca="1" si="277"/>
        <v>57519</v>
      </c>
      <c r="CH374" s="532">
        <f ca="1">IF(CH373=0,SUMIFS('Key Life Events'!$L$3:$L$28,'Key Life Events'!$H$3:$H$28,'Loan Amortization'!$CL$3,'Key Life Events'!$N$3:$N$28,'Loan Amortization'!CG374),CH373-CK373)</f>
        <v>0</v>
      </c>
      <c r="CI374" s="532">
        <f t="shared" ca="1" si="278"/>
        <v>0</v>
      </c>
      <c r="CJ374" s="532">
        <f t="shared" ca="1" si="279"/>
        <v>0</v>
      </c>
      <c r="CK374" s="532">
        <f t="shared" ca="1" si="267"/>
        <v>0</v>
      </c>
      <c r="CP374" s="536">
        <f t="shared" ca="1" si="268"/>
        <v>2057</v>
      </c>
      <c r="CS374" s="100">
        <f t="shared" si="301"/>
        <v>373</v>
      </c>
      <c r="CT374" s="102">
        <f t="shared" ca="1" si="302"/>
        <v>0</v>
      </c>
      <c r="CU374" s="102">
        <f t="shared" ca="1" si="303"/>
        <v>0</v>
      </c>
      <c r="CV374" s="511">
        <f t="shared" ca="1" si="269"/>
        <v>2057</v>
      </c>
    </row>
    <row r="375" spans="1:100" x14ac:dyDescent="0.3">
      <c r="A375" s="100">
        <v>374</v>
      </c>
      <c r="B375" s="131">
        <f t="shared" si="281"/>
        <v>10529</v>
      </c>
      <c r="C375" s="102">
        <f t="shared" si="282"/>
        <v>0</v>
      </c>
      <c r="D375" s="102">
        <f t="shared" si="283"/>
        <v>0</v>
      </c>
      <c r="E375" s="102">
        <f t="shared" si="284"/>
        <v>0</v>
      </c>
      <c r="F375" s="102">
        <f t="shared" si="285"/>
        <v>0</v>
      </c>
      <c r="L375" s="100">
        <v>374</v>
      </c>
      <c r="M375" s="131">
        <f t="shared" ca="1" si="286"/>
        <v>57549</v>
      </c>
      <c r="N375" s="102">
        <f t="shared" si="287"/>
        <v>0</v>
      </c>
      <c r="O375" s="102">
        <f t="shared" si="288"/>
        <v>0</v>
      </c>
      <c r="P375" s="102">
        <f t="shared" si="289"/>
        <v>0</v>
      </c>
      <c r="Q375" s="102">
        <f t="shared" si="290"/>
        <v>0</v>
      </c>
      <c r="W375" s="100">
        <v>374</v>
      </c>
      <c r="X375" s="131">
        <f t="shared" ca="1" si="291"/>
        <v>57549</v>
      </c>
      <c r="Y375" s="102">
        <f t="shared" si="292"/>
        <v>0</v>
      </c>
      <c r="Z375" s="102">
        <f t="shared" si="293"/>
        <v>0</v>
      </c>
      <c r="AA375" s="102">
        <f t="shared" si="294"/>
        <v>0</v>
      </c>
      <c r="AB375" s="102">
        <f t="shared" si="295"/>
        <v>0</v>
      </c>
      <c r="AH375" s="100">
        <v>374</v>
      </c>
      <c r="AI375" s="131">
        <f t="shared" ca="1" si="296"/>
        <v>57549</v>
      </c>
      <c r="AJ375" s="102">
        <f t="shared" si="297"/>
        <v>0</v>
      </c>
      <c r="AK375" s="102">
        <f t="shared" si="298"/>
        <v>0</v>
      </c>
      <c r="AL375" s="102">
        <f t="shared" si="299"/>
        <v>0</v>
      </c>
      <c r="AM375" s="102">
        <f t="shared" si="300"/>
        <v>0</v>
      </c>
      <c r="AS375" s="530">
        <v>374</v>
      </c>
      <c r="AT375" s="531">
        <f t="shared" ca="1" si="270"/>
        <v>57549</v>
      </c>
      <c r="AU375" s="532">
        <f ca="1">IF(AU374=0,SUMIFS('Key Life Events'!$L$3:$L$28,'Key Life Events'!$H$3:$H$28,'Loan Amortization'!$AY$3,'Key Life Events'!$N$3:$N$28,'Loan Amortization'!AT375),AU374-AX374)</f>
        <v>0</v>
      </c>
      <c r="AV375" s="532">
        <f t="shared" ca="1" si="271"/>
        <v>0</v>
      </c>
      <c r="AW375" s="532">
        <f t="shared" ca="1" si="260"/>
        <v>0</v>
      </c>
      <c r="AX375" s="532">
        <f t="shared" ca="1" si="261"/>
        <v>0</v>
      </c>
      <c r="BC375" s="536">
        <f t="shared" ca="1" si="262"/>
        <v>2057</v>
      </c>
      <c r="BF375" s="530">
        <v>374</v>
      </c>
      <c r="BG375" s="531">
        <f t="shared" ca="1" si="272"/>
        <v>57549</v>
      </c>
      <c r="BH375" s="532">
        <f ca="1">IF(BH374=0,SUMIFS('Key Life Events'!$L$3:$L$28,'Key Life Events'!$H$3:$H$28,'Loan Amortization'!$BL$3,'Key Life Events'!$N$3:$N$28,'Loan Amortization'!BG375),BH374-BK374)</f>
        <v>0</v>
      </c>
      <c r="BI375" s="532">
        <f t="shared" ca="1" si="273"/>
        <v>0</v>
      </c>
      <c r="BJ375" s="532">
        <f t="shared" ca="1" si="274"/>
        <v>0</v>
      </c>
      <c r="BK375" s="532">
        <f t="shared" ca="1" si="263"/>
        <v>0</v>
      </c>
      <c r="BP375" s="536">
        <f t="shared" ca="1" si="264"/>
        <v>2057</v>
      </c>
      <c r="BS375" s="530">
        <v>374</v>
      </c>
      <c r="BT375" s="531">
        <f t="shared" ca="1" si="275"/>
        <v>57549</v>
      </c>
      <c r="BU375" s="532">
        <f ca="1">IF(BU374=0,SUMIFS('Key Life Events'!$L$3:$L$28,'Key Life Events'!$H$3:$H$28,'Loan Amortization'!$BY$3,'Key Life Events'!$N$3:$N$28,'Loan Amortization'!BT375),BU374-BX374)</f>
        <v>0</v>
      </c>
      <c r="BV375" s="532">
        <f t="shared" ca="1" si="280"/>
        <v>0</v>
      </c>
      <c r="BW375" s="532">
        <f t="shared" ca="1" si="276"/>
        <v>0</v>
      </c>
      <c r="BX375" s="532">
        <f t="shared" ca="1" si="265"/>
        <v>0</v>
      </c>
      <c r="CC375" s="536">
        <f t="shared" ca="1" si="266"/>
        <v>2057</v>
      </c>
      <c r="CF375" s="530">
        <v>374</v>
      </c>
      <c r="CG375" s="531">
        <f t="shared" ca="1" si="277"/>
        <v>57549</v>
      </c>
      <c r="CH375" s="532">
        <f ca="1">IF(CH374=0,SUMIFS('Key Life Events'!$L$3:$L$28,'Key Life Events'!$H$3:$H$28,'Loan Amortization'!$CL$3,'Key Life Events'!$N$3:$N$28,'Loan Amortization'!CG375),CH374-CK374)</f>
        <v>0</v>
      </c>
      <c r="CI375" s="532">
        <f t="shared" ca="1" si="278"/>
        <v>0</v>
      </c>
      <c r="CJ375" s="532">
        <f t="shared" ca="1" si="279"/>
        <v>0</v>
      </c>
      <c r="CK375" s="532">
        <f t="shared" ca="1" si="267"/>
        <v>0</v>
      </c>
      <c r="CP375" s="536">
        <f t="shared" ca="1" si="268"/>
        <v>2057</v>
      </c>
      <c r="CS375" s="100">
        <f t="shared" si="301"/>
        <v>374</v>
      </c>
      <c r="CT375" s="102">
        <f t="shared" ca="1" si="302"/>
        <v>0</v>
      </c>
      <c r="CU375" s="102">
        <f t="shared" ca="1" si="303"/>
        <v>0</v>
      </c>
      <c r="CV375" s="511">
        <f t="shared" ca="1" si="269"/>
        <v>2057</v>
      </c>
    </row>
    <row r="376" spans="1:100" x14ac:dyDescent="0.3">
      <c r="A376" s="100">
        <v>375</v>
      </c>
      <c r="B376" s="131">
        <f t="shared" si="281"/>
        <v>10560</v>
      </c>
      <c r="C376" s="102">
        <f t="shared" si="282"/>
        <v>0</v>
      </c>
      <c r="D376" s="102">
        <f t="shared" si="283"/>
        <v>0</v>
      </c>
      <c r="E376" s="102">
        <f t="shared" si="284"/>
        <v>0</v>
      </c>
      <c r="F376" s="102">
        <f t="shared" si="285"/>
        <v>0</v>
      </c>
      <c r="L376" s="100">
        <v>375</v>
      </c>
      <c r="M376" s="131">
        <f t="shared" ca="1" si="286"/>
        <v>57580</v>
      </c>
      <c r="N376" s="102">
        <f t="shared" si="287"/>
        <v>0</v>
      </c>
      <c r="O376" s="102">
        <f t="shared" si="288"/>
        <v>0</v>
      </c>
      <c r="P376" s="102">
        <f t="shared" si="289"/>
        <v>0</v>
      </c>
      <c r="Q376" s="102">
        <f t="shared" si="290"/>
        <v>0</v>
      </c>
      <c r="W376" s="100">
        <v>375</v>
      </c>
      <c r="X376" s="131">
        <f t="shared" ca="1" si="291"/>
        <v>57580</v>
      </c>
      <c r="Y376" s="102">
        <f t="shared" si="292"/>
        <v>0</v>
      </c>
      <c r="Z376" s="102">
        <f t="shared" si="293"/>
        <v>0</v>
      </c>
      <c r="AA376" s="102">
        <f t="shared" si="294"/>
        <v>0</v>
      </c>
      <c r="AB376" s="102">
        <f t="shared" si="295"/>
        <v>0</v>
      </c>
      <c r="AH376" s="100">
        <v>375</v>
      </c>
      <c r="AI376" s="131">
        <f t="shared" ca="1" si="296"/>
        <v>57580</v>
      </c>
      <c r="AJ376" s="102">
        <f t="shared" si="297"/>
        <v>0</v>
      </c>
      <c r="AK376" s="102">
        <f t="shared" si="298"/>
        <v>0</v>
      </c>
      <c r="AL376" s="102">
        <f t="shared" si="299"/>
        <v>0</v>
      </c>
      <c r="AM376" s="102">
        <f t="shared" si="300"/>
        <v>0</v>
      </c>
      <c r="AS376" s="530">
        <v>375</v>
      </c>
      <c r="AT376" s="531">
        <f t="shared" ca="1" si="270"/>
        <v>57580</v>
      </c>
      <c r="AU376" s="532">
        <f ca="1">IF(AU375=0,SUMIFS('Key Life Events'!$L$3:$L$28,'Key Life Events'!$H$3:$H$28,'Loan Amortization'!$AY$3,'Key Life Events'!$N$3:$N$28,'Loan Amortization'!AT376),AU375-AX375)</f>
        <v>0</v>
      </c>
      <c r="AV376" s="532">
        <f t="shared" ca="1" si="271"/>
        <v>0</v>
      </c>
      <c r="AW376" s="532">
        <f t="shared" ca="1" si="260"/>
        <v>0</v>
      </c>
      <c r="AX376" s="532">
        <f t="shared" ca="1" si="261"/>
        <v>0</v>
      </c>
      <c r="BC376" s="536">
        <f t="shared" ca="1" si="262"/>
        <v>2057</v>
      </c>
      <c r="BF376" s="530">
        <v>375</v>
      </c>
      <c r="BG376" s="531">
        <f t="shared" ca="1" si="272"/>
        <v>57580</v>
      </c>
      <c r="BH376" s="532">
        <f ca="1">IF(BH375=0,SUMIFS('Key Life Events'!$L$3:$L$28,'Key Life Events'!$H$3:$H$28,'Loan Amortization'!$BL$3,'Key Life Events'!$N$3:$N$28,'Loan Amortization'!BG376),BH375-BK375)</f>
        <v>0</v>
      </c>
      <c r="BI376" s="532">
        <f t="shared" ca="1" si="273"/>
        <v>0</v>
      </c>
      <c r="BJ376" s="532">
        <f t="shared" ca="1" si="274"/>
        <v>0</v>
      </c>
      <c r="BK376" s="532">
        <f t="shared" ca="1" si="263"/>
        <v>0</v>
      </c>
      <c r="BP376" s="536">
        <f t="shared" ca="1" si="264"/>
        <v>2057</v>
      </c>
      <c r="BS376" s="530">
        <v>375</v>
      </c>
      <c r="BT376" s="531">
        <f t="shared" ca="1" si="275"/>
        <v>57580</v>
      </c>
      <c r="BU376" s="532">
        <f ca="1">IF(BU375=0,SUMIFS('Key Life Events'!$L$3:$L$28,'Key Life Events'!$H$3:$H$28,'Loan Amortization'!$BY$3,'Key Life Events'!$N$3:$N$28,'Loan Amortization'!BT376),BU375-BX375)</f>
        <v>0</v>
      </c>
      <c r="BV376" s="532">
        <f t="shared" ca="1" si="280"/>
        <v>0</v>
      </c>
      <c r="BW376" s="532">
        <f t="shared" ca="1" si="276"/>
        <v>0</v>
      </c>
      <c r="BX376" s="532">
        <f t="shared" ca="1" si="265"/>
        <v>0</v>
      </c>
      <c r="CC376" s="536">
        <f t="shared" ca="1" si="266"/>
        <v>2057</v>
      </c>
      <c r="CF376" s="530">
        <v>375</v>
      </c>
      <c r="CG376" s="531">
        <f t="shared" ca="1" si="277"/>
        <v>57580</v>
      </c>
      <c r="CH376" s="532">
        <f ca="1">IF(CH375=0,SUMIFS('Key Life Events'!$L$3:$L$28,'Key Life Events'!$H$3:$H$28,'Loan Amortization'!$CL$3,'Key Life Events'!$N$3:$N$28,'Loan Amortization'!CG376),CH375-CK375)</f>
        <v>0</v>
      </c>
      <c r="CI376" s="532">
        <f t="shared" ca="1" si="278"/>
        <v>0</v>
      </c>
      <c r="CJ376" s="532">
        <f t="shared" ca="1" si="279"/>
        <v>0</v>
      </c>
      <c r="CK376" s="532">
        <f t="shared" ca="1" si="267"/>
        <v>0</v>
      </c>
      <c r="CP376" s="536">
        <f t="shared" ca="1" si="268"/>
        <v>2057</v>
      </c>
      <c r="CS376" s="100">
        <f t="shared" si="301"/>
        <v>375</v>
      </c>
      <c r="CT376" s="102">
        <f t="shared" ca="1" si="302"/>
        <v>0</v>
      </c>
      <c r="CU376" s="102">
        <f t="shared" ca="1" si="303"/>
        <v>0</v>
      </c>
      <c r="CV376" s="511">
        <f t="shared" ca="1" si="269"/>
        <v>2057</v>
      </c>
    </row>
    <row r="377" spans="1:100" x14ac:dyDescent="0.3">
      <c r="A377" s="100">
        <v>376</v>
      </c>
      <c r="B377" s="131">
        <f t="shared" si="281"/>
        <v>10590</v>
      </c>
      <c r="C377" s="102">
        <f t="shared" si="282"/>
        <v>0</v>
      </c>
      <c r="D377" s="102">
        <f t="shared" si="283"/>
        <v>0</v>
      </c>
      <c r="E377" s="102">
        <f t="shared" si="284"/>
        <v>0</v>
      </c>
      <c r="F377" s="102">
        <f t="shared" si="285"/>
        <v>0</v>
      </c>
      <c r="L377" s="100">
        <v>376</v>
      </c>
      <c r="M377" s="131">
        <f t="shared" ca="1" si="286"/>
        <v>57611</v>
      </c>
      <c r="N377" s="102">
        <f t="shared" si="287"/>
        <v>0</v>
      </c>
      <c r="O377" s="102">
        <f t="shared" si="288"/>
        <v>0</v>
      </c>
      <c r="P377" s="102">
        <f t="shared" si="289"/>
        <v>0</v>
      </c>
      <c r="Q377" s="102">
        <f t="shared" si="290"/>
        <v>0</v>
      </c>
      <c r="W377" s="100">
        <v>376</v>
      </c>
      <c r="X377" s="131">
        <f t="shared" ca="1" si="291"/>
        <v>57611</v>
      </c>
      <c r="Y377" s="102">
        <f t="shared" si="292"/>
        <v>0</v>
      </c>
      <c r="Z377" s="102">
        <f t="shared" si="293"/>
        <v>0</v>
      </c>
      <c r="AA377" s="102">
        <f t="shared" si="294"/>
        <v>0</v>
      </c>
      <c r="AB377" s="102">
        <f t="shared" si="295"/>
        <v>0</v>
      </c>
      <c r="AH377" s="100">
        <v>376</v>
      </c>
      <c r="AI377" s="131">
        <f t="shared" ca="1" si="296"/>
        <v>57611</v>
      </c>
      <c r="AJ377" s="102">
        <f t="shared" si="297"/>
        <v>0</v>
      </c>
      <c r="AK377" s="102">
        <f t="shared" si="298"/>
        <v>0</v>
      </c>
      <c r="AL377" s="102">
        <f t="shared" si="299"/>
        <v>0</v>
      </c>
      <c r="AM377" s="102">
        <f t="shared" si="300"/>
        <v>0</v>
      </c>
      <c r="AS377" s="530">
        <v>376</v>
      </c>
      <c r="AT377" s="531">
        <f t="shared" ca="1" si="270"/>
        <v>57611</v>
      </c>
      <c r="AU377" s="532">
        <f ca="1">IF(AU376=0,SUMIFS('Key Life Events'!$L$3:$L$28,'Key Life Events'!$H$3:$H$28,'Loan Amortization'!$AY$3,'Key Life Events'!$N$3:$N$28,'Loan Amortization'!AT377),AU376-AX376)</f>
        <v>0</v>
      </c>
      <c r="AV377" s="532">
        <f t="shared" ca="1" si="271"/>
        <v>0</v>
      </c>
      <c r="AW377" s="532">
        <f t="shared" ca="1" si="260"/>
        <v>0</v>
      </c>
      <c r="AX377" s="532">
        <f t="shared" ca="1" si="261"/>
        <v>0</v>
      </c>
      <c r="BC377" s="536">
        <f t="shared" ca="1" si="262"/>
        <v>2057</v>
      </c>
      <c r="BF377" s="530">
        <v>376</v>
      </c>
      <c r="BG377" s="531">
        <f t="shared" ca="1" si="272"/>
        <v>57611</v>
      </c>
      <c r="BH377" s="532">
        <f ca="1">IF(BH376=0,SUMIFS('Key Life Events'!$L$3:$L$28,'Key Life Events'!$H$3:$H$28,'Loan Amortization'!$BL$3,'Key Life Events'!$N$3:$N$28,'Loan Amortization'!BG377),BH376-BK376)</f>
        <v>0</v>
      </c>
      <c r="BI377" s="532">
        <f t="shared" ca="1" si="273"/>
        <v>0</v>
      </c>
      <c r="BJ377" s="532">
        <f t="shared" ca="1" si="274"/>
        <v>0</v>
      </c>
      <c r="BK377" s="532">
        <f t="shared" ca="1" si="263"/>
        <v>0</v>
      </c>
      <c r="BP377" s="536">
        <f t="shared" ca="1" si="264"/>
        <v>2057</v>
      </c>
      <c r="BS377" s="530">
        <v>376</v>
      </c>
      <c r="BT377" s="531">
        <f t="shared" ca="1" si="275"/>
        <v>57611</v>
      </c>
      <c r="BU377" s="532">
        <f ca="1">IF(BU376=0,SUMIFS('Key Life Events'!$L$3:$L$28,'Key Life Events'!$H$3:$H$28,'Loan Amortization'!$BY$3,'Key Life Events'!$N$3:$N$28,'Loan Amortization'!BT377),BU376-BX376)</f>
        <v>0</v>
      </c>
      <c r="BV377" s="532">
        <f t="shared" ca="1" si="280"/>
        <v>0</v>
      </c>
      <c r="BW377" s="532">
        <f t="shared" ca="1" si="276"/>
        <v>0</v>
      </c>
      <c r="BX377" s="532">
        <f t="shared" ca="1" si="265"/>
        <v>0</v>
      </c>
      <c r="CC377" s="536">
        <f t="shared" ca="1" si="266"/>
        <v>2057</v>
      </c>
      <c r="CF377" s="530">
        <v>376</v>
      </c>
      <c r="CG377" s="531">
        <f t="shared" ca="1" si="277"/>
        <v>57611</v>
      </c>
      <c r="CH377" s="532">
        <f ca="1">IF(CH376=0,SUMIFS('Key Life Events'!$L$3:$L$28,'Key Life Events'!$H$3:$H$28,'Loan Amortization'!$CL$3,'Key Life Events'!$N$3:$N$28,'Loan Amortization'!CG377),CH376-CK376)</f>
        <v>0</v>
      </c>
      <c r="CI377" s="532">
        <f t="shared" ca="1" si="278"/>
        <v>0</v>
      </c>
      <c r="CJ377" s="532">
        <f t="shared" ca="1" si="279"/>
        <v>0</v>
      </c>
      <c r="CK377" s="532">
        <f t="shared" ca="1" si="267"/>
        <v>0</v>
      </c>
      <c r="CP377" s="536">
        <f t="shared" ca="1" si="268"/>
        <v>2057</v>
      </c>
      <c r="CS377" s="100">
        <f t="shared" si="301"/>
        <v>376</v>
      </c>
      <c r="CT377" s="102">
        <f t="shared" ca="1" si="302"/>
        <v>0</v>
      </c>
      <c r="CU377" s="102">
        <f t="shared" ca="1" si="303"/>
        <v>0</v>
      </c>
      <c r="CV377" s="511">
        <f t="shared" ca="1" si="269"/>
        <v>2057</v>
      </c>
    </row>
    <row r="378" spans="1:100" x14ac:dyDescent="0.3">
      <c r="A378" s="100">
        <v>377</v>
      </c>
      <c r="B378" s="131">
        <f t="shared" si="281"/>
        <v>10621</v>
      </c>
      <c r="C378" s="102">
        <f t="shared" si="282"/>
        <v>0</v>
      </c>
      <c r="D378" s="102">
        <f t="shared" si="283"/>
        <v>0</v>
      </c>
      <c r="E378" s="102">
        <f t="shared" si="284"/>
        <v>0</v>
      </c>
      <c r="F378" s="102">
        <f t="shared" si="285"/>
        <v>0</v>
      </c>
      <c r="L378" s="100">
        <v>377</v>
      </c>
      <c r="M378" s="131">
        <f t="shared" ca="1" si="286"/>
        <v>57641</v>
      </c>
      <c r="N378" s="102">
        <f t="shared" si="287"/>
        <v>0</v>
      </c>
      <c r="O378" s="102">
        <f t="shared" si="288"/>
        <v>0</v>
      </c>
      <c r="P378" s="102">
        <f t="shared" si="289"/>
        <v>0</v>
      </c>
      <c r="Q378" s="102">
        <f t="shared" si="290"/>
        <v>0</v>
      </c>
      <c r="W378" s="100">
        <v>377</v>
      </c>
      <c r="X378" s="131">
        <f t="shared" ca="1" si="291"/>
        <v>57641</v>
      </c>
      <c r="Y378" s="102">
        <f t="shared" si="292"/>
        <v>0</v>
      </c>
      <c r="Z378" s="102">
        <f t="shared" si="293"/>
        <v>0</v>
      </c>
      <c r="AA378" s="102">
        <f t="shared" si="294"/>
        <v>0</v>
      </c>
      <c r="AB378" s="102">
        <f t="shared" si="295"/>
        <v>0</v>
      </c>
      <c r="AH378" s="100">
        <v>377</v>
      </c>
      <c r="AI378" s="131">
        <f t="shared" ca="1" si="296"/>
        <v>57641</v>
      </c>
      <c r="AJ378" s="102">
        <f t="shared" si="297"/>
        <v>0</v>
      </c>
      <c r="AK378" s="102">
        <f t="shared" si="298"/>
        <v>0</v>
      </c>
      <c r="AL378" s="102">
        <f t="shared" si="299"/>
        <v>0</v>
      </c>
      <c r="AM378" s="102">
        <f t="shared" si="300"/>
        <v>0</v>
      </c>
      <c r="AS378" s="530">
        <v>377</v>
      </c>
      <c r="AT378" s="531">
        <f t="shared" ca="1" si="270"/>
        <v>57641</v>
      </c>
      <c r="AU378" s="532">
        <f ca="1">IF(AU377=0,SUMIFS('Key Life Events'!$L$3:$L$28,'Key Life Events'!$H$3:$H$28,'Loan Amortization'!$AY$3,'Key Life Events'!$N$3:$N$28,'Loan Amortization'!AT378),AU377-AX377)</f>
        <v>0</v>
      </c>
      <c r="AV378" s="532">
        <f t="shared" ca="1" si="271"/>
        <v>0</v>
      </c>
      <c r="AW378" s="532">
        <f t="shared" ca="1" si="260"/>
        <v>0</v>
      </c>
      <c r="AX378" s="532">
        <f t="shared" ca="1" si="261"/>
        <v>0</v>
      </c>
      <c r="BC378" s="536">
        <f t="shared" ca="1" si="262"/>
        <v>2057</v>
      </c>
      <c r="BF378" s="530">
        <v>377</v>
      </c>
      <c r="BG378" s="531">
        <f t="shared" ca="1" si="272"/>
        <v>57641</v>
      </c>
      <c r="BH378" s="532">
        <f ca="1">IF(BH377=0,SUMIFS('Key Life Events'!$L$3:$L$28,'Key Life Events'!$H$3:$H$28,'Loan Amortization'!$BL$3,'Key Life Events'!$N$3:$N$28,'Loan Amortization'!BG378),BH377-BK377)</f>
        <v>0</v>
      </c>
      <c r="BI378" s="532">
        <f t="shared" ca="1" si="273"/>
        <v>0</v>
      </c>
      <c r="BJ378" s="532">
        <f t="shared" ca="1" si="274"/>
        <v>0</v>
      </c>
      <c r="BK378" s="532">
        <f t="shared" ca="1" si="263"/>
        <v>0</v>
      </c>
      <c r="BP378" s="536">
        <f t="shared" ca="1" si="264"/>
        <v>2057</v>
      </c>
      <c r="BS378" s="530">
        <v>377</v>
      </c>
      <c r="BT378" s="531">
        <f t="shared" ca="1" si="275"/>
        <v>57641</v>
      </c>
      <c r="BU378" s="532">
        <f ca="1">IF(BU377=0,SUMIFS('Key Life Events'!$L$3:$L$28,'Key Life Events'!$H$3:$H$28,'Loan Amortization'!$BY$3,'Key Life Events'!$N$3:$N$28,'Loan Amortization'!BT378),BU377-BX377)</f>
        <v>0</v>
      </c>
      <c r="BV378" s="532">
        <f t="shared" ca="1" si="280"/>
        <v>0</v>
      </c>
      <c r="BW378" s="532">
        <f t="shared" ca="1" si="276"/>
        <v>0</v>
      </c>
      <c r="BX378" s="532">
        <f t="shared" ca="1" si="265"/>
        <v>0</v>
      </c>
      <c r="CC378" s="536">
        <f t="shared" ca="1" si="266"/>
        <v>2057</v>
      </c>
      <c r="CF378" s="530">
        <v>377</v>
      </c>
      <c r="CG378" s="531">
        <f t="shared" ca="1" si="277"/>
        <v>57641</v>
      </c>
      <c r="CH378" s="532">
        <f ca="1">IF(CH377=0,SUMIFS('Key Life Events'!$L$3:$L$28,'Key Life Events'!$H$3:$H$28,'Loan Amortization'!$CL$3,'Key Life Events'!$N$3:$N$28,'Loan Amortization'!CG378),CH377-CK377)</f>
        <v>0</v>
      </c>
      <c r="CI378" s="532">
        <f t="shared" ca="1" si="278"/>
        <v>0</v>
      </c>
      <c r="CJ378" s="532">
        <f t="shared" ca="1" si="279"/>
        <v>0</v>
      </c>
      <c r="CK378" s="532">
        <f t="shared" ca="1" si="267"/>
        <v>0</v>
      </c>
      <c r="CP378" s="536">
        <f t="shared" ca="1" si="268"/>
        <v>2057</v>
      </c>
      <c r="CS378" s="100">
        <f t="shared" si="301"/>
        <v>377</v>
      </c>
      <c r="CT378" s="102">
        <f t="shared" ca="1" si="302"/>
        <v>0</v>
      </c>
      <c r="CU378" s="102">
        <f t="shared" ca="1" si="303"/>
        <v>0</v>
      </c>
      <c r="CV378" s="511">
        <f t="shared" ca="1" si="269"/>
        <v>2057</v>
      </c>
    </row>
    <row r="379" spans="1:100" x14ac:dyDescent="0.3">
      <c r="A379" s="100">
        <v>378</v>
      </c>
      <c r="B379" s="131">
        <f t="shared" si="281"/>
        <v>10652</v>
      </c>
      <c r="C379" s="102">
        <f t="shared" si="282"/>
        <v>0</v>
      </c>
      <c r="D379" s="102">
        <f t="shared" si="283"/>
        <v>0</v>
      </c>
      <c r="E379" s="102">
        <f t="shared" si="284"/>
        <v>0</v>
      </c>
      <c r="F379" s="102">
        <f t="shared" si="285"/>
        <v>0</v>
      </c>
      <c r="L379" s="100">
        <v>378</v>
      </c>
      <c r="M379" s="131">
        <f t="shared" ca="1" si="286"/>
        <v>57672</v>
      </c>
      <c r="N379" s="102">
        <f t="shared" si="287"/>
        <v>0</v>
      </c>
      <c r="O379" s="102">
        <f t="shared" si="288"/>
        <v>0</v>
      </c>
      <c r="P379" s="102">
        <f t="shared" si="289"/>
        <v>0</v>
      </c>
      <c r="Q379" s="102">
        <f t="shared" si="290"/>
        <v>0</v>
      </c>
      <c r="W379" s="100">
        <v>378</v>
      </c>
      <c r="X379" s="131">
        <f t="shared" ca="1" si="291"/>
        <v>57672</v>
      </c>
      <c r="Y379" s="102">
        <f t="shared" si="292"/>
        <v>0</v>
      </c>
      <c r="Z379" s="102">
        <f t="shared" si="293"/>
        <v>0</v>
      </c>
      <c r="AA379" s="102">
        <f t="shared" si="294"/>
        <v>0</v>
      </c>
      <c r="AB379" s="102">
        <f t="shared" si="295"/>
        <v>0</v>
      </c>
      <c r="AH379" s="100">
        <v>378</v>
      </c>
      <c r="AI379" s="131">
        <f t="shared" ca="1" si="296"/>
        <v>57672</v>
      </c>
      <c r="AJ379" s="102">
        <f t="shared" si="297"/>
        <v>0</v>
      </c>
      <c r="AK379" s="102">
        <f t="shared" si="298"/>
        <v>0</v>
      </c>
      <c r="AL379" s="102">
        <f t="shared" si="299"/>
        <v>0</v>
      </c>
      <c r="AM379" s="102">
        <f t="shared" si="300"/>
        <v>0</v>
      </c>
      <c r="AS379" s="530">
        <v>378</v>
      </c>
      <c r="AT379" s="531">
        <f t="shared" ca="1" si="270"/>
        <v>57672</v>
      </c>
      <c r="AU379" s="532">
        <f ca="1">IF(AU378=0,SUMIFS('Key Life Events'!$L$3:$L$28,'Key Life Events'!$H$3:$H$28,'Loan Amortization'!$AY$3,'Key Life Events'!$N$3:$N$28,'Loan Amortization'!AT379),AU378-AX378)</f>
        <v>0</v>
      </c>
      <c r="AV379" s="532">
        <f t="shared" ca="1" si="271"/>
        <v>0</v>
      </c>
      <c r="AW379" s="532">
        <f t="shared" ca="1" si="260"/>
        <v>0</v>
      </c>
      <c r="AX379" s="532">
        <f t="shared" ca="1" si="261"/>
        <v>0</v>
      </c>
      <c r="BC379" s="536">
        <f t="shared" ca="1" si="262"/>
        <v>2057</v>
      </c>
      <c r="BF379" s="530">
        <v>378</v>
      </c>
      <c r="BG379" s="531">
        <f t="shared" ca="1" si="272"/>
        <v>57672</v>
      </c>
      <c r="BH379" s="532">
        <f ca="1">IF(BH378=0,SUMIFS('Key Life Events'!$L$3:$L$28,'Key Life Events'!$H$3:$H$28,'Loan Amortization'!$BL$3,'Key Life Events'!$N$3:$N$28,'Loan Amortization'!BG379),BH378-BK378)</f>
        <v>0</v>
      </c>
      <c r="BI379" s="532">
        <f t="shared" ca="1" si="273"/>
        <v>0</v>
      </c>
      <c r="BJ379" s="532">
        <f t="shared" ca="1" si="274"/>
        <v>0</v>
      </c>
      <c r="BK379" s="532">
        <f t="shared" ca="1" si="263"/>
        <v>0</v>
      </c>
      <c r="BP379" s="536">
        <f t="shared" ca="1" si="264"/>
        <v>2057</v>
      </c>
      <c r="BS379" s="530">
        <v>378</v>
      </c>
      <c r="BT379" s="531">
        <f t="shared" ca="1" si="275"/>
        <v>57672</v>
      </c>
      <c r="BU379" s="532">
        <f ca="1">IF(BU378=0,SUMIFS('Key Life Events'!$L$3:$L$28,'Key Life Events'!$H$3:$H$28,'Loan Amortization'!$BY$3,'Key Life Events'!$N$3:$N$28,'Loan Amortization'!BT379),BU378-BX378)</f>
        <v>0</v>
      </c>
      <c r="BV379" s="532">
        <f t="shared" ca="1" si="280"/>
        <v>0</v>
      </c>
      <c r="BW379" s="532">
        <f t="shared" ca="1" si="276"/>
        <v>0</v>
      </c>
      <c r="BX379" s="532">
        <f t="shared" ca="1" si="265"/>
        <v>0</v>
      </c>
      <c r="CC379" s="536">
        <f t="shared" ca="1" si="266"/>
        <v>2057</v>
      </c>
      <c r="CF379" s="530">
        <v>378</v>
      </c>
      <c r="CG379" s="531">
        <f t="shared" ca="1" si="277"/>
        <v>57672</v>
      </c>
      <c r="CH379" s="532">
        <f ca="1">IF(CH378=0,SUMIFS('Key Life Events'!$L$3:$L$28,'Key Life Events'!$H$3:$H$28,'Loan Amortization'!$CL$3,'Key Life Events'!$N$3:$N$28,'Loan Amortization'!CG379),CH378-CK378)</f>
        <v>0</v>
      </c>
      <c r="CI379" s="532">
        <f t="shared" ca="1" si="278"/>
        <v>0</v>
      </c>
      <c r="CJ379" s="532">
        <f t="shared" ca="1" si="279"/>
        <v>0</v>
      </c>
      <c r="CK379" s="532">
        <f t="shared" ca="1" si="267"/>
        <v>0</v>
      </c>
      <c r="CP379" s="536">
        <f t="shared" ca="1" si="268"/>
        <v>2057</v>
      </c>
      <c r="CS379" s="100">
        <f t="shared" si="301"/>
        <v>378</v>
      </c>
      <c r="CT379" s="102">
        <f t="shared" ca="1" si="302"/>
        <v>0</v>
      </c>
      <c r="CU379" s="102">
        <f t="shared" ca="1" si="303"/>
        <v>0</v>
      </c>
      <c r="CV379" s="511">
        <f t="shared" ca="1" si="269"/>
        <v>2057</v>
      </c>
    </row>
    <row r="380" spans="1:100" x14ac:dyDescent="0.3">
      <c r="A380" s="100">
        <v>379</v>
      </c>
      <c r="B380" s="131">
        <f t="shared" si="281"/>
        <v>10680</v>
      </c>
      <c r="C380" s="102">
        <f t="shared" si="282"/>
        <v>0</v>
      </c>
      <c r="D380" s="102">
        <f t="shared" si="283"/>
        <v>0</v>
      </c>
      <c r="E380" s="102">
        <f t="shared" si="284"/>
        <v>0</v>
      </c>
      <c r="F380" s="102">
        <f t="shared" si="285"/>
        <v>0</v>
      </c>
      <c r="L380" s="100">
        <v>379</v>
      </c>
      <c r="M380" s="131">
        <f t="shared" ca="1" si="286"/>
        <v>57702</v>
      </c>
      <c r="N380" s="102">
        <f t="shared" si="287"/>
        <v>0</v>
      </c>
      <c r="O380" s="102">
        <f t="shared" si="288"/>
        <v>0</v>
      </c>
      <c r="P380" s="102">
        <f t="shared" si="289"/>
        <v>0</v>
      </c>
      <c r="Q380" s="102">
        <f t="shared" si="290"/>
        <v>0</v>
      </c>
      <c r="W380" s="100">
        <v>379</v>
      </c>
      <c r="X380" s="131">
        <f t="shared" ca="1" si="291"/>
        <v>57702</v>
      </c>
      <c r="Y380" s="102">
        <f t="shared" si="292"/>
        <v>0</v>
      </c>
      <c r="Z380" s="102">
        <f t="shared" si="293"/>
        <v>0</v>
      </c>
      <c r="AA380" s="102">
        <f t="shared" si="294"/>
        <v>0</v>
      </c>
      <c r="AB380" s="102">
        <f t="shared" si="295"/>
        <v>0</v>
      </c>
      <c r="AH380" s="100">
        <v>379</v>
      </c>
      <c r="AI380" s="131">
        <f t="shared" ca="1" si="296"/>
        <v>57702</v>
      </c>
      <c r="AJ380" s="102">
        <f t="shared" si="297"/>
        <v>0</v>
      </c>
      <c r="AK380" s="102">
        <f t="shared" si="298"/>
        <v>0</v>
      </c>
      <c r="AL380" s="102">
        <f t="shared" si="299"/>
        <v>0</v>
      </c>
      <c r="AM380" s="102">
        <f t="shared" si="300"/>
        <v>0</v>
      </c>
      <c r="AS380" s="530">
        <v>379</v>
      </c>
      <c r="AT380" s="531">
        <f t="shared" ca="1" si="270"/>
        <v>57702</v>
      </c>
      <c r="AU380" s="532">
        <f ca="1">IF(AU379=0,SUMIFS('Key Life Events'!$L$3:$L$28,'Key Life Events'!$H$3:$H$28,'Loan Amortization'!$AY$3,'Key Life Events'!$N$3:$N$28,'Loan Amortization'!AT380),AU379-AX379)</f>
        <v>0</v>
      </c>
      <c r="AV380" s="532">
        <f t="shared" ca="1" si="271"/>
        <v>0</v>
      </c>
      <c r="AW380" s="532">
        <f t="shared" ca="1" si="260"/>
        <v>0</v>
      </c>
      <c r="AX380" s="532">
        <f t="shared" ca="1" si="261"/>
        <v>0</v>
      </c>
      <c r="BC380" s="536">
        <f t="shared" ca="1" si="262"/>
        <v>2057</v>
      </c>
      <c r="BF380" s="530">
        <v>379</v>
      </c>
      <c r="BG380" s="531">
        <f t="shared" ca="1" si="272"/>
        <v>57702</v>
      </c>
      <c r="BH380" s="532">
        <f ca="1">IF(BH379=0,SUMIFS('Key Life Events'!$L$3:$L$28,'Key Life Events'!$H$3:$H$28,'Loan Amortization'!$BL$3,'Key Life Events'!$N$3:$N$28,'Loan Amortization'!BG380),BH379-BK379)</f>
        <v>0</v>
      </c>
      <c r="BI380" s="532">
        <f t="shared" ca="1" si="273"/>
        <v>0</v>
      </c>
      <c r="BJ380" s="532">
        <f t="shared" ca="1" si="274"/>
        <v>0</v>
      </c>
      <c r="BK380" s="532">
        <f t="shared" ca="1" si="263"/>
        <v>0</v>
      </c>
      <c r="BP380" s="536">
        <f t="shared" ca="1" si="264"/>
        <v>2057</v>
      </c>
      <c r="BS380" s="530">
        <v>379</v>
      </c>
      <c r="BT380" s="531">
        <f t="shared" ca="1" si="275"/>
        <v>57702</v>
      </c>
      <c r="BU380" s="532">
        <f ca="1">IF(BU379=0,SUMIFS('Key Life Events'!$L$3:$L$28,'Key Life Events'!$H$3:$H$28,'Loan Amortization'!$BY$3,'Key Life Events'!$N$3:$N$28,'Loan Amortization'!BT380),BU379-BX379)</f>
        <v>0</v>
      </c>
      <c r="BV380" s="532">
        <f t="shared" ca="1" si="280"/>
        <v>0</v>
      </c>
      <c r="BW380" s="532">
        <f t="shared" ca="1" si="276"/>
        <v>0</v>
      </c>
      <c r="BX380" s="532">
        <f t="shared" ca="1" si="265"/>
        <v>0</v>
      </c>
      <c r="CC380" s="536">
        <f t="shared" ca="1" si="266"/>
        <v>2057</v>
      </c>
      <c r="CF380" s="530">
        <v>379</v>
      </c>
      <c r="CG380" s="531">
        <f t="shared" ca="1" si="277"/>
        <v>57702</v>
      </c>
      <c r="CH380" s="532">
        <f ca="1">IF(CH379=0,SUMIFS('Key Life Events'!$L$3:$L$28,'Key Life Events'!$H$3:$H$28,'Loan Amortization'!$CL$3,'Key Life Events'!$N$3:$N$28,'Loan Amortization'!CG380),CH379-CK379)</f>
        <v>0</v>
      </c>
      <c r="CI380" s="532">
        <f t="shared" ca="1" si="278"/>
        <v>0</v>
      </c>
      <c r="CJ380" s="532">
        <f t="shared" ca="1" si="279"/>
        <v>0</v>
      </c>
      <c r="CK380" s="532">
        <f t="shared" ca="1" si="267"/>
        <v>0</v>
      </c>
      <c r="CP380" s="536">
        <f t="shared" ca="1" si="268"/>
        <v>2057</v>
      </c>
      <c r="CS380" s="100">
        <f t="shared" si="301"/>
        <v>379</v>
      </c>
      <c r="CT380" s="102">
        <f t="shared" ca="1" si="302"/>
        <v>0</v>
      </c>
      <c r="CU380" s="102">
        <f t="shared" ca="1" si="303"/>
        <v>0</v>
      </c>
      <c r="CV380" s="511">
        <f t="shared" ca="1" si="269"/>
        <v>2057</v>
      </c>
    </row>
    <row r="381" spans="1:100" x14ac:dyDescent="0.3">
      <c r="A381" s="100">
        <v>380</v>
      </c>
      <c r="B381" s="131">
        <f t="shared" si="281"/>
        <v>10711</v>
      </c>
      <c r="C381" s="102">
        <f t="shared" si="282"/>
        <v>0</v>
      </c>
      <c r="D381" s="102">
        <f t="shared" si="283"/>
        <v>0</v>
      </c>
      <c r="E381" s="102">
        <f t="shared" si="284"/>
        <v>0</v>
      </c>
      <c r="F381" s="102">
        <f t="shared" si="285"/>
        <v>0</v>
      </c>
      <c r="L381" s="100">
        <v>380</v>
      </c>
      <c r="M381" s="131">
        <f t="shared" ca="1" si="286"/>
        <v>57733</v>
      </c>
      <c r="N381" s="102">
        <f t="shared" si="287"/>
        <v>0</v>
      </c>
      <c r="O381" s="102">
        <f t="shared" si="288"/>
        <v>0</v>
      </c>
      <c r="P381" s="102">
        <f t="shared" si="289"/>
        <v>0</v>
      </c>
      <c r="Q381" s="102">
        <f t="shared" si="290"/>
        <v>0</v>
      </c>
      <c r="W381" s="100">
        <v>380</v>
      </c>
      <c r="X381" s="131">
        <f t="shared" ca="1" si="291"/>
        <v>57733</v>
      </c>
      <c r="Y381" s="102">
        <f t="shared" si="292"/>
        <v>0</v>
      </c>
      <c r="Z381" s="102">
        <f t="shared" si="293"/>
        <v>0</v>
      </c>
      <c r="AA381" s="102">
        <f t="shared" si="294"/>
        <v>0</v>
      </c>
      <c r="AB381" s="102">
        <f t="shared" si="295"/>
        <v>0</v>
      </c>
      <c r="AH381" s="100">
        <v>380</v>
      </c>
      <c r="AI381" s="131">
        <f t="shared" ca="1" si="296"/>
        <v>57733</v>
      </c>
      <c r="AJ381" s="102">
        <f t="shared" si="297"/>
        <v>0</v>
      </c>
      <c r="AK381" s="102">
        <f t="shared" si="298"/>
        <v>0</v>
      </c>
      <c r="AL381" s="102">
        <f t="shared" si="299"/>
        <v>0</v>
      </c>
      <c r="AM381" s="102">
        <f t="shared" si="300"/>
        <v>0</v>
      </c>
      <c r="AS381" s="530">
        <v>380</v>
      </c>
      <c r="AT381" s="531">
        <f t="shared" ca="1" si="270"/>
        <v>57733</v>
      </c>
      <c r="AU381" s="532">
        <f ca="1">IF(AU380=0,SUMIFS('Key Life Events'!$L$3:$L$28,'Key Life Events'!$H$3:$H$28,'Loan Amortization'!$AY$3,'Key Life Events'!$N$3:$N$28,'Loan Amortization'!AT381),AU380-AX380)</f>
        <v>0</v>
      </c>
      <c r="AV381" s="532">
        <f t="shared" ca="1" si="271"/>
        <v>0</v>
      </c>
      <c r="AW381" s="532">
        <f t="shared" ca="1" si="260"/>
        <v>0</v>
      </c>
      <c r="AX381" s="532">
        <f t="shared" ca="1" si="261"/>
        <v>0</v>
      </c>
      <c r="BC381" s="536">
        <f t="shared" ca="1" si="262"/>
        <v>2058</v>
      </c>
      <c r="BF381" s="530">
        <v>380</v>
      </c>
      <c r="BG381" s="531">
        <f t="shared" ca="1" si="272"/>
        <v>57733</v>
      </c>
      <c r="BH381" s="532">
        <f ca="1">IF(BH380=0,SUMIFS('Key Life Events'!$L$3:$L$28,'Key Life Events'!$H$3:$H$28,'Loan Amortization'!$BL$3,'Key Life Events'!$N$3:$N$28,'Loan Amortization'!BG381),BH380-BK380)</f>
        <v>0</v>
      </c>
      <c r="BI381" s="532">
        <f t="shared" ca="1" si="273"/>
        <v>0</v>
      </c>
      <c r="BJ381" s="532">
        <f t="shared" ca="1" si="274"/>
        <v>0</v>
      </c>
      <c r="BK381" s="532">
        <f t="shared" ca="1" si="263"/>
        <v>0</v>
      </c>
      <c r="BP381" s="536">
        <f t="shared" ca="1" si="264"/>
        <v>2058</v>
      </c>
      <c r="BS381" s="530">
        <v>380</v>
      </c>
      <c r="BT381" s="531">
        <f t="shared" ca="1" si="275"/>
        <v>57733</v>
      </c>
      <c r="BU381" s="532">
        <f ca="1">IF(BU380=0,SUMIFS('Key Life Events'!$L$3:$L$28,'Key Life Events'!$H$3:$H$28,'Loan Amortization'!$BY$3,'Key Life Events'!$N$3:$N$28,'Loan Amortization'!BT381),BU380-BX380)</f>
        <v>0</v>
      </c>
      <c r="BV381" s="532">
        <f t="shared" ca="1" si="280"/>
        <v>0</v>
      </c>
      <c r="BW381" s="532">
        <f t="shared" ca="1" si="276"/>
        <v>0</v>
      </c>
      <c r="BX381" s="532">
        <f t="shared" ca="1" si="265"/>
        <v>0</v>
      </c>
      <c r="CC381" s="536">
        <f t="shared" ca="1" si="266"/>
        <v>2058</v>
      </c>
      <c r="CF381" s="530">
        <v>380</v>
      </c>
      <c r="CG381" s="531">
        <f t="shared" ca="1" si="277"/>
        <v>57733</v>
      </c>
      <c r="CH381" s="532">
        <f ca="1">IF(CH380=0,SUMIFS('Key Life Events'!$L$3:$L$28,'Key Life Events'!$H$3:$H$28,'Loan Amortization'!$CL$3,'Key Life Events'!$N$3:$N$28,'Loan Amortization'!CG381),CH380-CK380)</f>
        <v>0</v>
      </c>
      <c r="CI381" s="532">
        <f t="shared" ca="1" si="278"/>
        <v>0</v>
      </c>
      <c r="CJ381" s="532">
        <f t="shared" ca="1" si="279"/>
        <v>0</v>
      </c>
      <c r="CK381" s="532">
        <f t="shared" ca="1" si="267"/>
        <v>0</v>
      </c>
      <c r="CP381" s="536">
        <f t="shared" ca="1" si="268"/>
        <v>2058</v>
      </c>
      <c r="CS381" s="100">
        <f t="shared" si="301"/>
        <v>380</v>
      </c>
      <c r="CT381" s="102">
        <f t="shared" ca="1" si="302"/>
        <v>0</v>
      </c>
      <c r="CU381" s="102">
        <f t="shared" ca="1" si="303"/>
        <v>0</v>
      </c>
      <c r="CV381" s="511">
        <f t="shared" ca="1" si="269"/>
        <v>2058</v>
      </c>
    </row>
    <row r="382" spans="1:100" x14ac:dyDescent="0.3">
      <c r="A382" s="100">
        <v>381</v>
      </c>
      <c r="B382" s="131">
        <f t="shared" si="281"/>
        <v>10741</v>
      </c>
      <c r="C382" s="102">
        <f t="shared" si="282"/>
        <v>0</v>
      </c>
      <c r="D382" s="102">
        <f t="shared" si="283"/>
        <v>0</v>
      </c>
      <c r="E382" s="102">
        <f t="shared" si="284"/>
        <v>0</v>
      </c>
      <c r="F382" s="102">
        <f t="shared" si="285"/>
        <v>0</v>
      </c>
      <c r="L382" s="100">
        <v>381</v>
      </c>
      <c r="M382" s="131">
        <f t="shared" ca="1" si="286"/>
        <v>57764</v>
      </c>
      <c r="N382" s="102">
        <f t="shared" si="287"/>
        <v>0</v>
      </c>
      <c r="O382" s="102">
        <f t="shared" si="288"/>
        <v>0</v>
      </c>
      <c r="P382" s="102">
        <f t="shared" si="289"/>
        <v>0</v>
      </c>
      <c r="Q382" s="102">
        <f t="shared" si="290"/>
        <v>0</v>
      </c>
      <c r="W382" s="100">
        <v>381</v>
      </c>
      <c r="X382" s="131">
        <f t="shared" ca="1" si="291"/>
        <v>57764</v>
      </c>
      <c r="Y382" s="102">
        <f t="shared" si="292"/>
        <v>0</v>
      </c>
      <c r="Z382" s="102">
        <f t="shared" si="293"/>
        <v>0</v>
      </c>
      <c r="AA382" s="102">
        <f t="shared" si="294"/>
        <v>0</v>
      </c>
      <c r="AB382" s="102">
        <f t="shared" si="295"/>
        <v>0</v>
      </c>
      <c r="AH382" s="100">
        <v>381</v>
      </c>
      <c r="AI382" s="131">
        <f t="shared" ca="1" si="296"/>
        <v>57764</v>
      </c>
      <c r="AJ382" s="102">
        <f t="shared" si="297"/>
        <v>0</v>
      </c>
      <c r="AK382" s="102">
        <f t="shared" si="298"/>
        <v>0</v>
      </c>
      <c r="AL382" s="102">
        <f t="shared" si="299"/>
        <v>0</v>
      </c>
      <c r="AM382" s="102">
        <f t="shared" si="300"/>
        <v>0</v>
      </c>
      <c r="AS382" s="530">
        <v>381</v>
      </c>
      <c r="AT382" s="531">
        <f t="shared" ca="1" si="270"/>
        <v>57764</v>
      </c>
      <c r="AU382" s="532">
        <f ca="1">IF(AU381=0,SUMIFS('Key Life Events'!$L$3:$L$28,'Key Life Events'!$H$3:$H$28,'Loan Amortization'!$AY$3,'Key Life Events'!$N$3:$N$28,'Loan Amortization'!AT382),AU381-AX381)</f>
        <v>0</v>
      </c>
      <c r="AV382" s="532">
        <f t="shared" ca="1" si="271"/>
        <v>0</v>
      </c>
      <c r="AW382" s="532">
        <f t="shared" ca="1" si="260"/>
        <v>0</v>
      </c>
      <c r="AX382" s="532">
        <f t="shared" ca="1" si="261"/>
        <v>0</v>
      </c>
      <c r="BC382" s="536">
        <f t="shared" ca="1" si="262"/>
        <v>2058</v>
      </c>
      <c r="BF382" s="530">
        <v>381</v>
      </c>
      <c r="BG382" s="531">
        <f t="shared" ca="1" si="272"/>
        <v>57764</v>
      </c>
      <c r="BH382" s="532">
        <f ca="1">IF(BH381=0,SUMIFS('Key Life Events'!$L$3:$L$28,'Key Life Events'!$H$3:$H$28,'Loan Amortization'!$BL$3,'Key Life Events'!$N$3:$N$28,'Loan Amortization'!BG382),BH381-BK381)</f>
        <v>0</v>
      </c>
      <c r="BI382" s="532">
        <f t="shared" ca="1" si="273"/>
        <v>0</v>
      </c>
      <c r="BJ382" s="532">
        <f t="shared" ca="1" si="274"/>
        <v>0</v>
      </c>
      <c r="BK382" s="532">
        <f t="shared" ca="1" si="263"/>
        <v>0</v>
      </c>
      <c r="BP382" s="536">
        <f t="shared" ca="1" si="264"/>
        <v>2058</v>
      </c>
      <c r="BS382" s="530">
        <v>381</v>
      </c>
      <c r="BT382" s="531">
        <f t="shared" ca="1" si="275"/>
        <v>57764</v>
      </c>
      <c r="BU382" s="532">
        <f ca="1">IF(BU381=0,SUMIFS('Key Life Events'!$L$3:$L$28,'Key Life Events'!$H$3:$H$28,'Loan Amortization'!$BY$3,'Key Life Events'!$N$3:$N$28,'Loan Amortization'!BT382),BU381-BX381)</f>
        <v>0</v>
      </c>
      <c r="BV382" s="532">
        <f t="shared" ca="1" si="280"/>
        <v>0</v>
      </c>
      <c r="BW382" s="532">
        <f t="shared" ca="1" si="276"/>
        <v>0</v>
      </c>
      <c r="BX382" s="532">
        <f t="shared" ca="1" si="265"/>
        <v>0</v>
      </c>
      <c r="CC382" s="536">
        <f t="shared" ca="1" si="266"/>
        <v>2058</v>
      </c>
      <c r="CF382" s="530">
        <v>381</v>
      </c>
      <c r="CG382" s="531">
        <f t="shared" ca="1" si="277"/>
        <v>57764</v>
      </c>
      <c r="CH382" s="532">
        <f ca="1">IF(CH381=0,SUMIFS('Key Life Events'!$L$3:$L$28,'Key Life Events'!$H$3:$H$28,'Loan Amortization'!$CL$3,'Key Life Events'!$N$3:$N$28,'Loan Amortization'!CG382),CH381-CK381)</f>
        <v>0</v>
      </c>
      <c r="CI382" s="532">
        <f t="shared" ca="1" si="278"/>
        <v>0</v>
      </c>
      <c r="CJ382" s="532">
        <f t="shared" ca="1" si="279"/>
        <v>0</v>
      </c>
      <c r="CK382" s="532">
        <f t="shared" ca="1" si="267"/>
        <v>0</v>
      </c>
      <c r="CP382" s="536">
        <f t="shared" ca="1" si="268"/>
        <v>2058</v>
      </c>
      <c r="CS382" s="100">
        <f t="shared" si="301"/>
        <v>381</v>
      </c>
      <c r="CT382" s="102">
        <f t="shared" ca="1" si="302"/>
        <v>0</v>
      </c>
      <c r="CU382" s="102">
        <f t="shared" ca="1" si="303"/>
        <v>0</v>
      </c>
      <c r="CV382" s="511">
        <f t="shared" ca="1" si="269"/>
        <v>2058</v>
      </c>
    </row>
    <row r="383" spans="1:100" x14ac:dyDescent="0.3">
      <c r="A383" s="100">
        <v>382</v>
      </c>
      <c r="B383" s="131">
        <f t="shared" si="281"/>
        <v>10772</v>
      </c>
      <c r="C383" s="102">
        <f t="shared" si="282"/>
        <v>0</v>
      </c>
      <c r="D383" s="102">
        <f t="shared" si="283"/>
        <v>0</v>
      </c>
      <c r="E383" s="102">
        <f t="shared" si="284"/>
        <v>0</v>
      </c>
      <c r="F383" s="102">
        <f t="shared" si="285"/>
        <v>0</v>
      </c>
      <c r="L383" s="100">
        <v>382</v>
      </c>
      <c r="M383" s="131">
        <f t="shared" ca="1" si="286"/>
        <v>57792</v>
      </c>
      <c r="N383" s="102">
        <f t="shared" si="287"/>
        <v>0</v>
      </c>
      <c r="O383" s="102">
        <f t="shared" si="288"/>
        <v>0</v>
      </c>
      <c r="P383" s="102">
        <f t="shared" si="289"/>
        <v>0</v>
      </c>
      <c r="Q383" s="102">
        <f t="shared" si="290"/>
        <v>0</v>
      </c>
      <c r="W383" s="100">
        <v>382</v>
      </c>
      <c r="X383" s="131">
        <f t="shared" ca="1" si="291"/>
        <v>57792</v>
      </c>
      <c r="Y383" s="102">
        <f t="shared" si="292"/>
        <v>0</v>
      </c>
      <c r="Z383" s="102">
        <f t="shared" si="293"/>
        <v>0</v>
      </c>
      <c r="AA383" s="102">
        <f t="shared" si="294"/>
        <v>0</v>
      </c>
      <c r="AB383" s="102">
        <f t="shared" si="295"/>
        <v>0</v>
      </c>
      <c r="AH383" s="100">
        <v>382</v>
      </c>
      <c r="AI383" s="131">
        <f t="shared" ca="1" si="296"/>
        <v>57792</v>
      </c>
      <c r="AJ383" s="102">
        <f t="shared" si="297"/>
        <v>0</v>
      </c>
      <c r="AK383" s="102">
        <f t="shared" si="298"/>
        <v>0</v>
      </c>
      <c r="AL383" s="102">
        <f t="shared" si="299"/>
        <v>0</v>
      </c>
      <c r="AM383" s="102">
        <f t="shared" si="300"/>
        <v>0</v>
      </c>
      <c r="AS383" s="530">
        <v>382</v>
      </c>
      <c r="AT383" s="531">
        <f t="shared" ca="1" si="270"/>
        <v>57792</v>
      </c>
      <c r="AU383" s="532">
        <f ca="1">IF(AU382=0,SUMIFS('Key Life Events'!$L$3:$L$28,'Key Life Events'!$H$3:$H$28,'Loan Amortization'!$AY$3,'Key Life Events'!$N$3:$N$28,'Loan Amortization'!AT383),AU382-AX382)</f>
        <v>0</v>
      </c>
      <c r="AV383" s="532">
        <f t="shared" ca="1" si="271"/>
        <v>0</v>
      </c>
      <c r="AW383" s="532">
        <f t="shared" ca="1" si="260"/>
        <v>0</v>
      </c>
      <c r="AX383" s="532">
        <f t="shared" ca="1" si="261"/>
        <v>0</v>
      </c>
      <c r="BC383" s="536">
        <f t="shared" ca="1" si="262"/>
        <v>2058</v>
      </c>
      <c r="BF383" s="530">
        <v>382</v>
      </c>
      <c r="BG383" s="531">
        <f t="shared" ca="1" si="272"/>
        <v>57792</v>
      </c>
      <c r="BH383" s="532">
        <f ca="1">IF(BH382=0,SUMIFS('Key Life Events'!$L$3:$L$28,'Key Life Events'!$H$3:$H$28,'Loan Amortization'!$BL$3,'Key Life Events'!$N$3:$N$28,'Loan Amortization'!BG383),BH382-BK382)</f>
        <v>0</v>
      </c>
      <c r="BI383" s="532">
        <f t="shared" ca="1" si="273"/>
        <v>0</v>
      </c>
      <c r="BJ383" s="532">
        <f t="shared" ca="1" si="274"/>
        <v>0</v>
      </c>
      <c r="BK383" s="532">
        <f t="shared" ca="1" si="263"/>
        <v>0</v>
      </c>
      <c r="BP383" s="536">
        <f t="shared" ca="1" si="264"/>
        <v>2058</v>
      </c>
      <c r="BS383" s="530">
        <v>382</v>
      </c>
      <c r="BT383" s="531">
        <f t="shared" ca="1" si="275"/>
        <v>57792</v>
      </c>
      <c r="BU383" s="532">
        <f ca="1">IF(BU382=0,SUMIFS('Key Life Events'!$L$3:$L$28,'Key Life Events'!$H$3:$H$28,'Loan Amortization'!$BY$3,'Key Life Events'!$N$3:$N$28,'Loan Amortization'!BT383),BU382-BX382)</f>
        <v>0</v>
      </c>
      <c r="BV383" s="532">
        <f t="shared" ca="1" si="280"/>
        <v>0</v>
      </c>
      <c r="BW383" s="532">
        <f t="shared" ca="1" si="276"/>
        <v>0</v>
      </c>
      <c r="BX383" s="532">
        <f t="shared" ca="1" si="265"/>
        <v>0</v>
      </c>
      <c r="CC383" s="536">
        <f t="shared" ca="1" si="266"/>
        <v>2058</v>
      </c>
      <c r="CF383" s="530">
        <v>382</v>
      </c>
      <c r="CG383" s="531">
        <f t="shared" ca="1" si="277"/>
        <v>57792</v>
      </c>
      <c r="CH383" s="532">
        <f ca="1">IF(CH382=0,SUMIFS('Key Life Events'!$L$3:$L$28,'Key Life Events'!$H$3:$H$28,'Loan Amortization'!$CL$3,'Key Life Events'!$N$3:$N$28,'Loan Amortization'!CG383),CH382-CK382)</f>
        <v>0</v>
      </c>
      <c r="CI383" s="532">
        <f t="shared" ca="1" si="278"/>
        <v>0</v>
      </c>
      <c r="CJ383" s="532">
        <f t="shared" ca="1" si="279"/>
        <v>0</v>
      </c>
      <c r="CK383" s="532">
        <f t="shared" ca="1" si="267"/>
        <v>0</v>
      </c>
      <c r="CP383" s="536">
        <f t="shared" ca="1" si="268"/>
        <v>2058</v>
      </c>
      <c r="CS383" s="100">
        <f t="shared" si="301"/>
        <v>382</v>
      </c>
      <c r="CT383" s="102">
        <f t="shared" ca="1" si="302"/>
        <v>0</v>
      </c>
      <c r="CU383" s="102">
        <f t="shared" ca="1" si="303"/>
        <v>0</v>
      </c>
      <c r="CV383" s="511">
        <f t="shared" ca="1" si="269"/>
        <v>2058</v>
      </c>
    </row>
    <row r="384" spans="1:100" x14ac:dyDescent="0.3">
      <c r="A384" s="100">
        <v>383</v>
      </c>
      <c r="B384" s="131">
        <f t="shared" si="281"/>
        <v>10802</v>
      </c>
      <c r="C384" s="102">
        <f t="shared" si="282"/>
        <v>0</v>
      </c>
      <c r="D384" s="102">
        <f t="shared" si="283"/>
        <v>0</v>
      </c>
      <c r="E384" s="102">
        <f t="shared" si="284"/>
        <v>0</v>
      </c>
      <c r="F384" s="102">
        <f t="shared" si="285"/>
        <v>0</v>
      </c>
      <c r="L384" s="100">
        <v>383</v>
      </c>
      <c r="M384" s="131">
        <f t="shared" ca="1" si="286"/>
        <v>57823</v>
      </c>
      <c r="N384" s="102">
        <f t="shared" si="287"/>
        <v>0</v>
      </c>
      <c r="O384" s="102">
        <f t="shared" si="288"/>
        <v>0</v>
      </c>
      <c r="P384" s="102">
        <f t="shared" si="289"/>
        <v>0</v>
      </c>
      <c r="Q384" s="102">
        <f t="shared" si="290"/>
        <v>0</v>
      </c>
      <c r="W384" s="100">
        <v>383</v>
      </c>
      <c r="X384" s="131">
        <f t="shared" ca="1" si="291"/>
        <v>57823</v>
      </c>
      <c r="Y384" s="102">
        <f t="shared" si="292"/>
        <v>0</v>
      </c>
      <c r="Z384" s="102">
        <f t="shared" si="293"/>
        <v>0</v>
      </c>
      <c r="AA384" s="102">
        <f t="shared" si="294"/>
        <v>0</v>
      </c>
      <c r="AB384" s="102">
        <f t="shared" si="295"/>
        <v>0</v>
      </c>
      <c r="AH384" s="100">
        <v>383</v>
      </c>
      <c r="AI384" s="131">
        <f t="shared" ca="1" si="296"/>
        <v>57823</v>
      </c>
      <c r="AJ384" s="102">
        <f t="shared" si="297"/>
        <v>0</v>
      </c>
      <c r="AK384" s="102">
        <f t="shared" si="298"/>
        <v>0</v>
      </c>
      <c r="AL384" s="102">
        <f t="shared" si="299"/>
        <v>0</v>
      </c>
      <c r="AM384" s="102">
        <f t="shared" si="300"/>
        <v>0</v>
      </c>
      <c r="AS384" s="530">
        <v>383</v>
      </c>
      <c r="AT384" s="531">
        <f t="shared" ca="1" si="270"/>
        <v>57823</v>
      </c>
      <c r="AU384" s="532">
        <f ca="1">IF(AU383=0,SUMIFS('Key Life Events'!$L$3:$L$28,'Key Life Events'!$H$3:$H$28,'Loan Amortization'!$AY$3,'Key Life Events'!$N$3:$N$28,'Loan Amortization'!AT384),AU383-AX383)</f>
        <v>0</v>
      </c>
      <c r="AV384" s="532">
        <f t="shared" ca="1" si="271"/>
        <v>0</v>
      </c>
      <c r="AW384" s="532">
        <f t="shared" ca="1" si="260"/>
        <v>0</v>
      </c>
      <c r="AX384" s="532">
        <f t="shared" ca="1" si="261"/>
        <v>0</v>
      </c>
      <c r="BC384" s="536">
        <f t="shared" ca="1" si="262"/>
        <v>2058</v>
      </c>
      <c r="BF384" s="530">
        <v>383</v>
      </c>
      <c r="BG384" s="531">
        <f t="shared" ca="1" si="272"/>
        <v>57823</v>
      </c>
      <c r="BH384" s="532">
        <f ca="1">IF(BH383=0,SUMIFS('Key Life Events'!$L$3:$L$28,'Key Life Events'!$H$3:$H$28,'Loan Amortization'!$BL$3,'Key Life Events'!$N$3:$N$28,'Loan Amortization'!BG384),BH383-BK383)</f>
        <v>0</v>
      </c>
      <c r="BI384" s="532">
        <f t="shared" ca="1" si="273"/>
        <v>0</v>
      </c>
      <c r="BJ384" s="532">
        <f t="shared" ca="1" si="274"/>
        <v>0</v>
      </c>
      <c r="BK384" s="532">
        <f t="shared" ca="1" si="263"/>
        <v>0</v>
      </c>
      <c r="BP384" s="536">
        <f t="shared" ca="1" si="264"/>
        <v>2058</v>
      </c>
      <c r="BS384" s="530">
        <v>383</v>
      </c>
      <c r="BT384" s="531">
        <f t="shared" ca="1" si="275"/>
        <v>57823</v>
      </c>
      <c r="BU384" s="532">
        <f ca="1">IF(BU383=0,SUMIFS('Key Life Events'!$L$3:$L$28,'Key Life Events'!$H$3:$H$28,'Loan Amortization'!$BY$3,'Key Life Events'!$N$3:$N$28,'Loan Amortization'!BT384),BU383-BX383)</f>
        <v>0</v>
      </c>
      <c r="BV384" s="532">
        <f t="shared" ca="1" si="280"/>
        <v>0</v>
      </c>
      <c r="BW384" s="532">
        <f t="shared" ca="1" si="276"/>
        <v>0</v>
      </c>
      <c r="BX384" s="532">
        <f t="shared" ca="1" si="265"/>
        <v>0</v>
      </c>
      <c r="CC384" s="536">
        <f t="shared" ca="1" si="266"/>
        <v>2058</v>
      </c>
      <c r="CF384" s="530">
        <v>383</v>
      </c>
      <c r="CG384" s="531">
        <f t="shared" ca="1" si="277"/>
        <v>57823</v>
      </c>
      <c r="CH384" s="532">
        <f ca="1">IF(CH383=0,SUMIFS('Key Life Events'!$L$3:$L$28,'Key Life Events'!$H$3:$H$28,'Loan Amortization'!$CL$3,'Key Life Events'!$N$3:$N$28,'Loan Amortization'!CG384),CH383-CK383)</f>
        <v>0</v>
      </c>
      <c r="CI384" s="532">
        <f t="shared" ca="1" si="278"/>
        <v>0</v>
      </c>
      <c r="CJ384" s="532">
        <f t="shared" ca="1" si="279"/>
        <v>0</v>
      </c>
      <c r="CK384" s="532">
        <f t="shared" ca="1" si="267"/>
        <v>0</v>
      </c>
      <c r="CP384" s="536">
        <f t="shared" ca="1" si="268"/>
        <v>2058</v>
      </c>
      <c r="CS384" s="100">
        <f t="shared" si="301"/>
        <v>383</v>
      </c>
      <c r="CT384" s="102">
        <f t="shared" ca="1" si="302"/>
        <v>0</v>
      </c>
      <c r="CU384" s="102">
        <f t="shared" ca="1" si="303"/>
        <v>0</v>
      </c>
      <c r="CV384" s="511">
        <f t="shared" ca="1" si="269"/>
        <v>2058</v>
      </c>
    </row>
    <row r="385" spans="1:100" x14ac:dyDescent="0.3">
      <c r="A385" s="100">
        <v>384</v>
      </c>
      <c r="B385" s="131">
        <f t="shared" si="281"/>
        <v>10833</v>
      </c>
      <c r="C385" s="102">
        <f t="shared" si="282"/>
        <v>0</v>
      </c>
      <c r="D385" s="102">
        <f t="shared" si="283"/>
        <v>0</v>
      </c>
      <c r="E385" s="102">
        <f t="shared" si="284"/>
        <v>0</v>
      </c>
      <c r="F385" s="102">
        <f t="shared" si="285"/>
        <v>0</v>
      </c>
      <c r="L385" s="100">
        <v>384</v>
      </c>
      <c r="M385" s="131">
        <f t="shared" ca="1" si="286"/>
        <v>57853</v>
      </c>
      <c r="N385" s="102">
        <f t="shared" si="287"/>
        <v>0</v>
      </c>
      <c r="O385" s="102">
        <f t="shared" si="288"/>
        <v>0</v>
      </c>
      <c r="P385" s="102">
        <f t="shared" si="289"/>
        <v>0</v>
      </c>
      <c r="Q385" s="102">
        <f t="shared" si="290"/>
        <v>0</v>
      </c>
      <c r="W385" s="100">
        <v>384</v>
      </c>
      <c r="X385" s="131">
        <f t="shared" ca="1" si="291"/>
        <v>57853</v>
      </c>
      <c r="Y385" s="102">
        <f t="shared" si="292"/>
        <v>0</v>
      </c>
      <c r="Z385" s="102">
        <f t="shared" si="293"/>
        <v>0</v>
      </c>
      <c r="AA385" s="102">
        <f t="shared" si="294"/>
        <v>0</v>
      </c>
      <c r="AB385" s="102">
        <f t="shared" si="295"/>
        <v>0</v>
      </c>
      <c r="AH385" s="100">
        <v>384</v>
      </c>
      <c r="AI385" s="131">
        <f t="shared" ca="1" si="296"/>
        <v>57853</v>
      </c>
      <c r="AJ385" s="102">
        <f t="shared" si="297"/>
        <v>0</v>
      </c>
      <c r="AK385" s="102">
        <f t="shared" si="298"/>
        <v>0</v>
      </c>
      <c r="AL385" s="102">
        <f t="shared" si="299"/>
        <v>0</v>
      </c>
      <c r="AM385" s="102">
        <f t="shared" si="300"/>
        <v>0</v>
      </c>
      <c r="AS385" s="530">
        <v>384</v>
      </c>
      <c r="AT385" s="531">
        <f t="shared" ca="1" si="270"/>
        <v>57853</v>
      </c>
      <c r="AU385" s="532">
        <f ca="1">IF(AU384=0,SUMIFS('Key Life Events'!$L$3:$L$28,'Key Life Events'!$H$3:$H$28,'Loan Amortization'!$AY$3,'Key Life Events'!$N$3:$N$28,'Loan Amortization'!AT385),AU384-AX384)</f>
        <v>0</v>
      </c>
      <c r="AV385" s="532">
        <f t="shared" ca="1" si="271"/>
        <v>0</v>
      </c>
      <c r="AW385" s="532">
        <f t="shared" ca="1" si="260"/>
        <v>0</v>
      </c>
      <c r="AX385" s="532">
        <f t="shared" ca="1" si="261"/>
        <v>0</v>
      </c>
      <c r="BC385" s="536">
        <f t="shared" ca="1" si="262"/>
        <v>2058</v>
      </c>
      <c r="BF385" s="530">
        <v>384</v>
      </c>
      <c r="BG385" s="531">
        <f t="shared" ca="1" si="272"/>
        <v>57853</v>
      </c>
      <c r="BH385" s="532">
        <f ca="1">IF(BH384=0,SUMIFS('Key Life Events'!$L$3:$L$28,'Key Life Events'!$H$3:$H$28,'Loan Amortization'!$BL$3,'Key Life Events'!$N$3:$N$28,'Loan Amortization'!BG385),BH384-BK384)</f>
        <v>0</v>
      </c>
      <c r="BI385" s="532">
        <f t="shared" ca="1" si="273"/>
        <v>0</v>
      </c>
      <c r="BJ385" s="532">
        <f t="shared" ca="1" si="274"/>
        <v>0</v>
      </c>
      <c r="BK385" s="532">
        <f t="shared" ca="1" si="263"/>
        <v>0</v>
      </c>
      <c r="BP385" s="536">
        <f t="shared" ca="1" si="264"/>
        <v>2058</v>
      </c>
      <c r="BS385" s="530">
        <v>384</v>
      </c>
      <c r="BT385" s="531">
        <f t="shared" ca="1" si="275"/>
        <v>57853</v>
      </c>
      <c r="BU385" s="532">
        <f ca="1">IF(BU384=0,SUMIFS('Key Life Events'!$L$3:$L$28,'Key Life Events'!$H$3:$H$28,'Loan Amortization'!$BY$3,'Key Life Events'!$N$3:$N$28,'Loan Amortization'!BT385),BU384-BX384)</f>
        <v>0</v>
      </c>
      <c r="BV385" s="532">
        <f t="shared" ca="1" si="280"/>
        <v>0</v>
      </c>
      <c r="BW385" s="532">
        <f t="shared" ca="1" si="276"/>
        <v>0</v>
      </c>
      <c r="BX385" s="532">
        <f t="shared" ca="1" si="265"/>
        <v>0</v>
      </c>
      <c r="CC385" s="536">
        <f t="shared" ca="1" si="266"/>
        <v>2058</v>
      </c>
      <c r="CF385" s="530">
        <v>384</v>
      </c>
      <c r="CG385" s="531">
        <f t="shared" ca="1" si="277"/>
        <v>57853</v>
      </c>
      <c r="CH385" s="532">
        <f ca="1">IF(CH384=0,SUMIFS('Key Life Events'!$L$3:$L$28,'Key Life Events'!$H$3:$H$28,'Loan Amortization'!$CL$3,'Key Life Events'!$N$3:$N$28,'Loan Amortization'!CG385),CH384-CK384)</f>
        <v>0</v>
      </c>
      <c r="CI385" s="532">
        <f t="shared" ca="1" si="278"/>
        <v>0</v>
      </c>
      <c r="CJ385" s="532">
        <f t="shared" ca="1" si="279"/>
        <v>0</v>
      </c>
      <c r="CK385" s="532">
        <f t="shared" ca="1" si="267"/>
        <v>0</v>
      </c>
      <c r="CP385" s="536">
        <f t="shared" ca="1" si="268"/>
        <v>2058</v>
      </c>
      <c r="CS385" s="100">
        <f t="shared" si="301"/>
        <v>384</v>
      </c>
      <c r="CT385" s="102">
        <f t="shared" ca="1" si="302"/>
        <v>0</v>
      </c>
      <c r="CU385" s="102">
        <f t="shared" ca="1" si="303"/>
        <v>0</v>
      </c>
      <c r="CV385" s="511">
        <f t="shared" ca="1" si="269"/>
        <v>2058</v>
      </c>
    </row>
    <row r="386" spans="1:100" x14ac:dyDescent="0.3">
      <c r="A386" s="100">
        <v>385</v>
      </c>
      <c r="B386" s="131">
        <f t="shared" si="281"/>
        <v>10864</v>
      </c>
      <c r="C386" s="102">
        <f t="shared" si="282"/>
        <v>0</v>
      </c>
      <c r="D386" s="102">
        <f t="shared" si="283"/>
        <v>0</v>
      </c>
      <c r="E386" s="102">
        <f t="shared" si="284"/>
        <v>0</v>
      </c>
      <c r="F386" s="102">
        <f t="shared" si="285"/>
        <v>0</v>
      </c>
      <c r="L386" s="100">
        <v>385</v>
      </c>
      <c r="M386" s="131">
        <f t="shared" ca="1" si="286"/>
        <v>57884</v>
      </c>
      <c r="N386" s="102">
        <f t="shared" si="287"/>
        <v>0</v>
      </c>
      <c r="O386" s="102">
        <f t="shared" si="288"/>
        <v>0</v>
      </c>
      <c r="P386" s="102">
        <f t="shared" si="289"/>
        <v>0</v>
      </c>
      <c r="Q386" s="102">
        <f t="shared" si="290"/>
        <v>0</v>
      </c>
      <c r="W386" s="100">
        <v>385</v>
      </c>
      <c r="X386" s="131">
        <f t="shared" ca="1" si="291"/>
        <v>57884</v>
      </c>
      <c r="Y386" s="102">
        <f t="shared" si="292"/>
        <v>0</v>
      </c>
      <c r="Z386" s="102">
        <f t="shared" si="293"/>
        <v>0</v>
      </c>
      <c r="AA386" s="102">
        <f t="shared" si="294"/>
        <v>0</v>
      </c>
      <c r="AB386" s="102">
        <f t="shared" si="295"/>
        <v>0</v>
      </c>
      <c r="AH386" s="100">
        <v>385</v>
      </c>
      <c r="AI386" s="131">
        <f t="shared" ca="1" si="296"/>
        <v>57884</v>
      </c>
      <c r="AJ386" s="102">
        <f t="shared" si="297"/>
        <v>0</v>
      </c>
      <c r="AK386" s="102">
        <f t="shared" si="298"/>
        <v>0</v>
      </c>
      <c r="AL386" s="102">
        <f t="shared" si="299"/>
        <v>0</v>
      </c>
      <c r="AM386" s="102">
        <f t="shared" si="300"/>
        <v>0</v>
      </c>
      <c r="AS386" s="530">
        <v>385</v>
      </c>
      <c r="AT386" s="531">
        <f t="shared" ca="1" si="270"/>
        <v>57884</v>
      </c>
      <c r="AU386" s="532">
        <f ca="1">IF(AU385=0,SUMIFS('Key Life Events'!$L$3:$L$28,'Key Life Events'!$H$3:$H$28,'Loan Amortization'!$AY$3,'Key Life Events'!$N$3:$N$28,'Loan Amortization'!AT386),AU385-AX385)</f>
        <v>0</v>
      </c>
      <c r="AV386" s="532">
        <f t="shared" ca="1" si="271"/>
        <v>0</v>
      </c>
      <c r="AW386" s="532">
        <f t="shared" ref="AW386:AW449" ca="1" si="304">(AU386*AZ$1)/12</f>
        <v>0</v>
      </c>
      <c r="AX386" s="532">
        <f t="shared" ca="1" si="261"/>
        <v>0</v>
      </c>
      <c r="BC386" s="536">
        <f t="shared" ca="1" si="262"/>
        <v>2058</v>
      </c>
      <c r="BF386" s="530">
        <v>385</v>
      </c>
      <c r="BG386" s="531">
        <f t="shared" ca="1" si="272"/>
        <v>57884</v>
      </c>
      <c r="BH386" s="532">
        <f ca="1">IF(BH385=0,SUMIFS('Key Life Events'!$L$3:$L$28,'Key Life Events'!$H$3:$H$28,'Loan Amortization'!$BL$3,'Key Life Events'!$N$3:$N$28,'Loan Amortization'!BG386),BH385-BK385)</f>
        <v>0</v>
      </c>
      <c r="BI386" s="532">
        <f t="shared" ca="1" si="273"/>
        <v>0</v>
      </c>
      <c r="BJ386" s="532">
        <f t="shared" ca="1" si="274"/>
        <v>0</v>
      </c>
      <c r="BK386" s="532">
        <f t="shared" ca="1" si="263"/>
        <v>0</v>
      </c>
      <c r="BP386" s="536">
        <f t="shared" ca="1" si="264"/>
        <v>2058</v>
      </c>
      <c r="BS386" s="530">
        <v>385</v>
      </c>
      <c r="BT386" s="531">
        <f t="shared" ca="1" si="275"/>
        <v>57884</v>
      </c>
      <c r="BU386" s="532">
        <f ca="1">IF(BU385=0,SUMIFS('Key Life Events'!$L$3:$L$28,'Key Life Events'!$H$3:$H$28,'Loan Amortization'!$BY$3,'Key Life Events'!$N$3:$N$28,'Loan Amortization'!BT386),BU385-BX385)</f>
        <v>0</v>
      </c>
      <c r="BV386" s="532">
        <f t="shared" ca="1" si="280"/>
        <v>0</v>
      </c>
      <c r="BW386" s="532">
        <f t="shared" ca="1" si="276"/>
        <v>0</v>
      </c>
      <c r="BX386" s="532">
        <f t="shared" ca="1" si="265"/>
        <v>0</v>
      </c>
      <c r="CC386" s="536">
        <f t="shared" ca="1" si="266"/>
        <v>2058</v>
      </c>
      <c r="CF386" s="530">
        <v>385</v>
      </c>
      <c r="CG386" s="531">
        <f t="shared" ca="1" si="277"/>
        <v>57884</v>
      </c>
      <c r="CH386" s="532">
        <f ca="1">IF(CH385=0,SUMIFS('Key Life Events'!$L$3:$L$28,'Key Life Events'!$H$3:$H$28,'Loan Amortization'!$CL$3,'Key Life Events'!$N$3:$N$28,'Loan Amortization'!CG386),CH385-CK385)</f>
        <v>0</v>
      </c>
      <c r="CI386" s="532">
        <f t="shared" ca="1" si="278"/>
        <v>0</v>
      </c>
      <c r="CJ386" s="532">
        <f t="shared" ca="1" si="279"/>
        <v>0</v>
      </c>
      <c r="CK386" s="532">
        <f t="shared" ca="1" si="267"/>
        <v>0</v>
      </c>
      <c r="CP386" s="536">
        <f t="shared" ca="1" si="268"/>
        <v>2058</v>
      </c>
      <c r="CS386" s="100">
        <f t="shared" si="301"/>
        <v>385</v>
      </c>
      <c r="CT386" s="102">
        <f t="shared" ca="1" si="302"/>
        <v>0</v>
      </c>
      <c r="CU386" s="102">
        <f t="shared" ca="1" si="303"/>
        <v>0</v>
      </c>
      <c r="CV386" s="511">
        <f t="shared" ca="1" si="269"/>
        <v>2058</v>
      </c>
    </row>
    <row r="387" spans="1:100" x14ac:dyDescent="0.3">
      <c r="A387" s="100">
        <v>386</v>
      </c>
      <c r="B387" s="131">
        <f t="shared" si="281"/>
        <v>10894</v>
      </c>
      <c r="C387" s="102">
        <f t="shared" si="282"/>
        <v>0</v>
      </c>
      <c r="D387" s="102">
        <f t="shared" si="283"/>
        <v>0</v>
      </c>
      <c r="E387" s="102">
        <f t="shared" si="284"/>
        <v>0</v>
      </c>
      <c r="F387" s="102">
        <f t="shared" si="285"/>
        <v>0</v>
      </c>
      <c r="L387" s="100">
        <v>386</v>
      </c>
      <c r="M387" s="131">
        <f t="shared" ca="1" si="286"/>
        <v>57914</v>
      </c>
      <c r="N387" s="102">
        <f t="shared" si="287"/>
        <v>0</v>
      </c>
      <c r="O387" s="102">
        <f t="shared" si="288"/>
        <v>0</v>
      </c>
      <c r="P387" s="102">
        <f t="shared" si="289"/>
        <v>0</v>
      </c>
      <c r="Q387" s="102">
        <f t="shared" si="290"/>
        <v>0</v>
      </c>
      <c r="W387" s="100">
        <v>386</v>
      </c>
      <c r="X387" s="131">
        <f t="shared" ca="1" si="291"/>
        <v>57914</v>
      </c>
      <c r="Y387" s="102">
        <f t="shared" si="292"/>
        <v>0</v>
      </c>
      <c r="Z387" s="102">
        <f t="shared" si="293"/>
        <v>0</v>
      </c>
      <c r="AA387" s="102">
        <f t="shared" si="294"/>
        <v>0</v>
      </c>
      <c r="AB387" s="102">
        <f t="shared" si="295"/>
        <v>0</v>
      </c>
      <c r="AH387" s="100">
        <v>386</v>
      </c>
      <c r="AI387" s="131">
        <f t="shared" ca="1" si="296"/>
        <v>57914</v>
      </c>
      <c r="AJ387" s="102">
        <f t="shared" si="297"/>
        <v>0</v>
      </c>
      <c r="AK387" s="102">
        <f t="shared" si="298"/>
        <v>0</v>
      </c>
      <c r="AL387" s="102">
        <f t="shared" si="299"/>
        <v>0</v>
      </c>
      <c r="AM387" s="102">
        <f t="shared" si="300"/>
        <v>0</v>
      </c>
      <c r="AS387" s="530">
        <v>386</v>
      </c>
      <c r="AT387" s="531">
        <f t="shared" ca="1" si="270"/>
        <v>57914</v>
      </c>
      <c r="AU387" s="532">
        <f ca="1">IF(AU386=0,SUMIFS('Key Life Events'!$L$3:$L$28,'Key Life Events'!$H$3:$H$28,'Loan Amortization'!$AY$3,'Key Life Events'!$N$3:$N$28,'Loan Amortization'!AT387),AU386-AX386)</f>
        <v>0</v>
      </c>
      <c r="AV387" s="532">
        <f t="shared" ca="1" si="271"/>
        <v>0</v>
      </c>
      <c r="AW387" s="532">
        <f t="shared" ca="1" si="304"/>
        <v>0</v>
      </c>
      <c r="AX387" s="532">
        <f t="shared" ref="AX387:AX450" ca="1" si="305">AV387-AW387</f>
        <v>0</v>
      </c>
      <c r="BC387" s="536">
        <f t="shared" ref="BC387:BC450" ca="1" si="306">YEAR(AT387)</f>
        <v>2058</v>
      </c>
      <c r="BF387" s="530">
        <v>386</v>
      </c>
      <c r="BG387" s="531">
        <f t="shared" ca="1" si="272"/>
        <v>57914</v>
      </c>
      <c r="BH387" s="532">
        <f ca="1">IF(BH386=0,SUMIFS('Key Life Events'!$L$3:$L$28,'Key Life Events'!$H$3:$H$28,'Loan Amortization'!$BL$3,'Key Life Events'!$N$3:$N$28,'Loan Amortization'!BG387),BH386-BK386)</f>
        <v>0</v>
      </c>
      <c r="BI387" s="532">
        <f t="shared" ca="1" si="273"/>
        <v>0</v>
      </c>
      <c r="BJ387" s="532">
        <f t="shared" ca="1" si="274"/>
        <v>0</v>
      </c>
      <c r="BK387" s="532">
        <f t="shared" ref="BK387:BK450" ca="1" si="307">BI387-BJ387</f>
        <v>0</v>
      </c>
      <c r="BP387" s="536">
        <f t="shared" ref="BP387:BP450" ca="1" si="308">YEAR(BG387)</f>
        <v>2058</v>
      </c>
      <c r="BS387" s="530">
        <v>386</v>
      </c>
      <c r="BT387" s="531">
        <f t="shared" ca="1" si="275"/>
        <v>57914</v>
      </c>
      <c r="BU387" s="532">
        <f ca="1">IF(BU386=0,SUMIFS('Key Life Events'!$L$3:$L$28,'Key Life Events'!$H$3:$H$28,'Loan Amortization'!$BY$3,'Key Life Events'!$N$3:$N$28,'Loan Amortization'!BT387),BU386-BX386)</f>
        <v>0</v>
      </c>
      <c r="BV387" s="532">
        <f t="shared" ca="1" si="280"/>
        <v>0</v>
      </c>
      <c r="BW387" s="532">
        <f t="shared" ca="1" si="276"/>
        <v>0</v>
      </c>
      <c r="BX387" s="532">
        <f t="shared" ref="BX387:BX450" ca="1" si="309">BV387-BW387</f>
        <v>0</v>
      </c>
      <c r="CC387" s="536">
        <f t="shared" ref="CC387:CC450" ca="1" si="310">YEAR(BT387)</f>
        <v>2058</v>
      </c>
      <c r="CF387" s="530">
        <v>386</v>
      </c>
      <c r="CG387" s="531">
        <f t="shared" ca="1" si="277"/>
        <v>57914</v>
      </c>
      <c r="CH387" s="532">
        <f ca="1">IF(CH386=0,SUMIFS('Key Life Events'!$L$3:$L$28,'Key Life Events'!$H$3:$H$28,'Loan Amortization'!$CL$3,'Key Life Events'!$N$3:$N$28,'Loan Amortization'!CG387),CH386-CK386)</f>
        <v>0</v>
      </c>
      <c r="CI387" s="532">
        <f t="shared" ca="1" si="278"/>
        <v>0</v>
      </c>
      <c r="CJ387" s="532">
        <f t="shared" ca="1" si="279"/>
        <v>0</v>
      </c>
      <c r="CK387" s="532">
        <f t="shared" ref="CK387:CK450" ca="1" si="311">CI387-CJ387</f>
        <v>0</v>
      </c>
      <c r="CP387" s="536">
        <f t="shared" ref="CP387:CP450" ca="1" si="312">YEAR(CG387)</f>
        <v>2058</v>
      </c>
      <c r="CS387" s="100">
        <f t="shared" si="301"/>
        <v>386</v>
      </c>
      <c r="CT387" s="102">
        <f t="shared" ca="1" si="302"/>
        <v>0</v>
      </c>
      <c r="CU387" s="102">
        <f t="shared" ca="1" si="303"/>
        <v>0</v>
      </c>
      <c r="CV387" s="511">
        <f t="shared" ref="CV387:CV450" ca="1" si="313">MAX(TEXT(B387,"yyyy"),TEXT(M387,"yyyy"),TEXT(X387,"yyyy"),TEXT(AT387,"yyyy"),TEXT(AI387,"yyyy"),TEXT(BG387,"yyyy"),TEXT(BT387,"yyyy"),TEXT(CG387,"yyyy"))</f>
        <v>2058</v>
      </c>
    </row>
    <row r="388" spans="1:100" x14ac:dyDescent="0.3">
      <c r="A388" s="100">
        <v>387</v>
      </c>
      <c r="B388" s="131">
        <f t="shared" si="281"/>
        <v>10925</v>
      </c>
      <c r="C388" s="102">
        <f t="shared" si="282"/>
        <v>0</v>
      </c>
      <c r="D388" s="102">
        <f t="shared" si="283"/>
        <v>0</v>
      </c>
      <c r="E388" s="102">
        <f t="shared" si="284"/>
        <v>0</v>
      </c>
      <c r="F388" s="102">
        <f t="shared" si="285"/>
        <v>0</v>
      </c>
      <c r="L388" s="100">
        <v>387</v>
      </c>
      <c r="M388" s="131">
        <f t="shared" ca="1" si="286"/>
        <v>57945</v>
      </c>
      <c r="N388" s="102">
        <f t="shared" si="287"/>
        <v>0</v>
      </c>
      <c r="O388" s="102">
        <f t="shared" si="288"/>
        <v>0</v>
      </c>
      <c r="P388" s="102">
        <f t="shared" si="289"/>
        <v>0</v>
      </c>
      <c r="Q388" s="102">
        <f t="shared" si="290"/>
        <v>0</v>
      </c>
      <c r="W388" s="100">
        <v>387</v>
      </c>
      <c r="X388" s="131">
        <f t="shared" ca="1" si="291"/>
        <v>57945</v>
      </c>
      <c r="Y388" s="102">
        <f t="shared" si="292"/>
        <v>0</v>
      </c>
      <c r="Z388" s="102">
        <f t="shared" si="293"/>
        <v>0</v>
      </c>
      <c r="AA388" s="102">
        <f t="shared" si="294"/>
        <v>0</v>
      </c>
      <c r="AB388" s="102">
        <f t="shared" si="295"/>
        <v>0</v>
      </c>
      <c r="AH388" s="100">
        <v>387</v>
      </c>
      <c r="AI388" s="131">
        <f t="shared" ca="1" si="296"/>
        <v>57945</v>
      </c>
      <c r="AJ388" s="102">
        <f t="shared" si="297"/>
        <v>0</v>
      </c>
      <c r="AK388" s="102">
        <f t="shared" si="298"/>
        <v>0</v>
      </c>
      <c r="AL388" s="102">
        <f t="shared" si="299"/>
        <v>0</v>
      </c>
      <c r="AM388" s="102">
        <f t="shared" si="300"/>
        <v>0</v>
      </c>
      <c r="AS388" s="530">
        <v>387</v>
      </c>
      <c r="AT388" s="531">
        <f t="shared" ref="AT388:AT451" ca="1" si="314">IF(AU387&lt;AV387,,EDATE(AT387,1))</f>
        <v>57945</v>
      </c>
      <c r="AU388" s="532">
        <f ca="1">IF(AU387=0,SUMIFS('Key Life Events'!$L$3:$L$28,'Key Life Events'!$H$3:$H$28,'Loan Amortization'!$AY$3,'Key Life Events'!$N$3:$N$28,'Loan Amortization'!AT388),AU387-AX387)</f>
        <v>0</v>
      </c>
      <c r="AV388" s="532">
        <f t="shared" ref="AV388:AV451" ca="1" si="315">IF(AND(AU387=0,AU388&gt;0),PMT($AZ$1/12,$BB$1*12,-AU388,0,0),IF(AU388&lt;=AV387,AU388+AW388,AV387))</f>
        <v>0</v>
      </c>
      <c r="AW388" s="532">
        <f t="shared" ca="1" si="304"/>
        <v>0</v>
      </c>
      <c r="AX388" s="532">
        <f t="shared" ca="1" si="305"/>
        <v>0</v>
      </c>
      <c r="BC388" s="536">
        <f t="shared" ca="1" si="306"/>
        <v>2058</v>
      </c>
      <c r="BF388" s="530">
        <v>387</v>
      </c>
      <c r="BG388" s="531">
        <f t="shared" ref="BG388:BG451" ca="1" si="316">IF(BH387&lt;BI387,,EDATE(BG387,1))</f>
        <v>57945</v>
      </c>
      <c r="BH388" s="532">
        <f ca="1">IF(BH387=0,SUMIFS('Key Life Events'!$L$3:$L$28,'Key Life Events'!$H$3:$H$28,'Loan Amortization'!$BL$3,'Key Life Events'!$N$3:$N$28,'Loan Amortization'!BG388),BH387-BK387)</f>
        <v>0</v>
      </c>
      <c r="BI388" s="532">
        <f t="shared" ref="BI388:BI451" ca="1" si="317">IF(AND(BH387=0,BH388&gt;0),PMT(BM$1/12,BO$1*12,-BH388,0,0),IF(BH388&lt;=BI387,BH388+BJ388,BI387))</f>
        <v>0</v>
      </c>
      <c r="BJ388" s="532">
        <f t="shared" ref="BJ388:BJ451" ca="1" si="318">(BH388*BM$1)/12</f>
        <v>0</v>
      </c>
      <c r="BK388" s="532">
        <f t="shared" ca="1" si="307"/>
        <v>0</v>
      </c>
      <c r="BP388" s="536">
        <f t="shared" ca="1" si="308"/>
        <v>2058</v>
      </c>
      <c r="BS388" s="530">
        <v>387</v>
      </c>
      <c r="BT388" s="531">
        <f t="shared" ref="BT388:BT451" ca="1" si="319">IF(BU387&lt;BV387,,EDATE(BT387,1))</f>
        <v>57945</v>
      </c>
      <c r="BU388" s="532">
        <f ca="1">IF(BU387=0,SUMIFS('Key Life Events'!$L$3:$L$28,'Key Life Events'!$H$3:$H$28,'Loan Amortization'!$BY$3,'Key Life Events'!$N$3:$N$28,'Loan Amortization'!BT388),BU387-BX387)</f>
        <v>0</v>
      </c>
      <c r="BV388" s="532">
        <f t="shared" ca="1" si="280"/>
        <v>0</v>
      </c>
      <c r="BW388" s="532">
        <f t="shared" ref="BW388:BW451" ca="1" si="320">(BU388*BZ$1)/12</f>
        <v>0</v>
      </c>
      <c r="BX388" s="532">
        <f t="shared" ca="1" si="309"/>
        <v>0</v>
      </c>
      <c r="CC388" s="536">
        <f t="shared" ca="1" si="310"/>
        <v>2058</v>
      </c>
      <c r="CF388" s="530">
        <v>387</v>
      </c>
      <c r="CG388" s="531">
        <f t="shared" ref="CG388:CG451" ca="1" si="321">IF(CH387&lt;CI387,,EDATE(CG387,1))</f>
        <v>57945</v>
      </c>
      <c r="CH388" s="532">
        <f ca="1">IF(CH387=0,SUMIFS('Key Life Events'!$L$3:$L$28,'Key Life Events'!$H$3:$H$28,'Loan Amortization'!$CL$3,'Key Life Events'!$N$3:$N$28,'Loan Amortization'!CG388),CH387-CK387)</f>
        <v>0</v>
      </c>
      <c r="CI388" s="532">
        <f t="shared" ref="CI388:CI451" ca="1" si="322">IF(AND(CH387=0,CH388&gt;0),PMT(CM$1/12,CO$1*12,-CH388,0,0),IF(CH388&lt;=CI387,CH388+CJ388,CI387))</f>
        <v>0</v>
      </c>
      <c r="CJ388" s="532">
        <f t="shared" ref="CJ388:CJ451" ca="1" si="323">(CH388*CM$1)/12</f>
        <v>0</v>
      </c>
      <c r="CK388" s="532">
        <f t="shared" ca="1" si="311"/>
        <v>0</v>
      </c>
      <c r="CP388" s="536">
        <f t="shared" ca="1" si="312"/>
        <v>2058</v>
      </c>
      <c r="CS388" s="100">
        <f t="shared" si="301"/>
        <v>387</v>
      </c>
      <c r="CT388" s="102">
        <f t="shared" ca="1" si="302"/>
        <v>0</v>
      </c>
      <c r="CU388" s="102">
        <f t="shared" ca="1" si="303"/>
        <v>0</v>
      </c>
      <c r="CV388" s="511">
        <f t="shared" ca="1" si="313"/>
        <v>2058</v>
      </c>
    </row>
    <row r="389" spans="1:100" x14ac:dyDescent="0.3">
      <c r="A389" s="100">
        <v>388</v>
      </c>
      <c r="B389" s="131">
        <f t="shared" si="281"/>
        <v>10955</v>
      </c>
      <c r="C389" s="102">
        <f t="shared" si="282"/>
        <v>0</v>
      </c>
      <c r="D389" s="102">
        <f t="shared" si="283"/>
        <v>0</v>
      </c>
      <c r="E389" s="102">
        <f t="shared" si="284"/>
        <v>0</v>
      </c>
      <c r="F389" s="102">
        <f t="shared" si="285"/>
        <v>0</v>
      </c>
      <c r="L389" s="100">
        <v>388</v>
      </c>
      <c r="M389" s="131">
        <f t="shared" ca="1" si="286"/>
        <v>57976</v>
      </c>
      <c r="N389" s="102">
        <f t="shared" si="287"/>
        <v>0</v>
      </c>
      <c r="O389" s="102">
        <f t="shared" si="288"/>
        <v>0</v>
      </c>
      <c r="P389" s="102">
        <f t="shared" si="289"/>
        <v>0</v>
      </c>
      <c r="Q389" s="102">
        <f t="shared" si="290"/>
        <v>0</v>
      </c>
      <c r="W389" s="100">
        <v>388</v>
      </c>
      <c r="X389" s="131">
        <f t="shared" ca="1" si="291"/>
        <v>57976</v>
      </c>
      <c r="Y389" s="102">
        <f t="shared" si="292"/>
        <v>0</v>
      </c>
      <c r="Z389" s="102">
        <f t="shared" si="293"/>
        <v>0</v>
      </c>
      <c r="AA389" s="102">
        <f t="shared" si="294"/>
        <v>0</v>
      </c>
      <c r="AB389" s="102">
        <f t="shared" si="295"/>
        <v>0</v>
      </c>
      <c r="AH389" s="100">
        <v>388</v>
      </c>
      <c r="AI389" s="131">
        <f t="shared" ca="1" si="296"/>
        <v>57976</v>
      </c>
      <c r="AJ389" s="102">
        <f t="shared" si="297"/>
        <v>0</v>
      </c>
      <c r="AK389" s="102">
        <f t="shared" si="298"/>
        <v>0</v>
      </c>
      <c r="AL389" s="102">
        <f t="shared" si="299"/>
        <v>0</v>
      </c>
      <c r="AM389" s="102">
        <f t="shared" si="300"/>
        <v>0</v>
      </c>
      <c r="AS389" s="530">
        <v>388</v>
      </c>
      <c r="AT389" s="531">
        <f t="shared" ca="1" si="314"/>
        <v>57976</v>
      </c>
      <c r="AU389" s="532">
        <f ca="1">IF(AU388=0,SUMIFS('Key Life Events'!$L$3:$L$28,'Key Life Events'!$H$3:$H$28,'Loan Amortization'!$AY$3,'Key Life Events'!$N$3:$N$28,'Loan Amortization'!AT389),AU388-AX388)</f>
        <v>0</v>
      </c>
      <c r="AV389" s="532">
        <f t="shared" ca="1" si="315"/>
        <v>0</v>
      </c>
      <c r="AW389" s="532">
        <f t="shared" ca="1" si="304"/>
        <v>0</v>
      </c>
      <c r="AX389" s="532">
        <f t="shared" ca="1" si="305"/>
        <v>0</v>
      </c>
      <c r="BC389" s="536">
        <f t="shared" ca="1" si="306"/>
        <v>2058</v>
      </c>
      <c r="BF389" s="530">
        <v>388</v>
      </c>
      <c r="BG389" s="531">
        <f t="shared" ca="1" si="316"/>
        <v>57976</v>
      </c>
      <c r="BH389" s="532">
        <f ca="1">IF(BH388=0,SUMIFS('Key Life Events'!$L$3:$L$28,'Key Life Events'!$H$3:$H$28,'Loan Amortization'!$BL$3,'Key Life Events'!$N$3:$N$28,'Loan Amortization'!BG389),BH388-BK388)</f>
        <v>0</v>
      </c>
      <c r="BI389" s="532">
        <f t="shared" ca="1" si="317"/>
        <v>0</v>
      </c>
      <c r="BJ389" s="532">
        <f t="shared" ca="1" si="318"/>
        <v>0</v>
      </c>
      <c r="BK389" s="532">
        <f t="shared" ca="1" si="307"/>
        <v>0</v>
      </c>
      <c r="BP389" s="536">
        <f t="shared" ca="1" si="308"/>
        <v>2058</v>
      </c>
      <c r="BS389" s="530">
        <v>388</v>
      </c>
      <c r="BT389" s="531">
        <f t="shared" ca="1" si="319"/>
        <v>57976</v>
      </c>
      <c r="BU389" s="532">
        <f ca="1">IF(BU388=0,SUMIFS('Key Life Events'!$L$3:$L$28,'Key Life Events'!$H$3:$H$28,'Loan Amortization'!$BY$3,'Key Life Events'!$N$3:$N$28,'Loan Amortization'!BT389),BU388-BX388)</f>
        <v>0</v>
      </c>
      <c r="BV389" s="532">
        <f t="shared" ca="1" si="280"/>
        <v>0</v>
      </c>
      <c r="BW389" s="532">
        <f t="shared" ca="1" si="320"/>
        <v>0</v>
      </c>
      <c r="BX389" s="532">
        <f t="shared" ca="1" si="309"/>
        <v>0</v>
      </c>
      <c r="CC389" s="536">
        <f t="shared" ca="1" si="310"/>
        <v>2058</v>
      </c>
      <c r="CF389" s="530">
        <v>388</v>
      </c>
      <c r="CG389" s="531">
        <f t="shared" ca="1" si="321"/>
        <v>57976</v>
      </c>
      <c r="CH389" s="532">
        <f ca="1">IF(CH388=0,SUMIFS('Key Life Events'!$L$3:$L$28,'Key Life Events'!$H$3:$H$28,'Loan Amortization'!$CL$3,'Key Life Events'!$N$3:$N$28,'Loan Amortization'!CG389),CH388-CK388)</f>
        <v>0</v>
      </c>
      <c r="CI389" s="532">
        <f t="shared" ca="1" si="322"/>
        <v>0</v>
      </c>
      <c r="CJ389" s="532">
        <f t="shared" ca="1" si="323"/>
        <v>0</v>
      </c>
      <c r="CK389" s="532">
        <f t="shared" ca="1" si="311"/>
        <v>0</v>
      </c>
      <c r="CP389" s="536">
        <f t="shared" ca="1" si="312"/>
        <v>2058</v>
      </c>
      <c r="CS389" s="100">
        <f t="shared" si="301"/>
        <v>388</v>
      </c>
      <c r="CT389" s="102">
        <f t="shared" ca="1" si="302"/>
        <v>0</v>
      </c>
      <c r="CU389" s="102">
        <f t="shared" ca="1" si="303"/>
        <v>0</v>
      </c>
      <c r="CV389" s="511">
        <f t="shared" ca="1" si="313"/>
        <v>2058</v>
      </c>
    </row>
    <row r="390" spans="1:100" x14ac:dyDescent="0.3">
      <c r="A390" s="100">
        <v>389</v>
      </c>
      <c r="B390" s="131">
        <f t="shared" si="281"/>
        <v>10986</v>
      </c>
      <c r="C390" s="102">
        <f t="shared" si="282"/>
        <v>0</v>
      </c>
      <c r="D390" s="102">
        <f t="shared" si="283"/>
        <v>0</v>
      </c>
      <c r="E390" s="102">
        <f t="shared" si="284"/>
        <v>0</v>
      </c>
      <c r="F390" s="102">
        <f t="shared" si="285"/>
        <v>0</v>
      </c>
      <c r="L390" s="100">
        <v>389</v>
      </c>
      <c r="M390" s="131">
        <f t="shared" ca="1" si="286"/>
        <v>58006</v>
      </c>
      <c r="N390" s="102">
        <f t="shared" si="287"/>
        <v>0</v>
      </c>
      <c r="O390" s="102">
        <f t="shared" si="288"/>
        <v>0</v>
      </c>
      <c r="P390" s="102">
        <f t="shared" si="289"/>
        <v>0</v>
      </c>
      <c r="Q390" s="102">
        <f t="shared" si="290"/>
        <v>0</v>
      </c>
      <c r="W390" s="100">
        <v>389</v>
      </c>
      <c r="X390" s="131">
        <f t="shared" ca="1" si="291"/>
        <v>58006</v>
      </c>
      <c r="Y390" s="102">
        <f t="shared" si="292"/>
        <v>0</v>
      </c>
      <c r="Z390" s="102">
        <f t="shared" si="293"/>
        <v>0</v>
      </c>
      <c r="AA390" s="102">
        <f t="shared" si="294"/>
        <v>0</v>
      </c>
      <c r="AB390" s="102">
        <f t="shared" si="295"/>
        <v>0</v>
      </c>
      <c r="AH390" s="100">
        <v>389</v>
      </c>
      <c r="AI390" s="131">
        <f t="shared" ca="1" si="296"/>
        <v>58006</v>
      </c>
      <c r="AJ390" s="102">
        <f t="shared" si="297"/>
        <v>0</v>
      </c>
      <c r="AK390" s="102">
        <f t="shared" si="298"/>
        <v>0</v>
      </c>
      <c r="AL390" s="102">
        <f t="shared" si="299"/>
        <v>0</v>
      </c>
      <c r="AM390" s="102">
        <f t="shared" si="300"/>
        <v>0</v>
      </c>
      <c r="AS390" s="530">
        <v>389</v>
      </c>
      <c r="AT390" s="531">
        <f t="shared" ca="1" si="314"/>
        <v>58006</v>
      </c>
      <c r="AU390" s="532">
        <f ca="1">IF(AU389=0,SUMIFS('Key Life Events'!$L$3:$L$28,'Key Life Events'!$H$3:$H$28,'Loan Amortization'!$AY$3,'Key Life Events'!$N$3:$N$28,'Loan Amortization'!AT390),AU389-AX389)</f>
        <v>0</v>
      </c>
      <c r="AV390" s="532">
        <f t="shared" ca="1" si="315"/>
        <v>0</v>
      </c>
      <c r="AW390" s="532">
        <f t="shared" ca="1" si="304"/>
        <v>0</v>
      </c>
      <c r="AX390" s="532">
        <f t="shared" ca="1" si="305"/>
        <v>0</v>
      </c>
      <c r="BC390" s="536">
        <f t="shared" ca="1" si="306"/>
        <v>2058</v>
      </c>
      <c r="BF390" s="530">
        <v>389</v>
      </c>
      <c r="BG390" s="531">
        <f t="shared" ca="1" si="316"/>
        <v>58006</v>
      </c>
      <c r="BH390" s="532">
        <f ca="1">IF(BH389=0,SUMIFS('Key Life Events'!$L$3:$L$28,'Key Life Events'!$H$3:$H$28,'Loan Amortization'!$BL$3,'Key Life Events'!$N$3:$N$28,'Loan Amortization'!BG390),BH389-BK389)</f>
        <v>0</v>
      </c>
      <c r="BI390" s="532">
        <f t="shared" ca="1" si="317"/>
        <v>0</v>
      </c>
      <c r="BJ390" s="532">
        <f t="shared" ca="1" si="318"/>
        <v>0</v>
      </c>
      <c r="BK390" s="532">
        <f t="shared" ca="1" si="307"/>
        <v>0</v>
      </c>
      <c r="BP390" s="536">
        <f t="shared" ca="1" si="308"/>
        <v>2058</v>
      </c>
      <c r="BS390" s="530">
        <v>389</v>
      </c>
      <c r="BT390" s="531">
        <f t="shared" ca="1" si="319"/>
        <v>58006</v>
      </c>
      <c r="BU390" s="532">
        <f ca="1">IF(BU389=0,SUMIFS('Key Life Events'!$L$3:$L$28,'Key Life Events'!$H$3:$H$28,'Loan Amortization'!$BY$3,'Key Life Events'!$N$3:$N$28,'Loan Amortization'!BT390),BU389-BX389)</f>
        <v>0</v>
      </c>
      <c r="BV390" s="532">
        <f t="shared" ref="BV390:BV453" ca="1" si="324">IF(AND(BU389=0,BU390&gt;0),PMT(BZ$1/12,CB$1*12,-BU390,0,0),IF(BU390&lt;=BV389,BU390+BW390,BV389))</f>
        <v>0</v>
      </c>
      <c r="BW390" s="532">
        <f t="shared" ca="1" si="320"/>
        <v>0</v>
      </c>
      <c r="BX390" s="532">
        <f t="shared" ca="1" si="309"/>
        <v>0</v>
      </c>
      <c r="CC390" s="536">
        <f t="shared" ca="1" si="310"/>
        <v>2058</v>
      </c>
      <c r="CF390" s="530">
        <v>389</v>
      </c>
      <c r="CG390" s="531">
        <f t="shared" ca="1" si="321"/>
        <v>58006</v>
      </c>
      <c r="CH390" s="532">
        <f ca="1">IF(CH389=0,SUMIFS('Key Life Events'!$L$3:$L$28,'Key Life Events'!$H$3:$H$28,'Loan Amortization'!$CL$3,'Key Life Events'!$N$3:$N$28,'Loan Amortization'!CG390),CH389-CK389)</f>
        <v>0</v>
      </c>
      <c r="CI390" s="532">
        <f t="shared" ca="1" si="322"/>
        <v>0</v>
      </c>
      <c r="CJ390" s="532">
        <f t="shared" ca="1" si="323"/>
        <v>0</v>
      </c>
      <c r="CK390" s="532">
        <f t="shared" ca="1" si="311"/>
        <v>0</v>
      </c>
      <c r="CP390" s="536">
        <f t="shared" ca="1" si="312"/>
        <v>2058</v>
      </c>
      <c r="CS390" s="100">
        <f t="shared" si="301"/>
        <v>389</v>
      </c>
      <c r="CT390" s="102">
        <f t="shared" ca="1" si="302"/>
        <v>0</v>
      </c>
      <c r="CU390" s="102">
        <f t="shared" ca="1" si="303"/>
        <v>0</v>
      </c>
      <c r="CV390" s="511">
        <f t="shared" ca="1" si="313"/>
        <v>2058</v>
      </c>
    </row>
    <row r="391" spans="1:100" x14ac:dyDescent="0.3">
      <c r="A391" s="100">
        <v>390</v>
      </c>
      <c r="B391" s="131">
        <f t="shared" si="281"/>
        <v>11017</v>
      </c>
      <c r="C391" s="102">
        <f t="shared" si="282"/>
        <v>0</v>
      </c>
      <c r="D391" s="102">
        <f t="shared" si="283"/>
        <v>0</v>
      </c>
      <c r="E391" s="102">
        <f t="shared" si="284"/>
        <v>0</v>
      </c>
      <c r="F391" s="102">
        <f t="shared" si="285"/>
        <v>0</v>
      </c>
      <c r="L391" s="100">
        <v>390</v>
      </c>
      <c r="M391" s="131">
        <f t="shared" ca="1" si="286"/>
        <v>58037</v>
      </c>
      <c r="N391" s="102">
        <f t="shared" si="287"/>
        <v>0</v>
      </c>
      <c r="O391" s="102">
        <f t="shared" si="288"/>
        <v>0</v>
      </c>
      <c r="P391" s="102">
        <f t="shared" si="289"/>
        <v>0</v>
      </c>
      <c r="Q391" s="102">
        <f t="shared" si="290"/>
        <v>0</v>
      </c>
      <c r="W391" s="100">
        <v>390</v>
      </c>
      <c r="X391" s="131">
        <f t="shared" ca="1" si="291"/>
        <v>58037</v>
      </c>
      <c r="Y391" s="102">
        <f t="shared" si="292"/>
        <v>0</v>
      </c>
      <c r="Z391" s="102">
        <f t="shared" si="293"/>
        <v>0</v>
      </c>
      <c r="AA391" s="102">
        <f t="shared" si="294"/>
        <v>0</v>
      </c>
      <c r="AB391" s="102">
        <f t="shared" si="295"/>
        <v>0</v>
      </c>
      <c r="AH391" s="100">
        <v>390</v>
      </c>
      <c r="AI391" s="131">
        <f t="shared" ca="1" si="296"/>
        <v>58037</v>
      </c>
      <c r="AJ391" s="102">
        <f t="shared" si="297"/>
        <v>0</v>
      </c>
      <c r="AK391" s="102">
        <f t="shared" si="298"/>
        <v>0</v>
      </c>
      <c r="AL391" s="102">
        <f t="shared" si="299"/>
        <v>0</v>
      </c>
      <c r="AM391" s="102">
        <f t="shared" si="300"/>
        <v>0</v>
      </c>
      <c r="AS391" s="530">
        <v>390</v>
      </c>
      <c r="AT391" s="531">
        <f t="shared" ca="1" si="314"/>
        <v>58037</v>
      </c>
      <c r="AU391" s="532">
        <f ca="1">IF(AU390=0,SUMIFS('Key Life Events'!$L$3:$L$28,'Key Life Events'!$H$3:$H$28,'Loan Amortization'!$AY$3,'Key Life Events'!$N$3:$N$28,'Loan Amortization'!AT391),AU390-AX390)</f>
        <v>0</v>
      </c>
      <c r="AV391" s="532">
        <f t="shared" ca="1" si="315"/>
        <v>0</v>
      </c>
      <c r="AW391" s="532">
        <f t="shared" ca="1" si="304"/>
        <v>0</v>
      </c>
      <c r="AX391" s="532">
        <f t="shared" ca="1" si="305"/>
        <v>0</v>
      </c>
      <c r="BC391" s="536">
        <f t="shared" ca="1" si="306"/>
        <v>2058</v>
      </c>
      <c r="BF391" s="530">
        <v>390</v>
      </c>
      <c r="BG391" s="531">
        <f t="shared" ca="1" si="316"/>
        <v>58037</v>
      </c>
      <c r="BH391" s="532">
        <f ca="1">IF(BH390=0,SUMIFS('Key Life Events'!$L$3:$L$28,'Key Life Events'!$H$3:$H$28,'Loan Amortization'!$BL$3,'Key Life Events'!$N$3:$N$28,'Loan Amortization'!BG391),BH390-BK390)</f>
        <v>0</v>
      </c>
      <c r="BI391" s="532">
        <f t="shared" ca="1" si="317"/>
        <v>0</v>
      </c>
      <c r="BJ391" s="532">
        <f t="shared" ca="1" si="318"/>
        <v>0</v>
      </c>
      <c r="BK391" s="532">
        <f t="shared" ca="1" si="307"/>
        <v>0</v>
      </c>
      <c r="BP391" s="536">
        <f t="shared" ca="1" si="308"/>
        <v>2058</v>
      </c>
      <c r="BS391" s="530">
        <v>390</v>
      </c>
      <c r="BT391" s="531">
        <f t="shared" ca="1" si="319"/>
        <v>58037</v>
      </c>
      <c r="BU391" s="532">
        <f ca="1">IF(BU390=0,SUMIFS('Key Life Events'!$L$3:$L$28,'Key Life Events'!$H$3:$H$28,'Loan Amortization'!$BY$3,'Key Life Events'!$N$3:$N$28,'Loan Amortization'!BT391),BU390-BX390)</f>
        <v>0</v>
      </c>
      <c r="BV391" s="532">
        <f t="shared" ca="1" si="324"/>
        <v>0</v>
      </c>
      <c r="BW391" s="532">
        <f t="shared" ca="1" si="320"/>
        <v>0</v>
      </c>
      <c r="BX391" s="532">
        <f t="shared" ca="1" si="309"/>
        <v>0</v>
      </c>
      <c r="CC391" s="536">
        <f t="shared" ca="1" si="310"/>
        <v>2058</v>
      </c>
      <c r="CF391" s="530">
        <v>390</v>
      </c>
      <c r="CG391" s="531">
        <f t="shared" ca="1" si="321"/>
        <v>58037</v>
      </c>
      <c r="CH391" s="532">
        <f ca="1">IF(CH390=0,SUMIFS('Key Life Events'!$L$3:$L$28,'Key Life Events'!$H$3:$H$28,'Loan Amortization'!$CL$3,'Key Life Events'!$N$3:$N$28,'Loan Amortization'!CG391),CH390-CK390)</f>
        <v>0</v>
      </c>
      <c r="CI391" s="532">
        <f t="shared" ca="1" si="322"/>
        <v>0</v>
      </c>
      <c r="CJ391" s="532">
        <f t="shared" ca="1" si="323"/>
        <v>0</v>
      </c>
      <c r="CK391" s="532">
        <f t="shared" ca="1" si="311"/>
        <v>0</v>
      </c>
      <c r="CP391" s="536">
        <f t="shared" ca="1" si="312"/>
        <v>2058</v>
      </c>
      <c r="CS391" s="100">
        <f t="shared" si="301"/>
        <v>390</v>
      </c>
      <c r="CT391" s="102">
        <f t="shared" ca="1" si="302"/>
        <v>0</v>
      </c>
      <c r="CU391" s="102">
        <f t="shared" ca="1" si="303"/>
        <v>0</v>
      </c>
      <c r="CV391" s="511">
        <f t="shared" ca="1" si="313"/>
        <v>2058</v>
      </c>
    </row>
    <row r="392" spans="1:100" x14ac:dyDescent="0.3">
      <c r="A392" s="100">
        <v>391</v>
      </c>
      <c r="B392" s="131">
        <f t="shared" si="281"/>
        <v>11045</v>
      </c>
      <c r="C392" s="102">
        <f t="shared" si="282"/>
        <v>0</v>
      </c>
      <c r="D392" s="102">
        <f t="shared" si="283"/>
        <v>0</v>
      </c>
      <c r="E392" s="102">
        <f t="shared" si="284"/>
        <v>0</v>
      </c>
      <c r="F392" s="102">
        <f t="shared" si="285"/>
        <v>0</v>
      </c>
      <c r="L392" s="100">
        <v>391</v>
      </c>
      <c r="M392" s="131">
        <f t="shared" ca="1" si="286"/>
        <v>58067</v>
      </c>
      <c r="N392" s="102">
        <f t="shared" si="287"/>
        <v>0</v>
      </c>
      <c r="O392" s="102">
        <f t="shared" si="288"/>
        <v>0</v>
      </c>
      <c r="P392" s="102">
        <f t="shared" si="289"/>
        <v>0</v>
      </c>
      <c r="Q392" s="102">
        <f t="shared" si="290"/>
        <v>0</v>
      </c>
      <c r="W392" s="100">
        <v>391</v>
      </c>
      <c r="X392" s="131">
        <f t="shared" ca="1" si="291"/>
        <v>58067</v>
      </c>
      <c r="Y392" s="102">
        <f t="shared" si="292"/>
        <v>0</v>
      </c>
      <c r="Z392" s="102">
        <f t="shared" si="293"/>
        <v>0</v>
      </c>
      <c r="AA392" s="102">
        <f t="shared" si="294"/>
        <v>0</v>
      </c>
      <c r="AB392" s="102">
        <f t="shared" si="295"/>
        <v>0</v>
      </c>
      <c r="AH392" s="100">
        <v>391</v>
      </c>
      <c r="AI392" s="131">
        <f t="shared" ca="1" si="296"/>
        <v>58067</v>
      </c>
      <c r="AJ392" s="102">
        <f t="shared" si="297"/>
        <v>0</v>
      </c>
      <c r="AK392" s="102">
        <f t="shared" si="298"/>
        <v>0</v>
      </c>
      <c r="AL392" s="102">
        <f t="shared" si="299"/>
        <v>0</v>
      </c>
      <c r="AM392" s="102">
        <f t="shared" si="300"/>
        <v>0</v>
      </c>
      <c r="AS392" s="530">
        <v>391</v>
      </c>
      <c r="AT392" s="531">
        <f t="shared" ca="1" si="314"/>
        <v>58067</v>
      </c>
      <c r="AU392" s="532">
        <f ca="1">IF(AU391=0,SUMIFS('Key Life Events'!$L$3:$L$28,'Key Life Events'!$H$3:$H$28,'Loan Amortization'!$AY$3,'Key Life Events'!$N$3:$N$28,'Loan Amortization'!AT392),AU391-AX391)</f>
        <v>0</v>
      </c>
      <c r="AV392" s="532">
        <f t="shared" ca="1" si="315"/>
        <v>0</v>
      </c>
      <c r="AW392" s="532">
        <f t="shared" ca="1" si="304"/>
        <v>0</v>
      </c>
      <c r="AX392" s="532">
        <f t="shared" ca="1" si="305"/>
        <v>0</v>
      </c>
      <c r="BC392" s="536">
        <f t="shared" ca="1" si="306"/>
        <v>2058</v>
      </c>
      <c r="BF392" s="530">
        <v>391</v>
      </c>
      <c r="BG392" s="531">
        <f t="shared" ca="1" si="316"/>
        <v>58067</v>
      </c>
      <c r="BH392" s="532">
        <f ca="1">IF(BH391=0,SUMIFS('Key Life Events'!$L$3:$L$28,'Key Life Events'!$H$3:$H$28,'Loan Amortization'!$BL$3,'Key Life Events'!$N$3:$N$28,'Loan Amortization'!BG392),BH391-BK391)</f>
        <v>0</v>
      </c>
      <c r="BI392" s="532">
        <f t="shared" ca="1" si="317"/>
        <v>0</v>
      </c>
      <c r="BJ392" s="532">
        <f t="shared" ca="1" si="318"/>
        <v>0</v>
      </c>
      <c r="BK392" s="532">
        <f t="shared" ca="1" si="307"/>
        <v>0</v>
      </c>
      <c r="BP392" s="536">
        <f t="shared" ca="1" si="308"/>
        <v>2058</v>
      </c>
      <c r="BS392" s="530">
        <v>391</v>
      </c>
      <c r="BT392" s="531">
        <f t="shared" ca="1" si="319"/>
        <v>58067</v>
      </c>
      <c r="BU392" s="532">
        <f ca="1">IF(BU391=0,SUMIFS('Key Life Events'!$L$3:$L$28,'Key Life Events'!$H$3:$H$28,'Loan Amortization'!$BY$3,'Key Life Events'!$N$3:$N$28,'Loan Amortization'!BT392),BU391-BX391)</f>
        <v>0</v>
      </c>
      <c r="BV392" s="532">
        <f t="shared" ca="1" si="324"/>
        <v>0</v>
      </c>
      <c r="BW392" s="532">
        <f t="shared" ca="1" si="320"/>
        <v>0</v>
      </c>
      <c r="BX392" s="532">
        <f t="shared" ca="1" si="309"/>
        <v>0</v>
      </c>
      <c r="CC392" s="536">
        <f t="shared" ca="1" si="310"/>
        <v>2058</v>
      </c>
      <c r="CF392" s="530">
        <v>391</v>
      </c>
      <c r="CG392" s="531">
        <f t="shared" ca="1" si="321"/>
        <v>58067</v>
      </c>
      <c r="CH392" s="532">
        <f ca="1">IF(CH391=0,SUMIFS('Key Life Events'!$L$3:$L$28,'Key Life Events'!$H$3:$H$28,'Loan Amortization'!$CL$3,'Key Life Events'!$N$3:$N$28,'Loan Amortization'!CG392),CH391-CK391)</f>
        <v>0</v>
      </c>
      <c r="CI392" s="532">
        <f t="shared" ca="1" si="322"/>
        <v>0</v>
      </c>
      <c r="CJ392" s="532">
        <f t="shared" ca="1" si="323"/>
        <v>0</v>
      </c>
      <c r="CK392" s="532">
        <f t="shared" ca="1" si="311"/>
        <v>0</v>
      </c>
      <c r="CP392" s="536">
        <f t="shared" ca="1" si="312"/>
        <v>2058</v>
      </c>
      <c r="CS392" s="100">
        <f t="shared" si="301"/>
        <v>391</v>
      </c>
      <c r="CT392" s="102">
        <f t="shared" ca="1" si="302"/>
        <v>0</v>
      </c>
      <c r="CU392" s="102">
        <f t="shared" ca="1" si="303"/>
        <v>0</v>
      </c>
      <c r="CV392" s="511">
        <f t="shared" ca="1" si="313"/>
        <v>2058</v>
      </c>
    </row>
    <row r="393" spans="1:100" x14ac:dyDescent="0.3">
      <c r="A393" s="100">
        <v>392</v>
      </c>
      <c r="B393" s="131">
        <f t="shared" si="281"/>
        <v>11076</v>
      </c>
      <c r="C393" s="102">
        <f t="shared" si="282"/>
        <v>0</v>
      </c>
      <c r="D393" s="102">
        <f t="shared" si="283"/>
        <v>0</v>
      </c>
      <c r="E393" s="102">
        <f t="shared" si="284"/>
        <v>0</v>
      </c>
      <c r="F393" s="102">
        <f t="shared" si="285"/>
        <v>0</v>
      </c>
      <c r="L393" s="100">
        <v>392</v>
      </c>
      <c r="M393" s="131">
        <f t="shared" ca="1" si="286"/>
        <v>58098</v>
      </c>
      <c r="N393" s="102">
        <f t="shared" si="287"/>
        <v>0</v>
      </c>
      <c r="O393" s="102">
        <f t="shared" si="288"/>
        <v>0</v>
      </c>
      <c r="P393" s="102">
        <f t="shared" si="289"/>
        <v>0</v>
      </c>
      <c r="Q393" s="102">
        <f t="shared" si="290"/>
        <v>0</v>
      </c>
      <c r="W393" s="100">
        <v>392</v>
      </c>
      <c r="X393" s="131">
        <f t="shared" ca="1" si="291"/>
        <v>58098</v>
      </c>
      <c r="Y393" s="102">
        <f t="shared" si="292"/>
        <v>0</v>
      </c>
      <c r="Z393" s="102">
        <f t="shared" si="293"/>
        <v>0</v>
      </c>
      <c r="AA393" s="102">
        <f t="shared" si="294"/>
        <v>0</v>
      </c>
      <c r="AB393" s="102">
        <f t="shared" si="295"/>
        <v>0</v>
      </c>
      <c r="AH393" s="100">
        <v>392</v>
      </c>
      <c r="AI393" s="131">
        <f t="shared" ca="1" si="296"/>
        <v>58098</v>
      </c>
      <c r="AJ393" s="102">
        <f t="shared" si="297"/>
        <v>0</v>
      </c>
      <c r="AK393" s="102">
        <f t="shared" si="298"/>
        <v>0</v>
      </c>
      <c r="AL393" s="102">
        <f t="shared" si="299"/>
        <v>0</v>
      </c>
      <c r="AM393" s="102">
        <f t="shared" si="300"/>
        <v>0</v>
      </c>
      <c r="AS393" s="530">
        <v>392</v>
      </c>
      <c r="AT393" s="531">
        <f t="shared" ca="1" si="314"/>
        <v>58098</v>
      </c>
      <c r="AU393" s="532">
        <f ca="1">IF(AU392=0,SUMIFS('Key Life Events'!$L$3:$L$28,'Key Life Events'!$H$3:$H$28,'Loan Amortization'!$AY$3,'Key Life Events'!$N$3:$N$28,'Loan Amortization'!AT393),AU392-AX392)</f>
        <v>0</v>
      </c>
      <c r="AV393" s="532">
        <f t="shared" ca="1" si="315"/>
        <v>0</v>
      </c>
      <c r="AW393" s="532">
        <f t="shared" ca="1" si="304"/>
        <v>0</v>
      </c>
      <c r="AX393" s="532">
        <f t="shared" ca="1" si="305"/>
        <v>0</v>
      </c>
      <c r="BC393" s="536">
        <f t="shared" ca="1" si="306"/>
        <v>2059</v>
      </c>
      <c r="BF393" s="530">
        <v>392</v>
      </c>
      <c r="BG393" s="531">
        <f t="shared" ca="1" si="316"/>
        <v>58098</v>
      </c>
      <c r="BH393" s="532">
        <f ca="1">IF(BH392=0,SUMIFS('Key Life Events'!$L$3:$L$28,'Key Life Events'!$H$3:$H$28,'Loan Amortization'!$BL$3,'Key Life Events'!$N$3:$N$28,'Loan Amortization'!BG393),BH392-BK392)</f>
        <v>0</v>
      </c>
      <c r="BI393" s="532">
        <f t="shared" ca="1" si="317"/>
        <v>0</v>
      </c>
      <c r="BJ393" s="532">
        <f t="shared" ca="1" si="318"/>
        <v>0</v>
      </c>
      <c r="BK393" s="532">
        <f t="shared" ca="1" si="307"/>
        <v>0</v>
      </c>
      <c r="BP393" s="536">
        <f t="shared" ca="1" si="308"/>
        <v>2059</v>
      </c>
      <c r="BS393" s="530">
        <v>392</v>
      </c>
      <c r="BT393" s="531">
        <f t="shared" ca="1" si="319"/>
        <v>58098</v>
      </c>
      <c r="BU393" s="532">
        <f ca="1">IF(BU392=0,SUMIFS('Key Life Events'!$L$3:$L$28,'Key Life Events'!$H$3:$H$28,'Loan Amortization'!$BY$3,'Key Life Events'!$N$3:$N$28,'Loan Amortization'!BT393),BU392-BX392)</f>
        <v>0</v>
      </c>
      <c r="BV393" s="532">
        <f t="shared" ca="1" si="324"/>
        <v>0</v>
      </c>
      <c r="BW393" s="532">
        <f t="shared" ca="1" si="320"/>
        <v>0</v>
      </c>
      <c r="BX393" s="532">
        <f t="shared" ca="1" si="309"/>
        <v>0</v>
      </c>
      <c r="CC393" s="536">
        <f t="shared" ca="1" si="310"/>
        <v>2059</v>
      </c>
      <c r="CF393" s="530">
        <v>392</v>
      </c>
      <c r="CG393" s="531">
        <f t="shared" ca="1" si="321"/>
        <v>58098</v>
      </c>
      <c r="CH393" s="532">
        <f ca="1">IF(CH392=0,SUMIFS('Key Life Events'!$L$3:$L$28,'Key Life Events'!$H$3:$H$28,'Loan Amortization'!$CL$3,'Key Life Events'!$N$3:$N$28,'Loan Amortization'!CG393),CH392-CK392)</f>
        <v>0</v>
      </c>
      <c r="CI393" s="532">
        <f t="shared" ca="1" si="322"/>
        <v>0</v>
      </c>
      <c r="CJ393" s="532">
        <f t="shared" ca="1" si="323"/>
        <v>0</v>
      </c>
      <c r="CK393" s="532">
        <f t="shared" ca="1" si="311"/>
        <v>0</v>
      </c>
      <c r="CP393" s="536">
        <f t="shared" ca="1" si="312"/>
        <v>2059</v>
      </c>
      <c r="CS393" s="100">
        <f t="shared" si="301"/>
        <v>392</v>
      </c>
      <c r="CT393" s="102">
        <f t="shared" ca="1" si="302"/>
        <v>0</v>
      </c>
      <c r="CU393" s="102">
        <f t="shared" ca="1" si="303"/>
        <v>0</v>
      </c>
      <c r="CV393" s="511">
        <f t="shared" ca="1" si="313"/>
        <v>2059</v>
      </c>
    </row>
    <row r="394" spans="1:100" x14ac:dyDescent="0.3">
      <c r="A394" s="100">
        <v>393</v>
      </c>
      <c r="B394" s="131">
        <f t="shared" si="281"/>
        <v>11106</v>
      </c>
      <c r="C394" s="102">
        <f t="shared" si="282"/>
        <v>0</v>
      </c>
      <c r="D394" s="102">
        <f t="shared" si="283"/>
        <v>0</v>
      </c>
      <c r="E394" s="102">
        <f t="shared" si="284"/>
        <v>0</v>
      </c>
      <c r="F394" s="102">
        <f t="shared" si="285"/>
        <v>0</v>
      </c>
      <c r="L394" s="100">
        <v>393</v>
      </c>
      <c r="M394" s="131">
        <f t="shared" ca="1" si="286"/>
        <v>58129</v>
      </c>
      <c r="N394" s="102">
        <f t="shared" si="287"/>
        <v>0</v>
      </c>
      <c r="O394" s="102">
        <f t="shared" si="288"/>
        <v>0</v>
      </c>
      <c r="P394" s="102">
        <f t="shared" si="289"/>
        <v>0</v>
      </c>
      <c r="Q394" s="102">
        <f t="shared" si="290"/>
        <v>0</v>
      </c>
      <c r="W394" s="100">
        <v>393</v>
      </c>
      <c r="X394" s="131">
        <f t="shared" ca="1" si="291"/>
        <v>58129</v>
      </c>
      <c r="Y394" s="102">
        <f t="shared" si="292"/>
        <v>0</v>
      </c>
      <c r="Z394" s="102">
        <f t="shared" si="293"/>
        <v>0</v>
      </c>
      <c r="AA394" s="102">
        <f t="shared" si="294"/>
        <v>0</v>
      </c>
      <c r="AB394" s="102">
        <f t="shared" si="295"/>
        <v>0</v>
      </c>
      <c r="AH394" s="100">
        <v>393</v>
      </c>
      <c r="AI394" s="131">
        <f t="shared" ca="1" si="296"/>
        <v>58129</v>
      </c>
      <c r="AJ394" s="102">
        <f t="shared" si="297"/>
        <v>0</v>
      </c>
      <c r="AK394" s="102">
        <f t="shared" si="298"/>
        <v>0</v>
      </c>
      <c r="AL394" s="102">
        <f t="shared" si="299"/>
        <v>0</v>
      </c>
      <c r="AM394" s="102">
        <f t="shared" si="300"/>
        <v>0</v>
      </c>
      <c r="AS394" s="530">
        <v>393</v>
      </c>
      <c r="AT394" s="531">
        <f t="shared" ca="1" si="314"/>
        <v>58129</v>
      </c>
      <c r="AU394" s="532">
        <f ca="1">IF(AU393=0,SUMIFS('Key Life Events'!$L$3:$L$28,'Key Life Events'!$H$3:$H$28,'Loan Amortization'!$AY$3,'Key Life Events'!$N$3:$N$28,'Loan Amortization'!AT394),AU393-AX393)</f>
        <v>0</v>
      </c>
      <c r="AV394" s="532">
        <f t="shared" ca="1" si="315"/>
        <v>0</v>
      </c>
      <c r="AW394" s="532">
        <f t="shared" ca="1" si="304"/>
        <v>0</v>
      </c>
      <c r="AX394" s="532">
        <f t="shared" ca="1" si="305"/>
        <v>0</v>
      </c>
      <c r="BC394" s="536">
        <f t="shared" ca="1" si="306"/>
        <v>2059</v>
      </c>
      <c r="BF394" s="530">
        <v>393</v>
      </c>
      <c r="BG394" s="531">
        <f t="shared" ca="1" si="316"/>
        <v>58129</v>
      </c>
      <c r="BH394" s="532">
        <f ca="1">IF(BH393=0,SUMIFS('Key Life Events'!$L$3:$L$28,'Key Life Events'!$H$3:$H$28,'Loan Amortization'!$BL$3,'Key Life Events'!$N$3:$N$28,'Loan Amortization'!BG394),BH393-BK393)</f>
        <v>0</v>
      </c>
      <c r="BI394" s="532">
        <f t="shared" ca="1" si="317"/>
        <v>0</v>
      </c>
      <c r="BJ394" s="532">
        <f t="shared" ca="1" si="318"/>
        <v>0</v>
      </c>
      <c r="BK394" s="532">
        <f t="shared" ca="1" si="307"/>
        <v>0</v>
      </c>
      <c r="BP394" s="536">
        <f t="shared" ca="1" si="308"/>
        <v>2059</v>
      </c>
      <c r="BS394" s="530">
        <v>393</v>
      </c>
      <c r="BT394" s="531">
        <f t="shared" ca="1" si="319"/>
        <v>58129</v>
      </c>
      <c r="BU394" s="532">
        <f ca="1">IF(BU393=0,SUMIFS('Key Life Events'!$L$3:$L$28,'Key Life Events'!$H$3:$H$28,'Loan Amortization'!$BY$3,'Key Life Events'!$N$3:$N$28,'Loan Amortization'!BT394),BU393-BX393)</f>
        <v>0</v>
      </c>
      <c r="BV394" s="532">
        <f t="shared" ca="1" si="324"/>
        <v>0</v>
      </c>
      <c r="BW394" s="532">
        <f t="shared" ca="1" si="320"/>
        <v>0</v>
      </c>
      <c r="BX394" s="532">
        <f t="shared" ca="1" si="309"/>
        <v>0</v>
      </c>
      <c r="CC394" s="536">
        <f t="shared" ca="1" si="310"/>
        <v>2059</v>
      </c>
      <c r="CF394" s="530">
        <v>393</v>
      </c>
      <c r="CG394" s="531">
        <f t="shared" ca="1" si="321"/>
        <v>58129</v>
      </c>
      <c r="CH394" s="532">
        <f ca="1">IF(CH393=0,SUMIFS('Key Life Events'!$L$3:$L$28,'Key Life Events'!$H$3:$H$28,'Loan Amortization'!$CL$3,'Key Life Events'!$N$3:$N$28,'Loan Amortization'!CG394),CH393-CK393)</f>
        <v>0</v>
      </c>
      <c r="CI394" s="532">
        <f t="shared" ca="1" si="322"/>
        <v>0</v>
      </c>
      <c r="CJ394" s="532">
        <f t="shared" ca="1" si="323"/>
        <v>0</v>
      </c>
      <c r="CK394" s="532">
        <f t="shared" ca="1" si="311"/>
        <v>0</v>
      </c>
      <c r="CP394" s="536">
        <f t="shared" ca="1" si="312"/>
        <v>2059</v>
      </c>
      <c r="CS394" s="100">
        <f t="shared" si="301"/>
        <v>393</v>
      </c>
      <c r="CT394" s="102">
        <f t="shared" ca="1" si="302"/>
        <v>0</v>
      </c>
      <c r="CU394" s="102">
        <f t="shared" ca="1" si="303"/>
        <v>0</v>
      </c>
      <c r="CV394" s="511">
        <f t="shared" ca="1" si="313"/>
        <v>2059</v>
      </c>
    </row>
    <row r="395" spans="1:100" x14ac:dyDescent="0.3">
      <c r="A395" s="100">
        <v>394</v>
      </c>
      <c r="B395" s="131">
        <f t="shared" si="281"/>
        <v>11137</v>
      </c>
      <c r="C395" s="102">
        <f t="shared" si="282"/>
        <v>0</v>
      </c>
      <c r="D395" s="102">
        <f t="shared" si="283"/>
        <v>0</v>
      </c>
      <c r="E395" s="102">
        <f t="shared" si="284"/>
        <v>0</v>
      </c>
      <c r="F395" s="102">
        <f t="shared" si="285"/>
        <v>0</v>
      </c>
      <c r="L395" s="100">
        <v>394</v>
      </c>
      <c r="M395" s="131">
        <f t="shared" ca="1" si="286"/>
        <v>58157</v>
      </c>
      <c r="N395" s="102">
        <f t="shared" si="287"/>
        <v>0</v>
      </c>
      <c r="O395" s="102">
        <f t="shared" si="288"/>
        <v>0</v>
      </c>
      <c r="P395" s="102">
        <f t="shared" si="289"/>
        <v>0</v>
      </c>
      <c r="Q395" s="102">
        <f t="shared" si="290"/>
        <v>0</v>
      </c>
      <c r="W395" s="100">
        <v>394</v>
      </c>
      <c r="X395" s="131">
        <f t="shared" ca="1" si="291"/>
        <v>58157</v>
      </c>
      <c r="Y395" s="102">
        <f t="shared" si="292"/>
        <v>0</v>
      </c>
      <c r="Z395" s="102">
        <f t="shared" si="293"/>
        <v>0</v>
      </c>
      <c r="AA395" s="102">
        <f t="shared" si="294"/>
        <v>0</v>
      </c>
      <c r="AB395" s="102">
        <f t="shared" si="295"/>
        <v>0</v>
      </c>
      <c r="AH395" s="100">
        <v>394</v>
      </c>
      <c r="AI395" s="131">
        <f t="shared" ca="1" si="296"/>
        <v>58157</v>
      </c>
      <c r="AJ395" s="102">
        <f t="shared" si="297"/>
        <v>0</v>
      </c>
      <c r="AK395" s="102">
        <f t="shared" si="298"/>
        <v>0</v>
      </c>
      <c r="AL395" s="102">
        <f t="shared" si="299"/>
        <v>0</v>
      </c>
      <c r="AM395" s="102">
        <f t="shared" si="300"/>
        <v>0</v>
      </c>
      <c r="AS395" s="530">
        <v>394</v>
      </c>
      <c r="AT395" s="531">
        <f t="shared" ca="1" si="314"/>
        <v>58157</v>
      </c>
      <c r="AU395" s="532">
        <f ca="1">IF(AU394=0,SUMIFS('Key Life Events'!$L$3:$L$28,'Key Life Events'!$H$3:$H$28,'Loan Amortization'!$AY$3,'Key Life Events'!$N$3:$N$28,'Loan Amortization'!AT395),AU394-AX394)</f>
        <v>0</v>
      </c>
      <c r="AV395" s="532">
        <f t="shared" ca="1" si="315"/>
        <v>0</v>
      </c>
      <c r="AW395" s="532">
        <f t="shared" ca="1" si="304"/>
        <v>0</v>
      </c>
      <c r="AX395" s="532">
        <f t="shared" ca="1" si="305"/>
        <v>0</v>
      </c>
      <c r="BC395" s="536">
        <f t="shared" ca="1" si="306"/>
        <v>2059</v>
      </c>
      <c r="BF395" s="530">
        <v>394</v>
      </c>
      <c r="BG395" s="531">
        <f t="shared" ca="1" si="316"/>
        <v>58157</v>
      </c>
      <c r="BH395" s="532">
        <f ca="1">IF(BH394=0,SUMIFS('Key Life Events'!$L$3:$L$28,'Key Life Events'!$H$3:$H$28,'Loan Amortization'!$BL$3,'Key Life Events'!$N$3:$N$28,'Loan Amortization'!BG395),BH394-BK394)</f>
        <v>0</v>
      </c>
      <c r="BI395" s="532">
        <f t="shared" ca="1" si="317"/>
        <v>0</v>
      </c>
      <c r="BJ395" s="532">
        <f t="shared" ca="1" si="318"/>
        <v>0</v>
      </c>
      <c r="BK395" s="532">
        <f t="shared" ca="1" si="307"/>
        <v>0</v>
      </c>
      <c r="BP395" s="536">
        <f t="shared" ca="1" si="308"/>
        <v>2059</v>
      </c>
      <c r="BS395" s="530">
        <v>394</v>
      </c>
      <c r="BT395" s="531">
        <f t="shared" ca="1" si="319"/>
        <v>58157</v>
      </c>
      <c r="BU395" s="532">
        <f ca="1">IF(BU394=0,SUMIFS('Key Life Events'!$L$3:$L$28,'Key Life Events'!$H$3:$H$28,'Loan Amortization'!$BY$3,'Key Life Events'!$N$3:$N$28,'Loan Amortization'!BT395),BU394-BX394)</f>
        <v>0</v>
      </c>
      <c r="BV395" s="532">
        <f t="shared" ca="1" si="324"/>
        <v>0</v>
      </c>
      <c r="BW395" s="532">
        <f t="shared" ca="1" si="320"/>
        <v>0</v>
      </c>
      <c r="BX395" s="532">
        <f t="shared" ca="1" si="309"/>
        <v>0</v>
      </c>
      <c r="CC395" s="536">
        <f t="shared" ca="1" si="310"/>
        <v>2059</v>
      </c>
      <c r="CF395" s="530">
        <v>394</v>
      </c>
      <c r="CG395" s="531">
        <f t="shared" ca="1" si="321"/>
        <v>58157</v>
      </c>
      <c r="CH395" s="532">
        <f ca="1">IF(CH394=0,SUMIFS('Key Life Events'!$L$3:$L$28,'Key Life Events'!$H$3:$H$28,'Loan Amortization'!$CL$3,'Key Life Events'!$N$3:$N$28,'Loan Amortization'!CG395),CH394-CK394)</f>
        <v>0</v>
      </c>
      <c r="CI395" s="532">
        <f t="shared" ca="1" si="322"/>
        <v>0</v>
      </c>
      <c r="CJ395" s="532">
        <f t="shared" ca="1" si="323"/>
        <v>0</v>
      </c>
      <c r="CK395" s="532">
        <f t="shared" ca="1" si="311"/>
        <v>0</v>
      </c>
      <c r="CP395" s="536">
        <f t="shared" ca="1" si="312"/>
        <v>2059</v>
      </c>
      <c r="CS395" s="100">
        <f t="shared" si="301"/>
        <v>394</v>
      </c>
      <c r="CT395" s="102">
        <f t="shared" ca="1" si="302"/>
        <v>0</v>
      </c>
      <c r="CU395" s="102">
        <f t="shared" ca="1" si="303"/>
        <v>0</v>
      </c>
      <c r="CV395" s="511">
        <f t="shared" ca="1" si="313"/>
        <v>2059</v>
      </c>
    </row>
    <row r="396" spans="1:100" x14ac:dyDescent="0.3">
      <c r="A396" s="100">
        <v>395</v>
      </c>
      <c r="B396" s="131">
        <f t="shared" si="281"/>
        <v>11167</v>
      </c>
      <c r="C396" s="102">
        <f t="shared" si="282"/>
        <v>0</v>
      </c>
      <c r="D396" s="102">
        <f t="shared" si="283"/>
        <v>0</v>
      </c>
      <c r="E396" s="102">
        <f t="shared" si="284"/>
        <v>0</v>
      </c>
      <c r="F396" s="102">
        <f t="shared" si="285"/>
        <v>0</v>
      </c>
      <c r="L396" s="100">
        <v>395</v>
      </c>
      <c r="M396" s="131">
        <f t="shared" ca="1" si="286"/>
        <v>58188</v>
      </c>
      <c r="N396" s="102">
        <f t="shared" si="287"/>
        <v>0</v>
      </c>
      <c r="O396" s="102">
        <f t="shared" si="288"/>
        <v>0</v>
      </c>
      <c r="P396" s="102">
        <f t="shared" si="289"/>
        <v>0</v>
      </c>
      <c r="Q396" s="102">
        <f t="shared" si="290"/>
        <v>0</v>
      </c>
      <c r="W396" s="100">
        <v>395</v>
      </c>
      <c r="X396" s="131">
        <f t="shared" ca="1" si="291"/>
        <v>58188</v>
      </c>
      <c r="Y396" s="102">
        <f t="shared" si="292"/>
        <v>0</v>
      </c>
      <c r="Z396" s="102">
        <f t="shared" si="293"/>
        <v>0</v>
      </c>
      <c r="AA396" s="102">
        <f t="shared" si="294"/>
        <v>0</v>
      </c>
      <c r="AB396" s="102">
        <f t="shared" si="295"/>
        <v>0</v>
      </c>
      <c r="AH396" s="100">
        <v>395</v>
      </c>
      <c r="AI396" s="131">
        <f t="shared" ca="1" si="296"/>
        <v>58188</v>
      </c>
      <c r="AJ396" s="102">
        <f t="shared" si="297"/>
        <v>0</v>
      </c>
      <c r="AK396" s="102">
        <f t="shared" si="298"/>
        <v>0</v>
      </c>
      <c r="AL396" s="102">
        <f t="shared" si="299"/>
        <v>0</v>
      </c>
      <c r="AM396" s="102">
        <f t="shared" si="300"/>
        <v>0</v>
      </c>
      <c r="AS396" s="530">
        <v>395</v>
      </c>
      <c r="AT396" s="531">
        <f t="shared" ca="1" si="314"/>
        <v>58188</v>
      </c>
      <c r="AU396" s="532">
        <f ca="1">IF(AU395=0,SUMIFS('Key Life Events'!$L$3:$L$28,'Key Life Events'!$H$3:$H$28,'Loan Amortization'!$AY$3,'Key Life Events'!$N$3:$N$28,'Loan Amortization'!AT396),AU395-AX395)</f>
        <v>0</v>
      </c>
      <c r="AV396" s="532">
        <f t="shared" ca="1" si="315"/>
        <v>0</v>
      </c>
      <c r="AW396" s="532">
        <f t="shared" ca="1" si="304"/>
        <v>0</v>
      </c>
      <c r="AX396" s="532">
        <f t="shared" ca="1" si="305"/>
        <v>0</v>
      </c>
      <c r="BC396" s="536">
        <f t="shared" ca="1" si="306"/>
        <v>2059</v>
      </c>
      <c r="BF396" s="530">
        <v>395</v>
      </c>
      <c r="BG396" s="531">
        <f t="shared" ca="1" si="316"/>
        <v>58188</v>
      </c>
      <c r="BH396" s="532">
        <f ca="1">IF(BH395=0,SUMIFS('Key Life Events'!$L$3:$L$28,'Key Life Events'!$H$3:$H$28,'Loan Amortization'!$BL$3,'Key Life Events'!$N$3:$N$28,'Loan Amortization'!BG396),BH395-BK395)</f>
        <v>0</v>
      </c>
      <c r="BI396" s="532">
        <f t="shared" ca="1" si="317"/>
        <v>0</v>
      </c>
      <c r="BJ396" s="532">
        <f t="shared" ca="1" si="318"/>
        <v>0</v>
      </c>
      <c r="BK396" s="532">
        <f t="shared" ca="1" si="307"/>
        <v>0</v>
      </c>
      <c r="BP396" s="536">
        <f t="shared" ca="1" si="308"/>
        <v>2059</v>
      </c>
      <c r="BS396" s="530">
        <v>395</v>
      </c>
      <c r="BT396" s="531">
        <f t="shared" ca="1" si="319"/>
        <v>58188</v>
      </c>
      <c r="BU396" s="532">
        <f ca="1">IF(BU395=0,SUMIFS('Key Life Events'!$L$3:$L$28,'Key Life Events'!$H$3:$H$28,'Loan Amortization'!$BY$3,'Key Life Events'!$N$3:$N$28,'Loan Amortization'!BT396),BU395-BX395)</f>
        <v>0</v>
      </c>
      <c r="BV396" s="532">
        <f t="shared" ca="1" si="324"/>
        <v>0</v>
      </c>
      <c r="BW396" s="532">
        <f t="shared" ca="1" si="320"/>
        <v>0</v>
      </c>
      <c r="BX396" s="532">
        <f t="shared" ca="1" si="309"/>
        <v>0</v>
      </c>
      <c r="CC396" s="536">
        <f t="shared" ca="1" si="310"/>
        <v>2059</v>
      </c>
      <c r="CF396" s="530">
        <v>395</v>
      </c>
      <c r="CG396" s="531">
        <f t="shared" ca="1" si="321"/>
        <v>58188</v>
      </c>
      <c r="CH396" s="532">
        <f ca="1">IF(CH395=0,SUMIFS('Key Life Events'!$L$3:$L$28,'Key Life Events'!$H$3:$H$28,'Loan Amortization'!$CL$3,'Key Life Events'!$N$3:$N$28,'Loan Amortization'!CG396),CH395-CK395)</f>
        <v>0</v>
      </c>
      <c r="CI396" s="532">
        <f t="shared" ca="1" si="322"/>
        <v>0</v>
      </c>
      <c r="CJ396" s="532">
        <f t="shared" ca="1" si="323"/>
        <v>0</v>
      </c>
      <c r="CK396" s="532">
        <f t="shared" ca="1" si="311"/>
        <v>0</v>
      </c>
      <c r="CP396" s="536">
        <f t="shared" ca="1" si="312"/>
        <v>2059</v>
      </c>
      <c r="CS396" s="100">
        <f t="shared" si="301"/>
        <v>395</v>
      </c>
      <c r="CT396" s="102">
        <f t="shared" ca="1" si="302"/>
        <v>0</v>
      </c>
      <c r="CU396" s="102">
        <f t="shared" ca="1" si="303"/>
        <v>0</v>
      </c>
      <c r="CV396" s="511">
        <f t="shared" ca="1" si="313"/>
        <v>2059</v>
      </c>
    </row>
    <row r="397" spans="1:100" x14ac:dyDescent="0.3">
      <c r="A397" s="100">
        <v>396</v>
      </c>
      <c r="B397" s="131">
        <f t="shared" si="281"/>
        <v>11198</v>
      </c>
      <c r="C397" s="102">
        <f t="shared" si="282"/>
        <v>0</v>
      </c>
      <c r="D397" s="102">
        <f t="shared" si="283"/>
        <v>0</v>
      </c>
      <c r="E397" s="102">
        <f t="shared" si="284"/>
        <v>0</v>
      </c>
      <c r="F397" s="102">
        <f t="shared" si="285"/>
        <v>0</v>
      </c>
      <c r="L397" s="100">
        <v>396</v>
      </c>
      <c r="M397" s="131">
        <f t="shared" ca="1" si="286"/>
        <v>58218</v>
      </c>
      <c r="N397" s="102">
        <f t="shared" si="287"/>
        <v>0</v>
      </c>
      <c r="O397" s="102">
        <f t="shared" si="288"/>
        <v>0</v>
      </c>
      <c r="P397" s="102">
        <f t="shared" si="289"/>
        <v>0</v>
      </c>
      <c r="Q397" s="102">
        <f t="shared" si="290"/>
        <v>0</v>
      </c>
      <c r="W397" s="100">
        <v>396</v>
      </c>
      <c r="X397" s="131">
        <f t="shared" ca="1" si="291"/>
        <v>58218</v>
      </c>
      <c r="Y397" s="102">
        <f t="shared" si="292"/>
        <v>0</v>
      </c>
      <c r="Z397" s="102">
        <f t="shared" si="293"/>
        <v>0</v>
      </c>
      <c r="AA397" s="102">
        <f t="shared" si="294"/>
        <v>0</v>
      </c>
      <c r="AB397" s="102">
        <f t="shared" si="295"/>
        <v>0</v>
      </c>
      <c r="AH397" s="100">
        <v>396</v>
      </c>
      <c r="AI397" s="131">
        <f t="shared" ca="1" si="296"/>
        <v>58218</v>
      </c>
      <c r="AJ397" s="102">
        <f t="shared" si="297"/>
        <v>0</v>
      </c>
      <c r="AK397" s="102">
        <f t="shared" si="298"/>
        <v>0</v>
      </c>
      <c r="AL397" s="102">
        <f t="shared" si="299"/>
        <v>0</v>
      </c>
      <c r="AM397" s="102">
        <f t="shared" si="300"/>
        <v>0</v>
      </c>
      <c r="AS397" s="530">
        <v>396</v>
      </c>
      <c r="AT397" s="531">
        <f t="shared" ca="1" si="314"/>
        <v>58218</v>
      </c>
      <c r="AU397" s="532">
        <f ca="1">IF(AU396=0,SUMIFS('Key Life Events'!$L$3:$L$28,'Key Life Events'!$H$3:$H$28,'Loan Amortization'!$AY$3,'Key Life Events'!$N$3:$N$28,'Loan Amortization'!AT397),AU396-AX396)</f>
        <v>0</v>
      </c>
      <c r="AV397" s="532">
        <f t="shared" ca="1" si="315"/>
        <v>0</v>
      </c>
      <c r="AW397" s="532">
        <f t="shared" ca="1" si="304"/>
        <v>0</v>
      </c>
      <c r="AX397" s="532">
        <f t="shared" ca="1" si="305"/>
        <v>0</v>
      </c>
      <c r="BC397" s="536">
        <f t="shared" ca="1" si="306"/>
        <v>2059</v>
      </c>
      <c r="BF397" s="530">
        <v>396</v>
      </c>
      <c r="BG397" s="531">
        <f t="shared" ca="1" si="316"/>
        <v>58218</v>
      </c>
      <c r="BH397" s="532">
        <f ca="1">IF(BH396=0,SUMIFS('Key Life Events'!$L$3:$L$28,'Key Life Events'!$H$3:$H$28,'Loan Amortization'!$BL$3,'Key Life Events'!$N$3:$N$28,'Loan Amortization'!BG397),BH396-BK396)</f>
        <v>0</v>
      </c>
      <c r="BI397" s="532">
        <f t="shared" ca="1" si="317"/>
        <v>0</v>
      </c>
      <c r="BJ397" s="532">
        <f t="shared" ca="1" si="318"/>
        <v>0</v>
      </c>
      <c r="BK397" s="532">
        <f t="shared" ca="1" si="307"/>
        <v>0</v>
      </c>
      <c r="BP397" s="536">
        <f t="shared" ca="1" si="308"/>
        <v>2059</v>
      </c>
      <c r="BS397" s="530">
        <v>396</v>
      </c>
      <c r="BT397" s="531">
        <f t="shared" ca="1" si="319"/>
        <v>58218</v>
      </c>
      <c r="BU397" s="532">
        <f ca="1">IF(BU396=0,SUMIFS('Key Life Events'!$L$3:$L$28,'Key Life Events'!$H$3:$H$28,'Loan Amortization'!$BY$3,'Key Life Events'!$N$3:$N$28,'Loan Amortization'!BT397),BU396-BX396)</f>
        <v>0</v>
      </c>
      <c r="BV397" s="532">
        <f t="shared" ca="1" si="324"/>
        <v>0</v>
      </c>
      <c r="BW397" s="532">
        <f t="shared" ca="1" si="320"/>
        <v>0</v>
      </c>
      <c r="BX397" s="532">
        <f t="shared" ca="1" si="309"/>
        <v>0</v>
      </c>
      <c r="CC397" s="536">
        <f t="shared" ca="1" si="310"/>
        <v>2059</v>
      </c>
      <c r="CF397" s="530">
        <v>396</v>
      </c>
      <c r="CG397" s="531">
        <f t="shared" ca="1" si="321"/>
        <v>58218</v>
      </c>
      <c r="CH397" s="532">
        <f ca="1">IF(CH396=0,SUMIFS('Key Life Events'!$L$3:$L$28,'Key Life Events'!$H$3:$H$28,'Loan Amortization'!$CL$3,'Key Life Events'!$N$3:$N$28,'Loan Amortization'!CG397),CH396-CK396)</f>
        <v>0</v>
      </c>
      <c r="CI397" s="532">
        <f t="shared" ca="1" si="322"/>
        <v>0</v>
      </c>
      <c r="CJ397" s="532">
        <f t="shared" ca="1" si="323"/>
        <v>0</v>
      </c>
      <c r="CK397" s="532">
        <f t="shared" ca="1" si="311"/>
        <v>0</v>
      </c>
      <c r="CP397" s="536">
        <f t="shared" ca="1" si="312"/>
        <v>2059</v>
      </c>
      <c r="CS397" s="100">
        <f t="shared" si="301"/>
        <v>396</v>
      </c>
      <c r="CT397" s="102">
        <f t="shared" ca="1" si="302"/>
        <v>0</v>
      </c>
      <c r="CU397" s="102">
        <f t="shared" ca="1" si="303"/>
        <v>0</v>
      </c>
      <c r="CV397" s="511">
        <f t="shared" ca="1" si="313"/>
        <v>2059</v>
      </c>
    </row>
    <row r="398" spans="1:100" x14ac:dyDescent="0.3">
      <c r="A398" s="100">
        <v>397</v>
      </c>
      <c r="B398" s="131">
        <f t="shared" si="281"/>
        <v>11229</v>
      </c>
      <c r="C398" s="102">
        <f t="shared" si="282"/>
        <v>0</v>
      </c>
      <c r="D398" s="102">
        <f t="shared" si="283"/>
        <v>0</v>
      </c>
      <c r="E398" s="102">
        <f t="shared" si="284"/>
        <v>0</v>
      </c>
      <c r="F398" s="102">
        <f t="shared" si="285"/>
        <v>0</v>
      </c>
      <c r="L398" s="100">
        <v>397</v>
      </c>
      <c r="M398" s="131">
        <f t="shared" ca="1" si="286"/>
        <v>58249</v>
      </c>
      <c r="N398" s="102">
        <f t="shared" si="287"/>
        <v>0</v>
      </c>
      <c r="O398" s="102">
        <f t="shared" si="288"/>
        <v>0</v>
      </c>
      <c r="P398" s="102">
        <f t="shared" si="289"/>
        <v>0</v>
      </c>
      <c r="Q398" s="102">
        <f t="shared" si="290"/>
        <v>0</v>
      </c>
      <c r="W398" s="100">
        <v>397</v>
      </c>
      <c r="X398" s="131">
        <f t="shared" ca="1" si="291"/>
        <v>58249</v>
      </c>
      <c r="Y398" s="102">
        <f t="shared" si="292"/>
        <v>0</v>
      </c>
      <c r="Z398" s="102">
        <f t="shared" si="293"/>
        <v>0</v>
      </c>
      <c r="AA398" s="102">
        <f t="shared" si="294"/>
        <v>0</v>
      </c>
      <c r="AB398" s="102">
        <f t="shared" si="295"/>
        <v>0</v>
      </c>
      <c r="AH398" s="100">
        <v>397</v>
      </c>
      <c r="AI398" s="131">
        <f t="shared" ca="1" si="296"/>
        <v>58249</v>
      </c>
      <c r="AJ398" s="102">
        <f t="shared" si="297"/>
        <v>0</v>
      </c>
      <c r="AK398" s="102">
        <f t="shared" si="298"/>
        <v>0</v>
      </c>
      <c r="AL398" s="102">
        <f t="shared" si="299"/>
        <v>0</v>
      </c>
      <c r="AM398" s="102">
        <f t="shared" si="300"/>
        <v>0</v>
      </c>
      <c r="AS398" s="530">
        <v>397</v>
      </c>
      <c r="AT398" s="531">
        <f t="shared" ca="1" si="314"/>
        <v>58249</v>
      </c>
      <c r="AU398" s="532">
        <f ca="1">IF(AU397=0,SUMIFS('Key Life Events'!$L$3:$L$28,'Key Life Events'!$H$3:$H$28,'Loan Amortization'!$AY$3,'Key Life Events'!$N$3:$N$28,'Loan Amortization'!AT398),AU397-AX397)</f>
        <v>0</v>
      </c>
      <c r="AV398" s="532">
        <f t="shared" ca="1" si="315"/>
        <v>0</v>
      </c>
      <c r="AW398" s="532">
        <f t="shared" ca="1" si="304"/>
        <v>0</v>
      </c>
      <c r="AX398" s="532">
        <f t="shared" ca="1" si="305"/>
        <v>0</v>
      </c>
      <c r="BC398" s="536">
        <f t="shared" ca="1" si="306"/>
        <v>2059</v>
      </c>
      <c r="BF398" s="530">
        <v>397</v>
      </c>
      <c r="BG398" s="531">
        <f t="shared" ca="1" si="316"/>
        <v>58249</v>
      </c>
      <c r="BH398" s="532">
        <f ca="1">IF(BH397=0,SUMIFS('Key Life Events'!$L$3:$L$28,'Key Life Events'!$H$3:$H$28,'Loan Amortization'!$BL$3,'Key Life Events'!$N$3:$N$28,'Loan Amortization'!BG398),BH397-BK397)</f>
        <v>0</v>
      </c>
      <c r="BI398" s="532">
        <f t="shared" ca="1" si="317"/>
        <v>0</v>
      </c>
      <c r="BJ398" s="532">
        <f t="shared" ca="1" si="318"/>
        <v>0</v>
      </c>
      <c r="BK398" s="532">
        <f t="shared" ca="1" si="307"/>
        <v>0</v>
      </c>
      <c r="BP398" s="536">
        <f t="shared" ca="1" si="308"/>
        <v>2059</v>
      </c>
      <c r="BS398" s="530">
        <v>397</v>
      </c>
      <c r="BT398" s="531">
        <f t="shared" ca="1" si="319"/>
        <v>58249</v>
      </c>
      <c r="BU398" s="532">
        <f ca="1">IF(BU397=0,SUMIFS('Key Life Events'!$L$3:$L$28,'Key Life Events'!$H$3:$H$28,'Loan Amortization'!$BY$3,'Key Life Events'!$N$3:$N$28,'Loan Amortization'!BT398),BU397-BX397)</f>
        <v>0</v>
      </c>
      <c r="BV398" s="532">
        <f t="shared" ca="1" si="324"/>
        <v>0</v>
      </c>
      <c r="BW398" s="532">
        <f t="shared" ca="1" si="320"/>
        <v>0</v>
      </c>
      <c r="BX398" s="532">
        <f t="shared" ca="1" si="309"/>
        <v>0</v>
      </c>
      <c r="CC398" s="536">
        <f t="shared" ca="1" si="310"/>
        <v>2059</v>
      </c>
      <c r="CF398" s="530">
        <v>397</v>
      </c>
      <c r="CG398" s="531">
        <f t="shared" ca="1" si="321"/>
        <v>58249</v>
      </c>
      <c r="CH398" s="532">
        <f ca="1">IF(CH397=0,SUMIFS('Key Life Events'!$L$3:$L$28,'Key Life Events'!$H$3:$H$28,'Loan Amortization'!$CL$3,'Key Life Events'!$N$3:$N$28,'Loan Amortization'!CG398),CH397-CK397)</f>
        <v>0</v>
      </c>
      <c r="CI398" s="532">
        <f t="shared" ca="1" si="322"/>
        <v>0</v>
      </c>
      <c r="CJ398" s="532">
        <f t="shared" ca="1" si="323"/>
        <v>0</v>
      </c>
      <c r="CK398" s="532">
        <f t="shared" ca="1" si="311"/>
        <v>0</v>
      </c>
      <c r="CP398" s="536">
        <f t="shared" ca="1" si="312"/>
        <v>2059</v>
      </c>
      <c r="CS398" s="100">
        <f t="shared" si="301"/>
        <v>397</v>
      </c>
      <c r="CT398" s="102">
        <f t="shared" ca="1" si="302"/>
        <v>0</v>
      </c>
      <c r="CU398" s="102">
        <f t="shared" ca="1" si="303"/>
        <v>0</v>
      </c>
      <c r="CV398" s="511">
        <f t="shared" ca="1" si="313"/>
        <v>2059</v>
      </c>
    </row>
    <row r="399" spans="1:100" x14ac:dyDescent="0.3">
      <c r="A399" s="100">
        <v>398</v>
      </c>
      <c r="B399" s="131">
        <f t="shared" si="281"/>
        <v>11259</v>
      </c>
      <c r="C399" s="102">
        <f t="shared" si="282"/>
        <v>0</v>
      </c>
      <c r="D399" s="102">
        <f t="shared" si="283"/>
        <v>0</v>
      </c>
      <c r="E399" s="102">
        <f t="shared" si="284"/>
        <v>0</v>
      </c>
      <c r="F399" s="102">
        <f t="shared" si="285"/>
        <v>0</v>
      </c>
      <c r="L399" s="100">
        <v>398</v>
      </c>
      <c r="M399" s="131">
        <f t="shared" ca="1" si="286"/>
        <v>58279</v>
      </c>
      <c r="N399" s="102">
        <f t="shared" si="287"/>
        <v>0</v>
      </c>
      <c r="O399" s="102">
        <f t="shared" si="288"/>
        <v>0</v>
      </c>
      <c r="P399" s="102">
        <f t="shared" si="289"/>
        <v>0</v>
      </c>
      <c r="Q399" s="102">
        <f t="shared" si="290"/>
        <v>0</v>
      </c>
      <c r="W399" s="100">
        <v>398</v>
      </c>
      <c r="X399" s="131">
        <f t="shared" ca="1" si="291"/>
        <v>58279</v>
      </c>
      <c r="Y399" s="102">
        <f t="shared" si="292"/>
        <v>0</v>
      </c>
      <c r="Z399" s="102">
        <f t="shared" si="293"/>
        <v>0</v>
      </c>
      <c r="AA399" s="102">
        <f t="shared" si="294"/>
        <v>0</v>
      </c>
      <c r="AB399" s="102">
        <f t="shared" si="295"/>
        <v>0</v>
      </c>
      <c r="AH399" s="100">
        <v>398</v>
      </c>
      <c r="AI399" s="131">
        <f t="shared" ca="1" si="296"/>
        <v>58279</v>
      </c>
      <c r="AJ399" s="102">
        <f t="shared" si="297"/>
        <v>0</v>
      </c>
      <c r="AK399" s="102">
        <f t="shared" si="298"/>
        <v>0</v>
      </c>
      <c r="AL399" s="102">
        <f t="shared" si="299"/>
        <v>0</v>
      </c>
      <c r="AM399" s="102">
        <f t="shared" si="300"/>
        <v>0</v>
      </c>
      <c r="AS399" s="530">
        <v>398</v>
      </c>
      <c r="AT399" s="531">
        <f t="shared" ca="1" si="314"/>
        <v>58279</v>
      </c>
      <c r="AU399" s="532">
        <f ca="1">IF(AU398=0,SUMIFS('Key Life Events'!$L$3:$L$28,'Key Life Events'!$H$3:$H$28,'Loan Amortization'!$AY$3,'Key Life Events'!$N$3:$N$28,'Loan Amortization'!AT399),AU398-AX398)</f>
        <v>0</v>
      </c>
      <c r="AV399" s="532">
        <f t="shared" ca="1" si="315"/>
        <v>0</v>
      </c>
      <c r="AW399" s="532">
        <f t="shared" ca="1" si="304"/>
        <v>0</v>
      </c>
      <c r="AX399" s="532">
        <f t="shared" ca="1" si="305"/>
        <v>0</v>
      </c>
      <c r="BC399" s="536">
        <f t="shared" ca="1" si="306"/>
        <v>2059</v>
      </c>
      <c r="BF399" s="530">
        <v>398</v>
      </c>
      <c r="BG399" s="531">
        <f t="shared" ca="1" si="316"/>
        <v>58279</v>
      </c>
      <c r="BH399" s="532">
        <f ca="1">IF(BH398=0,SUMIFS('Key Life Events'!$L$3:$L$28,'Key Life Events'!$H$3:$H$28,'Loan Amortization'!$BL$3,'Key Life Events'!$N$3:$N$28,'Loan Amortization'!BG399),BH398-BK398)</f>
        <v>0</v>
      </c>
      <c r="BI399" s="532">
        <f t="shared" ca="1" si="317"/>
        <v>0</v>
      </c>
      <c r="BJ399" s="532">
        <f t="shared" ca="1" si="318"/>
        <v>0</v>
      </c>
      <c r="BK399" s="532">
        <f t="shared" ca="1" si="307"/>
        <v>0</v>
      </c>
      <c r="BP399" s="536">
        <f t="shared" ca="1" si="308"/>
        <v>2059</v>
      </c>
      <c r="BS399" s="530">
        <v>398</v>
      </c>
      <c r="BT399" s="531">
        <f t="shared" ca="1" si="319"/>
        <v>58279</v>
      </c>
      <c r="BU399" s="532">
        <f ca="1">IF(BU398=0,SUMIFS('Key Life Events'!$L$3:$L$28,'Key Life Events'!$H$3:$H$28,'Loan Amortization'!$BY$3,'Key Life Events'!$N$3:$N$28,'Loan Amortization'!BT399),BU398-BX398)</f>
        <v>0</v>
      </c>
      <c r="BV399" s="532">
        <f t="shared" ca="1" si="324"/>
        <v>0</v>
      </c>
      <c r="BW399" s="532">
        <f t="shared" ca="1" si="320"/>
        <v>0</v>
      </c>
      <c r="BX399" s="532">
        <f t="shared" ca="1" si="309"/>
        <v>0</v>
      </c>
      <c r="CC399" s="536">
        <f t="shared" ca="1" si="310"/>
        <v>2059</v>
      </c>
      <c r="CF399" s="530">
        <v>398</v>
      </c>
      <c r="CG399" s="531">
        <f t="shared" ca="1" si="321"/>
        <v>58279</v>
      </c>
      <c r="CH399" s="532">
        <f ca="1">IF(CH398=0,SUMIFS('Key Life Events'!$L$3:$L$28,'Key Life Events'!$H$3:$H$28,'Loan Amortization'!$CL$3,'Key Life Events'!$N$3:$N$28,'Loan Amortization'!CG399),CH398-CK398)</f>
        <v>0</v>
      </c>
      <c r="CI399" s="532">
        <f t="shared" ca="1" si="322"/>
        <v>0</v>
      </c>
      <c r="CJ399" s="532">
        <f t="shared" ca="1" si="323"/>
        <v>0</v>
      </c>
      <c r="CK399" s="532">
        <f t="shared" ca="1" si="311"/>
        <v>0</v>
      </c>
      <c r="CP399" s="536">
        <f t="shared" ca="1" si="312"/>
        <v>2059</v>
      </c>
      <c r="CS399" s="100">
        <f t="shared" si="301"/>
        <v>398</v>
      </c>
      <c r="CT399" s="102">
        <f t="shared" ca="1" si="302"/>
        <v>0</v>
      </c>
      <c r="CU399" s="102">
        <f t="shared" ca="1" si="303"/>
        <v>0</v>
      </c>
      <c r="CV399" s="511">
        <f t="shared" ca="1" si="313"/>
        <v>2059</v>
      </c>
    </row>
    <row r="400" spans="1:100" x14ac:dyDescent="0.3">
      <c r="A400" s="100">
        <v>399</v>
      </c>
      <c r="B400" s="131">
        <f t="shared" si="281"/>
        <v>11290</v>
      </c>
      <c r="C400" s="102">
        <f t="shared" si="282"/>
        <v>0</v>
      </c>
      <c r="D400" s="102">
        <f t="shared" si="283"/>
        <v>0</v>
      </c>
      <c r="E400" s="102">
        <f t="shared" si="284"/>
        <v>0</v>
      </c>
      <c r="F400" s="102">
        <f t="shared" si="285"/>
        <v>0</v>
      </c>
      <c r="L400" s="100">
        <v>399</v>
      </c>
      <c r="M400" s="131">
        <f t="shared" ca="1" si="286"/>
        <v>58310</v>
      </c>
      <c r="N400" s="102">
        <f t="shared" si="287"/>
        <v>0</v>
      </c>
      <c r="O400" s="102">
        <f t="shared" si="288"/>
        <v>0</v>
      </c>
      <c r="P400" s="102">
        <f t="shared" si="289"/>
        <v>0</v>
      </c>
      <c r="Q400" s="102">
        <f t="shared" si="290"/>
        <v>0</v>
      </c>
      <c r="W400" s="100">
        <v>399</v>
      </c>
      <c r="X400" s="131">
        <f t="shared" ca="1" si="291"/>
        <v>58310</v>
      </c>
      <c r="Y400" s="102">
        <f t="shared" si="292"/>
        <v>0</v>
      </c>
      <c r="Z400" s="102">
        <f t="shared" si="293"/>
        <v>0</v>
      </c>
      <c r="AA400" s="102">
        <f t="shared" si="294"/>
        <v>0</v>
      </c>
      <c r="AB400" s="102">
        <f t="shared" si="295"/>
        <v>0</v>
      </c>
      <c r="AH400" s="100">
        <v>399</v>
      </c>
      <c r="AI400" s="131">
        <f t="shared" ca="1" si="296"/>
        <v>58310</v>
      </c>
      <c r="AJ400" s="102">
        <f t="shared" si="297"/>
        <v>0</v>
      </c>
      <c r="AK400" s="102">
        <f t="shared" si="298"/>
        <v>0</v>
      </c>
      <c r="AL400" s="102">
        <f t="shared" si="299"/>
        <v>0</v>
      </c>
      <c r="AM400" s="102">
        <f t="shared" si="300"/>
        <v>0</v>
      </c>
      <c r="AS400" s="530">
        <v>399</v>
      </c>
      <c r="AT400" s="531">
        <f t="shared" ca="1" si="314"/>
        <v>58310</v>
      </c>
      <c r="AU400" s="532">
        <f ca="1">IF(AU399=0,SUMIFS('Key Life Events'!$L$3:$L$28,'Key Life Events'!$H$3:$H$28,'Loan Amortization'!$AY$3,'Key Life Events'!$N$3:$N$28,'Loan Amortization'!AT400),AU399-AX399)</f>
        <v>0</v>
      </c>
      <c r="AV400" s="532">
        <f t="shared" ca="1" si="315"/>
        <v>0</v>
      </c>
      <c r="AW400" s="532">
        <f t="shared" ca="1" si="304"/>
        <v>0</v>
      </c>
      <c r="AX400" s="532">
        <f t="shared" ca="1" si="305"/>
        <v>0</v>
      </c>
      <c r="BC400" s="536">
        <f t="shared" ca="1" si="306"/>
        <v>2059</v>
      </c>
      <c r="BF400" s="530">
        <v>399</v>
      </c>
      <c r="BG400" s="531">
        <f t="shared" ca="1" si="316"/>
        <v>58310</v>
      </c>
      <c r="BH400" s="532">
        <f ca="1">IF(BH399=0,SUMIFS('Key Life Events'!$L$3:$L$28,'Key Life Events'!$H$3:$H$28,'Loan Amortization'!$BL$3,'Key Life Events'!$N$3:$N$28,'Loan Amortization'!BG400),BH399-BK399)</f>
        <v>0</v>
      </c>
      <c r="BI400" s="532">
        <f t="shared" ca="1" si="317"/>
        <v>0</v>
      </c>
      <c r="BJ400" s="532">
        <f t="shared" ca="1" si="318"/>
        <v>0</v>
      </c>
      <c r="BK400" s="532">
        <f t="shared" ca="1" si="307"/>
        <v>0</v>
      </c>
      <c r="BP400" s="536">
        <f t="shared" ca="1" si="308"/>
        <v>2059</v>
      </c>
      <c r="BS400" s="530">
        <v>399</v>
      </c>
      <c r="BT400" s="531">
        <f t="shared" ca="1" si="319"/>
        <v>58310</v>
      </c>
      <c r="BU400" s="532">
        <f ca="1">IF(BU399=0,SUMIFS('Key Life Events'!$L$3:$L$28,'Key Life Events'!$H$3:$H$28,'Loan Amortization'!$BY$3,'Key Life Events'!$N$3:$N$28,'Loan Amortization'!BT400),BU399-BX399)</f>
        <v>0</v>
      </c>
      <c r="BV400" s="532">
        <f t="shared" ca="1" si="324"/>
        <v>0</v>
      </c>
      <c r="BW400" s="532">
        <f t="shared" ca="1" si="320"/>
        <v>0</v>
      </c>
      <c r="BX400" s="532">
        <f t="shared" ca="1" si="309"/>
        <v>0</v>
      </c>
      <c r="CC400" s="536">
        <f t="shared" ca="1" si="310"/>
        <v>2059</v>
      </c>
      <c r="CF400" s="530">
        <v>399</v>
      </c>
      <c r="CG400" s="531">
        <f t="shared" ca="1" si="321"/>
        <v>58310</v>
      </c>
      <c r="CH400" s="532">
        <f ca="1">IF(CH399=0,SUMIFS('Key Life Events'!$L$3:$L$28,'Key Life Events'!$H$3:$H$28,'Loan Amortization'!$CL$3,'Key Life Events'!$N$3:$N$28,'Loan Amortization'!CG400),CH399-CK399)</f>
        <v>0</v>
      </c>
      <c r="CI400" s="532">
        <f t="shared" ca="1" si="322"/>
        <v>0</v>
      </c>
      <c r="CJ400" s="532">
        <f t="shared" ca="1" si="323"/>
        <v>0</v>
      </c>
      <c r="CK400" s="532">
        <f t="shared" ca="1" si="311"/>
        <v>0</v>
      </c>
      <c r="CP400" s="536">
        <f t="shared" ca="1" si="312"/>
        <v>2059</v>
      </c>
      <c r="CS400" s="100">
        <f t="shared" si="301"/>
        <v>399</v>
      </c>
      <c r="CT400" s="102">
        <f t="shared" ca="1" si="302"/>
        <v>0</v>
      </c>
      <c r="CU400" s="102">
        <f t="shared" ca="1" si="303"/>
        <v>0</v>
      </c>
      <c r="CV400" s="511">
        <f t="shared" ca="1" si="313"/>
        <v>2059</v>
      </c>
    </row>
    <row r="401" spans="1:100" x14ac:dyDescent="0.3">
      <c r="A401" s="100">
        <v>400</v>
      </c>
      <c r="B401" s="131">
        <f t="shared" si="281"/>
        <v>11320</v>
      </c>
      <c r="C401" s="102">
        <f t="shared" si="282"/>
        <v>0</v>
      </c>
      <c r="D401" s="102">
        <f t="shared" si="283"/>
        <v>0</v>
      </c>
      <c r="E401" s="102">
        <f t="shared" si="284"/>
        <v>0</v>
      </c>
      <c r="F401" s="102">
        <f t="shared" si="285"/>
        <v>0</v>
      </c>
      <c r="L401" s="100">
        <v>400</v>
      </c>
      <c r="M401" s="131">
        <f t="shared" ca="1" si="286"/>
        <v>58341</v>
      </c>
      <c r="N401" s="102">
        <f t="shared" si="287"/>
        <v>0</v>
      </c>
      <c r="O401" s="102">
        <f t="shared" si="288"/>
        <v>0</v>
      </c>
      <c r="P401" s="102">
        <f t="shared" si="289"/>
        <v>0</v>
      </c>
      <c r="Q401" s="102">
        <f t="shared" si="290"/>
        <v>0</v>
      </c>
      <c r="W401" s="100">
        <v>400</v>
      </c>
      <c r="X401" s="131">
        <f t="shared" ca="1" si="291"/>
        <v>58341</v>
      </c>
      <c r="Y401" s="102">
        <f t="shared" si="292"/>
        <v>0</v>
      </c>
      <c r="Z401" s="102">
        <f t="shared" si="293"/>
        <v>0</v>
      </c>
      <c r="AA401" s="102">
        <f t="shared" si="294"/>
        <v>0</v>
      </c>
      <c r="AB401" s="102">
        <f t="shared" si="295"/>
        <v>0</v>
      </c>
      <c r="AH401" s="100">
        <v>400</v>
      </c>
      <c r="AI401" s="131">
        <f t="shared" ca="1" si="296"/>
        <v>58341</v>
      </c>
      <c r="AJ401" s="102">
        <f t="shared" si="297"/>
        <v>0</v>
      </c>
      <c r="AK401" s="102">
        <f t="shared" si="298"/>
        <v>0</v>
      </c>
      <c r="AL401" s="102">
        <f t="shared" si="299"/>
        <v>0</v>
      </c>
      <c r="AM401" s="102">
        <f t="shared" si="300"/>
        <v>0</v>
      </c>
      <c r="AS401" s="530">
        <v>400</v>
      </c>
      <c r="AT401" s="531">
        <f t="shared" ca="1" si="314"/>
        <v>58341</v>
      </c>
      <c r="AU401" s="532">
        <f ca="1">IF(AU400=0,SUMIFS('Key Life Events'!$L$3:$L$28,'Key Life Events'!$H$3:$H$28,'Loan Amortization'!$AY$3,'Key Life Events'!$N$3:$N$28,'Loan Amortization'!AT401),AU400-AX400)</f>
        <v>0</v>
      </c>
      <c r="AV401" s="532">
        <f t="shared" ca="1" si="315"/>
        <v>0</v>
      </c>
      <c r="AW401" s="532">
        <f t="shared" ca="1" si="304"/>
        <v>0</v>
      </c>
      <c r="AX401" s="532">
        <f t="shared" ca="1" si="305"/>
        <v>0</v>
      </c>
      <c r="BC401" s="536">
        <f t="shared" ca="1" si="306"/>
        <v>2059</v>
      </c>
      <c r="BF401" s="530">
        <v>400</v>
      </c>
      <c r="BG401" s="531">
        <f t="shared" ca="1" si="316"/>
        <v>58341</v>
      </c>
      <c r="BH401" s="532">
        <f ca="1">IF(BH400=0,SUMIFS('Key Life Events'!$L$3:$L$28,'Key Life Events'!$H$3:$H$28,'Loan Amortization'!$BL$3,'Key Life Events'!$N$3:$N$28,'Loan Amortization'!BG401),BH400-BK400)</f>
        <v>0</v>
      </c>
      <c r="BI401" s="532">
        <f t="shared" ca="1" si="317"/>
        <v>0</v>
      </c>
      <c r="BJ401" s="532">
        <f t="shared" ca="1" si="318"/>
        <v>0</v>
      </c>
      <c r="BK401" s="532">
        <f t="shared" ca="1" si="307"/>
        <v>0</v>
      </c>
      <c r="BP401" s="536">
        <f t="shared" ca="1" si="308"/>
        <v>2059</v>
      </c>
      <c r="BS401" s="530">
        <v>400</v>
      </c>
      <c r="BT401" s="531">
        <f t="shared" ca="1" si="319"/>
        <v>58341</v>
      </c>
      <c r="BU401" s="532">
        <f ca="1">IF(BU400=0,SUMIFS('Key Life Events'!$L$3:$L$28,'Key Life Events'!$H$3:$H$28,'Loan Amortization'!$BY$3,'Key Life Events'!$N$3:$N$28,'Loan Amortization'!BT401),BU400-BX400)</f>
        <v>0</v>
      </c>
      <c r="BV401" s="532">
        <f t="shared" ca="1" si="324"/>
        <v>0</v>
      </c>
      <c r="BW401" s="532">
        <f t="shared" ca="1" si="320"/>
        <v>0</v>
      </c>
      <c r="BX401" s="532">
        <f t="shared" ca="1" si="309"/>
        <v>0</v>
      </c>
      <c r="CC401" s="536">
        <f t="shared" ca="1" si="310"/>
        <v>2059</v>
      </c>
      <c r="CF401" s="530">
        <v>400</v>
      </c>
      <c r="CG401" s="531">
        <f t="shared" ca="1" si="321"/>
        <v>58341</v>
      </c>
      <c r="CH401" s="532">
        <f ca="1">IF(CH400=0,SUMIFS('Key Life Events'!$L$3:$L$28,'Key Life Events'!$H$3:$H$28,'Loan Amortization'!$CL$3,'Key Life Events'!$N$3:$N$28,'Loan Amortization'!CG401),CH400-CK400)</f>
        <v>0</v>
      </c>
      <c r="CI401" s="532">
        <f t="shared" ca="1" si="322"/>
        <v>0</v>
      </c>
      <c r="CJ401" s="532">
        <f t="shared" ca="1" si="323"/>
        <v>0</v>
      </c>
      <c r="CK401" s="532">
        <f t="shared" ca="1" si="311"/>
        <v>0</v>
      </c>
      <c r="CP401" s="536">
        <f t="shared" ca="1" si="312"/>
        <v>2059</v>
      </c>
      <c r="CS401" s="100">
        <f t="shared" si="301"/>
        <v>400</v>
      </c>
      <c r="CT401" s="102">
        <f t="shared" ca="1" si="302"/>
        <v>0</v>
      </c>
      <c r="CU401" s="102">
        <f t="shared" ca="1" si="303"/>
        <v>0</v>
      </c>
      <c r="CV401" s="511">
        <f t="shared" ca="1" si="313"/>
        <v>2059</v>
      </c>
    </row>
    <row r="402" spans="1:100" x14ac:dyDescent="0.3">
      <c r="A402" s="100">
        <v>401</v>
      </c>
      <c r="B402" s="131">
        <f t="shared" si="281"/>
        <v>11351</v>
      </c>
      <c r="C402" s="102">
        <f t="shared" si="282"/>
        <v>0</v>
      </c>
      <c r="D402" s="102">
        <f t="shared" si="283"/>
        <v>0</v>
      </c>
      <c r="E402" s="102">
        <f t="shared" si="284"/>
        <v>0</v>
      </c>
      <c r="F402" s="102">
        <f t="shared" si="285"/>
        <v>0</v>
      </c>
      <c r="L402" s="100">
        <v>401</v>
      </c>
      <c r="M402" s="131">
        <f t="shared" ca="1" si="286"/>
        <v>58371</v>
      </c>
      <c r="N402" s="102">
        <f t="shared" si="287"/>
        <v>0</v>
      </c>
      <c r="O402" s="102">
        <f t="shared" si="288"/>
        <v>0</v>
      </c>
      <c r="P402" s="102">
        <f t="shared" si="289"/>
        <v>0</v>
      </c>
      <c r="Q402" s="102">
        <f t="shared" si="290"/>
        <v>0</v>
      </c>
      <c r="W402" s="100">
        <v>401</v>
      </c>
      <c r="X402" s="131">
        <f t="shared" ca="1" si="291"/>
        <v>58371</v>
      </c>
      <c r="Y402" s="102">
        <f t="shared" si="292"/>
        <v>0</v>
      </c>
      <c r="Z402" s="102">
        <f t="shared" si="293"/>
        <v>0</v>
      </c>
      <c r="AA402" s="102">
        <f t="shared" si="294"/>
        <v>0</v>
      </c>
      <c r="AB402" s="102">
        <f t="shared" si="295"/>
        <v>0</v>
      </c>
      <c r="AH402" s="100">
        <v>401</v>
      </c>
      <c r="AI402" s="131">
        <f t="shared" ca="1" si="296"/>
        <v>58371</v>
      </c>
      <c r="AJ402" s="102">
        <f t="shared" si="297"/>
        <v>0</v>
      </c>
      <c r="AK402" s="102">
        <f t="shared" si="298"/>
        <v>0</v>
      </c>
      <c r="AL402" s="102">
        <f t="shared" si="299"/>
        <v>0</v>
      </c>
      <c r="AM402" s="102">
        <f t="shared" si="300"/>
        <v>0</v>
      </c>
      <c r="AS402" s="530">
        <v>401</v>
      </c>
      <c r="AT402" s="531">
        <f t="shared" ca="1" si="314"/>
        <v>58371</v>
      </c>
      <c r="AU402" s="532">
        <f ca="1">IF(AU401=0,SUMIFS('Key Life Events'!$L$3:$L$28,'Key Life Events'!$H$3:$H$28,'Loan Amortization'!$AY$3,'Key Life Events'!$N$3:$N$28,'Loan Amortization'!AT402),AU401-AX401)</f>
        <v>0</v>
      </c>
      <c r="AV402" s="532">
        <f t="shared" ca="1" si="315"/>
        <v>0</v>
      </c>
      <c r="AW402" s="532">
        <f t="shared" ca="1" si="304"/>
        <v>0</v>
      </c>
      <c r="AX402" s="532">
        <f t="shared" ca="1" si="305"/>
        <v>0</v>
      </c>
      <c r="BC402" s="536">
        <f t="shared" ca="1" si="306"/>
        <v>2059</v>
      </c>
      <c r="BF402" s="530">
        <v>401</v>
      </c>
      <c r="BG402" s="531">
        <f t="shared" ca="1" si="316"/>
        <v>58371</v>
      </c>
      <c r="BH402" s="532">
        <f ca="1">IF(BH401=0,SUMIFS('Key Life Events'!$L$3:$L$28,'Key Life Events'!$H$3:$H$28,'Loan Amortization'!$BL$3,'Key Life Events'!$N$3:$N$28,'Loan Amortization'!BG402),BH401-BK401)</f>
        <v>0</v>
      </c>
      <c r="BI402" s="532">
        <f t="shared" ca="1" si="317"/>
        <v>0</v>
      </c>
      <c r="BJ402" s="532">
        <f t="shared" ca="1" si="318"/>
        <v>0</v>
      </c>
      <c r="BK402" s="532">
        <f t="shared" ca="1" si="307"/>
        <v>0</v>
      </c>
      <c r="BP402" s="536">
        <f t="shared" ca="1" si="308"/>
        <v>2059</v>
      </c>
      <c r="BS402" s="530">
        <v>401</v>
      </c>
      <c r="BT402" s="531">
        <f t="shared" ca="1" si="319"/>
        <v>58371</v>
      </c>
      <c r="BU402" s="532">
        <f ca="1">IF(BU401=0,SUMIFS('Key Life Events'!$L$3:$L$28,'Key Life Events'!$H$3:$H$28,'Loan Amortization'!$BY$3,'Key Life Events'!$N$3:$N$28,'Loan Amortization'!BT402),BU401-BX401)</f>
        <v>0</v>
      </c>
      <c r="BV402" s="532">
        <f t="shared" ca="1" si="324"/>
        <v>0</v>
      </c>
      <c r="BW402" s="532">
        <f t="shared" ca="1" si="320"/>
        <v>0</v>
      </c>
      <c r="BX402" s="532">
        <f t="shared" ca="1" si="309"/>
        <v>0</v>
      </c>
      <c r="CC402" s="536">
        <f t="shared" ca="1" si="310"/>
        <v>2059</v>
      </c>
      <c r="CF402" s="530">
        <v>401</v>
      </c>
      <c r="CG402" s="531">
        <f t="shared" ca="1" si="321"/>
        <v>58371</v>
      </c>
      <c r="CH402" s="532">
        <f ca="1">IF(CH401=0,SUMIFS('Key Life Events'!$L$3:$L$28,'Key Life Events'!$H$3:$H$28,'Loan Amortization'!$CL$3,'Key Life Events'!$N$3:$N$28,'Loan Amortization'!CG402),CH401-CK401)</f>
        <v>0</v>
      </c>
      <c r="CI402" s="532">
        <f t="shared" ca="1" si="322"/>
        <v>0</v>
      </c>
      <c r="CJ402" s="532">
        <f t="shared" ca="1" si="323"/>
        <v>0</v>
      </c>
      <c r="CK402" s="532">
        <f t="shared" ca="1" si="311"/>
        <v>0</v>
      </c>
      <c r="CP402" s="536">
        <f t="shared" ca="1" si="312"/>
        <v>2059</v>
      </c>
      <c r="CS402" s="100">
        <f t="shared" si="301"/>
        <v>401</v>
      </c>
      <c r="CT402" s="102">
        <f t="shared" ca="1" si="302"/>
        <v>0</v>
      </c>
      <c r="CU402" s="102">
        <f t="shared" ca="1" si="303"/>
        <v>0</v>
      </c>
      <c r="CV402" s="511">
        <f t="shared" ca="1" si="313"/>
        <v>2059</v>
      </c>
    </row>
    <row r="403" spans="1:100" x14ac:dyDescent="0.3">
      <c r="A403" s="100">
        <v>402</v>
      </c>
      <c r="B403" s="131">
        <f t="shared" si="281"/>
        <v>11382</v>
      </c>
      <c r="C403" s="102">
        <f t="shared" si="282"/>
        <v>0</v>
      </c>
      <c r="D403" s="102">
        <f t="shared" si="283"/>
        <v>0</v>
      </c>
      <c r="E403" s="102">
        <f t="shared" si="284"/>
        <v>0</v>
      </c>
      <c r="F403" s="102">
        <f t="shared" si="285"/>
        <v>0</v>
      </c>
      <c r="L403" s="100">
        <v>402</v>
      </c>
      <c r="M403" s="131">
        <f t="shared" ca="1" si="286"/>
        <v>58402</v>
      </c>
      <c r="N403" s="102">
        <f t="shared" si="287"/>
        <v>0</v>
      </c>
      <c r="O403" s="102">
        <f t="shared" si="288"/>
        <v>0</v>
      </c>
      <c r="P403" s="102">
        <f t="shared" si="289"/>
        <v>0</v>
      </c>
      <c r="Q403" s="102">
        <f t="shared" si="290"/>
        <v>0</v>
      </c>
      <c r="W403" s="100">
        <v>402</v>
      </c>
      <c r="X403" s="131">
        <f t="shared" ca="1" si="291"/>
        <v>58402</v>
      </c>
      <c r="Y403" s="102">
        <f t="shared" si="292"/>
        <v>0</v>
      </c>
      <c r="Z403" s="102">
        <f t="shared" si="293"/>
        <v>0</v>
      </c>
      <c r="AA403" s="102">
        <f t="shared" si="294"/>
        <v>0</v>
      </c>
      <c r="AB403" s="102">
        <f t="shared" si="295"/>
        <v>0</v>
      </c>
      <c r="AH403" s="100">
        <v>402</v>
      </c>
      <c r="AI403" s="131">
        <f t="shared" ca="1" si="296"/>
        <v>58402</v>
      </c>
      <c r="AJ403" s="102">
        <f t="shared" si="297"/>
        <v>0</v>
      </c>
      <c r="AK403" s="102">
        <f t="shared" si="298"/>
        <v>0</v>
      </c>
      <c r="AL403" s="102">
        <f t="shared" si="299"/>
        <v>0</v>
      </c>
      <c r="AM403" s="102">
        <f t="shared" si="300"/>
        <v>0</v>
      </c>
      <c r="AS403" s="530">
        <v>402</v>
      </c>
      <c r="AT403" s="531">
        <f t="shared" ca="1" si="314"/>
        <v>58402</v>
      </c>
      <c r="AU403" s="532">
        <f ca="1">IF(AU402=0,SUMIFS('Key Life Events'!$L$3:$L$28,'Key Life Events'!$H$3:$H$28,'Loan Amortization'!$AY$3,'Key Life Events'!$N$3:$N$28,'Loan Amortization'!AT403),AU402-AX402)</f>
        <v>0</v>
      </c>
      <c r="AV403" s="532">
        <f t="shared" ca="1" si="315"/>
        <v>0</v>
      </c>
      <c r="AW403" s="532">
        <f t="shared" ca="1" si="304"/>
        <v>0</v>
      </c>
      <c r="AX403" s="532">
        <f t="shared" ca="1" si="305"/>
        <v>0</v>
      </c>
      <c r="BC403" s="536">
        <f t="shared" ca="1" si="306"/>
        <v>2059</v>
      </c>
      <c r="BF403" s="530">
        <v>402</v>
      </c>
      <c r="BG403" s="531">
        <f t="shared" ca="1" si="316"/>
        <v>58402</v>
      </c>
      <c r="BH403" s="532">
        <f ca="1">IF(BH402=0,SUMIFS('Key Life Events'!$L$3:$L$28,'Key Life Events'!$H$3:$H$28,'Loan Amortization'!$BL$3,'Key Life Events'!$N$3:$N$28,'Loan Amortization'!BG403),BH402-BK402)</f>
        <v>0</v>
      </c>
      <c r="BI403" s="532">
        <f t="shared" ca="1" si="317"/>
        <v>0</v>
      </c>
      <c r="BJ403" s="532">
        <f t="shared" ca="1" si="318"/>
        <v>0</v>
      </c>
      <c r="BK403" s="532">
        <f t="shared" ca="1" si="307"/>
        <v>0</v>
      </c>
      <c r="BP403" s="536">
        <f t="shared" ca="1" si="308"/>
        <v>2059</v>
      </c>
      <c r="BS403" s="530">
        <v>402</v>
      </c>
      <c r="BT403" s="531">
        <f t="shared" ca="1" si="319"/>
        <v>58402</v>
      </c>
      <c r="BU403" s="532">
        <f ca="1">IF(BU402=0,SUMIFS('Key Life Events'!$L$3:$L$28,'Key Life Events'!$H$3:$H$28,'Loan Amortization'!$BY$3,'Key Life Events'!$N$3:$N$28,'Loan Amortization'!BT403),BU402-BX402)</f>
        <v>0</v>
      </c>
      <c r="BV403" s="532">
        <f t="shared" ca="1" si="324"/>
        <v>0</v>
      </c>
      <c r="BW403" s="532">
        <f t="shared" ca="1" si="320"/>
        <v>0</v>
      </c>
      <c r="BX403" s="532">
        <f t="shared" ca="1" si="309"/>
        <v>0</v>
      </c>
      <c r="CC403" s="536">
        <f t="shared" ca="1" si="310"/>
        <v>2059</v>
      </c>
      <c r="CF403" s="530">
        <v>402</v>
      </c>
      <c r="CG403" s="531">
        <f t="shared" ca="1" si="321"/>
        <v>58402</v>
      </c>
      <c r="CH403" s="532">
        <f ca="1">IF(CH402=0,SUMIFS('Key Life Events'!$L$3:$L$28,'Key Life Events'!$H$3:$H$28,'Loan Amortization'!$CL$3,'Key Life Events'!$N$3:$N$28,'Loan Amortization'!CG403),CH402-CK402)</f>
        <v>0</v>
      </c>
      <c r="CI403" s="532">
        <f t="shared" ca="1" si="322"/>
        <v>0</v>
      </c>
      <c r="CJ403" s="532">
        <f t="shared" ca="1" si="323"/>
        <v>0</v>
      </c>
      <c r="CK403" s="532">
        <f t="shared" ca="1" si="311"/>
        <v>0</v>
      </c>
      <c r="CP403" s="536">
        <f t="shared" ca="1" si="312"/>
        <v>2059</v>
      </c>
      <c r="CS403" s="100">
        <f t="shared" si="301"/>
        <v>402</v>
      </c>
      <c r="CT403" s="102">
        <f t="shared" ca="1" si="302"/>
        <v>0</v>
      </c>
      <c r="CU403" s="102">
        <f t="shared" ca="1" si="303"/>
        <v>0</v>
      </c>
      <c r="CV403" s="511">
        <f t="shared" ca="1" si="313"/>
        <v>2059</v>
      </c>
    </row>
    <row r="404" spans="1:100" x14ac:dyDescent="0.3">
      <c r="A404" s="100">
        <v>403</v>
      </c>
      <c r="B404" s="131">
        <f t="shared" si="281"/>
        <v>11410</v>
      </c>
      <c r="C404" s="102">
        <f t="shared" si="282"/>
        <v>0</v>
      </c>
      <c r="D404" s="102">
        <f t="shared" si="283"/>
        <v>0</v>
      </c>
      <c r="E404" s="102">
        <f t="shared" si="284"/>
        <v>0</v>
      </c>
      <c r="F404" s="102">
        <f t="shared" si="285"/>
        <v>0</v>
      </c>
      <c r="L404" s="100">
        <v>403</v>
      </c>
      <c r="M404" s="131">
        <f t="shared" ca="1" si="286"/>
        <v>58432</v>
      </c>
      <c r="N404" s="102">
        <f t="shared" si="287"/>
        <v>0</v>
      </c>
      <c r="O404" s="102">
        <f t="shared" si="288"/>
        <v>0</v>
      </c>
      <c r="P404" s="102">
        <f t="shared" si="289"/>
        <v>0</v>
      </c>
      <c r="Q404" s="102">
        <f t="shared" si="290"/>
        <v>0</v>
      </c>
      <c r="W404" s="100">
        <v>403</v>
      </c>
      <c r="X404" s="131">
        <f t="shared" ca="1" si="291"/>
        <v>58432</v>
      </c>
      <c r="Y404" s="102">
        <f t="shared" si="292"/>
        <v>0</v>
      </c>
      <c r="Z404" s="102">
        <f t="shared" si="293"/>
        <v>0</v>
      </c>
      <c r="AA404" s="102">
        <f t="shared" si="294"/>
        <v>0</v>
      </c>
      <c r="AB404" s="102">
        <f t="shared" si="295"/>
        <v>0</v>
      </c>
      <c r="AH404" s="100">
        <v>403</v>
      </c>
      <c r="AI404" s="131">
        <f t="shared" ca="1" si="296"/>
        <v>58432</v>
      </c>
      <c r="AJ404" s="102">
        <f t="shared" si="297"/>
        <v>0</v>
      </c>
      <c r="AK404" s="102">
        <f t="shared" si="298"/>
        <v>0</v>
      </c>
      <c r="AL404" s="102">
        <f t="shared" si="299"/>
        <v>0</v>
      </c>
      <c r="AM404" s="102">
        <f t="shared" si="300"/>
        <v>0</v>
      </c>
      <c r="AS404" s="530">
        <v>403</v>
      </c>
      <c r="AT404" s="531">
        <f t="shared" ca="1" si="314"/>
        <v>58432</v>
      </c>
      <c r="AU404" s="532">
        <f ca="1">IF(AU403=0,SUMIFS('Key Life Events'!$L$3:$L$28,'Key Life Events'!$H$3:$H$28,'Loan Amortization'!$AY$3,'Key Life Events'!$N$3:$N$28,'Loan Amortization'!AT404),AU403-AX403)</f>
        <v>0</v>
      </c>
      <c r="AV404" s="532">
        <f t="shared" ca="1" si="315"/>
        <v>0</v>
      </c>
      <c r="AW404" s="532">
        <f t="shared" ca="1" si="304"/>
        <v>0</v>
      </c>
      <c r="AX404" s="532">
        <f t="shared" ca="1" si="305"/>
        <v>0</v>
      </c>
      <c r="BC404" s="536">
        <f t="shared" ca="1" si="306"/>
        <v>2059</v>
      </c>
      <c r="BF404" s="530">
        <v>403</v>
      </c>
      <c r="BG404" s="531">
        <f t="shared" ca="1" si="316"/>
        <v>58432</v>
      </c>
      <c r="BH404" s="532">
        <f ca="1">IF(BH403=0,SUMIFS('Key Life Events'!$L$3:$L$28,'Key Life Events'!$H$3:$H$28,'Loan Amortization'!$BL$3,'Key Life Events'!$N$3:$N$28,'Loan Amortization'!BG404),BH403-BK403)</f>
        <v>0</v>
      </c>
      <c r="BI404" s="532">
        <f t="shared" ca="1" si="317"/>
        <v>0</v>
      </c>
      <c r="BJ404" s="532">
        <f t="shared" ca="1" si="318"/>
        <v>0</v>
      </c>
      <c r="BK404" s="532">
        <f t="shared" ca="1" si="307"/>
        <v>0</v>
      </c>
      <c r="BP404" s="536">
        <f t="shared" ca="1" si="308"/>
        <v>2059</v>
      </c>
      <c r="BS404" s="530">
        <v>403</v>
      </c>
      <c r="BT404" s="531">
        <f t="shared" ca="1" si="319"/>
        <v>58432</v>
      </c>
      <c r="BU404" s="532">
        <f ca="1">IF(BU403=0,SUMIFS('Key Life Events'!$L$3:$L$28,'Key Life Events'!$H$3:$H$28,'Loan Amortization'!$BY$3,'Key Life Events'!$N$3:$N$28,'Loan Amortization'!BT404),BU403-BX403)</f>
        <v>0</v>
      </c>
      <c r="BV404" s="532">
        <f t="shared" ca="1" si="324"/>
        <v>0</v>
      </c>
      <c r="BW404" s="532">
        <f t="shared" ca="1" si="320"/>
        <v>0</v>
      </c>
      <c r="BX404" s="532">
        <f t="shared" ca="1" si="309"/>
        <v>0</v>
      </c>
      <c r="CC404" s="536">
        <f t="shared" ca="1" si="310"/>
        <v>2059</v>
      </c>
      <c r="CF404" s="530">
        <v>403</v>
      </c>
      <c r="CG404" s="531">
        <f t="shared" ca="1" si="321"/>
        <v>58432</v>
      </c>
      <c r="CH404" s="532">
        <f ca="1">IF(CH403=0,SUMIFS('Key Life Events'!$L$3:$L$28,'Key Life Events'!$H$3:$H$28,'Loan Amortization'!$CL$3,'Key Life Events'!$N$3:$N$28,'Loan Amortization'!CG404),CH403-CK403)</f>
        <v>0</v>
      </c>
      <c r="CI404" s="532">
        <f t="shared" ca="1" si="322"/>
        <v>0</v>
      </c>
      <c r="CJ404" s="532">
        <f t="shared" ca="1" si="323"/>
        <v>0</v>
      </c>
      <c r="CK404" s="532">
        <f t="shared" ca="1" si="311"/>
        <v>0</v>
      </c>
      <c r="CP404" s="536">
        <f t="shared" ca="1" si="312"/>
        <v>2059</v>
      </c>
      <c r="CS404" s="100">
        <f t="shared" si="301"/>
        <v>403</v>
      </c>
      <c r="CT404" s="102">
        <f t="shared" ca="1" si="302"/>
        <v>0</v>
      </c>
      <c r="CU404" s="102">
        <f t="shared" ca="1" si="303"/>
        <v>0</v>
      </c>
      <c r="CV404" s="511">
        <f t="shared" ca="1" si="313"/>
        <v>2059</v>
      </c>
    </row>
    <row r="405" spans="1:100" x14ac:dyDescent="0.3">
      <c r="A405" s="100">
        <v>404</v>
      </c>
      <c r="B405" s="131">
        <f t="shared" si="281"/>
        <v>11441</v>
      </c>
      <c r="C405" s="102">
        <f t="shared" si="282"/>
        <v>0</v>
      </c>
      <c r="D405" s="102">
        <f t="shared" si="283"/>
        <v>0</v>
      </c>
      <c r="E405" s="102">
        <f t="shared" si="284"/>
        <v>0</v>
      </c>
      <c r="F405" s="102">
        <f t="shared" si="285"/>
        <v>0</v>
      </c>
      <c r="L405" s="100">
        <v>404</v>
      </c>
      <c r="M405" s="131">
        <f t="shared" ca="1" si="286"/>
        <v>58463</v>
      </c>
      <c r="N405" s="102">
        <f t="shared" si="287"/>
        <v>0</v>
      </c>
      <c r="O405" s="102">
        <f t="shared" si="288"/>
        <v>0</v>
      </c>
      <c r="P405" s="102">
        <f t="shared" si="289"/>
        <v>0</v>
      </c>
      <c r="Q405" s="102">
        <f t="shared" si="290"/>
        <v>0</v>
      </c>
      <c r="W405" s="100">
        <v>404</v>
      </c>
      <c r="X405" s="131">
        <f t="shared" ca="1" si="291"/>
        <v>58463</v>
      </c>
      <c r="Y405" s="102">
        <f t="shared" si="292"/>
        <v>0</v>
      </c>
      <c r="Z405" s="102">
        <f t="shared" si="293"/>
        <v>0</v>
      </c>
      <c r="AA405" s="102">
        <f t="shared" si="294"/>
        <v>0</v>
      </c>
      <c r="AB405" s="102">
        <f t="shared" si="295"/>
        <v>0</v>
      </c>
      <c r="AH405" s="100">
        <v>404</v>
      </c>
      <c r="AI405" s="131">
        <f t="shared" ca="1" si="296"/>
        <v>58463</v>
      </c>
      <c r="AJ405" s="102">
        <f t="shared" si="297"/>
        <v>0</v>
      </c>
      <c r="AK405" s="102">
        <f t="shared" si="298"/>
        <v>0</v>
      </c>
      <c r="AL405" s="102">
        <f t="shared" si="299"/>
        <v>0</v>
      </c>
      <c r="AM405" s="102">
        <f t="shared" si="300"/>
        <v>0</v>
      </c>
      <c r="AS405" s="530">
        <v>404</v>
      </c>
      <c r="AT405" s="531">
        <f t="shared" ca="1" si="314"/>
        <v>58463</v>
      </c>
      <c r="AU405" s="532">
        <f ca="1">IF(AU404=0,SUMIFS('Key Life Events'!$L$3:$L$28,'Key Life Events'!$H$3:$H$28,'Loan Amortization'!$AY$3,'Key Life Events'!$N$3:$N$28,'Loan Amortization'!AT405),AU404-AX404)</f>
        <v>0</v>
      </c>
      <c r="AV405" s="532">
        <f t="shared" ca="1" si="315"/>
        <v>0</v>
      </c>
      <c r="AW405" s="532">
        <f t="shared" ca="1" si="304"/>
        <v>0</v>
      </c>
      <c r="AX405" s="532">
        <f t="shared" ca="1" si="305"/>
        <v>0</v>
      </c>
      <c r="BC405" s="536">
        <f t="shared" ca="1" si="306"/>
        <v>2060</v>
      </c>
      <c r="BF405" s="530">
        <v>404</v>
      </c>
      <c r="BG405" s="531">
        <f t="shared" ca="1" si="316"/>
        <v>58463</v>
      </c>
      <c r="BH405" s="532">
        <f ca="1">IF(BH404=0,SUMIFS('Key Life Events'!$L$3:$L$28,'Key Life Events'!$H$3:$H$28,'Loan Amortization'!$BL$3,'Key Life Events'!$N$3:$N$28,'Loan Amortization'!BG405),BH404-BK404)</f>
        <v>0</v>
      </c>
      <c r="BI405" s="532">
        <f t="shared" ca="1" si="317"/>
        <v>0</v>
      </c>
      <c r="BJ405" s="532">
        <f t="shared" ca="1" si="318"/>
        <v>0</v>
      </c>
      <c r="BK405" s="532">
        <f t="shared" ca="1" si="307"/>
        <v>0</v>
      </c>
      <c r="BP405" s="536">
        <f t="shared" ca="1" si="308"/>
        <v>2060</v>
      </c>
      <c r="BS405" s="530">
        <v>404</v>
      </c>
      <c r="BT405" s="531">
        <f t="shared" ca="1" si="319"/>
        <v>58463</v>
      </c>
      <c r="BU405" s="532">
        <f ca="1">IF(BU404=0,SUMIFS('Key Life Events'!$L$3:$L$28,'Key Life Events'!$H$3:$H$28,'Loan Amortization'!$BY$3,'Key Life Events'!$N$3:$N$28,'Loan Amortization'!BT405),BU404-BX404)</f>
        <v>0</v>
      </c>
      <c r="BV405" s="532">
        <f t="shared" ca="1" si="324"/>
        <v>0</v>
      </c>
      <c r="BW405" s="532">
        <f t="shared" ca="1" si="320"/>
        <v>0</v>
      </c>
      <c r="BX405" s="532">
        <f t="shared" ca="1" si="309"/>
        <v>0</v>
      </c>
      <c r="CC405" s="536">
        <f t="shared" ca="1" si="310"/>
        <v>2060</v>
      </c>
      <c r="CF405" s="530">
        <v>404</v>
      </c>
      <c r="CG405" s="531">
        <f t="shared" ca="1" si="321"/>
        <v>58463</v>
      </c>
      <c r="CH405" s="532">
        <f ca="1">IF(CH404=0,SUMIFS('Key Life Events'!$L$3:$L$28,'Key Life Events'!$H$3:$H$28,'Loan Amortization'!$CL$3,'Key Life Events'!$N$3:$N$28,'Loan Amortization'!CG405),CH404-CK404)</f>
        <v>0</v>
      </c>
      <c r="CI405" s="532">
        <f t="shared" ca="1" si="322"/>
        <v>0</v>
      </c>
      <c r="CJ405" s="532">
        <f t="shared" ca="1" si="323"/>
        <v>0</v>
      </c>
      <c r="CK405" s="532">
        <f t="shared" ca="1" si="311"/>
        <v>0</v>
      </c>
      <c r="CP405" s="536">
        <f t="shared" ca="1" si="312"/>
        <v>2060</v>
      </c>
      <c r="CS405" s="100">
        <f t="shared" si="301"/>
        <v>404</v>
      </c>
      <c r="CT405" s="102">
        <f t="shared" ca="1" si="302"/>
        <v>0</v>
      </c>
      <c r="CU405" s="102">
        <f t="shared" ca="1" si="303"/>
        <v>0</v>
      </c>
      <c r="CV405" s="511">
        <f t="shared" ca="1" si="313"/>
        <v>2060</v>
      </c>
    </row>
    <row r="406" spans="1:100" x14ac:dyDescent="0.3">
      <c r="A406" s="100">
        <v>405</v>
      </c>
      <c r="B406" s="131">
        <f t="shared" si="281"/>
        <v>11471</v>
      </c>
      <c r="C406" s="102">
        <f t="shared" si="282"/>
        <v>0</v>
      </c>
      <c r="D406" s="102">
        <f t="shared" si="283"/>
        <v>0</v>
      </c>
      <c r="E406" s="102">
        <f t="shared" si="284"/>
        <v>0</v>
      </c>
      <c r="F406" s="102">
        <f t="shared" si="285"/>
        <v>0</v>
      </c>
      <c r="L406" s="100">
        <v>405</v>
      </c>
      <c r="M406" s="131">
        <f t="shared" ca="1" si="286"/>
        <v>58494</v>
      </c>
      <c r="N406" s="102">
        <f t="shared" si="287"/>
        <v>0</v>
      </c>
      <c r="O406" s="102">
        <f t="shared" si="288"/>
        <v>0</v>
      </c>
      <c r="P406" s="102">
        <f t="shared" si="289"/>
        <v>0</v>
      </c>
      <c r="Q406" s="102">
        <f t="shared" si="290"/>
        <v>0</v>
      </c>
      <c r="W406" s="100">
        <v>405</v>
      </c>
      <c r="X406" s="131">
        <f t="shared" ca="1" si="291"/>
        <v>58494</v>
      </c>
      <c r="Y406" s="102">
        <f t="shared" si="292"/>
        <v>0</v>
      </c>
      <c r="Z406" s="102">
        <f t="shared" si="293"/>
        <v>0</v>
      </c>
      <c r="AA406" s="102">
        <f t="shared" si="294"/>
        <v>0</v>
      </c>
      <c r="AB406" s="102">
        <f t="shared" si="295"/>
        <v>0</v>
      </c>
      <c r="AH406" s="100">
        <v>405</v>
      </c>
      <c r="AI406" s="131">
        <f t="shared" ca="1" si="296"/>
        <v>58494</v>
      </c>
      <c r="AJ406" s="102">
        <f t="shared" si="297"/>
        <v>0</v>
      </c>
      <c r="AK406" s="102">
        <f t="shared" si="298"/>
        <v>0</v>
      </c>
      <c r="AL406" s="102">
        <f t="shared" si="299"/>
        <v>0</v>
      </c>
      <c r="AM406" s="102">
        <f t="shared" si="300"/>
        <v>0</v>
      </c>
      <c r="AS406" s="530">
        <v>405</v>
      </c>
      <c r="AT406" s="531">
        <f t="shared" ca="1" si="314"/>
        <v>58494</v>
      </c>
      <c r="AU406" s="532">
        <f ca="1">IF(AU405=0,SUMIFS('Key Life Events'!$L$3:$L$28,'Key Life Events'!$H$3:$H$28,'Loan Amortization'!$AY$3,'Key Life Events'!$N$3:$N$28,'Loan Amortization'!AT406),AU405-AX405)</f>
        <v>0</v>
      </c>
      <c r="AV406" s="532">
        <f t="shared" ca="1" si="315"/>
        <v>0</v>
      </c>
      <c r="AW406" s="532">
        <f t="shared" ca="1" si="304"/>
        <v>0</v>
      </c>
      <c r="AX406" s="532">
        <f t="shared" ca="1" si="305"/>
        <v>0</v>
      </c>
      <c r="BC406" s="536">
        <f t="shared" ca="1" si="306"/>
        <v>2060</v>
      </c>
      <c r="BF406" s="530">
        <v>405</v>
      </c>
      <c r="BG406" s="531">
        <f t="shared" ca="1" si="316"/>
        <v>58494</v>
      </c>
      <c r="BH406" s="532">
        <f ca="1">IF(BH405=0,SUMIFS('Key Life Events'!$L$3:$L$28,'Key Life Events'!$H$3:$H$28,'Loan Amortization'!$BL$3,'Key Life Events'!$N$3:$N$28,'Loan Amortization'!BG406),BH405-BK405)</f>
        <v>0</v>
      </c>
      <c r="BI406" s="532">
        <f t="shared" ca="1" si="317"/>
        <v>0</v>
      </c>
      <c r="BJ406" s="532">
        <f t="shared" ca="1" si="318"/>
        <v>0</v>
      </c>
      <c r="BK406" s="532">
        <f t="shared" ca="1" si="307"/>
        <v>0</v>
      </c>
      <c r="BP406" s="536">
        <f t="shared" ca="1" si="308"/>
        <v>2060</v>
      </c>
      <c r="BS406" s="530">
        <v>405</v>
      </c>
      <c r="BT406" s="531">
        <f t="shared" ca="1" si="319"/>
        <v>58494</v>
      </c>
      <c r="BU406" s="532">
        <f ca="1">IF(BU405=0,SUMIFS('Key Life Events'!$L$3:$L$28,'Key Life Events'!$H$3:$H$28,'Loan Amortization'!$BY$3,'Key Life Events'!$N$3:$N$28,'Loan Amortization'!BT406),BU405-BX405)</f>
        <v>0</v>
      </c>
      <c r="BV406" s="532">
        <f t="shared" ca="1" si="324"/>
        <v>0</v>
      </c>
      <c r="BW406" s="532">
        <f t="shared" ca="1" si="320"/>
        <v>0</v>
      </c>
      <c r="BX406" s="532">
        <f t="shared" ca="1" si="309"/>
        <v>0</v>
      </c>
      <c r="CC406" s="536">
        <f t="shared" ca="1" si="310"/>
        <v>2060</v>
      </c>
      <c r="CF406" s="530">
        <v>405</v>
      </c>
      <c r="CG406" s="531">
        <f t="shared" ca="1" si="321"/>
        <v>58494</v>
      </c>
      <c r="CH406" s="532">
        <f ca="1">IF(CH405=0,SUMIFS('Key Life Events'!$L$3:$L$28,'Key Life Events'!$H$3:$H$28,'Loan Amortization'!$CL$3,'Key Life Events'!$N$3:$N$28,'Loan Amortization'!CG406),CH405-CK405)</f>
        <v>0</v>
      </c>
      <c r="CI406" s="532">
        <f t="shared" ca="1" si="322"/>
        <v>0</v>
      </c>
      <c r="CJ406" s="532">
        <f t="shared" ca="1" si="323"/>
        <v>0</v>
      </c>
      <c r="CK406" s="532">
        <f t="shared" ca="1" si="311"/>
        <v>0</v>
      </c>
      <c r="CP406" s="536">
        <f t="shared" ca="1" si="312"/>
        <v>2060</v>
      </c>
      <c r="CS406" s="100">
        <f t="shared" si="301"/>
        <v>405</v>
      </c>
      <c r="CT406" s="102">
        <f t="shared" ca="1" si="302"/>
        <v>0</v>
      </c>
      <c r="CU406" s="102">
        <f t="shared" ca="1" si="303"/>
        <v>0</v>
      </c>
      <c r="CV406" s="511">
        <f t="shared" ca="1" si="313"/>
        <v>2060</v>
      </c>
    </row>
    <row r="407" spans="1:100" x14ac:dyDescent="0.3">
      <c r="A407" s="100">
        <v>406</v>
      </c>
      <c r="B407" s="131">
        <f t="shared" si="281"/>
        <v>11502</v>
      </c>
      <c r="C407" s="102">
        <f t="shared" si="282"/>
        <v>0</v>
      </c>
      <c r="D407" s="102">
        <f t="shared" si="283"/>
        <v>0</v>
      </c>
      <c r="E407" s="102">
        <f t="shared" si="284"/>
        <v>0</v>
      </c>
      <c r="F407" s="102">
        <f t="shared" si="285"/>
        <v>0</v>
      </c>
      <c r="L407" s="100">
        <v>406</v>
      </c>
      <c r="M407" s="131">
        <f t="shared" ca="1" si="286"/>
        <v>58523</v>
      </c>
      <c r="N407" s="102">
        <f t="shared" si="287"/>
        <v>0</v>
      </c>
      <c r="O407" s="102">
        <f t="shared" si="288"/>
        <v>0</v>
      </c>
      <c r="P407" s="102">
        <f t="shared" si="289"/>
        <v>0</v>
      </c>
      <c r="Q407" s="102">
        <f t="shared" si="290"/>
        <v>0</v>
      </c>
      <c r="W407" s="100">
        <v>406</v>
      </c>
      <c r="X407" s="131">
        <f t="shared" ca="1" si="291"/>
        <v>58523</v>
      </c>
      <c r="Y407" s="102">
        <f t="shared" si="292"/>
        <v>0</v>
      </c>
      <c r="Z407" s="102">
        <f t="shared" si="293"/>
        <v>0</v>
      </c>
      <c r="AA407" s="102">
        <f t="shared" si="294"/>
        <v>0</v>
      </c>
      <c r="AB407" s="102">
        <f t="shared" si="295"/>
        <v>0</v>
      </c>
      <c r="AH407" s="100">
        <v>406</v>
      </c>
      <c r="AI407" s="131">
        <f t="shared" ca="1" si="296"/>
        <v>58523</v>
      </c>
      <c r="AJ407" s="102">
        <f t="shared" si="297"/>
        <v>0</v>
      </c>
      <c r="AK407" s="102">
        <f t="shared" si="298"/>
        <v>0</v>
      </c>
      <c r="AL407" s="102">
        <f t="shared" si="299"/>
        <v>0</v>
      </c>
      <c r="AM407" s="102">
        <f t="shared" si="300"/>
        <v>0</v>
      </c>
      <c r="AS407" s="530">
        <v>406</v>
      </c>
      <c r="AT407" s="531">
        <f t="shared" ca="1" si="314"/>
        <v>58523</v>
      </c>
      <c r="AU407" s="532">
        <f ca="1">IF(AU406=0,SUMIFS('Key Life Events'!$L$3:$L$28,'Key Life Events'!$H$3:$H$28,'Loan Amortization'!$AY$3,'Key Life Events'!$N$3:$N$28,'Loan Amortization'!AT407),AU406-AX406)</f>
        <v>0</v>
      </c>
      <c r="AV407" s="532">
        <f t="shared" ca="1" si="315"/>
        <v>0</v>
      </c>
      <c r="AW407" s="532">
        <f t="shared" ca="1" si="304"/>
        <v>0</v>
      </c>
      <c r="AX407" s="532">
        <f t="shared" ca="1" si="305"/>
        <v>0</v>
      </c>
      <c r="BC407" s="536">
        <f t="shared" ca="1" si="306"/>
        <v>2060</v>
      </c>
      <c r="BF407" s="530">
        <v>406</v>
      </c>
      <c r="BG407" s="531">
        <f t="shared" ca="1" si="316"/>
        <v>58523</v>
      </c>
      <c r="BH407" s="532">
        <f ca="1">IF(BH406=0,SUMIFS('Key Life Events'!$L$3:$L$28,'Key Life Events'!$H$3:$H$28,'Loan Amortization'!$BL$3,'Key Life Events'!$N$3:$N$28,'Loan Amortization'!BG407),BH406-BK406)</f>
        <v>0</v>
      </c>
      <c r="BI407" s="532">
        <f t="shared" ca="1" si="317"/>
        <v>0</v>
      </c>
      <c r="BJ407" s="532">
        <f t="shared" ca="1" si="318"/>
        <v>0</v>
      </c>
      <c r="BK407" s="532">
        <f t="shared" ca="1" si="307"/>
        <v>0</v>
      </c>
      <c r="BP407" s="536">
        <f t="shared" ca="1" si="308"/>
        <v>2060</v>
      </c>
      <c r="BS407" s="530">
        <v>406</v>
      </c>
      <c r="BT407" s="531">
        <f t="shared" ca="1" si="319"/>
        <v>58523</v>
      </c>
      <c r="BU407" s="532">
        <f ca="1">IF(BU406=0,SUMIFS('Key Life Events'!$L$3:$L$28,'Key Life Events'!$H$3:$H$28,'Loan Amortization'!$BY$3,'Key Life Events'!$N$3:$N$28,'Loan Amortization'!BT407),BU406-BX406)</f>
        <v>0</v>
      </c>
      <c r="BV407" s="532">
        <f t="shared" ca="1" si="324"/>
        <v>0</v>
      </c>
      <c r="BW407" s="532">
        <f t="shared" ca="1" si="320"/>
        <v>0</v>
      </c>
      <c r="BX407" s="532">
        <f t="shared" ca="1" si="309"/>
        <v>0</v>
      </c>
      <c r="CC407" s="536">
        <f t="shared" ca="1" si="310"/>
        <v>2060</v>
      </c>
      <c r="CF407" s="530">
        <v>406</v>
      </c>
      <c r="CG407" s="531">
        <f t="shared" ca="1" si="321"/>
        <v>58523</v>
      </c>
      <c r="CH407" s="532">
        <f ca="1">IF(CH406=0,SUMIFS('Key Life Events'!$L$3:$L$28,'Key Life Events'!$H$3:$H$28,'Loan Amortization'!$CL$3,'Key Life Events'!$N$3:$N$28,'Loan Amortization'!CG407),CH406-CK406)</f>
        <v>0</v>
      </c>
      <c r="CI407" s="532">
        <f t="shared" ca="1" si="322"/>
        <v>0</v>
      </c>
      <c r="CJ407" s="532">
        <f t="shared" ca="1" si="323"/>
        <v>0</v>
      </c>
      <c r="CK407" s="532">
        <f t="shared" ca="1" si="311"/>
        <v>0</v>
      </c>
      <c r="CP407" s="536">
        <f t="shared" ca="1" si="312"/>
        <v>2060</v>
      </c>
      <c r="CS407" s="100">
        <f t="shared" si="301"/>
        <v>406</v>
      </c>
      <c r="CT407" s="102">
        <f t="shared" ca="1" si="302"/>
        <v>0</v>
      </c>
      <c r="CU407" s="102">
        <f t="shared" ca="1" si="303"/>
        <v>0</v>
      </c>
      <c r="CV407" s="511">
        <f t="shared" ca="1" si="313"/>
        <v>2060</v>
      </c>
    </row>
    <row r="408" spans="1:100" x14ac:dyDescent="0.3">
      <c r="A408" s="100">
        <v>407</v>
      </c>
      <c r="B408" s="131">
        <f t="shared" si="281"/>
        <v>11532</v>
      </c>
      <c r="C408" s="102">
        <f t="shared" si="282"/>
        <v>0</v>
      </c>
      <c r="D408" s="102">
        <f t="shared" si="283"/>
        <v>0</v>
      </c>
      <c r="E408" s="102">
        <f t="shared" si="284"/>
        <v>0</v>
      </c>
      <c r="F408" s="102">
        <f t="shared" si="285"/>
        <v>0</v>
      </c>
      <c r="L408" s="100">
        <v>407</v>
      </c>
      <c r="M408" s="131">
        <f t="shared" ca="1" si="286"/>
        <v>58554</v>
      </c>
      <c r="N408" s="102">
        <f t="shared" si="287"/>
        <v>0</v>
      </c>
      <c r="O408" s="102">
        <f t="shared" si="288"/>
        <v>0</v>
      </c>
      <c r="P408" s="102">
        <f t="shared" si="289"/>
        <v>0</v>
      </c>
      <c r="Q408" s="102">
        <f t="shared" si="290"/>
        <v>0</v>
      </c>
      <c r="W408" s="100">
        <v>407</v>
      </c>
      <c r="X408" s="131">
        <f t="shared" ca="1" si="291"/>
        <v>58554</v>
      </c>
      <c r="Y408" s="102">
        <f t="shared" si="292"/>
        <v>0</v>
      </c>
      <c r="Z408" s="102">
        <f t="shared" si="293"/>
        <v>0</v>
      </c>
      <c r="AA408" s="102">
        <f t="shared" si="294"/>
        <v>0</v>
      </c>
      <c r="AB408" s="102">
        <f t="shared" si="295"/>
        <v>0</v>
      </c>
      <c r="AH408" s="100">
        <v>407</v>
      </c>
      <c r="AI408" s="131">
        <f t="shared" ca="1" si="296"/>
        <v>58554</v>
      </c>
      <c r="AJ408" s="102">
        <f t="shared" si="297"/>
        <v>0</v>
      </c>
      <c r="AK408" s="102">
        <f t="shared" si="298"/>
        <v>0</v>
      </c>
      <c r="AL408" s="102">
        <f t="shared" si="299"/>
        <v>0</v>
      </c>
      <c r="AM408" s="102">
        <f t="shared" si="300"/>
        <v>0</v>
      </c>
      <c r="AS408" s="530">
        <v>407</v>
      </c>
      <c r="AT408" s="531">
        <f t="shared" ca="1" si="314"/>
        <v>58554</v>
      </c>
      <c r="AU408" s="532">
        <f ca="1">IF(AU407=0,SUMIFS('Key Life Events'!$L$3:$L$28,'Key Life Events'!$H$3:$H$28,'Loan Amortization'!$AY$3,'Key Life Events'!$N$3:$N$28,'Loan Amortization'!AT408),AU407-AX407)</f>
        <v>0</v>
      </c>
      <c r="AV408" s="532">
        <f t="shared" ca="1" si="315"/>
        <v>0</v>
      </c>
      <c r="AW408" s="532">
        <f t="shared" ca="1" si="304"/>
        <v>0</v>
      </c>
      <c r="AX408" s="532">
        <f t="shared" ca="1" si="305"/>
        <v>0</v>
      </c>
      <c r="BC408" s="536">
        <f t="shared" ca="1" si="306"/>
        <v>2060</v>
      </c>
      <c r="BF408" s="530">
        <v>407</v>
      </c>
      <c r="BG408" s="531">
        <f t="shared" ca="1" si="316"/>
        <v>58554</v>
      </c>
      <c r="BH408" s="532">
        <f ca="1">IF(BH407=0,SUMIFS('Key Life Events'!$L$3:$L$28,'Key Life Events'!$H$3:$H$28,'Loan Amortization'!$BL$3,'Key Life Events'!$N$3:$N$28,'Loan Amortization'!BG408),BH407-BK407)</f>
        <v>0</v>
      </c>
      <c r="BI408" s="532">
        <f t="shared" ca="1" si="317"/>
        <v>0</v>
      </c>
      <c r="BJ408" s="532">
        <f t="shared" ca="1" si="318"/>
        <v>0</v>
      </c>
      <c r="BK408" s="532">
        <f t="shared" ca="1" si="307"/>
        <v>0</v>
      </c>
      <c r="BP408" s="536">
        <f t="shared" ca="1" si="308"/>
        <v>2060</v>
      </c>
      <c r="BS408" s="530">
        <v>407</v>
      </c>
      <c r="BT408" s="531">
        <f t="shared" ca="1" si="319"/>
        <v>58554</v>
      </c>
      <c r="BU408" s="532">
        <f ca="1">IF(BU407=0,SUMIFS('Key Life Events'!$L$3:$L$28,'Key Life Events'!$H$3:$H$28,'Loan Amortization'!$BY$3,'Key Life Events'!$N$3:$N$28,'Loan Amortization'!BT408),BU407-BX407)</f>
        <v>0</v>
      </c>
      <c r="BV408" s="532">
        <f t="shared" ca="1" si="324"/>
        <v>0</v>
      </c>
      <c r="BW408" s="532">
        <f t="shared" ca="1" si="320"/>
        <v>0</v>
      </c>
      <c r="BX408" s="532">
        <f t="shared" ca="1" si="309"/>
        <v>0</v>
      </c>
      <c r="CC408" s="536">
        <f t="shared" ca="1" si="310"/>
        <v>2060</v>
      </c>
      <c r="CF408" s="530">
        <v>407</v>
      </c>
      <c r="CG408" s="531">
        <f t="shared" ca="1" si="321"/>
        <v>58554</v>
      </c>
      <c r="CH408" s="532">
        <f ca="1">IF(CH407=0,SUMIFS('Key Life Events'!$L$3:$L$28,'Key Life Events'!$H$3:$H$28,'Loan Amortization'!$CL$3,'Key Life Events'!$N$3:$N$28,'Loan Amortization'!CG408),CH407-CK407)</f>
        <v>0</v>
      </c>
      <c r="CI408" s="532">
        <f t="shared" ca="1" si="322"/>
        <v>0</v>
      </c>
      <c r="CJ408" s="532">
        <f t="shared" ca="1" si="323"/>
        <v>0</v>
      </c>
      <c r="CK408" s="532">
        <f t="shared" ca="1" si="311"/>
        <v>0</v>
      </c>
      <c r="CP408" s="536">
        <f t="shared" ca="1" si="312"/>
        <v>2060</v>
      </c>
      <c r="CS408" s="100">
        <f t="shared" si="301"/>
        <v>407</v>
      </c>
      <c r="CT408" s="102">
        <f t="shared" ca="1" si="302"/>
        <v>0</v>
      </c>
      <c r="CU408" s="102">
        <f t="shared" ca="1" si="303"/>
        <v>0</v>
      </c>
      <c r="CV408" s="511">
        <f t="shared" ca="1" si="313"/>
        <v>2060</v>
      </c>
    </row>
    <row r="409" spans="1:100" x14ac:dyDescent="0.3">
      <c r="A409" s="100">
        <v>408</v>
      </c>
      <c r="B409" s="131">
        <f t="shared" si="281"/>
        <v>11563</v>
      </c>
      <c r="C409" s="102">
        <f t="shared" si="282"/>
        <v>0</v>
      </c>
      <c r="D409" s="102">
        <f t="shared" si="283"/>
        <v>0</v>
      </c>
      <c r="E409" s="102">
        <f t="shared" si="284"/>
        <v>0</v>
      </c>
      <c r="F409" s="102">
        <f t="shared" si="285"/>
        <v>0</v>
      </c>
      <c r="L409" s="100">
        <v>408</v>
      </c>
      <c r="M409" s="131">
        <f t="shared" ca="1" si="286"/>
        <v>58584</v>
      </c>
      <c r="N409" s="102">
        <f t="shared" si="287"/>
        <v>0</v>
      </c>
      <c r="O409" s="102">
        <f t="shared" si="288"/>
        <v>0</v>
      </c>
      <c r="P409" s="102">
        <f t="shared" si="289"/>
        <v>0</v>
      </c>
      <c r="Q409" s="102">
        <f t="shared" si="290"/>
        <v>0</v>
      </c>
      <c r="W409" s="100">
        <v>408</v>
      </c>
      <c r="X409" s="131">
        <f t="shared" ca="1" si="291"/>
        <v>58584</v>
      </c>
      <c r="Y409" s="102">
        <f t="shared" si="292"/>
        <v>0</v>
      </c>
      <c r="Z409" s="102">
        <f t="shared" si="293"/>
        <v>0</v>
      </c>
      <c r="AA409" s="102">
        <f t="shared" si="294"/>
        <v>0</v>
      </c>
      <c r="AB409" s="102">
        <f t="shared" si="295"/>
        <v>0</v>
      </c>
      <c r="AH409" s="100">
        <v>408</v>
      </c>
      <c r="AI409" s="131">
        <f t="shared" ca="1" si="296"/>
        <v>58584</v>
      </c>
      <c r="AJ409" s="102">
        <f t="shared" si="297"/>
        <v>0</v>
      </c>
      <c r="AK409" s="102">
        <f t="shared" si="298"/>
        <v>0</v>
      </c>
      <c r="AL409" s="102">
        <f t="shared" si="299"/>
        <v>0</v>
      </c>
      <c r="AM409" s="102">
        <f t="shared" si="300"/>
        <v>0</v>
      </c>
      <c r="AS409" s="530">
        <v>408</v>
      </c>
      <c r="AT409" s="531">
        <f t="shared" ca="1" si="314"/>
        <v>58584</v>
      </c>
      <c r="AU409" s="532">
        <f ca="1">IF(AU408=0,SUMIFS('Key Life Events'!$L$3:$L$28,'Key Life Events'!$H$3:$H$28,'Loan Amortization'!$AY$3,'Key Life Events'!$N$3:$N$28,'Loan Amortization'!AT409),AU408-AX408)</f>
        <v>0</v>
      </c>
      <c r="AV409" s="532">
        <f t="shared" ca="1" si="315"/>
        <v>0</v>
      </c>
      <c r="AW409" s="532">
        <f t="shared" ca="1" si="304"/>
        <v>0</v>
      </c>
      <c r="AX409" s="532">
        <f t="shared" ca="1" si="305"/>
        <v>0</v>
      </c>
      <c r="BC409" s="536">
        <f t="shared" ca="1" si="306"/>
        <v>2060</v>
      </c>
      <c r="BF409" s="530">
        <v>408</v>
      </c>
      <c r="BG409" s="531">
        <f t="shared" ca="1" si="316"/>
        <v>58584</v>
      </c>
      <c r="BH409" s="532">
        <f ca="1">IF(BH408=0,SUMIFS('Key Life Events'!$L$3:$L$28,'Key Life Events'!$H$3:$H$28,'Loan Amortization'!$BL$3,'Key Life Events'!$N$3:$N$28,'Loan Amortization'!BG409),BH408-BK408)</f>
        <v>0</v>
      </c>
      <c r="BI409" s="532">
        <f t="shared" ca="1" si="317"/>
        <v>0</v>
      </c>
      <c r="BJ409" s="532">
        <f t="shared" ca="1" si="318"/>
        <v>0</v>
      </c>
      <c r="BK409" s="532">
        <f t="shared" ca="1" si="307"/>
        <v>0</v>
      </c>
      <c r="BP409" s="536">
        <f t="shared" ca="1" si="308"/>
        <v>2060</v>
      </c>
      <c r="BS409" s="530">
        <v>408</v>
      </c>
      <c r="BT409" s="531">
        <f t="shared" ca="1" si="319"/>
        <v>58584</v>
      </c>
      <c r="BU409" s="532">
        <f ca="1">IF(BU408=0,SUMIFS('Key Life Events'!$L$3:$L$28,'Key Life Events'!$H$3:$H$28,'Loan Amortization'!$BY$3,'Key Life Events'!$N$3:$N$28,'Loan Amortization'!BT409),BU408-BX408)</f>
        <v>0</v>
      </c>
      <c r="BV409" s="532">
        <f t="shared" ca="1" si="324"/>
        <v>0</v>
      </c>
      <c r="BW409" s="532">
        <f t="shared" ca="1" si="320"/>
        <v>0</v>
      </c>
      <c r="BX409" s="532">
        <f t="shared" ca="1" si="309"/>
        <v>0</v>
      </c>
      <c r="CC409" s="536">
        <f t="shared" ca="1" si="310"/>
        <v>2060</v>
      </c>
      <c r="CF409" s="530">
        <v>408</v>
      </c>
      <c r="CG409" s="531">
        <f t="shared" ca="1" si="321"/>
        <v>58584</v>
      </c>
      <c r="CH409" s="532">
        <f ca="1">IF(CH408=0,SUMIFS('Key Life Events'!$L$3:$L$28,'Key Life Events'!$H$3:$H$28,'Loan Amortization'!$CL$3,'Key Life Events'!$N$3:$N$28,'Loan Amortization'!CG409),CH408-CK408)</f>
        <v>0</v>
      </c>
      <c r="CI409" s="532">
        <f t="shared" ca="1" si="322"/>
        <v>0</v>
      </c>
      <c r="CJ409" s="532">
        <f t="shared" ca="1" si="323"/>
        <v>0</v>
      </c>
      <c r="CK409" s="532">
        <f t="shared" ca="1" si="311"/>
        <v>0</v>
      </c>
      <c r="CP409" s="536">
        <f t="shared" ca="1" si="312"/>
        <v>2060</v>
      </c>
      <c r="CS409" s="100">
        <f t="shared" si="301"/>
        <v>408</v>
      </c>
      <c r="CT409" s="102">
        <f t="shared" ca="1" si="302"/>
        <v>0</v>
      </c>
      <c r="CU409" s="102">
        <f t="shared" ca="1" si="303"/>
        <v>0</v>
      </c>
      <c r="CV409" s="511">
        <f t="shared" ca="1" si="313"/>
        <v>2060</v>
      </c>
    </row>
    <row r="410" spans="1:100" x14ac:dyDescent="0.3">
      <c r="A410" s="100">
        <v>409</v>
      </c>
      <c r="B410" s="131">
        <f t="shared" si="281"/>
        <v>11594</v>
      </c>
      <c r="C410" s="102">
        <f t="shared" si="282"/>
        <v>0</v>
      </c>
      <c r="D410" s="102">
        <f t="shared" si="283"/>
        <v>0</v>
      </c>
      <c r="E410" s="102">
        <f t="shared" si="284"/>
        <v>0</v>
      </c>
      <c r="F410" s="102">
        <f t="shared" si="285"/>
        <v>0</v>
      </c>
      <c r="L410" s="100">
        <v>409</v>
      </c>
      <c r="M410" s="131">
        <f t="shared" ca="1" si="286"/>
        <v>58615</v>
      </c>
      <c r="N410" s="102">
        <f t="shared" si="287"/>
        <v>0</v>
      </c>
      <c r="O410" s="102">
        <f t="shared" si="288"/>
        <v>0</v>
      </c>
      <c r="P410" s="102">
        <f t="shared" si="289"/>
        <v>0</v>
      </c>
      <c r="Q410" s="102">
        <f t="shared" si="290"/>
        <v>0</v>
      </c>
      <c r="W410" s="100">
        <v>409</v>
      </c>
      <c r="X410" s="131">
        <f t="shared" ca="1" si="291"/>
        <v>58615</v>
      </c>
      <c r="Y410" s="102">
        <f t="shared" si="292"/>
        <v>0</v>
      </c>
      <c r="Z410" s="102">
        <f t="shared" si="293"/>
        <v>0</v>
      </c>
      <c r="AA410" s="102">
        <f t="shared" si="294"/>
        <v>0</v>
      </c>
      <c r="AB410" s="102">
        <f t="shared" si="295"/>
        <v>0</v>
      </c>
      <c r="AH410" s="100">
        <v>409</v>
      </c>
      <c r="AI410" s="131">
        <f t="shared" ca="1" si="296"/>
        <v>58615</v>
      </c>
      <c r="AJ410" s="102">
        <f t="shared" si="297"/>
        <v>0</v>
      </c>
      <c r="AK410" s="102">
        <f t="shared" si="298"/>
        <v>0</v>
      </c>
      <c r="AL410" s="102">
        <f t="shared" si="299"/>
        <v>0</v>
      </c>
      <c r="AM410" s="102">
        <f t="shared" si="300"/>
        <v>0</v>
      </c>
      <c r="AS410" s="530">
        <v>409</v>
      </c>
      <c r="AT410" s="531">
        <f t="shared" ca="1" si="314"/>
        <v>58615</v>
      </c>
      <c r="AU410" s="532">
        <f ca="1">IF(AU409=0,SUMIFS('Key Life Events'!$L$3:$L$28,'Key Life Events'!$H$3:$H$28,'Loan Amortization'!$AY$3,'Key Life Events'!$N$3:$N$28,'Loan Amortization'!AT410),AU409-AX409)</f>
        <v>0</v>
      </c>
      <c r="AV410" s="532">
        <f t="shared" ca="1" si="315"/>
        <v>0</v>
      </c>
      <c r="AW410" s="532">
        <f t="shared" ca="1" si="304"/>
        <v>0</v>
      </c>
      <c r="AX410" s="532">
        <f t="shared" ca="1" si="305"/>
        <v>0</v>
      </c>
      <c r="BC410" s="536">
        <f t="shared" ca="1" si="306"/>
        <v>2060</v>
      </c>
      <c r="BF410" s="530">
        <v>409</v>
      </c>
      <c r="BG410" s="531">
        <f t="shared" ca="1" si="316"/>
        <v>58615</v>
      </c>
      <c r="BH410" s="532">
        <f ca="1">IF(BH409=0,SUMIFS('Key Life Events'!$L$3:$L$28,'Key Life Events'!$H$3:$H$28,'Loan Amortization'!$BL$3,'Key Life Events'!$N$3:$N$28,'Loan Amortization'!BG410),BH409-BK409)</f>
        <v>0</v>
      </c>
      <c r="BI410" s="532">
        <f t="shared" ca="1" si="317"/>
        <v>0</v>
      </c>
      <c r="BJ410" s="532">
        <f t="shared" ca="1" si="318"/>
        <v>0</v>
      </c>
      <c r="BK410" s="532">
        <f t="shared" ca="1" si="307"/>
        <v>0</v>
      </c>
      <c r="BP410" s="536">
        <f t="shared" ca="1" si="308"/>
        <v>2060</v>
      </c>
      <c r="BS410" s="530">
        <v>409</v>
      </c>
      <c r="BT410" s="531">
        <f t="shared" ca="1" si="319"/>
        <v>58615</v>
      </c>
      <c r="BU410" s="532">
        <f ca="1">IF(BU409=0,SUMIFS('Key Life Events'!$L$3:$L$28,'Key Life Events'!$H$3:$H$28,'Loan Amortization'!$BY$3,'Key Life Events'!$N$3:$N$28,'Loan Amortization'!BT410),BU409-BX409)</f>
        <v>0</v>
      </c>
      <c r="BV410" s="532">
        <f t="shared" ca="1" si="324"/>
        <v>0</v>
      </c>
      <c r="BW410" s="532">
        <f t="shared" ca="1" si="320"/>
        <v>0</v>
      </c>
      <c r="BX410" s="532">
        <f t="shared" ca="1" si="309"/>
        <v>0</v>
      </c>
      <c r="CC410" s="536">
        <f t="shared" ca="1" si="310"/>
        <v>2060</v>
      </c>
      <c r="CF410" s="530">
        <v>409</v>
      </c>
      <c r="CG410" s="531">
        <f t="shared" ca="1" si="321"/>
        <v>58615</v>
      </c>
      <c r="CH410" s="532">
        <f ca="1">IF(CH409=0,SUMIFS('Key Life Events'!$L$3:$L$28,'Key Life Events'!$H$3:$H$28,'Loan Amortization'!$CL$3,'Key Life Events'!$N$3:$N$28,'Loan Amortization'!CG410),CH409-CK409)</f>
        <v>0</v>
      </c>
      <c r="CI410" s="532">
        <f t="shared" ca="1" si="322"/>
        <v>0</v>
      </c>
      <c r="CJ410" s="532">
        <f t="shared" ca="1" si="323"/>
        <v>0</v>
      </c>
      <c r="CK410" s="532">
        <f t="shared" ca="1" si="311"/>
        <v>0</v>
      </c>
      <c r="CP410" s="536">
        <f t="shared" ca="1" si="312"/>
        <v>2060</v>
      </c>
      <c r="CS410" s="100">
        <f t="shared" si="301"/>
        <v>409</v>
      </c>
      <c r="CT410" s="102">
        <f t="shared" ca="1" si="302"/>
        <v>0</v>
      </c>
      <c r="CU410" s="102">
        <f t="shared" ca="1" si="303"/>
        <v>0</v>
      </c>
      <c r="CV410" s="511">
        <f t="shared" ca="1" si="313"/>
        <v>2060</v>
      </c>
    </row>
    <row r="411" spans="1:100" x14ac:dyDescent="0.3">
      <c r="A411" s="100">
        <v>410</v>
      </c>
      <c r="B411" s="131">
        <f t="shared" si="281"/>
        <v>11624</v>
      </c>
      <c r="C411" s="102">
        <f t="shared" si="282"/>
        <v>0</v>
      </c>
      <c r="D411" s="102">
        <f t="shared" si="283"/>
        <v>0</v>
      </c>
      <c r="E411" s="102">
        <f t="shared" si="284"/>
        <v>0</v>
      </c>
      <c r="F411" s="102">
        <f t="shared" si="285"/>
        <v>0</v>
      </c>
      <c r="L411" s="100">
        <v>410</v>
      </c>
      <c r="M411" s="131">
        <f t="shared" ca="1" si="286"/>
        <v>58645</v>
      </c>
      <c r="N411" s="102">
        <f t="shared" si="287"/>
        <v>0</v>
      </c>
      <c r="O411" s="102">
        <f t="shared" si="288"/>
        <v>0</v>
      </c>
      <c r="P411" s="102">
        <f t="shared" si="289"/>
        <v>0</v>
      </c>
      <c r="Q411" s="102">
        <f t="shared" si="290"/>
        <v>0</v>
      </c>
      <c r="W411" s="100">
        <v>410</v>
      </c>
      <c r="X411" s="131">
        <f t="shared" ca="1" si="291"/>
        <v>58645</v>
      </c>
      <c r="Y411" s="102">
        <f t="shared" si="292"/>
        <v>0</v>
      </c>
      <c r="Z411" s="102">
        <f t="shared" si="293"/>
        <v>0</v>
      </c>
      <c r="AA411" s="102">
        <f t="shared" si="294"/>
        <v>0</v>
      </c>
      <c r="AB411" s="102">
        <f t="shared" si="295"/>
        <v>0</v>
      </c>
      <c r="AH411" s="100">
        <v>410</v>
      </c>
      <c r="AI411" s="131">
        <f t="shared" ca="1" si="296"/>
        <v>58645</v>
      </c>
      <c r="AJ411" s="102">
        <f t="shared" si="297"/>
        <v>0</v>
      </c>
      <c r="AK411" s="102">
        <f t="shared" si="298"/>
        <v>0</v>
      </c>
      <c r="AL411" s="102">
        <f t="shared" si="299"/>
        <v>0</v>
      </c>
      <c r="AM411" s="102">
        <f t="shared" si="300"/>
        <v>0</v>
      </c>
      <c r="AS411" s="530">
        <v>410</v>
      </c>
      <c r="AT411" s="531">
        <f t="shared" ca="1" si="314"/>
        <v>58645</v>
      </c>
      <c r="AU411" s="532">
        <f ca="1">IF(AU410=0,SUMIFS('Key Life Events'!$L$3:$L$28,'Key Life Events'!$H$3:$H$28,'Loan Amortization'!$AY$3,'Key Life Events'!$N$3:$N$28,'Loan Amortization'!AT411),AU410-AX410)</f>
        <v>0</v>
      </c>
      <c r="AV411" s="532">
        <f t="shared" ca="1" si="315"/>
        <v>0</v>
      </c>
      <c r="AW411" s="532">
        <f t="shared" ca="1" si="304"/>
        <v>0</v>
      </c>
      <c r="AX411" s="532">
        <f t="shared" ca="1" si="305"/>
        <v>0</v>
      </c>
      <c r="BC411" s="536">
        <f t="shared" ca="1" si="306"/>
        <v>2060</v>
      </c>
      <c r="BF411" s="530">
        <v>410</v>
      </c>
      <c r="BG411" s="531">
        <f t="shared" ca="1" si="316"/>
        <v>58645</v>
      </c>
      <c r="BH411" s="532">
        <f ca="1">IF(BH410=0,SUMIFS('Key Life Events'!$L$3:$L$28,'Key Life Events'!$H$3:$H$28,'Loan Amortization'!$BL$3,'Key Life Events'!$N$3:$N$28,'Loan Amortization'!BG411),BH410-BK410)</f>
        <v>0</v>
      </c>
      <c r="BI411" s="532">
        <f t="shared" ca="1" si="317"/>
        <v>0</v>
      </c>
      <c r="BJ411" s="532">
        <f t="shared" ca="1" si="318"/>
        <v>0</v>
      </c>
      <c r="BK411" s="532">
        <f t="shared" ca="1" si="307"/>
        <v>0</v>
      </c>
      <c r="BP411" s="536">
        <f t="shared" ca="1" si="308"/>
        <v>2060</v>
      </c>
      <c r="BS411" s="530">
        <v>410</v>
      </c>
      <c r="BT411" s="531">
        <f t="shared" ca="1" si="319"/>
        <v>58645</v>
      </c>
      <c r="BU411" s="532">
        <f ca="1">IF(BU410=0,SUMIFS('Key Life Events'!$L$3:$L$28,'Key Life Events'!$H$3:$H$28,'Loan Amortization'!$BY$3,'Key Life Events'!$N$3:$N$28,'Loan Amortization'!BT411),BU410-BX410)</f>
        <v>0</v>
      </c>
      <c r="BV411" s="532">
        <f t="shared" ca="1" si="324"/>
        <v>0</v>
      </c>
      <c r="BW411" s="532">
        <f t="shared" ca="1" si="320"/>
        <v>0</v>
      </c>
      <c r="BX411" s="532">
        <f t="shared" ca="1" si="309"/>
        <v>0</v>
      </c>
      <c r="CC411" s="536">
        <f t="shared" ca="1" si="310"/>
        <v>2060</v>
      </c>
      <c r="CF411" s="530">
        <v>410</v>
      </c>
      <c r="CG411" s="531">
        <f t="shared" ca="1" si="321"/>
        <v>58645</v>
      </c>
      <c r="CH411" s="532">
        <f ca="1">IF(CH410=0,SUMIFS('Key Life Events'!$L$3:$L$28,'Key Life Events'!$H$3:$H$28,'Loan Amortization'!$CL$3,'Key Life Events'!$N$3:$N$28,'Loan Amortization'!CG411),CH410-CK410)</f>
        <v>0</v>
      </c>
      <c r="CI411" s="532">
        <f t="shared" ca="1" si="322"/>
        <v>0</v>
      </c>
      <c r="CJ411" s="532">
        <f t="shared" ca="1" si="323"/>
        <v>0</v>
      </c>
      <c r="CK411" s="532">
        <f t="shared" ca="1" si="311"/>
        <v>0</v>
      </c>
      <c r="CP411" s="536">
        <f t="shared" ca="1" si="312"/>
        <v>2060</v>
      </c>
      <c r="CS411" s="100">
        <f t="shared" si="301"/>
        <v>410</v>
      </c>
      <c r="CT411" s="102">
        <f t="shared" ca="1" si="302"/>
        <v>0</v>
      </c>
      <c r="CU411" s="102">
        <f t="shared" ca="1" si="303"/>
        <v>0</v>
      </c>
      <c r="CV411" s="511">
        <f t="shared" ca="1" si="313"/>
        <v>2060</v>
      </c>
    </row>
    <row r="412" spans="1:100" x14ac:dyDescent="0.3">
      <c r="A412" s="100">
        <v>411</v>
      </c>
      <c r="B412" s="131">
        <f t="shared" si="281"/>
        <v>11655</v>
      </c>
      <c r="C412" s="102">
        <f t="shared" si="282"/>
        <v>0</v>
      </c>
      <c r="D412" s="102">
        <f t="shared" si="283"/>
        <v>0</v>
      </c>
      <c r="E412" s="102">
        <f t="shared" si="284"/>
        <v>0</v>
      </c>
      <c r="F412" s="102">
        <f t="shared" si="285"/>
        <v>0</v>
      </c>
      <c r="L412" s="100">
        <v>411</v>
      </c>
      <c r="M412" s="131">
        <f t="shared" ca="1" si="286"/>
        <v>58676</v>
      </c>
      <c r="N412" s="102">
        <f t="shared" si="287"/>
        <v>0</v>
      </c>
      <c r="O412" s="102">
        <f t="shared" si="288"/>
        <v>0</v>
      </c>
      <c r="P412" s="102">
        <f t="shared" si="289"/>
        <v>0</v>
      </c>
      <c r="Q412" s="102">
        <f t="shared" si="290"/>
        <v>0</v>
      </c>
      <c r="W412" s="100">
        <v>411</v>
      </c>
      <c r="X412" s="131">
        <f t="shared" ca="1" si="291"/>
        <v>58676</v>
      </c>
      <c r="Y412" s="102">
        <f t="shared" si="292"/>
        <v>0</v>
      </c>
      <c r="Z412" s="102">
        <f t="shared" si="293"/>
        <v>0</v>
      </c>
      <c r="AA412" s="102">
        <f t="shared" si="294"/>
        <v>0</v>
      </c>
      <c r="AB412" s="102">
        <f t="shared" si="295"/>
        <v>0</v>
      </c>
      <c r="AH412" s="100">
        <v>411</v>
      </c>
      <c r="AI412" s="131">
        <f t="shared" ca="1" si="296"/>
        <v>58676</v>
      </c>
      <c r="AJ412" s="102">
        <f t="shared" si="297"/>
        <v>0</v>
      </c>
      <c r="AK412" s="102">
        <f t="shared" si="298"/>
        <v>0</v>
      </c>
      <c r="AL412" s="102">
        <f t="shared" si="299"/>
        <v>0</v>
      </c>
      <c r="AM412" s="102">
        <f t="shared" si="300"/>
        <v>0</v>
      </c>
      <c r="AS412" s="530">
        <v>411</v>
      </c>
      <c r="AT412" s="531">
        <f t="shared" ca="1" si="314"/>
        <v>58676</v>
      </c>
      <c r="AU412" s="532">
        <f ca="1">IF(AU411=0,SUMIFS('Key Life Events'!$L$3:$L$28,'Key Life Events'!$H$3:$H$28,'Loan Amortization'!$AY$3,'Key Life Events'!$N$3:$N$28,'Loan Amortization'!AT412),AU411-AX411)</f>
        <v>0</v>
      </c>
      <c r="AV412" s="532">
        <f t="shared" ca="1" si="315"/>
        <v>0</v>
      </c>
      <c r="AW412" s="532">
        <f t="shared" ca="1" si="304"/>
        <v>0</v>
      </c>
      <c r="AX412" s="532">
        <f t="shared" ca="1" si="305"/>
        <v>0</v>
      </c>
      <c r="BC412" s="536">
        <f t="shared" ca="1" si="306"/>
        <v>2060</v>
      </c>
      <c r="BF412" s="530">
        <v>411</v>
      </c>
      <c r="BG412" s="531">
        <f t="shared" ca="1" si="316"/>
        <v>58676</v>
      </c>
      <c r="BH412" s="532">
        <f ca="1">IF(BH411=0,SUMIFS('Key Life Events'!$L$3:$L$28,'Key Life Events'!$H$3:$H$28,'Loan Amortization'!$BL$3,'Key Life Events'!$N$3:$N$28,'Loan Amortization'!BG412),BH411-BK411)</f>
        <v>0</v>
      </c>
      <c r="BI412" s="532">
        <f t="shared" ca="1" si="317"/>
        <v>0</v>
      </c>
      <c r="BJ412" s="532">
        <f t="shared" ca="1" si="318"/>
        <v>0</v>
      </c>
      <c r="BK412" s="532">
        <f t="shared" ca="1" si="307"/>
        <v>0</v>
      </c>
      <c r="BP412" s="536">
        <f t="shared" ca="1" si="308"/>
        <v>2060</v>
      </c>
      <c r="BS412" s="530">
        <v>411</v>
      </c>
      <c r="BT412" s="531">
        <f t="shared" ca="1" si="319"/>
        <v>58676</v>
      </c>
      <c r="BU412" s="532">
        <f ca="1">IF(BU411=0,SUMIFS('Key Life Events'!$L$3:$L$28,'Key Life Events'!$H$3:$H$28,'Loan Amortization'!$BY$3,'Key Life Events'!$N$3:$N$28,'Loan Amortization'!BT412),BU411-BX411)</f>
        <v>0</v>
      </c>
      <c r="BV412" s="532">
        <f t="shared" ca="1" si="324"/>
        <v>0</v>
      </c>
      <c r="BW412" s="532">
        <f t="shared" ca="1" si="320"/>
        <v>0</v>
      </c>
      <c r="BX412" s="532">
        <f t="shared" ca="1" si="309"/>
        <v>0</v>
      </c>
      <c r="CC412" s="536">
        <f t="shared" ca="1" si="310"/>
        <v>2060</v>
      </c>
      <c r="CF412" s="530">
        <v>411</v>
      </c>
      <c r="CG412" s="531">
        <f t="shared" ca="1" si="321"/>
        <v>58676</v>
      </c>
      <c r="CH412" s="532">
        <f ca="1">IF(CH411=0,SUMIFS('Key Life Events'!$L$3:$L$28,'Key Life Events'!$H$3:$H$28,'Loan Amortization'!$CL$3,'Key Life Events'!$N$3:$N$28,'Loan Amortization'!CG412),CH411-CK411)</f>
        <v>0</v>
      </c>
      <c r="CI412" s="532">
        <f t="shared" ca="1" si="322"/>
        <v>0</v>
      </c>
      <c r="CJ412" s="532">
        <f t="shared" ca="1" si="323"/>
        <v>0</v>
      </c>
      <c r="CK412" s="532">
        <f t="shared" ca="1" si="311"/>
        <v>0</v>
      </c>
      <c r="CP412" s="536">
        <f t="shared" ca="1" si="312"/>
        <v>2060</v>
      </c>
      <c r="CS412" s="100">
        <f t="shared" si="301"/>
        <v>411</v>
      </c>
      <c r="CT412" s="102">
        <f t="shared" ca="1" si="302"/>
        <v>0</v>
      </c>
      <c r="CU412" s="102">
        <f t="shared" ca="1" si="303"/>
        <v>0</v>
      </c>
      <c r="CV412" s="511">
        <f t="shared" ca="1" si="313"/>
        <v>2060</v>
      </c>
    </row>
    <row r="413" spans="1:100" x14ac:dyDescent="0.3">
      <c r="A413" s="100">
        <v>412</v>
      </c>
      <c r="B413" s="131">
        <f t="shared" si="281"/>
        <v>11685</v>
      </c>
      <c r="C413" s="102">
        <f t="shared" si="282"/>
        <v>0</v>
      </c>
      <c r="D413" s="102">
        <f t="shared" si="283"/>
        <v>0</v>
      </c>
      <c r="E413" s="102">
        <f t="shared" si="284"/>
        <v>0</v>
      </c>
      <c r="F413" s="102">
        <f t="shared" si="285"/>
        <v>0</v>
      </c>
      <c r="L413" s="100">
        <v>412</v>
      </c>
      <c r="M413" s="131">
        <f t="shared" ca="1" si="286"/>
        <v>58707</v>
      </c>
      <c r="N413" s="102">
        <f t="shared" si="287"/>
        <v>0</v>
      </c>
      <c r="O413" s="102">
        <f t="shared" si="288"/>
        <v>0</v>
      </c>
      <c r="P413" s="102">
        <f t="shared" si="289"/>
        <v>0</v>
      </c>
      <c r="Q413" s="102">
        <f t="shared" si="290"/>
        <v>0</v>
      </c>
      <c r="W413" s="100">
        <v>412</v>
      </c>
      <c r="X413" s="131">
        <f t="shared" ca="1" si="291"/>
        <v>58707</v>
      </c>
      <c r="Y413" s="102">
        <f t="shared" si="292"/>
        <v>0</v>
      </c>
      <c r="Z413" s="102">
        <f t="shared" si="293"/>
        <v>0</v>
      </c>
      <c r="AA413" s="102">
        <f t="shared" si="294"/>
        <v>0</v>
      </c>
      <c r="AB413" s="102">
        <f t="shared" si="295"/>
        <v>0</v>
      </c>
      <c r="AH413" s="100">
        <v>412</v>
      </c>
      <c r="AI413" s="131">
        <f t="shared" ca="1" si="296"/>
        <v>58707</v>
      </c>
      <c r="AJ413" s="102">
        <f t="shared" si="297"/>
        <v>0</v>
      </c>
      <c r="AK413" s="102">
        <f t="shared" si="298"/>
        <v>0</v>
      </c>
      <c r="AL413" s="102">
        <f t="shared" si="299"/>
        <v>0</v>
      </c>
      <c r="AM413" s="102">
        <f t="shared" si="300"/>
        <v>0</v>
      </c>
      <c r="AS413" s="530">
        <v>412</v>
      </c>
      <c r="AT413" s="531">
        <f t="shared" ca="1" si="314"/>
        <v>58707</v>
      </c>
      <c r="AU413" s="532">
        <f ca="1">IF(AU412=0,SUMIFS('Key Life Events'!$L$3:$L$28,'Key Life Events'!$H$3:$H$28,'Loan Amortization'!$AY$3,'Key Life Events'!$N$3:$N$28,'Loan Amortization'!AT413),AU412-AX412)</f>
        <v>0</v>
      </c>
      <c r="AV413" s="532">
        <f t="shared" ca="1" si="315"/>
        <v>0</v>
      </c>
      <c r="AW413" s="532">
        <f t="shared" ca="1" si="304"/>
        <v>0</v>
      </c>
      <c r="AX413" s="532">
        <f t="shared" ca="1" si="305"/>
        <v>0</v>
      </c>
      <c r="BC413" s="536">
        <f t="shared" ca="1" si="306"/>
        <v>2060</v>
      </c>
      <c r="BF413" s="530">
        <v>412</v>
      </c>
      <c r="BG413" s="531">
        <f t="shared" ca="1" si="316"/>
        <v>58707</v>
      </c>
      <c r="BH413" s="532">
        <f ca="1">IF(BH412=0,SUMIFS('Key Life Events'!$L$3:$L$28,'Key Life Events'!$H$3:$H$28,'Loan Amortization'!$BL$3,'Key Life Events'!$N$3:$N$28,'Loan Amortization'!BG413),BH412-BK412)</f>
        <v>0</v>
      </c>
      <c r="BI413" s="532">
        <f t="shared" ca="1" si="317"/>
        <v>0</v>
      </c>
      <c r="BJ413" s="532">
        <f t="shared" ca="1" si="318"/>
        <v>0</v>
      </c>
      <c r="BK413" s="532">
        <f t="shared" ca="1" si="307"/>
        <v>0</v>
      </c>
      <c r="BP413" s="536">
        <f t="shared" ca="1" si="308"/>
        <v>2060</v>
      </c>
      <c r="BS413" s="530">
        <v>412</v>
      </c>
      <c r="BT413" s="531">
        <f t="shared" ca="1" si="319"/>
        <v>58707</v>
      </c>
      <c r="BU413" s="532">
        <f ca="1">IF(BU412=0,SUMIFS('Key Life Events'!$L$3:$L$28,'Key Life Events'!$H$3:$H$28,'Loan Amortization'!$BY$3,'Key Life Events'!$N$3:$N$28,'Loan Amortization'!BT413),BU412-BX412)</f>
        <v>0</v>
      </c>
      <c r="BV413" s="532">
        <f t="shared" ca="1" si="324"/>
        <v>0</v>
      </c>
      <c r="BW413" s="532">
        <f t="shared" ca="1" si="320"/>
        <v>0</v>
      </c>
      <c r="BX413" s="532">
        <f t="shared" ca="1" si="309"/>
        <v>0</v>
      </c>
      <c r="CC413" s="536">
        <f t="shared" ca="1" si="310"/>
        <v>2060</v>
      </c>
      <c r="CF413" s="530">
        <v>412</v>
      </c>
      <c r="CG413" s="531">
        <f t="shared" ca="1" si="321"/>
        <v>58707</v>
      </c>
      <c r="CH413" s="532">
        <f ca="1">IF(CH412=0,SUMIFS('Key Life Events'!$L$3:$L$28,'Key Life Events'!$H$3:$H$28,'Loan Amortization'!$CL$3,'Key Life Events'!$N$3:$N$28,'Loan Amortization'!CG413),CH412-CK412)</f>
        <v>0</v>
      </c>
      <c r="CI413" s="532">
        <f t="shared" ca="1" si="322"/>
        <v>0</v>
      </c>
      <c r="CJ413" s="532">
        <f t="shared" ca="1" si="323"/>
        <v>0</v>
      </c>
      <c r="CK413" s="532">
        <f t="shared" ca="1" si="311"/>
        <v>0</v>
      </c>
      <c r="CP413" s="536">
        <f t="shared" ca="1" si="312"/>
        <v>2060</v>
      </c>
      <c r="CS413" s="100">
        <f t="shared" si="301"/>
        <v>412</v>
      </c>
      <c r="CT413" s="102">
        <f t="shared" ca="1" si="302"/>
        <v>0</v>
      </c>
      <c r="CU413" s="102">
        <f t="shared" ca="1" si="303"/>
        <v>0</v>
      </c>
      <c r="CV413" s="511">
        <f t="shared" ca="1" si="313"/>
        <v>2060</v>
      </c>
    </row>
    <row r="414" spans="1:100" x14ac:dyDescent="0.3">
      <c r="A414" s="100">
        <v>413</v>
      </c>
      <c r="B414" s="131">
        <f t="shared" si="281"/>
        <v>11716</v>
      </c>
      <c r="C414" s="102">
        <f t="shared" si="282"/>
        <v>0</v>
      </c>
      <c r="D414" s="102">
        <f t="shared" si="283"/>
        <v>0</v>
      </c>
      <c r="E414" s="102">
        <f t="shared" si="284"/>
        <v>0</v>
      </c>
      <c r="F414" s="102">
        <f t="shared" si="285"/>
        <v>0</v>
      </c>
      <c r="L414" s="100">
        <v>413</v>
      </c>
      <c r="M414" s="131">
        <f t="shared" ca="1" si="286"/>
        <v>58737</v>
      </c>
      <c r="N414" s="102">
        <f t="shared" si="287"/>
        <v>0</v>
      </c>
      <c r="O414" s="102">
        <f t="shared" si="288"/>
        <v>0</v>
      </c>
      <c r="P414" s="102">
        <f t="shared" si="289"/>
        <v>0</v>
      </c>
      <c r="Q414" s="102">
        <f t="shared" si="290"/>
        <v>0</v>
      </c>
      <c r="W414" s="100">
        <v>413</v>
      </c>
      <c r="X414" s="131">
        <f t="shared" ca="1" si="291"/>
        <v>58737</v>
      </c>
      <c r="Y414" s="102">
        <f t="shared" si="292"/>
        <v>0</v>
      </c>
      <c r="Z414" s="102">
        <f t="shared" si="293"/>
        <v>0</v>
      </c>
      <c r="AA414" s="102">
        <f t="shared" si="294"/>
        <v>0</v>
      </c>
      <c r="AB414" s="102">
        <f t="shared" si="295"/>
        <v>0</v>
      </c>
      <c r="AH414" s="100">
        <v>413</v>
      </c>
      <c r="AI414" s="131">
        <f t="shared" ca="1" si="296"/>
        <v>58737</v>
      </c>
      <c r="AJ414" s="102">
        <f t="shared" si="297"/>
        <v>0</v>
      </c>
      <c r="AK414" s="102">
        <f t="shared" si="298"/>
        <v>0</v>
      </c>
      <c r="AL414" s="102">
        <f t="shared" si="299"/>
        <v>0</v>
      </c>
      <c r="AM414" s="102">
        <f t="shared" si="300"/>
        <v>0</v>
      </c>
      <c r="AS414" s="530">
        <v>413</v>
      </c>
      <c r="AT414" s="531">
        <f t="shared" ca="1" si="314"/>
        <v>58737</v>
      </c>
      <c r="AU414" s="532">
        <f ca="1">IF(AU413=0,SUMIFS('Key Life Events'!$L$3:$L$28,'Key Life Events'!$H$3:$H$28,'Loan Amortization'!$AY$3,'Key Life Events'!$N$3:$N$28,'Loan Amortization'!AT414),AU413-AX413)</f>
        <v>0</v>
      </c>
      <c r="AV414" s="532">
        <f t="shared" ca="1" si="315"/>
        <v>0</v>
      </c>
      <c r="AW414" s="532">
        <f t="shared" ca="1" si="304"/>
        <v>0</v>
      </c>
      <c r="AX414" s="532">
        <f t="shared" ca="1" si="305"/>
        <v>0</v>
      </c>
      <c r="BC414" s="536">
        <f t="shared" ca="1" si="306"/>
        <v>2060</v>
      </c>
      <c r="BF414" s="530">
        <v>413</v>
      </c>
      <c r="BG414" s="531">
        <f t="shared" ca="1" si="316"/>
        <v>58737</v>
      </c>
      <c r="BH414" s="532">
        <f ca="1">IF(BH413=0,SUMIFS('Key Life Events'!$L$3:$L$28,'Key Life Events'!$H$3:$H$28,'Loan Amortization'!$BL$3,'Key Life Events'!$N$3:$N$28,'Loan Amortization'!BG414),BH413-BK413)</f>
        <v>0</v>
      </c>
      <c r="BI414" s="532">
        <f t="shared" ca="1" si="317"/>
        <v>0</v>
      </c>
      <c r="BJ414" s="532">
        <f t="shared" ca="1" si="318"/>
        <v>0</v>
      </c>
      <c r="BK414" s="532">
        <f t="shared" ca="1" si="307"/>
        <v>0</v>
      </c>
      <c r="BP414" s="536">
        <f t="shared" ca="1" si="308"/>
        <v>2060</v>
      </c>
      <c r="BS414" s="530">
        <v>413</v>
      </c>
      <c r="BT414" s="531">
        <f t="shared" ca="1" si="319"/>
        <v>58737</v>
      </c>
      <c r="BU414" s="532">
        <f ca="1">IF(BU413=0,SUMIFS('Key Life Events'!$L$3:$L$28,'Key Life Events'!$H$3:$H$28,'Loan Amortization'!$BY$3,'Key Life Events'!$N$3:$N$28,'Loan Amortization'!BT414),BU413-BX413)</f>
        <v>0</v>
      </c>
      <c r="BV414" s="532">
        <f t="shared" ca="1" si="324"/>
        <v>0</v>
      </c>
      <c r="BW414" s="532">
        <f t="shared" ca="1" si="320"/>
        <v>0</v>
      </c>
      <c r="BX414" s="532">
        <f t="shared" ca="1" si="309"/>
        <v>0</v>
      </c>
      <c r="CC414" s="536">
        <f t="shared" ca="1" si="310"/>
        <v>2060</v>
      </c>
      <c r="CF414" s="530">
        <v>413</v>
      </c>
      <c r="CG414" s="531">
        <f t="shared" ca="1" si="321"/>
        <v>58737</v>
      </c>
      <c r="CH414" s="532">
        <f ca="1">IF(CH413=0,SUMIFS('Key Life Events'!$L$3:$L$28,'Key Life Events'!$H$3:$H$28,'Loan Amortization'!$CL$3,'Key Life Events'!$N$3:$N$28,'Loan Amortization'!CG414),CH413-CK413)</f>
        <v>0</v>
      </c>
      <c r="CI414" s="532">
        <f t="shared" ca="1" si="322"/>
        <v>0</v>
      </c>
      <c r="CJ414" s="532">
        <f t="shared" ca="1" si="323"/>
        <v>0</v>
      </c>
      <c r="CK414" s="532">
        <f t="shared" ca="1" si="311"/>
        <v>0</v>
      </c>
      <c r="CP414" s="536">
        <f t="shared" ca="1" si="312"/>
        <v>2060</v>
      </c>
      <c r="CS414" s="100">
        <f t="shared" si="301"/>
        <v>413</v>
      </c>
      <c r="CT414" s="102">
        <f t="shared" ca="1" si="302"/>
        <v>0</v>
      </c>
      <c r="CU414" s="102">
        <f t="shared" ca="1" si="303"/>
        <v>0</v>
      </c>
      <c r="CV414" s="511">
        <f t="shared" ca="1" si="313"/>
        <v>2060</v>
      </c>
    </row>
    <row r="415" spans="1:100" x14ac:dyDescent="0.3">
      <c r="A415" s="100">
        <v>414</v>
      </c>
      <c r="B415" s="131">
        <f t="shared" si="281"/>
        <v>11747</v>
      </c>
      <c r="C415" s="102">
        <f t="shared" si="282"/>
        <v>0</v>
      </c>
      <c r="D415" s="102">
        <f t="shared" si="283"/>
        <v>0</v>
      </c>
      <c r="E415" s="102">
        <f t="shared" si="284"/>
        <v>0</v>
      </c>
      <c r="F415" s="102">
        <f t="shared" si="285"/>
        <v>0</v>
      </c>
      <c r="L415" s="100">
        <v>414</v>
      </c>
      <c r="M415" s="131">
        <f t="shared" ca="1" si="286"/>
        <v>58768</v>
      </c>
      <c r="N415" s="102">
        <f t="shared" si="287"/>
        <v>0</v>
      </c>
      <c r="O415" s="102">
        <f t="shared" si="288"/>
        <v>0</v>
      </c>
      <c r="P415" s="102">
        <f t="shared" si="289"/>
        <v>0</v>
      </c>
      <c r="Q415" s="102">
        <f t="shared" si="290"/>
        <v>0</v>
      </c>
      <c r="W415" s="100">
        <v>414</v>
      </c>
      <c r="X415" s="131">
        <f t="shared" ca="1" si="291"/>
        <v>58768</v>
      </c>
      <c r="Y415" s="102">
        <f t="shared" si="292"/>
        <v>0</v>
      </c>
      <c r="Z415" s="102">
        <f t="shared" si="293"/>
        <v>0</v>
      </c>
      <c r="AA415" s="102">
        <f t="shared" si="294"/>
        <v>0</v>
      </c>
      <c r="AB415" s="102">
        <f t="shared" si="295"/>
        <v>0</v>
      </c>
      <c r="AH415" s="100">
        <v>414</v>
      </c>
      <c r="AI415" s="131">
        <f t="shared" ca="1" si="296"/>
        <v>58768</v>
      </c>
      <c r="AJ415" s="102">
        <f t="shared" si="297"/>
        <v>0</v>
      </c>
      <c r="AK415" s="102">
        <f t="shared" si="298"/>
        <v>0</v>
      </c>
      <c r="AL415" s="102">
        <f t="shared" si="299"/>
        <v>0</v>
      </c>
      <c r="AM415" s="102">
        <f t="shared" si="300"/>
        <v>0</v>
      </c>
      <c r="AS415" s="530">
        <v>414</v>
      </c>
      <c r="AT415" s="531">
        <f t="shared" ca="1" si="314"/>
        <v>58768</v>
      </c>
      <c r="AU415" s="532">
        <f ca="1">IF(AU414=0,SUMIFS('Key Life Events'!$L$3:$L$28,'Key Life Events'!$H$3:$H$28,'Loan Amortization'!$AY$3,'Key Life Events'!$N$3:$N$28,'Loan Amortization'!AT415),AU414-AX414)</f>
        <v>0</v>
      </c>
      <c r="AV415" s="532">
        <f t="shared" ca="1" si="315"/>
        <v>0</v>
      </c>
      <c r="AW415" s="532">
        <f t="shared" ca="1" si="304"/>
        <v>0</v>
      </c>
      <c r="AX415" s="532">
        <f t="shared" ca="1" si="305"/>
        <v>0</v>
      </c>
      <c r="BC415" s="536">
        <f t="shared" ca="1" si="306"/>
        <v>2060</v>
      </c>
      <c r="BF415" s="530">
        <v>414</v>
      </c>
      <c r="BG415" s="531">
        <f t="shared" ca="1" si="316"/>
        <v>58768</v>
      </c>
      <c r="BH415" s="532">
        <f ca="1">IF(BH414=0,SUMIFS('Key Life Events'!$L$3:$L$28,'Key Life Events'!$H$3:$H$28,'Loan Amortization'!$BL$3,'Key Life Events'!$N$3:$N$28,'Loan Amortization'!BG415),BH414-BK414)</f>
        <v>0</v>
      </c>
      <c r="BI415" s="532">
        <f t="shared" ca="1" si="317"/>
        <v>0</v>
      </c>
      <c r="BJ415" s="532">
        <f t="shared" ca="1" si="318"/>
        <v>0</v>
      </c>
      <c r="BK415" s="532">
        <f t="shared" ca="1" si="307"/>
        <v>0</v>
      </c>
      <c r="BP415" s="536">
        <f t="shared" ca="1" si="308"/>
        <v>2060</v>
      </c>
      <c r="BS415" s="530">
        <v>414</v>
      </c>
      <c r="BT415" s="531">
        <f t="shared" ca="1" si="319"/>
        <v>58768</v>
      </c>
      <c r="BU415" s="532">
        <f ca="1">IF(BU414=0,SUMIFS('Key Life Events'!$L$3:$L$28,'Key Life Events'!$H$3:$H$28,'Loan Amortization'!$BY$3,'Key Life Events'!$N$3:$N$28,'Loan Amortization'!BT415),BU414-BX414)</f>
        <v>0</v>
      </c>
      <c r="BV415" s="532">
        <f t="shared" ca="1" si="324"/>
        <v>0</v>
      </c>
      <c r="BW415" s="532">
        <f t="shared" ca="1" si="320"/>
        <v>0</v>
      </c>
      <c r="BX415" s="532">
        <f t="shared" ca="1" si="309"/>
        <v>0</v>
      </c>
      <c r="CC415" s="536">
        <f t="shared" ca="1" si="310"/>
        <v>2060</v>
      </c>
      <c r="CF415" s="530">
        <v>414</v>
      </c>
      <c r="CG415" s="531">
        <f t="shared" ca="1" si="321"/>
        <v>58768</v>
      </c>
      <c r="CH415" s="532">
        <f ca="1">IF(CH414=0,SUMIFS('Key Life Events'!$L$3:$L$28,'Key Life Events'!$H$3:$H$28,'Loan Amortization'!$CL$3,'Key Life Events'!$N$3:$N$28,'Loan Amortization'!CG415),CH414-CK414)</f>
        <v>0</v>
      </c>
      <c r="CI415" s="532">
        <f t="shared" ca="1" si="322"/>
        <v>0</v>
      </c>
      <c r="CJ415" s="532">
        <f t="shared" ca="1" si="323"/>
        <v>0</v>
      </c>
      <c r="CK415" s="532">
        <f t="shared" ca="1" si="311"/>
        <v>0</v>
      </c>
      <c r="CP415" s="536">
        <f t="shared" ca="1" si="312"/>
        <v>2060</v>
      </c>
      <c r="CS415" s="100">
        <f t="shared" si="301"/>
        <v>414</v>
      </c>
      <c r="CT415" s="102">
        <f t="shared" ca="1" si="302"/>
        <v>0</v>
      </c>
      <c r="CU415" s="102">
        <f t="shared" ca="1" si="303"/>
        <v>0</v>
      </c>
      <c r="CV415" s="511">
        <f t="shared" ca="1" si="313"/>
        <v>2060</v>
      </c>
    </row>
    <row r="416" spans="1:100" x14ac:dyDescent="0.3">
      <c r="A416" s="100">
        <v>415</v>
      </c>
      <c r="B416" s="131">
        <f t="shared" si="281"/>
        <v>11776</v>
      </c>
      <c r="C416" s="102">
        <f t="shared" si="282"/>
        <v>0</v>
      </c>
      <c r="D416" s="102">
        <f t="shared" si="283"/>
        <v>0</v>
      </c>
      <c r="E416" s="102">
        <f t="shared" si="284"/>
        <v>0</v>
      </c>
      <c r="F416" s="102">
        <f t="shared" si="285"/>
        <v>0</v>
      </c>
      <c r="L416" s="100">
        <v>415</v>
      </c>
      <c r="M416" s="131">
        <f t="shared" ca="1" si="286"/>
        <v>58798</v>
      </c>
      <c r="N416" s="102">
        <f t="shared" si="287"/>
        <v>0</v>
      </c>
      <c r="O416" s="102">
        <f t="shared" si="288"/>
        <v>0</v>
      </c>
      <c r="P416" s="102">
        <f t="shared" si="289"/>
        <v>0</v>
      </c>
      <c r="Q416" s="102">
        <f t="shared" si="290"/>
        <v>0</v>
      </c>
      <c r="W416" s="100">
        <v>415</v>
      </c>
      <c r="X416" s="131">
        <f t="shared" ca="1" si="291"/>
        <v>58798</v>
      </c>
      <c r="Y416" s="102">
        <f t="shared" si="292"/>
        <v>0</v>
      </c>
      <c r="Z416" s="102">
        <f t="shared" si="293"/>
        <v>0</v>
      </c>
      <c r="AA416" s="102">
        <f t="shared" si="294"/>
        <v>0</v>
      </c>
      <c r="AB416" s="102">
        <f t="shared" si="295"/>
        <v>0</v>
      </c>
      <c r="AH416" s="100">
        <v>415</v>
      </c>
      <c r="AI416" s="131">
        <f t="shared" ca="1" si="296"/>
        <v>58798</v>
      </c>
      <c r="AJ416" s="102">
        <f t="shared" si="297"/>
        <v>0</v>
      </c>
      <c r="AK416" s="102">
        <f t="shared" si="298"/>
        <v>0</v>
      </c>
      <c r="AL416" s="102">
        <f t="shared" si="299"/>
        <v>0</v>
      </c>
      <c r="AM416" s="102">
        <f t="shared" si="300"/>
        <v>0</v>
      </c>
      <c r="AS416" s="530">
        <v>415</v>
      </c>
      <c r="AT416" s="531">
        <f t="shared" ca="1" si="314"/>
        <v>58798</v>
      </c>
      <c r="AU416" s="532">
        <f ca="1">IF(AU415=0,SUMIFS('Key Life Events'!$L$3:$L$28,'Key Life Events'!$H$3:$H$28,'Loan Amortization'!$AY$3,'Key Life Events'!$N$3:$N$28,'Loan Amortization'!AT416),AU415-AX415)</f>
        <v>0</v>
      </c>
      <c r="AV416" s="532">
        <f t="shared" ca="1" si="315"/>
        <v>0</v>
      </c>
      <c r="AW416" s="532">
        <f t="shared" ca="1" si="304"/>
        <v>0</v>
      </c>
      <c r="AX416" s="532">
        <f t="shared" ca="1" si="305"/>
        <v>0</v>
      </c>
      <c r="BC416" s="536">
        <f t="shared" ca="1" si="306"/>
        <v>2060</v>
      </c>
      <c r="BF416" s="530">
        <v>415</v>
      </c>
      <c r="BG416" s="531">
        <f t="shared" ca="1" si="316"/>
        <v>58798</v>
      </c>
      <c r="BH416" s="532">
        <f ca="1">IF(BH415=0,SUMIFS('Key Life Events'!$L$3:$L$28,'Key Life Events'!$H$3:$H$28,'Loan Amortization'!$BL$3,'Key Life Events'!$N$3:$N$28,'Loan Amortization'!BG416),BH415-BK415)</f>
        <v>0</v>
      </c>
      <c r="BI416" s="532">
        <f t="shared" ca="1" si="317"/>
        <v>0</v>
      </c>
      <c r="BJ416" s="532">
        <f t="shared" ca="1" si="318"/>
        <v>0</v>
      </c>
      <c r="BK416" s="532">
        <f t="shared" ca="1" si="307"/>
        <v>0</v>
      </c>
      <c r="BP416" s="536">
        <f t="shared" ca="1" si="308"/>
        <v>2060</v>
      </c>
      <c r="BS416" s="530">
        <v>415</v>
      </c>
      <c r="BT416" s="531">
        <f t="shared" ca="1" si="319"/>
        <v>58798</v>
      </c>
      <c r="BU416" s="532">
        <f ca="1">IF(BU415=0,SUMIFS('Key Life Events'!$L$3:$L$28,'Key Life Events'!$H$3:$H$28,'Loan Amortization'!$BY$3,'Key Life Events'!$N$3:$N$28,'Loan Amortization'!BT416),BU415-BX415)</f>
        <v>0</v>
      </c>
      <c r="BV416" s="532">
        <f t="shared" ca="1" si="324"/>
        <v>0</v>
      </c>
      <c r="BW416" s="532">
        <f t="shared" ca="1" si="320"/>
        <v>0</v>
      </c>
      <c r="BX416" s="532">
        <f t="shared" ca="1" si="309"/>
        <v>0</v>
      </c>
      <c r="CC416" s="536">
        <f t="shared" ca="1" si="310"/>
        <v>2060</v>
      </c>
      <c r="CF416" s="530">
        <v>415</v>
      </c>
      <c r="CG416" s="531">
        <f t="shared" ca="1" si="321"/>
        <v>58798</v>
      </c>
      <c r="CH416" s="532">
        <f ca="1">IF(CH415=0,SUMIFS('Key Life Events'!$L$3:$L$28,'Key Life Events'!$H$3:$H$28,'Loan Amortization'!$CL$3,'Key Life Events'!$N$3:$N$28,'Loan Amortization'!CG416),CH415-CK415)</f>
        <v>0</v>
      </c>
      <c r="CI416" s="532">
        <f t="shared" ca="1" si="322"/>
        <v>0</v>
      </c>
      <c r="CJ416" s="532">
        <f t="shared" ca="1" si="323"/>
        <v>0</v>
      </c>
      <c r="CK416" s="532">
        <f t="shared" ca="1" si="311"/>
        <v>0</v>
      </c>
      <c r="CP416" s="536">
        <f t="shared" ca="1" si="312"/>
        <v>2060</v>
      </c>
      <c r="CS416" s="100">
        <f t="shared" si="301"/>
        <v>415</v>
      </c>
      <c r="CT416" s="102">
        <f t="shared" ca="1" si="302"/>
        <v>0</v>
      </c>
      <c r="CU416" s="102">
        <f t="shared" ca="1" si="303"/>
        <v>0</v>
      </c>
      <c r="CV416" s="511">
        <f t="shared" ca="1" si="313"/>
        <v>2060</v>
      </c>
    </row>
    <row r="417" spans="1:100" x14ac:dyDescent="0.3">
      <c r="A417" s="100">
        <v>416</v>
      </c>
      <c r="B417" s="131">
        <f t="shared" ref="B417:B480" si="325">IF(C416&lt;D416,,EDATE(B416,1))</f>
        <v>11807</v>
      </c>
      <c r="C417" s="102">
        <f t="shared" ref="C417:C480" si="326">IF(C416&lt;D416,0,C416-F416)</f>
        <v>0</v>
      </c>
      <c r="D417" s="102">
        <f t="shared" ref="D417:D480" si="327">IF(C417&lt;=D416,C417+E417,D$2)</f>
        <v>0</v>
      </c>
      <c r="E417" s="102">
        <f t="shared" ref="E417:E480" si="328">(C417*H$1)/12</f>
        <v>0</v>
      </c>
      <c r="F417" s="102">
        <f t="shared" ref="F417:F480" si="329">D417-E417</f>
        <v>0</v>
      </c>
      <c r="L417" s="100">
        <v>416</v>
      </c>
      <c r="M417" s="131">
        <f t="shared" ref="M417:M480" ca="1" si="330">IF(N416&lt;O416,,EDATE(M416,1))</f>
        <v>58829</v>
      </c>
      <c r="N417" s="102">
        <f t="shared" ref="N417:N480" si="331">IF(N416&lt;O416,0,N416-Q416)</f>
        <v>0</v>
      </c>
      <c r="O417" s="102">
        <f t="shared" ref="O417:O480" si="332">IF(N417&lt;=O416,N417+P417,O$2)</f>
        <v>0</v>
      </c>
      <c r="P417" s="102">
        <f t="shared" ref="P417:P480" si="333">(N417*S$1)/12</f>
        <v>0</v>
      </c>
      <c r="Q417" s="102">
        <f t="shared" ref="Q417:Q480" si="334">O417-P417</f>
        <v>0</v>
      </c>
      <c r="W417" s="100">
        <v>416</v>
      </c>
      <c r="X417" s="131">
        <f t="shared" ref="X417:X480" ca="1" si="335">IF(Y416&lt;Z416,,EDATE(X416,1))</f>
        <v>58829</v>
      </c>
      <c r="Y417" s="102">
        <f t="shared" ref="Y417:Y480" si="336">IF(Y416&lt;Z416,0,Y416-AB416)</f>
        <v>0</v>
      </c>
      <c r="Z417" s="102">
        <f t="shared" ref="Z417:Z480" si="337">IF(Y417&lt;=Z416,Y417+AA417,Z$2)</f>
        <v>0</v>
      </c>
      <c r="AA417" s="102">
        <f t="shared" ref="AA417:AA480" si="338">(Y417*AD$1)/12</f>
        <v>0</v>
      </c>
      <c r="AB417" s="102">
        <f t="shared" ref="AB417:AB480" si="339">Z417-AA417</f>
        <v>0</v>
      </c>
      <c r="AH417" s="100">
        <v>416</v>
      </c>
      <c r="AI417" s="131">
        <f t="shared" ref="AI417:AI480" ca="1" si="340">IF(AJ416&lt;AK416,,EDATE(AI416,1))</f>
        <v>58829</v>
      </c>
      <c r="AJ417" s="102">
        <f t="shared" ref="AJ417:AJ480" si="341">IF(AJ416&lt;AK416,0,AJ416-AM416)</f>
        <v>0</v>
      </c>
      <c r="AK417" s="102">
        <f t="shared" ref="AK417:AK480" si="342">IF(AJ417&lt;=AK416,AJ417+AL417,AK$2)</f>
        <v>0</v>
      </c>
      <c r="AL417" s="102">
        <f t="shared" ref="AL417:AL480" si="343">(AJ417*AO$1)/12</f>
        <v>0</v>
      </c>
      <c r="AM417" s="102">
        <f t="shared" ref="AM417:AM480" si="344">AK417-AL417</f>
        <v>0</v>
      </c>
      <c r="AS417" s="530">
        <v>416</v>
      </c>
      <c r="AT417" s="531">
        <f t="shared" ca="1" si="314"/>
        <v>58829</v>
      </c>
      <c r="AU417" s="532">
        <f ca="1">IF(AU416=0,SUMIFS('Key Life Events'!$L$3:$L$28,'Key Life Events'!$H$3:$H$28,'Loan Amortization'!$AY$3,'Key Life Events'!$N$3:$N$28,'Loan Amortization'!AT417),AU416-AX416)</f>
        <v>0</v>
      </c>
      <c r="AV417" s="532">
        <f t="shared" ca="1" si="315"/>
        <v>0</v>
      </c>
      <c r="AW417" s="532">
        <f t="shared" ca="1" si="304"/>
        <v>0</v>
      </c>
      <c r="AX417" s="532">
        <f t="shared" ca="1" si="305"/>
        <v>0</v>
      </c>
      <c r="BC417" s="536">
        <f t="shared" ca="1" si="306"/>
        <v>2061</v>
      </c>
      <c r="BF417" s="530">
        <v>416</v>
      </c>
      <c r="BG417" s="531">
        <f t="shared" ca="1" si="316"/>
        <v>58829</v>
      </c>
      <c r="BH417" s="532">
        <f ca="1">IF(BH416=0,SUMIFS('Key Life Events'!$L$3:$L$28,'Key Life Events'!$H$3:$H$28,'Loan Amortization'!$BL$3,'Key Life Events'!$N$3:$N$28,'Loan Amortization'!BG417),BH416-BK416)</f>
        <v>0</v>
      </c>
      <c r="BI417" s="532">
        <f t="shared" ca="1" si="317"/>
        <v>0</v>
      </c>
      <c r="BJ417" s="532">
        <f t="shared" ca="1" si="318"/>
        <v>0</v>
      </c>
      <c r="BK417" s="532">
        <f t="shared" ca="1" si="307"/>
        <v>0</v>
      </c>
      <c r="BP417" s="536">
        <f t="shared" ca="1" si="308"/>
        <v>2061</v>
      </c>
      <c r="BS417" s="530">
        <v>416</v>
      </c>
      <c r="BT417" s="531">
        <f t="shared" ca="1" si="319"/>
        <v>58829</v>
      </c>
      <c r="BU417" s="532">
        <f ca="1">IF(BU416=0,SUMIFS('Key Life Events'!$L$3:$L$28,'Key Life Events'!$H$3:$H$28,'Loan Amortization'!$BY$3,'Key Life Events'!$N$3:$N$28,'Loan Amortization'!BT417),BU416-BX416)</f>
        <v>0</v>
      </c>
      <c r="BV417" s="532">
        <f t="shared" ca="1" si="324"/>
        <v>0</v>
      </c>
      <c r="BW417" s="532">
        <f t="shared" ca="1" si="320"/>
        <v>0</v>
      </c>
      <c r="BX417" s="532">
        <f t="shared" ca="1" si="309"/>
        <v>0</v>
      </c>
      <c r="CC417" s="536">
        <f t="shared" ca="1" si="310"/>
        <v>2061</v>
      </c>
      <c r="CF417" s="530">
        <v>416</v>
      </c>
      <c r="CG417" s="531">
        <f t="shared" ca="1" si="321"/>
        <v>58829</v>
      </c>
      <c r="CH417" s="532">
        <f ca="1">IF(CH416=0,SUMIFS('Key Life Events'!$L$3:$L$28,'Key Life Events'!$H$3:$H$28,'Loan Amortization'!$CL$3,'Key Life Events'!$N$3:$N$28,'Loan Amortization'!CG417),CH416-CK416)</f>
        <v>0</v>
      </c>
      <c r="CI417" s="532">
        <f t="shared" ca="1" si="322"/>
        <v>0</v>
      </c>
      <c r="CJ417" s="532">
        <f t="shared" ca="1" si="323"/>
        <v>0</v>
      </c>
      <c r="CK417" s="532">
        <f t="shared" ca="1" si="311"/>
        <v>0</v>
      </c>
      <c r="CP417" s="536">
        <f t="shared" ca="1" si="312"/>
        <v>2061</v>
      </c>
      <c r="CS417" s="100">
        <f t="shared" si="301"/>
        <v>416</v>
      </c>
      <c r="CT417" s="102">
        <f t="shared" ca="1" si="302"/>
        <v>0</v>
      </c>
      <c r="CU417" s="102">
        <f t="shared" ca="1" si="303"/>
        <v>0</v>
      </c>
      <c r="CV417" s="511">
        <f t="shared" ca="1" si="313"/>
        <v>2061</v>
      </c>
    </row>
    <row r="418" spans="1:100" x14ac:dyDescent="0.3">
      <c r="A418" s="100">
        <v>417</v>
      </c>
      <c r="B418" s="131">
        <f t="shared" si="325"/>
        <v>11837</v>
      </c>
      <c r="C418" s="102">
        <f t="shared" si="326"/>
        <v>0</v>
      </c>
      <c r="D418" s="102">
        <f t="shared" si="327"/>
        <v>0</v>
      </c>
      <c r="E418" s="102">
        <f t="shared" si="328"/>
        <v>0</v>
      </c>
      <c r="F418" s="102">
        <f t="shared" si="329"/>
        <v>0</v>
      </c>
      <c r="L418" s="100">
        <v>417</v>
      </c>
      <c r="M418" s="131">
        <f t="shared" ca="1" si="330"/>
        <v>58860</v>
      </c>
      <c r="N418" s="102">
        <f t="shared" si="331"/>
        <v>0</v>
      </c>
      <c r="O418" s="102">
        <f t="shared" si="332"/>
        <v>0</v>
      </c>
      <c r="P418" s="102">
        <f t="shared" si="333"/>
        <v>0</v>
      </c>
      <c r="Q418" s="102">
        <f t="shared" si="334"/>
        <v>0</v>
      </c>
      <c r="W418" s="100">
        <v>417</v>
      </c>
      <c r="X418" s="131">
        <f t="shared" ca="1" si="335"/>
        <v>58860</v>
      </c>
      <c r="Y418" s="102">
        <f t="shared" si="336"/>
        <v>0</v>
      </c>
      <c r="Z418" s="102">
        <f t="shared" si="337"/>
        <v>0</v>
      </c>
      <c r="AA418" s="102">
        <f t="shared" si="338"/>
        <v>0</v>
      </c>
      <c r="AB418" s="102">
        <f t="shared" si="339"/>
        <v>0</v>
      </c>
      <c r="AH418" s="100">
        <v>417</v>
      </c>
      <c r="AI418" s="131">
        <f t="shared" ca="1" si="340"/>
        <v>58860</v>
      </c>
      <c r="AJ418" s="102">
        <f t="shared" si="341"/>
        <v>0</v>
      </c>
      <c r="AK418" s="102">
        <f t="shared" si="342"/>
        <v>0</v>
      </c>
      <c r="AL418" s="102">
        <f t="shared" si="343"/>
        <v>0</v>
      </c>
      <c r="AM418" s="102">
        <f t="shared" si="344"/>
        <v>0</v>
      </c>
      <c r="AS418" s="530">
        <v>417</v>
      </c>
      <c r="AT418" s="531">
        <f t="shared" ca="1" si="314"/>
        <v>58860</v>
      </c>
      <c r="AU418" s="532">
        <f ca="1">IF(AU417=0,SUMIFS('Key Life Events'!$L$3:$L$28,'Key Life Events'!$H$3:$H$28,'Loan Amortization'!$AY$3,'Key Life Events'!$N$3:$N$28,'Loan Amortization'!AT418),AU417-AX417)</f>
        <v>0</v>
      </c>
      <c r="AV418" s="532">
        <f t="shared" ca="1" si="315"/>
        <v>0</v>
      </c>
      <c r="AW418" s="532">
        <f t="shared" ca="1" si="304"/>
        <v>0</v>
      </c>
      <c r="AX418" s="532">
        <f t="shared" ca="1" si="305"/>
        <v>0</v>
      </c>
      <c r="BC418" s="536">
        <f t="shared" ca="1" si="306"/>
        <v>2061</v>
      </c>
      <c r="BF418" s="530">
        <v>417</v>
      </c>
      <c r="BG418" s="531">
        <f t="shared" ca="1" si="316"/>
        <v>58860</v>
      </c>
      <c r="BH418" s="532">
        <f ca="1">IF(BH417=0,SUMIFS('Key Life Events'!$L$3:$L$28,'Key Life Events'!$H$3:$H$28,'Loan Amortization'!$BL$3,'Key Life Events'!$N$3:$N$28,'Loan Amortization'!BG418),BH417-BK417)</f>
        <v>0</v>
      </c>
      <c r="BI418" s="532">
        <f t="shared" ca="1" si="317"/>
        <v>0</v>
      </c>
      <c r="BJ418" s="532">
        <f t="shared" ca="1" si="318"/>
        <v>0</v>
      </c>
      <c r="BK418" s="532">
        <f t="shared" ca="1" si="307"/>
        <v>0</v>
      </c>
      <c r="BP418" s="536">
        <f t="shared" ca="1" si="308"/>
        <v>2061</v>
      </c>
      <c r="BS418" s="530">
        <v>417</v>
      </c>
      <c r="BT418" s="531">
        <f t="shared" ca="1" si="319"/>
        <v>58860</v>
      </c>
      <c r="BU418" s="532">
        <f ca="1">IF(BU417=0,SUMIFS('Key Life Events'!$L$3:$L$28,'Key Life Events'!$H$3:$H$28,'Loan Amortization'!$BY$3,'Key Life Events'!$N$3:$N$28,'Loan Amortization'!BT418),BU417-BX417)</f>
        <v>0</v>
      </c>
      <c r="BV418" s="532">
        <f t="shared" ca="1" si="324"/>
        <v>0</v>
      </c>
      <c r="BW418" s="532">
        <f t="shared" ca="1" si="320"/>
        <v>0</v>
      </c>
      <c r="BX418" s="532">
        <f t="shared" ca="1" si="309"/>
        <v>0</v>
      </c>
      <c r="CC418" s="536">
        <f t="shared" ca="1" si="310"/>
        <v>2061</v>
      </c>
      <c r="CF418" s="530">
        <v>417</v>
      </c>
      <c r="CG418" s="531">
        <f t="shared" ca="1" si="321"/>
        <v>58860</v>
      </c>
      <c r="CH418" s="532">
        <f ca="1">IF(CH417=0,SUMIFS('Key Life Events'!$L$3:$L$28,'Key Life Events'!$H$3:$H$28,'Loan Amortization'!$CL$3,'Key Life Events'!$N$3:$N$28,'Loan Amortization'!CG418),CH417-CK417)</f>
        <v>0</v>
      </c>
      <c r="CI418" s="532">
        <f t="shared" ca="1" si="322"/>
        <v>0</v>
      </c>
      <c r="CJ418" s="532">
        <f t="shared" ca="1" si="323"/>
        <v>0</v>
      </c>
      <c r="CK418" s="532">
        <f t="shared" ca="1" si="311"/>
        <v>0</v>
      </c>
      <c r="CP418" s="536">
        <f t="shared" ca="1" si="312"/>
        <v>2061</v>
      </c>
      <c r="CS418" s="100">
        <f t="shared" si="301"/>
        <v>417</v>
      </c>
      <c r="CT418" s="102">
        <f t="shared" ca="1" si="302"/>
        <v>0</v>
      </c>
      <c r="CU418" s="102">
        <f t="shared" ca="1" si="303"/>
        <v>0</v>
      </c>
      <c r="CV418" s="511">
        <f t="shared" ca="1" si="313"/>
        <v>2061</v>
      </c>
    </row>
    <row r="419" spans="1:100" x14ac:dyDescent="0.3">
      <c r="A419" s="100">
        <v>418</v>
      </c>
      <c r="B419" s="131">
        <f t="shared" si="325"/>
        <v>11868</v>
      </c>
      <c r="C419" s="102">
        <f t="shared" si="326"/>
        <v>0</v>
      </c>
      <c r="D419" s="102">
        <f t="shared" si="327"/>
        <v>0</v>
      </c>
      <c r="E419" s="102">
        <f t="shared" si="328"/>
        <v>0</v>
      </c>
      <c r="F419" s="102">
        <f t="shared" si="329"/>
        <v>0</v>
      </c>
      <c r="L419" s="100">
        <v>418</v>
      </c>
      <c r="M419" s="131">
        <f t="shared" ca="1" si="330"/>
        <v>58888</v>
      </c>
      <c r="N419" s="102">
        <f t="shared" si="331"/>
        <v>0</v>
      </c>
      <c r="O419" s="102">
        <f t="shared" si="332"/>
        <v>0</v>
      </c>
      <c r="P419" s="102">
        <f t="shared" si="333"/>
        <v>0</v>
      </c>
      <c r="Q419" s="102">
        <f t="shared" si="334"/>
        <v>0</v>
      </c>
      <c r="W419" s="100">
        <v>418</v>
      </c>
      <c r="X419" s="131">
        <f t="shared" ca="1" si="335"/>
        <v>58888</v>
      </c>
      <c r="Y419" s="102">
        <f t="shared" si="336"/>
        <v>0</v>
      </c>
      <c r="Z419" s="102">
        <f t="shared" si="337"/>
        <v>0</v>
      </c>
      <c r="AA419" s="102">
        <f t="shared" si="338"/>
        <v>0</v>
      </c>
      <c r="AB419" s="102">
        <f t="shared" si="339"/>
        <v>0</v>
      </c>
      <c r="AH419" s="100">
        <v>418</v>
      </c>
      <c r="AI419" s="131">
        <f t="shared" ca="1" si="340"/>
        <v>58888</v>
      </c>
      <c r="AJ419" s="102">
        <f t="shared" si="341"/>
        <v>0</v>
      </c>
      <c r="AK419" s="102">
        <f t="shared" si="342"/>
        <v>0</v>
      </c>
      <c r="AL419" s="102">
        <f t="shared" si="343"/>
        <v>0</v>
      </c>
      <c r="AM419" s="102">
        <f t="shared" si="344"/>
        <v>0</v>
      </c>
      <c r="AS419" s="530">
        <v>418</v>
      </c>
      <c r="AT419" s="531">
        <f t="shared" ca="1" si="314"/>
        <v>58888</v>
      </c>
      <c r="AU419" s="532">
        <f ca="1">IF(AU418=0,SUMIFS('Key Life Events'!$L$3:$L$28,'Key Life Events'!$H$3:$H$28,'Loan Amortization'!$AY$3,'Key Life Events'!$N$3:$N$28,'Loan Amortization'!AT419),AU418-AX418)</f>
        <v>0</v>
      </c>
      <c r="AV419" s="532">
        <f t="shared" ca="1" si="315"/>
        <v>0</v>
      </c>
      <c r="AW419" s="532">
        <f t="shared" ca="1" si="304"/>
        <v>0</v>
      </c>
      <c r="AX419" s="532">
        <f t="shared" ca="1" si="305"/>
        <v>0</v>
      </c>
      <c r="BC419" s="536">
        <f t="shared" ca="1" si="306"/>
        <v>2061</v>
      </c>
      <c r="BF419" s="530">
        <v>418</v>
      </c>
      <c r="BG419" s="531">
        <f t="shared" ca="1" si="316"/>
        <v>58888</v>
      </c>
      <c r="BH419" s="532">
        <f ca="1">IF(BH418=0,SUMIFS('Key Life Events'!$L$3:$L$28,'Key Life Events'!$H$3:$H$28,'Loan Amortization'!$BL$3,'Key Life Events'!$N$3:$N$28,'Loan Amortization'!BG419),BH418-BK418)</f>
        <v>0</v>
      </c>
      <c r="BI419" s="532">
        <f t="shared" ca="1" si="317"/>
        <v>0</v>
      </c>
      <c r="BJ419" s="532">
        <f t="shared" ca="1" si="318"/>
        <v>0</v>
      </c>
      <c r="BK419" s="532">
        <f t="shared" ca="1" si="307"/>
        <v>0</v>
      </c>
      <c r="BP419" s="536">
        <f t="shared" ca="1" si="308"/>
        <v>2061</v>
      </c>
      <c r="BS419" s="530">
        <v>418</v>
      </c>
      <c r="BT419" s="531">
        <f t="shared" ca="1" si="319"/>
        <v>58888</v>
      </c>
      <c r="BU419" s="532">
        <f ca="1">IF(BU418=0,SUMIFS('Key Life Events'!$L$3:$L$28,'Key Life Events'!$H$3:$H$28,'Loan Amortization'!$BY$3,'Key Life Events'!$N$3:$N$28,'Loan Amortization'!BT419),BU418-BX418)</f>
        <v>0</v>
      </c>
      <c r="BV419" s="532">
        <f t="shared" ca="1" si="324"/>
        <v>0</v>
      </c>
      <c r="BW419" s="532">
        <f t="shared" ca="1" si="320"/>
        <v>0</v>
      </c>
      <c r="BX419" s="532">
        <f t="shared" ca="1" si="309"/>
        <v>0</v>
      </c>
      <c r="CC419" s="536">
        <f t="shared" ca="1" si="310"/>
        <v>2061</v>
      </c>
      <c r="CF419" s="530">
        <v>418</v>
      </c>
      <c r="CG419" s="531">
        <f t="shared" ca="1" si="321"/>
        <v>58888</v>
      </c>
      <c r="CH419" s="532">
        <f ca="1">IF(CH418=0,SUMIFS('Key Life Events'!$L$3:$L$28,'Key Life Events'!$H$3:$H$28,'Loan Amortization'!$CL$3,'Key Life Events'!$N$3:$N$28,'Loan Amortization'!CG419),CH418-CK418)</f>
        <v>0</v>
      </c>
      <c r="CI419" s="532">
        <f t="shared" ca="1" si="322"/>
        <v>0</v>
      </c>
      <c r="CJ419" s="532">
        <f t="shared" ca="1" si="323"/>
        <v>0</v>
      </c>
      <c r="CK419" s="532">
        <f t="shared" ca="1" si="311"/>
        <v>0</v>
      </c>
      <c r="CP419" s="536">
        <f t="shared" ca="1" si="312"/>
        <v>2061</v>
      </c>
      <c r="CS419" s="100">
        <f t="shared" si="301"/>
        <v>418</v>
      </c>
      <c r="CT419" s="102">
        <f t="shared" ca="1" si="302"/>
        <v>0</v>
      </c>
      <c r="CU419" s="102">
        <f t="shared" ca="1" si="303"/>
        <v>0</v>
      </c>
      <c r="CV419" s="511">
        <f t="shared" ca="1" si="313"/>
        <v>2061</v>
      </c>
    </row>
    <row r="420" spans="1:100" x14ac:dyDescent="0.3">
      <c r="A420" s="100">
        <v>419</v>
      </c>
      <c r="B420" s="131">
        <f t="shared" si="325"/>
        <v>11898</v>
      </c>
      <c r="C420" s="102">
        <f t="shared" si="326"/>
        <v>0</v>
      </c>
      <c r="D420" s="102">
        <f t="shared" si="327"/>
        <v>0</v>
      </c>
      <c r="E420" s="102">
        <f t="shared" si="328"/>
        <v>0</v>
      </c>
      <c r="F420" s="102">
        <f t="shared" si="329"/>
        <v>0</v>
      </c>
      <c r="L420" s="100">
        <v>419</v>
      </c>
      <c r="M420" s="131">
        <f t="shared" ca="1" si="330"/>
        <v>58919</v>
      </c>
      <c r="N420" s="102">
        <f t="shared" si="331"/>
        <v>0</v>
      </c>
      <c r="O420" s="102">
        <f t="shared" si="332"/>
        <v>0</v>
      </c>
      <c r="P420" s="102">
        <f t="shared" si="333"/>
        <v>0</v>
      </c>
      <c r="Q420" s="102">
        <f t="shared" si="334"/>
        <v>0</v>
      </c>
      <c r="W420" s="100">
        <v>419</v>
      </c>
      <c r="X420" s="131">
        <f t="shared" ca="1" si="335"/>
        <v>58919</v>
      </c>
      <c r="Y420" s="102">
        <f t="shared" si="336"/>
        <v>0</v>
      </c>
      <c r="Z420" s="102">
        <f t="shared" si="337"/>
        <v>0</v>
      </c>
      <c r="AA420" s="102">
        <f t="shared" si="338"/>
        <v>0</v>
      </c>
      <c r="AB420" s="102">
        <f t="shared" si="339"/>
        <v>0</v>
      </c>
      <c r="AH420" s="100">
        <v>419</v>
      </c>
      <c r="AI420" s="131">
        <f t="shared" ca="1" si="340"/>
        <v>58919</v>
      </c>
      <c r="AJ420" s="102">
        <f t="shared" si="341"/>
        <v>0</v>
      </c>
      <c r="AK420" s="102">
        <f t="shared" si="342"/>
        <v>0</v>
      </c>
      <c r="AL420" s="102">
        <f t="shared" si="343"/>
        <v>0</v>
      </c>
      <c r="AM420" s="102">
        <f t="shared" si="344"/>
        <v>0</v>
      </c>
      <c r="AS420" s="530">
        <v>419</v>
      </c>
      <c r="AT420" s="531">
        <f t="shared" ca="1" si="314"/>
        <v>58919</v>
      </c>
      <c r="AU420" s="532">
        <f ca="1">IF(AU419=0,SUMIFS('Key Life Events'!$L$3:$L$28,'Key Life Events'!$H$3:$H$28,'Loan Amortization'!$AY$3,'Key Life Events'!$N$3:$N$28,'Loan Amortization'!AT420),AU419-AX419)</f>
        <v>0</v>
      </c>
      <c r="AV420" s="532">
        <f t="shared" ca="1" si="315"/>
        <v>0</v>
      </c>
      <c r="AW420" s="532">
        <f t="shared" ca="1" si="304"/>
        <v>0</v>
      </c>
      <c r="AX420" s="532">
        <f t="shared" ca="1" si="305"/>
        <v>0</v>
      </c>
      <c r="BC420" s="536">
        <f t="shared" ca="1" si="306"/>
        <v>2061</v>
      </c>
      <c r="BF420" s="530">
        <v>419</v>
      </c>
      <c r="BG420" s="531">
        <f t="shared" ca="1" si="316"/>
        <v>58919</v>
      </c>
      <c r="BH420" s="532">
        <f ca="1">IF(BH419=0,SUMIFS('Key Life Events'!$L$3:$L$28,'Key Life Events'!$H$3:$H$28,'Loan Amortization'!$BL$3,'Key Life Events'!$N$3:$N$28,'Loan Amortization'!BG420),BH419-BK419)</f>
        <v>0</v>
      </c>
      <c r="BI420" s="532">
        <f t="shared" ca="1" si="317"/>
        <v>0</v>
      </c>
      <c r="BJ420" s="532">
        <f t="shared" ca="1" si="318"/>
        <v>0</v>
      </c>
      <c r="BK420" s="532">
        <f t="shared" ca="1" si="307"/>
        <v>0</v>
      </c>
      <c r="BP420" s="536">
        <f t="shared" ca="1" si="308"/>
        <v>2061</v>
      </c>
      <c r="BS420" s="530">
        <v>419</v>
      </c>
      <c r="BT420" s="531">
        <f t="shared" ca="1" si="319"/>
        <v>58919</v>
      </c>
      <c r="BU420" s="532">
        <f ca="1">IF(BU419=0,SUMIFS('Key Life Events'!$L$3:$L$28,'Key Life Events'!$H$3:$H$28,'Loan Amortization'!$BY$3,'Key Life Events'!$N$3:$N$28,'Loan Amortization'!BT420),BU419-BX419)</f>
        <v>0</v>
      </c>
      <c r="BV420" s="532">
        <f t="shared" ca="1" si="324"/>
        <v>0</v>
      </c>
      <c r="BW420" s="532">
        <f t="shared" ca="1" si="320"/>
        <v>0</v>
      </c>
      <c r="BX420" s="532">
        <f t="shared" ca="1" si="309"/>
        <v>0</v>
      </c>
      <c r="CC420" s="536">
        <f t="shared" ca="1" si="310"/>
        <v>2061</v>
      </c>
      <c r="CF420" s="530">
        <v>419</v>
      </c>
      <c r="CG420" s="531">
        <f t="shared" ca="1" si="321"/>
        <v>58919</v>
      </c>
      <c r="CH420" s="532">
        <f ca="1">IF(CH419=0,SUMIFS('Key Life Events'!$L$3:$L$28,'Key Life Events'!$H$3:$H$28,'Loan Amortization'!$CL$3,'Key Life Events'!$N$3:$N$28,'Loan Amortization'!CG420),CH419-CK419)</f>
        <v>0</v>
      </c>
      <c r="CI420" s="532">
        <f t="shared" ca="1" si="322"/>
        <v>0</v>
      </c>
      <c r="CJ420" s="532">
        <f t="shared" ca="1" si="323"/>
        <v>0</v>
      </c>
      <c r="CK420" s="532">
        <f t="shared" ca="1" si="311"/>
        <v>0</v>
      </c>
      <c r="CP420" s="536">
        <f t="shared" ca="1" si="312"/>
        <v>2061</v>
      </c>
      <c r="CS420" s="100">
        <f t="shared" si="301"/>
        <v>419</v>
      </c>
      <c r="CT420" s="102">
        <f t="shared" ca="1" si="302"/>
        <v>0</v>
      </c>
      <c r="CU420" s="102">
        <f t="shared" ca="1" si="303"/>
        <v>0</v>
      </c>
      <c r="CV420" s="511">
        <f t="shared" ca="1" si="313"/>
        <v>2061</v>
      </c>
    </row>
    <row r="421" spans="1:100" x14ac:dyDescent="0.3">
      <c r="A421" s="100">
        <v>420</v>
      </c>
      <c r="B421" s="131">
        <f t="shared" si="325"/>
        <v>11929</v>
      </c>
      <c r="C421" s="102">
        <f t="shared" si="326"/>
        <v>0</v>
      </c>
      <c r="D421" s="102">
        <f t="shared" si="327"/>
        <v>0</v>
      </c>
      <c r="E421" s="102">
        <f t="shared" si="328"/>
        <v>0</v>
      </c>
      <c r="F421" s="102">
        <f t="shared" si="329"/>
        <v>0</v>
      </c>
      <c r="L421" s="100">
        <v>420</v>
      </c>
      <c r="M421" s="131">
        <f t="shared" ca="1" si="330"/>
        <v>58949</v>
      </c>
      <c r="N421" s="102">
        <f t="shared" si="331"/>
        <v>0</v>
      </c>
      <c r="O421" s="102">
        <f t="shared" si="332"/>
        <v>0</v>
      </c>
      <c r="P421" s="102">
        <f t="shared" si="333"/>
        <v>0</v>
      </c>
      <c r="Q421" s="102">
        <f t="shared" si="334"/>
        <v>0</v>
      </c>
      <c r="W421" s="100">
        <v>420</v>
      </c>
      <c r="X421" s="131">
        <f t="shared" ca="1" si="335"/>
        <v>58949</v>
      </c>
      <c r="Y421" s="102">
        <f t="shared" si="336"/>
        <v>0</v>
      </c>
      <c r="Z421" s="102">
        <f t="shared" si="337"/>
        <v>0</v>
      </c>
      <c r="AA421" s="102">
        <f t="shared" si="338"/>
        <v>0</v>
      </c>
      <c r="AB421" s="102">
        <f t="shared" si="339"/>
        <v>0</v>
      </c>
      <c r="AH421" s="100">
        <v>420</v>
      </c>
      <c r="AI421" s="131">
        <f t="shared" ca="1" si="340"/>
        <v>58949</v>
      </c>
      <c r="AJ421" s="102">
        <f t="shared" si="341"/>
        <v>0</v>
      </c>
      <c r="AK421" s="102">
        <f t="shared" si="342"/>
        <v>0</v>
      </c>
      <c r="AL421" s="102">
        <f t="shared" si="343"/>
        <v>0</v>
      </c>
      <c r="AM421" s="102">
        <f t="shared" si="344"/>
        <v>0</v>
      </c>
      <c r="AS421" s="530">
        <v>420</v>
      </c>
      <c r="AT421" s="531">
        <f t="shared" ca="1" si="314"/>
        <v>58949</v>
      </c>
      <c r="AU421" s="532">
        <f ca="1">IF(AU420=0,SUMIFS('Key Life Events'!$L$3:$L$28,'Key Life Events'!$H$3:$H$28,'Loan Amortization'!$AY$3,'Key Life Events'!$N$3:$N$28,'Loan Amortization'!AT421),AU420-AX420)</f>
        <v>0</v>
      </c>
      <c r="AV421" s="532">
        <f t="shared" ca="1" si="315"/>
        <v>0</v>
      </c>
      <c r="AW421" s="532">
        <f t="shared" ca="1" si="304"/>
        <v>0</v>
      </c>
      <c r="AX421" s="532">
        <f t="shared" ca="1" si="305"/>
        <v>0</v>
      </c>
      <c r="BC421" s="536">
        <f t="shared" ca="1" si="306"/>
        <v>2061</v>
      </c>
      <c r="BF421" s="530">
        <v>420</v>
      </c>
      <c r="BG421" s="531">
        <f t="shared" ca="1" si="316"/>
        <v>58949</v>
      </c>
      <c r="BH421" s="532">
        <f ca="1">IF(BH420=0,SUMIFS('Key Life Events'!$L$3:$L$28,'Key Life Events'!$H$3:$H$28,'Loan Amortization'!$BL$3,'Key Life Events'!$N$3:$N$28,'Loan Amortization'!BG421),BH420-BK420)</f>
        <v>0</v>
      </c>
      <c r="BI421" s="532">
        <f t="shared" ca="1" si="317"/>
        <v>0</v>
      </c>
      <c r="BJ421" s="532">
        <f t="shared" ca="1" si="318"/>
        <v>0</v>
      </c>
      <c r="BK421" s="532">
        <f t="shared" ca="1" si="307"/>
        <v>0</v>
      </c>
      <c r="BP421" s="536">
        <f t="shared" ca="1" si="308"/>
        <v>2061</v>
      </c>
      <c r="BS421" s="530">
        <v>420</v>
      </c>
      <c r="BT421" s="531">
        <f t="shared" ca="1" si="319"/>
        <v>58949</v>
      </c>
      <c r="BU421" s="532">
        <f ca="1">IF(BU420=0,SUMIFS('Key Life Events'!$L$3:$L$28,'Key Life Events'!$H$3:$H$28,'Loan Amortization'!$BY$3,'Key Life Events'!$N$3:$N$28,'Loan Amortization'!BT421),BU420-BX420)</f>
        <v>0</v>
      </c>
      <c r="BV421" s="532">
        <f t="shared" ca="1" si="324"/>
        <v>0</v>
      </c>
      <c r="BW421" s="532">
        <f t="shared" ca="1" si="320"/>
        <v>0</v>
      </c>
      <c r="BX421" s="532">
        <f t="shared" ca="1" si="309"/>
        <v>0</v>
      </c>
      <c r="CC421" s="536">
        <f t="shared" ca="1" si="310"/>
        <v>2061</v>
      </c>
      <c r="CF421" s="530">
        <v>420</v>
      </c>
      <c r="CG421" s="531">
        <f t="shared" ca="1" si="321"/>
        <v>58949</v>
      </c>
      <c r="CH421" s="532">
        <f ca="1">IF(CH420=0,SUMIFS('Key Life Events'!$L$3:$L$28,'Key Life Events'!$H$3:$H$28,'Loan Amortization'!$CL$3,'Key Life Events'!$N$3:$N$28,'Loan Amortization'!CG421),CH420-CK420)</f>
        <v>0</v>
      </c>
      <c r="CI421" s="532">
        <f t="shared" ca="1" si="322"/>
        <v>0</v>
      </c>
      <c r="CJ421" s="532">
        <f t="shared" ca="1" si="323"/>
        <v>0</v>
      </c>
      <c r="CK421" s="532">
        <f t="shared" ca="1" si="311"/>
        <v>0</v>
      </c>
      <c r="CP421" s="536">
        <f t="shared" ca="1" si="312"/>
        <v>2061</v>
      </c>
      <c r="CS421" s="100">
        <f t="shared" si="301"/>
        <v>420</v>
      </c>
      <c r="CT421" s="102">
        <f t="shared" ca="1" si="302"/>
        <v>0</v>
      </c>
      <c r="CU421" s="102">
        <f t="shared" ca="1" si="303"/>
        <v>0</v>
      </c>
      <c r="CV421" s="511">
        <f t="shared" ca="1" si="313"/>
        <v>2061</v>
      </c>
    </row>
    <row r="422" spans="1:100" x14ac:dyDescent="0.3">
      <c r="A422" s="100">
        <v>421</v>
      </c>
      <c r="B422" s="131">
        <f t="shared" si="325"/>
        <v>11960</v>
      </c>
      <c r="C422" s="102">
        <f t="shared" si="326"/>
        <v>0</v>
      </c>
      <c r="D422" s="102">
        <f t="shared" si="327"/>
        <v>0</v>
      </c>
      <c r="E422" s="102">
        <f t="shared" si="328"/>
        <v>0</v>
      </c>
      <c r="F422" s="102">
        <f t="shared" si="329"/>
        <v>0</v>
      </c>
      <c r="L422" s="100">
        <v>421</v>
      </c>
      <c r="M422" s="131">
        <f t="shared" ca="1" si="330"/>
        <v>58980</v>
      </c>
      <c r="N422" s="102">
        <f t="shared" si="331"/>
        <v>0</v>
      </c>
      <c r="O422" s="102">
        <f t="shared" si="332"/>
        <v>0</v>
      </c>
      <c r="P422" s="102">
        <f t="shared" si="333"/>
        <v>0</v>
      </c>
      <c r="Q422" s="102">
        <f t="shared" si="334"/>
        <v>0</v>
      </c>
      <c r="W422" s="100">
        <v>421</v>
      </c>
      <c r="X422" s="131">
        <f t="shared" ca="1" si="335"/>
        <v>58980</v>
      </c>
      <c r="Y422" s="102">
        <f t="shared" si="336"/>
        <v>0</v>
      </c>
      <c r="Z422" s="102">
        <f t="shared" si="337"/>
        <v>0</v>
      </c>
      <c r="AA422" s="102">
        <f t="shared" si="338"/>
        <v>0</v>
      </c>
      <c r="AB422" s="102">
        <f t="shared" si="339"/>
        <v>0</v>
      </c>
      <c r="AH422" s="100">
        <v>421</v>
      </c>
      <c r="AI422" s="131">
        <f t="shared" ca="1" si="340"/>
        <v>58980</v>
      </c>
      <c r="AJ422" s="102">
        <f t="shared" si="341"/>
        <v>0</v>
      </c>
      <c r="AK422" s="102">
        <f t="shared" si="342"/>
        <v>0</v>
      </c>
      <c r="AL422" s="102">
        <f t="shared" si="343"/>
        <v>0</v>
      </c>
      <c r="AM422" s="102">
        <f t="shared" si="344"/>
        <v>0</v>
      </c>
      <c r="AS422" s="530">
        <v>421</v>
      </c>
      <c r="AT422" s="531">
        <f t="shared" ca="1" si="314"/>
        <v>58980</v>
      </c>
      <c r="AU422" s="532">
        <f ca="1">IF(AU421=0,SUMIFS('Key Life Events'!$L$3:$L$28,'Key Life Events'!$H$3:$H$28,'Loan Amortization'!$AY$3,'Key Life Events'!$N$3:$N$28,'Loan Amortization'!AT422),AU421-AX421)</f>
        <v>0</v>
      </c>
      <c r="AV422" s="532">
        <f t="shared" ca="1" si="315"/>
        <v>0</v>
      </c>
      <c r="AW422" s="532">
        <f t="shared" ca="1" si="304"/>
        <v>0</v>
      </c>
      <c r="AX422" s="532">
        <f t="shared" ca="1" si="305"/>
        <v>0</v>
      </c>
      <c r="BC422" s="536">
        <f t="shared" ca="1" si="306"/>
        <v>2061</v>
      </c>
      <c r="BF422" s="530">
        <v>421</v>
      </c>
      <c r="BG422" s="531">
        <f t="shared" ca="1" si="316"/>
        <v>58980</v>
      </c>
      <c r="BH422" s="532">
        <f ca="1">IF(BH421=0,SUMIFS('Key Life Events'!$L$3:$L$28,'Key Life Events'!$H$3:$H$28,'Loan Amortization'!$BL$3,'Key Life Events'!$N$3:$N$28,'Loan Amortization'!BG422),BH421-BK421)</f>
        <v>0</v>
      </c>
      <c r="BI422" s="532">
        <f t="shared" ca="1" si="317"/>
        <v>0</v>
      </c>
      <c r="BJ422" s="532">
        <f t="shared" ca="1" si="318"/>
        <v>0</v>
      </c>
      <c r="BK422" s="532">
        <f t="shared" ca="1" si="307"/>
        <v>0</v>
      </c>
      <c r="BP422" s="536">
        <f t="shared" ca="1" si="308"/>
        <v>2061</v>
      </c>
      <c r="BS422" s="530">
        <v>421</v>
      </c>
      <c r="BT422" s="531">
        <f t="shared" ca="1" si="319"/>
        <v>58980</v>
      </c>
      <c r="BU422" s="532">
        <f ca="1">IF(BU421=0,SUMIFS('Key Life Events'!$L$3:$L$28,'Key Life Events'!$H$3:$H$28,'Loan Amortization'!$BY$3,'Key Life Events'!$N$3:$N$28,'Loan Amortization'!BT422),BU421-BX421)</f>
        <v>0</v>
      </c>
      <c r="BV422" s="532">
        <f t="shared" ca="1" si="324"/>
        <v>0</v>
      </c>
      <c r="BW422" s="532">
        <f t="shared" ca="1" si="320"/>
        <v>0</v>
      </c>
      <c r="BX422" s="532">
        <f t="shared" ca="1" si="309"/>
        <v>0</v>
      </c>
      <c r="CC422" s="536">
        <f t="shared" ca="1" si="310"/>
        <v>2061</v>
      </c>
      <c r="CF422" s="530">
        <v>421</v>
      </c>
      <c r="CG422" s="531">
        <f t="shared" ca="1" si="321"/>
        <v>58980</v>
      </c>
      <c r="CH422" s="532">
        <f ca="1">IF(CH421=0,SUMIFS('Key Life Events'!$L$3:$L$28,'Key Life Events'!$H$3:$H$28,'Loan Amortization'!$CL$3,'Key Life Events'!$N$3:$N$28,'Loan Amortization'!CG422),CH421-CK421)</f>
        <v>0</v>
      </c>
      <c r="CI422" s="532">
        <f t="shared" ca="1" si="322"/>
        <v>0</v>
      </c>
      <c r="CJ422" s="532">
        <f t="shared" ca="1" si="323"/>
        <v>0</v>
      </c>
      <c r="CK422" s="532">
        <f t="shared" ca="1" si="311"/>
        <v>0</v>
      </c>
      <c r="CP422" s="536">
        <f t="shared" ca="1" si="312"/>
        <v>2061</v>
      </c>
      <c r="CS422" s="100">
        <f t="shared" si="301"/>
        <v>421</v>
      </c>
      <c r="CT422" s="102">
        <f t="shared" ca="1" si="302"/>
        <v>0</v>
      </c>
      <c r="CU422" s="102">
        <f t="shared" ca="1" si="303"/>
        <v>0</v>
      </c>
      <c r="CV422" s="511">
        <f t="shared" ca="1" si="313"/>
        <v>2061</v>
      </c>
    </row>
    <row r="423" spans="1:100" x14ac:dyDescent="0.3">
      <c r="A423" s="100">
        <v>422</v>
      </c>
      <c r="B423" s="131">
        <f t="shared" si="325"/>
        <v>11990</v>
      </c>
      <c r="C423" s="102">
        <f t="shared" si="326"/>
        <v>0</v>
      </c>
      <c r="D423" s="102">
        <f t="shared" si="327"/>
        <v>0</v>
      </c>
      <c r="E423" s="102">
        <f t="shared" si="328"/>
        <v>0</v>
      </c>
      <c r="F423" s="102">
        <f t="shared" si="329"/>
        <v>0</v>
      </c>
      <c r="L423" s="100">
        <v>422</v>
      </c>
      <c r="M423" s="131">
        <f t="shared" ca="1" si="330"/>
        <v>59010</v>
      </c>
      <c r="N423" s="102">
        <f t="shared" si="331"/>
        <v>0</v>
      </c>
      <c r="O423" s="102">
        <f t="shared" si="332"/>
        <v>0</v>
      </c>
      <c r="P423" s="102">
        <f t="shared" si="333"/>
        <v>0</v>
      </c>
      <c r="Q423" s="102">
        <f t="shared" si="334"/>
        <v>0</v>
      </c>
      <c r="W423" s="100">
        <v>422</v>
      </c>
      <c r="X423" s="131">
        <f t="shared" ca="1" si="335"/>
        <v>59010</v>
      </c>
      <c r="Y423" s="102">
        <f t="shared" si="336"/>
        <v>0</v>
      </c>
      <c r="Z423" s="102">
        <f t="shared" si="337"/>
        <v>0</v>
      </c>
      <c r="AA423" s="102">
        <f t="shared" si="338"/>
        <v>0</v>
      </c>
      <c r="AB423" s="102">
        <f t="shared" si="339"/>
        <v>0</v>
      </c>
      <c r="AH423" s="100">
        <v>422</v>
      </c>
      <c r="AI423" s="131">
        <f t="shared" ca="1" si="340"/>
        <v>59010</v>
      </c>
      <c r="AJ423" s="102">
        <f t="shared" si="341"/>
        <v>0</v>
      </c>
      <c r="AK423" s="102">
        <f t="shared" si="342"/>
        <v>0</v>
      </c>
      <c r="AL423" s="102">
        <f t="shared" si="343"/>
        <v>0</v>
      </c>
      <c r="AM423" s="102">
        <f t="shared" si="344"/>
        <v>0</v>
      </c>
      <c r="AS423" s="530">
        <v>422</v>
      </c>
      <c r="AT423" s="531">
        <f t="shared" ca="1" si="314"/>
        <v>59010</v>
      </c>
      <c r="AU423" s="532">
        <f ca="1">IF(AU422=0,SUMIFS('Key Life Events'!$L$3:$L$28,'Key Life Events'!$H$3:$H$28,'Loan Amortization'!$AY$3,'Key Life Events'!$N$3:$N$28,'Loan Amortization'!AT423),AU422-AX422)</f>
        <v>0</v>
      </c>
      <c r="AV423" s="532">
        <f t="shared" ca="1" si="315"/>
        <v>0</v>
      </c>
      <c r="AW423" s="532">
        <f t="shared" ca="1" si="304"/>
        <v>0</v>
      </c>
      <c r="AX423" s="532">
        <f t="shared" ca="1" si="305"/>
        <v>0</v>
      </c>
      <c r="BC423" s="536">
        <f t="shared" ca="1" si="306"/>
        <v>2061</v>
      </c>
      <c r="BF423" s="530">
        <v>422</v>
      </c>
      <c r="BG423" s="531">
        <f t="shared" ca="1" si="316"/>
        <v>59010</v>
      </c>
      <c r="BH423" s="532">
        <f ca="1">IF(BH422=0,SUMIFS('Key Life Events'!$L$3:$L$28,'Key Life Events'!$H$3:$H$28,'Loan Amortization'!$BL$3,'Key Life Events'!$N$3:$N$28,'Loan Amortization'!BG423),BH422-BK422)</f>
        <v>0</v>
      </c>
      <c r="BI423" s="532">
        <f t="shared" ca="1" si="317"/>
        <v>0</v>
      </c>
      <c r="BJ423" s="532">
        <f t="shared" ca="1" si="318"/>
        <v>0</v>
      </c>
      <c r="BK423" s="532">
        <f t="shared" ca="1" si="307"/>
        <v>0</v>
      </c>
      <c r="BP423" s="536">
        <f t="shared" ca="1" si="308"/>
        <v>2061</v>
      </c>
      <c r="BS423" s="530">
        <v>422</v>
      </c>
      <c r="BT423" s="531">
        <f t="shared" ca="1" si="319"/>
        <v>59010</v>
      </c>
      <c r="BU423" s="532">
        <f ca="1">IF(BU422=0,SUMIFS('Key Life Events'!$L$3:$L$28,'Key Life Events'!$H$3:$H$28,'Loan Amortization'!$BY$3,'Key Life Events'!$N$3:$N$28,'Loan Amortization'!BT423),BU422-BX422)</f>
        <v>0</v>
      </c>
      <c r="BV423" s="532">
        <f t="shared" ca="1" si="324"/>
        <v>0</v>
      </c>
      <c r="BW423" s="532">
        <f t="shared" ca="1" si="320"/>
        <v>0</v>
      </c>
      <c r="BX423" s="532">
        <f t="shared" ca="1" si="309"/>
        <v>0</v>
      </c>
      <c r="CC423" s="536">
        <f t="shared" ca="1" si="310"/>
        <v>2061</v>
      </c>
      <c r="CF423" s="530">
        <v>422</v>
      </c>
      <c r="CG423" s="531">
        <f t="shared" ca="1" si="321"/>
        <v>59010</v>
      </c>
      <c r="CH423" s="532">
        <f ca="1">IF(CH422=0,SUMIFS('Key Life Events'!$L$3:$L$28,'Key Life Events'!$H$3:$H$28,'Loan Amortization'!$CL$3,'Key Life Events'!$N$3:$N$28,'Loan Amortization'!CG423),CH422-CK422)</f>
        <v>0</v>
      </c>
      <c r="CI423" s="532">
        <f t="shared" ca="1" si="322"/>
        <v>0</v>
      </c>
      <c r="CJ423" s="532">
        <f t="shared" ca="1" si="323"/>
        <v>0</v>
      </c>
      <c r="CK423" s="532">
        <f t="shared" ca="1" si="311"/>
        <v>0</v>
      </c>
      <c r="CP423" s="536">
        <f t="shared" ca="1" si="312"/>
        <v>2061</v>
      </c>
      <c r="CS423" s="100">
        <f t="shared" si="301"/>
        <v>422</v>
      </c>
      <c r="CT423" s="102">
        <f t="shared" ca="1" si="302"/>
        <v>0</v>
      </c>
      <c r="CU423" s="102">
        <f t="shared" ca="1" si="303"/>
        <v>0</v>
      </c>
      <c r="CV423" s="511">
        <f t="shared" ca="1" si="313"/>
        <v>2061</v>
      </c>
    </row>
    <row r="424" spans="1:100" x14ac:dyDescent="0.3">
      <c r="A424" s="100">
        <v>423</v>
      </c>
      <c r="B424" s="131">
        <f t="shared" si="325"/>
        <v>12021</v>
      </c>
      <c r="C424" s="102">
        <f t="shared" si="326"/>
        <v>0</v>
      </c>
      <c r="D424" s="102">
        <f t="shared" si="327"/>
        <v>0</v>
      </c>
      <c r="E424" s="102">
        <f t="shared" si="328"/>
        <v>0</v>
      </c>
      <c r="F424" s="102">
        <f t="shared" si="329"/>
        <v>0</v>
      </c>
      <c r="L424" s="100">
        <v>423</v>
      </c>
      <c r="M424" s="131">
        <f t="shared" ca="1" si="330"/>
        <v>59041</v>
      </c>
      <c r="N424" s="102">
        <f t="shared" si="331"/>
        <v>0</v>
      </c>
      <c r="O424" s="102">
        <f t="shared" si="332"/>
        <v>0</v>
      </c>
      <c r="P424" s="102">
        <f t="shared" si="333"/>
        <v>0</v>
      </c>
      <c r="Q424" s="102">
        <f t="shared" si="334"/>
        <v>0</v>
      </c>
      <c r="W424" s="100">
        <v>423</v>
      </c>
      <c r="X424" s="131">
        <f t="shared" ca="1" si="335"/>
        <v>59041</v>
      </c>
      <c r="Y424" s="102">
        <f t="shared" si="336"/>
        <v>0</v>
      </c>
      <c r="Z424" s="102">
        <f t="shared" si="337"/>
        <v>0</v>
      </c>
      <c r="AA424" s="102">
        <f t="shared" si="338"/>
        <v>0</v>
      </c>
      <c r="AB424" s="102">
        <f t="shared" si="339"/>
        <v>0</v>
      </c>
      <c r="AH424" s="100">
        <v>423</v>
      </c>
      <c r="AI424" s="131">
        <f t="shared" ca="1" si="340"/>
        <v>59041</v>
      </c>
      <c r="AJ424" s="102">
        <f t="shared" si="341"/>
        <v>0</v>
      </c>
      <c r="AK424" s="102">
        <f t="shared" si="342"/>
        <v>0</v>
      </c>
      <c r="AL424" s="102">
        <f t="shared" si="343"/>
        <v>0</v>
      </c>
      <c r="AM424" s="102">
        <f t="shared" si="344"/>
        <v>0</v>
      </c>
      <c r="AS424" s="530">
        <v>423</v>
      </c>
      <c r="AT424" s="531">
        <f t="shared" ca="1" si="314"/>
        <v>59041</v>
      </c>
      <c r="AU424" s="532">
        <f ca="1">IF(AU423=0,SUMIFS('Key Life Events'!$L$3:$L$28,'Key Life Events'!$H$3:$H$28,'Loan Amortization'!$AY$3,'Key Life Events'!$N$3:$N$28,'Loan Amortization'!AT424),AU423-AX423)</f>
        <v>0</v>
      </c>
      <c r="AV424" s="532">
        <f t="shared" ca="1" si="315"/>
        <v>0</v>
      </c>
      <c r="AW424" s="532">
        <f t="shared" ca="1" si="304"/>
        <v>0</v>
      </c>
      <c r="AX424" s="532">
        <f t="shared" ca="1" si="305"/>
        <v>0</v>
      </c>
      <c r="BC424" s="536">
        <f t="shared" ca="1" si="306"/>
        <v>2061</v>
      </c>
      <c r="BF424" s="530">
        <v>423</v>
      </c>
      <c r="BG424" s="531">
        <f t="shared" ca="1" si="316"/>
        <v>59041</v>
      </c>
      <c r="BH424" s="532">
        <f ca="1">IF(BH423=0,SUMIFS('Key Life Events'!$L$3:$L$28,'Key Life Events'!$H$3:$H$28,'Loan Amortization'!$BL$3,'Key Life Events'!$N$3:$N$28,'Loan Amortization'!BG424),BH423-BK423)</f>
        <v>0</v>
      </c>
      <c r="BI424" s="532">
        <f t="shared" ca="1" si="317"/>
        <v>0</v>
      </c>
      <c r="BJ424" s="532">
        <f t="shared" ca="1" si="318"/>
        <v>0</v>
      </c>
      <c r="BK424" s="532">
        <f t="shared" ca="1" si="307"/>
        <v>0</v>
      </c>
      <c r="BP424" s="536">
        <f t="shared" ca="1" si="308"/>
        <v>2061</v>
      </c>
      <c r="BS424" s="530">
        <v>423</v>
      </c>
      <c r="BT424" s="531">
        <f t="shared" ca="1" si="319"/>
        <v>59041</v>
      </c>
      <c r="BU424" s="532">
        <f ca="1">IF(BU423=0,SUMIFS('Key Life Events'!$L$3:$L$28,'Key Life Events'!$H$3:$H$28,'Loan Amortization'!$BY$3,'Key Life Events'!$N$3:$N$28,'Loan Amortization'!BT424),BU423-BX423)</f>
        <v>0</v>
      </c>
      <c r="BV424" s="532">
        <f t="shared" ca="1" si="324"/>
        <v>0</v>
      </c>
      <c r="BW424" s="532">
        <f t="shared" ca="1" si="320"/>
        <v>0</v>
      </c>
      <c r="BX424" s="532">
        <f t="shared" ca="1" si="309"/>
        <v>0</v>
      </c>
      <c r="CC424" s="536">
        <f t="shared" ca="1" si="310"/>
        <v>2061</v>
      </c>
      <c r="CF424" s="530">
        <v>423</v>
      </c>
      <c r="CG424" s="531">
        <f t="shared" ca="1" si="321"/>
        <v>59041</v>
      </c>
      <c r="CH424" s="532">
        <f ca="1">IF(CH423=0,SUMIFS('Key Life Events'!$L$3:$L$28,'Key Life Events'!$H$3:$H$28,'Loan Amortization'!$CL$3,'Key Life Events'!$N$3:$N$28,'Loan Amortization'!CG424),CH423-CK423)</f>
        <v>0</v>
      </c>
      <c r="CI424" s="532">
        <f t="shared" ca="1" si="322"/>
        <v>0</v>
      </c>
      <c r="CJ424" s="532">
        <f t="shared" ca="1" si="323"/>
        <v>0</v>
      </c>
      <c r="CK424" s="532">
        <f t="shared" ca="1" si="311"/>
        <v>0</v>
      </c>
      <c r="CP424" s="536">
        <f t="shared" ca="1" si="312"/>
        <v>2061</v>
      </c>
      <c r="CS424" s="100">
        <f t="shared" si="301"/>
        <v>423</v>
      </c>
      <c r="CT424" s="102">
        <f t="shared" ca="1" si="302"/>
        <v>0</v>
      </c>
      <c r="CU424" s="102">
        <f t="shared" ca="1" si="303"/>
        <v>0</v>
      </c>
      <c r="CV424" s="511">
        <f t="shared" ca="1" si="313"/>
        <v>2061</v>
      </c>
    </row>
    <row r="425" spans="1:100" x14ac:dyDescent="0.3">
      <c r="A425" s="100">
        <v>424</v>
      </c>
      <c r="B425" s="131">
        <f t="shared" si="325"/>
        <v>12051</v>
      </c>
      <c r="C425" s="102">
        <f t="shared" si="326"/>
        <v>0</v>
      </c>
      <c r="D425" s="102">
        <f t="shared" si="327"/>
        <v>0</v>
      </c>
      <c r="E425" s="102">
        <f t="shared" si="328"/>
        <v>0</v>
      </c>
      <c r="F425" s="102">
        <f t="shared" si="329"/>
        <v>0</v>
      </c>
      <c r="L425" s="100">
        <v>424</v>
      </c>
      <c r="M425" s="131">
        <f t="shared" ca="1" si="330"/>
        <v>59072</v>
      </c>
      <c r="N425" s="102">
        <f t="shared" si="331"/>
        <v>0</v>
      </c>
      <c r="O425" s="102">
        <f t="shared" si="332"/>
        <v>0</v>
      </c>
      <c r="P425" s="102">
        <f t="shared" si="333"/>
        <v>0</v>
      </c>
      <c r="Q425" s="102">
        <f t="shared" si="334"/>
        <v>0</v>
      </c>
      <c r="W425" s="100">
        <v>424</v>
      </c>
      <c r="X425" s="131">
        <f t="shared" ca="1" si="335"/>
        <v>59072</v>
      </c>
      <c r="Y425" s="102">
        <f t="shared" si="336"/>
        <v>0</v>
      </c>
      <c r="Z425" s="102">
        <f t="shared" si="337"/>
        <v>0</v>
      </c>
      <c r="AA425" s="102">
        <f t="shared" si="338"/>
        <v>0</v>
      </c>
      <c r="AB425" s="102">
        <f t="shared" si="339"/>
        <v>0</v>
      </c>
      <c r="AH425" s="100">
        <v>424</v>
      </c>
      <c r="AI425" s="131">
        <f t="shared" ca="1" si="340"/>
        <v>59072</v>
      </c>
      <c r="AJ425" s="102">
        <f t="shared" si="341"/>
        <v>0</v>
      </c>
      <c r="AK425" s="102">
        <f t="shared" si="342"/>
        <v>0</v>
      </c>
      <c r="AL425" s="102">
        <f t="shared" si="343"/>
        <v>0</v>
      </c>
      <c r="AM425" s="102">
        <f t="shared" si="344"/>
        <v>0</v>
      </c>
      <c r="AS425" s="530">
        <v>424</v>
      </c>
      <c r="AT425" s="531">
        <f t="shared" ca="1" si="314"/>
        <v>59072</v>
      </c>
      <c r="AU425" s="532">
        <f ca="1">IF(AU424=0,SUMIFS('Key Life Events'!$L$3:$L$28,'Key Life Events'!$H$3:$H$28,'Loan Amortization'!$AY$3,'Key Life Events'!$N$3:$N$28,'Loan Amortization'!AT425),AU424-AX424)</f>
        <v>0</v>
      </c>
      <c r="AV425" s="532">
        <f t="shared" ca="1" si="315"/>
        <v>0</v>
      </c>
      <c r="AW425" s="532">
        <f t="shared" ca="1" si="304"/>
        <v>0</v>
      </c>
      <c r="AX425" s="532">
        <f t="shared" ca="1" si="305"/>
        <v>0</v>
      </c>
      <c r="BC425" s="536">
        <f t="shared" ca="1" si="306"/>
        <v>2061</v>
      </c>
      <c r="BF425" s="530">
        <v>424</v>
      </c>
      <c r="BG425" s="531">
        <f t="shared" ca="1" si="316"/>
        <v>59072</v>
      </c>
      <c r="BH425" s="532">
        <f ca="1">IF(BH424=0,SUMIFS('Key Life Events'!$L$3:$L$28,'Key Life Events'!$H$3:$H$28,'Loan Amortization'!$BL$3,'Key Life Events'!$N$3:$N$28,'Loan Amortization'!BG425),BH424-BK424)</f>
        <v>0</v>
      </c>
      <c r="BI425" s="532">
        <f t="shared" ca="1" si="317"/>
        <v>0</v>
      </c>
      <c r="BJ425" s="532">
        <f t="shared" ca="1" si="318"/>
        <v>0</v>
      </c>
      <c r="BK425" s="532">
        <f t="shared" ca="1" si="307"/>
        <v>0</v>
      </c>
      <c r="BP425" s="536">
        <f t="shared" ca="1" si="308"/>
        <v>2061</v>
      </c>
      <c r="BS425" s="530">
        <v>424</v>
      </c>
      <c r="BT425" s="531">
        <f t="shared" ca="1" si="319"/>
        <v>59072</v>
      </c>
      <c r="BU425" s="532">
        <f ca="1">IF(BU424=0,SUMIFS('Key Life Events'!$L$3:$L$28,'Key Life Events'!$H$3:$H$28,'Loan Amortization'!$BY$3,'Key Life Events'!$N$3:$N$28,'Loan Amortization'!BT425),BU424-BX424)</f>
        <v>0</v>
      </c>
      <c r="BV425" s="532">
        <f t="shared" ca="1" si="324"/>
        <v>0</v>
      </c>
      <c r="BW425" s="532">
        <f t="shared" ca="1" si="320"/>
        <v>0</v>
      </c>
      <c r="BX425" s="532">
        <f t="shared" ca="1" si="309"/>
        <v>0</v>
      </c>
      <c r="CC425" s="536">
        <f t="shared" ca="1" si="310"/>
        <v>2061</v>
      </c>
      <c r="CF425" s="530">
        <v>424</v>
      </c>
      <c r="CG425" s="531">
        <f t="shared" ca="1" si="321"/>
        <v>59072</v>
      </c>
      <c r="CH425" s="532">
        <f ca="1">IF(CH424=0,SUMIFS('Key Life Events'!$L$3:$L$28,'Key Life Events'!$H$3:$H$28,'Loan Amortization'!$CL$3,'Key Life Events'!$N$3:$N$28,'Loan Amortization'!CG425),CH424-CK424)</f>
        <v>0</v>
      </c>
      <c r="CI425" s="532">
        <f t="shared" ca="1" si="322"/>
        <v>0</v>
      </c>
      <c r="CJ425" s="532">
        <f t="shared" ca="1" si="323"/>
        <v>0</v>
      </c>
      <c r="CK425" s="532">
        <f t="shared" ca="1" si="311"/>
        <v>0</v>
      </c>
      <c r="CP425" s="536">
        <f t="shared" ca="1" si="312"/>
        <v>2061</v>
      </c>
      <c r="CS425" s="100">
        <f t="shared" si="301"/>
        <v>424</v>
      </c>
      <c r="CT425" s="102">
        <f t="shared" ca="1" si="302"/>
        <v>0</v>
      </c>
      <c r="CU425" s="102">
        <f t="shared" ca="1" si="303"/>
        <v>0</v>
      </c>
      <c r="CV425" s="511">
        <f t="shared" ca="1" si="313"/>
        <v>2061</v>
      </c>
    </row>
    <row r="426" spans="1:100" x14ac:dyDescent="0.3">
      <c r="A426" s="100">
        <v>425</v>
      </c>
      <c r="B426" s="131">
        <f t="shared" si="325"/>
        <v>12082</v>
      </c>
      <c r="C426" s="102">
        <f t="shared" si="326"/>
        <v>0</v>
      </c>
      <c r="D426" s="102">
        <f t="shared" si="327"/>
        <v>0</v>
      </c>
      <c r="E426" s="102">
        <f t="shared" si="328"/>
        <v>0</v>
      </c>
      <c r="F426" s="102">
        <f t="shared" si="329"/>
        <v>0</v>
      </c>
      <c r="L426" s="100">
        <v>425</v>
      </c>
      <c r="M426" s="131">
        <f t="shared" ca="1" si="330"/>
        <v>59102</v>
      </c>
      <c r="N426" s="102">
        <f t="shared" si="331"/>
        <v>0</v>
      </c>
      <c r="O426" s="102">
        <f t="shared" si="332"/>
        <v>0</v>
      </c>
      <c r="P426" s="102">
        <f t="shared" si="333"/>
        <v>0</v>
      </c>
      <c r="Q426" s="102">
        <f t="shared" si="334"/>
        <v>0</v>
      </c>
      <c r="W426" s="100">
        <v>425</v>
      </c>
      <c r="X426" s="131">
        <f t="shared" ca="1" si="335"/>
        <v>59102</v>
      </c>
      <c r="Y426" s="102">
        <f t="shared" si="336"/>
        <v>0</v>
      </c>
      <c r="Z426" s="102">
        <f t="shared" si="337"/>
        <v>0</v>
      </c>
      <c r="AA426" s="102">
        <f t="shared" si="338"/>
        <v>0</v>
      </c>
      <c r="AB426" s="102">
        <f t="shared" si="339"/>
        <v>0</v>
      </c>
      <c r="AH426" s="100">
        <v>425</v>
      </c>
      <c r="AI426" s="131">
        <f t="shared" ca="1" si="340"/>
        <v>59102</v>
      </c>
      <c r="AJ426" s="102">
        <f t="shared" si="341"/>
        <v>0</v>
      </c>
      <c r="AK426" s="102">
        <f t="shared" si="342"/>
        <v>0</v>
      </c>
      <c r="AL426" s="102">
        <f t="shared" si="343"/>
        <v>0</v>
      </c>
      <c r="AM426" s="102">
        <f t="shared" si="344"/>
        <v>0</v>
      </c>
      <c r="AS426" s="530">
        <v>425</v>
      </c>
      <c r="AT426" s="531">
        <f t="shared" ca="1" si="314"/>
        <v>59102</v>
      </c>
      <c r="AU426" s="532">
        <f ca="1">IF(AU425=0,SUMIFS('Key Life Events'!$L$3:$L$28,'Key Life Events'!$H$3:$H$28,'Loan Amortization'!$AY$3,'Key Life Events'!$N$3:$N$28,'Loan Amortization'!AT426),AU425-AX425)</f>
        <v>0</v>
      </c>
      <c r="AV426" s="532">
        <f t="shared" ca="1" si="315"/>
        <v>0</v>
      </c>
      <c r="AW426" s="532">
        <f t="shared" ca="1" si="304"/>
        <v>0</v>
      </c>
      <c r="AX426" s="532">
        <f t="shared" ca="1" si="305"/>
        <v>0</v>
      </c>
      <c r="BC426" s="536">
        <f t="shared" ca="1" si="306"/>
        <v>2061</v>
      </c>
      <c r="BF426" s="530">
        <v>425</v>
      </c>
      <c r="BG426" s="531">
        <f t="shared" ca="1" si="316"/>
        <v>59102</v>
      </c>
      <c r="BH426" s="532">
        <f ca="1">IF(BH425=0,SUMIFS('Key Life Events'!$L$3:$L$28,'Key Life Events'!$H$3:$H$28,'Loan Amortization'!$BL$3,'Key Life Events'!$N$3:$N$28,'Loan Amortization'!BG426),BH425-BK425)</f>
        <v>0</v>
      </c>
      <c r="BI426" s="532">
        <f t="shared" ca="1" si="317"/>
        <v>0</v>
      </c>
      <c r="BJ426" s="532">
        <f t="shared" ca="1" si="318"/>
        <v>0</v>
      </c>
      <c r="BK426" s="532">
        <f t="shared" ca="1" si="307"/>
        <v>0</v>
      </c>
      <c r="BP426" s="536">
        <f t="shared" ca="1" si="308"/>
        <v>2061</v>
      </c>
      <c r="BS426" s="530">
        <v>425</v>
      </c>
      <c r="BT426" s="531">
        <f t="shared" ca="1" si="319"/>
        <v>59102</v>
      </c>
      <c r="BU426" s="532">
        <f ca="1">IF(BU425=0,SUMIFS('Key Life Events'!$L$3:$L$28,'Key Life Events'!$H$3:$H$28,'Loan Amortization'!$BY$3,'Key Life Events'!$N$3:$N$28,'Loan Amortization'!BT426),BU425-BX425)</f>
        <v>0</v>
      </c>
      <c r="BV426" s="532">
        <f t="shared" ca="1" si="324"/>
        <v>0</v>
      </c>
      <c r="BW426" s="532">
        <f t="shared" ca="1" si="320"/>
        <v>0</v>
      </c>
      <c r="BX426" s="532">
        <f t="shared" ca="1" si="309"/>
        <v>0</v>
      </c>
      <c r="CC426" s="536">
        <f t="shared" ca="1" si="310"/>
        <v>2061</v>
      </c>
      <c r="CF426" s="530">
        <v>425</v>
      </c>
      <c r="CG426" s="531">
        <f t="shared" ca="1" si="321"/>
        <v>59102</v>
      </c>
      <c r="CH426" s="532">
        <f ca="1">IF(CH425=0,SUMIFS('Key Life Events'!$L$3:$L$28,'Key Life Events'!$H$3:$H$28,'Loan Amortization'!$CL$3,'Key Life Events'!$N$3:$N$28,'Loan Amortization'!CG426),CH425-CK425)</f>
        <v>0</v>
      </c>
      <c r="CI426" s="532">
        <f t="shared" ca="1" si="322"/>
        <v>0</v>
      </c>
      <c r="CJ426" s="532">
        <f t="shared" ca="1" si="323"/>
        <v>0</v>
      </c>
      <c r="CK426" s="532">
        <f t="shared" ca="1" si="311"/>
        <v>0</v>
      </c>
      <c r="CP426" s="536">
        <f t="shared" ca="1" si="312"/>
        <v>2061</v>
      </c>
      <c r="CS426" s="100">
        <f t="shared" si="301"/>
        <v>425</v>
      </c>
      <c r="CT426" s="102">
        <f t="shared" ca="1" si="302"/>
        <v>0</v>
      </c>
      <c r="CU426" s="102">
        <f t="shared" ca="1" si="303"/>
        <v>0</v>
      </c>
      <c r="CV426" s="511">
        <f t="shared" ca="1" si="313"/>
        <v>2061</v>
      </c>
    </row>
    <row r="427" spans="1:100" x14ac:dyDescent="0.3">
      <c r="A427" s="100">
        <v>426</v>
      </c>
      <c r="B427" s="131">
        <f t="shared" si="325"/>
        <v>12113</v>
      </c>
      <c r="C427" s="102">
        <f t="shared" si="326"/>
        <v>0</v>
      </c>
      <c r="D427" s="102">
        <f t="shared" si="327"/>
        <v>0</v>
      </c>
      <c r="E427" s="102">
        <f t="shared" si="328"/>
        <v>0</v>
      </c>
      <c r="F427" s="102">
        <f t="shared" si="329"/>
        <v>0</v>
      </c>
      <c r="L427" s="100">
        <v>426</v>
      </c>
      <c r="M427" s="131">
        <f t="shared" ca="1" si="330"/>
        <v>59133</v>
      </c>
      <c r="N427" s="102">
        <f t="shared" si="331"/>
        <v>0</v>
      </c>
      <c r="O427" s="102">
        <f t="shared" si="332"/>
        <v>0</v>
      </c>
      <c r="P427" s="102">
        <f t="shared" si="333"/>
        <v>0</v>
      </c>
      <c r="Q427" s="102">
        <f t="shared" si="334"/>
        <v>0</v>
      </c>
      <c r="W427" s="100">
        <v>426</v>
      </c>
      <c r="X427" s="131">
        <f t="shared" ca="1" si="335"/>
        <v>59133</v>
      </c>
      <c r="Y427" s="102">
        <f t="shared" si="336"/>
        <v>0</v>
      </c>
      <c r="Z427" s="102">
        <f t="shared" si="337"/>
        <v>0</v>
      </c>
      <c r="AA427" s="102">
        <f t="shared" si="338"/>
        <v>0</v>
      </c>
      <c r="AB427" s="102">
        <f t="shared" si="339"/>
        <v>0</v>
      </c>
      <c r="AH427" s="100">
        <v>426</v>
      </c>
      <c r="AI427" s="131">
        <f t="shared" ca="1" si="340"/>
        <v>59133</v>
      </c>
      <c r="AJ427" s="102">
        <f t="shared" si="341"/>
        <v>0</v>
      </c>
      <c r="AK427" s="102">
        <f t="shared" si="342"/>
        <v>0</v>
      </c>
      <c r="AL427" s="102">
        <f t="shared" si="343"/>
        <v>0</v>
      </c>
      <c r="AM427" s="102">
        <f t="shared" si="344"/>
        <v>0</v>
      </c>
      <c r="AS427" s="530">
        <v>426</v>
      </c>
      <c r="AT427" s="531">
        <f t="shared" ca="1" si="314"/>
        <v>59133</v>
      </c>
      <c r="AU427" s="532">
        <f ca="1">IF(AU426=0,SUMIFS('Key Life Events'!$L$3:$L$28,'Key Life Events'!$H$3:$H$28,'Loan Amortization'!$AY$3,'Key Life Events'!$N$3:$N$28,'Loan Amortization'!AT427),AU426-AX426)</f>
        <v>0</v>
      </c>
      <c r="AV427" s="532">
        <f t="shared" ca="1" si="315"/>
        <v>0</v>
      </c>
      <c r="AW427" s="532">
        <f t="shared" ca="1" si="304"/>
        <v>0</v>
      </c>
      <c r="AX427" s="532">
        <f t="shared" ca="1" si="305"/>
        <v>0</v>
      </c>
      <c r="BC427" s="536">
        <f t="shared" ca="1" si="306"/>
        <v>2061</v>
      </c>
      <c r="BF427" s="530">
        <v>426</v>
      </c>
      <c r="BG427" s="531">
        <f t="shared" ca="1" si="316"/>
        <v>59133</v>
      </c>
      <c r="BH427" s="532">
        <f ca="1">IF(BH426=0,SUMIFS('Key Life Events'!$L$3:$L$28,'Key Life Events'!$H$3:$H$28,'Loan Amortization'!$BL$3,'Key Life Events'!$N$3:$N$28,'Loan Amortization'!BG427),BH426-BK426)</f>
        <v>0</v>
      </c>
      <c r="BI427" s="532">
        <f t="shared" ca="1" si="317"/>
        <v>0</v>
      </c>
      <c r="BJ427" s="532">
        <f t="shared" ca="1" si="318"/>
        <v>0</v>
      </c>
      <c r="BK427" s="532">
        <f t="shared" ca="1" si="307"/>
        <v>0</v>
      </c>
      <c r="BP427" s="536">
        <f t="shared" ca="1" si="308"/>
        <v>2061</v>
      </c>
      <c r="BS427" s="530">
        <v>426</v>
      </c>
      <c r="BT427" s="531">
        <f t="shared" ca="1" si="319"/>
        <v>59133</v>
      </c>
      <c r="BU427" s="532">
        <f ca="1">IF(BU426=0,SUMIFS('Key Life Events'!$L$3:$L$28,'Key Life Events'!$H$3:$H$28,'Loan Amortization'!$BY$3,'Key Life Events'!$N$3:$N$28,'Loan Amortization'!BT427),BU426-BX426)</f>
        <v>0</v>
      </c>
      <c r="BV427" s="532">
        <f t="shared" ca="1" si="324"/>
        <v>0</v>
      </c>
      <c r="BW427" s="532">
        <f t="shared" ca="1" si="320"/>
        <v>0</v>
      </c>
      <c r="BX427" s="532">
        <f t="shared" ca="1" si="309"/>
        <v>0</v>
      </c>
      <c r="CC427" s="536">
        <f t="shared" ca="1" si="310"/>
        <v>2061</v>
      </c>
      <c r="CF427" s="530">
        <v>426</v>
      </c>
      <c r="CG427" s="531">
        <f t="shared" ca="1" si="321"/>
        <v>59133</v>
      </c>
      <c r="CH427" s="532">
        <f ca="1">IF(CH426=0,SUMIFS('Key Life Events'!$L$3:$L$28,'Key Life Events'!$H$3:$H$28,'Loan Amortization'!$CL$3,'Key Life Events'!$N$3:$N$28,'Loan Amortization'!CG427),CH426-CK426)</f>
        <v>0</v>
      </c>
      <c r="CI427" s="532">
        <f t="shared" ca="1" si="322"/>
        <v>0</v>
      </c>
      <c r="CJ427" s="532">
        <f t="shared" ca="1" si="323"/>
        <v>0</v>
      </c>
      <c r="CK427" s="532">
        <f t="shared" ca="1" si="311"/>
        <v>0</v>
      </c>
      <c r="CP427" s="536">
        <f t="shared" ca="1" si="312"/>
        <v>2061</v>
      </c>
      <c r="CS427" s="100">
        <f t="shared" si="301"/>
        <v>426</v>
      </c>
      <c r="CT427" s="102">
        <f t="shared" ca="1" si="302"/>
        <v>0</v>
      </c>
      <c r="CU427" s="102">
        <f t="shared" ca="1" si="303"/>
        <v>0</v>
      </c>
      <c r="CV427" s="511">
        <f t="shared" ca="1" si="313"/>
        <v>2061</v>
      </c>
    </row>
    <row r="428" spans="1:100" x14ac:dyDescent="0.3">
      <c r="A428" s="100">
        <v>427</v>
      </c>
      <c r="B428" s="131">
        <f t="shared" si="325"/>
        <v>12141</v>
      </c>
      <c r="C428" s="102">
        <f t="shared" si="326"/>
        <v>0</v>
      </c>
      <c r="D428" s="102">
        <f t="shared" si="327"/>
        <v>0</v>
      </c>
      <c r="E428" s="102">
        <f t="shared" si="328"/>
        <v>0</v>
      </c>
      <c r="F428" s="102">
        <f t="shared" si="329"/>
        <v>0</v>
      </c>
      <c r="L428" s="100">
        <v>427</v>
      </c>
      <c r="M428" s="131">
        <f t="shared" ca="1" si="330"/>
        <v>59163</v>
      </c>
      <c r="N428" s="102">
        <f t="shared" si="331"/>
        <v>0</v>
      </c>
      <c r="O428" s="102">
        <f t="shared" si="332"/>
        <v>0</v>
      </c>
      <c r="P428" s="102">
        <f t="shared" si="333"/>
        <v>0</v>
      </c>
      <c r="Q428" s="102">
        <f t="shared" si="334"/>
        <v>0</v>
      </c>
      <c r="W428" s="100">
        <v>427</v>
      </c>
      <c r="X428" s="131">
        <f t="shared" ca="1" si="335"/>
        <v>59163</v>
      </c>
      <c r="Y428" s="102">
        <f t="shared" si="336"/>
        <v>0</v>
      </c>
      <c r="Z428" s="102">
        <f t="shared" si="337"/>
        <v>0</v>
      </c>
      <c r="AA428" s="102">
        <f t="shared" si="338"/>
        <v>0</v>
      </c>
      <c r="AB428" s="102">
        <f t="shared" si="339"/>
        <v>0</v>
      </c>
      <c r="AH428" s="100">
        <v>427</v>
      </c>
      <c r="AI428" s="131">
        <f t="shared" ca="1" si="340"/>
        <v>59163</v>
      </c>
      <c r="AJ428" s="102">
        <f t="shared" si="341"/>
        <v>0</v>
      </c>
      <c r="AK428" s="102">
        <f t="shared" si="342"/>
        <v>0</v>
      </c>
      <c r="AL428" s="102">
        <f t="shared" si="343"/>
        <v>0</v>
      </c>
      <c r="AM428" s="102">
        <f t="shared" si="344"/>
        <v>0</v>
      </c>
      <c r="AS428" s="530">
        <v>427</v>
      </c>
      <c r="AT428" s="531">
        <f t="shared" ca="1" si="314"/>
        <v>59163</v>
      </c>
      <c r="AU428" s="532">
        <f ca="1">IF(AU427=0,SUMIFS('Key Life Events'!$L$3:$L$28,'Key Life Events'!$H$3:$H$28,'Loan Amortization'!$AY$3,'Key Life Events'!$N$3:$N$28,'Loan Amortization'!AT428),AU427-AX427)</f>
        <v>0</v>
      </c>
      <c r="AV428" s="532">
        <f t="shared" ca="1" si="315"/>
        <v>0</v>
      </c>
      <c r="AW428" s="532">
        <f t="shared" ca="1" si="304"/>
        <v>0</v>
      </c>
      <c r="AX428" s="532">
        <f t="shared" ca="1" si="305"/>
        <v>0</v>
      </c>
      <c r="BC428" s="536">
        <f t="shared" ca="1" si="306"/>
        <v>2061</v>
      </c>
      <c r="BF428" s="530">
        <v>427</v>
      </c>
      <c r="BG428" s="531">
        <f t="shared" ca="1" si="316"/>
        <v>59163</v>
      </c>
      <c r="BH428" s="532">
        <f ca="1">IF(BH427=0,SUMIFS('Key Life Events'!$L$3:$L$28,'Key Life Events'!$H$3:$H$28,'Loan Amortization'!$BL$3,'Key Life Events'!$N$3:$N$28,'Loan Amortization'!BG428),BH427-BK427)</f>
        <v>0</v>
      </c>
      <c r="BI428" s="532">
        <f t="shared" ca="1" si="317"/>
        <v>0</v>
      </c>
      <c r="BJ428" s="532">
        <f t="shared" ca="1" si="318"/>
        <v>0</v>
      </c>
      <c r="BK428" s="532">
        <f t="shared" ca="1" si="307"/>
        <v>0</v>
      </c>
      <c r="BP428" s="536">
        <f t="shared" ca="1" si="308"/>
        <v>2061</v>
      </c>
      <c r="BS428" s="530">
        <v>427</v>
      </c>
      <c r="BT428" s="531">
        <f t="shared" ca="1" si="319"/>
        <v>59163</v>
      </c>
      <c r="BU428" s="532">
        <f ca="1">IF(BU427=0,SUMIFS('Key Life Events'!$L$3:$L$28,'Key Life Events'!$H$3:$H$28,'Loan Amortization'!$BY$3,'Key Life Events'!$N$3:$N$28,'Loan Amortization'!BT428),BU427-BX427)</f>
        <v>0</v>
      </c>
      <c r="BV428" s="532">
        <f t="shared" ca="1" si="324"/>
        <v>0</v>
      </c>
      <c r="BW428" s="532">
        <f t="shared" ca="1" si="320"/>
        <v>0</v>
      </c>
      <c r="BX428" s="532">
        <f t="shared" ca="1" si="309"/>
        <v>0</v>
      </c>
      <c r="CC428" s="536">
        <f t="shared" ca="1" si="310"/>
        <v>2061</v>
      </c>
      <c r="CF428" s="530">
        <v>427</v>
      </c>
      <c r="CG428" s="531">
        <f t="shared" ca="1" si="321"/>
        <v>59163</v>
      </c>
      <c r="CH428" s="532">
        <f ca="1">IF(CH427=0,SUMIFS('Key Life Events'!$L$3:$L$28,'Key Life Events'!$H$3:$H$28,'Loan Amortization'!$CL$3,'Key Life Events'!$N$3:$N$28,'Loan Amortization'!CG428),CH427-CK427)</f>
        <v>0</v>
      </c>
      <c r="CI428" s="532">
        <f t="shared" ca="1" si="322"/>
        <v>0</v>
      </c>
      <c r="CJ428" s="532">
        <f t="shared" ca="1" si="323"/>
        <v>0</v>
      </c>
      <c r="CK428" s="532">
        <f t="shared" ca="1" si="311"/>
        <v>0</v>
      </c>
      <c r="CP428" s="536">
        <f t="shared" ca="1" si="312"/>
        <v>2061</v>
      </c>
      <c r="CS428" s="100">
        <f t="shared" si="301"/>
        <v>427</v>
      </c>
      <c r="CT428" s="102">
        <f t="shared" ca="1" si="302"/>
        <v>0</v>
      </c>
      <c r="CU428" s="102">
        <f t="shared" ca="1" si="303"/>
        <v>0</v>
      </c>
      <c r="CV428" s="511">
        <f t="shared" ca="1" si="313"/>
        <v>2061</v>
      </c>
    </row>
    <row r="429" spans="1:100" x14ac:dyDescent="0.3">
      <c r="A429" s="100">
        <v>428</v>
      </c>
      <c r="B429" s="131">
        <f t="shared" si="325"/>
        <v>12172</v>
      </c>
      <c r="C429" s="102">
        <f t="shared" si="326"/>
        <v>0</v>
      </c>
      <c r="D429" s="102">
        <f t="shared" si="327"/>
        <v>0</v>
      </c>
      <c r="E429" s="102">
        <f t="shared" si="328"/>
        <v>0</v>
      </c>
      <c r="F429" s="102">
        <f t="shared" si="329"/>
        <v>0</v>
      </c>
      <c r="L429" s="100">
        <v>428</v>
      </c>
      <c r="M429" s="131">
        <f t="shared" ca="1" si="330"/>
        <v>59194</v>
      </c>
      <c r="N429" s="102">
        <f t="shared" si="331"/>
        <v>0</v>
      </c>
      <c r="O429" s="102">
        <f t="shared" si="332"/>
        <v>0</v>
      </c>
      <c r="P429" s="102">
        <f t="shared" si="333"/>
        <v>0</v>
      </c>
      <c r="Q429" s="102">
        <f t="shared" si="334"/>
        <v>0</v>
      </c>
      <c r="W429" s="100">
        <v>428</v>
      </c>
      <c r="X429" s="131">
        <f t="shared" ca="1" si="335"/>
        <v>59194</v>
      </c>
      <c r="Y429" s="102">
        <f t="shared" si="336"/>
        <v>0</v>
      </c>
      <c r="Z429" s="102">
        <f t="shared" si="337"/>
        <v>0</v>
      </c>
      <c r="AA429" s="102">
        <f t="shared" si="338"/>
        <v>0</v>
      </c>
      <c r="AB429" s="102">
        <f t="shared" si="339"/>
        <v>0</v>
      </c>
      <c r="AH429" s="100">
        <v>428</v>
      </c>
      <c r="AI429" s="131">
        <f t="shared" ca="1" si="340"/>
        <v>59194</v>
      </c>
      <c r="AJ429" s="102">
        <f t="shared" si="341"/>
        <v>0</v>
      </c>
      <c r="AK429" s="102">
        <f t="shared" si="342"/>
        <v>0</v>
      </c>
      <c r="AL429" s="102">
        <f t="shared" si="343"/>
        <v>0</v>
      </c>
      <c r="AM429" s="102">
        <f t="shared" si="344"/>
        <v>0</v>
      </c>
      <c r="AS429" s="530">
        <v>428</v>
      </c>
      <c r="AT429" s="531">
        <f t="shared" ca="1" si="314"/>
        <v>59194</v>
      </c>
      <c r="AU429" s="532">
        <f ca="1">IF(AU428=0,SUMIFS('Key Life Events'!$L$3:$L$28,'Key Life Events'!$H$3:$H$28,'Loan Amortization'!$AY$3,'Key Life Events'!$N$3:$N$28,'Loan Amortization'!AT429),AU428-AX428)</f>
        <v>0</v>
      </c>
      <c r="AV429" s="532">
        <f t="shared" ca="1" si="315"/>
        <v>0</v>
      </c>
      <c r="AW429" s="532">
        <f t="shared" ca="1" si="304"/>
        <v>0</v>
      </c>
      <c r="AX429" s="532">
        <f t="shared" ca="1" si="305"/>
        <v>0</v>
      </c>
      <c r="BC429" s="536">
        <f t="shared" ca="1" si="306"/>
        <v>2062</v>
      </c>
      <c r="BF429" s="530">
        <v>428</v>
      </c>
      <c r="BG429" s="531">
        <f t="shared" ca="1" si="316"/>
        <v>59194</v>
      </c>
      <c r="BH429" s="532">
        <f ca="1">IF(BH428=0,SUMIFS('Key Life Events'!$L$3:$L$28,'Key Life Events'!$H$3:$H$28,'Loan Amortization'!$BL$3,'Key Life Events'!$N$3:$N$28,'Loan Amortization'!BG429),BH428-BK428)</f>
        <v>0</v>
      </c>
      <c r="BI429" s="532">
        <f t="shared" ca="1" si="317"/>
        <v>0</v>
      </c>
      <c r="BJ429" s="532">
        <f t="shared" ca="1" si="318"/>
        <v>0</v>
      </c>
      <c r="BK429" s="532">
        <f t="shared" ca="1" si="307"/>
        <v>0</v>
      </c>
      <c r="BP429" s="536">
        <f t="shared" ca="1" si="308"/>
        <v>2062</v>
      </c>
      <c r="BS429" s="530">
        <v>428</v>
      </c>
      <c r="BT429" s="531">
        <f t="shared" ca="1" si="319"/>
        <v>59194</v>
      </c>
      <c r="BU429" s="532">
        <f ca="1">IF(BU428=0,SUMIFS('Key Life Events'!$L$3:$L$28,'Key Life Events'!$H$3:$H$28,'Loan Amortization'!$BY$3,'Key Life Events'!$N$3:$N$28,'Loan Amortization'!BT429),BU428-BX428)</f>
        <v>0</v>
      </c>
      <c r="BV429" s="532">
        <f t="shared" ca="1" si="324"/>
        <v>0</v>
      </c>
      <c r="BW429" s="532">
        <f t="shared" ca="1" si="320"/>
        <v>0</v>
      </c>
      <c r="BX429" s="532">
        <f t="shared" ca="1" si="309"/>
        <v>0</v>
      </c>
      <c r="CC429" s="536">
        <f t="shared" ca="1" si="310"/>
        <v>2062</v>
      </c>
      <c r="CF429" s="530">
        <v>428</v>
      </c>
      <c r="CG429" s="531">
        <f t="shared" ca="1" si="321"/>
        <v>59194</v>
      </c>
      <c r="CH429" s="532">
        <f ca="1">IF(CH428=0,SUMIFS('Key Life Events'!$L$3:$L$28,'Key Life Events'!$H$3:$H$28,'Loan Amortization'!$CL$3,'Key Life Events'!$N$3:$N$28,'Loan Amortization'!CG429),CH428-CK428)</f>
        <v>0</v>
      </c>
      <c r="CI429" s="532">
        <f t="shared" ca="1" si="322"/>
        <v>0</v>
      </c>
      <c r="CJ429" s="532">
        <f t="shared" ca="1" si="323"/>
        <v>0</v>
      </c>
      <c r="CK429" s="532">
        <f t="shared" ca="1" si="311"/>
        <v>0</v>
      </c>
      <c r="CP429" s="536">
        <f t="shared" ca="1" si="312"/>
        <v>2062</v>
      </c>
      <c r="CS429" s="100">
        <f t="shared" si="301"/>
        <v>428</v>
      </c>
      <c r="CT429" s="102">
        <f t="shared" ca="1" si="302"/>
        <v>0</v>
      </c>
      <c r="CU429" s="102">
        <f t="shared" ca="1" si="303"/>
        <v>0</v>
      </c>
      <c r="CV429" s="511">
        <f t="shared" ca="1" si="313"/>
        <v>2062</v>
      </c>
    </row>
    <row r="430" spans="1:100" x14ac:dyDescent="0.3">
      <c r="A430" s="100">
        <v>429</v>
      </c>
      <c r="B430" s="131">
        <f t="shared" si="325"/>
        <v>12202</v>
      </c>
      <c r="C430" s="102">
        <f t="shared" si="326"/>
        <v>0</v>
      </c>
      <c r="D430" s="102">
        <f t="shared" si="327"/>
        <v>0</v>
      </c>
      <c r="E430" s="102">
        <f t="shared" si="328"/>
        <v>0</v>
      </c>
      <c r="F430" s="102">
        <f t="shared" si="329"/>
        <v>0</v>
      </c>
      <c r="L430" s="100">
        <v>429</v>
      </c>
      <c r="M430" s="131">
        <f t="shared" ca="1" si="330"/>
        <v>59225</v>
      </c>
      <c r="N430" s="102">
        <f t="shared" si="331"/>
        <v>0</v>
      </c>
      <c r="O430" s="102">
        <f t="shared" si="332"/>
        <v>0</v>
      </c>
      <c r="P430" s="102">
        <f t="shared" si="333"/>
        <v>0</v>
      </c>
      <c r="Q430" s="102">
        <f t="shared" si="334"/>
        <v>0</v>
      </c>
      <c r="W430" s="100">
        <v>429</v>
      </c>
      <c r="X430" s="131">
        <f t="shared" ca="1" si="335"/>
        <v>59225</v>
      </c>
      <c r="Y430" s="102">
        <f t="shared" si="336"/>
        <v>0</v>
      </c>
      <c r="Z430" s="102">
        <f t="shared" si="337"/>
        <v>0</v>
      </c>
      <c r="AA430" s="102">
        <f t="shared" si="338"/>
        <v>0</v>
      </c>
      <c r="AB430" s="102">
        <f t="shared" si="339"/>
        <v>0</v>
      </c>
      <c r="AH430" s="100">
        <v>429</v>
      </c>
      <c r="AI430" s="131">
        <f t="shared" ca="1" si="340"/>
        <v>59225</v>
      </c>
      <c r="AJ430" s="102">
        <f t="shared" si="341"/>
        <v>0</v>
      </c>
      <c r="AK430" s="102">
        <f t="shared" si="342"/>
        <v>0</v>
      </c>
      <c r="AL430" s="102">
        <f t="shared" si="343"/>
        <v>0</v>
      </c>
      <c r="AM430" s="102">
        <f t="shared" si="344"/>
        <v>0</v>
      </c>
      <c r="AS430" s="530">
        <v>429</v>
      </c>
      <c r="AT430" s="531">
        <f t="shared" ca="1" si="314"/>
        <v>59225</v>
      </c>
      <c r="AU430" s="532">
        <f ca="1">IF(AU429=0,SUMIFS('Key Life Events'!$L$3:$L$28,'Key Life Events'!$H$3:$H$28,'Loan Amortization'!$AY$3,'Key Life Events'!$N$3:$N$28,'Loan Amortization'!AT430),AU429-AX429)</f>
        <v>0</v>
      </c>
      <c r="AV430" s="532">
        <f t="shared" ca="1" si="315"/>
        <v>0</v>
      </c>
      <c r="AW430" s="532">
        <f t="shared" ca="1" si="304"/>
        <v>0</v>
      </c>
      <c r="AX430" s="532">
        <f t="shared" ca="1" si="305"/>
        <v>0</v>
      </c>
      <c r="BC430" s="536">
        <f t="shared" ca="1" si="306"/>
        <v>2062</v>
      </c>
      <c r="BF430" s="530">
        <v>429</v>
      </c>
      <c r="BG430" s="531">
        <f t="shared" ca="1" si="316"/>
        <v>59225</v>
      </c>
      <c r="BH430" s="532">
        <f ca="1">IF(BH429=0,SUMIFS('Key Life Events'!$L$3:$L$28,'Key Life Events'!$H$3:$H$28,'Loan Amortization'!$BL$3,'Key Life Events'!$N$3:$N$28,'Loan Amortization'!BG430),BH429-BK429)</f>
        <v>0</v>
      </c>
      <c r="BI430" s="532">
        <f t="shared" ca="1" si="317"/>
        <v>0</v>
      </c>
      <c r="BJ430" s="532">
        <f t="shared" ca="1" si="318"/>
        <v>0</v>
      </c>
      <c r="BK430" s="532">
        <f t="shared" ca="1" si="307"/>
        <v>0</v>
      </c>
      <c r="BP430" s="536">
        <f t="shared" ca="1" si="308"/>
        <v>2062</v>
      </c>
      <c r="BS430" s="530">
        <v>429</v>
      </c>
      <c r="BT430" s="531">
        <f t="shared" ca="1" si="319"/>
        <v>59225</v>
      </c>
      <c r="BU430" s="532">
        <f ca="1">IF(BU429=0,SUMIFS('Key Life Events'!$L$3:$L$28,'Key Life Events'!$H$3:$H$28,'Loan Amortization'!$BY$3,'Key Life Events'!$N$3:$N$28,'Loan Amortization'!BT430),BU429-BX429)</f>
        <v>0</v>
      </c>
      <c r="BV430" s="532">
        <f t="shared" ca="1" si="324"/>
        <v>0</v>
      </c>
      <c r="BW430" s="532">
        <f t="shared" ca="1" si="320"/>
        <v>0</v>
      </c>
      <c r="BX430" s="532">
        <f t="shared" ca="1" si="309"/>
        <v>0</v>
      </c>
      <c r="CC430" s="536">
        <f t="shared" ca="1" si="310"/>
        <v>2062</v>
      </c>
      <c r="CF430" s="530">
        <v>429</v>
      </c>
      <c r="CG430" s="531">
        <f t="shared" ca="1" si="321"/>
        <v>59225</v>
      </c>
      <c r="CH430" s="532">
        <f ca="1">IF(CH429=0,SUMIFS('Key Life Events'!$L$3:$L$28,'Key Life Events'!$H$3:$H$28,'Loan Amortization'!$CL$3,'Key Life Events'!$N$3:$N$28,'Loan Amortization'!CG430),CH429-CK429)</f>
        <v>0</v>
      </c>
      <c r="CI430" s="532">
        <f t="shared" ca="1" si="322"/>
        <v>0</v>
      </c>
      <c r="CJ430" s="532">
        <f t="shared" ca="1" si="323"/>
        <v>0</v>
      </c>
      <c r="CK430" s="532">
        <f t="shared" ca="1" si="311"/>
        <v>0</v>
      </c>
      <c r="CP430" s="536">
        <f t="shared" ca="1" si="312"/>
        <v>2062</v>
      </c>
      <c r="CS430" s="100">
        <f t="shared" si="301"/>
        <v>429</v>
      </c>
      <c r="CT430" s="102">
        <f t="shared" ca="1" si="302"/>
        <v>0</v>
      </c>
      <c r="CU430" s="102">
        <f t="shared" ca="1" si="303"/>
        <v>0</v>
      </c>
      <c r="CV430" s="511">
        <f t="shared" ca="1" si="313"/>
        <v>2062</v>
      </c>
    </row>
    <row r="431" spans="1:100" x14ac:dyDescent="0.3">
      <c r="A431" s="100">
        <v>430</v>
      </c>
      <c r="B431" s="131">
        <f t="shared" si="325"/>
        <v>12233</v>
      </c>
      <c r="C431" s="102">
        <f t="shared" si="326"/>
        <v>0</v>
      </c>
      <c r="D431" s="102">
        <f t="shared" si="327"/>
        <v>0</v>
      </c>
      <c r="E431" s="102">
        <f t="shared" si="328"/>
        <v>0</v>
      </c>
      <c r="F431" s="102">
        <f t="shared" si="329"/>
        <v>0</v>
      </c>
      <c r="L431" s="100">
        <v>430</v>
      </c>
      <c r="M431" s="131">
        <f t="shared" ca="1" si="330"/>
        <v>59253</v>
      </c>
      <c r="N431" s="102">
        <f t="shared" si="331"/>
        <v>0</v>
      </c>
      <c r="O431" s="102">
        <f t="shared" si="332"/>
        <v>0</v>
      </c>
      <c r="P431" s="102">
        <f t="shared" si="333"/>
        <v>0</v>
      </c>
      <c r="Q431" s="102">
        <f t="shared" si="334"/>
        <v>0</v>
      </c>
      <c r="W431" s="100">
        <v>430</v>
      </c>
      <c r="X431" s="131">
        <f t="shared" ca="1" si="335"/>
        <v>59253</v>
      </c>
      <c r="Y431" s="102">
        <f t="shared" si="336"/>
        <v>0</v>
      </c>
      <c r="Z431" s="102">
        <f t="shared" si="337"/>
        <v>0</v>
      </c>
      <c r="AA431" s="102">
        <f t="shared" si="338"/>
        <v>0</v>
      </c>
      <c r="AB431" s="102">
        <f t="shared" si="339"/>
        <v>0</v>
      </c>
      <c r="AH431" s="100">
        <v>430</v>
      </c>
      <c r="AI431" s="131">
        <f t="shared" ca="1" si="340"/>
        <v>59253</v>
      </c>
      <c r="AJ431" s="102">
        <f t="shared" si="341"/>
        <v>0</v>
      </c>
      <c r="AK431" s="102">
        <f t="shared" si="342"/>
        <v>0</v>
      </c>
      <c r="AL431" s="102">
        <f t="shared" si="343"/>
        <v>0</v>
      </c>
      <c r="AM431" s="102">
        <f t="shared" si="344"/>
        <v>0</v>
      </c>
      <c r="AS431" s="530">
        <v>430</v>
      </c>
      <c r="AT431" s="531">
        <f t="shared" ca="1" si="314"/>
        <v>59253</v>
      </c>
      <c r="AU431" s="532">
        <f ca="1">IF(AU430=0,SUMIFS('Key Life Events'!$L$3:$L$28,'Key Life Events'!$H$3:$H$28,'Loan Amortization'!$AY$3,'Key Life Events'!$N$3:$N$28,'Loan Amortization'!AT431),AU430-AX430)</f>
        <v>0</v>
      </c>
      <c r="AV431" s="532">
        <f t="shared" ca="1" si="315"/>
        <v>0</v>
      </c>
      <c r="AW431" s="532">
        <f t="shared" ca="1" si="304"/>
        <v>0</v>
      </c>
      <c r="AX431" s="532">
        <f t="shared" ca="1" si="305"/>
        <v>0</v>
      </c>
      <c r="BC431" s="536">
        <f t="shared" ca="1" si="306"/>
        <v>2062</v>
      </c>
      <c r="BF431" s="530">
        <v>430</v>
      </c>
      <c r="BG431" s="531">
        <f t="shared" ca="1" si="316"/>
        <v>59253</v>
      </c>
      <c r="BH431" s="532">
        <f ca="1">IF(BH430=0,SUMIFS('Key Life Events'!$L$3:$L$28,'Key Life Events'!$H$3:$H$28,'Loan Amortization'!$BL$3,'Key Life Events'!$N$3:$N$28,'Loan Amortization'!BG431),BH430-BK430)</f>
        <v>0</v>
      </c>
      <c r="BI431" s="532">
        <f t="shared" ca="1" si="317"/>
        <v>0</v>
      </c>
      <c r="BJ431" s="532">
        <f t="shared" ca="1" si="318"/>
        <v>0</v>
      </c>
      <c r="BK431" s="532">
        <f t="shared" ca="1" si="307"/>
        <v>0</v>
      </c>
      <c r="BP431" s="536">
        <f t="shared" ca="1" si="308"/>
        <v>2062</v>
      </c>
      <c r="BS431" s="530">
        <v>430</v>
      </c>
      <c r="BT431" s="531">
        <f t="shared" ca="1" si="319"/>
        <v>59253</v>
      </c>
      <c r="BU431" s="532">
        <f ca="1">IF(BU430=0,SUMIFS('Key Life Events'!$L$3:$L$28,'Key Life Events'!$H$3:$H$28,'Loan Amortization'!$BY$3,'Key Life Events'!$N$3:$N$28,'Loan Amortization'!BT431),BU430-BX430)</f>
        <v>0</v>
      </c>
      <c r="BV431" s="532">
        <f t="shared" ca="1" si="324"/>
        <v>0</v>
      </c>
      <c r="BW431" s="532">
        <f t="shared" ca="1" si="320"/>
        <v>0</v>
      </c>
      <c r="BX431" s="532">
        <f t="shared" ca="1" si="309"/>
        <v>0</v>
      </c>
      <c r="CC431" s="536">
        <f t="shared" ca="1" si="310"/>
        <v>2062</v>
      </c>
      <c r="CF431" s="530">
        <v>430</v>
      </c>
      <c r="CG431" s="531">
        <f t="shared" ca="1" si="321"/>
        <v>59253</v>
      </c>
      <c r="CH431" s="532">
        <f ca="1">IF(CH430=0,SUMIFS('Key Life Events'!$L$3:$L$28,'Key Life Events'!$H$3:$H$28,'Loan Amortization'!$CL$3,'Key Life Events'!$N$3:$N$28,'Loan Amortization'!CG431),CH430-CK430)</f>
        <v>0</v>
      </c>
      <c r="CI431" s="532">
        <f t="shared" ca="1" si="322"/>
        <v>0</v>
      </c>
      <c r="CJ431" s="532">
        <f t="shared" ca="1" si="323"/>
        <v>0</v>
      </c>
      <c r="CK431" s="532">
        <f t="shared" ca="1" si="311"/>
        <v>0</v>
      </c>
      <c r="CP431" s="536">
        <f t="shared" ca="1" si="312"/>
        <v>2062</v>
      </c>
      <c r="CS431" s="100">
        <f t="shared" si="301"/>
        <v>430</v>
      </c>
      <c r="CT431" s="102">
        <f t="shared" ca="1" si="302"/>
        <v>0</v>
      </c>
      <c r="CU431" s="102">
        <f t="shared" ca="1" si="303"/>
        <v>0</v>
      </c>
      <c r="CV431" s="511">
        <f t="shared" ca="1" si="313"/>
        <v>2062</v>
      </c>
    </row>
    <row r="432" spans="1:100" x14ac:dyDescent="0.3">
      <c r="A432" s="100">
        <v>431</v>
      </c>
      <c r="B432" s="131">
        <f t="shared" si="325"/>
        <v>12263</v>
      </c>
      <c r="C432" s="102">
        <f t="shared" si="326"/>
        <v>0</v>
      </c>
      <c r="D432" s="102">
        <f t="shared" si="327"/>
        <v>0</v>
      </c>
      <c r="E432" s="102">
        <f t="shared" si="328"/>
        <v>0</v>
      </c>
      <c r="F432" s="102">
        <f t="shared" si="329"/>
        <v>0</v>
      </c>
      <c r="L432" s="100">
        <v>431</v>
      </c>
      <c r="M432" s="131">
        <f t="shared" ca="1" si="330"/>
        <v>59284</v>
      </c>
      <c r="N432" s="102">
        <f t="shared" si="331"/>
        <v>0</v>
      </c>
      <c r="O432" s="102">
        <f t="shared" si="332"/>
        <v>0</v>
      </c>
      <c r="P432" s="102">
        <f t="shared" si="333"/>
        <v>0</v>
      </c>
      <c r="Q432" s="102">
        <f t="shared" si="334"/>
        <v>0</v>
      </c>
      <c r="W432" s="100">
        <v>431</v>
      </c>
      <c r="X432" s="131">
        <f t="shared" ca="1" si="335"/>
        <v>59284</v>
      </c>
      <c r="Y432" s="102">
        <f t="shared" si="336"/>
        <v>0</v>
      </c>
      <c r="Z432" s="102">
        <f t="shared" si="337"/>
        <v>0</v>
      </c>
      <c r="AA432" s="102">
        <f t="shared" si="338"/>
        <v>0</v>
      </c>
      <c r="AB432" s="102">
        <f t="shared" si="339"/>
        <v>0</v>
      </c>
      <c r="AH432" s="100">
        <v>431</v>
      </c>
      <c r="AI432" s="131">
        <f t="shared" ca="1" si="340"/>
        <v>59284</v>
      </c>
      <c r="AJ432" s="102">
        <f t="shared" si="341"/>
        <v>0</v>
      </c>
      <c r="AK432" s="102">
        <f t="shared" si="342"/>
        <v>0</v>
      </c>
      <c r="AL432" s="102">
        <f t="shared" si="343"/>
        <v>0</v>
      </c>
      <c r="AM432" s="102">
        <f t="shared" si="344"/>
        <v>0</v>
      </c>
      <c r="AS432" s="530">
        <v>431</v>
      </c>
      <c r="AT432" s="531">
        <f t="shared" ca="1" si="314"/>
        <v>59284</v>
      </c>
      <c r="AU432" s="532">
        <f ca="1">IF(AU431=0,SUMIFS('Key Life Events'!$L$3:$L$28,'Key Life Events'!$H$3:$H$28,'Loan Amortization'!$AY$3,'Key Life Events'!$N$3:$N$28,'Loan Amortization'!AT432),AU431-AX431)</f>
        <v>0</v>
      </c>
      <c r="AV432" s="532">
        <f t="shared" ca="1" si="315"/>
        <v>0</v>
      </c>
      <c r="AW432" s="532">
        <f t="shared" ca="1" si="304"/>
        <v>0</v>
      </c>
      <c r="AX432" s="532">
        <f t="shared" ca="1" si="305"/>
        <v>0</v>
      </c>
      <c r="BC432" s="536">
        <f t="shared" ca="1" si="306"/>
        <v>2062</v>
      </c>
      <c r="BF432" s="530">
        <v>431</v>
      </c>
      <c r="BG432" s="531">
        <f t="shared" ca="1" si="316"/>
        <v>59284</v>
      </c>
      <c r="BH432" s="532">
        <f ca="1">IF(BH431=0,SUMIFS('Key Life Events'!$L$3:$L$28,'Key Life Events'!$H$3:$H$28,'Loan Amortization'!$BL$3,'Key Life Events'!$N$3:$N$28,'Loan Amortization'!BG432),BH431-BK431)</f>
        <v>0</v>
      </c>
      <c r="BI432" s="532">
        <f t="shared" ca="1" si="317"/>
        <v>0</v>
      </c>
      <c r="BJ432" s="532">
        <f t="shared" ca="1" si="318"/>
        <v>0</v>
      </c>
      <c r="BK432" s="532">
        <f t="shared" ca="1" si="307"/>
        <v>0</v>
      </c>
      <c r="BP432" s="536">
        <f t="shared" ca="1" si="308"/>
        <v>2062</v>
      </c>
      <c r="BS432" s="530">
        <v>431</v>
      </c>
      <c r="BT432" s="531">
        <f t="shared" ca="1" si="319"/>
        <v>59284</v>
      </c>
      <c r="BU432" s="532">
        <f ca="1">IF(BU431=0,SUMIFS('Key Life Events'!$L$3:$L$28,'Key Life Events'!$H$3:$H$28,'Loan Amortization'!$BY$3,'Key Life Events'!$N$3:$N$28,'Loan Amortization'!BT432),BU431-BX431)</f>
        <v>0</v>
      </c>
      <c r="BV432" s="532">
        <f t="shared" ca="1" si="324"/>
        <v>0</v>
      </c>
      <c r="BW432" s="532">
        <f t="shared" ca="1" si="320"/>
        <v>0</v>
      </c>
      <c r="BX432" s="532">
        <f t="shared" ca="1" si="309"/>
        <v>0</v>
      </c>
      <c r="CC432" s="536">
        <f t="shared" ca="1" si="310"/>
        <v>2062</v>
      </c>
      <c r="CF432" s="530">
        <v>431</v>
      </c>
      <c r="CG432" s="531">
        <f t="shared" ca="1" si="321"/>
        <v>59284</v>
      </c>
      <c r="CH432" s="532">
        <f ca="1">IF(CH431=0,SUMIFS('Key Life Events'!$L$3:$L$28,'Key Life Events'!$H$3:$H$28,'Loan Amortization'!$CL$3,'Key Life Events'!$N$3:$N$28,'Loan Amortization'!CG432),CH431-CK431)</f>
        <v>0</v>
      </c>
      <c r="CI432" s="532">
        <f t="shared" ca="1" si="322"/>
        <v>0</v>
      </c>
      <c r="CJ432" s="532">
        <f t="shared" ca="1" si="323"/>
        <v>0</v>
      </c>
      <c r="CK432" s="532">
        <f t="shared" ca="1" si="311"/>
        <v>0</v>
      </c>
      <c r="CP432" s="536">
        <f t="shared" ca="1" si="312"/>
        <v>2062</v>
      </c>
      <c r="CS432" s="100">
        <f t="shared" si="301"/>
        <v>431</v>
      </c>
      <c r="CT432" s="102">
        <f t="shared" ca="1" si="302"/>
        <v>0</v>
      </c>
      <c r="CU432" s="102">
        <f t="shared" ca="1" si="303"/>
        <v>0</v>
      </c>
      <c r="CV432" s="511">
        <f t="shared" ca="1" si="313"/>
        <v>2062</v>
      </c>
    </row>
    <row r="433" spans="1:100" x14ac:dyDescent="0.3">
      <c r="A433" s="100">
        <v>432</v>
      </c>
      <c r="B433" s="131">
        <f t="shared" si="325"/>
        <v>12294</v>
      </c>
      <c r="C433" s="102">
        <f t="shared" si="326"/>
        <v>0</v>
      </c>
      <c r="D433" s="102">
        <f t="shared" si="327"/>
        <v>0</v>
      </c>
      <c r="E433" s="102">
        <f t="shared" si="328"/>
        <v>0</v>
      </c>
      <c r="F433" s="102">
        <f t="shared" si="329"/>
        <v>0</v>
      </c>
      <c r="L433" s="100">
        <v>432</v>
      </c>
      <c r="M433" s="131">
        <f t="shared" ca="1" si="330"/>
        <v>59314</v>
      </c>
      <c r="N433" s="102">
        <f t="shared" si="331"/>
        <v>0</v>
      </c>
      <c r="O433" s="102">
        <f t="shared" si="332"/>
        <v>0</v>
      </c>
      <c r="P433" s="102">
        <f t="shared" si="333"/>
        <v>0</v>
      </c>
      <c r="Q433" s="102">
        <f t="shared" si="334"/>
        <v>0</v>
      </c>
      <c r="W433" s="100">
        <v>432</v>
      </c>
      <c r="X433" s="131">
        <f t="shared" ca="1" si="335"/>
        <v>59314</v>
      </c>
      <c r="Y433" s="102">
        <f t="shared" si="336"/>
        <v>0</v>
      </c>
      <c r="Z433" s="102">
        <f t="shared" si="337"/>
        <v>0</v>
      </c>
      <c r="AA433" s="102">
        <f t="shared" si="338"/>
        <v>0</v>
      </c>
      <c r="AB433" s="102">
        <f t="shared" si="339"/>
        <v>0</v>
      </c>
      <c r="AH433" s="100">
        <v>432</v>
      </c>
      <c r="AI433" s="131">
        <f t="shared" ca="1" si="340"/>
        <v>59314</v>
      </c>
      <c r="AJ433" s="102">
        <f t="shared" si="341"/>
        <v>0</v>
      </c>
      <c r="AK433" s="102">
        <f t="shared" si="342"/>
        <v>0</v>
      </c>
      <c r="AL433" s="102">
        <f t="shared" si="343"/>
        <v>0</v>
      </c>
      <c r="AM433" s="102">
        <f t="shared" si="344"/>
        <v>0</v>
      </c>
      <c r="AS433" s="530">
        <v>432</v>
      </c>
      <c r="AT433" s="531">
        <f t="shared" ca="1" si="314"/>
        <v>59314</v>
      </c>
      <c r="AU433" s="532">
        <f ca="1">IF(AU432=0,SUMIFS('Key Life Events'!$L$3:$L$28,'Key Life Events'!$H$3:$H$28,'Loan Amortization'!$AY$3,'Key Life Events'!$N$3:$N$28,'Loan Amortization'!AT433),AU432-AX432)</f>
        <v>0</v>
      </c>
      <c r="AV433" s="532">
        <f t="shared" ca="1" si="315"/>
        <v>0</v>
      </c>
      <c r="AW433" s="532">
        <f t="shared" ca="1" si="304"/>
        <v>0</v>
      </c>
      <c r="AX433" s="532">
        <f t="shared" ca="1" si="305"/>
        <v>0</v>
      </c>
      <c r="BC433" s="536">
        <f t="shared" ca="1" si="306"/>
        <v>2062</v>
      </c>
      <c r="BF433" s="530">
        <v>432</v>
      </c>
      <c r="BG433" s="531">
        <f t="shared" ca="1" si="316"/>
        <v>59314</v>
      </c>
      <c r="BH433" s="532">
        <f ca="1">IF(BH432=0,SUMIFS('Key Life Events'!$L$3:$L$28,'Key Life Events'!$H$3:$H$28,'Loan Amortization'!$BL$3,'Key Life Events'!$N$3:$N$28,'Loan Amortization'!BG433),BH432-BK432)</f>
        <v>0</v>
      </c>
      <c r="BI433" s="532">
        <f t="shared" ca="1" si="317"/>
        <v>0</v>
      </c>
      <c r="BJ433" s="532">
        <f t="shared" ca="1" si="318"/>
        <v>0</v>
      </c>
      <c r="BK433" s="532">
        <f t="shared" ca="1" si="307"/>
        <v>0</v>
      </c>
      <c r="BP433" s="536">
        <f t="shared" ca="1" si="308"/>
        <v>2062</v>
      </c>
      <c r="BS433" s="530">
        <v>432</v>
      </c>
      <c r="BT433" s="531">
        <f t="shared" ca="1" si="319"/>
        <v>59314</v>
      </c>
      <c r="BU433" s="532">
        <f ca="1">IF(BU432=0,SUMIFS('Key Life Events'!$L$3:$L$28,'Key Life Events'!$H$3:$H$28,'Loan Amortization'!$BY$3,'Key Life Events'!$N$3:$N$28,'Loan Amortization'!BT433),BU432-BX432)</f>
        <v>0</v>
      </c>
      <c r="BV433" s="532">
        <f t="shared" ca="1" si="324"/>
        <v>0</v>
      </c>
      <c r="BW433" s="532">
        <f t="shared" ca="1" si="320"/>
        <v>0</v>
      </c>
      <c r="BX433" s="532">
        <f t="shared" ca="1" si="309"/>
        <v>0</v>
      </c>
      <c r="CC433" s="536">
        <f t="shared" ca="1" si="310"/>
        <v>2062</v>
      </c>
      <c r="CF433" s="530">
        <v>432</v>
      </c>
      <c r="CG433" s="531">
        <f t="shared" ca="1" si="321"/>
        <v>59314</v>
      </c>
      <c r="CH433" s="532">
        <f ca="1">IF(CH432=0,SUMIFS('Key Life Events'!$L$3:$L$28,'Key Life Events'!$H$3:$H$28,'Loan Amortization'!$CL$3,'Key Life Events'!$N$3:$N$28,'Loan Amortization'!CG433),CH432-CK432)</f>
        <v>0</v>
      </c>
      <c r="CI433" s="532">
        <f t="shared" ca="1" si="322"/>
        <v>0</v>
      </c>
      <c r="CJ433" s="532">
        <f t="shared" ca="1" si="323"/>
        <v>0</v>
      </c>
      <c r="CK433" s="532">
        <f t="shared" ca="1" si="311"/>
        <v>0</v>
      </c>
      <c r="CP433" s="536">
        <f t="shared" ca="1" si="312"/>
        <v>2062</v>
      </c>
      <c r="CS433" s="100">
        <f t="shared" si="301"/>
        <v>432</v>
      </c>
      <c r="CT433" s="102">
        <f t="shared" ca="1" si="302"/>
        <v>0</v>
      </c>
      <c r="CU433" s="102">
        <f t="shared" ca="1" si="303"/>
        <v>0</v>
      </c>
      <c r="CV433" s="511">
        <f t="shared" ca="1" si="313"/>
        <v>2062</v>
      </c>
    </row>
    <row r="434" spans="1:100" x14ac:dyDescent="0.3">
      <c r="A434" s="100">
        <v>433</v>
      </c>
      <c r="B434" s="131">
        <f t="shared" si="325"/>
        <v>12325</v>
      </c>
      <c r="C434" s="102">
        <f t="shared" si="326"/>
        <v>0</v>
      </c>
      <c r="D434" s="102">
        <f t="shared" si="327"/>
        <v>0</v>
      </c>
      <c r="E434" s="102">
        <f t="shared" si="328"/>
        <v>0</v>
      </c>
      <c r="F434" s="102">
        <f t="shared" si="329"/>
        <v>0</v>
      </c>
      <c r="L434" s="100">
        <v>433</v>
      </c>
      <c r="M434" s="131">
        <f t="shared" ca="1" si="330"/>
        <v>59345</v>
      </c>
      <c r="N434" s="102">
        <f t="shared" si="331"/>
        <v>0</v>
      </c>
      <c r="O434" s="102">
        <f t="shared" si="332"/>
        <v>0</v>
      </c>
      <c r="P434" s="102">
        <f t="shared" si="333"/>
        <v>0</v>
      </c>
      <c r="Q434" s="102">
        <f t="shared" si="334"/>
        <v>0</v>
      </c>
      <c r="W434" s="100">
        <v>433</v>
      </c>
      <c r="X434" s="131">
        <f t="shared" ca="1" si="335"/>
        <v>59345</v>
      </c>
      <c r="Y434" s="102">
        <f t="shared" si="336"/>
        <v>0</v>
      </c>
      <c r="Z434" s="102">
        <f t="shared" si="337"/>
        <v>0</v>
      </c>
      <c r="AA434" s="102">
        <f t="shared" si="338"/>
        <v>0</v>
      </c>
      <c r="AB434" s="102">
        <f t="shared" si="339"/>
        <v>0</v>
      </c>
      <c r="AH434" s="100">
        <v>433</v>
      </c>
      <c r="AI434" s="131">
        <f t="shared" ca="1" si="340"/>
        <v>59345</v>
      </c>
      <c r="AJ434" s="102">
        <f t="shared" si="341"/>
        <v>0</v>
      </c>
      <c r="AK434" s="102">
        <f t="shared" si="342"/>
        <v>0</v>
      </c>
      <c r="AL434" s="102">
        <f t="shared" si="343"/>
        <v>0</v>
      </c>
      <c r="AM434" s="102">
        <f t="shared" si="344"/>
        <v>0</v>
      </c>
      <c r="AS434" s="530">
        <v>433</v>
      </c>
      <c r="AT434" s="531">
        <f t="shared" ca="1" si="314"/>
        <v>59345</v>
      </c>
      <c r="AU434" s="532">
        <f ca="1">IF(AU433=0,SUMIFS('Key Life Events'!$L$3:$L$28,'Key Life Events'!$H$3:$H$28,'Loan Amortization'!$AY$3,'Key Life Events'!$N$3:$N$28,'Loan Amortization'!AT434),AU433-AX433)</f>
        <v>0</v>
      </c>
      <c r="AV434" s="532">
        <f t="shared" ca="1" si="315"/>
        <v>0</v>
      </c>
      <c r="AW434" s="532">
        <f t="shared" ca="1" si="304"/>
        <v>0</v>
      </c>
      <c r="AX434" s="532">
        <f t="shared" ca="1" si="305"/>
        <v>0</v>
      </c>
      <c r="BC434" s="536">
        <f t="shared" ca="1" si="306"/>
        <v>2062</v>
      </c>
      <c r="BF434" s="530">
        <v>433</v>
      </c>
      <c r="BG434" s="531">
        <f t="shared" ca="1" si="316"/>
        <v>59345</v>
      </c>
      <c r="BH434" s="532">
        <f ca="1">IF(BH433=0,SUMIFS('Key Life Events'!$L$3:$L$28,'Key Life Events'!$H$3:$H$28,'Loan Amortization'!$BL$3,'Key Life Events'!$N$3:$N$28,'Loan Amortization'!BG434),BH433-BK433)</f>
        <v>0</v>
      </c>
      <c r="BI434" s="532">
        <f t="shared" ca="1" si="317"/>
        <v>0</v>
      </c>
      <c r="BJ434" s="532">
        <f t="shared" ca="1" si="318"/>
        <v>0</v>
      </c>
      <c r="BK434" s="532">
        <f t="shared" ca="1" si="307"/>
        <v>0</v>
      </c>
      <c r="BP434" s="536">
        <f t="shared" ca="1" si="308"/>
        <v>2062</v>
      </c>
      <c r="BS434" s="530">
        <v>433</v>
      </c>
      <c r="BT434" s="531">
        <f t="shared" ca="1" si="319"/>
        <v>59345</v>
      </c>
      <c r="BU434" s="532">
        <f ca="1">IF(BU433=0,SUMIFS('Key Life Events'!$L$3:$L$28,'Key Life Events'!$H$3:$H$28,'Loan Amortization'!$BY$3,'Key Life Events'!$N$3:$N$28,'Loan Amortization'!BT434),BU433-BX433)</f>
        <v>0</v>
      </c>
      <c r="BV434" s="532">
        <f t="shared" ca="1" si="324"/>
        <v>0</v>
      </c>
      <c r="BW434" s="532">
        <f t="shared" ca="1" si="320"/>
        <v>0</v>
      </c>
      <c r="BX434" s="532">
        <f t="shared" ca="1" si="309"/>
        <v>0</v>
      </c>
      <c r="CC434" s="536">
        <f t="shared" ca="1" si="310"/>
        <v>2062</v>
      </c>
      <c r="CF434" s="530">
        <v>433</v>
      </c>
      <c r="CG434" s="531">
        <f t="shared" ca="1" si="321"/>
        <v>59345</v>
      </c>
      <c r="CH434" s="532">
        <f ca="1">IF(CH433=0,SUMIFS('Key Life Events'!$L$3:$L$28,'Key Life Events'!$H$3:$H$28,'Loan Amortization'!$CL$3,'Key Life Events'!$N$3:$N$28,'Loan Amortization'!CG434),CH433-CK433)</f>
        <v>0</v>
      </c>
      <c r="CI434" s="532">
        <f t="shared" ca="1" si="322"/>
        <v>0</v>
      </c>
      <c r="CJ434" s="532">
        <f t="shared" ca="1" si="323"/>
        <v>0</v>
      </c>
      <c r="CK434" s="532">
        <f t="shared" ca="1" si="311"/>
        <v>0</v>
      </c>
      <c r="CP434" s="536">
        <f t="shared" ca="1" si="312"/>
        <v>2062</v>
      </c>
      <c r="CS434" s="100">
        <f t="shared" si="301"/>
        <v>433</v>
      </c>
      <c r="CT434" s="102">
        <f t="shared" ca="1" si="302"/>
        <v>0</v>
      </c>
      <c r="CU434" s="102">
        <f t="shared" ca="1" si="303"/>
        <v>0</v>
      </c>
      <c r="CV434" s="511">
        <f t="shared" ca="1" si="313"/>
        <v>2062</v>
      </c>
    </row>
    <row r="435" spans="1:100" x14ac:dyDescent="0.3">
      <c r="A435" s="100">
        <v>434</v>
      </c>
      <c r="B435" s="131">
        <f t="shared" si="325"/>
        <v>12355</v>
      </c>
      <c r="C435" s="102">
        <f t="shared" si="326"/>
        <v>0</v>
      </c>
      <c r="D435" s="102">
        <f t="shared" si="327"/>
        <v>0</v>
      </c>
      <c r="E435" s="102">
        <f t="shared" si="328"/>
        <v>0</v>
      </c>
      <c r="F435" s="102">
        <f t="shared" si="329"/>
        <v>0</v>
      </c>
      <c r="L435" s="100">
        <v>434</v>
      </c>
      <c r="M435" s="131">
        <f t="shared" ca="1" si="330"/>
        <v>59375</v>
      </c>
      <c r="N435" s="102">
        <f t="shared" si="331"/>
        <v>0</v>
      </c>
      <c r="O435" s="102">
        <f t="shared" si="332"/>
        <v>0</v>
      </c>
      <c r="P435" s="102">
        <f t="shared" si="333"/>
        <v>0</v>
      </c>
      <c r="Q435" s="102">
        <f t="shared" si="334"/>
        <v>0</v>
      </c>
      <c r="W435" s="100">
        <v>434</v>
      </c>
      <c r="X435" s="131">
        <f t="shared" ca="1" si="335"/>
        <v>59375</v>
      </c>
      <c r="Y435" s="102">
        <f t="shared" si="336"/>
        <v>0</v>
      </c>
      <c r="Z435" s="102">
        <f t="shared" si="337"/>
        <v>0</v>
      </c>
      <c r="AA435" s="102">
        <f t="shared" si="338"/>
        <v>0</v>
      </c>
      <c r="AB435" s="102">
        <f t="shared" si="339"/>
        <v>0</v>
      </c>
      <c r="AH435" s="100">
        <v>434</v>
      </c>
      <c r="AI435" s="131">
        <f t="shared" ca="1" si="340"/>
        <v>59375</v>
      </c>
      <c r="AJ435" s="102">
        <f t="shared" si="341"/>
        <v>0</v>
      </c>
      <c r="AK435" s="102">
        <f t="shared" si="342"/>
        <v>0</v>
      </c>
      <c r="AL435" s="102">
        <f t="shared" si="343"/>
        <v>0</v>
      </c>
      <c r="AM435" s="102">
        <f t="shared" si="344"/>
        <v>0</v>
      </c>
      <c r="AS435" s="530">
        <v>434</v>
      </c>
      <c r="AT435" s="531">
        <f t="shared" ca="1" si="314"/>
        <v>59375</v>
      </c>
      <c r="AU435" s="532">
        <f ca="1">IF(AU434=0,SUMIFS('Key Life Events'!$L$3:$L$28,'Key Life Events'!$H$3:$H$28,'Loan Amortization'!$AY$3,'Key Life Events'!$N$3:$N$28,'Loan Amortization'!AT435),AU434-AX434)</f>
        <v>0</v>
      </c>
      <c r="AV435" s="532">
        <f t="shared" ca="1" si="315"/>
        <v>0</v>
      </c>
      <c r="AW435" s="532">
        <f t="shared" ca="1" si="304"/>
        <v>0</v>
      </c>
      <c r="AX435" s="532">
        <f t="shared" ca="1" si="305"/>
        <v>0</v>
      </c>
      <c r="BC435" s="536">
        <f t="shared" ca="1" si="306"/>
        <v>2062</v>
      </c>
      <c r="BF435" s="530">
        <v>434</v>
      </c>
      <c r="BG435" s="531">
        <f t="shared" ca="1" si="316"/>
        <v>59375</v>
      </c>
      <c r="BH435" s="532">
        <f ca="1">IF(BH434=0,SUMIFS('Key Life Events'!$L$3:$L$28,'Key Life Events'!$H$3:$H$28,'Loan Amortization'!$BL$3,'Key Life Events'!$N$3:$N$28,'Loan Amortization'!BG435),BH434-BK434)</f>
        <v>0</v>
      </c>
      <c r="BI435" s="532">
        <f t="shared" ca="1" si="317"/>
        <v>0</v>
      </c>
      <c r="BJ435" s="532">
        <f t="shared" ca="1" si="318"/>
        <v>0</v>
      </c>
      <c r="BK435" s="532">
        <f t="shared" ca="1" si="307"/>
        <v>0</v>
      </c>
      <c r="BP435" s="536">
        <f t="shared" ca="1" si="308"/>
        <v>2062</v>
      </c>
      <c r="BS435" s="530">
        <v>434</v>
      </c>
      <c r="BT435" s="531">
        <f t="shared" ca="1" si="319"/>
        <v>59375</v>
      </c>
      <c r="BU435" s="532">
        <f ca="1">IF(BU434=0,SUMIFS('Key Life Events'!$L$3:$L$28,'Key Life Events'!$H$3:$H$28,'Loan Amortization'!$BY$3,'Key Life Events'!$N$3:$N$28,'Loan Amortization'!BT435),BU434-BX434)</f>
        <v>0</v>
      </c>
      <c r="BV435" s="532">
        <f t="shared" ca="1" si="324"/>
        <v>0</v>
      </c>
      <c r="BW435" s="532">
        <f t="shared" ca="1" si="320"/>
        <v>0</v>
      </c>
      <c r="BX435" s="532">
        <f t="shared" ca="1" si="309"/>
        <v>0</v>
      </c>
      <c r="CC435" s="536">
        <f t="shared" ca="1" si="310"/>
        <v>2062</v>
      </c>
      <c r="CF435" s="530">
        <v>434</v>
      </c>
      <c r="CG435" s="531">
        <f t="shared" ca="1" si="321"/>
        <v>59375</v>
      </c>
      <c r="CH435" s="532">
        <f ca="1">IF(CH434=0,SUMIFS('Key Life Events'!$L$3:$L$28,'Key Life Events'!$H$3:$H$28,'Loan Amortization'!$CL$3,'Key Life Events'!$N$3:$N$28,'Loan Amortization'!CG435),CH434-CK434)</f>
        <v>0</v>
      </c>
      <c r="CI435" s="532">
        <f t="shared" ca="1" si="322"/>
        <v>0</v>
      </c>
      <c r="CJ435" s="532">
        <f t="shared" ca="1" si="323"/>
        <v>0</v>
      </c>
      <c r="CK435" s="532">
        <f t="shared" ca="1" si="311"/>
        <v>0</v>
      </c>
      <c r="CP435" s="536">
        <f t="shared" ca="1" si="312"/>
        <v>2062</v>
      </c>
      <c r="CS435" s="100">
        <f t="shared" si="301"/>
        <v>434</v>
      </c>
      <c r="CT435" s="102">
        <f t="shared" ca="1" si="302"/>
        <v>0</v>
      </c>
      <c r="CU435" s="102">
        <f t="shared" ca="1" si="303"/>
        <v>0</v>
      </c>
      <c r="CV435" s="511">
        <f t="shared" ca="1" si="313"/>
        <v>2062</v>
      </c>
    </row>
    <row r="436" spans="1:100" x14ac:dyDescent="0.3">
      <c r="A436" s="100">
        <v>435</v>
      </c>
      <c r="B436" s="131">
        <f t="shared" si="325"/>
        <v>12386</v>
      </c>
      <c r="C436" s="102">
        <f t="shared" si="326"/>
        <v>0</v>
      </c>
      <c r="D436" s="102">
        <f t="shared" si="327"/>
        <v>0</v>
      </c>
      <c r="E436" s="102">
        <f t="shared" si="328"/>
        <v>0</v>
      </c>
      <c r="F436" s="102">
        <f t="shared" si="329"/>
        <v>0</v>
      </c>
      <c r="L436" s="100">
        <v>435</v>
      </c>
      <c r="M436" s="131">
        <f t="shared" ca="1" si="330"/>
        <v>59406</v>
      </c>
      <c r="N436" s="102">
        <f t="shared" si="331"/>
        <v>0</v>
      </c>
      <c r="O436" s="102">
        <f t="shared" si="332"/>
        <v>0</v>
      </c>
      <c r="P436" s="102">
        <f t="shared" si="333"/>
        <v>0</v>
      </c>
      <c r="Q436" s="102">
        <f t="shared" si="334"/>
        <v>0</v>
      </c>
      <c r="W436" s="100">
        <v>435</v>
      </c>
      <c r="X436" s="131">
        <f t="shared" ca="1" si="335"/>
        <v>59406</v>
      </c>
      <c r="Y436" s="102">
        <f t="shared" si="336"/>
        <v>0</v>
      </c>
      <c r="Z436" s="102">
        <f t="shared" si="337"/>
        <v>0</v>
      </c>
      <c r="AA436" s="102">
        <f t="shared" si="338"/>
        <v>0</v>
      </c>
      <c r="AB436" s="102">
        <f t="shared" si="339"/>
        <v>0</v>
      </c>
      <c r="AH436" s="100">
        <v>435</v>
      </c>
      <c r="AI436" s="131">
        <f t="shared" ca="1" si="340"/>
        <v>59406</v>
      </c>
      <c r="AJ436" s="102">
        <f t="shared" si="341"/>
        <v>0</v>
      </c>
      <c r="AK436" s="102">
        <f t="shared" si="342"/>
        <v>0</v>
      </c>
      <c r="AL436" s="102">
        <f t="shared" si="343"/>
        <v>0</v>
      </c>
      <c r="AM436" s="102">
        <f t="shared" si="344"/>
        <v>0</v>
      </c>
      <c r="AS436" s="530">
        <v>435</v>
      </c>
      <c r="AT436" s="531">
        <f t="shared" ca="1" si="314"/>
        <v>59406</v>
      </c>
      <c r="AU436" s="532">
        <f ca="1">IF(AU435=0,SUMIFS('Key Life Events'!$L$3:$L$28,'Key Life Events'!$H$3:$H$28,'Loan Amortization'!$AY$3,'Key Life Events'!$N$3:$N$28,'Loan Amortization'!AT436),AU435-AX435)</f>
        <v>0</v>
      </c>
      <c r="AV436" s="532">
        <f t="shared" ca="1" si="315"/>
        <v>0</v>
      </c>
      <c r="AW436" s="532">
        <f t="shared" ca="1" si="304"/>
        <v>0</v>
      </c>
      <c r="AX436" s="532">
        <f t="shared" ca="1" si="305"/>
        <v>0</v>
      </c>
      <c r="BC436" s="536">
        <f t="shared" ca="1" si="306"/>
        <v>2062</v>
      </c>
      <c r="BF436" s="530">
        <v>435</v>
      </c>
      <c r="BG436" s="531">
        <f t="shared" ca="1" si="316"/>
        <v>59406</v>
      </c>
      <c r="BH436" s="532">
        <f ca="1">IF(BH435=0,SUMIFS('Key Life Events'!$L$3:$L$28,'Key Life Events'!$H$3:$H$28,'Loan Amortization'!$BL$3,'Key Life Events'!$N$3:$N$28,'Loan Amortization'!BG436),BH435-BK435)</f>
        <v>0</v>
      </c>
      <c r="BI436" s="532">
        <f t="shared" ca="1" si="317"/>
        <v>0</v>
      </c>
      <c r="BJ436" s="532">
        <f t="shared" ca="1" si="318"/>
        <v>0</v>
      </c>
      <c r="BK436" s="532">
        <f t="shared" ca="1" si="307"/>
        <v>0</v>
      </c>
      <c r="BP436" s="536">
        <f t="shared" ca="1" si="308"/>
        <v>2062</v>
      </c>
      <c r="BS436" s="530">
        <v>435</v>
      </c>
      <c r="BT436" s="531">
        <f t="shared" ca="1" si="319"/>
        <v>59406</v>
      </c>
      <c r="BU436" s="532">
        <f ca="1">IF(BU435=0,SUMIFS('Key Life Events'!$L$3:$L$28,'Key Life Events'!$H$3:$H$28,'Loan Amortization'!$BY$3,'Key Life Events'!$N$3:$N$28,'Loan Amortization'!BT436),BU435-BX435)</f>
        <v>0</v>
      </c>
      <c r="BV436" s="532">
        <f t="shared" ca="1" si="324"/>
        <v>0</v>
      </c>
      <c r="BW436" s="532">
        <f t="shared" ca="1" si="320"/>
        <v>0</v>
      </c>
      <c r="BX436" s="532">
        <f t="shared" ca="1" si="309"/>
        <v>0</v>
      </c>
      <c r="CC436" s="536">
        <f t="shared" ca="1" si="310"/>
        <v>2062</v>
      </c>
      <c r="CF436" s="530">
        <v>435</v>
      </c>
      <c r="CG436" s="531">
        <f t="shared" ca="1" si="321"/>
        <v>59406</v>
      </c>
      <c r="CH436" s="532">
        <f ca="1">IF(CH435=0,SUMIFS('Key Life Events'!$L$3:$L$28,'Key Life Events'!$H$3:$H$28,'Loan Amortization'!$CL$3,'Key Life Events'!$N$3:$N$28,'Loan Amortization'!CG436),CH435-CK435)</f>
        <v>0</v>
      </c>
      <c r="CI436" s="532">
        <f t="shared" ca="1" si="322"/>
        <v>0</v>
      </c>
      <c r="CJ436" s="532">
        <f t="shared" ca="1" si="323"/>
        <v>0</v>
      </c>
      <c r="CK436" s="532">
        <f t="shared" ca="1" si="311"/>
        <v>0</v>
      </c>
      <c r="CP436" s="536">
        <f t="shared" ca="1" si="312"/>
        <v>2062</v>
      </c>
      <c r="CS436" s="100">
        <f t="shared" ref="CS436:CS499" si="345">AH436</f>
        <v>435</v>
      </c>
      <c r="CT436" s="102">
        <f t="shared" ref="CT436:CT499" ca="1" si="346">C436+Y436+AJ436+N436+AU436+BH436+BU436+CH436</f>
        <v>0</v>
      </c>
      <c r="CU436" s="102">
        <f t="shared" ref="CU436:CU499" ca="1" si="347">D436+Z436+AK436+O436+AV436+BI436+BV436+CI436</f>
        <v>0</v>
      </c>
      <c r="CV436" s="511">
        <f t="shared" ca="1" si="313"/>
        <v>2062</v>
      </c>
    </row>
    <row r="437" spans="1:100" x14ac:dyDescent="0.3">
      <c r="A437" s="100">
        <v>436</v>
      </c>
      <c r="B437" s="131">
        <f t="shared" si="325"/>
        <v>12416</v>
      </c>
      <c r="C437" s="102">
        <f t="shared" si="326"/>
        <v>0</v>
      </c>
      <c r="D437" s="102">
        <f t="shared" si="327"/>
        <v>0</v>
      </c>
      <c r="E437" s="102">
        <f t="shared" si="328"/>
        <v>0</v>
      </c>
      <c r="F437" s="102">
        <f t="shared" si="329"/>
        <v>0</v>
      </c>
      <c r="L437" s="100">
        <v>436</v>
      </c>
      <c r="M437" s="131">
        <f t="shared" ca="1" si="330"/>
        <v>59437</v>
      </c>
      <c r="N437" s="102">
        <f t="shared" si="331"/>
        <v>0</v>
      </c>
      <c r="O437" s="102">
        <f t="shared" si="332"/>
        <v>0</v>
      </c>
      <c r="P437" s="102">
        <f t="shared" si="333"/>
        <v>0</v>
      </c>
      <c r="Q437" s="102">
        <f t="shared" si="334"/>
        <v>0</v>
      </c>
      <c r="W437" s="100">
        <v>436</v>
      </c>
      <c r="X437" s="131">
        <f t="shared" ca="1" si="335"/>
        <v>59437</v>
      </c>
      <c r="Y437" s="102">
        <f t="shared" si="336"/>
        <v>0</v>
      </c>
      <c r="Z437" s="102">
        <f t="shared" si="337"/>
        <v>0</v>
      </c>
      <c r="AA437" s="102">
        <f t="shared" si="338"/>
        <v>0</v>
      </c>
      <c r="AB437" s="102">
        <f t="shared" si="339"/>
        <v>0</v>
      </c>
      <c r="AH437" s="100">
        <v>436</v>
      </c>
      <c r="AI437" s="131">
        <f t="shared" ca="1" si="340"/>
        <v>59437</v>
      </c>
      <c r="AJ437" s="102">
        <f t="shared" si="341"/>
        <v>0</v>
      </c>
      <c r="AK437" s="102">
        <f t="shared" si="342"/>
        <v>0</v>
      </c>
      <c r="AL437" s="102">
        <f t="shared" si="343"/>
        <v>0</v>
      </c>
      <c r="AM437" s="102">
        <f t="shared" si="344"/>
        <v>0</v>
      </c>
      <c r="AS437" s="530">
        <v>436</v>
      </c>
      <c r="AT437" s="531">
        <f t="shared" ca="1" si="314"/>
        <v>59437</v>
      </c>
      <c r="AU437" s="532">
        <f ca="1">IF(AU436=0,SUMIFS('Key Life Events'!$L$3:$L$28,'Key Life Events'!$H$3:$H$28,'Loan Amortization'!$AY$3,'Key Life Events'!$N$3:$N$28,'Loan Amortization'!AT437),AU436-AX436)</f>
        <v>0</v>
      </c>
      <c r="AV437" s="532">
        <f t="shared" ca="1" si="315"/>
        <v>0</v>
      </c>
      <c r="AW437" s="532">
        <f t="shared" ca="1" si="304"/>
        <v>0</v>
      </c>
      <c r="AX437" s="532">
        <f t="shared" ca="1" si="305"/>
        <v>0</v>
      </c>
      <c r="BC437" s="536">
        <f t="shared" ca="1" si="306"/>
        <v>2062</v>
      </c>
      <c r="BF437" s="530">
        <v>436</v>
      </c>
      <c r="BG437" s="531">
        <f t="shared" ca="1" si="316"/>
        <v>59437</v>
      </c>
      <c r="BH437" s="532">
        <f ca="1">IF(BH436=0,SUMIFS('Key Life Events'!$L$3:$L$28,'Key Life Events'!$H$3:$H$28,'Loan Amortization'!$BL$3,'Key Life Events'!$N$3:$N$28,'Loan Amortization'!BG437),BH436-BK436)</f>
        <v>0</v>
      </c>
      <c r="BI437" s="532">
        <f t="shared" ca="1" si="317"/>
        <v>0</v>
      </c>
      <c r="BJ437" s="532">
        <f t="shared" ca="1" si="318"/>
        <v>0</v>
      </c>
      <c r="BK437" s="532">
        <f t="shared" ca="1" si="307"/>
        <v>0</v>
      </c>
      <c r="BP437" s="536">
        <f t="shared" ca="1" si="308"/>
        <v>2062</v>
      </c>
      <c r="BS437" s="530">
        <v>436</v>
      </c>
      <c r="BT437" s="531">
        <f t="shared" ca="1" si="319"/>
        <v>59437</v>
      </c>
      <c r="BU437" s="532">
        <f ca="1">IF(BU436=0,SUMIFS('Key Life Events'!$L$3:$L$28,'Key Life Events'!$H$3:$H$28,'Loan Amortization'!$BY$3,'Key Life Events'!$N$3:$N$28,'Loan Amortization'!BT437),BU436-BX436)</f>
        <v>0</v>
      </c>
      <c r="BV437" s="532">
        <f t="shared" ca="1" si="324"/>
        <v>0</v>
      </c>
      <c r="BW437" s="532">
        <f t="shared" ca="1" si="320"/>
        <v>0</v>
      </c>
      <c r="BX437" s="532">
        <f t="shared" ca="1" si="309"/>
        <v>0</v>
      </c>
      <c r="CC437" s="536">
        <f t="shared" ca="1" si="310"/>
        <v>2062</v>
      </c>
      <c r="CF437" s="530">
        <v>436</v>
      </c>
      <c r="CG437" s="531">
        <f t="shared" ca="1" si="321"/>
        <v>59437</v>
      </c>
      <c r="CH437" s="532">
        <f ca="1">IF(CH436=0,SUMIFS('Key Life Events'!$L$3:$L$28,'Key Life Events'!$H$3:$H$28,'Loan Amortization'!$CL$3,'Key Life Events'!$N$3:$N$28,'Loan Amortization'!CG437),CH436-CK436)</f>
        <v>0</v>
      </c>
      <c r="CI437" s="532">
        <f t="shared" ca="1" si="322"/>
        <v>0</v>
      </c>
      <c r="CJ437" s="532">
        <f t="shared" ca="1" si="323"/>
        <v>0</v>
      </c>
      <c r="CK437" s="532">
        <f t="shared" ca="1" si="311"/>
        <v>0</v>
      </c>
      <c r="CP437" s="536">
        <f t="shared" ca="1" si="312"/>
        <v>2062</v>
      </c>
      <c r="CS437" s="100">
        <f t="shared" si="345"/>
        <v>436</v>
      </c>
      <c r="CT437" s="102">
        <f t="shared" ca="1" si="346"/>
        <v>0</v>
      </c>
      <c r="CU437" s="102">
        <f t="shared" ca="1" si="347"/>
        <v>0</v>
      </c>
      <c r="CV437" s="511">
        <f t="shared" ca="1" si="313"/>
        <v>2062</v>
      </c>
    </row>
    <row r="438" spans="1:100" x14ac:dyDescent="0.3">
      <c r="A438" s="100">
        <v>437</v>
      </c>
      <c r="B438" s="131">
        <f t="shared" si="325"/>
        <v>12447</v>
      </c>
      <c r="C438" s="102">
        <f t="shared" si="326"/>
        <v>0</v>
      </c>
      <c r="D438" s="102">
        <f t="shared" si="327"/>
        <v>0</v>
      </c>
      <c r="E438" s="102">
        <f t="shared" si="328"/>
        <v>0</v>
      </c>
      <c r="F438" s="102">
        <f t="shared" si="329"/>
        <v>0</v>
      </c>
      <c r="L438" s="100">
        <v>437</v>
      </c>
      <c r="M438" s="131">
        <f t="shared" ca="1" si="330"/>
        <v>59467</v>
      </c>
      <c r="N438" s="102">
        <f t="shared" si="331"/>
        <v>0</v>
      </c>
      <c r="O438" s="102">
        <f t="shared" si="332"/>
        <v>0</v>
      </c>
      <c r="P438" s="102">
        <f t="shared" si="333"/>
        <v>0</v>
      </c>
      <c r="Q438" s="102">
        <f t="shared" si="334"/>
        <v>0</v>
      </c>
      <c r="W438" s="100">
        <v>437</v>
      </c>
      <c r="X438" s="131">
        <f t="shared" ca="1" si="335"/>
        <v>59467</v>
      </c>
      <c r="Y438" s="102">
        <f t="shared" si="336"/>
        <v>0</v>
      </c>
      <c r="Z438" s="102">
        <f t="shared" si="337"/>
        <v>0</v>
      </c>
      <c r="AA438" s="102">
        <f t="shared" si="338"/>
        <v>0</v>
      </c>
      <c r="AB438" s="102">
        <f t="shared" si="339"/>
        <v>0</v>
      </c>
      <c r="AH438" s="100">
        <v>437</v>
      </c>
      <c r="AI438" s="131">
        <f t="shared" ca="1" si="340"/>
        <v>59467</v>
      </c>
      <c r="AJ438" s="102">
        <f t="shared" si="341"/>
        <v>0</v>
      </c>
      <c r="AK438" s="102">
        <f t="shared" si="342"/>
        <v>0</v>
      </c>
      <c r="AL438" s="102">
        <f t="shared" si="343"/>
        <v>0</v>
      </c>
      <c r="AM438" s="102">
        <f t="shared" si="344"/>
        <v>0</v>
      </c>
      <c r="AS438" s="530">
        <v>437</v>
      </c>
      <c r="AT438" s="531">
        <f t="shared" ca="1" si="314"/>
        <v>59467</v>
      </c>
      <c r="AU438" s="532">
        <f ca="1">IF(AU437=0,SUMIFS('Key Life Events'!$L$3:$L$28,'Key Life Events'!$H$3:$H$28,'Loan Amortization'!$AY$3,'Key Life Events'!$N$3:$N$28,'Loan Amortization'!AT438),AU437-AX437)</f>
        <v>0</v>
      </c>
      <c r="AV438" s="532">
        <f t="shared" ca="1" si="315"/>
        <v>0</v>
      </c>
      <c r="AW438" s="532">
        <f t="shared" ca="1" si="304"/>
        <v>0</v>
      </c>
      <c r="AX438" s="532">
        <f t="shared" ca="1" si="305"/>
        <v>0</v>
      </c>
      <c r="BC438" s="536">
        <f t="shared" ca="1" si="306"/>
        <v>2062</v>
      </c>
      <c r="BF438" s="530">
        <v>437</v>
      </c>
      <c r="BG438" s="531">
        <f t="shared" ca="1" si="316"/>
        <v>59467</v>
      </c>
      <c r="BH438" s="532">
        <f ca="1">IF(BH437=0,SUMIFS('Key Life Events'!$L$3:$L$28,'Key Life Events'!$H$3:$H$28,'Loan Amortization'!$BL$3,'Key Life Events'!$N$3:$N$28,'Loan Amortization'!BG438),BH437-BK437)</f>
        <v>0</v>
      </c>
      <c r="BI438" s="532">
        <f t="shared" ca="1" si="317"/>
        <v>0</v>
      </c>
      <c r="BJ438" s="532">
        <f t="shared" ca="1" si="318"/>
        <v>0</v>
      </c>
      <c r="BK438" s="532">
        <f t="shared" ca="1" si="307"/>
        <v>0</v>
      </c>
      <c r="BP438" s="536">
        <f t="shared" ca="1" si="308"/>
        <v>2062</v>
      </c>
      <c r="BS438" s="530">
        <v>437</v>
      </c>
      <c r="BT438" s="531">
        <f t="shared" ca="1" si="319"/>
        <v>59467</v>
      </c>
      <c r="BU438" s="532">
        <f ca="1">IF(BU437=0,SUMIFS('Key Life Events'!$L$3:$L$28,'Key Life Events'!$H$3:$H$28,'Loan Amortization'!$BY$3,'Key Life Events'!$N$3:$N$28,'Loan Amortization'!BT438),BU437-BX437)</f>
        <v>0</v>
      </c>
      <c r="BV438" s="532">
        <f t="shared" ca="1" si="324"/>
        <v>0</v>
      </c>
      <c r="BW438" s="532">
        <f t="shared" ca="1" si="320"/>
        <v>0</v>
      </c>
      <c r="BX438" s="532">
        <f t="shared" ca="1" si="309"/>
        <v>0</v>
      </c>
      <c r="CC438" s="536">
        <f t="shared" ca="1" si="310"/>
        <v>2062</v>
      </c>
      <c r="CF438" s="530">
        <v>437</v>
      </c>
      <c r="CG438" s="531">
        <f t="shared" ca="1" si="321"/>
        <v>59467</v>
      </c>
      <c r="CH438" s="532">
        <f ca="1">IF(CH437=0,SUMIFS('Key Life Events'!$L$3:$L$28,'Key Life Events'!$H$3:$H$28,'Loan Amortization'!$CL$3,'Key Life Events'!$N$3:$N$28,'Loan Amortization'!CG438),CH437-CK437)</f>
        <v>0</v>
      </c>
      <c r="CI438" s="532">
        <f t="shared" ca="1" si="322"/>
        <v>0</v>
      </c>
      <c r="CJ438" s="532">
        <f t="shared" ca="1" si="323"/>
        <v>0</v>
      </c>
      <c r="CK438" s="532">
        <f t="shared" ca="1" si="311"/>
        <v>0</v>
      </c>
      <c r="CP438" s="536">
        <f t="shared" ca="1" si="312"/>
        <v>2062</v>
      </c>
      <c r="CS438" s="100">
        <f t="shared" si="345"/>
        <v>437</v>
      </c>
      <c r="CT438" s="102">
        <f t="shared" ca="1" si="346"/>
        <v>0</v>
      </c>
      <c r="CU438" s="102">
        <f t="shared" ca="1" si="347"/>
        <v>0</v>
      </c>
      <c r="CV438" s="511">
        <f t="shared" ca="1" si="313"/>
        <v>2062</v>
      </c>
    </row>
    <row r="439" spans="1:100" x14ac:dyDescent="0.3">
      <c r="A439" s="100">
        <v>438</v>
      </c>
      <c r="B439" s="131">
        <f t="shared" si="325"/>
        <v>12478</v>
      </c>
      <c r="C439" s="102">
        <f t="shared" si="326"/>
        <v>0</v>
      </c>
      <c r="D439" s="102">
        <f t="shared" si="327"/>
        <v>0</v>
      </c>
      <c r="E439" s="102">
        <f t="shared" si="328"/>
        <v>0</v>
      </c>
      <c r="F439" s="102">
        <f t="shared" si="329"/>
        <v>0</v>
      </c>
      <c r="L439" s="100">
        <v>438</v>
      </c>
      <c r="M439" s="131">
        <f t="shared" ca="1" si="330"/>
        <v>59498</v>
      </c>
      <c r="N439" s="102">
        <f t="shared" si="331"/>
        <v>0</v>
      </c>
      <c r="O439" s="102">
        <f t="shared" si="332"/>
        <v>0</v>
      </c>
      <c r="P439" s="102">
        <f t="shared" si="333"/>
        <v>0</v>
      </c>
      <c r="Q439" s="102">
        <f t="shared" si="334"/>
        <v>0</v>
      </c>
      <c r="W439" s="100">
        <v>438</v>
      </c>
      <c r="X439" s="131">
        <f t="shared" ca="1" si="335"/>
        <v>59498</v>
      </c>
      <c r="Y439" s="102">
        <f t="shared" si="336"/>
        <v>0</v>
      </c>
      <c r="Z439" s="102">
        <f t="shared" si="337"/>
        <v>0</v>
      </c>
      <c r="AA439" s="102">
        <f t="shared" si="338"/>
        <v>0</v>
      </c>
      <c r="AB439" s="102">
        <f t="shared" si="339"/>
        <v>0</v>
      </c>
      <c r="AH439" s="100">
        <v>438</v>
      </c>
      <c r="AI439" s="131">
        <f t="shared" ca="1" si="340"/>
        <v>59498</v>
      </c>
      <c r="AJ439" s="102">
        <f t="shared" si="341"/>
        <v>0</v>
      </c>
      <c r="AK439" s="102">
        <f t="shared" si="342"/>
        <v>0</v>
      </c>
      <c r="AL439" s="102">
        <f t="shared" si="343"/>
        <v>0</v>
      </c>
      <c r="AM439" s="102">
        <f t="shared" si="344"/>
        <v>0</v>
      </c>
      <c r="AS439" s="530">
        <v>438</v>
      </c>
      <c r="AT439" s="531">
        <f t="shared" ca="1" si="314"/>
        <v>59498</v>
      </c>
      <c r="AU439" s="532">
        <f ca="1">IF(AU438=0,SUMIFS('Key Life Events'!$L$3:$L$28,'Key Life Events'!$H$3:$H$28,'Loan Amortization'!$AY$3,'Key Life Events'!$N$3:$N$28,'Loan Amortization'!AT439),AU438-AX438)</f>
        <v>0</v>
      </c>
      <c r="AV439" s="532">
        <f t="shared" ca="1" si="315"/>
        <v>0</v>
      </c>
      <c r="AW439" s="532">
        <f t="shared" ca="1" si="304"/>
        <v>0</v>
      </c>
      <c r="AX439" s="532">
        <f t="shared" ca="1" si="305"/>
        <v>0</v>
      </c>
      <c r="BC439" s="536">
        <f t="shared" ca="1" si="306"/>
        <v>2062</v>
      </c>
      <c r="BF439" s="530">
        <v>438</v>
      </c>
      <c r="BG439" s="531">
        <f t="shared" ca="1" si="316"/>
        <v>59498</v>
      </c>
      <c r="BH439" s="532">
        <f ca="1">IF(BH438=0,SUMIFS('Key Life Events'!$L$3:$L$28,'Key Life Events'!$H$3:$H$28,'Loan Amortization'!$BL$3,'Key Life Events'!$N$3:$N$28,'Loan Amortization'!BG439),BH438-BK438)</f>
        <v>0</v>
      </c>
      <c r="BI439" s="532">
        <f t="shared" ca="1" si="317"/>
        <v>0</v>
      </c>
      <c r="BJ439" s="532">
        <f t="shared" ca="1" si="318"/>
        <v>0</v>
      </c>
      <c r="BK439" s="532">
        <f t="shared" ca="1" si="307"/>
        <v>0</v>
      </c>
      <c r="BP439" s="536">
        <f t="shared" ca="1" si="308"/>
        <v>2062</v>
      </c>
      <c r="BS439" s="530">
        <v>438</v>
      </c>
      <c r="BT439" s="531">
        <f t="shared" ca="1" si="319"/>
        <v>59498</v>
      </c>
      <c r="BU439" s="532">
        <f ca="1">IF(BU438=0,SUMIFS('Key Life Events'!$L$3:$L$28,'Key Life Events'!$H$3:$H$28,'Loan Amortization'!$BY$3,'Key Life Events'!$N$3:$N$28,'Loan Amortization'!BT439),BU438-BX438)</f>
        <v>0</v>
      </c>
      <c r="BV439" s="532">
        <f t="shared" ca="1" si="324"/>
        <v>0</v>
      </c>
      <c r="BW439" s="532">
        <f t="shared" ca="1" si="320"/>
        <v>0</v>
      </c>
      <c r="BX439" s="532">
        <f t="shared" ca="1" si="309"/>
        <v>0</v>
      </c>
      <c r="CC439" s="536">
        <f t="shared" ca="1" si="310"/>
        <v>2062</v>
      </c>
      <c r="CF439" s="530">
        <v>438</v>
      </c>
      <c r="CG439" s="531">
        <f t="shared" ca="1" si="321"/>
        <v>59498</v>
      </c>
      <c r="CH439" s="532">
        <f ca="1">IF(CH438=0,SUMIFS('Key Life Events'!$L$3:$L$28,'Key Life Events'!$H$3:$H$28,'Loan Amortization'!$CL$3,'Key Life Events'!$N$3:$N$28,'Loan Amortization'!CG439),CH438-CK438)</f>
        <v>0</v>
      </c>
      <c r="CI439" s="532">
        <f t="shared" ca="1" si="322"/>
        <v>0</v>
      </c>
      <c r="CJ439" s="532">
        <f t="shared" ca="1" si="323"/>
        <v>0</v>
      </c>
      <c r="CK439" s="532">
        <f t="shared" ca="1" si="311"/>
        <v>0</v>
      </c>
      <c r="CP439" s="536">
        <f t="shared" ca="1" si="312"/>
        <v>2062</v>
      </c>
      <c r="CS439" s="100">
        <f t="shared" si="345"/>
        <v>438</v>
      </c>
      <c r="CT439" s="102">
        <f t="shared" ca="1" si="346"/>
        <v>0</v>
      </c>
      <c r="CU439" s="102">
        <f t="shared" ca="1" si="347"/>
        <v>0</v>
      </c>
      <c r="CV439" s="511">
        <f t="shared" ca="1" si="313"/>
        <v>2062</v>
      </c>
    </row>
    <row r="440" spans="1:100" x14ac:dyDescent="0.3">
      <c r="A440" s="100">
        <v>439</v>
      </c>
      <c r="B440" s="131">
        <f t="shared" si="325"/>
        <v>12506</v>
      </c>
      <c r="C440" s="102">
        <f t="shared" si="326"/>
        <v>0</v>
      </c>
      <c r="D440" s="102">
        <f t="shared" si="327"/>
        <v>0</v>
      </c>
      <c r="E440" s="102">
        <f t="shared" si="328"/>
        <v>0</v>
      </c>
      <c r="F440" s="102">
        <f t="shared" si="329"/>
        <v>0</v>
      </c>
      <c r="L440" s="100">
        <v>439</v>
      </c>
      <c r="M440" s="131">
        <f t="shared" ca="1" si="330"/>
        <v>59528</v>
      </c>
      <c r="N440" s="102">
        <f t="shared" si="331"/>
        <v>0</v>
      </c>
      <c r="O440" s="102">
        <f t="shared" si="332"/>
        <v>0</v>
      </c>
      <c r="P440" s="102">
        <f t="shared" si="333"/>
        <v>0</v>
      </c>
      <c r="Q440" s="102">
        <f t="shared" si="334"/>
        <v>0</v>
      </c>
      <c r="W440" s="100">
        <v>439</v>
      </c>
      <c r="X440" s="131">
        <f t="shared" ca="1" si="335"/>
        <v>59528</v>
      </c>
      <c r="Y440" s="102">
        <f t="shared" si="336"/>
        <v>0</v>
      </c>
      <c r="Z440" s="102">
        <f t="shared" si="337"/>
        <v>0</v>
      </c>
      <c r="AA440" s="102">
        <f t="shared" si="338"/>
        <v>0</v>
      </c>
      <c r="AB440" s="102">
        <f t="shared" si="339"/>
        <v>0</v>
      </c>
      <c r="AH440" s="100">
        <v>439</v>
      </c>
      <c r="AI440" s="131">
        <f t="shared" ca="1" si="340"/>
        <v>59528</v>
      </c>
      <c r="AJ440" s="102">
        <f t="shared" si="341"/>
        <v>0</v>
      </c>
      <c r="AK440" s="102">
        <f t="shared" si="342"/>
        <v>0</v>
      </c>
      <c r="AL440" s="102">
        <f t="shared" si="343"/>
        <v>0</v>
      </c>
      <c r="AM440" s="102">
        <f t="shared" si="344"/>
        <v>0</v>
      </c>
      <c r="AS440" s="530">
        <v>439</v>
      </c>
      <c r="AT440" s="531">
        <f t="shared" ca="1" si="314"/>
        <v>59528</v>
      </c>
      <c r="AU440" s="532">
        <f ca="1">IF(AU439=0,SUMIFS('Key Life Events'!$L$3:$L$28,'Key Life Events'!$H$3:$H$28,'Loan Amortization'!$AY$3,'Key Life Events'!$N$3:$N$28,'Loan Amortization'!AT440),AU439-AX439)</f>
        <v>0</v>
      </c>
      <c r="AV440" s="532">
        <f t="shared" ca="1" si="315"/>
        <v>0</v>
      </c>
      <c r="AW440" s="532">
        <f t="shared" ca="1" si="304"/>
        <v>0</v>
      </c>
      <c r="AX440" s="532">
        <f t="shared" ca="1" si="305"/>
        <v>0</v>
      </c>
      <c r="BC440" s="536">
        <f t="shared" ca="1" si="306"/>
        <v>2062</v>
      </c>
      <c r="BF440" s="530">
        <v>439</v>
      </c>
      <c r="BG440" s="531">
        <f t="shared" ca="1" si="316"/>
        <v>59528</v>
      </c>
      <c r="BH440" s="532">
        <f ca="1">IF(BH439=0,SUMIFS('Key Life Events'!$L$3:$L$28,'Key Life Events'!$H$3:$H$28,'Loan Amortization'!$BL$3,'Key Life Events'!$N$3:$N$28,'Loan Amortization'!BG440),BH439-BK439)</f>
        <v>0</v>
      </c>
      <c r="BI440" s="532">
        <f t="shared" ca="1" si="317"/>
        <v>0</v>
      </c>
      <c r="BJ440" s="532">
        <f t="shared" ca="1" si="318"/>
        <v>0</v>
      </c>
      <c r="BK440" s="532">
        <f t="shared" ca="1" si="307"/>
        <v>0</v>
      </c>
      <c r="BP440" s="536">
        <f t="shared" ca="1" si="308"/>
        <v>2062</v>
      </c>
      <c r="BS440" s="530">
        <v>439</v>
      </c>
      <c r="BT440" s="531">
        <f t="shared" ca="1" si="319"/>
        <v>59528</v>
      </c>
      <c r="BU440" s="532">
        <f ca="1">IF(BU439=0,SUMIFS('Key Life Events'!$L$3:$L$28,'Key Life Events'!$H$3:$H$28,'Loan Amortization'!$BY$3,'Key Life Events'!$N$3:$N$28,'Loan Amortization'!BT440),BU439-BX439)</f>
        <v>0</v>
      </c>
      <c r="BV440" s="532">
        <f t="shared" ca="1" si="324"/>
        <v>0</v>
      </c>
      <c r="BW440" s="532">
        <f t="shared" ca="1" si="320"/>
        <v>0</v>
      </c>
      <c r="BX440" s="532">
        <f t="shared" ca="1" si="309"/>
        <v>0</v>
      </c>
      <c r="CC440" s="536">
        <f t="shared" ca="1" si="310"/>
        <v>2062</v>
      </c>
      <c r="CF440" s="530">
        <v>439</v>
      </c>
      <c r="CG440" s="531">
        <f t="shared" ca="1" si="321"/>
        <v>59528</v>
      </c>
      <c r="CH440" s="532">
        <f ca="1">IF(CH439=0,SUMIFS('Key Life Events'!$L$3:$L$28,'Key Life Events'!$H$3:$H$28,'Loan Amortization'!$CL$3,'Key Life Events'!$N$3:$N$28,'Loan Amortization'!CG440),CH439-CK439)</f>
        <v>0</v>
      </c>
      <c r="CI440" s="532">
        <f t="shared" ca="1" si="322"/>
        <v>0</v>
      </c>
      <c r="CJ440" s="532">
        <f t="shared" ca="1" si="323"/>
        <v>0</v>
      </c>
      <c r="CK440" s="532">
        <f t="shared" ca="1" si="311"/>
        <v>0</v>
      </c>
      <c r="CP440" s="536">
        <f t="shared" ca="1" si="312"/>
        <v>2062</v>
      </c>
      <c r="CS440" s="100">
        <f t="shared" si="345"/>
        <v>439</v>
      </c>
      <c r="CT440" s="102">
        <f t="shared" ca="1" si="346"/>
        <v>0</v>
      </c>
      <c r="CU440" s="102">
        <f t="shared" ca="1" si="347"/>
        <v>0</v>
      </c>
      <c r="CV440" s="511">
        <f t="shared" ca="1" si="313"/>
        <v>2062</v>
      </c>
    </row>
    <row r="441" spans="1:100" x14ac:dyDescent="0.3">
      <c r="A441" s="100">
        <v>440</v>
      </c>
      <c r="B441" s="131">
        <f t="shared" si="325"/>
        <v>12537</v>
      </c>
      <c r="C441" s="102">
        <f t="shared" si="326"/>
        <v>0</v>
      </c>
      <c r="D441" s="102">
        <f t="shared" si="327"/>
        <v>0</v>
      </c>
      <c r="E441" s="102">
        <f t="shared" si="328"/>
        <v>0</v>
      </c>
      <c r="F441" s="102">
        <f t="shared" si="329"/>
        <v>0</v>
      </c>
      <c r="L441" s="100">
        <v>440</v>
      </c>
      <c r="M441" s="131">
        <f t="shared" ca="1" si="330"/>
        <v>59559</v>
      </c>
      <c r="N441" s="102">
        <f t="shared" si="331"/>
        <v>0</v>
      </c>
      <c r="O441" s="102">
        <f t="shared" si="332"/>
        <v>0</v>
      </c>
      <c r="P441" s="102">
        <f t="shared" si="333"/>
        <v>0</v>
      </c>
      <c r="Q441" s="102">
        <f t="shared" si="334"/>
        <v>0</v>
      </c>
      <c r="W441" s="100">
        <v>440</v>
      </c>
      <c r="X441" s="131">
        <f t="shared" ca="1" si="335"/>
        <v>59559</v>
      </c>
      <c r="Y441" s="102">
        <f t="shared" si="336"/>
        <v>0</v>
      </c>
      <c r="Z441" s="102">
        <f t="shared" si="337"/>
        <v>0</v>
      </c>
      <c r="AA441" s="102">
        <f t="shared" si="338"/>
        <v>0</v>
      </c>
      <c r="AB441" s="102">
        <f t="shared" si="339"/>
        <v>0</v>
      </c>
      <c r="AH441" s="100">
        <v>440</v>
      </c>
      <c r="AI441" s="131">
        <f t="shared" ca="1" si="340"/>
        <v>59559</v>
      </c>
      <c r="AJ441" s="102">
        <f t="shared" si="341"/>
        <v>0</v>
      </c>
      <c r="AK441" s="102">
        <f t="shared" si="342"/>
        <v>0</v>
      </c>
      <c r="AL441" s="102">
        <f t="shared" si="343"/>
        <v>0</v>
      </c>
      <c r="AM441" s="102">
        <f t="shared" si="344"/>
        <v>0</v>
      </c>
      <c r="AS441" s="530">
        <v>440</v>
      </c>
      <c r="AT441" s="531">
        <f t="shared" ca="1" si="314"/>
        <v>59559</v>
      </c>
      <c r="AU441" s="532">
        <f ca="1">IF(AU440=0,SUMIFS('Key Life Events'!$L$3:$L$28,'Key Life Events'!$H$3:$H$28,'Loan Amortization'!$AY$3,'Key Life Events'!$N$3:$N$28,'Loan Amortization'!AT441),AU440-AX440)</f>
        <v>0</v>
      </c>
      <c r="AV441" s="532">
        <f t="shared" ca="1" si="315"/>
        <v>0</v>
      </c>
      <c r="AW441" s="532">
        <f t="shared" ca="1" si="304"/>
        <v>0</v>
      </c>
      <c r="AX441" s="532">
        <f t="shared" ca="1" si="305"/>
        <v>0</v>
      </c>
      <c r="BC441" s="536">
        <f t="shared" ca="1" si="306"/>
        <v>2063</v>
      </c>
      <c r="BF441" s="530">
        <v>440</v>
      </c>
      <c r="BG441" s="531">
        <f t="shared" ca="1" si="316"/>
        <v>59559</v>
      </c>
      <c r="BH441" s="532">
        <f ca="1">IF(BH440=0,SUMIFS('Key Life Events'!$L$3:$L$28,'Key Life Events'!$H$3:$H$28,'Loan Amortization'!$BL$3,'Key Life Events'!$N$3:$N$28,'Loan Amortization'!BG441),BH440-BK440)</f>
        <v>0</v>
      </c>
      <c r="BI441" s="532">
        <f t="shared" ca="1" si="317"/>
        <v>0</v>
      </c>
      <c r="BJ441" s="532">
        <f t="shared" ca="1" si="318"/>
        <v>0</v>
      </c>
      <c r="BK441" s="532">
        <f t="shared" ca="1" si="307"/>
        <v>0</v>
      </c>
      <c r="BP441" s="536">
        <f t="shared" ca="1" si="308"/>
        <v>2063</v>
      </c>
      <c r="BS441" s="530">
        <v>440</v>
      </c>
      <c r="BT441" s="531">
        <f t="shared" ca="1" si="319"/>
        <v>59559</v>
      </c>
      <c r="BU441" s="532">
        <f ca="1">IF(BU440=0,SUMIFS('Key Life Events'!$L$3:$L$28,'Key Life Events'!$H$3:$H$28,'Loan Amortization'!$BY$3,'Key Life Events'!$N$3:$N$28,'Loan Amortization'!BT441),BU440-BX440)</f>
        <v>0</v>
      </c>
      <c r="BV441" s="532">
        <f t="shared" ca="1" si="324"/>
        <v>0</v>
      </c>
      <c r="BW441" s="532">
        <f t="shared" ca="1" si="320"/>
        <v>0</v>
      </c>
      <c r="BX441" s="532">
        <f t="shared" ca="1" si="309"/>
        <v>0</v>
      </c>
      <c r="CC441" s="536">
        <f t="shared" ca="1" si="310"/>
        <v>2063</v>
      </c>
      <c r="CF441" s="530">
        <v>440</v>
      </c>
      <c r="CG441" s="531">
        <f t="shared" ca="1" si="321"/>
        <v>59559</v>
      </c>
      <c r="CH441" s="532">
        <f ca="1">IF(CH440=0,SUMIFS('Key Life Events'!$L$3:$L$28,'Key Life Events'!$H$3:$H$28,'Loan Amortization'!$CL$3,'Key Life Events'!$N$3:$N$28,'Loan Amortization'!CG441),CH440-CK440)</f>
        <v>0</v>
      </c>
      <c r="CI441" s="532">
        <f t="shared" ca="1" si="322"/>
        <v>0</v>
      </c>
      <c r="CJ441" s="532">
        <f t="shared" ca="1" si="323"/>
        <v>0</v>
      </c>
      <c r="CK441" s="532">
        <f t="shared" ca="1" si="311"/>
        <v>0</v>
      </c>
      <c r="CP441" s="536">
        <f t="shared" ca="1" si="312"/>
        <v>2063</v>
      </c>
      <c r="CS441" s="100">
        <f t="shared" si="345"/>
        <v>440</v>
      </c>
      <c r="CT441" s="102">
        <f t="shared" ca="1" si="346"/>
        <v>0</v>
      </c>
      <c r="CU441" s="102">
        <f t="shared" ca="1" si="347"/>
        <v>0</v>
      </c>
      <c r="CV441" s="511">
        <f t="shared" ca="1" si="313"/>
        <v>2063</v>
      </c>
    </row>
    <row r="442" spans="1:100" x14ac:dyDescent="0.3">
      <c r="A442" s="100">
        <v>441</v>
      </c>
      <c r="B442" s="131">
        <f t="shared" si="325"/>
        <v>12567</v>
      </c>
      <c r="C442" s="102">
        <f t="shared" si="326"/>
        <v>0</v>
      </c>
      <c r="D442" s="102">
        <f t="shared" si="327"/>
        <v>0</v>
      </c>
      <c r="E442" s="102">
        <f t="shared" si="328"/>
        <v>0</v>
      </c>
      <c r="F442" s="102">
        <f t="shared" si="329"/>
        <v>0</v>
      </c>
      <c r="L442" s="100">
        <v>441</v>
      </c>
      <c r="M442" s="131">
        <f t="shared" ca="1" si="330"/>
        <v>59590</v>
      </c>
      <c r="N442" s="102">
        <f t="shared" si="331"/>
        <v>0</v>
      </c>
      <c r="O442" s="102">
        <f t="shared" si="332"/>
        <v>0</v>
      </c>
      <c r="P442" s="102">
        <f t="shared" si="333"/>
        <v>0</v>
      </c>
      <c r="Q442" s="102">
        <f t="shared" si="334"/>
        <v>0</v>
      </c>
      <c r="W442" s="100">
        <v>441</v>
      </c>
      <c r="X442" s="131">
        <f t="shared" ca="1" si="335"/>
        <v>59590</v>
      </c>
      <c r="Y442" s="102">
        <f t="shared" si="336"/>
        <v>0</v>
      </c>
      <c r="Z442" s="102">
        <f t="shared" si="337"/>
        <v>0</v>
      </c>
      <c r="AA442" s="102">
        <f t="shared" si="338"/>
        <v>0</v>
      </c>
      <c r="AB442" s="102">
        <f t="shared" si="339"/>
        <v>0</v>
      </c>
      <c r="AH442" s="100">
        <v>441</v>
      </c>
      <c r="AI442" s="131">
        <f t="shared" ca="1" si="340"/>
        <v>59590</v>
      </c>
      <c r="AJ442" s="102">
        <f t="shared" si="341"/>
        <v>0</v>
      </c>
      <c r="AK442" s="102">
        <f t="shared" si="342"/>
        <v>0</v>
      </c>
      <c r="AL442" s="102">
        <f t="shared" si="343"/>
        <v>0</v>
      </c>
      <c r="AM442" s="102">
        <f t="shared" si="344"/>
        <v>0</v>
      </c>
      <c r="AS442" s="530">
        <v>441</v>
      </c>
      <c r="AT442" s="531">
        <f t="shared" ca="1" si="314"/>
        <v>59590</v>
      </c>
      <c r="AU442" s="532">
        <f ca="1">IF(AU441=0,SUMIFS('Key Life Events'!$L$3:$L$28,'Key Life Events'!$H$3:$H$28,'Loan Amortization'!$AY$3,'Key Life Events'!$N$3:$N$28,'Loan Amortization'!AT442),AU441-AX441)</f>
        <v>0</v>
      </c>
      <c r="AV442" s="532">
        <f t="shared" ca="1" si="315"/>
        <v>0</v>
      </c>
      <c r="AW442" s="532">
        <f t="shared" ca="1" si="304"/>
        <v>0</v>
      </c>
      <c r="AX442" s="532">
        <f t="shared" ca="1" si="305"/>
        <v>0</v>
      </c>
      <c r="BC442" s="536">
        <f t="shared" ca="1" si="306"/>
        <v>2063</v>
      </c>
      <c r="BF442" s="530">
        <v>441</v>
      </c>
      <c r="BG442" s="531">
        <f t="shared" ca="1" si="316"/>
        <v>59590</v>
      </c>
      <c r="BH442" s="532">
        <f ca="1">IF(BH441=0,SUMIFS('Key Life Events'!$L$3:$L$28,'Key Life Events'!$H$3:$H$28,'Loan Amortization'!$BL$3,'Key Life Events'!$N$3:$N$28,'Loan Amortization'!BG442),BH441-BK441)</f>
        <v>0</v>
      </c>
      <c r="BI442" s="532">
        <f t="shared" ca="1" si="317"/>
        <v>0</v>
      </c>
      <c r="BJ442" s="532">
        <f t="shared" ca="1" si="318"/>
        <v>0</v>
      </c>
      <c r="BK442" s="532">
        <f t="shared" ca="1" si="307"/>
        <v>0</v>
      </c>
      <c r="BP442" s="536">
        <f t="shared" ca="1" si="308"/>
        <v>2063</v>
      </c>
      <c r="BS442" s="530">
        <v>441</v>
      </c>
      <c r="BT442" s="531">
        <f t="shared" ca="1" si="319"/>
        <v>59590</v>
      </c>
      <c r="BU442" s="532">
        <f ca="1">IF(BU441=0,SUMIFS('Key Life Events'!$L$3:$L$28,'Key Life Events'!$H$3:$H$28,'Loan Amortization'!$BY$3,'Key Life Events'!$N$3:$N$28,'Loan Amortization'!BT442),BU441-BX441)</f>
        <v>0</v>
      </c>
      <c r="BV442" s="532">
        <f t="shared" ca="1" si="324"/>
        <v>0</v>
      </c>
      <c r="BW442" s="532">
        <f t="shared" ca="1" si="320"/>
        <v>0</v>
      </c>
      <c r="BX442" s="532">
        <f t="shared" ca="1" si="309"/>
        <v>0</v>
      </c>
      <c r="CC442" s="536">
        <f t="shared" ca="1" si="310"/>
        <v>2063</v>
      </c>
      <c r="CF442" s="530">
        <v>441</v>
      </c>
      <c r="CG442" s="531">
        <f t="shared" ca="1" si="321"/>
        <v>59590</v>
      </c>
      <c r="CH442" s="532">
        <f ca="1">IF(CH441=0,SUMIFS('Key Life Events'!$L$3:$L$28,'Key Life Events'!$H$3:$H$28,'Loan Amortization'!$CL$3,'Key Life Events'!$N$3:$N$28,'Loan Amortization'!CG442),CH441-CK441)</f>
        <v>0</v>
      </c>
      <c r="CI442" s="532">
        <f t="shared" ca="1" si="322"/>
        <v>0</v>
      </c>
      <c r="CJ442" s="532">
        <f t="shared" ca="1" si="323"/>
        <v>0</v>
      </c>
      <c r="CK442" s="532">
        <f t="shared" ca="1" si="311"/>
        <v>0</v>
      </c>
      <c r="CP442" s="536">
        <f t="shared" ca="1" si="312"/>
        <v>2063</v>
      </c>
      <c r="CS442" s="100">
        <f t="shared" si="345"/>
        <v>441</v>
      </c>
      <c r="CT442" s="102">
        <f t="shared" ca="1" si="346"/>
        <v>0</v>
      </c>
      <c r="CU442" s="102">
        <f t="shared" ca="1" si="347"/>
        <v>0</v>
      </c>
      <c r="CV442" s="511">
        <f t="shared" ca="1" si="313"/>
        <v>2063</v>
      </c>
    </row>
    <row r="443" spans="1:100" x14ac:dyDescent="0.3">
      <c r="A443" s="100">
        <v>442</v>
      </c>
      <c r="B443" s="131">
        <f t="shared" si="325"/>
        <v>12598</v>
      </c>
      <c r="C443" s="102">
        <f t="shared" si="326"/>
        <v>0</v>
      </c>
      <c r="D443" s="102">
        <f t="shared" si="327"/>
        <v>0</v>
      </c>
      <c r="E443" s="102">
        <f t="shared" si="328"/>
        <v>0</v>
      </c>
      <c r="F443" s="102">
        <f t="shared" si="329"/>
        <v>0</v>
      </c>
      <c r="L443" s="100">
        <v>442</v>
      </c>
      <c r="M443" s="131">
        <f t="shared" ca="1" si="330"/>
        <v>59618</v>
      </c>
      <c r="N443" s="102">
        <f t="shared" si="331"/>
        <v>0</v>
      </c>
      <c r="O443" s="102">
        <f t="shared" si="332"/>
        <v>0</v>
      </c>
      <c r="P443" s="102">
        <f t="shared" si="333"/>
        <v>0</v>
      </c>
      <c r="Q443" s="102">
        <f t="shared" si="334"/>
        <v>0</v>
      </c>
      <c r="W443" s="100">
        <v>442</v>
      </c>
      <c r="X443" s="131">
        <f t="shared" ca="1" si="335"/>
        <v>59618</v>
      </c>
      <c r="Y443" s="102">
        <f t="shared" si="336"/>
        <v>0</v>
      </c>
      <c r="Z443" s="102">
        <f t="shared" si="337"/>
        <v>0</v>
      </c>
      <c r="AA443" s="102">
        <f t="shared" si="338"/>
        <v>0</v>
      </c>
      <c r="AB443" s="102">
        <f t="shared" si="339"/>
        <v>0</v>
      </c>
      <c r="AH443" s="100">
        <v>442</v>
      </c>
      <c r="AI443" s="131">
        <f t="shared" ca="1" si="340"/>
        <v>59618</v>
      </c>
      <c r="AJ443" s="102">
        <f t="shared" si="341"/>
        <v>0</v>
      </c>
      <c r="AK443" s="102">
        <f t="shared" si="342"/>
        <v>0</v>
      </c>
      <c r="AL443" s="102">
        <f t="shared" si="343"/>
        <v>0</v>
      </c>
      <c r="AM443" s="102">
        <f t="shared" si="344"/>
        <v>0</v>
      </c>
      <c r="AS443" s="530">
        <v>442</v>
      </c>
      <c r="AT443" s="531">
        <f t="shared" ca="1" si="314"/>
        <v>59618</v>
      </c>
      <c r="AU443" s="532">
        <f ca="1">IF(AU442=0,SUMIFS('Key Life Events'!$L$3:$L$28,'Key Life Events'!$H$3:$H$28,'Loan Amortization'!$AY$3,'Key Life Events'!$N$3:$N$28,'Loan Amortization'!AT443),AU442-AX442)</f>
        <v>0</v>
      </c>
      <c r="AV443" s="532">
        <f t="shared" ca="1" si="315"/>
        <v>0</v>
      </c>
      <c r="AW443" s="532">
        <f t="shared" ca="1" si="304"/>
        <v>0</v>
      </c>
      <c r="AX443" s="532">
        <f t="shared" ca="1" si="305"/>
        <v>0</v>
      </c>
      <c r="BC443" s="536">
        <f t="shared" ca="1" si="306"/>
        <v>2063</v>
      </c>
      <c r="BF443" s="530">
        <v>442</v>
      </c>
      <c r="BG443" s="531">
        <f t="shared" ca="1" si="316"/>
        <v>59618</v>
      </c>
      <c r="BH443" s="532">
        <f ca="1">IF(BH442=0,SUMIFS('Key Life Events'!$L$3:$L$28,'Key Life Events'!$H$3:$H$28,'Loan Amortization'!$BL$3,'Key Life Events'!$N$3:$N$28,'Loan Amortization'!BG443),BH442-BK442)</f>
        <v>0</v>
      </c>
      <c r="BI443" s="532">
        <f t="shared" ca="1" si="317"/>
        <v>0</v>
      </c>
      <c r="BJ443" s="532">
        <f t="shared" ca="1" si="318"/>
        <v>0</v>
      </c>
      <c r="BK443" s="532">
        <f t="shared" ca="1" si="307"/>
        <v>0</v>
      </c>
      <c r="BP443" s="536">
        <f t="shared" ca="1" si="308"/>
        <v>2063</v>
      </c>
      <c r="BS443" s="530">
        <v>442</v>
      </c>
      <c r="BT443" s="531">
        <f t="shared" ca="1" si="319"/>
        <v>59618</v>
      </c>
      <c r="BU443" s="532">
        <f ca="1">IF(BU442=0,SUMIFS('Key Life Events'!$L$3:$L$28,'Key Life Events'!$H$3:$H$28,'Loan Amortization'!$BY$3,'Key Life Events'!$N$3:$N$28,'Loan Amortization'!BT443),BU442-BX442)</f>
        <v>0</v>
      </c>
      <c r="BV443" s="532">
        <f t="shared" ca="1" si="324"/>
        <v>0</v>
      </c>
      <c r="BW443" s="532">
        <f t="shared" ca="1" si="320"/>
        <v>0</v>
      </c>
      <c r="BX443" s="532">
        <f t="shared" ca="1" si="309"/>
        <v>0</v>
      </c>
      <c r="CC443" s="536">
        <f t="shared" ca="1" si="310"/>
        <v>2063</v>
      </c>
      <c r="CF443" s="530">
        <v>442</v>
      </c>
      <c r="CG443" s="531">
        <f t="shared" ca="1" si="321"/>
        <v>59618</v>
      </c>
      <c r="CH443" s="532">
        <f ca="1">IF(CH442=0,SUMIFS('Key Life Events'!$L$3:$L$28,'Key Life Events'!$H$3:$H$28,'Loan Amortization'!$CL$3,'Key Life Events'!$N$3:$N$28,'Loan Amortization'!CG443),CH442-CK442)</f>
        <v>0</v>
      </c>
      <c r="CI443" s="532">
        <f t="shared" ca="1" si="322"/>
        <v>0</v>
      </c>
      <c r="CJ443" s="532">
        <f t="shared" ca="1" si="323"/>
        <v>0</v>
      </c>
      <c r="CK443" s="532">
        <f t="shared" ca="1" si="311"/>
        <v>0</v>
      </c>
      <c r="CP443" s="536">
        <f t="shared" ca="1" si="312"/>
        <v>2063</v>
      </c>
      <c r="CS443" s="100">
        <f t="shared" si="345"/>
        <v>442</v>
      </c>
      <c r="CT443" s="102">
        <f t="shared" ca="1" si="346"/>
        <v>0</v>
      </c>
      <c r="CU443" s="102">
        <f t="shared" ca="1" si="347"/>
        <v>0</v>
      </c>
      <c r="CV443" s="511">
        <f t="shared" ca="1" si="313"/>
        <v>2063</v>
      </c>
    </row>
    <row r="444" spans="1:100" x14ac:dyDescent="0.3">
      <c r="A444" s="100">
        <v>443</v>
      </c>
      <c r="B444" s="131">
        <f t="shared" si="325"/>
        <v>12628</v>
      </c>
      <c r="C444" s="102">
        <f t="shared" si="326"/>
        <v>0</v>
      </c>
      <c r="D444" s="102">
        <f t="shared" si="327"/>
        <v>0</v>
      </c>
      <c r="E444" s="102">
        <f t="shared" si="328"/>
        <v>0</v>
      </c>
      <c r="F444" s="102">
        <f t="shared" si="329"/>
        <v>0</v>
      </c>
      <c r="L444" s="100">
        <v>443</v>
      </c>
      <c r="M444" s="131">
        <f t="shared" ca="1" si="330"/>
        <v>59649</v>
      </c>
      <c r="N444" s="102">
        <f t="shared" si="331"/>
        <v>0</v>
      </c>
      <c r="O444" s="102">
        <f t="shared" si="332"/>
        <v>0</v>
      </c>
      <c r="P444" s="102">
        <f t="shared" si="333"/>
        <v>0</v>
      </c>
      <c r="Q444" s="102">
        <f t="shared" si="334"/>
        <v>0</v>
      </c>
      <c r="W444" s="100">
        <v>443</v>
      </c>
      <c r="X444" s="131">
        <f t="shared" ca="1" si="335"/>
        <v>59649</v>
      </c>
      <c r="Y444" s="102">
        <f t="shared" si="336"/>
        <v>0</v>
      </c>
      <c r="Z444" s="102">
        <f t="shared" si="337"/>
        <v>0</v>
      </c>
      <c r="AA444" s="102">
        <f t="shared" si="338"/>
        <v>0</v>
      </c>
      <c r="AB444" s="102">
        <f t="shared" si="339"/>
        <v>0</v>
      </c>
      <c r="AH444" s="100">
        <v>443</v>
      </c>
      <c r="AI444" s="131">
        <f t="shared" ca="1" si="340"/>
        <v>59649</v>
      </c>
      <c r="AJ444" s="102">
        <f t="shared" si="341"/>
        <v>0</v>
      </c>
      <c r="AK444" s="102">
        <f t="shared" si="342"/>
        <v>0</v>
      </c>
      <c r="AL444" s="102">
        <f t="shared" si="343"/>
        <v>0</v>
      </c>
      <c r="AM444" s="102">
        <f t="shared" si="344"/>
        <v>0</v>
      </c>
      <c r="AS444" s="530">
        <v>443</v>
      </c>
      <c r="AT444" s="531">
        <f t="shared" ca="1" si="314"/>
        <v>59649</v>
      </c>
      <c r="AU444" s="532">
        <f ca="1">IF(AU443=0,SUMIFS('Key Life Events'!$L$3:$L$28,'Key Life Events'!$H$3:$H$28,'Loan Amortization'!$AY$3,'Key Life Events'!$N$3:$N$28,'Loan Amortization'!AT444),AU443-AX443)</f>
        <v>0</v>
      </c>
      <c r="AV444" s="532">
        <f t="shared" ca="1" si="315"/>
        <v>0</v>
      </c>
      <c r="AW444" s="532">
        <f t="shared" ca="1" si="304"/>
        <v>0</v>
      </c>
      <c r="AX444" s="532">
        <f t="shared" ca="1" si="305"/>
        <v>0</v>
      </c>
      <c r="BC444" s="536">
        <f t="shared" ca="1" si="306"/>
        <v>2063</v>
      </c>
      <c r="BF444" s="530">
        <v>443</v>
      </c>
      <c r="BG444" s="531">
        <f t="shared" ca="1" si="316"/>
        <v>59649</v>
      </c>
      <c r="BH444" s="532">
        <f ca="1">IF(BH443=0,SUMIFS('Key Life Events'!$L$3:$L$28,'Key Life Events'!$H$3:$H$28,'Loan Amortization'!$BL$3,'Key Life Events'!$N$3:$N$28,'Loan Amortization'!BG444),BH443-BK443)</f>
        <v>0</v>
      </c>
      <c r="BI444" s="532">
        <f t="shared" ca="1" si="317"/>
        <v>0</v>
      </c>
      <c r="BJ444" s="532">
        <f t="shared" ca="1" si="318"/>
        <v>0</v>
      </c>
      <c r="BK444" s="532">
        <f t="shared" ca="1" si="307"/>
        <v>0</v>
      </c>
      <c r="BP444" s="536">
        <f t="shared" ca="1" si="308"/>
        <v>2063</v>
      </c>
      <c r="BS444" s="530">
        <v>443</v>
      </c>
      <c r="BT444" s="531">
        <f t="shared" ca="1" si="319"/>
        <v>59649</v>
      </c>
      <c r="BU444" s="532">
        <f ca="1">IF(BU443=0,SUMIFS('Key Life Events'!$L$3:$L$28,'Key Life Events'!$H$3:$H$28,'Loan Amortization'!$BY$3,'Key Life Events'!$N$3:$N$28,'Loan Amortization'!BT444),BU443-BX443)</f>
        <v>0</v>
      </c>
      <c r="BV444" s="532">
        <f t="shared" ca="1" si="324"/>
        <v>0</v>
      </c>
      <c r="BW444" s="532">
        <f t="shared" ca="1" si="320"/>
        <v>0</v>
      </c>
      <c r="BX444" s="532">
        <f t="shared" ca="1" si="309"/>
        <v>0</v>
      </c>
      <c r="CC444" s="536">
        <f t="shared" ca="1" si="310"/>
        <v>2063</v>
      </c>
      <c r="CF444" s="530">
        <v>443</v>
      </c>
      <c r="CG444" s="531">
        <f t="shared" ca="1" si="321"/>
        <v>59649</v>
      </c>
      <c r="CH444" s="532">
        <f ca="1">IF(CH443=0,SUMIFS('Key Life Events'!$L$3:$L$28,'Key Life Events'!$H$3:$H$28,'Loan Amortization'!$CL$3,'Key Life Events'!$N$3:$N$28,'Loan Amortization'!CG444),CH443-CK443)</f>
        <v>0</v>
      </c>
      <c r="CI444" s="532">
        <f t="shared" ca="1" si="322"/>
        <v>0</v>
      </c>
      <c r="CJ444" s="532">
        <f t="shared" ca="1" si="323"/>
        <v>0</v>
      </c>
      <c r="CK444" s="532">
        <f t="shared" ca="1" si="311"/>
        <v>0</v>
      </c>
      <c r="CP444" s="536">
        <f t="shared" ca="1" si="312"/>
        <v>2063</v>
      </c>
      <c r="CS444" s="100">
        <f t="shared" si="345"/>
        <v>443</v>
      </c>
      <c r="CT444" s="102">
        <f t="shared" ca="1" si="346"/>
        <v>0</v>
      </c>
      <c r="CU444" s="102">
        <f t="shared" ca="1" si="347"/>
        <v>0</v>
      </c>
      <c r="CV444" s="511">
        <f t="shared" ca="1" si="313"/>
        <v>2063</v>
      </c>
    </row>
    <row r="445" spans="1:100" x14ac:dyDescent="0.3">
      <c r="A445" s="100">
        <v>444</v>
      </c>
      <c r="B445" s="131">
        <f t="shared" si="325"/>
        <v>12659</v>
      </c>
      <c r="C445" s="102">
        <f t="shared" si="326"/>
        <v>0</v>
      </c>
      <c r="D445" s="102">
        <f t="shared" si="327"/>
        <v>0</v>
      </c>
      <c r="E445" s="102">
        <f t="shared" si="328"/>
        <v>0</v>
      </c>
      <c r="F445" s="102">
        <f t="shared" si="329"/>
        <v>0</v>
      </c>
      <c r="L445" s="100">
        <v>444</v>
      </c>
      <c r="M445" s="131">
        <f t="shared" ca="1" si="330"/>
        <v>59679</v>
      </c>
      <c r="N445" s="102">
        <f t="shared" si="331"/>
        <v>0</v>
      </c>
      <c r="O445" s="102">
        <f t="shared" si="332"/>
        <v>0</v>
      </c>
      <c r="P445" s="102">
        <f t="shared" si="333"/>
        <v>0</v>
      </c>
      <c r="Q445" s="102">
        <f t="shared" si="334"/>
        <v>0</v>
      </c>
      <c r="W445" s="100">
        <v>444</v>
      </c>
      <c r="X445" s="131">
        <f t="shared" ca="1" si="335"/>
        <v>59679</v>
      </c>
      <c r="Y445" s="102">
        <f t="shared" si="336"/>
        <v>0</v>
      </c>
      <c r="Z445" s="102">
        <f t="shared" si="337"/>
        <v>0</v>
      </c>
      <c r="AA445" s="102">
        <f t="shared" si="338"/>
        <v>0</v>
      </c>
      <c r="AB445" s="102">
        <f t="shared" si="339"/>
        <v>0</v>
      </c>
      <c r="AH445" s="100">
        <v>444</v>
      </c>
      <c r="AI445" s="131">
        <f t="shared" ca="1" si="340"/>
        <v>59679</v>
      </c>
      <c r="AJ445" s="102">
        <f t="shared" si="341"/>
        <v>0</v>
      </c>
      <c r="AK445" s="102">
        <f t="shared" si="342"/>
        <v>0</v>
      </c>
      <c r="AL445" s="102">
        <f t="shared" si="343"/>
        <v>0</v>
      </c>
      <c r="AM445" s="102">
        <f t="shared" si="344"/>
        <v>0</v>
      </c>
      <c r="AS445" s="530">
        <v>444</v>
      </c>
      <c r="AT445" s="531">
        <f t="shared" ca="1" si="314"/>
        <v>59679</v>
      </c>
      <c r="AU445" s="532">
        <f ca="1">IF(AU444=0,SUMIFS('Key Life Events'!$L$3:$L$28,'Key Life Events'!$H$3:$H$28,'Loan Amortization'!$AY$3,'Key Life Events'!$N$3:$N$28,'Loan Amortization'!AT445),AU444-AX444)</f>
        <v>0</v>
      </c>
      <c r="AV445" s="532">
        <f t="shared" ca="1" si="315"/>
        <v>0</v>
      </c>
      <c r="AW445" s="532">
        <f t="shared" ca="1" si="304"/>
        <v>0</v>
      </c>
      <c r="AX445" s="532">
        <f t="shared" ca="1" si="305"/>
        <v>0</v>
      </c>
      <c r="BC445" s="536">
        <f t="shared" ca="1" si="306"/>
        <v>2063</v>
      </c>
      <c r="BF445" s="530">
        <v>444</v>
      </c>
      <c r="BG445" s="531">
        <f t="shared" ca="1" si="316"/>
        <v>59679</v>
      </c>
      <c r="BH445" s="532">
        <f ca="1">IF(BH444=0,SUMIFS('Key Life Events'!$L$3:$L$28,'Key Life Events'!$H$3:$H$28,'Loan Amortization'!$BL$3,'Key Life Events'!$N$3:$N$28,'Loan Amortization'!BG445),BH444-BK444)</f>
        <v>0</v>
      </c>
      <c r="BI445" s="532">
        <f t="shared" ca="1" si="317"/>
        <v>0</v>
      </c>
      <c r="BJ445" s="532">
        <f t="shared" ca="1" si="318"/>
        <v>0</v>
      </c>
      <c r="BK445" s="532">
        <f t="shared" ca="1" si="307"/>
        <v>0</v>
      </c>
      <c r="BP445" s="536">
        <f t="shared" ca="1" si="308"/>
        <v>2063</v>
      </c>
      <c r="BS445" s="530">
        <v>444</v>
      </c>
      <c r="BT445" s="531">
        <f t="shared" ca="1" si="319"/>
        <v>59679</v>
      </c>
      <c r="BU445" s="532">
        <f ca="1">IF(BU444=0,SUMIFS('Key Life Events'!$L$3:$L$28,'Key Life Events'!$H$3:$H$28,'Loan Amortization'!$BY$3,'Key Life Events'!$N$3:$N$28,'Loan Amortization'!BT445),BU444-BX444)</f>
        <v>0</v>
      </c>
      <c r="BV445" s="532">
        <f t="shared" ca="1" si="324"/>
        <v>0</v>
      </c>
      <c r="BW445" s="532">
        <f t="shared" ca="1" si="320"/>
        <v>0</v>
      </c>
      <c r="BX445" s="532">
        <f t="shared" ca="1" si="309"/>
        <v>0</v>
      </c>
      <c r="CC445" s="536">
        <f t="shared" ca="1" si="310"/>
        <v>2063</v>
      </c>
      <c r="CF445" s="530">
        <v>444</v>
      </c>
      <c r="CG445" s="531">
        <f t="shared" ca="1" si="321"/>
        <v>59679</v>
      </c>
      <c r="CH445" s="532">
        <f ca="1">IF(CH444=0,SUMIFS('Key Life Events'!$L$3:$L$28,'Key Life Events'!$H$3:$H$28,'Loan Amortization'!$CL$3,'Key Life Events'!$N$3:$N$28,'Loan Amortization'!CG445),CH444-CK444)</f>
        <v>0</v>
      </c>
      <c r="CI445" s="532">
        <f t="shared" ca="1" si="322"/>
        <v>0</v>
      </c>
      <c r="CJ445" s="532">
        <f t="shared" ca="1" si="323"/>
        <v>0</v>
      </c>
      <c r="CK445" s="532">
        <f t="shared" ca="1" si="311"/>
        <v>0</v>
      </c>
      <c r="CP445" s="536">
        <f t="shared" ca="1" si="312"/>
        <v>2063</v>
      </c>
      <c r="CS445" s="100">
        <f t="shared" si="345"/>
        <v>444</v>
      </c>
      <c r="CT445" s="102">
        <f t="shared" ca="1" si="346"/>
        <v>0</v>
      </c>
      <c r="CU445" s="102">
        <f t="shared" ca="1" si="347"/>
        <v>0</v>
      </c>
      <c r="CV445" s="511">
        <f t="shared" ca="1" si="313"/>
        <v>2063</v>
      </c>
    </row>
    <row r="446" spans="1:100" x14ac:dyDescent="0.3">
      <c r="A446" s="100">
        <v>445</v>
      </c>
      <c r="B446" s="131">
        <f t="shared" si="325"/>
        <v>12690</v>
      </c>
      <c r="C446" s="102">
        <f t="shared" si="326"/>
        <v>0</v>
      </c>
      <c r="D446" s="102">
        <f t="shared" si="327"/>
        <v>0</v>
      </c>
      <c r="E446" s="102">
        <f t="shared" si="328"/>
        <v>0</v>
      </c>
      <c r="F446" s="102">
        <f t="shared" si="329"/>
        <v>0</v>
      </c>
      <c r="L446" s="100">
        <v>445</v>
      </c>
      <c r="M446" s="131">
        <f t="shared" ca="1" si="330"/>
        <v>59710</v>
      </c>
      <c r="N446" s="102">
        <f t="shared" si="331"/>
        <v>0</v>
      </c>
      <c r="O446" s="102">
        <f t="shared" si="332"/>
        <v>0</v>
      </c>
      <c r="P446" s="102">
        <f t="shared" si="333"/>
        <v>0</v>
      </c>
      <c r="Q446" s="102">
        <f t="shared" si="334"/>
        <v>0</v>
      </c>
      <c r="W446" s="100">
        <v>445</v>
      </c>
      <c r="X446" s="131">
        <f t="shared" ca="1" si="335"/>
        <v>59710</v>
      </c>
      <c r="Y446" s="102">
        <f t="shared" si="336"/>
        <v>0</v>
      </c>
      <c r="Z446" s="102">
        <f t="shared" si="337"/>
        <v>0</v>
      </c>
      <c r="AA446" s="102">
        <f t="shared" si="338"/>
        <v>0</v>
      </c>
      <c r="AB446" s="102">
        <f t="shared" si="339"/>
        <v>0</v>
      </c>
      <c r="AH446" s="100">
        <v>445</v>
      </c>
      <c r="AI446" s="131">
        <f t="shared" ca="1" si="340"/>
        <v>59710</v>
      </c>
      <c r="AJ446" s="102">
        <f t="shared" si="341"/>
        <v>0</v>
      </c>
      <c r="AK446" s="102">
        <f t="shared" si="342"/>
        <v>0</v>
      </c>
      <c r="AL446" s="102">
        <f t="shared" si="343"/>
        <v>0</v>
      </c>
      <c r="AM446" s="102">
        <f t="shared" si="344"/>
        <v>0</v>
      </c>
      <c r="AS446" s="530">
        <v>445</v>
      </c>
      <c r="AT446" s="531">
        <f t="shared" ca="1" si="314"/>
        <v>59710</v>
      </c>
      <c r="AU446" s="532">
        <f ca="1">IF(AU445=0,SUMIFS('Key Life Events'!$L$3:$L$28,'Key Life Events'!$H$3:$H$28,'Loan Amortization'!$AY$3,'Key Life Events'!$N$3:$N$28,'Loan Amortization'!AT446),AU445-AX445)</f>
        <v>0</v>
      </c>
      <c r="AV446" s="532">
        <f t="shared" ca="1" si="315"/>
        <v>0</v>
      </c>
      <c r="AW446" s="532">
        <f t="shared" ca="1" si="304"/>
        <v>0</v>
      </c>
      <c r="AX446" s="532">
        <f t="shared" ca="1" si="305"/>
        <v>0</v>
      </c>
      <c r="BC446" s="536">
        <f t="shared" ca="1" si="306"/>
        <v>2063</v>
      </c>
      <c r="BF446" s="530">
        <v>445</v>
      </c>
      <c r="BG446" s="531">
        <f t="shared" ca="1" si="316"/>
        <v>59710</v>
      </c>
      <c r="BH446" s="532">
        <f ca="1">IF(BH445=0,SUMIFS('Key Life Events'!$L$3:$L$28,'Key Life Events'!$H$3:$H$28,'Loan Amortization'!$BL$3,'Key Life Events'!$N$3:$N$28,'Loan Amortization'!BG446),BH445-BK445)</f>
        <v>0</v>
      </c>
      <c r="BI446" s="532">
        <f t="shared" ca="1" si="317"/>
        <v>0</v>
      </c>
      <c r="BJ446" s="532">
        <f t="shared" ca="1" si="318"/>
        <v>0</v>
      </c>
      <c r="BK446" s="532">
        <f t="shared" ca="1" si="307"/>
        <v>0</v>
      </c>
      <c r="BP446" s="536">
        <f t="shared" ca="1" si="308"/>
        <v>2063</v>
      </c>
      <c r="BS446" s="530">
        <v>445</v>
      </c>
      <c r="BT446" s="531">
        <f t="shared" ca="1" si="319"/>
        <v>59710</v>
      </c>
      <c r="BU446" s="532">
        <f ca="1">IF(BU445=0,SUMIFS('Key Life Events'!$L$3:$L$28,'Key Life Events'!$H$3:$H$28,'Loan Amortization'!$BY$3,'Key Life Events'!$N$3:$N$28,'Loan Amortization'!BT446),BU445-BX445)</f>
        <v>0</v>
      </c>
      <c r="BV446" s="532">
        <f t="shared" ca="1" si="324"/>
        <v>0</v>
      </c>
      <c r="BW446" s="532">
        <f t="shared" ca="1" si="320"/>
        <v>0</v>
      </c>
      <c r="BX446" s="532">
        <f t="shared" ca="1" si="309"/>
        <v>0</v>
      </c>
      <c r="CC446" s="536">
        <f t="shared" ca="1" si="310"/>
        <v>2063</v>
      </c>
      <c r="CF446" s="530">
        <v>445</v>
      </c>
      <c r="CG446" s="531">
        <f t="shared" ca="1" si="321"/>
        <v>59710</v>
      </c>
      <c r="CH446" s="532">
        <f ca="1">IF(CH445=0,SUMIFS('Key Life Events'!$L$3:$L$28,'Key Life Events'!$H$3:$H$28,'Loan Amortization'!$CL$3,'Key Life Events'!$N$3:$N$28,'Loan Amortization'!CG446),CH445-CK445)</f>
        <v>0</v>
      </c>
      <c r="CI446" s="532">
        <f t="shared" ca="1" si="322"/>
        <v>0</v>
      </c>
      <c r="CJ446" s="532">
        <f t="shared" ca="1" si="323"/>
        <v>0</v>
      </c>
      <c r="CK446" s="532">
        <f t="shared" ca="1" si="311"/>
        <v>0</v>
      </c>
      <c r="CP446" s="536">
        <f t="shared" ca="1" si="312"/>
        <v>2063</v>
      </c>
      <c r="CS446" s="100">
        <f t="shared" si="345"/>
        <v>445</v>
      </c>
      <c r="CT446" s="102">
        <f t="shared" ca="1" si="346"/>
        <v>0</v>
      </c>
      <c r="CU446" s="102">
        <f t="shared" ca="1" si="347"/>
        <v>0</v>
      </c>
      <c r="CV446" s="511">
        <f t="shared" ca="1" si="313"/>
        <v>2063</v>
      </c>
    </row>
    <row r="447" spans="1:100" x14ac:dyDescent="0.3">
      <c r="A447" s="100">
        <v>446</v>
      </c>
      <c r="B447" s="131">
        <f t="shared" si="325"/>
        <v>12720</v>
      </c>
      <c r="C447" s="102">
        <f t="shared" si="326"/>
        <v>0</v>
      </c>
      <c r="D447" s="102">
        <f t="shared" si="327"/>
        <v>0</v>
      </c>
      <c r="E447" s="102">
        <f t="shared" si="328"/>
        <v>0</v>
      </c>
      <c r="F447" s="102">
        <f t="shared" si="329"/>
        <v>0</v>
      </c>
      <c r="L447" s="100">
        <v>446</v>
      </c>
      <c r="M447" s="131">
        <f t="shared" ca="1" si="330"/>
        <v>59740</v>
      </c>
      <c r="N447" s="102">
        <f t="shared" si="331"/>
        <v>0</v>
      </c>
      <c r="O447" s="102">
        <f t="shared" si="332"/>
        <v>0</v>
      </c>
      <c r="P447" s="102">
        <f t="shared" si="333"/>
        <v>0</v>
      </c>
      <c r="Q447" s="102">
        <f t="shared" si="334"/>
        <v>0</v>
      </c>
      <c r="W447" s="100">
        <v>446</v>
      </c>
      <c r="X447" s="131">
        <f t="shared" ca="1" si="335"/>
        <v>59740</v>
      </c>
      <c r="Y447" s="102">
        <f t="shared" si="336"/>
        <v>0</v>
      </c>
      <c r="Z447" s="102">
        <f t="shared" si="337"/>
        <v>0</v>
      </c>
      <c r="AA447" s="102">
        <f t="shared" si="338"/>
        <v>0</v>
      </c>
      <c r="AB447" s="102">
        <f t="shared" si="339"/>
        <v>0</v>
      </c>
      <c r="AH447" s="100">
        <v>446</v>
      </c>
      <c r="AI447" s="131">
        <f t="shared" ca="1" si="340"/>
        <v>59740</v>
      </c>
      <c r="AJ447" s="102">
        <f t="shared" si="341"/>
        <v>0</v>
      </c>
      <c r="AK447" s="102">
        <f t="shared" si="342"/>
        <v>0</v>
      </c>
      <c r="AL447" s="102">
        <f t="shared" si="343"/>
        <v>0</v>
      </c>
      <c r="AM447" s="102">
        <f t="shared" si="344"/>
        <v>0</v>
      </c>
      <c r="AS447" s="530">
        <v>446</v>
      </c>
      <c r="AT447" s="531">
        <f t="shared" ca="1" si="314"/>
        <v>59740</v>
      </c>
      <c r="AU447" s="532">
        <f ca="1">IF(AU446=0,SUMIFS('Key Life Events'!$L$3:$L$28,'Key Life Events'!$H$3:$H$28,'Loan Amortization'!$AY$3,'Key Life Events'!$N$3:$N$28,'Loan Amortization'!AT447),AU446-AX446)</f>
        <v>0</v>
      </c>
      <c r="AV447" s="532">
        <f t="shared" ca="1" si="315"/>
        <v>0</v>
      </c>
      <c r="AW447" s="532">
        <f t="shared" ca="1" si="304"/>
        <v>0</v>
      </c>
      <c r="AX447" s="532">
        <f t="shared" ca="1" si="305"/>
        <v>0</v>
      </c>
      <c r="BC447" s="536">
        <f t="shared" ca="1" si="306"/>
        <v>2063</v>
      </c>
      <c r="BF447" s="530">
        <v>446</v>
      </c>
      <c r="BG447" s="531">
        <f t="shared" ca="1" si="316"/>
        <v>59740</v>
      </c>
      <c r="BH447" s="532">
        <f ca="1">IF(BH446=0,SUMIFS('Key Life Events'!$L$3:$L$28,'Key Life Events'!$H$3:$H$28,'Loan Amortization'!$BL$3,'Key Life Events'!$N$3:$N$28,'Loan Amortization'!BG447),BH446-BK446)</f>
        <v>0</v>
      </c>
      <c r="BI447" s="532">
        <f t="shared" ca="1" si="317"/>
        <v>0</v>
      </c>
      <c r="BJ447" s="532">
        <f t="shared" ca="1" si="318"/>
        <v>0</v>
      </c>
      <c r="BK447" s="532">
        <f t="shared" ca="1" si="307"/>
        <v>0</v>
      </c>
      <c r="BP447" s="536">
        <f t="shared" ca="1" si="308"/>
        <v>2063</v>
      </c>
      <c r="BS447" s="530">
        <v>446</v>
      </c>
      <c r="BT447" s="531">
        <f t="shared" ca="1" si="319"/>
        <v>59740</v>
      </c>
      <c r="BU447" s="532">
        <f ca="1">IF(BU446=0,SUMIFS('Key Life Events'!$L$3:$L$28,'Key Life Events'!$H$3:$H$28,'Loan Amortization'!$BY$3,'Key Life Events'!$N$3:$N$28,'Loan Amortization'!BT447),BU446-BX446)</f>
        <v>0</v>
      </c>
      <c r="BV447" s="532">
        <f t="shared" ca="1" si="324"/>
        <v>0</v>
      </c>
      <c r="BW447" s="532">
        <f t="shared" ca="1" si="320"/>
        <v>0</v>
      </c>
      <c r="BX447" s="532">
        <f t="shared" ca="1" si="309"/>
        <v>0</v>
      </c>
      <c r="CC447" s="536">
        <f t="shared" ca="1" si="310"/>
        <v>2063</v>
      </c>
      <c r="CF447" s="530">
        <v>446</v>
      </c>
      <c r="CG447" s="531">
        <f t="shared" ca="1" si="321"/>
        <v>59740</v>
      </c>
      <c r="CH447" s="532">
        <f ca="1">IF(CH446=0,SUMIFS('Key Life Events'!$L$3:$L$28,'Key Life Events'!$H$3:$H$28,'Loan Amortization'!$CL$3,'Key Life Events'!$N$3:$N$28,'Loan Amortization'!CG447),CH446-CK446)</f>
        <v>0</v>
      </c>
      <c r="CI447" s="532">
        <f t="shared" ca="1" si="322"/>
        <v>0</v>
      </c>
      <c r="CJ447" s="532">
        <f t="shared" ca="1" si="323"/>
        <v>0</v>
      </c>
      <c r="CK447" s="532">
        <f t="shared" ca="1" si="311"/>
        <v>0</v>
      </c>
      <c r="CP447" s="536">
        <f t="shared" ca="1" si="312"/>
        <v>2063</v>
      </c>
      <c r="CS447" s="100">
        <f t="shared" si="345"/>
        <v>446</v>
      </c>
      <c r="CT447" s="102">
        <f t="shared" ca="1" si="346"/>
        <v>0</v>
      </c>
      <c r="CU447" s="102">
        <f t="shared" ca="1" si="347"/>
        <v>0</v>
      </c>
      <c r="CV447" s="511">
        <f t="shared" ca="1" si="313"/>
        <v>2063</v>
      </c>
    </row>
    <row r="448" spans="1:100" x14ac:dyDescent="0.3">
      <c r="A448" s="100">
        <v>447</v>
      </c>
      <c r="B448" s="131">
        <f t="shared" si="325"/>
        <v>12751</v>
      </c>
      <c r="C448" s="102">
        <f t="shared" si="326"/>
        <v>0</v>
      </c>
      <c r="D448" s="102">
        <f t="shared" si="327"/>
        <v>0</v>
      </c>
      <c r="E448" s="102">
        <f t="shared" si="328"/>
        <v>0</v>
      </c>
      <c r="F448" s="102">
        <f t="shared" si="329"/>
        <v>0</v>
      </c>
      <c r="L448" s="100">
        <v>447</v>
      </c>
      <c r="M448" s="131">
        <f t="shared" ca="1" si="330"/>
        <v>59771</v>
      </c>
      <c r="N448" s="102">
        <f t="shared" si="331"/>
        <v>0</v>
      </c>
      <c r="O448" s="102">
        <f t="shared" si="332"/>
        <v>0</v>
      </c>
      <c r="P448" s="102">
        <f t="shared" si="333"/>
        <v>0</v>
      </c>
      <c r="Q448" s="102">
        <f t="shared" si="334"/>
        <v>0</v>
      </c>
      <c r="W448" s="100">
        <v>447</v>
      </c>
      <c r="X448" s="131">
        <f t="shared" ca="1" si="335"/>
        <v>59771</v>
      </c>
      <c r="Y448" s="102">
        <f t="shared" si="336"/>
        <v>0</v>
      </c>
      <c r="Z448" s="102">
        <f t="shared" si="337"/>
        <v>0</v>
      </c>
      <c r="AA448" s="102">
        <f t="shared" si="338"/>
        <v>0</v>
      </c>
      <c r="AB448" s="102">
        <f t="shared" si="339"/>
        <v>0</v>
      </c>
      <c r="AH448" s="100">
        <v>447</v>
      </c>
      <c r="AI448" s="131">
        <f t="shared" ca="1" si="340"/>
        <v>59771</v>
      </c>
      <c r="AJ448" s="102">
        <f t="shared" si="341"/>
        <v>0</v>
      </c>
      <c r="AK448" s="102">
        <f t="shared" si="342"/>
        <v>0</v>
      </c>
      <c r="AL448" s="102">
        <f t="shared" si="343"/>
        <v>0</v>
      </c>
      <c r="AM448" s="102">
        <f t="shared" si="344"/>
        <v>0</v>
      </c>
      <c r="AS448" s="530">
        <v>447</v>
      </c>
      <c r="AT448" s="531">
        <f t="shared" ca="1" si="314"/>
        <v>59771</v>
      </c>
      <c r="AU448" s="532">
        <f ca="1">IF(AU447=0,SUMIFS('Key Life Events'!$L$3:$L$28,'Key Life Events'!$H$3:$H$28,'Loan Amortization'!$AY$3,'Key Life Events'!$N$3:$N$28,'Loan Amortization'!AT448),AU447-AX447)</f>
        <v>0</v>
      </c>
      <c r="AV448" s="532">
        <f t="shared" ca="1" si="315"/>
        <v>0</v>
      </c>
      <c r="AW448" s="532">
        <f t="shared" ca="1" si="304"/>
        <v>0</v>
      </c>
      <c r="AX448" s="532">
        <f t="shared" ca="1" si="305"/>
        <v>0</v>
      </c>
      <c r="BC448" s="536">
        <f t="shared" ca="1" si="306"/>
        <v>2063</v>
      </c>
      <c r="BF448" s="530">
        <v>447</v>
      </c>
      <c r="BG448" s="531">
        <f t="shared" ca="1" si="316"/>
        <v>59771</v>
      </c>
      <c r="BH448" s="532">
        <f ca="1">IF(BH447=0,SUMIFS('Key Life Events'!$L$3:$L$28,'Key Life Events'!$H$3:$H$28,'Loan Amortization'!$BL$3,'Key Life Events'!$N$3:$N$28,'Loan Amortization'!BG448),BH447-BK447)</f>
        <v>0</v>
      </c>
      <c r="BI448" s="532">
        <f t="shared" ca="1" si="317"/>
        <v>0</v>
      </c>
      <c r="BJ448" s="532">
        <f t="shared" ca="1" si="318"/>
        <v>0</v>
      </c>
      <c r="BK448" s="532">
        <f t="shared" ca="1" si="307"/>
        <v>0</v>
      </c>
      <c r="BP448" s="536">
        <f t="shared" ca="1" si="308"/>
        <v>2063</v>
      </c>
      <c r="BS448" s="530">
        <v>447</v>
      </c>
      <c r="BT448" s="531">
        <f t="shared" ca="1" si="319"/>
        <v>59771</v>
      </c>
      <c r="BU448" s="532">
        <f ca="1">IF(BU447=0,SUMIFS('Key Life Events'!$L$3:$L$28,'Key Life Events'!$H$3:$H$28,'Loan Amortization'!$BY$3,'Key Life Events'!$N$3:$N$28,'Loan Amortization'!BT448),BU447-BX447)</f>
        <v>0</v>
      </c>
      <c r="BV448" s="532">
        <f t="shared" ca="1" si="324"/>
        <v>0</v>
      </c>
      <c r="BW448" s="532">
        <f t="shared" ca="1" si="320"/>
        <v>0</v>
      </c>
      <c r="BX448" s="532">
        <f t="shared" ca="1" si="309"/>
        <v>0</v>
      </c>
      <c r="CC448" s="536">
        <f t="shared" ca="1" si="310"/>
        <v>2063</v>
      </c>
      <c r="CF448" s="530">
        <v>447</v>
      </c>
      <c r="CG448" s="531">
        <f t="shared" ca="1" si="321"/>
        <v>59771</v>
      </c>
      <c r="CH448" s="532">
        <f ca="1">IF(CH447=0,SUMIFS('Key Life Events'!$L$3:$L$28,'Key Life Events'!$H$3:$H$28,'Loan Amortization'!$CL$3,'Key Life Events'!$N$3:$N$28,'Loan Amortization'!CG448),CH447-CK447)</f>
        <v>0</v>
      </c>
      <c r="CI448" s="532">
        <f t="shared" ca="1" si="322"/>
        <v>0</v>
      </c>
      <c r="CJ448" s="532">
        <f t="shared" ca="1" si="323"/>
        <v>0</v>
      </c>
      <c r="CK448" s="532">
        <f t="shared" ca="1" si="311"/>
        <v>0</v>
      </c>
      <c r="CP448" s="536">
        <f t="shared" ca="1" si="312"/>
        <v>2063</v>
      </c>
      <c r="CS448" s="100">
        <f t="shared" si="345"/>
        <v>447</v>
      </c>
      <c r="CT448" s="102">
        <f t="shared" ca="1" si="346"/>
        <v>0</v>
      </c>
      <c r="CU448" s="102">
        <f t="shared" ca="1" si="347"/>
        <v>0</v>
      </c>
      <c r="CV448" s="511">
        <f t="shared" ca="1" si="313"/>
        <v>2063</v>
      </c>
    </row>
    <row r="449" spans="1:100" x14ac:dyDescent="0.3">
      <c r="A449" s="100">
        <v>448</v>
      </c>
      <c r="B449" s="131">
        <f t="shared" si="325"/>
        <v>12781</v>
      </c>
      <c r="C449" s="102">
        <f t="shared" si="326"/>
        <v>0</v>
      </c>
      <c r="D449" s="102">
        <f t="shared" si="327"/>
        <v>0</v>
      </c>
      <c r="E449" s="102">
        <f t="shared" si="328"/>
        <v>0</v>
      </c>
      <c r="F449" s="102">
        <f t="shared" si="329"/>
        <v>0</v>
      </c>
      <c r="L449" s="100">
        <v>448</v>
      </c>
      <c r="M449" s="131">
        <f t="shared" ca="1" si="330"/>
        <v>59802</v>
      </c>
      <c r="N449" s="102">
        <f t="shared" si="331"/>
        <v>0</v>
      </c>
      <c r="O449" s="102">
        <f t="shared" si="332"/>
        <v>0</v>
      </c>
      <c r="P449" s="102">
        <f t="shared" si="333"/>
        <v>0</v>
      </c>
      <c r="Q449" s="102">
        <f t="shared" si="334"/>
        <v>0</v>
      </c>
      <c r="W449" s="100">
        <v>448</v>
      </c>
      <c r="X449" s="131">
        <f t="shared" ca="1" si="335"/>
        <v>59802</v>
      </c>
      <c r="Y449" s="102">
        <f t="shared" si="336"/>
        <v>0</v>
      </c>
      <c r="Z449" s="102">
        <f t="shared" si="337"/>
        <v>0</v>
      </c>
      <c r="AA449" s="102">
        <f t="shared" si="338"/>
        <v>0</v>
      </c>
      <c r="AB449" s="102">
        <f t="shared" si="339"/>
        <v>0</v>
      </c>
      <c r="AH449" s="100">
        <v>448</v>
      </c>
      <c r="AI449" s="131">
        <f t="shared" ca="1" si="340"/>
        <v>59802</v>
      </c>
      <c r="AJ449" s="102">
        <f t="shared" si="341"/>
        <v>0</v>
      </c>
      <c r="AK449" s="102">
        <f t="shared" si="342"/>
        <v>0</v>
      </c>
      <c r="AL449" s="102">
        <f t="shared" si="343"/>
        <v>0</v>
      </c>
      <c r="AM449" s="102">
        <f t="shared" si="344"/>
        <v>0</v>
      </c>
      <c r="AS449" s="530">
        <v>448</v>
      </c>
      <c r="AT449" s="531">
        <f t="shared" ca="1" si="314"/>
        <v>59802</v>
      </c>
      <c r="AU449" s="532">
        <f ca="1">IF(AU448=0,SUMIFS('Key Life Events'!$L$3:$L$28,'Key Life Events'!$H$3:$H$28,'Loan Amortization'!$AY$3,'Key Life Events'!$N$3:$N$28,'Loan Amortization'!AT449),AU448-AX448)</f>
        <v>0</v>
      </c>
      <c r="AV449" s="532">
        <f t="shared" ca="1" si="315"/>
        <v>0</v>
      </c>
      <c r="AW449" s="532">
        <f t="shared" ca="1" si="304"/>
        <v>0</v>
      </c>
      <c r="AX449" s="532">
        <f t="shared" ca="1" si="305"/>
        <v>0</v>
      </c>
      <c r="BC449" s="536">
        <f t="shared" ca="1" si="306"/>
        <v>2063</v>
      </c>
      <c r="BF449" s="530">
        <v>448</v>
      </c>
      <c r="BG449" s="531">
        <f t="shared" ca="1" si="316"/>
        <v>59802</v>
      </c>
      <c r="BH449" s="532">
        <f ca="1">IF(BH448=0,SUMIFS('Key Life Events'!$L$3:$L$28,'Key Life Events'!$H$3:$H$28,'Loan Amortization'!$BL$3,'Key Life Events'!$N$3:$N$28,'Loan Amortization'!BG449),BH448-BK448)</f>
        <v>0</v>
      </c>
      <c r="BI449" s="532">
        <f t="shared" ca="1" si="317"/>
        <v>0</v>
      </c>
      <c r="BJ449" s="532">
        <f t="shared" ca="1" si="318"/>
        <v>0</v>
      </c>
      <c r="BK449" s="532">
        <f t="shared" ca="1" si="307"/>
        <v>0</v>
      </c>
      <c r="BP449" s="536">
        <f t="shared" ca="1" si="308"/>
        <v>2063</v>
      </c>
      <c r="BS449" s="530">
        <v>448</v>
      </c>
      <c r="BT449" s="531">
        <f t="shared" ca="1" si="319"/>
        <v>59802</v>
      </c>
      <c r="BU449" s="532">
        <f ca="1">IF(BU448=0,SUMIFS('Key Life Events'!$L$3:$L$28,'Key Life Events'!$H$3:$H$28,'Loan Amortization'!$BY$3,'Key Life Events'!$N$3:$N$28,'Loan Amortization'!BT449),BU448-BX448)</f>
        <v>0</v>
      </c>
      <c r="BV449" s="532">
        <f t="shared" ca="1" si="324"/>
        <v>0</v>
      </c>
      <c r="BW449" s="532">
        <f t="shared" ca="1" si="320"/>
        <v>0</v>
      </c>
      <c r="BX449" s="532">
        <f t="shared" ca="1" si="309"/>
        <v>0</v>
      </c>
      <c r="CC449" s="536">
        <f t="shared" ca="1" si="310"/>
        <v>2063</v>
      </c>
      <c r="CF449" s="530">
        <v>448</v>
      </c>
      <c r="CG449" s="531">
        <f t="shared" ca="1" si="321"/>
        <v>59802</v>
      </c>
      <c r="CH449" s="532">
        <f ca="1">IF(CH448=0,SUMIFS('Key Life Events'!$L$3:$L$28,'Key Life Events'!$H$3:$H$28,'Loan Amortization'!$CL$3,'Key Life Events'!$N$3:$N$28,'Loan Amortization'!CG449),CH448-CK448)</f>
        <v>0</v>
      </c>
      <c r="CI449" s="532">
        <f t="shared" ca="1" si="322"/>
        <v>0</v>
      </c>
      <c r="CJ449" s="532">
        <f t="shared" ca="1" si="323"/>
        <v>0</v>
      </c>
      <c r="CK449" s="532">
        <f t="shared" ca="1" si="311"/>
        <v>0</v>
      </c>
      <c r="CP449" s="536">
        <f t="shared" ca="1" si="312"/>
        <v>2063</v>
      </c>
      <c r="CS449" s="100">
        <f t="shared" si="345"/>
        <v>448</v>
      </c>
      <c r="CT449" s="102">
        <f t="shared" ca="1" si="346"/>
        <v>0</v>
      </c>
      <c r="CU449" s="102">
        <f t="shared" ca="1" si="347"/>
        <v>0</v>
      </c>
      <c r="CV449" s="511">
        <f t="shared" ca="1" si="313"/>
        <v>2063</v>
      </c>
    </row>
    <row r="450" spans="1:100" x14ac:dyDescent="0.3">
      <c r="A450" s="100">
        <v>449</v>
      </c>
      <c r="B450" s="131">
        <f t="shared" si="325"/>
        <v>12812</v>
      </c>
      <c r="C450" s="102">
        <f t="shared" si="326"/>
        <v>0</v>
      </c>
      <c r="D450" s="102">
        <f t="shared" si="327"/>
        <v>0</v>
      </c>
      <c r="E450" s="102">
        <f t="shared" si="328"/>
        <v>0</v>
      </c>
      <c r="F450" s="102">
        <f t="shared" si="329"/>
        <v>0</v>
      </c>
      <c r="L450" s="100">
        <v>449</v>
      </c>
      <c r="M450" s="131">
        <f t="shared" ca="1" si="330"/>
        <v>59832</v>
      </c>
      <c r="N450" s="102">
        <f t="shared" si="331"/>
        <v>0</v>
      </c>
      <c r="O450" s="102">
        <f t="shared" si="332"/>
        <v>0</v>
      </c>
      <c r="P450" s="102">
        <f t="shared" si="333"/>
        <v>0</v>
      </c>
      <c r="Q450" s="102">
        <f t="shared" si="334"/>
        <v>0</v>
      </c>
      <c r="W450" s="100">
        <v>449</v>
      </c>
      <c r="X450" s="131">
        <f t="shared" ca="1" si="335"/>
        <v>59832</v>
      </c>
      <c r="Y450" s="102">
        <f t="shared" si="336"/>
        <v>0</v>
      </c>
      <c r="Z450" s="102">
        <f t="shared" si="337"/>
        <v>0</v>
      </c>
      <c r="AA450" s="102">
        <f t="shared" si="338"/>
        <v>0</v>
      </c>
      <c r="AB450" s="102">
        <f t="shared" si="339"/>
        <v>0</v>
      </c>
      <c r="AH450" s="100">
        <v>449</v>
      </c>
      <c r="AI450" s="131">
        <f t="shared" ca="1" si="340"/>
        <v>59832</v>
      </c>
      <c r="AJ450" s="102">
        <f t="shared" si="341"/>
        <v>0</v>
      </c>
      <c r="AK450" s="102">
        <f t="shared" si="342"/>
        <v>0</v>
      </c>
      <c r="AL450" s="102">
        <f t="shared" si="343"/>
        <v>0</v>
      </c>
      <c r="AM450" s="102">
        <f t="shared" si="344"/>
        <v>0</v>
      </c>
      <c r="AS450" s="530">
        <v>449</v>
      </c>
      <c r="AT450" s="531">
        <f t="shared" ca="1" si="314"/>
        <v>59832</v>
      </c>
      <c r="AU450" s="532">
        <f ca="1">IF(AU449=0,SUMIFS('Key Life Events'!$L$3:$L$28,'Key Life Events'!$H$3:$H$28,'Loan Amortization'!$AY$3,'Key Life Events'!$N$3:$N$28,'Loan Amortization'!AT450),AU449-AX449)</f>
        <v>0</v>
      </c>
      <c r="AV450" s="532">
        <f t="shared" ca="1" si="315"/>
        <v>0</v>
      </c>
      <c r="AW450" s="532">
        <f t="shared" ref="AW450:AW513" ca="1" si="348">(AU450*AZ$1)/12</f>
        <v>0</v>
      </c>
      <c r="AX450" s="532">
        <f t="shared" ca="1" si="305"/>
        <v>0</v>
      </c>
      <c r="BC450" s="536">
        <f t="shared" ca="1" si="306"/>
        <v>2063</v>
      </c>
      <c r="BF450" s="530">
        <v>449</v>
      </c>
      <c r="BG450" s="531">
        <f t="shared" ca="1" si="316"/>
        <v>59832</v>
      </c>
      <c r="BH450" s="532">
        <f ca="1">IF(BH449=0,SUMIFS('Key Life Events'!$L$3:$L$28,'Key Life Events'!$H$3:$H$28,'Loan Amortization'!$BL$3,'Key Life Events'!$N$3:$N$28,'Loan Amortization'!BG450),BH449-BK449)</f>
        <v>0</v>
      </c>
      <c r="BI450" s="532">
        <f t="shared" ca="1" si="317"/>
        <v>0</v>
      </c>
      <c r="BJ450" s="532">
        <f t="shared" ca="1" si="318"/>
        <v>0</v>
      </c>
      <c r="BK450" s="532">
        <f t="shared" ca="1" si="307"/>
        <v>0</v>
      </c>
      <c r="BP450" s="536">
        <f t="shared" ca="1" si="308"/>
        <v>2063</v>
      </c>
      <c r="BS450" s="530">
        <v>449</v>
      </c>
      <c r="BT450" s="531">
        <f t="shared" ca="1" si="319"/>
        <v>59832</v>
      </c>
      <c r="BU450" s="532">
        <f ca="1">IF(BU449=0,SUMIFS('Key Life Events'!$L$3:$L$28,'Key Life Events'!$H$3:$H$28,'Loan Amortization'!$BY$3,'Key Life Events'!$N$3:$N$28,'Loan Amortization'!BT450),BU449-BX449)</f>
        <v>0</v>
      </c>
      <c r="BV450" s="532">
        <f t="shared" ca="1" si="324"/>
        <v>0</v>
      </c>
      <c r="BW450" s="532">
        <f t="shared" ca="1" si="320"/>
        <v>0</v>
      </c>
      <c r="BX450" s="532">
        <f t="shared" ca="1" si="309"/>
        <v>0</v>
      </c>
      <c r="CC450" s="536">
        <f t="shared" ca="1" si="310"/>
        <v>2063</v>
      </c>
      <c r="CF450" s="530">
        <v>449</v>
      </c>
      <c r="CG450" s="531">
        <f t="shared" ca="1" si="321"/>
        <v>59832</v>
      </c>
      <c r="CH450" s="532">
        <f ca="1">IF(CH449=0,SUMIFS('Key Life Events'!$L$3:$L$28,'Key Life Events'!$H$3:$H$28,'Loan Amortization'!$CL$3,'Key Life Events'!$N$3:$N$28,'Loan Amortization'!CG450),CH449-CK449)</f>
        <v>0</v>
      </c>
      <c r="CI450" s="532">
        <f t="shared" ca="1" si="322"/>
        <v>0</v>
      </c>
      <c r="CJ450" s="532">
        <f t="shared" ca="1" si="323"/>
        <v>0</v>
      </c>
      <c r="CK450" s="532">
        <f t="shared" ca="1" si="311"/>
        <v>0</v>
      </c>
      <c r="CP450" s="536">
        <f t="shared" ca="1" si="312"/>
        <v>2063</v>
      </c>
      <c r="CS450" s="100">
        <f t="shared" si="345"/>
        <v>449</v>
      </c>
      <c r="CT450" s="102">
        <f t="shared" ca="1" si="346"/>
        <v>0</v>
      </c>
      <c r="CU450" s="102">
        <f t="shared" ca="1" si="347"/>
        <v>0</v>
      </c>
      <c r="CV450" s="511">
        <f t="shared" ca="1" si="313"/>
        <v>2063</v>
      </c>
    </row>
    <row r="451" spans="1:100" x14ac:dyDescent="0.3">
      <c r="A451" s="100">
        <v>450</v>
      </c>
      <c r="B451" s="131">
        <f t="shared" si="325"/>
        <v>12843</v>
      </c>
      <c r="C451" s="102">
        <f t="shared" si="326"/>
        <v>0</v>
      </c>
      <c r="D451" s="102">
        <f t="shared" si="327"/>
        <v>0</v>
      </c>
      <c r="E451" s="102">
        <f t="shared" si="328"/>
        <v>0</v>
      </c>
      <c r="F451" s="102">
        <f t="shared" si="329"/>
        <v>0</v>
      </c>
      <c r="L451" s="100">
        <v>450</v>
      </c>
      <c r="M451" s="131">
        <f t="shared" ca="1" si="330"/>
        <v>59863</v>
      </c>
      <c r="N451" s="102">
        <f t="shared" si="331"/>
        <v>0</v>
      </c>
      <c r="O451" s="102">
        <f t="shared" si="332"/>
        <v>0</v>
      </c>
      <c r="P451" s="102">
        <f t="shared" si="333"/>
        <v>0</v>
      </c>
      <c r="Q451" s="102">
        <f t="shared" si="334"/>
        <v>0</v>
      </c>
      <c r="W451" s="100">
        <v>450</v>
      </c>
      <c r="X451" s="131">
        <f t="shared" ca="1" si="335"/>
        <v>59863</v>
      </c>
      <c r="Y451" s="102">
        <f t="shared" si="336"/>
        <v>0</v>
      </c>
      <c r="Z451" s="102">
        <f t="shared" si="337"/>
        <v>0</v>
      </c>
      <c r="AA451" s="102">
        <f t="shared" si="338"/>
        <v>0</v>
      </c>
      <c r="AB451" s="102">
        <f t="shared" si="339"/>
        <v>0</v>
      </c>
      <c r="AH451" s="100">
        <v>450</v>
      </c>
      <c r="AI451" s="131">
        <f t="shared" ca="1" si="340"/>
        <v>59863</v>
      </c>
      <c r="AJ451" s="102">
        <f t="shared" si="341"/>
        <v>0</v>
      </c>
      <c r="AK451" s="102">
        <f t="shared" si="342"/>
        <v>0</v>
      </c>
      <c r="AL451" s="102">
        <f t="shared" si="343"/>
        <v>0</v>
      </c>
      <c r="AM451" s="102">
        <f t="shared" si="344"/>
        <v>0</v>
      </c>
      <c r="AS451" s="530">
        <v>450</v>
      </c>
      <c r="AT451" s="531">
        <f t="shared" ca="1" si="314"/>
        <v>59863</v>
      </c>
      <c r="AU451" s="532">
        <f ca="1">IF(AU450=0,SUMIFS('Key Life Events'!$L$3:$L$28,'Key Life Events'!$H$3:$H$28,'Loan Amortization'!$AY$3,'Key Life Events'!$N$3:$N$28,'Loan Amortization'!AT451),AU450-AX450)</f>
        <v>0</v>
      </c>
      <c r="AV451" s="532">
        <f t="shared" ca="1" si="315"/>
        <v>0</v>
      </c>
      <c r="AW451" s="532">
        <f t="shared" ca="1" si="348"/>
        <v>0</v>
      </c>
      <c r="AX451" s="532">
        <f t="shared" ref="AX451:AX514" ca="1" si="349">AV451-AW451</f>
        <v>0</v>
      </c>
      <c r="BC451" s="536">
        <f t="shared" ref="BC451:BC514" ca="1" si="350">YEAR(AT451)</f>
        <v>2063</v>
      </c>
      <c r="BF451" s="530">
        <v>450</v>
      </c>
      <c r="BG451" s="531">
        <f t="shared" ca="1" si="316"/>
        <v>59863</v>
      </c>
      <c r="BH451" s="532">
        <f ca="1">IF(BH450=0,SUMIFS('Key Life Events'!$L$3:$L$28,'Key Life Events'!$H$3:$H$28,'Loan Amortization'!$BL$3,'Key Life Events'!$N$3:$N$28,'Loan Amortization'!BG451),BH450-BK450)</f>
        <v>0</v>
      </c>
      <c r="BI451" s="532">
        <f t="shared" ca="1" si="317"/>
        <v>0</v>
      </c>
      <c r="BJ451" s="532">
        <f t="shared" ca="1" si="318"/>
        <v>0</v>
      </c>
      <c r="BK451" s="532">
        <f t="shared" ref="BK451:BK514" ca="1" si="351">BI451-BJ451</f>
        <v>0</v>
      </c>
      <c r="BP451" s="536">
        <f t="shared" ref="BP451:BP514" ca="1" si="352">YEAR(BG451)</f>
        <v>2063</v>
      </c>
      <c r="BS451" s="530">
        <v>450</v>
      </c>
      <c r="BT451" s="531">
        <f t="shared" ca="1" si="319"/>
        <v>59863</v>
      </c>
      <c r="BU451" s="532">
        <f ca="1">IF(BU450=0,SUMIFS('Key Life Events'!$L$3:$L$28,'Key Life Events'!$H$3:$H$28,'Loan Amortization'!$BY$3,'Key Life Events'!$N$3:$N$28,'Loan Amortization'!BT451),BU450-BX450)</f>
        <v>0</v>
      </c>
      <c r="BV451" s="532">
        <f t="shared" ca="1" si="324"/>
        <v>0</v>
      </c>
      <c r="BW451" s="532">
        <f t="shared" ca="1" si="320"/>
        <v>0</v>
      </c>
      <c r="BX451" s="532">
        <f t="shared" ref="BX451:BX514" ca="1" si="353">BV451-BW451</f>
        <v>0</v>
      </c>
      <c r="CC451" s="536">
        <f t="shared" ref="CC451:CC514" ca="1" si="354">YEAR(BT451)</f>
        <v>2063</v>
      </c>
      <c r="CF451" s="530">
        <v>450</v>
      </c>
      <c r="CG451" s="531">
        <f t="shared" ca="1" si="321"/>
        <v>59863</v>
      </c>
      <c r="CH451" s="532">
        <f ca="1">IF(CH450=0,SUMIFS('Key Life Events'!$L$3:$L$28,'Key Life Events'!$H$3:$H$28,'Loan Amortization'!$CL$3,'Key Life Events'!$N$3:$N$28,'Loan Amortization'!CG451),CH450-CK450)</f>
        <v>0</v>
      </c>
      <c r="CI451" s="532">
        <f t="shared" ca="1" si="322"/>
        <v>0</v>
      </c>
      <c r="CJ451" s="532">
        <f t="shared" ca="1" si="323"/>
        <v>0</v>
      </c>
      <c r="CK451" s="532">
        <f t="shared" ref="CK451:CK514" ca="1" si="355">CI451-CJ451</f>
        <v>0</v>
      </c>
      <c r="CP451" s="536">
        <f t="shared" ref="CP451:CP514" ca="1" si="356">YEAR(CG451)</f>
        <v>2063</v>
      </c>
      <c r="CS451" s="100">
        <f t="shared" si="345"/>
        <v>450</v>
      </c>
      <c r="CT451" s="102">
        <f t="shared" ca="1" si="346"/>
        <v>0</v>
      </c>
      <c r="CU451" s="102">
        <f t="shared" ca="1" si="347"/>
        <v>0</v>
      </c>
      <c r="CV451" s="511">
        <f t="shared" ref="CV451:CV514" ca="1" si="357">MAX(TEXT(B451,"yyyy"),TEXT(M451,"yyyy"),TEXT(X451,"yyyy"),TEXT(AT451,"yyyy"),TEXT(AI451,"yyyy"),TEXT(BG451,"yyyy"),TEXT(BT451,"yyyy"),TEXT(CG451,"yyyy"))</f>
        <v>2063</v>
      </c>
    </row>
    <row r="452" spans="1:100" x14ac:dyDescent="0.3">
      <c r="A452" s="100">
        <v>451</v>
      </c>
      <c r="B452" s="131">
        <f t="shared" si="325"/>
        <v>12871</v>
      </c>
      <c r="C452" s="102">
        <f t="shared" si="326"/>
        <v>0</v>
      </c>
      <c r="D452" s="102">
        <f t="shared" si="327"/>
        <v>0</v>
      </c>
      <c r="E452" s="102">
        <f t="shared" si="328"/>
        <v>0</v>
      </c>
      <c r="F452" s="102">
        <f t="shared" si="329"/>
        <v>0</v>
      </c>
      <c r="L452" s="100">
        <v>451</v>
      </c>
      <c r="M452" s="131">
        <f t="shared" ca="1" si="330"/>
        <v>59893</v>
      </c>
      <c r="N452" s="102">
        <f t="shared" si="331"/>
        <v>0</v>
      </c>
      <c r="O452" s="102">
        <f t="shared" si="332"/>
        <v>0</v>
      </c>
      <c r="P452" s="102">
        <f t="shared" si="333"/>
        <v>0</v>
      </c>
      <c r="Q452" s="102">
        <f t="shared" si="334"/>
        <v>0</v>
      </c>
      <c r="W452" s="100">
        <v>451</v>
      </c>
      <c r="X452" s="131">
        <f t="shared" ca="1" si="335"/>
        <v>59893</v>
      </c>
      <c r="Y452" s="102">
        <f t="shared" si="336"/>
        <v>0</v>
      </c>
      <c r="Z452" s="102">
        <f t="shared" si="337"/>
        <v>0</v>
      </c>
      <c r="AA452" s="102">
        <f t="shared" si="338"/>
        <v>0</v>
      </c>
      <c r="AB452" s="102">
        <f t="shared" si="339"/>
        <v>0</v>
      </c>
      <c r="AH452" s="100">
        <v>451</v>
      </c>
      <c r="AI452" s="131">
        <f t="shared" ca="1" si="340"/>
        <v>59893</v>
      </c>
      <c r="AJ452" s="102">
        <f t="shared" si="341"/>
        <v>0</v>
      </c>
      <c r="AK452" s="102">
        <f t="shared" si="342"/>
        <v>0</v>
      </c>
      <c r="AL452" s="102">
        <f t="shared" si="343"/>
        <v>0</v>
      </c>
      <c r="AM452" s="102">
        <f t="shared" si="344"/>
        <v>0</v>
      </c>
      <c r="AS452" s="530">
        <v>451</v>
      </c>
      <c r="AT452" s="531">
        <f t="shared" ref="AT452:AT515" ca="1" si="358">IF(AU451&lt;AV451,,EDATE(AT451,1))</f>
        <v>59893</v>
      </c>
      <c r="AU452" s="532">
        <f ca="1">IF(AU451=0,SUMIFS('Key Life Events'!$L$3:$L$28,'Key Life Events'!$H$3:$H$28,'Loan Amortization'!$AY$3,'Key Life Events'!$N$3:$N$28,'Loan Amortization'!AT452),AU451-AX451)</f>
        <v>0</v>
      </c>
      <c r="AV452" s="532">
        <f t="shared" ref="AV452:AV515" ca="1" si="359">IF(AND(AU451=0,AU452&gt;0),PMT($AZ$1/12,$BB$1*12,-AU452,0,0),IF(AU452&lt;=AV451,AU452+AW452,AV451))</f>
        <v>0</v>
      </c>
      <c r="AW452" s="532">
        <f t="shared" ca="1" si="348"/>
        <v>0</v>
      </c>
      <c r="AX452" s="532">
        <f t="shared" ca="1" si="349"/>
        <v>0</v>
      </c>
      <c r="BC452" s="536">
        <f t="shared" ca="1" si="350"/>
        <v>2063</v>
      </c>
      <c r="BF452" s="530">
        <v>451</v>
      </c>
      <c r="BG452" s="531">
        <f t="shared" ref="BG452:BG515" ca="1" si="360">IF(BH451&lt;BI451,,EDATE(BG451,1))</f>
        <v>59893</v>
      </c>
      <c r="BH452" s="532">
        <f ca="1">IF(BH451=0,SUMIFS('Key Life Events'!$L$3:$L$28,'Key Life Events'!$H$3:$H$28,'Loan Amortization'!$BL$3,'Key Life Events'!$N$3:$N$28,'Loan Amortization'!BG452),BH451-BK451)</f>
        <v>0</v>
      </c>
      <c r="BI452" s="532">
        <f t="shared" ref="BI452:BI515" ca="1" si="361">IF(AND(BH451=0,BH452&gt;0),PMT(BM$1/12,BO$1*12,-BH452,0,0),IF(BH452&lt;=BI451,BH452+BJ452,BI451))</f>
        <v>0</v>
      </c>
      <c r="BJ452" s="532">
        <f t="shared" ref="BJ452:BJ515" ca="1" si="362">(BH452*BM$1)/12</f>
        <v>0</v>
      </c>
      <c r="BK452" s="532">
        <f t="shared" ca="1" si="351"/>
        <v>0</v>
      </c>
      <c r="BP452" s="536">
        <f t="shared" ca="1" si="352"/>
        <v>2063</v>
      </c>
      <c r="BS452" s="530">
        <v>451</v>
      </c>
      <c r="BT452" s="531">
        <f t="shared" ref="BT452:BT515" ca="1" si="363">IF(BU451&lt;BV451,,EDATE(BT451,1))</f>
        <v>59893</v>
      </c>
      <c r="BU452" s="532">
        <f ca="1">IF(BU451=0,SUMIFS('Key Life Events'!$L$3:$L$28,'Key Life Events'!$H$3:$H$28,'Loan Amortization'!$BY$3,'Key Life Events'!$N$3:$N$28,'Loan Amortization'!BT452),BU451-BX451)</f>
        <v>0</v>
      </c>
      <c r="BV452" s="532">
        <f t="shared" ca="1" si="324"/>
        <v>0</v>
      </c>
      <c r="BW452" s="532">
        <f t="shared" ref="BW452:BW515" ca="1" si="364">(BU452*BZ$1)/12</f>
        <v>0</v>
      </c>
      <c r="BX452" s="532">
        <f t="shared" ca="1" si="353"/>
        <v>0</v>
      </c>
      <c r="CC452" s="536">
        <f t="shared" ca="1" si="354"/>
        <v>2063</v>
      </c>
      <c r="CF452" s="530">
        <v>451</v>
      </c>
      <c r="CG452" s="531">
        <f t="shared" ref="CG452:CG515" ca="1" si="365">IF(CH451&lt;CI451,,EDATE(CG451,1))</f>
        <v>59893</v>
      </c>
      <c r="CH452" s="532">
        <f ca="1">IF(CH451=0,SUMIFS('Key Life Events'!$L$3:$L$28,'Key Life Events'!$H$3:$H$28,'Loan Amortization'!$CL$3,'Key Life Events'!$N$3:$N$28,'Loan Amortization'!CG452),CH451-CK451)</f>
        <v>0</v>
      </c>
      <c r="CI452" s="532">
        <f t="shared" ref="CI452:CI515" ca="1" si="366">IF(AND(CH451=0,CH452&gt;0),PMT(CM$1/12,CO$1*12,-CH452,0,0),IF(CH452&lt;=CI451,CH452+CJ452,CI451))</f>
        <v>0</v>
      </c>
      <c r="CJ452" s="532">
        <f t="shared" ref="CJ452:CJ515" ca="1" si="367">(CH452*CM$1)/12</f>
        <v>0</v>
      </c>
      <c r="CK452" s="532">
        <f t="shared" ca="1" si="355"/>
        <v>0</v>
      </c>
      <c r="CP452" s="536">
        <f t="shared" ca="1" si="356"/>
        <v>2063</v>
      </c>
      <c r="CS452" s="100">
        <f t="shared" si="345"/>
        <v>451</v>
      </c>
      <c r="CT452" s="102">
        <f t="shared" ca="1" si="346"/>
        <v>0</v>
      </c>
      <c r="CU452" s="102">
        <f t="shared" ca="1" si="347"/>
        <v>0</v>
      </c>
      <c r="CV452" s="511">
        <f t="shared" ca="1" si="357"/>
        <v>2063</v>
      </c>
    </row>
    <row r="453" spans="1:100" x14ac:dyDescent="0.3">
      <c r="A453" s="100">
        <v>452</v>
      </c>
      <c r="B453" s="131">
        <f t="shared" si="325"/>
        <v>12902</v>
      </c>
      <c r="C453" s="102">
        <f t="shared" si="326"/>
        <v>0</v>
      </c>
      <c r="D453" s="102">
        <f t="shared" si="327"/>
        <v>0</v>
      </c>
      <c r="E453" s="102">
        <f t="shared" si="328"/>
        <v>0</v>
      </c>
      <c r="F453" s="102">
        <f t="shared" si="329"/>
        <v>0</v>
      </c>
      <c r="L453" s="100">
        <v>452</v>
      </c>
      <c r="M453" s="131">
        <f t="shared" ca="1" si="330"/>
        <v>59924</v>
      </c>
      <c r="N453" s="102">
        <f t="shared" si="331"/>
        <v>0</v>
      </c>
      <c r="O453" s="102">
        <f t="shared" si="332"/>
        <v>0</v>
      </c>
      <c r="P453" s="102">
        <f t="shared" si="333"/>
        <v>0</v>
      </c>
      <c r="Q453" s="102">
        <f t="shared" si="334"/>
        <v>0</v>
      </c>
      <c r="W453" s="100">
        <v>452</v>
      </c>
      <c r="X453" s="131">
        <f t="shared" ca="1" si="335"/>
        <v>59924</v>
      </c>
      <c r="Y453" s="102">
        <f t="shared" si="336"/>
        <v>0</v>
      </c>
      <c r="Z453" s="102">
        <f t="shared" si="337"/>
        <v>0</v>
      </c>
      <c r="AA453" s="102">
        <f t="shared" si="338"/>
        <v>0</v>
      </c>
      <c r="AB453" s="102">
        <f t="shared" si="339"/>
        <v>0</v>
      </c>
      <c r="AH453" s="100">
        <v>452</v>
      </c>
      <c r="AI453" s="131">
        <f t="shared" ca="1" si="340"/>
        <v>59924</v>
      </c>
      <c r="AJ453" s="102">
        <f t="shared" si="341"/>
        <v>0</v>
      </c>
      <c r="AK453" s="102">
        <f t="shared" si="342"/>
        <v>0</v>
      </c>
      <c r="AL453" s="102">
        <f t="shared" si="343"/>
        <v>0</v>
      </c>
      <c r="AM453" s="102">
        <f t="shared" si="344"/>
        <v>0</v>
      </c>
      <c r="AS453" s="530">
        <v>452</v>
      </c>
      <c r="AT453" s="531">
        <f t="shared" ca="1" si="358"/>
        <v>59924</v>
      </c>
      <c r="AU453" s="532">
        <f ca="1">IF(AU452=0,SUMIFS('Key Life Events'!$L$3:$L$28,'Key Life Events'!$H$3:$H$28,'Loan Amortization'!$AY$3,'Key Life Events'!$N$3:$N$28,'Loan Amortization'!AT453),AU452-AX452)</f>
        <v>0</v>
      </c>
      <c r="AV453" s="532">
        <f t="shared" ca="1" si="359"/>
        <v>0</v>
      </c>
      <c r="AW453" s="532">
        <f t="shared" ca="1" si="348"/>
        <v>0</v>
      </c>
      <c r="AX453" s="532">
        <f t="shared" ca="1" si="349"/>
        <v>0</v>
      </c>
      <c r="BC453" s="536">
        <f t="shared" ca="1" si="350"/>
        <v>2064</v>
      </c>
      <c r="BF453" s="530">
        <v>452</v>
      </c>
      <c r="BG453" s="531">
        <f t="shared" ca="1" si="360"/>
        <v>59924</v>
      </c>
      <c r="BH453" s="532">
        <f ca="1">IF(BH452=0,SUMIFS('Key Life Events'!$L$3:$L$28,'Key Life Events'!$H$3:$H$28,'Loan Amortization'!$BL$3,'Key Life Events'!$N$3:$N$28,'Loan Amortization'!BG453),BH452-BK452)</f>
        <v>0</v>
      </c>
      <c r="BI453" s="532">
        <f t="shared" ca="1" si="361"/>
        <v>0</v>
      </c>
      <c r="BJ453" s="532">
        <f t="shared" ca="1" si="362"/>
        <v>0</v>
      </c>
      <c r="BK453" s="532">
        <f t="shared" ca="1" si="351"/>
        <v>0</v>
      </c>
      <c r="BP453" s="536">
        <f t="shared" ca="1" si="352"/>
        <v>2064</v>
      </c>
      <c r="BS453" s="530">
        <v>452</v>
      </c>
      <c r="BT453" s="531">
        <f t="shared" ca="1" si="363"/>
        <v>59924</v>
      </c>
      <c r="BU453" s="532">
        <f ca="1">IF(BU452=0,SUMIFS('Key Life Events'!$L$3:$L$28,'Key Life Events'!$H$3:$H$28,'Loan Amortization'!$BY$3,'Key Life Events'!$N$3:$N$28,'Loan Amortization'!BT453),BU452-BX452)</f>
        <v>0</v>
      </c>
      <c r="BV453" s="532">
        <f t="shared" ca="1" si="324"/>
        <v>0</v>
      </c>
      <c r="BW453" s="532">
        <f t="shared" ca="1" si="364"/>
        <v>0</v>
      </c>
      <c r="BX453" s="532">
        <f t="shared" ca="1" si="353"/>
        <v>0</v>
      </c>
      <c r="CC453" s="536">
        <f t="shared" ca="1" si="354"/>
        <v>2064</v>
      </c>
      <c r="CF453" s="530">
        <v>452</v>
      </c>
      <c r="CG453" s="531">
        <f t="shared" ca="1" si="365"/>
        <v>59924</v>
      </c>
      <c r="CH453" s="532">
        <f ca="1">IF(CH452=0,SUMIFS('Key Life Events'!$L$3:$L$28,'Key Life Events'!$H$3:$H$28,'Loan Amortization'!$CL$3,'Key Life Events'!$N$3:$N$28,'Loan Amortization'!CG453),CH452-CK452)</f>
        <v>0</v>
      </c>
      <c r="CI453" s="532">
        <f t="shared" ca="1" si="366"/>
        <v>0</v>
      </c>
      <c r="CJ453" s="532">
        <f t="shared" ca="1" si="367"/>
        <v>0</v>
      </c>
      <c r="CK453" s="532">
        <f t="shared" ca="1" si="355"/>
        <v>0</v>
      </c>
      <c r="CP453" s="536">
        <f t="shared" ca="1" si="356"/>
        <v>2064</v>
      </c>
      <c r="CS453" s="100">
        <f t="shared" si="345"/>
        <v>452</v>
      </c>
      <c r="CT453" s="102">
        <f t="shared" ca="1" si="346"/>
        <v>0</v>
      </c>
      <c r="CU453" s="102">
        <f t="shared" ca="1" si="347"/>
        <v>0</v>
      </c>
      <c r="CV453" s="511">
        <f t="shared" ca="1" si="357"/>
        <v>2064</v>
      </c>
    </row>
    <row r="454" spans="1:100" x14ac:dyDescent="0.3">
      <c r="A454" s="100">
        <v>453</v>
      </c>
      <c r="B454" s="131">
        <f t="shared" si="325"/>
        <v>12932</v>
      </c>
      <c r="C454" s="102">
        <f t="shared" si="326"/>
        <v>0</v>
      </c>
      <c r="D454" s="102">
        <f t="shared" si="327"/>
        <v>0</v>
      </c>
      <c r="E454" s="102">
        <f t="shared" si="328"/>
        <v>0</v>
      </c>
      <c r="F454" s="102">
        <f t="shared" si="329"/>
        <v>0</v>
      </c>
      <c r="L454" s="100">
        <v>453</v>
      </c>
      <c r="M454" s="131">
        <f t="shared" ca="1" si="330"/>
        <v>59955</v>
      </c>
      <c r="N454" s="102">
        <f t="shared" si="331"/>
        <v>0</v>
      </c>
      <c r="O454" s="102">
        <f t="shared" si="332"/>
        <v>0</v>
      </c>
      <c r="P454" s="102">
        <f t="shared" si="333"/>
        <v>0</v>
      </c>
      <c r="Q454" s="102">
        <f t="shared" si="334"/>
        <v>0</v>
      </c>
      <c r="W454" s="100">
        <v>453</v>
      </c>
      <c r="X454" s="131">
        <f t="shared" ca="1" si="335"/>
        <v>59955</v>
      </c>
      <c r="Y454" s="102">
        <f t="shared" si="336"/>
        <v>0</v>
      </c>
      <c r="Z454" s="102">
        <f t="shared" si="337"/>
        <v>0</v>
      </c>
      <c r="AA454" s="102">
        <f t="shared" si="338"/>
        <v>0</v>
      </c>
      <c r="AB454" s="102">
        <f t="shared" si="339"/>
        <v>0</v>
      </c>
      <c r="AH454" s="100">
        <v>453</v>
      </c>
      <c r="AI454" s="131">
        <f t="shared" ca="1" si="340"/>
        <v>59955</v>
      </c>
      <c r="AJ454" s="102">
        <f t="shared" si="341"/>
        <v>0</v>
      </c>
      <c r="AK454" s="102">
        <f t="shared" si="342"/>
        <v>0</v>
      </c>
      <c r="AL454" s="102">
        <f t="shared" si="343"/>
        <v>0</v>
      </c>
      <c r="AM454" s="102">
        <f t="shared" si="344"/>
        <v>0</v>
      </c>
      <c r="AS454" s="530">
        <v>453</v>
      </c>
      <c r="AT454" s="531">
        <f t="shared" ca="1" si="358"/>
        <v>59955</v>
      </c>
      <c r="AU454" s="532">
        <f ca="1">IF(AU453=0,SUMIFS('Key Life Events'!$L$3:$L$28,'Key Life Events'!$H$3:$H$28,'Loan Amortization'!$AY$3,'Key Life Events'!$N$3:$N$28,'Loan Amortization'!AT454),AU453-AX453)</f>
        <v>0</v>
      </c>
      <c r="AV454" s="532">
        <f t="shared" ca="1" si="359"/>
        <v>0</v>
      </c>
      <c r="AW454" s="532">
        <f t="shared" ca="1" si="348"/>
        <v>0</v>
      </c>
      <c r="AX454" s="532">
        <f t="shared" ca="1" si="349"/>
        <v>0</v>
      </c>
      <c r="BC454" s="536">
        <f t="shared" ca="1" si="350"/>
        <v>2064</v>
      </c>
      <c r="BF454" s="530">
        <v>453</v>
      </c>
      <c r="BG454" s="531">
        <f t="shared" ca="1" si="360"/>
        <v>59955</v>
      </c>
      <c r="BH454" s="532">
        <f ca="1">IF(BH453=0,SUMIFS('Key Life Events'!$L$3:$L$28,'Key Life Events'!$H$3:$H$28,'Loan Amortization'!$BL$3,'Key Life Events'!$N$3:$N$28,'Loan Amortization'!BG454),BH453-BK453)</f>
        <v>0</v>
      </c>
      <c r="BI454" s="532">
        <f t="shared" ca="1" si="361"/>
        <v>0</v>
      </c>
      <c r="BJ454" s="532">
        <f t="shared" ca="1" si="362"/>
        <v>0</v>
      </c>
      <c r="BK454" s="532">
        <f t="shared" ca="1" si="351"/>
        <v>0</v>
      </c>
      <c r="BP454" s="536">
        <f t="shared" ca="1" si="352"/>
        <v>2064</v>
      </c>
      <c r="BS454" s="530">
        <v>453</v>
      </c>
      <c r="BT454" s="531">
        <f t="shared" ca="1" si="363"/>
        <v>59955</v>
      </c>
      <c r="BU454" s="532">
        <f ca="1">IF(BU453=0,SUMIFS('Key Life Events'!$L$3:$L$28,'Key Life Events'!$H$3:$H$28,'Loan Amortization'!$BY$3,'Key Life Events'!$N$3:$N$28,'Loan Amortization'!BT454),BU453-BX453)</f>
        <v>0</v>
      </c>
      <c r="BV454" s="532">
        <f t="shared" ref="BV454:BV517" ca="1" si="368">IF(AND(BU453=0,BU454&gt;0),PMT(BZ$1/12,CB$1*12,-BU454,0,0),IF(BU454&lt;=BV453,BU454+BW454,BV453))</f>
        <v>0</v>
      </c>
      <c r="BW454" s="532">
        <f t="shared" ca="1" si="364"/>
        <v>0</v>
      </c>
      <c r="BX454" s="532">
        <f t="shared" ca="1" si="353"/>
        <v>0</v>
      </c>
      <c r="CC454" s="536">
        <f t="shared" ca="1" si="354"/>
        <v>2064</v>
      </c>
      <c r="CF454" s="530">
        <v>453</v>
      </c>
      <c r="CG454" s="531">
        <f t="shared" ca="1" si="365"/>
        <v>59955</v>
      </c>
      <c r="CH454" s="532">
        <f ca="1">IF(CH453=0,SUMIFS('Key Life Events'!$L$3:$L$28,'Key Life Events'!$H$3:$H$28,'Loan Amortization'!$CL$3,'Key Life Events'!$N$3:$N$28,'Loan Amortization'!CG454),CH453-CK453)</f>
        <v>0</v>
      </c>
      <c r="CI454" s="532">
        <f t="shared" ca="1" si="366"/>
        <v>0</v>
      </c>
      <c r="CJ454" s="532">
        <f t="shared" ca="1" si="367"/>
        <v>0</v>
      </c>
      <c r="CK454" s="532">
        <f t="shared" ca="1" si="355"/>
        <v>0</v>
      </c>
      <c r="CP454" s="536">
        <f t="shared" ca="1" si="356"/>
        <v>2064</v>
      </c>
      <c r="CS454" s="100">
        <f t="shared" si="345"/>
        <v>453</v>
      </c>
      <c r="CT454" s="102">
        <f t="shared" ca="1" si="346"/>
        <v>0</v>
      </c>
      <c r="CU454" s="102">
        <f t="shared" ca="1" si="347"/>
        <v>0</v>
      </c>
      <c r="CV454" s="511">
        <f t="shared" ca="1" si="357"/>
        <v>2064</v>
      </c>
    </row>
    <row r="455" spans="1:100" x14ac:dyDescent="0.3">
      <c r="A455" s="100">
        <v>454</v>
      </c>
      <c r="B455" s="131">
        <f t="shared" si="325"/>
        <v>12963</v>
      </c>
      <c r="C455" s="102">
        <f t="shared" si="326"/>
        <v>0</v>
      </c>
      <c r="D455" s="102">
        <f t="shared" si="327"/>
        <v>0</v>
      </c>
      <c r="E455" s="102">
        <f t="shared" si="328"/>
        <v>0</v>
      </c>
      <c r="F455" s="102">
        <f t="shared" si="329"/>
        <v>0</v>
      </c>
      <c r="L455" s="100">
        <v>454</v>
      </c>
      <c r="M455" s="131">
        <f t="shared" ca="1" si="330"/>
        <v>59984</v>
      </c>
      <c r="N455" s="102">
        <f t="shared" si="331"/>
        <v>0</v>
      </c>
      <c r="O455" s="102">
        <f t="shared" si="332"/>
        <v>0</v>
      </c>
      <c r="P455" s="102">
        <f t="shared" si="333"/>
        <v>0</v>
      </c>
      <c r="Q455" s="102">
        <f t="shared" si="334"/>
        <v>0</v>
      </c>
      <c r="W455" s="100">
        <v>454</v>
      </c>
      <c r="X455" s="131">
        <f t="shared" ca="1" si="335"/>
        <v>59984</v>
      </c>
      <c r="Y455" s="102">
        <f t="shared" si="336"/>
        <v>0</v>
      </c>
      <c r="Z455" s="102">
        <f t="shared" si="337"/>
        <v>0</v>
      </c>
      <c r="AA455" s="102">
        <f t="shared" si="338"/>
        <v>0</v>
      </c>
      <c r="AB455" s="102">
        <f t="shared" si="339"/>
        <v>0</v>
      </c>
      <c r="AH455" s="100">
        <v>454</v>
      </c>
      <c r="AI455" s="131">
        <f t="shared" ca="1" si="340"/>
        <v>59984</v>
      </c>
      <c r="AJ455" s="102">
        <f t="shared" si="341"/>
        <v>0</v>
      </c>
      <c r="AK455" s="102">
        <f t="shared" si="342"/>
        <v>0</v>
      </c>
      <c r="AL455" s="102">
        <f t="shared" si="343"/>
        <v>0</v>
      </c>
      <c r="AM455" s="102">
        <f t="shared" si="344"/>
        <v>0</v>
      </c>
      <c r="AS455" s="530">
        <v>454</v>
      </c>
      <c r="AT455" s="531">
        <f t="shared" ca="1" si="358"/>
        <v>59984</v>
      </c>
      <c r="AU455" s="532">
        <f ca="1">IF(AU454=0,SUMIFS('Key Life Events'!$L$3:$L$28,'Key Life Events'!$H$3:$H$28,'Loan Amortization'!$AY$3,'Key Life Events'!$N$3:$N$28,'Loan Amortization'!AT455),AU454-AX454)</f>
        <v>0</v>
      </c>
      <c r="AV455" s="532">
        <f t="shared" ca="1" si="359"/>
        <v>0</v>
      </c>
      <c r="AW455" s="532">
        <f t="shared" ca="1" si="348"/>
        <v>0</v>
      </c>
      <c r="AX455" s="532">
        <f t="shared" ca="1" si="349"/>
        <v>0</v>
      </c>
      <c r="BC455" s="536">
        <f t="shared" ca="1" si="350"/>
        <v>2064</v>
      </c>
      <c r="BF455" s="530">
        <v>454</v>
      </c>
      <c r="BG455" s="531">
        <f t="shared" ca="1" si="360"/>
        <v>59984</v>
      </c>
      <c r="BH455" s="532">
        <f ca="1">IF(BH454=0,SUMIFS('Key Life Events'!$L$3:$L$28,'Key Life Events'!$H$3:$H$28,'Loan Amortization'!$BL$3,'Key Life Events'!$N$3:$N$28,'Loan Amortization'!BG455),BH454-BK454)</f>
        <v>0</v>
      </c>
      <c r="BI455" s="532">
        <f t="shared" ca="1" si="361"/>
        <v>0</v>
      </c>
      <c r="BJ455" s="532">
        <f t="shared" ca="1" si="362"/>
        <v>0</v>
      </c>
      <c r="BK455" s="532">
        <f t="shared" ca="1" si="351"/>
        <v>0</v>
      </c>
      <c r="BP455" s="536">
        <f t="shared" ca="1" si="352"/>
        <v>2064</v>
      </c>
      <c r="BS455" s="530">
        <v>454</v>
      </c>
      <c r="BT455" s="531">
        <f t="shared" ca="1" si="363"/>
        <v>59984</v>
      </c>
      <c r="BU455" s="532">
        <f ca="1">IF(BU454=0,SUMIFS('Key Life Events'!$L$3:$L$28,'Key Life Events'!$H$3:$H$28,'Loan Amortization'!$BY$3,'Key Life Events'!$N$3:$N$28,'Loan Amortization'!BT455),BU454-BX454)</f>
        <v>0</v>
      </c>
      <c r="BV455" s="532">
        <f t="shared" ca="1" si="368"/>
        <v>0</v>
      </c>
      <c r="BW455" s="532">
        <f t="shared" ca="1" si="364"/>
        <v>0</v>
      </c>
      <c r="BX455" s="532">
        <f t="shared" ca="1" si="353"/>
        <v>0</v>
      </c>
      <c r="CC455" s="536">
        <f t="shared" ca="1" si="354"/>
        <v>2064</v>
      </c>
      <c r="CF455" s="530">
        <v>454</v>
      </c>
      <c r="CG455" s="531">
        <f t="shared" ca="1" si="365"/>
        <v>59984</v>
      </c>
      <c r="CH455" s="532">
        <f ca="1">IF(CH454=0,SUMIFS('Key Life Events'!$L$3:$L$28,'Key Life Events'!$H$3:$H$28,'Loan Amortization'!$CL$3,'Key Life Events'!$N$3:$N$28,'Loan Amortization'!CG455),CH454-CK454)</f>
        <v>0</v>
      </c>
      <c r="CI455" s="532">
        <f t="shared" ca="1" si="366"/>
        <v>0</v>
      </c>
      <c r="CJ455" s="532">
        <f t="shared" ca="1" si="367"/>
        <v>0</v>
      </c>
      <c r="CK455" s="532">
        <f t="shared" ca="1" si="355"/>
        <v>0</v>
      </c>
      <c r="CP455" s="536">
        <f t="shared" ca="1" si="356"/>
        <v>2064</v>
      </c>
      <c r="CS455" s="100">
        <f t="shared" si="345"/>
        <v>454</v>
      </c>
      <c r="CT455" s="102">
        <f t="shared" ca="1" si="346"/>
        <v>0</v>
      </c>
      <c r="CU455" s="102">
        <f t="shared" ca="1" si="347"/>
        <v>0</v>
      </c>
      <c r="CV455" s="511">
        <f t="shared" ca="1" si="357"/>
        <v>2064</v>
      </c>
    </row>
    <row r="456" spans="1:100" x14ac:dyDescent="0.3">
      <c r="A456" s="100">
        <v>455</v>
      </c>
      <c r="B456" s="131">
        <f t="shared" si="325"/>
        <v>12993</v>
      </c>
      <c r="C456" s="102">
        <f t="shared" si="326"/>
        <v>0</v>
      </c>
      <c r="D456" s="102">
        <f t="shared" si="327"/>
        <v>0</v>
      </c>
      <c r="E456" s="102">
        <f t="shared" si="328"/>
        <v>0</v>
      </c>
      <c r="F456" s="102">
        <f t="shared" si="329"/>
        <v>0</v>
      </c>
      <c r="L456" s="100">
        <v>455</v>
      </c>
      <c r="M456" s="131">
        <f t="shared" ca="1" si="330"/>
        <v>60015</v>
      </c>
      <c r="N456" s="102">
        <f t="shared" si="331"/>
        <v>0</v>
      </c>
      <c r="O456" s="102">
        <f t="shared" si="332"/>
        <v>0</v>
      </c>
      <c r="P456" s="102">
        <f t="shared" si="333"/>
        <v>0</v>
      </c>
      <c r="Q456" s="102">
        <f t="shared" si="334"/>
        <v>0</v>
      </c>
      <c r="W456" s="100">
        <v>455</v>
      </c>
      <c r="X456" s="131">
        <f t="shared" ca="1" si="335"/>
        <v>60015</v>
      </c>
      <c r="Y456" s="102">
        <f t="shared" si="336"/>
        <v>0</v>
      </c>
      <c r="Z456" s="102">
        <f t="shared" si="337"/>
        <v>0</v>
      </c>
      <c r="AA456" s="102">
        <f t="shared" si="338"/>
        <v>0</v>
      </c>
      <c r="AB456" s="102">
        <f t="shared" si="339"/>
        <v>0</v>
      </c>
      <c r="AH456" s="100">
        <v>455</v>
      </c>
      <c r="AI456" s="131">
        <f t="shared" ca="1" si="340"/>
        <v>60015</v>
      </c>
      <c r="AJ456" s="102">
        <f t="shared" si="341"/>
        <v>0</v>
      </c>
      <c r="AK456" s="102">
        <f t="shared" si="342"/>
        <v>0</v>
      </c>
      <c r="AL456" s="102">
        <f t="shared" si="343"/>
        <v>0</v>
      </c>
      <c r="AM456" s="102">
        <f t="shared" si="344"/>
        <v>0</v>
      </c>
      <c r="AS456" s="530">
        <v>455</v>
      </c>
      <c r="AT456" s="531">
        <f t="shared" ca="1" si="358"/>
        <v>60015</v>
      </c>
      <c r="AU456" s="532">
        <f ca="1">IF(AU455=0,SUMIFS('Key Life Events'!$L$3:$L$28,'Key Life Events'!$H$3:$H$28,'Loan Amortization'!$AY$3,'Key Life Events'!$N$3:$N$28,'Loan Amortization'!AT456),AU455-AX455)</f>
        <v>0</v>
      </c>
      <c r="AV456" s="532">
        <f t="shared" ca="1" si="359"/>
        <v>0</v>
      </c>
      <c r="AW456" s="532">
        <f t="shared" ca="1" si="348"/>
        <v>0</v>
      </c>
      <c r="AX456" s="532">
        <f t="shared" ca="1" si="349"/>
        <v>0</v>
      </c>
      <c r="BC456" s="536">
        <f t="shared" ca="1" si="350"/>
        <v>2064</v>
      </c>
      <c r="BF456" s="530">
        <v>455</v>
      </c>
      <c r="BG456" s="531">
        <f t="shared" ca="1" si="360"/>
        <v>60015</v>
      </c>
      <c r="BH456" s="532">
        <f ca="1">IF(BH455=0,SUMIFS('Key Life Events'!$L$3:$L$28,'Key Life Events'!$H$3:$H$28,'Loan Amortization'!$BL$3,'Key Life Events'!$N$3:$N$28,'Loan Amortization'!BG456),BH455-BK455)</f>
        <v>0</v>
      </c>
      <c r="BI456" s="532">
        <f t="shared" ca="1" si="361"/>
        <v>0</v>
      </c>
      <c r="BJ456" s="532">
        <f t="shared" ca="1" si="362"/>
        <v>0</v>
      </c>
      <c r="BK456" s="532">
        <f t="shared" ca="1" si="351"/>
        <v>0</v>
      </c>
      <c r="BP456" s="536">
        <f t="shared" ca="1" si="352"/>
        <v>2064</v>
      </c>
      <c r="BS456" s="530">
        <v>455</v>
      </c>
      <c r="BT456" s="531">
        <f t="shared" ca="1" si="363"/>
        <v>60015</v>
      </c>
      <c r="BU456" s="532">
        <f ca="1">IF(BU455=0,SUMIFS('Key Life Events'!$L$3:$L$28,'Key Life Events'!$H$3:$H$28,'Loan Amortization'!$BY$3,'Key Life Events'!$N$3:$N$28,'Loan Amortization'!BT456),BU455-BX455)</f>
        <v>0</v>
      </c>
      <c r="BV456" s="532">
        <f t="shared" ca="1" si="368"/>
        <v>0</v>
      </c>
      <c r="BW456" s="532">
        <f t="shared" ca="1" si="364"/>
        <v>0</v>
      </c>
      <c r="BX456" s="532">
        <f t="shared" ca="1" si="353"/>
        <v>0</v>
      </c>
      <c r="CC456" s="536">
        <f t="shared" ca="1" si="354"/>
        <v>2064</v>
      </c>
      <c r="CF456" s="530">
        <v>455</v>
      </c>
      <c r="CG456" s="531">
        <f t="shared" ca="1" si="365"/>
        <v>60015</v>
      </c>
      <c r="CH456" s="532">
        <f ca="1">IF(CH455=0,SUMIFS('Key Life Events'!$L$3:$L$28,'Key Life Events'!$H$3:$H$28,'Loan Amortization'!$CL$3,'Key Life Events'!$N$3:$N$28,'Loan Amortization'!CG456),CH455-CK455)</f>
        <v>0</v>
      </c>
      <c r="CI456" s="532">
        <f t="shared" ca="1" si="366"/>
        <v>0</v>
      </c>
      <c r="CJ456" s="532">
        <f t="shared" ca="1" si="367"/>
        <v>0</v>
      </c>
      <c r="CK456" s="532">
        <f t="shared" ca="1" si="355"/>
        <v>0</v>
      </c>
      <c r="CP456" s="536">
        <f t="shared" ca="1" si="356"/>
        <v>2064</v>
      </c>
      <c r="CS456" s="100">
        <f t="shared" si="345"/>
        <v>455</v>
      </c>
      <c r="CT456" s="102">
        <f t="shared" ca="1" si="346"/>
        <v>0</v>
      </c>
      <c r="CU456" s="102">
        <f t="shared" ca="1" si="347"/>
        <v>0</v>
      </c>
      <c r="CV456" s="511">
        <f t="shared" ca="1" si="357"/>
        <v>2064</v>
      </c>
    </row>
    <row r="457" spans="1:100" x14ac:dyDescent="0.3">
      <c r="A457" s="100">
        <v>456</v>
      </c>
      <c r="B457" s="131">
        <f t="shared" si="325"/>
        <v>13024</v>
      </c>
      <c r="C457" s="102">
        <f t="shared" si="326"/>
        <v>0</v>
      </c>
      <c r="D457" s="102">
        <f t="shared" si="327"/>
        <v>0</v>
      </c>
      <c r="E457" s="102">
        <f t="shared" si="328"/>
        <v>0</v>
      </c>
      <c r="F457" s="102">
        <f t="shared" si="329"/>
        <v>0</v>
      </c>
      <c r="L457" s="100">
        <v>456</v>
      </c>
      <c r="M457" s="131">
        <f t="shared" ca="1" si="330"/>
        <v>60045</v>
      </c>
      <c r="N457" s="102">
        <f t="shared" si="331"/>
        <v>0</v>
      </c>
      <c r="O457" s="102">
        <f t="shared" si="332"/>
        <v>0</v>
      </c>
      <c r="P457" s="102">
        <f t="shared" si="333"/>
        <v>0</v>
      </c>
      <c r="Q457" s="102">
        <f t="shared" si="334"/>
        <v>0</v>
      </c>
      <c r="W457" s="100">
        <v>456</v>
      </c>
      <c r="X457" s="131">
        <f t="shared" ca="1" si="335"/>
        <v>60045</v>
      </c>
      <c r="Y457" s="102">
        <f t="shared" si="336"/>
        <v>0</v>
      </c>
      <c r="Z457" s="102">
        <f t="shared" si="337"/>
        <v>0</v>
      </c>
      <c r="AA457" s="102">
        <f t="shared" si="338"/>
        <v>0</v>
      </c>
      <c r="AB457" s="102">
        <f t="shared" si="339"/>
        <v>0</v>
      </c>
      <c r="AH457" s="100">
        <v>456</v>
      </c>
      <c r="AI457" s="131">
        <f t="shared" ca="1" si="340"/>
        <v>60045</v>
      </c>
      <c r="AJ457" s="102">
        <f t="shared" si="341"/>
        <v>0</v>
      </c>
      <c r="AK457" s="102">
        <f t="shared" si="342"/>
        <v>0</v>
      </c>
      <c r="AL457" s="102">
        <f t="shared" si="343"/>
        <v>0</v>
      </c>
      <c r="AM457" s="102">
        <f t="shared" si="344"/>
        <v>0</v>
      </c>
      <c r="AS457" s="530">
        <v>456</v>
      </c>
      <c r="AT457" s="531">
        <f t="shared" ca="1" si="358"/>
        <v>60045</v>
      </c>
      <c r="AU457" s="532">
        <f ca="1">IF(AU456=0,SUMIFS('Key Life Events'!$L$3:$L$28,'Key Life Events'!$H$3:$H$28,'Loan Amortization'!$AY$3,'Key Life Events'!$N$3:$N$28,'Loan Amortization'!AT457),AU456-AX456)</f>
        <v>0</v>
      </c>
      <c r="AV457" s="532">
        <f t="shared" ca="1" si="359"/>
        <v>0</v>
      </c>
      <c r="AW457" s="532">
        <f t="shared" ca="1" si="348"/>
        <v>0</v>
      </c>
      <c r="AX457" s="532">
        <f t="shared" ca="1" si="349"/>
        <v>0</v>
      </c>
      <c r="BC457" s="536">
        <f t="shared" ca="1" si="350"/>
        <v>2064</v>
      </c>
      <c r="BF457" s="530">
        <v>456</v>
      </c>
      <c r="BG457" s="531">
        <f t="shared" ca="1" si="360"/>
        <v>60045</v>
      </c>
      <c r="BH457" s="532">
        <f ca="1">IF(BH456=0,SUMIFS('Key Life Events'!$L$3:$L$28,'Key Life Events'!$H$3:$H$28,'Loan Amortization'!$BL$3,'Key Life Events'!$N$3:$N$28,'Loan Amortization'!BG457),BH456-BK456)</f>
        <v>0</v>
      </c>
      <c r="BI457" s="532">
        <f t="shared" ca="1" si="361"/>
        <v>0</v>
      </c>
      <c r="BJ457" s="532">
        <f t="shared" ca="1" si="362"/>
        <v>0</v>
      </c>
      <c r="BK457" s="532">
        <f t="shared" ca="1" si="351"/>
        <v>0</v>
      </c>
      <c r="BP457" s="536">
        <f t="shared" ca="1" si="352"/>
        <v>2064</v>
      </c>
      <c r="BS457" s="530">
        <v>456</v>
      </c>
      <c r="BT457" s="531">
        <f t="shared" ca="1" si="363"/>
        <v>60045</v>
      </c>
      <c r="BU457" s="532">
        <f ca="1">IF(BU456=0,SUMIFS('Key Life Events'!$L$3:$L$28,'Key Life Events'!$H$3:$H$28,'Loan Amortization'!$BY$3,'Key Life Events'!$N$3:$N$28,'Loan Amortization'!BT457),BU456-BX456)</f>
        <v>0</v>
      </c>
      <c r="BV457" s="532">
        <f t="shared" ca="1" si="368"/>
        <v>0</v>
      </c>
      <c r="BW457" s="532">
        <f t="shared" ca="1" si="364"/>
        <v>0</v>
      </c>
      <c r="BX457" s="532">
        <f t="shared" ca="1" si="353"/>
        <v>0</v>
      </c>
      <c r="CC457" s="536">
        <f t="shared" ca="1" si="354"/>
        <v>2064</v>
      </c>
      <c r="CF457" s="530">
        <v>456</v>
      </c>
      <c r="CG457" s="531">
        <f t="shared" ca="1" si="365"/>
        <v>60045</v>
      </c>
      <c r="CH457" s="532">
        <f ca="1">IF(CH456=0,SUMIFS('Key Life Events'!$L$3:$L$28,'Key Life Events'!$H$3:$H$28,'Loan Amortization'!$CL$3,'Key Life Events'!$N$3:$N$28,'Loan Amortization'!CG457),CH456-CK456)</f>
        <v>0</v>
      </c>
      <c r="CI457" s="532">
        <f t="shared" ca="1" si="366"/>
        <v>0</v>
      </c>
      <c r="CJ457" s="532">
        <f t="shared" ca="1" si="367"/>
        <v>0</v>
      </c>
      <c r="CK457" s="532">
        <f t="shared" ca="1" si="355"/>
        <v>0</v>
      </c>
      <c r="CP457" s="536">
        <f t="shared" ca="1" si="356"/>
        <v>2064</v>
      </c>
      <c r="CS457" s="100">
        <f t="shared" si="345"/>
        <v>456</v>
      </c>
      <c r="CT457" s="102">
        <f t="shared" ca="1" si="346"/>
        <v>0</v>
      </c>
      <c r="CU457" s="102">
        <f t="shared" ca="1" si="347"/>
        <v>0</v>
      </c>
      <c r="CV457" s="511">
        <f t="shared" ca="1" si="357"/>
        <v>2064</v>
      </c>
    </row>
    <row r="458" spans="1:100" x14ac:dyDescent="0.3">
      <c r="A458" s="100">
        <v>457</v>
      </c>
      <c r="B458" s="131">
        <f t="shared" si="325"/>
        <v>13055</v>
      </c>
      <c r="C458" s="102">
        <f t="shared" si="326"/>
        <v>0</v>
      </c>
      <c r="D458" s="102">
        <f t="shared" si="327"/>
        <v>0</v>
      </c>
      <c r="E458" s="102">
        <f t="shared" si="328"/>
        <v>0</v>
      </c>
      <c r="F458" s="102">
        <f t="shared" si="329"/>
        <v>0</v>
      </c>
      <c r="L458" s="100">
        <v>457</v>
      </c>
      <c r="M458" s="131">
        <f t="shared" ca="1" si="330"/>
        <v>60076</v>
      </c>
      <c r="N458" s="102">
        <f t="shared" si="331"/>
        <v>0</v>
      </c>
      <c r="O458" s="102">
        <f t="shared" si="332"/>
        <v>0</v>
      </c>
      <c r="P458" s="102">
        <f t="shared" si="333"/>
        <v>0</v>
      </c>
      <c r="Q458" s="102">
        <f t="shared" si="334"/>
        <v>0</v>
      </c>
      <c r="W458" s="100">
        <v>457</v>
      </c>
      <c r="X458" s="131">
        <f t="shared" ca="1" si="335"/>
        <v>60076</v>
      </c>
      <c r="Y458" s="102">
        <f t="shared" si="336"/>
        <v>0</v>
      </c>
      <c r="Z458" s="102">
        <f t="shared" si="337"/>
        <v>0</v>
      </c>
      <c r="AA458" s="102">
        <f t="shared" si="338"/>
        <v>0</v>
      </c>
      <c r="AB458" s="102">
        <f t="shared" si="339"/>
        <v>0</v>
      </c>
      <c r="AH458" s="100">
        <v>457</v>
      </c>
      <c r="AI458" s="131">
        <f t="shared" ca="1" si="340"/>
        <v>60076</v>
      </c>
      <c r="AJ458" s="102">
        <f t="shared" si="341"/>
        <v>0</v>
      </c>
      <c r="AK458" s="102">
        <f t="shared" si="342"/>
        <v>0</v>
      </c>
      <c r="AL458" s="102">
        <f t="shared" si="343"/>
        <v>0</v>
      </c>
      <c r="AM458" s="102">
        <f t="shared" si="344"/>
        <v>0</v>
      </c>
      <c r="AS458" s="530">
        <v>457</v>
      </c>
      <c r="AT458" s="531">
        <f t="shared" ca="1" si="358"/>
        <v>60076</v>
      </c>
      <c r="AU458" s="532">
        <f ca="1">IF(AU457=0,SUMIFS('Key Life Events'!$L$3:$L$28,'Key Life Events'!$H$3:$H$28,'Loan Amortization'!$AY$3,'Key Life Events'!$N$3:$N$28,'Loan Amortization'!AT458),AU457-AX457)</f>
        <v>0</v>
      </c>
      <c r="AV458" s="532">
        <f t="shared" ca="1" si="359"/>
        <v>0</v>
      </c>
      <c r="AW458" s="532">
        <f t="shared" ca="1" si="348"/>
        <v>0</v>
      </c>
      <c r="AX458" s="532">
        <f t="shared" ca="1" si="349"/>
        <v>0</v>
      </c>
      <c r="BC458" s="536">
        <f t="shared" ca="1" si="350"/>
        <v>2064</v>
      </c>
      <c r="BF458" s="530">
        <v>457</v>
      </c>
      <c r="BG458" s="531">
        <f t="shared" ca="1" si="360"/>
        <v>60076</v>
      </c>
      <c r="BH458" s="532">
        <f ca="1">IF(BH457=0,SUMIFS('Key Life Events'!$L$3:$L$28,'Key Life Events'!$H$3:$H$28,'Loan Amortization'!$BL$3,'Key Life Events'!$N$3:$N$28,'Loan Amortization'!BG458),BH457-BK457)</f>
        <v>0</v>
      </c>
      <c r="BI458" s="532">
        <f t="shared" ca="1" si="361"/>
        <v>0</v>
      </c>
      <c r="BJ458" s="532">
        <f t="shared" ca="1" si="362"/>
        <v>0</v>
      </c>
      <c r="BK458" s="532">
        <f t="shared" ca="1" si="351"/>
        <v>0</v>
      </c>
      <c r="BP458" s="536">
        <f t="shared" ca="1" si="352"/>
        <v>2064</v>
      </c>
      <c r="BS458" s="530">
        <v>457</v>
      </c>
      <c r="BT458" s="531">
        <f t="shared" ca="1" si="363"/>
        <v>60076</v>
      </c>
      <c r="BU458" s="532">
        <f ca="1">IF(BU457=0,SUMIFS('Key Life Events'!$L$3:$L$28,'Key Life Events'!$H$3:$H$28,'Loan Amortization'!$BY$3,'Key Life Events'!$N$3:$N$28,'Loan Amortization'!BT458),BU457-BX457)</f>
        <v>0</v>
      </c>
      <c r="BV458" s="532">
        <f t="shared" ca="1" si="368"/>
        <v>0</v>
      </c>
      <c r="BW458" s="532">
        <f t="shared" ca="1" si="364"/>
        <v>0</v>
      </c>
      <c r="BX458" s="532">
        <f t="shared" ca="1" si="353"/>
        <v>0</v>
      </c>
      <c r="CC458" s="536">
        <f t="shared" ca="1" si="354"/>
        <v>2064</v>
      </c>
      <c r="CF458" s="530">
        <v>457</v>
      </c>
      <c r="CG458" s="531">
        <f t="shared" ca="1" si="365"/>
        <v>60076</v>
      </c>
      <c r="CH458" s="532">
        <f ca="1">IF(CH457=0,SUMIFS('Key Life Events'!$L$3:$L$28,'Key Life Events'!$H$3:$H$28,'Loan Amortization'!$CL$3,'Key Life Events'!$N$3:$N$28,'Loan Amortization'!CG458),CH457-CK457)</f>
        <v>0</v>
      </c>
      <c r="CI458" s="532">
        <f t="shared" ca="1" si="366"/>
        <v>0</v>
      </c>
      <c r="CJ458" s="532">
        <f t="shared" ca="1" si="367"/>
        <v>0</v>
      </c>
      <c r="CK458" s="532">
        <f t="shared" ca="1" si="355"/>
        <v>0</v>
      </c>
      <c r="CP458" s="536">
        <f t="shared" ca="1" si="356"/>
        <v>2064</v>
      </c>
      <c r="CS458" s="100">
        <f t="shared" si="345"/>
        <v>457</v>
      </c>
      <c r="CT458" s="102">
        <f t="shared" ca="1" si="346"/>
        <v>0</v>
      </c>
      <c r="CU458" s="102">
        <f t="shared" ca="1" si="347"/>
        <v>0</v>
      </c>
      <c r="CV458" s="511">
        <f t="shared" ca="1" si="357"/>
        <v>2064</v>
      </c>
    </row>
    <row r="459" spans="1:100" x14ac:dyDescent="0.3">
      <c r="A459" s="100">
        <v>458</v>
      </c>
      <c r="B459" s="131">
        <f t="shared" si="325"/>
        <v>13085</v>
      </c>
      <c r="C459" s="102">
        <f t="shared" si="326"/>
        <v>0</v>
      </c>
      <c r="D459" s="102">
        <f t="shared" si="327"/>
        <v>0</v>
      </c>
      <c r="E459" s="102">
        <f t="shared" si="328"/>
        <v>0</v>
      </c>
      <c r="F459" s="102">
        <f t="shared" si="329"/>
        <v>0</v>
      </c>
      <c r="L459" s="100">
        <v>458</v>
      </c>
      <c r="M459" s="131">
        <f t="shared" ca="1" si="330"/>
        <v>60106</v>
      </c>
      <c r="N459" s="102">
        <f t="shared" si="331"/>
        <v>0</v>
      </c>
      <c r="O459" s="102">
        <f t="shared" si="332"/>
        <v>0</v>
      </c>
      <c r="P459" s="102">
        <f t="shared" si="333"/>
        <v>0</v>
      </c>
      <c r="Q459" s="102">
        <f t="shared" si="334"/>
        <v>0</v>
      </c>
      <c r="W459" s="100">
        <v>458</v>
      </c>
      <c r="X459" s="131">
        <f t="shared" ca="1" si="335"/>
        <v>60106</v>
      </c>
      <c r="Y459" s="102">
        <f t="shared" si="336"/>
        <v>0</v>
      </c>
      <c r="Z459" s="102">
        <f t="shared" si="337"/>
        <v>0</v>
      </c>
      <c r="AA459" s="102">
        <f t="shared" si="338"/>
        <v>0</v>
      </c>
      <c r="AB459" s="102">
        <f t="shared" si="339"/>
        <v>0</v>
      </c>
      <c r="AH459" s="100">
        <v>458</v>
      </c>
      <c r="AI459" s="131">
        <f t="shared" ca="1" si="340"/>
        <v>60106</v>
      </c>
      <c r="AJ459" s="102">
        <f t="shared" si="341"/>
        <v>0</v>
      </c>
      <c r="AK459" s="102">
        <f t="shared" si="342"/>
        <v>0</v>
      </c>
      <c r="AL459" s="102">
        <f t="shared" si="343"/>
        <v>0</v>
      </c>
      <c r="AM459" s="102">
        <f t="shared" si="344"/>
        <v>0</v>
      </c>
      <c r="AS459" s="530">
        <v>458</v>
      </c>
      <c r="AT459" s="531">
        <f t="shared" ca="1" si="358"/>
        <v>60106</v>
      </c>
      <c r="AU459" s="532">
        <f ca="1">IF(AU458=0,SUMIFS('Key Life Events'!$L$3:$L$28,'Key Life Events'!$H$3:$H$28,'Loan Amortization'!$AY$3,'Key Life Events'!$N$3:$N$28,'Loan Amortization'!AT459),AU458-AX458)</f>
        <v>0</v>
      </c>
      <c r="AV459" s="532">
        <f t="shared" ca="1" si="359"/>
        <v>0</v>
      </c>
      <c r="AW459" s="532">
        <f t="shared" ca="1" si="348"/>
        <v>0</v>
      </c>
      <c r="AX459" s="532">
        <f t="shared" ca="1" si="349"/>
        <v>0</v>
      </c>
      <c r="BC459" s="536">
        <f t="shared" ca="1" si="350"/>
        <v>2064</v>
      </c>
      <c r="BF459" s="530">
        <v>458</v>
      </c>
      <c r="BG459" s="531">
        <f t="shared" ca="1" si="360"/>
        <v>60106</v>
      </c>
      <c r="BH459" s="532">
        <f ca="1">IF(BH458=0,SUMIFS('Key Life Events'!$L$3:$L$28,'Key Life Events'!$H$3:$H$28,'Loan Amortization'!$BL$3,'Key Life Events'!$N$3:$N$28,'Loan Amortization'!BG459),BH458-BK458)</f>
        <v>0</v>
      </c>
      <c r="BI459" s="532">
        <f t="shared" ca="1" si="361"/>
        <v>0</v>
      </c>
      <c r="BJ459" s="532">
        <f t="shared" ca="1" si="362"/>
        <v>0</v>
      </c>
      <c r="BK459" s="532">
        <f t="shared" ca="1" si="351"/>
        <v>0</v>
      </c>
      <c r="BP459" s="536">
        <f t="shared" ca="1" si="352"/>
        <v>2064</v>
      </c>
      <c r="BS459" s="530">
        <v>458</v>
      </c>
      <c r="BT459" s="531">
        <f t="shared" ca="1" si="363"/>
        <v>60106</v>
      </c>
      <c r="BU459" s="532">
        <f ca="1">IF(BU458=0,SUMIFS('Key Life Events'!$L$3:$L$28,'Key Life Events'!$H$3:$H$28,'Loan Amortization'!$BY$3,'Key Life Events'!$N$3:$N$28,'Loan Amortization'!BT459),BU458-BX458)</f>
        <v>0</v>
      </c>
      <c r="BV459" s="532">
        <f t="shared" ca="1" si="368"/>
        <v>0</v>
      </c>
      <c r="BW459" s="532">
        <f t="shared" ca="1" si="364"/>
        <v>0</v>
      </c>
      <c r="BX459" s="532">
        <f t="shared" ca="1" si="353"/>
        <v>0</v>
      </c>
      <c r="CC459" s="536">
        <f t="shared" ca="1" si="354"/>
        <v>2064</v>
      </c>
      <c r="CF459" s="530">
        <v>458</v>
      </c>
      <c r="CG459" s="531">
        <f t="shared" ca="1" si="365"/>
        <v>60106</v>
      </c>
      <c r="CH459" s="532">
        <f ca="1">IF(CH458=0,SUMIFS('Key Life Events'!$L$3:$L$28,'Key Life Events'!$H$3:$H$28,'Loan Amortization'!$CL$3,'Key Life Events'!$N$3:$N$28,'Loan Amortization'!CG459),CH458-CK458)</f>
        <v>0</v>
      </c>
      <c r="CI459" s="532">
        <f t="shared" ca="1" si="366"/>
        <v>0</v>
      </c>
      <c r="CJ459" s="532">
        <f t="shared" ca="1" si="367"/>
        <v>0</v>
      </c>
      <c r="CK459" s="532">
        <f t="shared" ca="1" si="355"/>
        <v>0</v>
      </c>
      <c r="CP459" s="536">
        <f t="shared" ca="1" si="356"/>
        <v>2064</v>
      </c>
      <c r="CS459" s="100">
        <f t="shared" si="345"/>
        <v>458</v>
      </c>
      <c r="CT459" s="102">
        <f t="shared" ca="1" si="346"/>
        <v>0</v>
      </c>
      <c r="CU459" s="102">
        <f t="shared" ca="1" si="347"/>
        <v>0</v>
      </c>
      <c r="CV459" s="511">
        <f t="shared" ca="1" si="357"/>
        <v>2064</v>
      </c>
    </row>
    <row r="460" spans="1:100" x14ac:dyDescent="0.3">
      <c r="A460" s="100">
        <v>459</v>
      </c>
      <c r="B460" s="131">
        <f t="shared" si="325"/>
        <v>13116</v>
      </c>
      <c r="C460" s="102">
        <f t="shared" si="326"/>
        <v>0</v>
      </c>
      <c r="D460" s="102">
        <f t="shared" si="327"/>
        <v>0</v>
      </c>
      <c r="E460" s="102">
        <f t="shared" si="328"/>
        <v>0</v>
      </c>
      <c r="F460" s="102">
        <f t="shared" si="329"/>
        <v>0</v>
      </c>
      <c r="L460" s="100">
        <v>459</v>
      </c>
      <c r="M460" s="131">
        <f t="shared" ca="1" si="330"/>
        <v>60137</v>
      </c>
      <c r="N460" s="102">
        <f t="shared" si="331"/>
        <v>0</v>
      </c>
      <c r="O460" s="102">
        <f t="shared" si="332"/>
        <v>0</v>
      </c>
      <c r="P460" s="102">
        <f t="shared" si="333"/>
        <v>0</v>
      </c>
      <c r="Q460" s="102">
        <f t="shared" si="334"/>
        <v>0</v>
      </c>
      <c r="W460" s="100">
        <v>459</v>
      </c>
      <c r="X460" s="131">
        <f t="shared" ca="1" si="335"/>
        <v>60137</v>
      </c>
      <c r="Y460" s="102">
        <f t="shared" si="336"/>
        <v>0</v>
      </c>
      <c r="Z460" s="102">
        <f t="shared" si="337"/>
        <v>0</v>
      </c>
      <c r="AA460" s="102">
        <f t="shared" si="338"/>
        <v>0</v>
      </c>
      <c r="AB460" s="102">
        <f t="shared" si="339"/>
        <v>0</v>
      </c>
      <c r="AH460" s="100">
        <v>459</v>
      </c>
      <c r="AI460" s="131">
        <f t="shared" ca="1" si="340"/>
        <v>60137</v>
      </c>
      <c r="AJ460" s="102">
        <f t="shared" si="341"/>
        <v>0</v>
      </c>
      <c r="AK460" s="102">
        <f t="shared" si="342"/>
        <v>0</v>
      </c>
      <c r="AL460" s="102">
        <f t="shared" si="343"/>
        <v>0</v>
      </c>
      <c r="AM460" s="102">
        <f t="shared" si="344"/>
        <v>0</v>
      </c>
      <c r="AS460" s="530">
        <v>459</v>
      </c>
      <c r="AT460" s="531">
        <f t="shared" ca="1" si="358"/>
        <v>60137</v>
      </c>
      <c r="AU460" s="532">
        <f ca="1">IF(AU459=0,SUMIFS('Key Life Events'!$L$3:$L$28,'Key Life Events'!$H$3:$H$28,'Loan Amortization'!$AY$3,'Key Life Events'!$N$3:$N$28,'Loan Amortization'!AT460),AU459-AX459)</f>
        <v>0</v>
      </c>
      <c r="AV460" s="532">
        <f t="shared" ca="1" si="359"/>
        <v>0</v>
      </c>
      <c r="AW460" s="532">
        <f t="shared" ca="1" si="348"/>
        <v>0</v>
      </c>
      <c r="AX460" s="532">
        <f t="shared" ca="1" si="349"/>
        <v>0</v>
      </c>
      <c r="BC460" s="536">
        <f t="shared" ca="1" si="350"/>
        <v>2064</v>
      </c>
      <c r="BF460" s="530">
        <v>459</v>
      </c>
      <c r="BG460" s="531">
        <f t="shared" ca="1" si="360"/>
        <v>60137</v>
      </c>
      <c r="BH460" s="532">
        <f ca="1">IF(BH459=0,SUMIFS('Key Life Events'!$L$3:$L$28,'Key Life Events'!$H$3:$H$28,'Loan Amortization'!$BL$3,'Key Life Events'!$N$3:$N$28,'Loan Amortization'!BG460),BH459-BK459)</f>
        <v>0</v>
      </c>
      <c r="BI460" s="532">
        <f t="shared" ca="1" si="361"/>
        <v>0</v>
      </c>
      <c r="BJ460" s="532">
        <f t="shared" ca="1" si="362"/>
        <v>0</v>
      </c>
      <c r="BK460" s="532">
        <f t="shared" ca="1" si="351"/>
        <v>0</v>
      </c>
      <c r="BP460" s="536">
        <f t="shared" ca="1" si="352"/>
        <v>2064</v>
      </c>
      <c r="BS460" s="530">
        <v>459</v>
      </c>
      <c r="BT460" s="531">
        <f t="shared" ca="1" si="363"/>
        <v>60137</v>
      </c>
      <c r="BU460" s="532">
        <f ca="1">IF(BU459=0,SUMIFS('Key Life Events'!$L$3:$L$28,'Key Life Events'!$H$3:$H$28,'Loan Amortization'!$BY$3,'Key Life Events'!$N$3:$N$28,'Loan Amortization'!BT460),BU459-BX459)</f>
        <v>0</v>
      </c>
      <c r="BV460" s="532">
        <f t="shared" ca="1" si="368"/>
        <v>0</v>
      </c>
      <c r="BW460" s="532">
        <f t="shared" ca="1" si="364"/>
        <v>0</v>
      </c>
      <c r="BX460" s="532">
        <f t="shared" ca="1" si="353"/>
        <v>0</v>
      </c>
      <c r="CC460" s="536">
        <f t="shared" ca="1" si="354"/>
        <v>2064</v>
      </c>
      <c r="CF460" s="530">
        <v>459</v>
      </c>
      <c r="CG460" s="531">
        <f t="shared" ca="1" si="365"/>
        <v>60137</v>
      </c>
      <c r="CH460" s="532">
        <f ca="1">IF(CH459=0,SUMIFS('Key Life Events'!$L$3:$L$28,'Key Life Events'!$H$3:$H$28,'Loan Amortization'!$CL$3,'Key Life Events'!$N$3:$N$28,'Loan Amortization'!CG460),CH459-CK459)</f>
        <v>0</v>
      </c>
      <c r="CI460" s="532">
        <f t="shared" ca="1" si="366"/>
        <v>0</v>
      </c>
      <c r="CJ460" s="532">
        <f t="shared" ca="1" si="367"/>
        <v>0</v>
      </c>
      <c r="CK460" s="532">
        <f t="shared" ca="1" si="355"/>
        <v>0</v>
      </c>
      <c r="CP460" s="536">
        <f t="shared" ca="1" si="356"/>
        <v>2064</v>
      </c>
      <c r="CS460" s="100">
        <f t="shared" si="345"/>
        <v>459</v>
      </c>
      <c r="CT460" s="102">
        <f t="shared" ca="1" si="346"/>
        <v>0</v>
      </c>
      <c r="CU460" s="102">
        <f t="shared" ca="1" si="347"/>
        <v>0</v>
      </c>
      <c r="CV460" s="511">
        <f t="shared" ca="1" si="357"/>
        <v>2064</v>
      </c>
    </row>
    <row r="461" spans="1:100" x14ac:dyDescent="0.3">
      <c r="A461" s="100">
        <v>460</v>
      </c>
      <c r="B461" s="131">
        <f t="shared" si="325"/>
        <v>13146</v>
      </c>
      <c r="C461" s="102">
        <f t="shared" si="326"/>
        <v>0</v>
      </c>
      <c r="D461" s="102">
        <f t="shared" si="327"/>
        <v>0</v>
      </c>
      <c r="E461" s="102">
        <f t="shared" si="328"/>
        <v>0</v>
      </c>
      <c r="F461" s="102">
        <f t="shared" si="329"/>
        <v>0</v>
      </c>
      <c r="L461" s="100">
        <v>460</v>
      </c>
      <c r="M461" s="131">
        <f t="shared" ca="1" si="330"/>
        <v>60168</v>
      </c>
      <c r="N461" s="102">
        <f t="shared" si="331"/>
        <v>0</v>
      </c>
      <c r="O461" s="102">
        <f t="shared" si="332"/>
        <v>0</v>
      </c>
      <c r="P461" s="102">
        <f t="shared" si="333"/>
        <v>0</v>
      </c>
      <c r="Q461" s="102">
        <f t="shared" si="334"/>
        <v>0</v>
      </c>
      <c r="W461" s="100">
        <v>460</v>
      </c>
      <c r="X461" s="131">
        <f t="shared" ca="1" si="335"/>
        <v>60168</v>
      </c>
      <c r="Y461" s="102">
        <f t="shared" si="336"/>
        <v>0</v>
      </c>
      <c r="Z461" s="102">
        <f t="shared" si="337"/>
        <v>0</v>
      </c>
      <c r="AA461" s="102">
        <f t="shared" si="338"/>
        <v>0</v>
      </c>
      <c r="AB461" s="102">
        <f t="shared" si="339"/>
        <v>0</v>
      </c>
      <c r="AH461" s="100">
        <v>460</v>
      </c>
      <c r="AI461" s="131">
        <f t="shared" ca="1" si="340"/>
        <v>60168</v>
      </c>
      <c r="AJ461" s="102">
        <f t="shared" si="341"/>
        <v>0</v>
      </c>
      <c r="AK461" s="102">
        <f t="shared" si="342"/>
        <v>0</v>
      </c>
      <c r="AL461" s="102">
        <f t="shared" si="343"/>
        <v>0</v>
      </c>
      <c r="AM461" s="102">
        <f t="shared" si="344"/>
        <v>0</v>
      </c>
      <c r="AS461" s="530">
        <v>460</v>
      </c>
      <c r="AT461" s="531">
        <f t="shared" ca="1" si="358"/>
        <v>60168</v>
      </c>
      <c r="AU461" s="532">
        <f ca="1">IF(AU460=0,SUMIFS('Key Life Events'!$L$3:$L$28,'Key Life Events'!$H$3:$H$28,'Loan Amortization'!$AY$3,'Key Life Events'!$N$3:$N$28,'Loan Amortization'!AT461),AU460-AX460)</f>
        <v>0</v>
      </c>
      <c r="AV461" s="532">
        <f t="shared" ca="1" si="359"/>
        <v>0</v>
      </c>
      <c r="AW461" s="532">
        <f t="shared" ca="1" si="348"/>
        <v>0</v>
      </c>
      <c r="AX461" s="532">
        <f t="shared" ca="1" si="349"/>
        <v>0</v>
      </c>
      <c r="BC461" s="536">
        <f t="shared" ca="1" si="350"/>
        <v>2064</v>
      </c>
      <c r="BF461" s="530">
        <v>460</v>
      </c>
      <c r="BG461" s="531">
        <f t="shared" ca="1" si="360"/>
        <v>60168</v>
      </c>
      <c r="BH461" s="532">
        <f ca="1">IF(BH460=0,SUMIFS('Key Life Events'!$L$3:$L$28,'Key Life Events'!$H$3:$H$28,'Loan Amortization'!$BL$3,'Key Life Events'!$N$3:$N$28,'Loan Amortization'!BG461),BH460-BK460)</f>
        <v>0</v>
      </c>
      <c r="BI461" s="532">
        <f t="shared" ca="1" si="361"/>
        <v>0</v>
      </c>
      <c r="BJ461" s="532">
        <f t="shared" ca="1" si="362"/>
        <v>0</v>
      </c>
      <c r="BK461" s="532">
        <f t="shared" ca="1" si="351"/>
        <v>0</v>
      </c>
      <c r="BP461" s="536">
        <f t="shared" ca="1" si="352"/>
        <v>2064</v>
      </c>
      <c r="BS461" s="530">
        <v>460</v>
      </c>
      <c r="BT461" s="531">
        <f t="shared" ca="1" si="363"/>
        <v>60168</v>
      </c>
      <c r="BU461" s="532">
        <f ca="1">IF(BU460=0,SUMIFS('Key Life Events'!$L$3:$L$28,'Key Life Events'!$H$3:$H$28,'Loan Amortization'!$BY$3,'Key Life Events'!$N$3:$N$28,'Loan Amortization'!BT461),BU460-BX460)</f>
        <v>0</v>
      </c>
      <c r="BV461" s="532">
        <f t="shared" ca="1" si="368"/>
        <v>0</v>
      </c>
      <c r="BW461" s="532">
        <f t="shared" ca="1" si="364"/>
        <v>0</v>
      </c>
      <c r="BX461" s="532">
        <f t="shared" ca="1" si="353"/>
        <v>0</v>
      </c>
      <c r="CC461" s="536">
        <f t="shared" ca="1" si="354"/>
        <v>2064</v>
      </c>
      <c r="CF461" s="530">
        <v>460</v>
      </c>
      <c r="CG461" s="531">
        <f t="shared" ca="1" si="365"/>
        <v>60168</v>
      </c>
      <c r="CH461" s="532">
        <f ca="1">IF(CH460=0,SUMIFS('Key Life Events'!$L$3:$L$28,'Key Life Events'!$H$3:$H$28,'Loan Amortization'!$CL$3,'Key Life Events'!$N$3:$N$28,'Loan Amortization'!CG461),CH460-CK460)</f>
        <v>0</v>
      </c>
      <c r="CI461" s="532">
        <f t="shared" ca="1" si="366"/>
        <v>0</v>
      </c>
      <c r="CJ461" s="532">
        <f t="shared" ca="1" si="367"/>
        <v>0</v>
      </c>
      <c r="CK461" s="532">
        <f t="shared" ca="1" si="355"/>
        <v>0</v>
      </c>
      <c r="CP461" s="536">
        <f t="shared" ca="1" si="356"/>
        <v>2064</v>
      </c>
      <c r="CS461" s="100">
        <f t="shared" si="345"/>
        <v>460</v>
      </c>
      <c r="CT461" s="102">
        <f t="shared" ca="1" si="346"/>
        <v>0</v>
      </c>
      <c r="CU461" s="102">
        <f t="shared" ca="1" si="347"/>
        <v>0</v>
      </c>
      <c r="CV461" s="511">
        <f t="shared" ca="1" si="357"/>
        <v>2064</v>
      </c>
    </row>
    <row r="462" spans="1:100" x14ac:dyDescent="0.3">
      <c r="A462" s="100">
        <v>461</v>
      </c>
      <c r="B462" s="131">
        <f t="shared" si="325"/>
        <v>13177</v>
      </c>
      <c r="C462" s="102">
        <f t="shared" si="326"/>
        <v>0</v>
      </c>
      <c r="D462" s="102">
        <f t="shared" si="327"/>
        <v>0</v>
      </c>
      <c r="E462" s="102">
        <f t="shared" si="328"/>
        <v>0</v>
      </c>
      <c r="F462" s="102">
        <f t="shared" si="329"/>
        <v>0</v>
      </c>
      <c r="L462" s="100">
        <v>461</v>
      </c>
      <c r="M462" s="131">
        <f t="shared" ca="1" si="330"/>
        <v>60198</v>
      </c>
      <c r="N462" s="102">
        <f t="shared" si="331"/>
        <v>0</v>
      </c>
      <c r="O462" s="102">
        <f t="shared" si="332"/>
        <v>0</v>
      </c>
      <c r="P462" s="102">
        <f t="shared" si="333"/>
        <v>0</v>
      </c>
      <c r="Q462" s="102">
        <f t="shared" si="334"/>
        <v>0</v>
      </c>
      <c r="W462" s="100">
        <v>461</v>
      </c>
      <c r="X462" s="131">
        <f t="shared" ca="1" si="335"/>
        <v>60198</v>
      </c>
      <c r="Y462" s="102">
        <f t="shared" si="336"/>
        <v>0</v>
      </c>
      <c r="Z462" s="102">
        <f t="shared" si="337"/>
        <v>0</v>
      </c>
      <c r="AA462" s="102">
        <f t="shared" si="338"/>
        <v>0</v>
      </c>
      <c r="AB462" s="102">
        <f t="shared" si="339"/>
        <v>0</v>
      </c>
      <c r="AH462" s="100">
        <v>461</v>
      </c>
      <c r="AI462" s="131">
        <f t="shared" ca="1" si="340"/>
        <v>60198</v>
      </c>
      <c r="AJ462" s="102">
        <f t="shared" si="341"/>
        <v>0</v>
      </c>
      <c r="AK462" s="102">
        <f t="shared" si="342"/>
        <v>0</v>
      </c>
      <c r="AL462" s="102">
        <f t="shared" si="343"/>
        <v>0</v>
      </c>
      <c r="AM462" s="102">
        <f t="shared" si="344"/>
        <v>0</v>
      </c>
      <c r="AS462" s="530">
        <v>461</v>
      </c>
      <c r="AT462" s="531">
        <f t="shared" ca="1" si="358"/>
        <v>60198</v>
      </c>
      <c r="AU462" s="532">
        <f ca="1">IF(AU461=0,SUMIFS('Key Life Events'!$L$3:$L$28,'Key Life Events'!$H$3:$H$28,'Loan Amortization'!$AY$3,'Key Life Events'!$N$3:$N$28,'Loan Amortization'!AT462),AU461-AX461)</f>
        <v>0</v>
      </c>
      <c r="AV462" s="532">
        <f t="shared" ca="1" si="359"/>
        <v>0</v>
      </c>
      <c r="AW462" s="532">
        <f t="shared" ca="1" si="348"/>
        <v>0</v>
      </c>
      <c r="AX462" s="532">
        <f t="shared" ca="1" si="349"/>
        <v>0</v>
      </c>
      <c r="BC462" s="536">
        <f t="shared" ca="1" si="350"/>
        <v>2064</v>
      </c>
      <c r="BF462" s="530">
        <v>461</v>
      </c>
      <c r="BG462" s="531">
        <f t="shared" ca="1" si="360"/>
        <v>60198</v>
      </c>
      <c r="BH462" s="532">
        <f ca="1">IF(BH461=0,SUMIFS('Key Life Events'!$L$3:$L$28,'Key Life Events'!$H$3:$H$28,'Loan Amortization'!$BL$3,'Key Life Events'!$N$3:$N$28,'Loan Amortization'!BG462),BH461-BK461)</f>
        <v>0</v>
      </c>
      <c r="BI462" s="532">
        <f t="shared" ca="1" si="361"/>
        <v>0</v>
      </c>
      <c r="BJ462" s="532">
        <f t="shared" ca="1" si="362"/>
        <v>0</v>
      </c>
      <c r="BK462" s="532">
        <f t="shared" ca="1" si="351"/>
        <v>0</v>
      </c>
      <c r="BP462" s="536">
        <f t="shared" ca="1" si="352"/>
        <v>2064</v>
      </c>
      <c r="BS462" s="530">
        <v>461</v>
      </c>
      <c r="BT462" s="531">
        <f t="shared" ca="1" si="363"/>
        <v>60198</v>
      </c>
      <c r="BU462" s="532">
        <f ca="1">IF(BU461=0,SUMIFS('Key Life Events'!$L$3:$L$28,'Key Life Events'!$H$3:$H$28,'Loan Amortization'!$BY$3,'Key Life Events'!$N$3:$N$28,'Loan Amortization'!BT462),BU461-BX461)</f>
        <v>0</v>
      </c>
      <c r="BV462" s="532">
        <f t="shared" ca="1" si="368"/>
        <v>0</v>
      </c>
      <c r="BW462" s="532">
        <f t="shared" ca="1" si="364"/>
        <v>0</v>
      </c>
      <c r="BX462" s="532">
        <f t="shared" ca="1" si="353"/>
        <v>0</v>
      </c>
      <c r="CC462" s="536">
        <f t="shared" ca="1" si="354"/>
        <v>2064</v>
      </c>
      <c r="CF462" s="530">
        <v>461</v>
      </c>
      <c r="CG462" s="531">
        <f t="shared" ca="1" si="365"/>
        <v>60198</v>
      </c>
      <c r="CH462" s="532">
        <f ca="1">IF(CH461=0,SUMIFS('Key Life Events'!$L$3:$L$28,'Key Life Events'!$H$3:$H$28,'Loan Amortization'!$CL$3,'Key Life Events'!$N$3:$N$28,'Loan Amortization'!CG462),CH461-CK461)</f>
        <v>0</v>
      </c>
      <c r="CI462" s="532">
        <f t="shared" ca="1" si="366"/>
        <v>0</v>
      </c>
      <c r="CJ462" s="532">
        <f t="shared" ca="1" si="367"/>
        <v>0</v>
      </c>
      <c r="CK462" s="532">
        <f t="shared" ca="1" si="355"/>
        <v>0</v>
      </c>
      <c r="CP462" s="536">
        <f t="shared" ca="1" si="356"/>
        <v>2064</v>
      </c>
      <c r="CS462" s="100">
        <f t="shared" si="345"/>
        <v>461</v>
      </c>
      <c r="CT462" s="102">
        <f t="shared" ca="1" si="346"/>
        <v>0</v>
      </c>
      <c r="CU462" s="102">
        <f t="shared" ca="1" si="347"/>
        <v>0</v>
      </c>
      <c r="CV462" s="511">
        <f t="shared" ca="1" si="357"/>
        <v>2064</v>
      </c>
    </row>
    <row r="463" spans="1:100" x14ac:dyDescent="0.3">
      <c r="A463" s="100">
        <v>462</v>
      </c>
      <c r="B463" s="131">
        <f t="shared" si="325"/>
        <v>13208</v>
      </c>
      <c r="C463" s="102">
        <f t="shared" si="326"/>
        <v>0</v>
      </c>
      <c r="D463" s="102">
        <f t="shared" si="327"/>
        <v>0</v>
      </c>
      <c r="E463" s="102">
        <f t="shared" si="328"/>
        <v>0</v>
      </c>
      <c r="F463" s="102">
        <f t="shared" si="329"/>
        <v>0</v>
      </c>
      <c r="L463" s="100">
        <v>462</v>
      </c>
      <c r="M463" s="131">
        <f t="shared" ca="1" si="330"/>
        <v>60229</v>
      </c>
      <c r="N463" s="102">
        <f t="shared" si="331"/>
        <v>0</v>
      </c>
      <c r="O463" s="102">
        <f t="shared" si="332"/>
        <v>0</v>
      </c>
      <c r="P463" s="102">
        <f t="shared" si="333"/>
        <v>0</v>
      </c>
      <c r="Q463" s="102">
        <f t="shared" si="334"/>
        <v>0</v>
      </c>
      <c r="W463" s="100">
        <v>462</v>
      </c>
      <c r="X463" s="131">
        <f t="shared" ca="1" si="335"/>
        <v>60229</v>
      </c>
      <c r="Y463" s="102">
        <f t="shared" si="336"/>
        <v>0</v>
      </c>
      <c r="Z463" s="102">
        <f t="shared" si="337"/>
        <v>0</v>
      </c>
      <c r="AA463" s="102">
        <f t="shared" si="338"/>
        <v>0</v>
      </c>
      <c r="AB463" s="102">
        <f t="shared" si="339"/>
        <v>0</v>
      </c>
      <c r="AH463" s="100">
        <v>462</v>
      </c>
      <c r="AI463" s="131">
        <f t="shared" ca="1" si="340"/>
        <v>60229</v>
      </c>
      <c r="AJ463" s="102">
        <f t="shared" si="341"/>
        <v>0</v>
      </c>
      <c r="AK463" s="102">
        <f t="shared" si="342"/>
        <v>0</v>
      </c>
      <c r="AL463" s="102">
        <f t="shared" si="343"/>
        <v>0</v>
      </c>
      <c r="AM463" s="102">
        <f t="shared" si="344"/>
        <v>0</v>
      </c>
      <c r="AS463" s="530">
        <v>462</v>
      </c>
      <c r="AT463" s="531">
        <f t="shared" ca="1" si="358"/>
        <v>60229</v>
      </c>
      <c r="AU463" s="532">
        <f ca="1">IF(AU462=0,SUMIFS('Key Life Events'!$L$3:$L$28,'Key Life Events'!$H$3:$H$28,'Loan Amortization'!$AY$3,'Key Life Events'!$N$3:$N$28,'Loan Amortization'!AT463),AU462-AX462)</f>
        <v>0</v>
      </c>
      <c r="AV463" s="532">
        <f t="shared" ca="1" si="359"/>
        <v>0</v>
      </c>
      <c r="AW463" s="532">
        <f t="shared" ca="1" si="348"/>
        <v>0</v>
      </c>
      <c r="AX463" s="532">
        <f t="shared" ca="1" si="349"/>
        <v>0</v>
      </c>
      <c r="BC463" s="536">
        <f t="shared" ca="1" si="350"/>
        <v>2064</v>
      </c>
      <c r="BF463" s="530">
        <v>462</v>
      </c>
      <c r="BG463" s="531">
        <f t="shared" ca="1" si="360"/>
        <v>60229</v>
      </c>
      <c r="BH463" s="532">
        <f ca="1">IF(BH462=0,SUMIFS('Key Life Events'!$L$3:$L$28,'Key Life Events'!$H$3:$H$28,'Loan Amortization'!$BL$3,'Key Life Events'!$N$3:$N$28,'Loan Amortization'!BG463),BH462-BK462)</f>
        <v>0</v>
      </c>
      <c r="BI463" s="532">
        <f t="shared" ca="1" si="361"/>
        <v>0</v>
      </c>
      <c r="BJ463" s="532">
        <f t="shared" ca="1" si="362"/>
        <v>0</v>
      </c>
      <c r="BK463" s="532">
        <f t="shared" ca="1" si="351"/>
        <v>0</v>
      </c>
      <c r="BP463" s="536">
        <f t="shared" ca="1" si="352"/>
        <v>2064</v>
      </c>
      <c r="BS463" s="530">
        <v>462</v>
      </c>
      <c r="BT463" s="531">
        <f t="shared" ca="1" si="363"/>
        <v>60229</v>
      </c>
      <c r="BU463" s="532">
        <f ca="1">IF(BU462=0,SUMIFS('Key Life Events'!$L$3:$L$28,'Key Life Events'!$H$3:$H$28,'Loan Amortization'!$BY$3,'Key Life Events'!$N$3:$N$28,'Loan Amortization'!BT463),BU462-BX462)</f>
        <v>0</v>
      </c>
      <c r="BV463" s="532">
        <f t="shared" ca="1" si="368"/>
        <v>0</v>
      </c>
      <c r="BW463" s="532">
        <f t="shared" ca="1" si="364"/>
        <v>0</v>
      </c>
      <c r="BX463" s="532">
        <f t="shared" ca="1" si="353"/>
        <v>0</v>
      </c>
      <c r="CC463" s="536">
        <f t="shared" ca="1" si="354"/>
        <v>2064</v>
      </c>
      <c r="CF463" s="530">
        <v>462</v>
      </c>
      <c r="CG463" s="531">
        <f t="shared" ca="1" si="365"/>
        <v>60229</v>
      </c>
      <c r="CH463" s="532">
        <f ca="1">IF(CH462=0,SUMIFS('Key Life Events'!$L$3:$L$28,'Key Life Events'!$H$3:$H$28,'Loan Amortization'!$CL$3,'Key Life Events'!$N$3:$N$28,'Loan Amortization'!CG463),CH462-CK462)</f>
        <v>0</v>
      </c>
      <c r="CI463" s="532">
        <f t="shared" ca="1" si="366"/>
        <v>0</v>
      </c>
      <c r="CJ463" s="532">
        <f t="shared" ca="1" si="367"/>
        <v>0</v>
      </c>
      <c r="CK463" s="532">
        <f t="shared" ca="1" si="355"/>
        <v>0</v>
      </c>
      <c r="CP463" s="536">
        <f t="shared" ca="1" si="356"/>
        <v>2064</v>
      </c>
      <c r="CS463" s="100">
        <f t="shared" si="345"/>
        <v>462</v>
      </c>
      <c r="CT463" s="102">
        <f t="shared" ca="1" si="346"/>
        <v>0</v>
      </c>
      <c r="CU463" s="102">
        <f t="shared" ca="1" si="347"/>
        <v>0</v>
      </c>
      <c r="CV463" s="511">
        <f t="shared" ca="1" si="357"/>
        <v>2064</v>
      </c>
    </row>
    <row r="464" spans="1:100" x14ac:dyDescent="0.3">
      <c r="A464" s="100">
        <v>463</v>
      </c>
      <c r="B464" s="131">
        <f t="shared" si="325"/>
        <v>13237</v>
      </c>
      <c r="C464" s="102">
        <f t="shared" si="326"/>
        <v>0</v>
      </c>
      <c r="D464" s="102">
        <f t="shared" si="327"/>
        <v>0</v>
      </c>
      <c r="E464" s="102">
        <f t="shared" si="328"/>
        <v>0</v>
      </c>
      <c r="F464" s="102">
        <f t="shared" si="329"/>
        <v>0</v>
      </c>
      <c r="L464" s="100">
        <v>463</v>
      </c>
      <c r="M464" s="131">
        <f t="shared" ca="1" si="330"/>
        <v>60259</v>
      </c>
      <c r="N464" s="102">
        <f t="shared" si="331"/>
        <v>0</v>
      </c>
      <c r="O464" s="102">
        <f t="shared" si="332"/>
        <v>0</v>
      </c>
      <c r="P464" s="102">
        <f t="shared" si="333"/>
        <v>0</v>
      </c>
      <c r="Q464" s="102">
        <f t="shared" si="334"/>
        <v>0</v>
      </c>
      <c r="W464" s="100">
        <v>463</v>
      </c>
      <c r="X464" s="131">
        <f t="shared" ca="1" si="335"/>
        <v>60259</v>
      </c>
      <c r="Y464" s="102">
        <f t="shared" si="336"/>
        <v>0</v>
      </c>
      <c r="Z464" s="102">
        <f t="shared" si="337"/>
        <v>0</v>
      </c>
      <c r="AA464" s="102">
        <f t="shared" si="338"/>
        <v>0</v>
      </c>
      <c r="AB464" s="102">
        <f t="shared" si="339"/>
        <v>0</v>
      </c>
      <c r="AH464" s="100">
        <v>463</v>
      </c>
      <c r="AI464" s="131">
        <f t="shared" ca="1" si="340"/>
        <v>60259</v>
      </c>
      <c r="AJ464" s="102">
        <f t="shared" si="341"/>
        <v>0</v>
      </c>
      <c r="AK464" s="102">
        <f t="shared" si="342"/>
        <v>0</v>
      </c>
      <c r="AL464" s="102">
        <f t="shared" si="343"/>
        <v>0</v>
      </c>
      <c r="AM464" s="102">
        <f t="shared" si="344"/>
        <v>0</v>
      </c>
      <c r="AS464" s="530">
        <v>463</v>
      </c>
      <c r="AT464" s="531">
        <f t="shared" ca="1" si="358"/>
        <v>60259</v>
      </c>
      <c r="AU464" s="532">
        <f ca="1">IF(AU463=0,SUMIFS('Key Life Events'!$L$3:$L$28,'Key Life Events'!$H$3:$H$28,'Loan Amortization'!$AY$3,'Key Life Events'!$N$3:$N$28,'Loan Amortization'!AT464),AU463-AX463)</f>
        <v>0</v>
      </c>
      <c r="AV464" s="532">
        <f t="shared" ca="1" si="359"/>
        <v>0</v>
      </c>
      <c r="AW464" s="532">
        <f t="shared" ca="1" si="348"/>
        <v>0</v>
      </c>
      <c r="AX464" s="532">
        <f t="shared" ca="1" si="349"/>
        <v>0</v>
      </c>
      <c r="BC464" s="536">
        <f t="shared" ca="1" si="350"/>
        <v>2064</v>
      </c>
      <c r="BF464" s="530">
        <v>463</v>
      </c>
      <c r="BG464" s="531">
        <f t="shared" ca="1" si="360"/>
        <v>60259</v>
      </c>
      <c r="BH464" s="532">
        <f ca="1">IF(BH463=0,SUMIFS('Key Life Events'!$L$3:$L$28,'Key Life Events'!$H$3:$H$28,'Loan Amortization'!$BL$3,'Key Life Events'!$N$3:$N$28,'Loan Amortization'!BG464),BH463-BK463)</f>
        <v>0</v>
      </c>
      <c r="BI464" s="532">
        <f t="shared" ca="1" si="361"/>
        <v>0</v>
      </c>
      <c r="BJ464" s="532">
        <f t="shared" ca="1" si="362"/>
        <v>0</v>
      </c>
      <c r="BK464" s="532">
        <f t="shared" ca="1" si="351"/>
        <v>0</v>
      </c>
      <c r="BP464" s="536">
        <f t="shared" ca="1" si="352"/>
        <v>2064</v>
      </c>
      <c r="BS464" s="530">
        <v>463</v>
      </c>
      <c r="BT464" s="531">
        <f t="shared" ca="1" si="363"/>
        <v>60259</v>
      </c>
      <c r="BU464" s="532">
        <f ca="1">IF(BU463=0,SUMIFS('Key Life Events'!$L$3:$L$28,'Key Life Events'!$H$3:$H$28,'Loan Amortization'!$BY$3,'Key Life Events'!$N$3:$N$28,'Loan Amortization'!BT464),BU463-BX463)</f>
        <v>0</v>
      </c>
      <c r="BV464" s="532">
        <f t="shared" ca="1" si="368"/>
        <v>0</v>
      </c>
      <c r="BW464" s="532">
        <f t="shared" ca="1" si="364"/>
        <v>0</v>
      </c>
      <c r="BX464" s="532">
        <f t="shared" ca="1" si="353"/>
        <v>0</v>
      </c>
      <c r="CC464" s="536">
        <f t="shared" ca="1" si="354"/>
        <v>2064</v>
      </c>
      <c r="CF464" s="530">
        <v>463</v>
      </c>
      <c r="CG464" s="531">
        <f t="shared" ca="1" si="365"/>
        <v>60259</v>
      </c>
      <c r="CH464" s="532">
        <f ca="1">IF(CH463=0,SUMIFS('Key Life Events'!$L$3:$L$28,'Key Life Events'!$H$3:$H$28,'Loan Amortization'!$CL$3,'Key Life Events'!$N$3:$N$28,'Loan Amortization'!CG464),CH463-CK463)</f>
        <v>0</v>
      </c>
      <c r="CI464" s="532">
        <f t="shared" ca="1" si="366"/>
        <v>0</v>
      </c>
      <c r="CJ464" s="532">
        <f t="shared" ca="1" si="367"/>
        <v>0</v>
      </c>
      <c r="CK464" s="532">
        <f t="shared" ca="1" si="355"/>
        <v>0</v>
      </c>
      <c r="CP464" s="536">
        <f t="shared" ca="1" si="356"/>
        <v>2064</v>
      </c>
      <c r="CS464" s="100">
        <f t="shared" si="345"/>
        <v>463</v>
      </c>
      <c r="CT464" s="102">
        <f t="shared" ca="1" si="346"/>
        <v>0</v>
      </c>
      <c r="CU464" s="102">
        <f t="shared" ca="1" si="347"/>
        <v>0</v>
      </c>
      <c r="CV464" s="511">
        <f t="shared" ca="1" si="357"/>
        <v>2064</v>
      </c>
    </row>
    <row r="465" spans="1:100" x14ac:dyDescent="0.3">
      <c r="A465" s="100">
        <v>464</v>
      </c>
      <c r="B465" s="131">
        <f t="shared" si="325"/>
        <v>13268</v>
      </c>
      <c r="C465" s="102">
        <f t="shared" si="326"/>
        <v>0</v>
      </c>
      <c r="D465" s="102">
        <f t="shared" si="327"/>
        <v>0</v>
      </c>
      <c r="E465" s="102">
        <f t="shared" si="328"/>
        <v>0</v>
      </c>
      <c r="F465" s="102">
        <f t="shared" si="329"/>
        <v>0</v>
      </c>
      <c r="L465" s="100">
        <v>464</v>
      </c>
      <c r="M465" s="131">
        <f t="shared" ca="1" si="330"/>
        <v>60290</v>
      </c>
      <c r="N465" s="102">
        <f t="shared" si="331"/>
        <v>0</v>
      </c>
      <c r="O465" s="102">
        <f t="shared" si="332"/>
        <v>0</v>
      </c>
      <c r="P465" s="102">
        <f t="shared" si="333"/>
        <v>0</v>
      </c>
      <c r="Q465" s="102">
        <f t="shared" si="334"/>
        <v>0</v>
      </c>
      <c r="W465" s="100">
        <v>464</v>
      </c>
      <c r="X465" s="131">
        <f t="shared" ca="1" si="335"/>
        <v>60290</v>
      </c>
      <c r="Y465" s="102">
        <f t="shared" si="336"/>
        <v>0</v>
      </c>
      <c r="Z465" s="102">
        <f t="shared" si="337"/>
        <v>0</v>
      </c>
      <c r="AA465" s="102">
        <f t="shared" si="338"/>
        <v>0</v>
      </c>
      <c r="AB465" s="102">
        <f t="shared" si="339"/>
        <v>0</v>
      </c>
      <c r="AH465" s="100">
        <v>464</v>
      </c>
      <c r="AI465" s="131">
        <f t="shared" ca="1" si="340"/>
        <v>60290</v>
      </c>
      <c r="AJ465" s="102">
        <f t="shared" si="341"/>
        <v>0</v>
      </c>
      <c r="AK465" s="102">
        <f t="shared" si="342"/>
        <v>0</v>
      </c>
      <c r="AL465" s="102">
        <f t="shared" si="343"/>
        <v>0</v>
      </c>
      <c r="AM465" s="102">
        <f t="shared" si="344"/>
        <v>0</v>
      </c>
      <c r="AS465" s="530">
        <v>464</v>
      </c>
      <c r="AT465" s="531">
        <f t="shared" ca="1" si="358"/>
        <v>60290</v>
      </c>
      <c r="AU465" s="532">
        <f ca="1">IF(AU464=0,SUMIFS('Key Life Events'!$L$3:$L$28,'Key Life Events'!$H$3:$H$28,'Loan Amortization'!$AY$3,'Key Life Events'!$N$3:$N$28,'Loan Amortization'!AT465),AU464-AX464)</f>
        <v>0</v>
      </c>
      <c r="AV465" s="532">
        <f t="shared" ca="1" si="359"/>
        <v>0</v>
      </c>
      <c r="AW465" s="532">
        <f t="shared" ca="1" si="348"/>
        <v>0</v>
      </c>
      <c r="AX465" s="532">
        <f t="shared" ca="1" si="349"/>
        <v>0</v>
      </c>
      <c r="BC465" s="536">
        <f t="shared" ca="1" si="350"/>
        <v>2065</v>
      </c>
      <c r="BF465" s="530">
        <v>464</v>
      </c>
      <c r="BG465" s="531">
        <f t="shared" ca="1" si="360"/>
        <v>60290</v>
      </c>
      <c r="BH465" s="532">
        <f ca="1">IF(BH464=0,SUMIFS('Key Life Events'!$L$3:$L$28,'Key Life Events'!$H$3:$H$28,'Loan Amortization'!$BL$3,'Key Life Events'!$N$3:$N$28,'Loan Amortization'!BG465),BH464-BK464)</f>
        <v>0</v>
      </c>
      <c r="BI465" s="532">
        <f t="shared" ca="1" si="361"/>
        <v>0</v>
      </c>
      <c r="BJ465" s="532">
        <f t="shared" ca="1" si="362"/>
        <v>0</v>
      </c>
      <c r="BK465" s="532">
        <f t="shared" ca="1" si="351"/>
        <v>0</v>
      </c>
      <c r="BP465" s="536">
        <f t="shared" ca="1" si="352"/>
        <v>2065</v>
      </c>
      <c r="BS465" s="530">
        <v>464</v>
      </c>
      <c r="BT465" s="531">
        <f t="shared" ca="1" si="363"/>
        <v>60290</v>
      </c>
      <c r="BU465" s="532">
        <f ca="1">IF(BU464=0,SUMIFS('Key Life Events'!$L$3:$L$28,'Key Life Events'!$H$3:$H$28,'Loan Amortization'!$BY$3,'Key Life Events'!$N$3:$N$28,'Loan Amortization'!BT465),BU464-BX464)</f>
        <v>0</v>
      </c>
      <c r="BV465" s="532">
        <f t="shared" ca="1" si="368"/>
        <v>0</v>
      </c>
      <c r="BW465" s="532">
        <f t="shared" ca="1" si="364"/>
        <v>0</v>
      </c>
      <c r="BX465" s="532">
        <f t="shared" ca="1" si="353"/>
        <v>0</v>
      </c>
      <c r="CC465" s="536">
        <f t="shared" ca="1" si="354"/>
        <v>2065</v>
      </c>
      <c r="CF465" s="530">
        <v>464</v>
      </c>
      <c r="CG465" s="531">
        <f t="shared" ca="1" si="365"/>
        <v>60290</v>
      </c>
      <c r="CH465" s="532">
        <f ca="1">IF(CH464=0,SUMIFS('Key Life Events'!$L$3:$L$28,'Key Life Events'!$H$3:$H$28,'Loan Amortization'!$CL$3,'Key Life Events'!$N$3:$N$28,'Loan Amortization'!CG465),CH464-CK464)</f>
        <v>0</v>
      </c>
      <c r="CI465" s="532">
        <f t="shared" ca="1" si="366"/>
        <v>0</v>
      </c>
      <c r="CJ465" s="532">
        <f t="shared" ca="1" si="367"/>
        <v>0</v>
      </c>
      <c r="CK465" s="532">
        <f t="shared" ca="1" si="355"/>
        <v>0</v>
      </c>
      <c r="CP465" s="536">
        <f t="shared" ca="1" si="356"/>
        <v>2065</v>
      </c>
      <c r="CS465" s="100">
        <f t="shared" si="345"/>
        <v>464</v>
      </c>
      <c r="CT465" s="102">
        <f t="shared" ca="1" si="346"/>
        <v>0</v>
      </c>
      <c r="CU465" s="102">
        <f t="shared" ca="1" si="347"/>
        <v>0</v>
      </c>
      <c r="CV465" s="511">
        <f t="shared" ca="1" si="357"/>
        <v>2065</v>
      </c>
    </row>
    <row r="466" spans="1:100" x14ac:dyDescent="0.3">
      <c r="A466" s="100">
        <v>465</v>
      </c>
      <c r="B466" s="131">
        <f t="shared" si="325"/>
        <v>13298</v>
      </c>
      <c r="C466" s="102">
        <f t="shared" si="326"/>
        <v>0</v>
      </c>
      <c r="D466" s="102">
        <f t="shared" si="327"/>
        <v>0</v>
      </c>
      <c r="E466" s="102">
        <f t="shared" si="328"/>
        <v>0</v>
      </c>
      <c r="F466" s="102">
        <f t="shared" si="329"/>
        <v>0</v>
      </c>
      <c r="L466" s="100">
        <v>465</v>
      </c>
      <c r="M466" s="131">
        <f t="shared" ca="1" si="330"/>
        <v>60321</v>
      </c>
      <c r="N466" s="102">
        <f t="shared" si="331"/>
        <v>0</v>
      </c>
      <c r="O466" s="102">
        <f t="shared" si="332"/>
        <v>0</v>
      </c>
      <c r="P466" s="102">
        <f t="shared" si="333"/>
        <v>0</v>
      </c>
      <c r="Q466" s="102">
        <f t="shared" si="334"/>
        <v>0</v>
      </c>
      <c r="W466" s="100">
        <v>465</v>
      </c>
      <c r="X466" s="131">
        <f t="shared" ca="1" si="335"/>
        <v>60321</v>
      </c>
      <c r="Y466" s="102">
        <f t="shared" si="336"/>
        <v>0</v>
      </c>
      <c r="Z466" s="102">
        <f t="shared" si="337"/>
        <v>0</v>
      </c>
      <c r="AA466" s="102">
        <f t="shared" si="338"/>
        <v>0</v>
      </c>
      <c r="AB466" s="102">
        <f t="shared" si="339"/>
        <v>0</v>
      </c>
      <c r="AH466" s="100">
        <v>465</v>
      </c>
      <c r="AI466" s="131">
        <f t="shared" ca="1" si="340"/>
        <v>60321</v>
      </c>
      <c r="AJ466" s="102">
        <f t="shared" si="341"/>
        <v>0</v>
      </c>
      <c r="AK466" s="102">
        <f t="shared" si="342"/>
        <v>0</v>
      </c>
      <c r="AL466" s="102">
        <f t="shared" si="343"/>
        <v>0</v>
      </c>
      <c r="AM466" s="102">
        <f t="shared" si="344"/>
        <v>0</v>
      </c>
      <c r="AS466" s="530">
        <v>465</v>
      </c>
      <c r="AT466" s="531">
        <f t="shared" ca="1" si="358"/>
        <v>60321</v>
      </c>
      <c r="AU466" s="532">
        <f ca="1">IF(AU465=0,SUMIFS('Key Life Events'!$L$3:$L$28,'Key Life Events'!$H$3:$H$28,'Loan Amortization'!$AY$3,'Key Life Events'!$N$3:$N$28,'Loan Amortization'!AT466),AU465-AX465)</f>
        <v>0</v>
      </c>
      <c r="AV466" s="532">
        <f t="shared" ca="1" si="359"/>
        <v>0</v>
      </c>
      <c r="AW466" s="532">
        <f t="shared" ca="1" si="348"/>
        <v>0</v>
      </c>
      <c r="AX466" s="532">
        <f t="shared" ca="1" si="349"/>
        <v>0</v>
      </c>
      <c r="BC466" s="536">
        <f t="shared" ca="1" si="350"/>
        <v>2065</v>
      </c>
      <c r="BF466" s="530">
        <v>465</v>
      </c>
      <c r="BG466" s="531">
        <f t="shared" ca="1" si="360"/>
        <v>60321</v>
      </c>
      <c r="BH466" s="532">
        <f ca="1">IF(BH465=0,SUMIFS('Key Life Events'!$L$3:$L$28,'Key Life Events'!$H$3:$H$28,'Loan Amortization'!$BL$3,'Key Life Events'!$N$3:$N$28,'Loan Amortization'!BG466),BH465-BK465)</f>
        <v>0</v>
      </c>
      <c r="BI466" s="532">
        <f t="shared" ca="1" si="361"/>
        <v>0</v>
      </c>
      <c r="BJ466" s="532">
        <f t="shared" ca="1" si="362"/>
        <v>0</v>
      </c>
      <c r="BK466" s="532">
        <f t="shared" ca="1" si="351"/>
        <v>0</v>
      </c>
      <c r="BP466" s="536">
        <f t="shared" ca="1" si="352"/>
        <v>2065</v>
      </c>
      <c r="BS466" s="530">
        <v>465</v>
      </c>
      <c r="BT466" s="531">
        <f t="shared" ca="1" si="363"/>
        <v>60321</v>
      </c>
      <c r="BU466" s="532">
        <f ca="1">IF(BU465=0,SUMIFS('Key Life Events'!$L$3:$L$28,'Key Life Events'!$H$3:$H$28,'Loan Amortization'!$BY$3,'Key Life Events'!$N$3:$N$28,'Loan Amortization'!BT466),BU465-BX465)</f>
        <v>0</v>
      </c>
      <c r="BV466" s="532">
        <f t="shared" ca="1" si="368"/>
        <v>0</v>
      </c>
      <c r="BW466" s="532">
        <f t="shared" ca="1" si="364"/>
        <v>0</v>
      </c>
      <c r="BX466" s="532">
        <f t="shared" ca="1" si="353"/>
        <v>0</v>
      </c>
      <c r="CC466" s="536">
        <f t="shared" ca="1" si="354"/>
        <v>2065</v>
      </c>
      <c r="CF466" s="530">
        <v>465</v>
      </c>
      <c r="CG466" s="531">
        <f t="shared" ca="1" si="365"/>
        <v>60321</v>
      </c>
      <c r="CH466" s="532">
        <f ca="1">IF(CH465=0,SUMIFS('Key Life Events'!$L$3:$L$28,'Key Life Events'!$H$3:$H$28,'Loan Amortization'!$CL$3,'Key Life Events'!$N$3:$N$28,'Loan Amortization'!CG466),CH465-CK465)</f>
        <v>0</v>
      </c>
      <c r="CI466" s="532">
        <f t="shared" ca="1" si="366"/>
        <v>0</v>
      </c>
      <c r="CJ466" s="532">
        <f t="shared" ca="1" si="367"/>
        <v>0</v>
      </c>
      <c r="CK466" s="532">
        <f t="shared" ca="1" si="355"/>
        <v>0</v>
      </c>
      <c r="CP466" s="536">
        <f t="shared" ca="1" si="356"/>
        <v>2065</v>
      </c>
      <c r="CS466" s="100">
        <f t="shared" si="345"/>
        <v>465</v>
      </c>
      <c r="CT466" s="102">
        <f t="shared" ca="1" si="346"/>
        <v>0</v>
      </c>
      <c r="CU466" s="102">
        <f t="shared" ca="1" si="347"/>
        <v>0</v>
      </c>
      <c r="CV466" s="511">
        <f t="shared" ca="1" si="357"/>
        <v>2065</v>
      </c>
    </row>
    <row r="467" spans="1:100" x14ac:dyDescent="0.3">
      <c r="A467" s="100">
        <v>466</v>
      </c>
      <c r="B467" s="131">
        <f t="shared" si="325"/>
        <v>13329</v>
      </c>
      <c r="C467" s="102">
        <f t="shared" si="326"/>
        <v>0</v>
      </c>
      <c r="D467" s="102">
        <f t="shared" si="327"/>
        <v>0</v>
      </c>
      <c r="E467" s="102">
        <f t="shared" si="328"/>
        <v>0</v>
      </c>
      <c r="F467" s="102">
        <f t="shared" si="329"/>
        <v>0</v>
      </c>
      <c r="L467" s="100">
        <v>466</v>
      </c>
      <c r="M467" s="131">
        <f t="shared" ca="1" si="330"/>
        <v>60349</v>
      </c>
      <c r="N467" s="102">
        <f t="shared" si="331"/>
        <v>0</v>
      </c>
      <c r="O467" s="102">
        <f t="shared" si="332"/>
        <v>0</v>
      </c>
      <c r="P467" s="102">
        <f t="shared" si="333"/>
        <v>0</v>
      </c>
      <c r="Q467" s="102">
        <f t="shared" si="334"/>
        <v>0</v>
      </c>
      <c r="W467" s="100">
        <v>466</v>
      </c>
      <c r="X467" s="131">
        <f t="shared" ca="1" si="335"/>
        <v>60349</v>
      </c>
      <c r="Y467" s="102">
        <f t="shared" si="336"/>
        <v>0</v>
      </c>
      <c r="Z467" s="102">
        <f t="shared" si="337"/>
        <v>0</v>
      </c>
      <c r="AA467" s="102">
        <f t="shared" si="338"/>
        <v>0</v>
      </c>
      <c r="AB467" s="102">
        <f t="shared" si="339"/>
        <v>0</v>
      </c>
      <c r="AH467" s="100">
        <v>466</v>
      </c>
      <c r="AI467" s="131">
        <f t="shared" ca="1" si="340"/>
        <v>60349</v>
      </c>
      <c r="AJ467" s="102">
        <f t="shared" si="341"/>
        <v>0</v>
      </c>
      <c r="AK467" s="102">
        <f t="shared" si="342"/>
        <v>0</v>
      </c>
      <c r="AL467" s="102">
        <f t="shared" si="343"/>
        <v>0</v>
      </c>
      <c r="AM467" s="102">
        <f t="shared" si="344"/>
        <v>0</v>
      </c>
      <c r="AS467" s="530">
        <v>466</v>
      </c>
      <c r="AT467" s="531">
        <f t="shared" ca="1" si="358"/>
        <v>60349</v>
      </c>
      <c r="AU467" s="532">
        <f ca="1">IF(AU466=0,SUMIFS('Key Life Events'!$L$3:$L$28,'Key Life Events'!$H$3:$H$28,'Loan Amortization'!$AY$3,'Key Life Events'!$N$3:$N$28,'Loan Amortization'!AT467),AU466-AX466)</f>
        <v>0</v>
      </c>
      <c r="AV467" s="532">
        <f t="shared" ca="1" si="359"/>
        <v>0</v>
      </c>
      <c r="AW467" s="532">
        <f t="shared" ca="1" si="348"/>
        <v>0</v>
      </c>
      <c r="AX467" s="532">
        <f t="shared" ca="1" si="349"/>
        <v>0</v>
      </c>
      <c r="BC467" s="536">
        <f t="shared" ca="1" si="350"/>
        <v>2065</v>
      </c>
      <c r="BF467" s="530">
        <v>466</v>
      </c>
      <c r="BG467" s="531">
        <f t="shared" ca="1" si="360"/>
        <v>60349</v>
      </c>
      <c r="BH467" s="532">
        <f ca="1">IF(BH466=0,SUMIFS('Key Life Events'!$L$3:$L$28,'Key Life Events'!$H$3:$H$28,'Loan Amortization'!$BL$3,'Key Life Events'!$N$3:$N$28,'Loan Amortization'!BG467),BH466-BK466)</f>
        <v>0</v>
      </c>
      <c r="BI467" s="532">
        <f t="shared" ca="1" si="361"/>
        <v>0</v>
      </c>
      <c r="BJ467" s="532">
        <f t="shared" ca="1" si="362"/>
        <v>0</v>
      </c>
      <c r="BK467" s="532">
        <f t="shared" ca="1" si="351"/>
        <v>0</v>
      </c>
      <c r="BP467" s="536">
        <f t="shared" ca="1" si="352"/>
        <v>2065</v>
      </c>
      <c r="BS467" s="530">
        <v>466</v>
      </c>
      <c r="BT467" s="531">
        <f t="shared" ca="1" si="363"/>
        <v>60349</v>
      </c>
      <c r="BU467" s="532">
        <f ca="1">IF(BU466=0,SUMIFS('Key Life Events'!$L$3:$L$28,'Key Life Events'!$H$3:$H$28,'Loan Amortization'!$BY$3,'Key Life Events'!$N$3:$N$28,'Loan Amortization'!BT467),BU466-BX466)</f>
        <v>0</v>
      </c>
      <c r="BV467" s="532">
        <f t="shared" ca="1" si="368"/>
        <v>0</v>
      </c>
      <c r="BW467" s="532">
        <f t="shared" ca="1" si="364"/>
        <v>0</v>
      </c>
      <c r="BX467" s="532">
        <f t="shared" ca="1" si="353"/>
        <v>0</v>
      </c>
      <c r="CC467" s="536">
        <f t="shared" ca="1" si="354"/>
        <v>2065</v>
      </c>
      <c r="CF467" s="530">
        <v>466</v>
      </c>
      <c r="CG467" s="531">
        <f t="shared" ca="1" si="365"/>
        <v>60349</v>
      </c>
      <c r="CH467" s="532">
        <f ca="1">IF(CH466=0,SUMIFS('Key Life Events'!$L$3:$L$28,'Key Life Events'!$H$3:$H$28,'Loan Amortization'!$CL$3,'Key Life Events'!$N$3:$N$28,'Loan Amortization'!CG467),CH466-CK466)</f>
        <v>0</v>
      </c>
      <c r="CI467" s="532">
        <f t="shared" ca="1" si="366"/>
        <v>0</v>
      </c>
      <c r="CJ467" s="532">
        <f t="shared" ca="1" si="367"/>
        <v>0</v>
      </c>
      <c r="CK467" s="532">
        <f t="shared" ca="1" si="355"/>
        <v>0</v>
      </c>
      <c r="CP467" s="536">
        <f t="shared" ca="1" si="356"/>
        <v>2065</v>
      </c>
      <c r="CS467" s="100">
        <f t="shared" si="345"/>
        <v>466</v>
      </c>
      <c r="CT467" s="102">
        <f t="shared" ca="1" si="346"/>
        <v>0</v>
      </c>
      <c r="CU467" s="102">
        <f t="shared" ca="1" si="347"/>
        <v>0</v>
      </c>
      <c r="CV467" s="511">
        <f t="shared" ca="1" si="357"/>
        <v>2065</v>
      </c>
    </row>
    <row r="468" spans="1:100" x14ac:dyDescent="0.3">
      <c r="A468" s="100">
        <v>467</v>
      </c>
      <c r="B468" s="131">
        <f t="shared" si="325"/>
        <v>13359</v>
      </c>
      <c r="C468" s="102">
        <f t="shared" si="326"/>
        <v>0</v>
      </c>
      <c r="D468" s="102">
        <f t="shared" si="327"/>
        <v>0</v>
      </c>
      <c r="E468" s="102">
        <f t="shared" si="328"/>
        <v>0</v>
      </c>
      <c r="F468" s="102">
        <f t="shared" si="329"/>
        <v>0</v>
      </c>
      <c r="L468" s="100">
        <v>467</v>
      </c>
      <c r="M468" s="131">
        <f t="shared" ca="1" si="330"/>
        <v>60380</v>
      </c>
      <c r="N468" s="102">
        <f t="shared" si="331"/>
        <v>0</v>
      </c>
      <c r="O468" s="102">
        <f t="shared" si="332"/>
        <v>0</v>
      </c>
      <c r="P468" s="102">
        <f t="shared" si="333"/>
        <v>0</v>
      </c>
      <c r="Q468" s="102">
        <f t="shared" si="334"/>
        <v>0</v>
      </c>
      <c r="W468" s="100">
        <v>467</v>
      </c>
      <c r="X468" s="131">
        <f t="shared" ca="1" si="335"/>
        <v>60380</v>
      </c>
      <c r="Y468" s="102">
        <f t="shared" si="336"/>
        <v>0</v>
      </c>
      <c r="Z468" s="102">
        <f t="shared" si="337"/>
        <v>0</v>
      </c>
      <c r="AA468" s="102">
        <f t="shared" si="338"/>
        <v>0</v>
      </c>
      <c r="AB468" s="102">
        <f t="shared" si="339"/>
        <v>0</v>
      </c>
      <c r="AH468" s="100">
        <v>467</v>
      </c>
      <c r="AI468" s="131">
        <f t="shared" ca="1" si="340"/>
        <v>60380</v>
      </c>
      <c r="AJ468" s="102">
        <f t="shared" si="341"/>
        <v>0</v>
      </c>
      <c r="AK468" s="102">
        <f t="shared" si="342"/>
        <v>0</v>
      </c>
      <c r="AL468" s="102">
        <f t="shared" si="343"/>
        <v>0</v>
      </c>
      <c r="AM468" s="102">
        <f t="shared" si="344"/>
        <v>0</v>
      </c>
      <c r="AS468" s="530">
        <v>467</v>
      </c>
      <c r="AT468" s="531">
        <f t="shared" ca="1" si="358"/>
        <v>60380</v>
      </c>
      <c r="AU468" s="532">
        <f ca="1">IF(AU467=0,SUMIFS('Key Life Events'!$L$3:$L$28,'Key Life Events'!$H$3:$H$28,'Loan Amortization'!$AY$3,'Key Life Events'!$N$3:$N$28,'Loan Amortization'!AT468),AU467-AX467)</f>
        <v>0</v>
      </c>
      <c r="AV468" s="532">
        <f t="shared" ca="1" si="359"/>
        <v>0</v>
      </c>
      <c r="AW468" s="532">
        <f t="shared" ca="1" si="348"/>
        <v>0</v>
      </c>
      <c r="AX468" s="532">
        <f t="shared" ca="1" si="349"/>
        <v>0</v>
      </c>
      <c r="BC468" s="536">
        <f t="shared" ca="1" si="350"/>
        <v>2065</v>
      </c>
      <c r="BF468" s="530">
        <v>467</v>
      </c>
      <c r="BG468" s="531">
        <f t="shared" ca="1" si="360"/>
        <v>60380</v>
      </c>
      <c r="BH468" s="532">
        <f ca="1">IF(BH467=0,SUMIFS('Key Life Events'!$L$3:$L$28,'Key Life Events'!$H$3:$H$28,'Loan Amortization'!$BL$3,'Key Life Events'!$N$3:$N$28,'Loan Amortization'!BG468),BH467-BK467)</f>
        <v>0</v>
      </c>
      <c r="BI468" s="532">
        <f t="shared" ca="1" si="361"/>
        <v>0</v>
      </c>
      <c r="BJ468" s="532">
        <f t="shared" ca="1" si="362"/>
        <v>0</v>
      </c>
      <c r="BK468" s="532">
        <f t="shared" ca="1" si="351"/>
        <v>0</v>
      </c>
      <c r="BP468" s="536">
        <f t="shared" ca="1" si="352"/>
        <v>2065</v>
      </c>
      <c r="BS468" s="530">
        <v>467</v>
      </c>
      <c r="BT468" s="531">
        <f t="shared" ca="1" si="363"/>
        <v>60380</v>
      </c>
      <c r="BU468" s="532">
        <f ca="1">IF(BU467=0,SUMIFS('Key Life Events'!$L$3:$L$28,'Key Life Events'!$H$3:$H$28,'Loan Amortization'!$BY$3,'Key Life Events'!$N$3:$N$28,'Loan Amortization'!BT468),BU467-BX467)</f>
        <v>0</v>
      </c>
      <c r="BV468" s="532">
        <f t="shared" ca="1" si="368"/>
        <v>0</v>
      </c>
      <c r="BW468" s="532">
        <f t="shared" ca="1" si="364"/>
        <v>0</v>
      </c>
      <c r="BX468" s="532">
        <f t="shared" ca="1" si="353"/>
        <v>0</v>
      </c>
      <c r="CC468" s="536">
        <f t="shared" ca="1" si="354"/>
        <v>2065</v>
      </c>
      <c r="CF468" s="530">
        <v>467</v>
      </c>
      <c r="CG468" s="531">
        <f t="shared" ca="1" si="365"/>
        <v>60380</v>
      </c>
      <c r="CH468" s="532">
        <f ca="1">IF(CH467=0,SUMIFS('Key Life Events'!$L$3:$L$28,'Key Life Events'!$H$3:$H$28,'Loan Amortization'!$CL$3,'Key Life Events'!$N$3:$N$28,'Loan Amortization'!CG468),CH467-CK467)</f>
        <v>0</v>
      </c>
      <c r="CI468" s="532">
        <f t="shared" ca="1" si="366"/>
        <v>0</v>
      </c>
      <c r="CJ468" s="532">
        <f t="shared" ca="1" si="367"/>
        <v>0</v>
      </c>
      <c r="CK468" s="532">
        <f t="shared" ca="1" si="355"/>
        <v>0</v>
      </c>
      <c r="CP468" s="536">
        <f t="shared" ca="1" si="356"/>
        <v>2065</v>
      </c>
      <c r="CS468" s="100">
        <f t="shared" si="345"/>
        <v>467</v>
      </c>
      <c r="CT468" s="102">
        <f t="shared" ca="1" si="346"/>
        <v>0</v>
      </c>
      <c r="CU468" s="102">
        <f t="shared" ca="1" si="347"/>
        <v>0</v>
      </c>
      <c r="CV468" s="511">
        <f t="shared" ca="1" si="357"/>
        <v>2065</v>
      </c>
    </row>
    <row r="469" spans="1:100" x14ac:dyDescent="0.3">
      <c r="A469" s="100">
        <v>468</v>
      </c>
      <c r="B469" s="131">
        <f t="shared" si="325"/>
        <v>13390</v>
      </c>
      <c r="C469" s="102">
        <f t="shared" si="326"/>
        <v>0</v>
      </c>
      <c r="D469" s="102">
        <f t="shared" si="327"/>
        <v>0</v>
      </c>
      <c r="E469" s="102">
        <f t="shared" si="328"/>
        <v>0</v>
      </c>
      <c r="F469" s="102">
        <f t="shared" si="329"/>
        <v>0</v>
      </c>
      <c r="L469" s="100">
        <v>468</v>
      </c>
      <c r="M469" s="131">
        <f t="shared" ca="1" si="330"/>
        <v>60410</v>
      </c>
      <c r="N469" s="102">
        <f t="shared" si="331"/>
        <v>0</v>
      </c>
      <c r="O469" s="102">
        <f t="shared" si="332"/>
        <v>0</v>
      </c>
      <c r="P469" s="102">
        <f t="shared" si="333"/>
        <v>0</v>
      </c>
      <c r="Q469" s="102">
        <f t="shared" si="334"/>
        <v>0</v>
      </c>
      <c r="W469" s="100">
        <v>468</v>
      </c>
      <c r="X469" s="131">
        <f t="shared" ca="1" si="335"/>
        <v>60410</v>
      </c>
      <c r="Y469" s="102">
        <f t="shared" si="336"/>
        <v>0</v>
      </c>
      <c r="Z469" s="102">
        <f t="shared" si="337"/>
        <v>0</v>
      </c>
      <c r="AA469" s="102">
        <f t="shared" si="338"/>
        <v>0</v>
      </c>
      <c r="AB469" s="102">
        <f t="shared" si="339"/>
        <v>0</v>
      </c>
      <c r="AH469" s="100">
        <v>468</v>
      </c>
      <c r="AI469" s="131">
        <f t="shared" ca="1" si="340"/>
        <v>60410</v>
      </c>
      <c r="AJ469" s="102">
        <f t="shared" si="341"/>
        <v>0</v>
      </c>
      <c r="AK469" s="102">
        <f t="shared" si="342"/>
        <v>0</v>
      </c>
      <c r="AL469" s="102">
        <f t="shared" si="343"/>
        <v>0</v>
      </c>
      <c r="AM469" s="102">
        <f t="shared" si="344"/>
        <v>0</v>
      </c>
      <c r="AS469" s="530">
        <v>468</v>
      </c>
      <c r="AT469" s="531">
        <f t="shared" ca="1" si="358"/>
        <v>60410</v>
      </c>
      <c r="AU469" s="532">
        <f ca="1">IF(AU468=0,SUMIFS('Key Life Events'!$L$3:$L$28,'Key Life Events'!$H$3:$H$28,'Loan Amortization'!$AY$3,'Key Life Events'!$N$3:$N$28,'Loan Amortization'!AT469),AU468-AX468)</f>
        <v>0</v>
      </c>
      <c r="AV469" s="532">
        <f t="shared" ca="1" si="359"/>
        <v>0</v>
      </c>
      <c r="AW469" s="532">
        <f t="shared" ca="1" si="348"/>
        <v>0</v>
      </c>
      <c r="AX469" s="532">
        <f t="shared" ca="1" si="349"/>
        <v>0</v>
      </c>
      <c r="BC469" s="536">
        <f t="shared" ca="1" si="350"/>
        <v>2065</v>
      </c>
      <c r="BF469" s="530">
        <v>468</v>
      </c>
      <c r="BG469" s="531">
        <f t="shared" ca="1" si="360"/>
        <v>60410</v>
      </c>
      <c r="BH469" s="532">
        <f ca="1">IF(BH468=0,SUMIFS('Key Life Events'!$L$3:$L$28,'Key Life Events'!$H$3:$H$28,'Loan Amortization'!$BL$3,'Key Life Events'!$N$3:$N$28,'Loan Amortization'!BG469),BH468-BK468)</f>
        <v>0</v>
      </c>
      <c r="BI469" s="532">
        <f t="shared" ca="1" si="361"/>
        <v>0</v>
      </c>
      <c r="BJ469" s="532">
        <f t="shared" ca="1" si="362"/>
        <v>0</v>
      </c>
      <c r="BK469" s="532">
        <f t="shared" ca="1" si="351"/>
        <v>0</v>
      </c>
      <c r="BP469" s="536">
        <f t="shared" ca="1" si="352"/>
        <v>2065</v>
      </c>
      <c r="BS469" s="530">
        <v>468</v>
      </c>
      <c r="BT469" s="531">
        <f t="shared" ca="1" si="363"/>
        <v>60410</v>
      </c>
      <c r="BU469" s="532">
        <f ca="1">IF(BU468=0,SUMIFS('Key Life Events'!$L$3:$L$28,'Key Life Events'!$H$3:$H$28,'Loan Amortization'!$BY$3,'Key Life Events'!$N$3:$N$28,'Loan Amortization'!BT469),BU468-BX468)</f>
        <v>0</v>
      </c>
      <c r="BV469" s="532">
        <f t="shared" ca="1" si="368"/>
        <v>0</v>
      </c>
      <c r="BW469" s="532">
        <f t="shared" ca="1" si="364"/>
        <v>0</v>
      </c>
      <c r="BX469" s="532">
        <f t="shared" ca="1" si="353"/>
        <v>0</v>
      </c>
      <c r="CC469" s="536">
        <f t="shared" ca="1" si="354"/>
        <v>2065</v>
      </c>
      <c r="CF469" s="530">
        <v>468</v>
      </c>
      <c r="CG469" s="531">
        <f t="shared" ca="1" si="365"/>
        <v>60410</v>
      </c>
      <c r="CH469" s="532">
        <f ca="1">IF(CH468=0,SUMIFS('Key Life Events'!$L$3:$L$28,'Key Life Events'!$H$3:$H$28,'Loan Amortization'!$CL$3,'Key Life Events'!$N$3:$N$28,'Loan Amortization'!CG469),CH468-CK468)</f>
        <v>0</v>
      </c>
      <c r="CI469" s="532">
        <f t="shared" ca="1" si="366"/>
        <v>0</v>
      </c>
      <c r="CJ469" s="532">
        <f t="shared" ca="1" si="367"/>
        <v>0</v>
      </c>
      <c r="CK469" s="532">
        <f t="shared" ca="1" si="355"/>
        <v>0</v>
      </c>
      <c r="CP469" s="536">
        <f t="shared" ca="1" si="356"/>
        <v>2065</v>
      </c>
      <c r="CS469" s="100">
        <f t="shared" si="345"/>
        <v>468</v>
      </c>
      <c r="CT469" s="102">
        <f t="shared" ca="1" si="346"/>
        <v>0</v>
      </c>
      <c r="CU469" s="102">
        <f t="shared" ca="1" si="347"/>
        <v>0</v>
      </c>
      <c r="CV469" s="511">
        <f t="shared" ca="1" si="357"/>
        <v>2065</v>
      </c>
    </row>
    <row r="470" spans="1:100" x14ac:dyDescent="0.3">
      <c r="A470" s="100">
        <v>469</v>
      </c>
      <c r="B470" s="131">
        <f t="shared" si="325"/>
        <v>13421</v>
      </c>
      <c r="C470" s="102">
        <f t="shared" si="326"/>
        <v>0</v>
      </c>
      <c r="D470" s="102">
        <f t="shared" si="327"/>
        <v>0</v>
      </c>
      <c r="E470" s="102">
        <f t="shared" si="328"/>
        <v>0</v>
      </c>
      <c r="F470" s="102">
        <f t="shared" si="329"/>
        <v>0</v>
      </c>
      <c r="L470" s="100">
        <v>469</v>
      </c>
      <c r="M470" s="131">
        <f t="shared" ca="1" si="330"/>
        <v>60441</v>
      </c>
      <c r="N470" s="102">
        <f t="shared" si="331"/>
        <v>0</v>
      </c>
      <c r="O470" s="102">
        <f t="shared" si="332"/>
        <v>0</v>
      </c>
      <c r="P470" s="102">
        <f t="shared" si="333"/>
        <v>0</v>
      </c>
      <c r="Q470" s="102">
        <f t="shared" si="334"/>
        <v>0</v>
      </c>
      <c r="W470" s="100">
        <v>469</v>
      </c>
      <c r="X470" s="131">
        <f t="shared" ca="1" si="335"/>
        <v>60441</v>
      </c>
      <c r="Y470" s="102">
        <f t="shared" si="336"/>
        <v>0</v>
      </c>
      <c r="Z470" s="102">
        <f t="shared" si="337"/>
        <v>0</v>
      </c>
      <c r="AA470" s="102">
        <f t="shared" si="338"/>
        <v>0</v>
      </c>
      <c r="AB470" s="102">
        <f t="shared" si="339"/>
        <v>0</v>
      </c>
      <c r="AH470" s="100">
        <v>469</v>
      </c>
      <c r="AI470" s="131">
        <f t="shared" ca="1" si="340"/>
        <v>60441</v>
      </c>
      <c r="AJ470" s="102">
        <f t="shared" si="341"/>
        <v>0</v>
      </c>
      <c r="AK470" s="102">
        <f t="shared" si="342"/>
        <v>0</v>
      </c>
      <c r="AL470" s="102">
        <f t="shared" si="343"/>
        <v>0</v>
      </c>
      <c r="AM470" s="102">
        <f t="shared" si="344"/>
        <v>0</v>
      </c>
      <c r="AS470" s="530">
        <v>469</v>
      </c>
      <c r="AT470" s="531">
        <f t="shared" ca="1" si="358"/>
        <v>60441</v>
      </c>
      <c r="AU470" s="532">
        <f ca="1">IF(AU469=0,SUMIFS('Key Life Events'!$L$3:$L$28,'Key Life Events'!$H$3:$H$28,'Loan Amortization'!$AY$3,'Key Life Events'!$N$3:$N$28,'Loan Amortization'!AT470),AU469-AX469)</f>
        <v>0</v>
      </c>
      <c r="AV470" s="532">
        <f t="shared" ca="1" si="359"/>
        <v>0</v>
      </c>
      <c r="AW470" s="532">
        <f t="shared" ca="1" si="348"/>
        <v>0</v>
      </c>
      <c r="AX470" s="532">
        <f t="shared" ca="1" si="349"/>
        <v>0</v>
      </c>
      <c r="BC470" s="536">
        <f t="shared" ca="1" si="350"/>
        <v>2065</v>
      </c>
      <c r="BF470" s="530">
        <v>469</v>
      </c>
      <c r="BG470" s="531">
        <f t="shared" ca="1" si="360"/>
        <v>60441</v>
      </c>
      <c r="BH470" s="532">
        <f ca="1">IF(BH469=0,SUMIFS('Key Life Events'!$L$3:$L$28,'Key Life Events'!$H$3:$H$28,'Loan Amortization'!$BL$3,'Key Life Events'!$N$3:$N$28,'Loan Amortization'!BG470),BH469-BK469)</f>
        <v>0</v>
      </c>
      <c r="BI470" s="532">
        <f t="shared" ca="1" si="361"/>
        <v>0</v>
      </c>
      <c r="BJ470" s="532">
        <f t="shared" ca="1" si="362"/>
        <v>0</v>
      </c>
      <c r="BK470" s="532">
        <f t="shared" ca="1" si="351"/>
        <v>0</v>
      </c>
      <c r="BP470" s="536">
        <f t="shared" ca="1" si="352"/>
        <v>2065</v>
      </c>
      <c r="BS470" s="530">
        <v>469</v>
      </c>
      <c r="BT470" s="531">
        <f t="shared" ca="1" si="363"/>
        <v>60441</v>
      </c>
      <c r="BU470" s="532">
        <f ca="1">IF(BU469=0,SUMIFS('Key Life Events'!$L$3:$L$28,'Key Life Events'!$H$3:$H$28,'Loan Amortization'!$BY$3,'Key Life Events'!$N$3:$N$28,'Loan Amortization'!BT470),BU469-BX469)</f>
        <v>0</v>
      </c>
      <c r="BV470" s="532">
        <f t="shared" ca="1" si="368"/>
        <v>0</v>
      </c>
      <c r="BW470" s="532">
        <f t="shared" ca="1" si="364"/>
        <v>0</v>
      </c>
      <c r="BX470" s="532">
        <f t="shared" ca="1" si="353"/>
        <v>0</v>
      </c>
      <c r="CC470" s="536">
        <f t="shared" ca="1" si="354"/>
        <v>2065</v>
      </c>
      <c r="CF470" s="530">
        <v>469</v>
      </c>
      <c r="CG470" s="531">
        <f t="shared" ca="1" si="365"/>
        <v>60441</v>
      </c>
      <c r="CH470" s="532">
        <f ca="1">IF(CH469=0,SUMIFS('Key Life Events'!$L$3:$L$28,'Key Life Events'!$H$3:$H$28,'Loan Amortization'!$CL$3,'Key Life Events'!$N$3:$N$28,'Loan Amortization'!CG470),CH469-CK469)</f>
        <v>0</v>
      </c>
      <c r="CI470" s="532">
        <f t="shared" ca="1" si="366"/>
        <v>0</v>
      </c>
      <c r="CJ470" s="532">
        <f t="shared" ca="1" si="367"/>
        <v>0</v>
      </c>
      <c r="CK470" s="532">
        <f t="shared" ca="1" si="355"/>
        <v>0</v>
      </c>
      <c r="CP470" s="536">
        <f t="shared" ca="1" si="356"/>
        <v>2065</v>
      </c>
      <c r="CS470" s="100">
        <f t="shared" si="345"/>
        <v>469</v>
      </c>
      <c r="CT470" s="102">
        <f t="shared" ca="1" si="346"/>
        <v>0</v>
      </c>
      <c r="CU470" s="102">
        <f t="shared" ca="1" si="347"/>
        <v>0</v>
      </c>
      <c r="CV470" s="511">
        <f t="shared" ca="1" si="357"/>
        <v>2065</v>
      </c>
    </row>
    <row r="471" spans="1:100" x14ac:dyDescent="0.3">
      <c r="A471" s="100">
        <v>470</v>
      </c>
      <c r="B471" s="131">
        <f t="shared" si="325"/>
        <v>13451</v>
      </c>
      <c r="C471" s="102">
        <f t="shared" si="326"/>
        <v>0</v>
      </c>
      <c r="D471" s="102">
        <f t="shared" si="327"/>
        <v>0</v>
      </c>
      <c r="E471" s="102">
        <f t="shared" si="328"/>
        <v>0</v>
      </c>
      <c r="F471" s="102">
        <f t="shared" si="329"/>
        <v>0</v>
      </c>
      <c r="L471" s="100">
        <v>470</v>
      </c>
      <c r="M471" s="131">
        <f t="shared" ca="1" si="330"/>
        <v>60471</v>
      </c>
      <c r="N471" s="102">
        <f t="shared" si="331"/>
        <v>0</v>
      </c>
      <c r="O471" s="102">
        <f t="shared" si="332"/>
        <v>0</v>
      </c>
      <c r="P471" s="102">
        <f t="shared" si="333"/>
        <v>0</v>
      </c>
      <c r="Q471" s="102">
        <f t="shared" si="334"/>
        <v>0</v>
      </c>
      <c r="W471" s="100">
        <v>470</v>
      </c>
      <c r="X471" s="131">
        <f t="shared" ca="1" si="335"/>
        <v>60471</v>
      </c>
      <c r="Y471" s="102">
        <f t="shared" si="336"/>
        <v>0</v>
      </c>
      <c r="Z471" s="102">
        <f t="shared" si="337"/>
        <v>0</v>
      </c>
      <c r="AA471" s="102">
        <f t="shared" si="338"/>
        <v>0</v>
      </c>
      <c r="AB471" s="102">
        <f t="shared" si="339"/>
        <v>0</v>
      </c>
      <c r="AH471" s="100">
        <v>470</v>
      </c>
      <c r="AI471" s="131">
        <f t="shared" ca="1" si="340"/>
        <v>60471</v>
      </c>
      <c r="AJ471" s="102">
        <f t="shared" si="341"/>
        <v>0</v>
      </c>
      <c r="AK471" s="102">
        <f t="shared" si="342"/>
        <v>0</v>
      </c>
      <c r="AL471" s="102">
        <f t="shared" si="343"/>
        <v>0</v>
      </c>
      <c r="AM471" s="102">
        <f t="shared" si="344"/>
        <v>0</v>
      </c>
      <c r="AS471" s="530">
        <v>470</v>
      </c>
      <c r="AT471" s="531">
        <f t="shared" ca="1" si="358"/>
        <v>60471</v>
      </c>
      <c r="AU471" s="532">
        <f ca="1">IF(AU470=0,SUMIFS('Key Life Events'!$L$3:$L$28,'Key Life Events'!$H$3:$H$28,'Loan Amortization'!$AY$3,'Key Life Events'!$N$3:$N$28,'Loan Amortization'!AT471),AU470-AX470)</f>
        <v>0</v>
      </c>
      <c r="AV471" s="532">
        <f t="shared" ca="1" si="359"/>
        <v>0</v>
      </c>
      <c r="AW471" s="532">
        <f t="shared" ca="1" si="348"/>
        <v>0</v>
      </c>
      <c r="AX471" s="532">
        <f t="shared" ca="1" si="349"/>
        <v>0</v>
      </c>
      <c r="BC471" s="536">
        <f t="shared" ca="1" si="350"/>
        <v>2065</v>
      </c>
      <c r="BF471" s="530">
        <v>470</v>
      </c>
      <c r="BG471" s="531">
        <f t="shared" ca="1" si="360"/>
        <v>60471</v>
      </c>
      <c r="BH471" s="532">
        <f ca="1">IF(BH470=0,SUMIFS('Key Life Events'!$L$3:$L$28,'Key Life Events'!$H$3:$H$28,'Loan Amortization'!$BL$3,'Key Life Events'!$N$3:$N$28,'Loan Amortization'!BG471),BH470-BK470)</f>
        <v>0</v>
      </c>
      <c r="BI471" s="532">
        <f t="shared" ca="1" si="361"/>
        <v>0</v>
      </c>
      <c r="BJ471" s="532">
        <f t="shared" ca="1" si="362"/>
        <v>0</v>
      </c>
      <c r="BK471" s="532">
        <f t="shared" ca="1" si="351"/>
        <v>0</v>
      </c>
      <c r="BP471" s="536">
        <f t="shared" ca="1" si="352"/>
        <v>2065</v>
      </c>
      <c r="BS471" s="530">
        <v>470</v>
      </c>
      <c r="BT471" s="531">
        <f t="shared" ca="1" si="363"/>
        <v>60471</v>
      </c>
      <c r="BU471" s="532">
        <f ca="1">IF(BU470=0,SUMIFS('Key Life Events'!$L$3:$L$28,'Key Life Events'!$H$3:$H$28,'Loan Amortization'!$BY$3,'Key Life Events'!$N$3:$N$28,'Loan Amortization'!BT471),BU470-BX470)</f>
        <v>0</v>
      </c>
      <c r="BV471" s="532">
        <f t="shared" ca="1" si="368"/>
        <v>0</v>
      </c>
      <c r="BW471" s="532">
        <f t="shared" ca="1" si="364"/>
        <v>0</v>
      </c>
      <c r="BX471" s="532">
        <f t="shared" ca="1" si="353"/>
        <v>0</v>
      </c>
      <c r="CC471" s="536">
        <f t="shared" ca="1" si="354"/>
        <v>2065</v>
      </c>
      <c r="CF471" s="530">
        <v>470</v>
      </c>
      <c r="CG471" s="531">
        <f t="shared" ca="1" si="365"/>
        <v>60471</v>
      </c>
      <c r="CH471" s="532">
        <f ca="1">IF(CH470=0,SUMIFS('Key Life Events'!$L$3:$L$28,'Key Life Events'!$H$3:$H$28,'Loan Amortization'!$CL$3,'Key Life Events'!$N$3:$N$28,'Loan Amortization'!CG471),CH470-CK470)</f>
        <v>0</v>
      </c>
      <c r="CI471" s="532">
        <f t="shared" ca="1" si="366"/>
        <v>0</v>
      </c>
      <c r="CJ471" s="532">
        <f t="shared" ca="1" si="367"/>
        <v>0</v>
      </c>
      <c r="CK471" s="532">
        <f t="shared" ca="1" si="355"/>
        <v>0</v>
      </c>
      <c r="CP471" s="536">
        <f t="shared" ca="1" si="356"/>
        <v>2065</v>
      </c>
      <c r="CS471" s="100">
        <f t="shared" si="345"/>
        <v>470</v>
      </c>
      <c r="CT471" s="102">
        <f t="shared" ca="1" si="346"/>
        <v>0</v>
      </c>
      <c r="CU471" s="102">
        <f t="shared" ca="1" si="347"/>
        <v>0</v>
      </c>
      <c r="CV471" s="511">
        <f t="shared" ca="1" si="357"/>
        <v>2065</v>
      </c>
    </row>
    <row r="472" spans="1:100" x14ac:dyDescent="0.3">
      <c r="A472" s="100">
        <v>471</v>
      </c>
      <c r="B472" s="131">
        <f t="shared" si="325"/>
        <v>13482</v>
      </c>
      <c r="C472" s="102">
        <f t="shared" si="326"/>
        <v>0</v>
      </c>
      <c r="D472" s="102">
        <f t="shared" si="327"/>
        <v>0</v>
      </c>
      <c r="E472" s="102">
        <f t="shared" si="328"/>
        <v>0</v>
      </c>
      <c r="F472" s="102">
        <f t="shared" si="329"/>
        <v>0</v>
      </c>
      <c r="L472" s="100">
        <v>471</v>
      </c>
      <c r="M472" s="131">
        <f t="shared" ca="1" si="330"/>
        <v>60502</v>
      </c>
      <c r="N472" s="102">
        <f t="shared" si="331"/>
        <v>0</v>
      </c>
      <c r="O472" s="102">
        <f t="shared" si="332"/>
        <v>0</v>
      </c>
      <c r="P472" s="102">
        <f t="shared" si="333"/>
        <v>0</v>
      </c>
      <c r="Q472" s="102">
        <f t="shared" si="334"/>
        <v>0</v>
      </c>
      <c r="W472" s="100">
        <v>471</v>
      </c>
      <c r="X472" s="131">
        <f t="shared" ca="1" si="335"/>
        <v>60502</v>
      </c>
      <c r="Y472" s="102">
        <f t="shared" si="336"/>
        <v>0</v>
      </c>
      <c r="Z472" s="102">
        <f t="shared" si="337"/>
        <v>0</v>
      </c>
      <c r="AA472" s="102">
        <f t="shared" si="338"/>
        <v>0</v>
      </c>
      <c r="AB472" s="102">
        <f t="shared" si="339"/>
        <v>0</v>
      </c>
      <c r="AH472" s="100">
        <v>471</v>
      </c>
      <c r="AI472" s="131">
        <f t="shared" ca="1" si="340"/>
        <v>60502</v>
      </c>
      <c r="AJ472" s="102">
        <f t="shared" si="341"/>
        <v>0</v>
      </c>
      <c r="AK472" s="102">
        <f t="shared" si="342"/>
        <v>0</v>
      </c>
      <c r="AL472" s="102">
        <f t="shared" si="343"/>
        <v>0</v>
      </c>
      <c r="AM472" s="102">
        <f t="shared" si="344"/>
        <v>0</v>
      </c>
      <c r="AS472" s="530">
        <v>471</v>
      </c>
      <c r="AT472" s="531">
        <f t="shared" ca="1" si="358"/>
        <v>60502</v>
      </c>
      <c r="AU472" s="532">
        <f ca="1">IF(AU471=0,SUMIFS('Key Life Events'!$L$3:$L$28,'Key Life Events'!$H$3:$H$28,'Loan Amortization'!$AY$3,'Key Life Events'!$N$3:$N$28,'Loan Amortization'!AT472),AU471-AX471)</f>
        <v>0</v>
      </c>
      <c r="AV472" s="532">
        <f t="shared" ca="1" si="359"/>
        <v>0</v>
      </c>
      <c r="AW472" s="532">
        <f t="shared" ca="1" si="348"/>
        <v>0</v>
      </c>
      <c r="AX472" s="532">
        <f t="shared" ca="1" si="349"/>
        <v>0</v>
      </c>
      <c r="BC472" s="536">
        <f t="shared" ca="1" si="350"/>
        <v>2065</v>
      </c>
      <c r="BF472" s="530">
        <v>471</v>
      </c>
      <c r="BG472" s="531">
        <f t="shared" ca="1" si="360"/>
        <v>60502</v>
      </c>
      <c r="BH472" s="532">
        <f ca="1">IF(BH471=0,SUMIFS('Key Life Events'!$L$3:$L$28,'Key Life Events'!$H$3:$H$28,'Loan Amortization'!$BL$3,'Key Life Events'!$N$3:$N$28,'Loan Amortization'!BG472),BH471-BK471)</f>
        <v>0</v>
      </c>
      <c r="BI472" s="532">
        <f t="shared" ca="1" si="361"/>
        <v>0</v>
      </c>
      <c r="BJ472" s="532">
        <f t="shared" ca="1" si="362"/>
        <v>0</v>
      </c>
      <c r="BK472" s="532">
        <f t="shared" ca="1" si="351"/>
        <v>0</v>
      </c>
      <c r="BP472" s="536">
        <f t="shared" ca="1" si="352"/>
        <v>2065</v>
      </c>
      <c r="BS472" s="530">
        <v>471</v>
      </c>
      <c r="BT472" s="531">
        <f t="shared" ca="1" si="363"/>
        <v>60502</v>
      </c>
      <c r="BU472" s="532">
        <f ca="1">IF(BU471=0,SUMIFS('Key Life Events'!$L$3:$L$28,'Key Life Events'!$H$3:$H$28,'Loan Amortization'!$BY$3,'Key Life Events'!$N$3:$N$28,'Loan Amortization'!BT472),BU471-BX471)</f>
        <v>0</v>
      </c>
      <c r="BV472" s="532">
        <f t="shared" ca="1" si="368"/>
        <v>0</v>
      </c>
      <c r="BW472" s="532">
        <f t="shared" ca="1" si="364"/>
        <v>0</v>
      </c>
      <c r="BX472" s="532">
        <f t="shared" ca="1" si="353"/>
        <v>0</v>
      </c>
      <c r="CC472" s="536">
        <f t="shared" ca="1" si="354"/>
        <v>2065</v>
      </c>
      <c r="CF472" s="530">
        <v>471</v>
      </c>
      <c r="CG472" s="531">
        <f t="shared" ca="1" si="365"/>
        <v>60502</v>
      </c>
      <c r="CH472" s="532">
        <f ca="1">IF(CH471=0,SUMIFS('Key Life Events'!$L$3:$L$28,'Key Life Events'!$H$3:$H$28,'Loan Amortization'!$CL$3,'Key Life Events'!$N$3:$N$28,'Loan Amortization'!CG472),CH471-CK471)</f>
        <v>0</v>
      </c>
      <c r="CI472" s="532">
        <f t="shared" ca="1" si="366"/>
        <v>0</v>
      </c>
      <c r="CJ472" s="532">
        <f t="shared" ca="1" si="367"/>
        <v>0</v>
      </c>
      <c r="CK472" s="532">
        <f t="shared" ca="1" si="355"/>
        <v>0</v>
      </c>
      <c r="CP472" s="536">
        <f t="shared" ca="1" si="356"/>
        <v>2065</v>
      </c>
      <c r="CS472" s="100">
        <f t="shared" si="345"/>
        <v>471</v>
      </c>
      <c r="CT472" s="102">
        <f t="shared" ca="1" si="346"/>
        <v>0</v>
      </c>
      <c r="CU472" s="102">
        <f t="shared" ca="1" si="347"/>
        <v>0</v>
      </c>
      <c r="CV472" s="511">
        <f t="shared" ca="1" si="357"/>
        <v>2065</v>
      </c>
    </row>
    <row r="473" spans="1:100" x14ac:dyDescent="0.3">
      <c r="A473" s="100">
        <v>472</v>
      </c>
      <c r="B473" s="131">
        <f t="shared" si="325"/>
        <v>13512</v>
      </c>
      <c r="C473" s="102">
        <f t="shared" si="326"/>
        <v>0</v>
      </c>
      <c r="D473" s="102">
        <f t="shared" si="327"/>
        <v>0</v>
      </c>
      <c r="E473" s="102">
        <f t="shared" si="328"/>
        <v>0</v>
      </c>
      <c r="F473" s="102">
        <f t="shared" si="329"/>
        <v>0</v>
      </c>
      <c r="L473" s="100">
        <v>472</v>
      </c>
      <c r="M473" s="131">
        <f t="shared" ca="1" si="330"/>
        <v>60533</v>
      </c>
      <c r="N473" s="102">
        <f t="shared" si="331"/>
        <v>0</v>
      </c>
      <c r="O473" s="102">
        <f t="shared" si="332"/>
        <v>0</v>
      </c>
      <c r="P473" s="102">
        <f t="shared" si="333"/>
        <v>0</v>
      </c>
      <c r="Q473" s="102">
        <f t="shared" si="334"/>
        <v>0</v>
      </c>
      <c r="W473" s="100">
        <v>472</v>
      </c>
      <c r="X473" s="131">
        <f t="shared" ca="1" si="335"/>
        <v>60533</v>
      </c>
      <c r="Y473" s="102">
        <f t="shared" si="336"/>
        <v>0</v>
      </c>
      <c r="Z473" s="102">
        <f t="shared" si="337"/>
        <v>0</v>
      </c>
      <c r="AA473" s="102">
        <f t="shared" si="338"/>
        <v>0</v>
      </c>
      <c r="AB473" s="102">
        <f t="shared" si="339"/>
        <v>0</v>
      </c>
      <c r="AH473" s="100">
        <v>472</v>
      </c>
      <c r="AI473" s="131">
        <f t="shared" ca="1" si="340"/>
        <v>60533</v>
      </c>
      <c r="AJ473" s="102">
        <f t="shared" si="341"/>
        <v>0</v>
      </c>
      <c r="AK473" s="102">
        <f t="shared" si="342"/>
        <v>0</v>
      </c>
      <c r="AL473" s="102">
        <f t="shared" si="343"/>
        <v>0</v>
      </c>
      <c r="AM473" s="102">
        <f t="shared" si="344"/>
        <v>0</v>
      </c>
      <c r="AS473" s="530">
        <v>472</v>
      </c>
      <c r="AT473" s="531">
        <f t="shared" ca="1" si="358"/>
        <v>60533</v>
      </c>
      <c r="AU473" s="532">
        <f ca="1">IF(AU472=0,SUMIFS('Key Life Events'!$L$3:$L$28,'Key Life Events'!$H$3:$H$28,'Loan Amortization'!$AY$3,'Key Life Events'!$N$3:$N$28,'Loan Amortization'!AT473),AU472-AX472)</f>
        <v>0</v>
      </c>
      <c r="AV473" s="532">
        <f t="shared" ca="1" si="359"/>
        <v>0</v>
      </c>
      <c r="AW473" s="532">
        <f t="shared" ca="1" si="348"/>
        <v>0</v>
      </c>
      <c r="AX473" s="532">
        <f t="shared" ca="1" si="349"/>
        <v>0</v>
      </c>
      <c r="BC473" s="536">
        <f t="shared" ca="1" si="350"/>
        <v>2065</v>
      </c>
      <c r="BF473" s="530">
        <v>472</v>
      </c>
      <c r="BG473" s="531">
        <f t="shared" ca="1" si="360"/>
        <v>60533</v>
      </c>
      <c r="BH473" s="532">
        <f ca="1">IF(BH472=0,SUMIFS('Key Life Events'!$L$3:$L$28,'Key Life Events'!$H$3:$H$28,'Loan Amortization'!$BL$3,'Key Life Events'!$N$3:$N$28,'Loan Amortization'!BG473),BH472-BK472)</f>
        <v>0</v>
      </c>
      <c r="BI473" s="532">
        <f t="shared" ca="1" si="361"/>
        <v>0</v>
      </c>
      <c r="BJ473" s="532">
        <f t="shared" ca="1" si="362"/>
        <v>0</v>
      </c>
      <c r="BK473" s="532">
        <f t="shared" ca="1" si="351"/>
        <v>0</v>
      </c>
      <c r="BP473" s="536">
        <f t="shared" ca="1" si="352"/>
        <v>2065</v>
      </c>
      <c r="BS473" s="530">
        <v>472</v>
      </c>
      <c r="BT473" s="531">
        <f t="shared" ca="1" si="363"/>
        <v>60533</v>
      </c>
      <c r="BU473" s="532">
        <f ca="1">IF(BU472=0,SUMIFS('Key Life Events'!$L$3:$L$28,'Key Life Events'!$H$3:$H$28,'Loan Amortization'!$BY$3,'Key Life Events'!$N$3:$N$28,'Loan Amortization'!BT473),BU472-BX472)</f>
        <v>0</v>
      </c>
      <c r="BV473" s="532">
        <f t="shared" ca="1" si="368"/>
        <v>0</v>
      </c>
      <c r="BW473" s="532">
        <f t="shared" ca="1" si="364"/>
        <v>0</v>
      </c>
      <c r="BX473" s="532">
        <f t="shared" ca="1" si="353"/>
        <v>0</v>
      </c>
      <c r="CC473" s="536">
        <f t="shared" ca="1" si="354"/>
        <v>2065</v>
      </c>
      <c r="CF473" s="530">
        <v>472</v>
      </c>
      <c r="CG473" s="531">
        <f t="shared" ca="1" si="365"/>
        <v>60533</v>
      </c>
      <c r="CH473" s="532">
        <f ca="1">IF(CH472=0,SUMIFS('Key Life Events'!$L$3:$L$28,'Key Life Events'!$H$3:$H$28,'Loan Amortization'!$CL$3,'Key Life Events'!$N$3:$N$28,'Loan Amortization'!CG473),CH472-CK472)</f>
        <v>0</v>
      </c>
      <c r="CI473" s="532">
        <f t="shared" ca="1" si="366"/>
        <v>0</v>
      </c>
      <c r="CJ473" s="532">
        <f t="shared" ca="1" si="367"/>
        <v>0</v>
      </c>
      <c r="CK473" s="532">
        <f t="shared" ca="1" si="355"/>
        <v>0</v>
      </c>
      <c r="CP473" s="536">
        <f t="shared" ca="1" si="356"/>
        <v>2065</v>
      </c>
      <c r="CS473" s="100">
        <f t="shared" si="345"/>
        <v>472</v>
      </c>
      <c r="CT473" s="102">
        <f t="shared" ca="1" si="346"/>
        <v>0</v>
      </c>
      <c r="CU473" s="102">
        <f t="shared" ca="1" si="347"/>
        <v>0</v>
      </c>
      <c r="CV473" s="511">
        <f t="shared" ca="1" si="357"/>
        <v>2065</v>
      </c>
    </row>
    <row r="474" spans="1:100" x14ac:dyDescent="0.3">
      <c r="A474" s="100">
        <v>473</v>
      </c>
      <c r="B474" s="131">
        <f t="shared" si="325"/>
        <v>13543</v>
      </c>
      <c r="C474" s="102">
        <f t="shared" si="326"/>
        <v>0</v>
      </c>
      <c r="D474" s="102">
        <f t="shared" si="327"/>
        <v>0</v>
      </c>
      <c r="E474" s="102">
        <f t="shared" si="328"/>
        <v>0</v>
      </c>
      <c r="F474" s="102">
        <f t="shared" si="329"/>
        <v>0</v>
      </c>
      <c r="L474" s="100">
        <v>473</v>
      </c>
      <c r="M474" s="131">
        <f t="shared" ca="1" si="330"/>
        <v>60563</v>
      </c>
      <c r="N474" s="102">
        <f t="shared" si="331"/>
        <v>0</v>
      </c>
      <c r="O474" s="102">
        <f t="shared" si="332"/>
        <v>0</v>
      </c>
      <c r="P474" s="102">
        <f t="shared" si="333"/>
        <v>0</v>
      </c>
      <c r="Q474" s="102">
        <f t="shared" si="334"/>
        <v>0</v>
      </c>
      <c r="W474" s="100">
        <v>473</v>
      </c>
      <c r="X474" s="131">
        <f t="shared" ca="1" si="335"/>
        <v>60563</v>
      </c>
      <c r="Y474" s="102">
        <f t="shared" si="336"/>
        <v>0</v>
      </c>
      <c r="Z474" s="102">
        <f t="shared" si="337"/>
        <v>0</v>
      </c>
      <c r="AA474" s="102">
        <f t="shared" si="338"/>
        <v>0</v>
      </c>
      <c r="AB474" s="102">
        <f t="shared" si="339"/>
        <v>0</v>
      </c>
      <c r="AH474" s="100">
        <v>473</v>
      </c>
      <c r="AI474" s="131">
        <f t="shared" ca="1" si="340"/>
        <v>60563</v>
      </c>
      <c r="AJ474" s="102">
        <f t="shared" si="341"/>
        <v>0</v>
      </c>
      <c r="AK474" s="102">
        <f t="shared" si="342"/>
        <v>0</v>
      </c>
      <c r="AL474" s="102">
        <f t="shared" si="343"/>
        <v>0</v>
      </c>
      <c r="AM474" s="102">
        <f t="shared" si="344"/>
        <v>0</v>
      </c>
      <c r="AS474" s="530">
        <v>473</v>
      </c>
      <c r="AT474" s="531">
        <f t="shared" ca="1" si="358"/>
        <v>60563</v>
      </c>
      <c r="AU474" s="532">
        <f ca="1">IF(AU473=0,SUMIFS('Key Life Events'!$L$3:$L$28,'Key Life Events'!$H$3:$H$28,'Loan Amortization'!$AY$3,'Key Life Events'!$N$3:$N$28,'Loan Amortization'!AT474),AU473-AX473)</f>
        <v>0</v>
      </c>
      <c r="AV474" s="532">
        <f t="shared" ca="1" si="359"/>
        <v>0</v>
      </c>
      <c r="AW474" s="532">
        <f t="shared" ca="1" si="348"/>
        <v>0</v>
      </c>
      <c r="AX474" s="532">
        <f t="shared" ca="1" si="349"/>
        <v>0</v>
      </c>
      <c r="BC474" s="536">
        <f t="shared" ca="1" si="350"/>
        <v>2065</v>
      </c>
      <c r="BF474" s="530">
        <v>473</v>
      </c>
      <c r="BG474" s="531">
        <f t="shared" ca="1" si="360"/>
        <v>60563</v>
      </c>
      <c r="BH474" s="532">
        <f ca="1">IF(BH473=0,SUMIFS('Key Life Events'!$L$3:$L$28,'Key Life Events'!$H$3:$H$28,'Loan Amortization'!$BL$3,'Key Life Events'!$N$3:$N$28,'Loan Amortization'!BG474),BH473-BK473)</f>
        <v>0</v>
      </c>
      <c r="BI474" s="532">
        <f t="shared" ca="1" si="361"/>
        <v>0</v>
      </c>
      <c r="BJ474" s="532">
        <f t="shared" ca="1" si="362"/>
        <v>0</v>
      </c>
      <c r="BK474" s="532">
        <f t="shared" ca="1" si="351"/>
        <v>0</v>
      </c>
      <c r="BP474" s="536">
        <f t="shared" ca="1" si="352"/>
        <v>2065</v>
      </c>
      <c r="BS474" s="530">
        <v>473</v>
      </c>
      <c r="BT474" s="531">
        <f t="shared" ca="1" si="363"/>
        <v>60563</v>
      </c>
      <c r="BU474" s="532">
        <f ca="1">IF(BU473=0,SUMIFS('Key Life Events'!$L$3:$L$28,'Key Life Events'!$H$3:$H$28,'Loan Amortization'!$BY$3,'Key Life Events'!$N$3:$N$28,'Loan Amortization'!BT474),BU473-BX473)</f>
        <v>0</v>
      </c>
      <c r="BV474" s="532">
        <f t="shared" ca="1" si="368"/>
        <v>0</v>
      </c>
      <c r="BW474" s="532">
        <f t="shared" ca="1" si="364"/>
        <v>0</v>
      </c>
      <c r="BX474" s="532">
        <f t="shared" ca="1" si="353"/>
        <v>0</v>
      </c>
      <c r="CC474" s="536">
        <f t="shared" ca="1" si="354"/>
        <v>2065</v>
      </c>
      <c r="CF474" s="530">
        <v>473</v>
      </c>
      <c r="CG474" s="531">
        <f t="shared" ca="1" si="365"/>
        <v>60563</v>
      </c>
      <c r="CH474" s="532">
        <f ca="1">IF(CH473=0,SUMIFS('Key Life Events'!$L$3:$L$28,'Key Life Events'!$H$3:$H$28,'Loan Amortization'!$CL$3,'Key Life Events'!$N$3:$N$28,'Loan Amortization'!CG474),CH473-CK473)</f>
        <v>0</v>
      </c>
      <c r="CI474" s="532">
        <f t="shared" ca="1" si="366"/>
        <v>0</v>
      </c>
      <c r="CJ474" s="532">
        <f t="shared" ca="1" si="367"/>
        <v>0</v>
      </c>
      <c r="CK474" s="532">
        <f t="shared" ca="1" si="355"/>
        <v>0</v>
      </c>
      <c r="CP474" s="536">
        <f t="shared" ca="1" si="356"/>
        <v>2065</v>
      </c>
      <c r="CS474" s="100">
        <f t="shared" si="345"/>
        <v>473</v>
      </c>
      <c r="CT474" s="102">
        <f t="shared" ca="1" si="346"/>
        <v>0</v>
      </c>
      <c r="CU474" s="102">
        <f t="shared" ca="1" si="347"/>
        <v>0</v>
      </c>
      <c r="CV474" s="511">
        <f t="shared" ca="1" si="357"/>
        <v>2065</v>
      </c>
    </row>
    <row r="475" spans="1:100" x14ac:dyDescent="0.3">
      <c r="A475" s="100">
        <v>474</v>
      </c>
      <c r="B475" s="131">
        <f t="shared" si="325"/>
        <v>13574</v>
      </c>
      <c r="C475" s="102">
        <f t="shared" si="326"/>
        <v>0</v>
      </c>
      <c r="D475" s="102">
        <f t="shared" si="327"/>
        <v>0</v>
      </c>
      <c r="E475" s="102">
        <f t="shared" si="328"/>
        <v>0</v>
      </c>
      <c r="F475" s="102">
        <f t="shared" si="329"/>
        <v>0</v>
      </c>
      <c r="L475" s="100">
        <v>474</v>
      </c>
      <c r="M475" s="131">
        <f t="shared" ca="1" si="330"/>
        <v>60594</v>
      </c>
      <c r="N475" s="102">
        <f t="shared" si="331"/>
        <v>0</v>
      </c>
      <c r="O475" s="102">
        <f t="shared" si="332"/>
        <v>0</v>
      </c>
      <c r="P475" s="102">
        <f t="shared" si="333"/>
        <v>0</v>
      </c>
      <c r="Q475" s="102">
        <f t="shared" si="334"/>
        <v>0</v>
      </c>
      <c r="W475" s="100">
        <v>474</v>
      </c>
      <c r="X475" s="131">
        <f t="shared" ca="1" si="335"/>
        <v>60594</v>
      </c>
      <c r="Y475" s="102">
        <f t="shared" si="336"/>
        <v>0</v>
      </c>
      <c r="Z475" s="102">
        <f t="shared" si="337"/>
        <v>0</v>
      </c>
      <c r="AA475" s="102">
        <f t="shared" si="338"/>
        <v>0</v>
      </c>
      <c r="AB475" s="102">
        <f t="shared" si="339"/>
        <v>0</v>
      </c>
      <c r="AH475" s="100">
        <v>474</v>
      </c>
      <c r="AI475" s="131">
        <f t="shared" ca="1" si="340"/>
        <v>60594</v>
      </c>
      <c r="AJ475" s="102">
        <f t="shared" si="341"/>
        <v>0</v>
      </c>
      <c r="AK475" s="102">
        <f t="shared" si="342"/>
        <v>0</v>
      </c>
      <c r="AL475" s="102">
        <f t="shared" si="343"/>
        <v>0</v>
      </c>
      <c r="AM475" s="102">
        <f t="shared" si="344"/>
        <v>0</v>
      </c>
      <c r="AS475" s="530">
        <v>474</v>
      </c>
      <c r="AT475" s="531">
        <f t="shared" ca="1" si="358"/>
        <v>60594</v>
      </c>
      <c r="AU475" s="532">
        <f ca="1">IF(AU474=0,SUMIFS('Key Life Events'!$L$3:$L$28,'Key Life Events'!$H$3:$H$28,'Loan Amortization'!$AY$3,'Key Life Events'!$N$3:$N$28,'Loan Amortization'!AT475),AU474-AX474)</f>
        <v>0</v>
      </c>
      <c r="AV475" s="532">
        <f t="shared" ca="1" si="359"/>
        <v>0</v>
      </c>
      <c r="AW475" s="532">
        <f t="shared" ca="1" si="348"/>
        <v>0</v>
      </c>
      <c r="AX475" s="532">
        <f t="shared" ca="1" si="349"/>
        <v>0</v>
      </c>
      <c r="BC475" s="536">
        <f t="shared" ca="1" si="350"/>
        <v>2065</v>
      </c>
      <c r="BF475" s="530">
        <v>474</v>
      </c>
      <c r="BG475" s="531">
        <f t="shared" ca="1" si="360"/>
        <v>60594</v>
      </c>
      <c r="BH475" s="532">
        <f ca="1">IF(BH474=0,SUMIFS('Key Life Events'!$L$3:$L$28,'Key Life Events'!$H$3:$H$28,'Loan Amortization'!$BL$3,'Key Life Events'!$N$3:$N$28,'Loan Amortization'!BG475),BH474-BK474)</f>
        <v>0</v>
      </c>
      <c r="BI475" s="532">
        <f t="shared" ca="1" si="361"/>
        <v>0</v>
      </c>
      <c r="BJ475" s="532">
        <f t="shared" ca="1" si="362"/>
        <v>0</v>
      </c>
      <c r="BK475" s="532">
        <f t="shared" ca="1" si="351"/>
        <v>0</v>
      </c>
      <c r="BP475" s="536">
        <f t="shared" ca="1" si="352"/>
        <v>2065</v>
      </c>
      <c r="BS475" s="530">
        <v>474</v>
      </c>
      <c r="BT475" s="531">
        <f t="shared" ca="1" si="363"/>
        <v>60594</v>
      </c>
      <c r="BU475" s="532">
        <f ca="1">IF(BU474=0,SUMIFS('Key Life Events'!$L$3:$L$28,'Key Life Events'!$H$3:$H$28,'Loan Amortization'!$BY$3,'Key Life Events'!$N$3:$N$28,'Loan Amortization'!BT475),BU474-BX474)</f>
        <v>0</v>
      </c>
      <c r="BV475" s="532">
        <f t="shared" ca="1" si="368"/>
        <v>0</v>
      </c>
      <c r="BW475" s="532">
        <f t="shared" ca="1" si="364"/>
        <v>0</v>
      </c>
      <c r="BX475" s="532">
        <f t="shared" ca="1" si="353"/>
        <v>0</v>
      </c>
      <c r="CC475" s="536">
        <f t="shared" ca="1" si="354"/>
        <v>2065</v>
      </c>
      <c r="CF475" s="530">
        <v>474</v>
      </c>
      <c r="CG475" s="531">
        <f t="shared" ca="1" si="365"/>
        <v>60594</v>
      </c>
      <c r="CH475" s="532">
        <f ca="1">IF(CH474=0,SUMIFS('Key Life Events'!$L$3:$L$28,'Key Life Events'!$H$3:$H$28,'Loan Amortization'!$CL$3,'Key Life Events'!$N$3:$N$28,'Loan Amortization'!CG475),CH474-CK474)</f>
        <v>0</v>
      </c>
      <c r="CI475" s="532">
        <f t="shared" ca="1" si="366"/>
        <v>0</v>
      </c>
      <c r="CJ475" s="532">
        <f t="shared" ca="1" si="367"/>
        <v>0</v>
      </c>
      <c r="CK475" s="532">
        <f t="shared" ca="1" si="355"/>
        <v>0</v>
      </c>
      <c r="CP475" s="536">
        <f t="shared" ca="1" si="356"/>
        <v>2065</v>
      </c>
      <c r="CS475" s="100">
        <f t="shared" si="345"/>
        <v>474</v>
      </c>
      <c r="CT475" s="102">
        <f t="shared" ca="1" si="346"/>
        <v>0</v>
      </c>
      <c r="CU475" s="102">
        <f t="shared" ca="1" si="347"/>
        <v>0</v>
      </c>
      <c r="CV475" s="511">
        <f t="shared" ca="1" si="357"/>
        <v>2065</v>
      </c>
    </row>
    <row r="476" spans="1:100" x14ac:dyDescent="0.3">
      <c r="A476" s="100">
        <v>475</v>
      </c>
      <c r="B476" s="131">
        <f t="shared" si="325"/>
        <v>13602</v>
      </c>
      <c r="C476" s="102">
        <f t="shared" si="326"/>
        <v>0</v>
      </c>
      <c r="D476" s="102">
        <f t="shared" si="327"/>
        <v>0</v>
      </c>
      <c r="E476" s="102">
        <f t="shared" si="328"/>
        <v>0</v>
      </c>
      <c r="F476" s="102">
        <f t="shared" si="329"/>
        <v>0</v>
      </c>
      <c r="L476" s="100">
        <v>475</v>
      </c>
      <c r="M476" s="131">
        <f t="shared" ca="1" si="330"/>
        <v>60624</v>
      </c>
      <c r="N476" s="102">
        <f t="shared" si="331"/>
        <v>0</v>
      </c>
      <c r="O476" s="102">
        <f t="shared" si="332"/>
        <v>0</v>
      </c>
      <c r="P476" s="102">
        <f t="shared" si="333"/>
        <v>0</v>
      </c>
      <c r="Q476" s="102">
        <f t="shared" si="334"/>
        <v>0</v>
      </c>
      <c r="W476" s="100">
        <v>475</v>
      </c>
      <c r="X476" s="131">
        <f t="shared" ca="1" si="335"/>
        <v>60624</v>
      </c>
      <c r="Y476" s="102">
        <f t="shared" si="336"/>
        <v>0</v>
      </c>
      <c r="Z476" s="102">
        <f t="shared" si="337"/>
        <v>0</v>
      </c>
      <c r="AA476" s="102">
        <f t="shared" si="338"/>
        <v>0</v>
      </c>
      <c r="AB476" s="102">
        <f t="shared" si="339"/>
        <v>0</v>
      </c>
      <c r="AH476" s="100">
        <v>475</v>
      </c>
      <c r="AI476" s="131">
        <f t="shared" ca="1" si="340"/>
        <v>60624</v>
      </c>
      <c r="AJ476" s="102">
        <f t="shared" si="341"/>
        <v>0</v>
      </c>
      <c r="AK476" s="102">
        <f t="shared" si="342"/>
        <v>0</v>
      </c>
      <c r="AL476" s="102">
        <f t="shared" si="343"/>
        <v>0</v>
      </c>
      <c r="AM476" s="102">
        <f t="shared" si="344"/>
        <v>0</v>
      </c>
      <c r="AS476" s="530">
        <v>475</v>
      </c>
      <c r="AT476" s="531">
        <f t="shared" ca="1" si="358"/>
        <v>60624</v>
      </c>
      <c r="AU476" s="532">
        <f ca="1">IF(AU475=0,SUMIFS('Key Life Events'!$L$3:$L$28,'Key Life Events'!$H$3:$H$28,'Loan Amortization'!$AY$3,'Key Life Events'!$N$3:$N$28,'Loan Amortization'!AT476),AU475-AX475)</f>
        <v>0</v>
      </c>
      <c r="AV476" s="532">
        <f t="shared" ca="1" si="359"/>
        <v>0</v>
      </c>
      <c r="AW476" s="532">
        <f t="shared" ca="1" si="348"/>
        <v>0</v>
      </c>
      <c r="AX476" s="532">
        <f t="shared" ca="1" si="349"/>
        <v>0</v>
      </c>
      <c r="BC476" s="536">
        <f t="shared" ca="1" si="350"/>
        <v>2065</v>
      </c>
      <c r="BF476" s="530">
        <v>475</v>
      </c>
      <c r="BG476" s="531">
        <f t="shared" ca="1" si="360"/>
        <v>60624</v>
      </c>
      <c r="BH476" s="532">
        <f ca="1">IF(BH475=0,SUMIFS('Key Life Events'!$L$3:$L$28,'Key Life Events'!$H$3:$H$28,'Loan Amortization'!$BL$3,'Key Life Events'!$N$3:$N$28,'Loan Amortization'!BG476),BH475-BK475)</f>
        <v>0</v>
      </c>
      <c r="BI476" s="532">
        <f t="shared" ca="1" si="361"/>
        <v>0</v>
      </c>
      <c r="BJ476" s="532">
        <f t="shared" ca="1" si="362"/>
        <v>0</v>
      </c>
      <c r="BK476" s="532">
        <f t="shared" ca="1" si="351"/>
        <v>0</v>
      </c>
      <c r="BP476" s="536">
        <f t="shared" ca="1" si="352"/>
        <v>2065</v>
      </c>
      <c r="BS476" s="530">
        <v>475</v>
      </c>
      <c r="BT476" s="531">
        <f t="shared" ca="1" si="363"/>
        <v>60624</v>
      </c>
      <c r="BU476" s="532">
        <f ca="1">IF(BU475=0,SUMIFS('Key Life Events'!$L$3:$L$28,'Key Life Events'!$H$3:$H$28,'Loan Amortization'!$BY$3,'Key Life Events'!$N$3:$N$28,'Loan Amortization'!BT476),BU475-BX475)</f>
        <v>0</v>
      </c>
      <c r="BV476" s="532">
        <f t="shared" ca="1" si="368"/>
        <v>0</v>
      </c>
      <c r="BW476" s="532">
        <f t="shared" ca="1" si="364"/>
        <v>0</v>
      </c>
      <c r="BX476" s="532">
        <f t="shared" ca="1" si="353"/>
        <v>0</v>
      </c>
      <c r="CC476" s="536">
        <f t="shared" ca="1" si="354"/>
        <v>2065</v>
      </c>
      <c r="CF476" s="530">
        <v>475</v>
      </c>
      <c r="CG476" s="531">
        <f t="shared" ca="1" si="365"/>
        <v>60624</v>
      </c>
      <c r="CH476" s="532">
        <f ca="1">IF(CH475=0,SUMIFS('Key Life Events'!$L$3:$L$28,'Key Life Events'!$H$3:$H$28,'Loan Amortization'!$CL$3,'Key Life Events'!$N$3:$N$28,'Loan Amortization'!CG476),CH475-CK475)</f>
        <v>0</v>
      </c>
      <c r="CI476" s="532">
        <f t="shared" ca="1" si="366"/>
        <v>0</v>
      </c>
      <c r="CJ476" s="532">
        <f t="shared" ca="1" si="367"/>
        <v>0</v>
      </c>
      <c r="CK476" s="532">
        <f t="shared" ca="1" si="355"/>
        <v>0</v>
      </c>
      <c r="CP476" s="536">
        <f t="shared" ca="1" si="356"/>
        <v>2065</v>
      </c>
      <c r="CS476" s="100">
        <f t="shared" si="345"/>
        <v>475</v>
      </c>
      <c r="CT476" s="102">
        <f t="shared" ca="1" si="346"/>
        <v>0</v>
      </c>
      <c r="CU476" s="102">
        <f t="shared" ca="1" si="347"/>
        <v>0</v>
      </c>
      <c r="CV476" s="511">
        <f t="shared" ca="1" si="357"/>
        <v>2065</v>
      </c>
    </row>
    <row r="477" spans="1:100" x14ac:dyDescent="0.3">
      <c r="A477" s="100">
        <v>476</v>
      </c>
      <c r="B477" s="131">
        <f t="shared" si="325"/>
        <v>13633</v>
      </c>
      <c r="C477" s="102">
        <f t="shared" si="326"/>
        <v>0</v>
      </c>
      <c r="D477" s="102">
        <f t="shared" si="327"/>
        <v>0</v>
      </c>
      <c r="E477" s="102">
        <f t="shared" si="328"/>
        <v>0</v>
      </c>
      <c r="F477" s="102">
        <f t="shared" si="329"/>
        <v>0</v>
      </c>
      <c r="L477" s="100">
        <v>476</v>
      </c>
      <c r="M477" s="131">
        <f t="shared" ca="1" si="330"/>
        <v>60655</v>
      </c>
      <c r="N477" s="102">
        <f t="shared" si="331"/>
        <v>0</v>
      </c>
      <c r="O477" s="102">
        <f t="shared" si="332"/>
        <v>0</v>
      </c>
      <c r="P477" s="102">
        <f t="shared" si="333"/>
        <v>0</v>
      </c>
      <c r="Q477" s="102">
        <f t="shared" si="334"/>
        <v>0</v>
      </c>
      <c r="W477" s="100">
        <v>476</v>
      </c>
      <c r="X477" s="131">
        <f t="shared" ca="1" si="335"/>
        <v>60655</v>
      </c>
      <c r="Y477" s="102">
        <f t="shared" si="336"/>
        <v>0</v>
      </c>
      <c r="Z477" s="102">
        <f t="shared" si="337"/>
        <v>0</v>
      </c>
      <c r="AA477" s="102">
        <f t="shared" si="338"/>
        <v>0</v>
      </c>
      <c r="AB477" s="102">
        <f t="shared" si="339"/>
        <v>0</v>
      </c>
      <c r="AH477" s="100">
        <v>476</v>
      </c>
      <c r="AI477" s="131">
        <f t="shared" ca="1" si="340"/>
        <v>60655</v>
      </c>
      <c r="AJ477" s="102">
        <f t="shared" si="341"/>
        <v>0</v>
      </c>
      <c r="AK477" s="102">
        <f t="shared" si="342"/>
        <v>0</v>
      </c>
      <c r="AL477" s="102">
        <f t="shared" si="343"/>
        <v>0</v>
      </c>
      <c r="AM477" s="102">
        <f t="shared" si="344"/>
        <v>0</v>
      </c>
      <c r="AS477" s="530">
        <v>476</v>
      </c>
      <c r="AT477" s="531">
        <f t="shared" ca="1" si="358"/>
        <v>60655</v>
      </c>
      <c r="AU477" s="532">
        <f ca="1">IF(AU476=0,SUMIFS('Key Life Events'!$L$3:$L$28,'Key Life Events'!$H$3:$H$28,'Loan Amortization'!$AY$3,'Key Life Events'!$N$3:$N$28,'Loan Amortization'!AT477),AU476-AX476)</f>
        <v>0</v>
      </c>
      <c r="AV477" s="532">
        <f t="shared" ca="1" si="359"/>
        <v>0</v>
      </c>
      <c r="AW477" s="532">
        <f t="shared" ca="1" si="348"/>
        <v>0</v>
      </c>
      <c r="AX477" s="532">
        <f t="shared" ca="1" si="349"/>
        <v>0</v>
      </c>
      <c r="BC477" s="536">
        <f t="shared" ca="1" si="350"/>
        <v>2066</v>
      </c>
      <c r="BF477" s="530">
        <v>476</v>
      </c>
      <c r="BG477" s="531">
        <f t="shared" ca="1" si="360"/>
        <v>60655</v>
      </c>
      <c r="BH477" s="532">
        <f ca="1">IF(BH476=0,SUMIFS('Key Life Events'!$L$3:$L$28,'Key Life Events'!$H$3:$H$28,'Loan Amortization'!$BL$3,'Key Life Events'!$N$3:$N$28,'Loan Amortization'!BG477),BH476-BK476)</f>
        <v>0</v>
      </c>
      <c r="BI477" s="532">
        <f t="shared" ca="1" si="361"/>
        <v>0</v>
      </c>
      <c r="BJ477" s="532">
        <f t="shared" ca="1" si="362"/>
        <v>0</v>
      </c>
      <c r="BK477" s="532">
        <f t="shared" ca="1" si="351"/>
        <v>0</v>
      </c>
      <c r="BP477" s="536">
        <f t="shared" ca="1" si="352"/>
        <v>2066</v>
      </c>
      <c r="BS477" s="530">
        <v>476</v>
      </c>
      <c r="BT477" s="531">
        <f t="shared" ca="1" si="363"/>
        <v>60655</v>
      </c>
      <c r="BU477" s="532">
        <f ca="1">IF(BU476=0,SUMIFS('Key Life Events'!$L$3:$L$28,'Key Life Events'!$H$3:$H$28,'Loan Amortization'!$BY$3,'Key Life Events'!$N$3:$N$28,'Loan Amortization'!BT477),BU476-BX476)</f>
        <v>0</v>
      </c>
      <c r="BV477" s="532">
        <f t="shared" ca="1" si="368"/>
        <v>0</v>
      </c>
      <c r="BW477" s="532">
        <f t="shared" ca="1" si="364"/>
        <v>0</v>
      </c>
      <c r="BX477" s="532">
        <f t="shared" ca="1" si="353"/>
        <v>0</v>
      </c>
      <c r="CC477" s="536">
        <f t="shared" ca="1" si="354"/>
        <v>2066</v>
      </c>
      <c r="CF477" s="530">
        <v>476</v>
      </c>
      <c r="CG477" s="531">
        <f t="shared" ca="1" si="365"/>
        <v>60655</v>
      </c>
      <c r="CH477" s="532">
        <f ca="1">IF(CH476=0,SUMIFS('Key Life Events'!$L$3:$L$28,'Key Life Events'!$H$3:$H$28,'Loan Amortization'!$CL$3,'Key Life Events'!$N$3:$N$28,'Loan Amortization'!CG477),CH476-CK476)</f>
        <v>0</v>
      </c>
      <c r="CI477" s="532">
        <f t="shared" ca="1" si="366"/>
        <v>0</v>
      </c>
      <c r="CJ477" s="532">
        <f t="shared" ca="1" si="367"/>
        <v>0</v>
      </c>
      <c r="CK477" s="532">
        <f t="shared" ca="1" si="355"/>
        <v>0</v>
      </c>
      <c r="CP477" s="536">
        <f t="shared" ca="1" si="356"/>
        <v>2066</v>
      </c>
      <c r="CS477" s="100">
        <f t="shared" si="345"/>
        <v>476</v>
      </c>
      <c r="CT477" s="102">
        <f t="shared" ca="1" si="346"/>
        <v>0</v>
      </c>
      <c r="CU477" s="102">
        <f t="shared" ca="1" si="347"/>
        <v>0</v>
      </c>
      <c r="CV477" s="511">
        <f t="shared" ca="1" si="357"/>
        <v>2066</v>
      </c>
    </row>
    <row r="478" spans="1:100" x14ac:dyDescent="0.3">
      <c r="A478" s="100">
        <v>477</v>
      </c>
      <c r="B478" s="131">
        <f t="shared" si="325"/>
        <v>13663</v>
      </c>
      <c r="C478" s="102">
        <f t="shared" si="326"/>
        <v>0</v>
      </c>
      <c r="D478" s="102">
        <f t="shared" si="327"/>
        <v>0</v>
      </c>
      <c r="E478" s="102">
        <f t="shared" si="328"/>
        <v>0</v>
      </c>
      <c r="F478" s="102">
        <f t="shared" si="329"/>
        <v>0</v>
      </c>
      <c r="L478" s="100">
        <v>477</v>
      </c>
      <c r="M478" s="131">
        <f t="shared" ca="1" si="330"/>
        <v>60686</v>
      </c>
      <c r="N478" s="102">
        <f t="shared" si="331"/>
        <v>0</v>
      </c>
      <c r="O478" s="102">
        <f t="shared" si="332"/>
        <v>0</v>
      </c>
      <c r="P478" s="102">
        <f t="shared" si="333"/>
        <v>0</v>
      </c>
      <c r="Q478" s="102">
        <f t="shared" si="334"/>
        <v>0</v>
      </c>
      <c r="W478" s="100">
        <v>477</v>
      </c>
      <c r="X478" s="131">
        <f t="shared" ca="1" si="335"/>
        <v>60686</v>
      </c>
      <c r="Y478" s="102">
        <f t="shared" si="336"/>
        <v>0</v>
      </c>
      <c r="Z478" s="102">
        <f t="shared" si="337"/>
        <v>0</v>
      </c>
      <c r="AA478" s="102">
        <f t="shared" si="338"/>
        <v>0</v>
      </c>
      <c r="AB478" s="102">
        <f t="shared" si="339"/>
        <v>0</v>
      </c>
      <c r="AH478" s="100">
        <v>477</v>
      </c>
      <c r="AI478" s="131">
        <f t="shared" ca="1" si="340"/>
        <v>60686</v>
      </c>
      <c r="AJ478" s="102">
        <f t="shared" si="341"/>
        <v>0</v>
      </c>
      <c r="AK478" s="102">
        <f t="shared" si="342"/>
        <v>0</v>
      </c>
      <c r="AL478" s="102">
        <f t="shared" si="343"/>
        <v>0</v>
      </c>
      <c r="AM478" s="102">
        <f t="shared" si="344"/>
        <v>0</v>
      </c>
      <c r="AS478" s="530">
        <v>477</v>
      </c>
      <c r="AT478" s="531">
        <f t="shared" ca="1" si="358"/>
        <v>60686</v>
      </c>
      <c r="AU478" s="532">
        <f ca="1">IF(AU477=0,SUMIFS('Key Life Events'!$L$3:$L$28,'Key Life Events'!$H$3:$H$28,'Loan Amortization'!$AY$3,'Key Life Events'!$N$3:$N$28,'Loan Amortization'!AT478),AU477-AX477)</f>
        <v>0</v>
      </c>
      <c r="AV478" s="532">
        <f t="shared" ca="1" si="359"/>
        <v>0</v>
      </c>
      <c r="AW478" s="532">
        <f t="shared" ca="1" si="348"/>
        <v>0</v>
      </c>
      <c r="AX478" s="532">
        <f t="shared" ca="1" si="349"/>
        <v>0</v>
      </c>
      <c r="BC478" s="536">
        <f t="shared" ca="1" si="350"/>
        <v>2066</v>
      </c>
      <c r="BF478" s="530">
        <v>477</v>
      </c>
      <c r="BG478" s="531">
        <f t="shared" ca="1" si="360"/>
        <v>60686</v>
      </c>
      <c r="BH478" s="532">
        <f ca="1">IF(BH477=0,SUMIFS('Key Life Events'!$L$3:$L$28,'Key Life Events'!$H$3:$H$28,'Loan Amortization'!$BL$3,'Key Life Events'!$N$3:$N$28,'Loan Amortization'!BG478),BH477-BK477)</f>
        <v>0</v>
      </c>
      <c r="BI478" s="532">
        <f t="shared" ca="1" si="361"/>
        <v>0</v>
      </c>
      <c r="BJ478" s="532">
        <f t="shared" ca="1" si="362"/>
        <v>0</v>
      </c>
      <c r="BK478" s="532">
        <f t="shared" ca="1" si="351"/>
        <v>0</v>
      </c>
      <c r="BP478" s="536">
        <f t="shared" ca="1" si="352"/>
        <v>2066</v>
      </c>
      <c r="BS478" s="530">
        <v>477</v>
      </c>
      <c r="BT478" s="531">
        <f t="shared" ca="1" si="363"/>
        <v>60686</v>
      </c>
      <c r="BU478" s="532">
        <f ca="1">IF(BU477=0,SUMIFS('Key Life Events'!$L$3:$L$28,'Key Life Events'!$H$3:$H$28,'Loan Amortization'!$BY$3,'Key Life Events'!$N$3:$N$28,'Loan Amortization'!BT478),BU477-BX477)</f>
        <v>0</v>
      </c>
      <c r="BV478" s="532">
        <f t="shared" ca="1" si="368"/>
        <v>0</v>
      </c>
      <c r="BW478" s="532">
        <f t="shared" ca="1" si="364"/>
        <v>0</v>
      </c>
      <c r="BX478" s="532">
        <f t="shared" ca="1" si="353"/>
        <v>0</v>
      </c>
      <c r="CC478" s="536">
        <f t="shared" ca="1" si="354"/>
        <v>2066</v>
      </c>
      <c r="CF478" s="530">
        <v>477</v>
      </c>
      <c r="CG478" s="531">
        <f t="shared" ca="1" si="365"/>
        <v>60686</v>
      </c>
      <c r="CH478" s="532">
        <f ca="1">IF(CH477=0,SUMIFS('Key Life Events'!$L$3:$L$28,'Key Life Events'!$H$3:$H$28,'Loan Amortization'!$CL$3,'Key Life Events'!$N$3:$N$28,'Loan Amortization'!CG478),CH477-CK477)</f>
        <v>0</v>
      </c>
      <c r="CI478" s="532">
        <f t="shared" ca="1" si="366"/>
        <v>0</v>
      </c>
      <c r="CJ478" s="532">
        <f t="shared" ca="1" si="367"/>
        <v>0</v>
      </c>
      <c r="CK478" s="532">
        <f t="shared" ca="1" si="355"/>
        <v>0</v>
      </c>
      <c r="CP478" s="536">
        <f t="shared" ca="1" si="356"/>
        <v>2066</v>
      </c>
      <c r="CS478" s="100">
        <f t="shared" si="345"/>
        <v>477</v>
      </c>
      <c r="CT478" s="102">
        <f t="shared" ca="1" si="346"/>
        <v>0</v>
      </c>
      <c r="CU478" s="102">
        <f t="shared" ca="1" si="347"/>
        <v>0</v>
      </c>
      <c r="CV478" s="511">
        <f t="shared" ca="1" si="357"/>
        <v>2066</v>
      </c>
    </row>
    <row r="479" spans="1:100" x14ac:dyDescent="0.3">
      <c r="A479" s="100">
        <v>478</v>
      </c>
      <c r="B479" s="131">
        <f t="shared" si="325"/>
        <v>13694</v>
      </c>
      <c r="C479" s="102">
        <f t="shared" si="326"/>
        <v>0</v>
      </c>
      <c r="D479" s="102">
        <f t="shared" si="327"/>
        <v>0</v>
      </c>
      <c r="E479" s="102">
        <f t="shared" si="328"/>
        <v>0</v>
      </c>
      <c r="F479" s="102">
        <f t="shared" si="329"/>
        <v>0</v>
      </c>
      <c r="L479" s="100">
        <v>478</v>
      </c>
      <c r="M479" s="131">
        <f t="shared" ca="1" si="330"/>
        <v>60714</v>
      </c>
      <c r="N479" s="102">
        <f t="shared" si="331"/>
        <v>0</v>
      </c>
      <c r="O479" s="102">
        <f t="shared" si="332"/>
        <v>0</v>
      </c>
      <c r="P479" s="102">
        <f t="shared" si="333"/>
        <v>0</v>
      </c>
      <c r="Q479" s="102">
        <f t="shared" si="334"/>
        <v>0</v>
      </c>
      <c r="W479" s="100">
        <v>478</v>
      </c>
      <c r="X479" s="131">
        <f t="shared" ca="1" si="335"/>
        <v>60714</v>
      </c>
      <c r="Y479" s="102">
        <f t="shared" si="336"/>
        <v>0</v>
      </c>
      <c r="Z479" s="102">
        <f t="shared" si="337"/>
        <v>0</v>
      </c>
      <c r="AA479" s="102">
        <f t="shared" si="338"/>
        <v>0</v>
      </c>
      <c r="AB479" s="102">
        <f t="shared" si="339"/>
        <v>0</v>
      </c>
      <c r="AH479" s="100">
        <v>478</v>
      </c>
      <c r="AI479" s="131">
        <f t="shared" ca="1" si="340"/>
        <v>60714</v>
      </c>
      <c r="AJ479" s="102">
        <f t="shared" si="341"/>
        <v>0</v>
      </c>
      <c r="AK479" s="102">
        <f t="shared" si="342"/>
        <v>0</v>
      </c>
      <c r="AL479" s="102">
        <f t="shared" si="343"/>
        <v>0</v>
      </c>
      <c r="AM479" s="102">
        <f t="shared" si="344"/>
        <v>0</v>
      </c>
      <c r="AS479" s="530">
        <v>478</v>
      </c>
      <c r="AT479" s="531">
        <f t="shared" ca="1" si="358"/>
        <v>60714</v>
      </c>
      <c r="AU479" s="532">
        <f ca="1">IF(AU478=0,SUMIFS('Key Life Events'!$L$3:$L$28,'Key Life Events'!$H$3:$H$28,'Loan Amortization'!$AY$3,'Key Life Events'!$N$3:$N$28,'Loan Amortization'!AT479),AU478-AX478)</f>
        <v>0</v>
      </c>
      <c r="AV479" s="532">
        <f t="shared" ca="1" si="359"/>
        <v>0</v>
      </c>
      <c r="AW479" s="532">
        <f t="shared" ca="1" si="348"/>
        <v>0</v>
      </c>
      <c r="AX479" s="532">
        <f t="shared" ca="1" si="349"/>
        <v>0</v>
      </c>
      <c r="BC479" s="536">
        <f t="shared" ca="1" si="350"/>
        <v>2066</v>
      </c>
      <c r="BF479" s="530">
        <v>478</v>
      </c>
      <c r="BG479" s="531">
        <f t="shared" ca="1" si="360"/>
        <v>60714</v>
      </c>
      <c r="BH479" s="532">
        <f ca="1">IF(BH478=0,SUMIFS('Key Life Events'!$L$3:$L$28,'Key Life Events'!$H$3:$H$28,'Loan Amortization'!$BL$3,'Key Life Events'!$N$3:$N$28,'Loan Amortization'!BG479),BH478-BK478)</f>
        <v>0</v>
      </c>
      <c r="BI479" s="532">
        <f t="shared" ca="1" si="361"/>
        <v>0</v>
      </c>
      <c r="BJ479" s="532">
        <f t="shared" ca="1" si="362"/>
        <v>0</v>
      </c>
      <c r="BK479" s="532">
        <f t="shared" ca="1" si="351"/>
        <v>0</v>
      </c>
      <c r="BP479" s="536">
        <f t="shared" ca="1" si="352"/>
        <v>2066</v>
      </c>
      <c r="BS479" s="530">
        <v>478</v>
      </c>
      <c r="BT479" s="531">
        <f t="shared" ca="1" si="363"/>
        <v>60714</v>
      </c>
      <c r="BU479" s="532">
        <f ca="1">IF(BU478=0,SUMIFS('Key Life Events'!$L$3:$L$28,'Key Life Events'!$H$3:$H$28,'Loan Amortization'!$BY$3,'Key Life Events'!$N$3:$N$28,'Loan Amortization'!BT479),BU478-BX478)</f>
        <v>0</v>
      </c>
      <c r="BV479" s="532">
        <f t="shared" ca="1" si="368"/>
        <v>0</v>
      </c>
      <c r="BW479" s="532">
        <f t="shared" ca="1" si="364"/>
        <v>0</v>
      </c>
      <c r="BX479" s="532">
        <f t="shared" ca="1" si="353"/>
        <v>0</v>
      </c>
      <c r="CC479" s="536">
        <f t="shared" ca="1" si="354"/>
        <v>2066</v>
      </c>
      <c r="CF479" s="530">
        <v>478</v>
      </c>
      <c r="CG479" s="531">
        <f t="shared" ca="1" si="365"/>
        <v>60714</v>
      </c>
      <c r="CH479" s="532">
        <f ca="1">IF(CH478=0,SUMIFS('Key Life Events'!$L$3:$L$28,'Key Life Events'!$H$3:$H$28,'Loan Amortization'!$CL$3,'Key Life Events'!$N$3:$N$28,'Loan Amortization'!CG479),CH478-CK478)</f>
        <v>0</v>
      </c>
      <c r="CI479" s="532">
        <f t="shared" ca="1" si="366"/>
        <v>0</v>
      </c>
      <c r="CJ479" s="532">
        <f t="shared" ca="1" si="367"/>
        <v>0</v>
      </c>
      <c r="CK479" s="532">
        <f t="shared" ca="1" si="355"/>
        <v>0</v>
      </c>
      <c r="CP479" s="536">
        <f t="shared" ca="1" si="356"/>
        <v>2066</v>
      </c>
      <c r="CS479" s="100">
        <f t="shared" si="345"/>
        <v>478</v>
      </c>
      <c r="CT479" s="102">
        <f t="shared" ca="1" si="346"/>
        <v>0</v>
      </c>
      <c r="CU479" s="102">
        <f t="shared" ca="1" si="347"/>
        <v>0</v>
      </c>
      <c r="CV479" s="511">
        <f t="shared" ca="1" si="357"/>
        <v>2066</v>
      </c>
    </row>
    <row r="480" spans="1:100" x14ac:dyDescent="0.3">
      <c r="A480" s="100">
        <v>479</v>
      </c>
      <c r="B480" s="131">
        <f t="shared" si="325"/>
        <v>13724</v>
      </c>
      <c r="C480" s="102">
        <f t="shared" si="326"/>
        <v>0</v>
      </c>
      <c r="D480" s="102">
        <f t="shared" si="327"/>
        <v>0</v>
      </c>
      <c r="E480" s="102">
        <f t="shared" si="328"/>
        <v>0</v>
      </c>
      <c r="F480" s="102">
        <f t="shared" si="329"/>
        <v>0</v>
      </c>
      <c r="L480" s="100">
        <v>479</v>
      </c>
      <c r="M480" s="131">
        <f t="shared" ca="1" si="330"/>
        <v>60745</v>
      </c>
      <c r="N480" s="102">
        <f t="shared" si="331"/>
        <v>0</v>
      </c>
      <c r="O480" s="102">
        <f t="shared" si="332"/>
        <v>0</v>
      </c>
      <c r="P480" s="102">
        <f t="shared" si="333"/>
        <v>0</v>
      </c>
      <c r="Q480" s="102">
        <f t="shared" si="334"/>
        <v>0</v>
      </c>
      <c r="W480" s="100">
        <v>479</v>
      </c>
      <c r="X480" s="131">
        <f t="shared" ca="1" si="335"/>
        <v>60745</v>
      </c>
      <c r="Y480" s="102">
        <f t="shared" si="336"/>
        <v>0</v>
      </c>
      <c r="Z480" s="102">
        <f t="shared" si="337"/>
        <v>0</v>
      </c>
      <c r="AA480" s="102">
        <f t="shared" si="338"/>
        <v>0</v>
      </c>
      <c r="AB480" s="102">
        <f t="shared" si="339"/>
        <v>0</v>
      </c>
      <c r="AH480" s="100">
        <v>479</v>
      </c>
      <c r="AI480" s="131">
        <f t="shared" ca="1" si="340"/>
        <v>60745</v>
      </c>
      <c r="AJ480" s="102">
        <f t="shared" si="341"/>
        <v>0</v>
      </c>
      <c r="AK480" s="102">
        <f t="shared" si="342"/>
        <v>0</v>
      </c>
      <c r="AL480" s="102">
        <f t="shared" si="343"/>
        <v>0</v>
      </c>
      <c r="AM480" s="102">
        <f t="shared" si="344"/>
        <v>0</v>
      </c>
      <c r="AS480" s="530">
        <v>479</v>
      </c>
      <c r="AT480" s="531">
        <f t="shared" ca="1" si="358"/>
        <v>60745</v>
      </c>
      <c r="AU480" s="532">
        <f ca="1">IF(AU479=0,SUMIFS('Key Life Events'!$L$3:$L$28,'Key Life Events'!$H$3:$H$28,'Loan Amortization'!$AY$3,'Key Life Events'!$N$3:$N$28,'Loan Amortization'!AT480),AU479-AX479)</f>
        <v>0</v>
      </c>
      <c r="AV480" s="532">
        <f t="shared" ca="1" si="359"/>
        <v>0</v>
      </c>
      <c r="AW480" s="532">
        <f t="shared" ca="1" si="348"/>
        <v>0</v>
      </c>
      <c r="AX480" s="532">
        <f t="shared" ca="1" si="349"/>
        <v>0</v>
      </c>
      <c r="BC480" s="536">
        <f t="shared" ca="1" si="350"/>
        <v>2066</v>
      </c>
      <c r="BF480" s="530">
        <v>479</v>
      </c>
      <c r="BG480" s="531">
        <f t="shared" ca="1" si="360"/>
        <v>60745</v>
      </c>
      <c r="BH480" s="532">
        <f ca="1">IF(BH479=0,SUMIFS('Key Life Events'!$L$3:$L$28,'Key Life Events'!$H$3:$H$28,'Loan Amortization'!$BL$3,'Key Life Events'!$N$3:$N$28,'Loan Amortization'!BG480),BH479-BK479)</f>
        <v>0</v>
      </c>
      <c r="BI480" s="532">
        <f t="shared" ca="1" si="361"/>
        <v>0</v>
      </c>
      <c r="BJ480" s="532">
        <f t="shared" ca="1" si="362"/>
        <v>0</v>
      </c>
      <c r="BK480" s="532">
        <f t="shared" ca="1" si="351"/>
        <v>0</v>
      </c>
      <c r="BP480" s="536">
        <f t="shared" ca="1" si="352"/>
        <v>2066</v>
      </c>
      <c r="BS480" s="530">
        <v>479</v>
      </c>
      <c r="BT480" s="531">
        <f t="shared" ca="1" si="363"/>
        <v>60745</v>
      </c>
      <c r="BU480" s="532">
        <f ca="1">IF(BU479=0,SUMIFS('Key Life Events'!$L$3:$L$28,'Key Life Events'!$H$3:$H$28,'Loan Amortization'!$BY$3,'Key Life Events'!$N$3:$N$28,'Loan Amortization'!BT480),BU479-BX479)</f>
        <v>0</v>
      </c>
      <c r="BV480" s="532">
        <f t="shared" ca="1" si="368"/>
        <v>0</v>
      </c>
      <c r="BW480" s="532">
        <f t="shared" ca="1" si="364"/>
        <v>0</v>
      </c>
      <c r="BX480" s="532">
        <f t="shared" ca="1" si="353"/>
        <v>0</v>
      </c>
      <c r="CC480" s="536">
        <f t="shared" ca="1" si="354"/>
        <v>2066</v>
      </c>
      <c r="CF480" s="530">
        <v>479</v>
      </c>
      <c r="CG480" s="531">
        <f t="shared" ca="1" si="365"/>
        <v>60745</v>
      </c>
      <c r="CH480" s="532">
        <f ca="1">IF(CH479=0,SUMIFS('Key Life Events'!$L$3:$L$28,'Key Life Events'!$H$3:$H$28,'Loan Amortization'!$CL$3,'Key Life Events'!$N$3:$N$28,'Loan Amortization'!CG480),CH479-CK479)</f>
        <v>0</v>
      </c>
      <c r="CI480" s="532">
        <f t="shared" ca="1" si="366"/>
        <v>0</v>
      </c>
      <c r="CJ480" s="532">
        <f t="shared" ca="1" si="367"/>
        <v>0</v>
      </c>
      <c r="CK480" s="532">
        <f t="shared" ca="1" si="355"/>
        <v>0</v>
      </c>
      <c r="CP480" s="536">
        <f t="shared" ca="1" si="356"/>
        <v>2066</v>
      </c>
      <c r="CS480" s="100">
        <f t="shared" si="345"/>
        <v>479</v>
      </c>
      <c r="CT480" s="102">
        <f t="shared" ca="1" si="346"/>
        <v>0</v>
      </c>
      <c r="CU480" s="102">
        <f t="shared" ca="1" si="347"/>
        <v>0</v>
      </c>
      <c r="CV480" s="511">
        <f t="shared" ca="1" si="357"/>
        <v>2066</v>
      </c>
    </row>
    <row r="481" spans="1:100" x14ac:dyDescent="0.3">
      <c r="A481" s="100">
        <v>480</v>
      </c>
      <c r="B481" s="131">
        <f t="shared" ref="B481:B544" si="369">IF(C480&lt;D480,,EDATE(B480,1))</f>
        <v>13755</v>
      </c>
      <c r="C481" s="102">
        <f t="shared" ref="C481:C544" si="370">IF(C480&lt;D480,0,C480-F480)</f>
        <v>0</v>
      </c>
      <c r="D481" s="102">
        <f t="shared" ref="D481:D544" si="371">IF(C481&lt;=D480,C481+E481,D$2)</f>
        <v>0</v>
      </c>
      <c r="E481" s="102">
        <f t="shared" ref="E481:E544" si="372">(C481*H$1)/12</f>
        <v>0</v>
      </c>
      <c r="F481" s="102">
        <f t="shared" ref="F481:F544" si="373">D481-E481</f>
        <v>0</v>
      </c>
      <c r="L481" s="100">
        <v>480</v>
      </c>
      <c r="M481" s="131">
        <f t="shared" ref="M481:M544" ca="1" si="374">IF(N480&lt;O480,,EDATE(M480,1))</f>
        <v>60775</v>
      </c>
      <c r="N481" s="102">
        <f t="shared" ref="N481:N544" si="375">IF(N480&lt;O480,0,N480-Q480)</f>
        <v>0</v>
      </c>
      <c r="O481" s="102">
        <f t="shared" ref="O481:O544" si="376">IF(N481&lt;=O480,N481+P481,O$2)</f>
        <v>0</v>
      </c>
      <c r="P481" s="102">
        <f t="shared" ref="P481:P544" si="377">(N481*S$1)/12</f>
        <v>0</v>
      </c>
      <c r="Q481" s="102">
        <f t="shared" ref="Q481:Q544" si="378">O481-P481</f>
        <v>0</v>
      </c>
      <c r="W481" s="100">
        <v>480</v>
      </c>
      <c r="X481" s="131">
        <f t="shared" ref="X481:X544" ca="1" si="379">IF(Y480&lt;Z480,,EDATE(X480,1))</f>
        <v>60775</v>
      </c>
      <c r="Y481" s="102">
        <f t="shared" ref="Y481:Y544" si="380">IF(Y480&lt;Z480,0,Y480-AB480)</f>
        <v>0</v>
      </c>
      <c r="Z481" s="102">
        <f t="shared" ref="Z481:Z544" si="381">IF(Y481&lt;=Z480,Y481+AA481,Z$2)</f>
        <v>0</v>
      </c>
      <c r="AA481" s="102">
        <f t="shared" ref="AA481:AA544" si="382">(Y481*AD$1)/12</f>
        <v>0</v>
      </c>
      <c r="AB481" s="102">
        <f t="shared" ref="AB481:AB544" si="383">Z481-AA481</f>
        <v>0</v>
      </c>
      <c r="AH481" s="100">
        <v>480</v>
      </c>
      <c r="AI481" s="131">
        <f t="shared" ref="AI481:AI544" ca="1" si="384">IF(AJ480&lt;AK480,,EDATE(AI480,1))</f>
        <v>60775</v>
      </c>
      <c r="AJ481" s="102">
        <f t="shared" ref="AJ481:AJ544" si="385">IF(AJ480&lt;AK480,0,AJ480-AM480)</f>
        <v>0</v>
      </c>
      <c r="AK481" s="102">
        <f t="shared" ref="AK481:AK544" si="386">IF(AJ481&lt;=AK480,AJ481+AL481,AK$2)</f>
        <v>0</v>
      </c>
      <c r="AL481" s="102">
        <f t="shared" ref="AL481:AL544" si="387">(AJ481*AO$1)/12</f>
        <v>0</v>
      </c>
      <c r="AM481" s="102">
        <f t="shared" ref="AM481:AM544" si="388">AK481-AL481</f>
        <v>0</v>
      </c>
      <c r="AS481" s="530">
        <v>480</v>
      </c>
      <c r="AT481" s="531">
        <f t="shared" ca="1" si="358"/>
        <v>60775</v>
      </c>
      <c r="AU481" s="532">
        <f ca="1">IF(AU480=0,SUMIFS('Key Life Events'!$L$3:$L$28,'Key Life Events'!$H$3:$H$28,'Loan Amortization'!$AY$3,'Key Life Events'!$N$3:$N$28,'Loan Amortization'!AT481),AU480-AX480)</f>
        <v>0</v>
      </c>
      <c r="AV481" s="532">
        <f t="shared" ca="1" si="359"/>
        <v>0</v>
      </c>
      <c r="AW481" s="532">
        <f t="shared" ca="1" si="348"/>
        <v>0</v>
      </c>
      <c r="AX481" s="532">
        <f t="shared" ca="1" si="349"/>
        <v>0</v>
      </c>
      <c r="BC481" s="536">
        <f t="shared" ca="1" si="350"/>
        <v>2066</v>
      </c>
      <c r="BF481" s="530">
        <v>480</v>
      </c>
      <c r="BG481" s="531">
        <f t="shared" ca="1" si="360"/>
        <v>60775</v>
      </c>
      <c r="BH481" s="532">
        <f ca="1">IF(BH480=0,SUMIFS('Key Life Events'!$L$3:$L$28,'Key Life Events'!$H$3:$H$28,'Loan Amortization'!$BL$3,'Key Life Events'!$N$3:$N$28,'Loan Amortization'!BG481),BH480-BK480)</f>
        <v>0</v>
      </c>
      <c r="BI481" s="532">
        <f t="shared" ca="1" si="361"/>
        <v>0</v>
      </c>
      <c r="BJ481" s="532">
        <f t="shared" ca="1" si="362"/>
        <v>0</v>
      </c>
      <c r="BK481" s="532">
        <f t="shared" ca="1" si="351"/>
        <v>0</v>
      </c>
      <c r="BP481" s="536">
        <f t="shared" ca="1" si="352"/>
        <v>2066</v>
      </c>
      <c r="BS481" s="530">
        <v>480</v>
      </c>
      <c r="BT481" s="531">
        <f t="shared" ca="1" si="363"/>
        <v>60775</v>
      </c>
      <c r="BU481" s="532">
        <f ca="1">IF(BU480=0,SUMIFS('Key Life Events'!$L$3:$L$28,'Key Life Events'!$H$3:$H$28,'Loan Amortization'!$BY$3,'Key Life Events'!$N$3:$N$28,'Loan Amortization'!BT481),BU480-BX480)</f>
        <v>0</v>
      </c>
      <c r="BV481" s="532">
        <f t="shared" ca="1" si="368"/>
        <v>0</v>
      </c>
      <c r="BW481" s="532">
        <f t="shared" ca="1" si="364"/>
        <v>0</v>
      </c>
      <c r="BX481" s="532">
        <f t="shared" ca="1" si="353"/>
        <v>0</v>
      </c>
      <c r="CC481" s="536">
        <f t="shared" ca="1" si="354"/>
        <v>2066</v>
      </c>
      <c r="CF481" s="530">
        <v>480</v>
      </c>
      <c r="CG481" s="531">
        <f t="shared" ca="1" si="365"/>
        <v>60775</v>
      </c>
      <c r="CH481" s="532">
        <f ca="1">IF(CH480=0,SUMIFS('Key Life Events'!$L$3:$L$28,'Key Life Events'!$H$3:$H$28,'Loan Amortization'!$CL$3,'Key Life Events'!$N$3:$N$28,'Loan Amortization'!CG481),CH480-CK480)</f>
        <v>0</v>
      </c>
      <c r="CI481" s="532">
        <f t="shared" ca="1" si="366"/>
        <v>0</v>
      </c>
      <c r="CJ481" s="532">
        <f t="shared" ca="1" si="367"/>
        <v>0</v>
      </c>
      <c r="CK481" s="532">
        <f t="shared" ca="1" si="355"/>
        <v>0</v>
      </c>
      <c r="CP481" s="536">
        <f t="shared" ca="1" si="356"/>
        <v>2066</v>
      </c>
      <c r="CS481" s="100">
        <f t="shared" si="345"/>
        <v>480</v>
      </c>
      <c r="CT481" s="102">
        <f t="shared" ca="1" si="346"/>
        <v>0</v>
      </c>
      <c r="CU481" s="102">
        <f t="shared" ca="1" si="347"/>
        <v>0</v>
      </c>
      <c r="CV481" s="511">
        <f t="shared" ca="1" si="357"/>
        <v>2066</v>
      </c>
    </row>
    <row r="482" spans="1:100" x14ac:dyDescent="0.3">
      <c r="A482" s="100">
        <v>481</v>
      </c>
      <c r="B482" s="131">
        <f t="shared" si="369"/>
        <v>13786</v>
      </c>
      <c r="C482" s="102">
        <f t="shared" si="370"/>
        <v>0</v>
      </c>
      <c r="D482" s="102">
        <f t="shared" si="371"/>
        <v>0</v>
      </c>
      <c r="E482" s="102">
        <f t="shared" si="372"/>
        <v>0</v>
      </c>
      <c r="F482" s="102">
        <f t="shared" si="373"/>
        <v>0</v>
      </c>
      <c r="L482" s="100">
        <v>481</v>
      </c>
      <c r="M482" s="131">
        <f t="shared" ca="1" si="374"/>
        <v>60806</v>
      </c>
      <c r="N482" s="102">
        <f t="shared" si="375"/>
        <v>0</v>
      </c>
      <c r="O482" s="102">
        <f t="shared" si="376"/>
        <v>0</v>
      </c>
      <c r="P482" s="102">
        <f t="shared" si="377"/>
        <v>0</v>
      </c>
      <c r="Q482" s="102">
        <f t="shared" si="378"/>
        <v>0</v>
      </c>
      <c r="W482" s="100">
        <v>481</v>
      </c>
      <c r="X482" s="131">
        <f t="shared" ca="1" si="379"/>
        <v>60806</v>
      </c>
      <c r="Y482" s="102">
        <f t="shared" si="380"/>
        <v>0</v>
      </c>
      <c r="Z482" s="102">
        <f t="shared" si="381"/>
        <v>0</v>
      </c>
      <c r="AA482" s="102">
        <f t="shared" si="382"/>
        <v>0</v>
      </c>
      <c r="AB482" s="102">
        <f t="shared" si="383"/>
        <v>0</v>
      </c>
      <c r="AH482" s="100">
        <v>481</v>
      </c>
      <c r="AI482" s="131">
        <f t="shared" ca="1" si="384"/>
        <v>60806</v>
      </c>
      <c r="AJ482" s="102">
        <f t="shared" si="385"/>
        <v>0</v>
      </c>
      <c r="AK482" s="102">
        <f t="shared" si="386"/>
        <v>0</v>
      </c>
      <c r="AL482" s="102">
        <f t="shared" si="387"/>
        <v>0</v>
      </c>
      <c r="AM482" s="102">
        <f t="shared" si="388"/>
        <v>0</v>
      </c>
      <c r="AS482" s="530">
        <v>481</v>
      </c>
      <c r="AT482" s="531">
        <f t="shared" ca="1" si="358"/>
        <v>60806</v>
      </c>
      <c r="AU482" s="532">
        <f ca="1">IF(AU481=0,SUMIFS('Key Life Events'!$L$3:$L$28,'Key Life Events'!$H$3:$H$28,'Loan Amortization'!$AY$3,'Key Life Events'!$N$3:$N$28,'Loan Amortization'!AT482),AU481-AX481)</f>
        <v>0</v>
      </c>
      <c r="AV482" s="532">
        <f t="shared" ca="1" si="359"/>
        <v>0</v>
      </c>
      <c r="AW482" s="532">
        <f t="shared" ca="1" si="348"/>
        <v>0</v>
      </c>
      <c r="AX482" s="532">
        <f t="shared" ca="1" si="349"/>
        <v>0</v>
      </c>
      <c r="BC482" s="536">
        <f t="shared" ca="1" si="350"/>
        <v>2066</v>
      </c>
      <c r="BF482" s="530">
        <v>481</v>
      </c>
      <c r="BG482" s="531">
        <f t="shared" ca="1" si="360"/>
        <v>60806</v>
      </c>
      <c r="BH482" s="532">
        <f ca="1">IF(BH481=0,SUMIFS('Key Life Events'!$L$3:$L$28,'Key Life Events'!$H$3:$H$28,'Loan Amortization'!$BL$3,'Key Life Events'!$N$3:$N$28,'Loan Amortization'!BG482),BH481-BK481)</f>
        <v>0</v>
      </c>
      <c r="BI482" s="532">
        <f t="shared" ca="1" si="361"/>
        <v>0</v>
      </c>
      <c r="BJ482" s="532">
        <f t="shared" ca="1" si="362"/>
        <v>0</v>
      </c>
      <c r="BK482" s="532">
        <f t="shared" ca="1" si="351"/>
        <v>0</v>
      </c>
      <c r="BP482" s="536">
        <f t="shared" ca="1" si="352"/>
        <v>2066</v>
      </c>
      <c r="BS482" s="530">
        <v>481</v>
      </c>
      <c r="BT482" s="531">
        <f t="shared" ca="1" si="363"/>
        <v>60806</v>
      </c>
      <c r="BU482" s="532">
        <f ca="1">IF(BU481=0,SUMIFS('Key Life Events'!$L$3:$L$28,'Key Life Events'!$H$3:$H$28,'Loan Amortization'!$BY$3,'Key Life Events'!$N$3:$N$28,'Loan Amortization'!BT482),BU481-BX481)</f>
        <v>0</v>
      </c>
      <c r="BV482" s="532">
        <f t="shared" ca="1" si="368"/>
        <v>0</v>
      </c>
      <c r="BW482" s="532">
        <f t="shared" ca="1" si="364"/>
        <v>0</v>
      </c>
      <c r="BX482" s="532">
        <f t="shared" ca="1" si="353"/>
        <v>0</v>
      </c>
      <c r="CC482" s="536">
        <f t="shared" ca="1" si="354"/>
        <v>2066</v>
      </c>
      <c r="CF482" s="530">
        <v>481</v>
      </c>
      <c r="CG482" s="531">
        <f t="shared" ca="1" si="365"/>
        <v>60806</v>
      </c>
      <c r="CH482" s="532">
        <f ca="1">IF(CH481=0,SUMIFS('Key Life Events'!$L$3:$L$28,'Key Life Events'!$H$3:$H$28,'Loan Amortization'!$CL$3,'Key Life Events'!$N$3:$N$28,'Loan Amortization'!CG482),CH481-CK481)</f>
        <v>0</v>
      </c>
      <c r="CI482" s="532">
        <f t="shared" ca="1" si="366"/>
        <v>0</v>
      </c>
      <c r="CJ482" s="532">
        <f t="shared" ca="1" si="367"/>
        <v>0</v>
      </c>
      <c r="CK482" s="532">
        <f t="shared" ca="1" si="355"/>
        <v>0</v>
      </c>
      <c r="CP482" s="536">
        <f t="shared" ca="1" si="356"/>
        <v>2066</v>
      </c>
      <c r="CS482" s="100">
        <f t="shared" si="345"/>
        <v>481</v>
      </c>
      <c r="CT482" s="102">
        <f t="shared" ca="1" si="346"/>
        <v>0</v>
      </c>
      <c r="CU482" s="102">
        <f t="shared" ca="1" si="347"/>
        <v>0</v>
      </c>
      <c r="CV482" s="511">
        <f t="shared" ca="1" si="357"/>
        <v>2066</v>
      </c>
    </row>
    <row r="483" spans="1:100" x14ac:dyDescent="0.3">
      <c r="A483" s="100">
        <v>482</v>
      </c>
      <c r="B483" s="131">
        <f t="shared" si="369"/>
        <v>13816</v>
      </c>
      <c r="C483" s="102">
        <f t="shared" si="370"/>
        <v>0</v>
      </c>
      <c r="D483" s="102">
        <f t="shared" si="371"/>
        <v>0</v>
      </c>
      <c r="E483" s="102">
        <f t="shared" si="372"/>
        <v>0</v>
      </c>
      <c r="F483" s="102">
        <f t="shared" si="373"/>
        <v>0</v>
      </c>
      <c r="L483" s="100">
        <v>482</v>
      </c>
      <c r="M483" s="131">
        <f t="shared" ca="1" si="374"/>
        <v>60836</v>
      </c>
      <c r="N483" s="102">
        <f t="shared" si="375"/>
        <v>0</v>
      </c>
      <c r="O483" s="102">
        <f t="shared" si="376"/>
        <v>0</v>
      </c>
      <c r="P483" s="102">
        <f t="shared" si="377"/>
        <v>0</v>
      </c>
      <c r="Q483" s="102">
        <f t="shared" si="378"/>
        <v>0</v>
      </c>
      <c r="W483" s="100">
        <v>482</v>
      </c>
      <c r="X483" s="131">
        <f t="shared" ca="1" si="379"/>
        <v>60836</v>
      </c>
      <c r="Y483" s="102">
        <f t="shared" si="380"/>
        <v>0</v>
      </c>
      <c r="Z483" s="102">
        <f t="shared" si="381"/>
        <v>0</v>
      </c>
      <c r="AA483" s="102">
        <f t="shared" si="382"/>
        <v>0</v>
      </c>
      <c r="AB483" s="102">
        <f t="shared" si="383"/>
        <v>0</v>
      </c>
      <c r="AH483" s="100">
        <v>482</v>
      </c>
      <c r="AI483" s="131">
        <f t="shared" ca="1" si="384"/>
        <v>60836</v>
      </c>
      <c r="AJ483" s="102">
        <f t="shared" si="385"/>
        <v>0</v>
      </c>
      <c r="AK483" s="102">
        <f t="shared" si="386"/>
        <v>0</v>
      </c>
      <c r="AL483" s="102">
        <f t="shared" si="387"/>
        <v>0</v>
      </c>
      <c r="AM483" s="102">
        <f t="shared" si="388"/>
        <v>0</v>
      </c>
      <c r="AS483" s="530">
        <v>482</v>
      </c>
      <c r="AT483" s="531">
        <f t="shared" ca="1" si="358"/>
        <v>60836</v>
      </c>
      <c r="AU483" s="532">
        <f ca="1">IF(AU482=0,SUMIFS('Key Life Events'!$L$3:$L$28,'Key Life Events'!$H$3:$H$28,'Loan Amortization'!$AY$3,'Key Life Events'!$N$3:$N$28,'Loan Amortization'!AT483),AU482-AX482)</f>
        <v>0</v>
      </c>
      <c r="AV483" s="532">
        <f t="shared" ca="1" si="359"/>
        <v>0</v>
      </c>
      <c r="AW483" s="532">
        <f t="shared" ca="1" si="348"/>
        <v>0</v>
      </c>
      <c r="AX483" s="532">
        <f t="shared" ca="1" si="349"/>
        <v>0</v>
      </c>
      <c r="BC483" s="536">
        <f t="shared" ca="1" si="350"/>
        <v>2066</v>
      </c>
      <c r="BF483" s="530">
        <v>482</v>
      </c>
      <c r="BG483" s="531">
        <f t="shared" ca="1" si="360"/>
        <v>60836</v>
      </c>
      <c r="BH483" s="532">
        <f ca="1">IF(BH482=0,SUMIFS('Key Life Events'!$L$3:$L$28,'Key Life Events'!$H$3:$H$28,'Loan Amortization'!$BL$3,'Key Life Events'!$N$3:$N$28,'Loan Amortization'!BG483),BH482-BK482)</f>
        <v>0</v>
      </c>
      <c r="BI483" s="532">
        <f t="shared" ca="1" si="361"/>
        <v>0</v>
      </c>
      <c r="BJ483" s="532">
        <f t="shared" ca="1" si="362"/>
        <v>0</v>
      </c>
      <c r="BK483" s="532">
        <f t="shared" ca="1" si="351"/>
        <v>0</v>
      </c>
      <c r="BP483" s="536">
        <f t="shared" ca="1" si="352"/>
        <v>2066</v>
      </c>
      <c r="BS483" s="530">
        <v>482</v>
      </c>
      <c r="BT483" s="531">
        <f t="shared" ca="1" si="363"/>
        <v>60836</v>
      </c>
      <c r="BU483" s="532">
        <f ca="1">IF(BU482=0,SUMIFS('Key Life Events'!$L$3:$L$28,'Key Life Events'!$H$3:$H$28,'Loan Amortization'!$BY$3,'Key Life Events'!$N$3:$N$28,'Loan Amortization'!BT483),BU482-BX482)</f>
        <v>0</v>
      </c>
      <c r="BV483" s="532">
        <f t="shared" ca="1" si="368"/>
        <v>0</v>
      </c>
      <c r="BW483" s="532">
        <f t="shared" ca="1" si="364"/>
        <v>0</v>
      </c>
      <c r="BX483" s="532">
        <f t="shared" ca="1" si="353"/>
        <v>0</v>
      </c>
      <c r="CC483" s="536">
        <f t="shared" ca="1" si="354"/>
        <v>2066</v>
      </c>
      <c r="CF483" s="530">
        <v>482</v>
      </c>
      <c r="CG483" s="531">
        <f t="shared" ca="1" si="365"/>
        <v>60836</v>
      </c>
      <c r="CH483" s="532">
        <f ca="1">IF(CH482=0,SUMIFS('Key Life Events'!$L$3:$L$28,'Key Life Events'!$H$3:$H$28,'Loan Amortization'!$CL$3,'Key Life Events'!$N$3:$N$28,'Loan Amortization'!CG483),CH482-CK482)</f>
        <v>0</v>
      </c>
      <c r="CI483" s="532">
        <f t="shared" ca="1" si="366"/>
        <v>0</v>
      </c>
      <c r="CJ483" s="532">
        <f t="shared" ca="1" si="367"/>
        <v>0</v>
      </c>
      <c r="CK483" s="532">
        <f t="shared" ca="1" si="355"/>
        <v>0</v>
      </c>
      <c r="CP483" s="536">
        <f t="shared" ca="1" si="356"/>
        <v>2066</v>
      </c>
      <c r="CS483" s="100">
        <f t="shared" si="345"/>
        <v>482</v>
      </c>
      <c r="CT483" s="102">
        <f t="shared" ca="1" si="346"/>
        <v>0</v>
      </c>
      <c r="CU483" s="102">
        <f t="shared" ca="1" si="347"/>
        <v>0</v>
      </c>
      <c r="CV483" s="511">
        <f t="shared" ca="1" si="357"/>
        <v>2066</v>
      </c>
    </row>
    <row r="484" spans="1:100" x14ac:dyDescent="0.3">
      <c r="A484" s="100">
        <v>483</v>
      </c>
      <c r="B484" s="131">
        <f t="shared" si="369"/>
        <v>13847</v>
      </c>
      <c r="C484" s="102">
        <f t="shared" si="370"/>
        <v>0</v>
      </c>
      <c r="D484" s="102">
        <f t="shared" si="371"/>
        <v>0</v>
      </c>
      <c r="E484" s="102">
        <f t="shared" si="372"/>
        <v>0</v>
      </c>
      <c r="F484" s="102">
        <f t="shared" si="373"/>
        <v>0</v>
      </c>
      <c r="L484" s="100">
        <v>483</v>
      </c>
      <c r="M484" s="131">
        <f t="shared" ca="1" si="374"/>
        <v>60867</v>
      </c>
      <c r="N484" s="102">
        <f t="shared" si="375"/>
        <v>0</v>
      </c>
      <c r="O484" s="102">
        <f t="shared" si="376"/>
        <v>0</v>
      </c>
      <c r="P484" s="102">
        <f t="shared" si="377"/>
        <v>0</v>
      </c>
      <c r="Q484" s="102">
        <f t="shared" si="378"/>
        <v>0</v>
      </c>
      <c r="W484" s="100">
        <v>483</v>
      </c>
      <c r="X484" s="131">
        <f t="shared" ca="1" si="379"/>
        <v>60867</v>
      </c>
      <c r="Y484" s="102">
        <f t="shared" si="380"/>
        <v>0</v>
      </c>
      <c r="Z484" s="102">
        <f t="shared" si="381"/>
        <v>0</v>
      </c>
      <c r="AA484" s="102">
        <f t="shared" si="382"/>
        <v>0</v>
      </c>
      <c r="AB484" s="102">
        <f t="shared" si="383"/>
        <v>0</v>
      </c>
      <c r="AH484" s="100">
        <v>483</v>
      </c>
      <c r="AI484" s="131">
        <f t="shared" ca="1" si="384"/>
        <v>60867</v>
      </c>
      <c r="AJ484" s="102">
        <f t="shared" si="385"/>
        <v>0</v>
      </c>
      <c r="AK484" s="102">
        <f t="shared" si="386"/>
        <v>0</v>
      </c>
      <c r="AL484" s="102">
        <f t="shared" si="387"/>
        <v>0</v>
      </c>
      <c r="AM484" s="102">
        <f t="shared" si="388"/>
        <v>0</v>
      </c>
      <c r="AS484" s="530">
        <v>483</v>
      </c>
      <c r="AT484" s="531">
        <f t="shared" ca="1" si="358"/>
        <v>60867</v>
      </c>
      <c r="AU484" s="532">
        <f ca="1">IF(AU483=0,SUMIFS('Key Life Events'!$L$3:$L$28,'Key Life Events'!$H$3:$H$28,'Loan Amortization'!$AY$3,'Key Life Events'!$N$3:$N$28,'Loan Amortization'!AT484),AU483-AX483)</f>
        <v>0</v>
      </c>
      <c r="AV484" s="532">
        <f t="shared" ca="1" si="359"/>
        <v>0</v>
      </c>
      <c r="AW484" s="532">
        <f t="shared" ca="1" si="348"/>
        <v>0</v>
      </c>
      <c r="AX484" s="532">
        <f t="shared" ca="1" si="349"/>
        <v>0</v>
      </c>
      <c r="BC484" s="536">
        <f t="shared" ca="1" si="350"/>
        <v>2066</v>
      </c>
      <c r="BF484" s="530">
        <v>483</v>
      </c>
      <c r="BG484" s="531">
        <f t="shared" ca="1" si="360"/>
        <v>60867</v>
      </c>
      <c r="BH484" s="532">
        <f ca="1">IF(BH483=0,SUMIFS('Key Life Events'!$L$3:$L$28,'Key Life Events'!$H$3:$H$28,'Loan Amortization'!$BL$3,'Key Life Events'!$N$3:$N$28,'Loan Amortization'!BG484),BH483-BK483)</f>
        <v>0</v>
      </c>
      <c r="BI484" s="532">
        <f t="shared" ca="1" si="361"/>
        <v>0</v>
      </c>
      <c r="BJ484" s="532">
        <f t="shared" ca="1" si="362"/>
        <v>0</v>
      </c>
      <c r="BK484" s="532">
        <f t="shared" ca="1" si="351"/>
        <v>0</v>
      </c>
      <c r="BP484" s="536">
        <f t="shared" ca="1" si="352"/>
        <v>2066</v>
      </c>
      <c r="BS484" s="530">
        <v>483</v>
      </c>
      <c r="BT484" s="531">
        <f t="shared" ca="1" si="363"/>
        <v>60867</v>
      </c>
      <c r="BU484" s="532">
        <f ca="1">IF(BU483=0,SUMIFS('Key Life Events'!$L$3:$L$28,'Key Life Events'!$H$3:$H$28,'Loan Amortization'!$BY$3,'Key Life Events'!$N$3:$N$28,'Loan Amortization'!BT484),BU483-BX483)</f>
        <v>0</v>
      </c>
      <c r="BV484" s="532">
        <f t="shared" ca="1" si="368"/>
        <v>0</v>
      </c>
      <c r="BW484" s="532">
        <f t="shared" ca="1" si="364"/>
        <v>0</v>
      </c>
      <c r="BX484" s="532">
        <f t="shared" ca="1" si="353"/>
        <v>0</v>
      </c>
      <c r="CC484" s="536">
        <f t="shared" ca="1" si="354"/>
        <v>2066</v>
      </c>
      <c r="CF484" s="530">
        <v>483</v>
      </c>
      <c r="CG484" s="531">
        <f t="shared" ca="1" si="365"/>
        <v>60867</v>
      </c>
      <c r="CH484" s="532">
        <f ca="1">IF(CH483=0,SUMIFS('Key Life Events'!$L$3:$L$28,'Key Life Events'!$H$3:$H$28,'Loan Amortization'!$CL$3,'Key Life Events'!$N$3:$N$28,'Loan Amortization'!CG484),CH483-CK483)</f>
        <v>0</v>
      </c>
      <c r="CI484" s="532">
        <f t="shared" ca="1" si="366"/>
        <v>0</v>
      </c>
      <c r="CJ484" s="532">
        <f t="shared" ca="1" si="367"/>
        <v>0</v>
      </c>
      <c r="CK484" s="532">
        <f t="shared" ca="1" si="355"/>
        <v>0</v>
      </c>
      <c r="CP484" s="536">
        <f t="shared" ca="1" si="356"/>
        <v>2066</v>
      </c>
      <c r="CS484" s="100">
        <f t="shared" si="345"/>
        <v>483</v>
      </c>
      <c r="CT484" s="102">
        <f t="shared" ca="1" si="346"/>
        <v>0</v>
      </c>
      <c r="CU484" s="102">
        <f t="shared" ca="1" si="347"/>
        <v>0</v>
      </c>
      <c r="CV484" s="511">
        <f t="shared" ca="1" si="357"/>
        <v>2066</v>
      </c>
    </row>
    <row r="485" spans="1:100" x14ac:dyDescent="0.3">
      <c r="A485" s="100">
        <v>484</v>
      </c>
      <c r="B485" s="131">
        <f t="shared" si="369"/>
        <v>13877</v>
      </c>
      <c r="C485" s="102">
        <f t="shared" si="370"/>
        <v>0</v>
      </c>
      <c r="D485" s="102">
        <f t="shared" si="371"/>
        <v>0</v>
      </c>
      <c r="E485" s="102">
        <f t="shared" si="372"/>
        <v>0</v>
      </c>
      <c r="F485" s="102">
        <f t="shared" si="373"/>
        <v>0</v>
      </c>
      <c r="L485" s="100">
        <v>484</v>
      </c>
      <c r="M485" s="131">
        <f t="shared" ca="1" si="374"/>
        <v>60898</v>
      </c>
      <c r="N485" s="102">
        <f t="shared" si="375"/>
        <v>0</v>
      </c>
      <c r="O485" s="102">
        <f t="shared" si="376"/>
        <v>0</v>
      </c>
      <c r="P485" s="102">
        <f t="shared" si="377"/>
        <v>0</v>
      </c>
      <c r="Q485" s="102">
        <f t="shared" si="378"/>
        <v>0</v>
      </c>
      <c r="W485" s="100">
        <v>484</v>
      </c>
      <c r="X485" s="131">
        <f t="shared" ca="1" si="379"/>
        <v>60898</v>
      </c>
      <c r="Y485" s="102">
        <f t="shared" si="380"/>
        <v>0</v>
      </c>
      <c r="Z485" s="102">
        <f t="shared" si="381"/>
        <v>0</v>
      </c>
      <c r="AA485" s="102">
        <f t="shared" si="382"/>
        <v>0</v>
      </c>
      <c r="AB485" s="102">
        <f t="shared" si="383"/>
        <v>0</v>
      </c>
      <c r="AH485" s="100">
        <v>484</v>
      </c>
      <c r="AI485" s="131">
        <f t="shared" ca="1" si="384"/>
        <v>60898</v>
      </c>
      <c r="AJ485" s="102">
        <f t="shared" si="385"/>
        <v>0</v>
      </c>
      <c r="AK485" s="102">
        <f t="shared" si="386"/>
        <v>0</v>
      </c>
      <c r="AL485" s="102">
        <f t="shared" si="387"/>
        <v>0</v>
      </c>
      <c r="AM485" s="102">
        <f t="shared" si="388"/>
        <v>0</v>
      </c>
      <c r="AS485" s="530">
        <v>484</v>
      </c>
      <c r="AT485" s="531">
        <f t="shared" ca="1" si="358"/>
        <v>60898</v>
      </c>
      <c r="AU485" s="532">
        <f ca="1">IF(AU484=0,SUMIFS('Key Life Events'!$L$3:$L$28,'Key Life Events'!$H$3:$H$28,'Loan Amortization'!$AY$3,'Key Life Events'!$N$3:$N$28,'Loan Amortization'!AT485),AU484-AX484)</f>
        <v>0</v>
      </c>
      <c r="AV485" s="532">
        <f t="shared" ca="1" si="359"/>
        <v>0</v>
      </c>
      <c r="AW485" s="532">
        <f t="shared" ca="1" si="348"/>
        <v>0</v>
      </c>
      <c r="AX485" s="532">
        <f t="shared" ca="1" si="349"/>
        <v>0</v>
      </c>
      <c r="BC485" s="536">
        <f t="shared" ca="1" si="350"/>
        <v>2066</v>
      </c>
      <c r="BF485" s="530">
        <v>484</v>
      </c>
      <c r="BG485" s="531">
        <f t="shared" ca="1" si="360"/>
        <v>60898</v>
      </c>
      <c r="BH485" s="532">
        <f ca="1">IF(BH484=0,SUMIFS('Key Life Events'!$L$3:$L$28,'Key Life Events'!$H$3:$H$28,'Loan Amortization'!$BL$3,'Key Life Events'!$N$3:$N$28,'Loan Amortization'!BG485),BH484-BK484)</f>
        <v>0</v>
      </c>
      <c r="BI485" s="532">
        <f t="shared" ca="1" si="361"/>
        <v>0</v>
      </c>
      <c r="BJ485" s="532">
        <f t="shared" ca="1" si="362"/>
        <v>0</v>
      </c>
      <c r="BK485" s="532">
        <f t="shared" ca="1" si="351"/>
        <v>0</v>
      </c>
      <c r="BP485" s="536">
        <f t="shared" ca="1" si="352"/>
        <v>2066</v>
      </c>
      <c r="BS485" s="530">
        <v>484</v>
      </c>
      <c r="BT485" s="531">
        <f t="shared" ca="1" si="363"/>
        <v>60898</v>
      </c>
      <c r="BU485" s="532">
        <f ca="1">IF(BU484=0,SUMIFS('Key Life Events'!$L$3:$L$28,'Key Life Events'!$H$3:$H$28,'Loan Amortization'!$BY$3,'Key Life Events'!$N$3:$N$28,'Loan Amortization'!BT485),BU484-BX484)</f>
        <v>0</v>
      </c>
      <c r="BV485" s="532">
        <f t="shared" ca="1" si="368"/>
        <v>0</v>
      </c>
      <c r="BW485" s="532">
        <f t="shared" ca="1" si="364"/>
        <v>0</v>
      </c>
      <c r="BX485" s="532">
        <f t="shared" ca="1" si="353"/>
        <v>0</v>
      </c>
      <c r="CC485" s="536">
        <f t="shared" ca="1" si="354"/>
        <v>2066</v>
      </c>
      <c r="CF485" s="530">
        <v>484</v>
      </c>
      <c r="CG485" s="531">
        <f t="shared" ca="1" si="365"/>
        <v>60898</v>
      </c>
      <c r="CH485" s="532">
        <f ca="1">IF(CH484=0,SUMIFS('Key Life Events'!$L$3:$L$28,'Key Life Events'!$H$3:$H$28,'Loan Amortization'!$CL$3,'Key Life Events'!$N$3:$N$28,'Loan Amortization'!CG485),CH484-CK484)</f>
        <v>0</v>
      </c>
      <c r="CI485" s="532">
        <f t="shared" ca="1" si="366"/>
        <v>0</v>
      </c>
      <c r="CJ485" s="532">
        <f t="shared" ca="1" si="367"/>
        <v>0</v>
      </c>
      <c r="CK485" s="532">
        <f t="shared" ca="1" si="355"/>
        <v>0</v>
      </c>
      <c r="CP485" s="536">
        <f t="shared" ca="1" si="356"/>
        <v>2066</v>
      </c>
      <c r="CS485" s="100">
        <f t="shared" si="345"/>
        <v>484</v>
      </c>
      <c r="CT485" s="102">
        <f t="shared" ca="1" si="346"/>
        <v>0</v>
      </c>
      <c r="CU485" s="102">
        <f t="shared" ca="1" si="347"/>
        <v>0</v>
      </c>
      <c r="CV485" s="511">
        <f t="shared" ca="1" si="357"/>
        <v>2066</v>
      </c>
    </row>
    <row r="486" spans="1:100" x14ac:dyDescent="0.3">
      <c r="A486" s="100">
        <v>485</v>
      </c>
      <c r="B486" s="131">
        <f t="shared" si="369"/>
        <v>13908</v>
      </c>
      <c r="C486" s="102">
        <f t="shared" si="370"/>
        <v>0</v>
      </c>
      <c r="D486" s="102">
        <f t="shared" si="371"/>
        <v>0</v>
      </c>
      <c r="E486" s="102">
        <f t="shared" si="372"/>
        <v>0</v>
      </c>
      <c r="F486" s="102">
        <f t="shared" si="373"/>
        <v>0</v>
      </c>
      <c r="L486" s="100">
        <v>485</v>
      </c>
      <c r="M486" s="131">
        <f t="shared" ca="1" si="374"/>
        <v>60928</v>
      </c>
      <c r="N486" s="102">
        <f t="shared" si="375"/>
        <v>0</v>
      </c>
      <c r="O486" s="102">
        <f t="shared" si="376"/>
        <v>0</v>
      </c>
      <c r="P486" s="102">
        <f t="shared" si="377"/>
        <v>0</v>
      </c>
      <c r="Q486" s="102">
        <f t="shared" si="378"/>
        <v>0</v>
      </c>
      <c r="W486" s="100">
        <v>485</v>
      </c>
      <c r="X486" s="131">
        <f t="shared" ca="1" si="379"/>
        <v>60928</v>
      </c>
      <c r="Y486" s="102">
        <f t="shared" si="380"/>
        <v>0</v>
      </c>
      <c r="Z486" s="102">
        <f t="shared" si="381"/>
        <v>0</v>
      </c>
      <c r="AA486" s="102">
        <f t="shared" si="382"/>
        <v>0</v>
      </c>
      <c r="AB486" s="102">
        <f t="shared" si="383"/>
        <v>0</v>
      </c>
      <c r="AH486" s="100">
        <v>485</v>
      </c>
      <c r="AI486" s="131">
        <f t="shared" ca="1" si="384"/>
        <v>60928</v>
      </c>
      <c r="AJ486" s="102">
        <f t="shared" si="385"/>
        <v>0</v>
      </c>
      <c r="AK486" s="102">
        <f t="shared" si="386"/>
        <v>0</v>
      </c>
      <c r="AL486" s="102">
        <f t="shared" si="387"/>
        <v>0</v>
      </c>
      <c r="AM486" s="102">
        <f t="shared" si="388"/>
        <v>0</v>
      </c>
      <c r="AS486" s="530">
        <v>485</v>
      </c>
      <c r="AT486" s="531">
        <f t="shared" ca="1" si="358"/>
        <v>60928</v>
      </c>
      <c r="AU486" s="532">
        <f ca="1">IF(AU485=0,SUMIFS('Key Life Events'!$L$3:$L$28,'Key Life Events'!$H$3:$H$28,'Loan Amortization'!$AY$3,'Key Life Events'!$N$3:$N$28,'Loan Amortization'!AT486),AU485-AX485)</f>
        <v>0</v>
      </c>
      <c r="AV486" s="532">
        <f t="shared" ca="1" si="359"/>
        <v>0</v>
      </c>
      <c r="AW486" s="532">
        <f t="shared" ca="1" si="348"/>
        <v>0</v>
      </c>
      <c r="AX486" s="532">
        <f t="shared" ca="1" si="349"/>
        <v>0</v>
      </c>
      <c r="BC486" s="536">
        <f t="shared" ca="1" si="350"/>
        <v>2066</v>
      </c>
      <c r="BF486" s="530">
        <v>485</v>
      </c>
      <c r="BG486" s="531">
        <f t="shared" ca="1" si="360"/>
        <v>60928</v>
      </c>
      <c r="BH486" s="532">
        <f ca="1">IF(BH485=0,SUMIFS('Key Life Events'!$L$3:$L$28,'Key Life Events'!$H$3:$H$28,'Loan Amortization'!$BL$3,'Key Life Events'!$N$3:$N$28,'Loan Amortization'!BG486),BH485-BK485)</f>
        <v>0</v>
      </c>
      <c r="BI486" s="532">
        <f t="shared" ca="1" si="361"/>
        <v>0</v>
      </c>
      <c r="BJ486" s="532">
        <f t="shared" ca="1" si="362"/>
        <v>0</v>
      </c>
      <c r="BK486" s="532">
        <f t="shared" ca="1" si="351"/>
        <v>0</v>
      </c>
      <c r="BP486" s="536">
        <f t="shared" ca="1" si="352"/>
        <v>2066</v>
      </c>
      <c r="BS486" s="530">
        <v>485</v>
      </c>
      <c r="BT486" s="531">
        <f t="shared" ca="1" si="363"/>
        <v>60928</v>
      </c>
      <c r="BU486" s="532">
        <f ca="1">IF(BU485=0,SUMIFS('Key Life Events'!$L$3:$L$28,'Key Life Events'!$H$3:$H$28,'Loan Amortization'!$BY$3,'Key Life Events'!$N$3:$N$28,'Loan Amortization'!BT486),BU485-BX485)</f>
        <v>0</v>
      </c>
      <c r="BV486" s="532">
        <f t="shared" ca="1" si="368"/>
        <v>0</v>
      </c>
      <c r="BW486" s="532">
        <f t="shared" ca="1" si="364"/>
        <v>0</v>
      </c>
      <c r="BX486" s="532">
        <f t="shared" ca="1" si="353"/>
        <v>0</v>
      </c>
      <c r="CC486" s="536">
        <f t="shared" ca="1" si="354"/>
        <v>2066</v>
      </c>
      <c r="CF486" s="530">
        <v>485</v>
      </c>
      <c r="CG486" s="531">
        <f t="shared" ca="1" si="365"/>
        <v>60928</v>
      </c>
      <c r="CH486" s="532">
        <f ca="1">IF(CH485=0,SUMIFS('Key Life Events'!$L$3:$L$28,'Key Life Events'!$H$3:$H$28,'Loan Amortization'!$CL$3,'Key Life Events'!$N$3:$N$28,'Loan Amortization'!CG486),CH485-CK485)</f>
        <v>0</v>
      </c>
      <c r="CI486" s="532">
        <f t="shared" ca="1" si="366"/>
        <v>0</v>
      </c>
      <c r="CJ486" s="532">
        <f t="shared" ca="1" si="367"/>
        <v>0</v>
      </c>
      <c r="CK486" s="532">
        <f t="shared" ca="1" si="355"/>
        <v>0</v>
      </c>
      <c r="CP486" s="536">
        <f t="shared" ca="1" si="356"/>
        <v>2066</v>
      </c>
      <c r="CS486" s="100">
        <f t="shared" si="345"/>
        <v>485</v>
      </c>
      <c r="CT486" s="102">
        <f t="shared" ca="1" si="346"/>
        <v>0</v>
      </c>
      <c r="CU486" s="102">
        <f t="shared" ca="1" si="347"/>
        <v>0</v>
      </c>
      <c r="CV486" s="511">
        <f t="shared" ca="1" si="357"/>
        <v>2066</v>
      </c>
    </row>
    <row r="487" spans="1:100" x14ac:dyDescent="0.3">
      <c r="A487" s="100">
        <v>486</v>
      </c>
      <c r="B487" s="131">
        <f t="shared" si="369"/>
        <v>13939</v>
      </c>
      <c r="C487" s="102">
        <f t="shared" si="370"/>
        <v>0</v>
      </c>
      <c r="D487" s="102">
        <f t="shared" si="371"/>
        <v>0</v>
      </c>
      <c r="E487" s="102">
        <f t="shared" si="372"/>
        <v>0</v>
      </c>
      <c r="F487" s="102">
        <f t="shared" si="373"/>
        <v>0</v>
      </c>
      <c r="L487" s="100">
        <v>486</v>
      </c>
      <c r="M487" s="131">
        <f t="shared" ca="1" si="374"/>
        <v>60959</v>
      </c>
      <c r="N487" s="102">
        <f t="shared" si="375"/>
        <v>0</v>
      </c>
      <c r="O487" s="102">
        <f t="shared" si="376"/>
        <v>0</v>
      </c>
      <c r="P487" s="102">
        <f t="shared" si="377"/>
        <v>0</v>
      </c>
      <c r="Q487" s="102">
        <f t="shared" si="378"/>
        <v>0</v>
      </c>
      <c r="W487" s="100">
        <v>486</v>
      </c>
      <c r="X487" s="131">
        <f t="shared" ca="1" si="379"/>
        <v>60959</v>
      </c>
      <c r="Y487" s="102">
        <f t="shared" si="380"/>
        <v>0</v>
      </c>
      <c r="Z487" s="102">
        <f t="shared" si="381"/>
        <v>0</v>
      </c>
      <c r="AA487" s="102">
        <f t="shared" si="382"/>
        <v>0</v>
      </c>
      <c r="AB487" s="102">
        <f t="shared" si="383"/>
        <v>0</v>
      </c>
      <c r="AH487" s="100">
        <v>486</v>
      </c>
      <c r="AI487" s="131">
        <f t="shared" ca="1" si="384"/>
        <v>60959</v>
      </c>
      <c r="AJ487" s="102">
        <f t="shared" si="385"/>
        <v>0</v>
      </c>
      <c r="AK487" s="102">
        <f t="shared" si="386"/>
        <v>0</v>
      </c>
      <c r="AL487" s="102">
        <f t="shared" si="387"/>
        <v>0</v>
      </c>
      <c r="AM487" s="102">
        <f t="shared" si="388"/>
        <v>0</v>
      </c>
      <c r="AS487" s="530">
        <v>486</v>
      </c>
      <c r="AT487" s="531">
        <f t="shared" ca="1" si="358"/>
        <v>60959</v>
      </c>
      <c r="AU487" s="532">
        <f ca="1">IF(AU486=0,SUMIFS('Key Life Events'!$L$3:$L$28,'Key Life Events'!$H$3:$H$28,'Loan Amortization'!$AY$3,'Key Life Events'!$N$3:$N$28,'Loan Amortization'!AT487),AU486-AX486)</f>
        <v>0</v>
      </c>
      <c r="AV487" s="532">
        <f t="shared" ca="1" si="359"/>
        <v>0</v>
      </c>
      <c r="AW487" s="532">
        <f t="shared" ca="1" si="348"/>
        <v>0</v>
      </c>
      <c r="AX487" s="532">
        <f t="shared" ca="1" si="349"/>
        <v>0</v>
      </c>
      <c r="BC487" s="536">
        <f t="shared" ca="1" si="350"/>
        <v>2066</v>
      </c>
      <c r="BF487" s="530">
        <v>486</v>
      </c>
      <c r="BG487" s="531">
        <f t="shared" ca="1" si="360"/>
        <v>60959</v>
      </c>
      <c r="BH487" s="532">
        <f ca="1">IF(BH486=0,SUMIFS('Key Life Events'!$L$3:$L$28,'Key Life Events'!$H$3:$H$28,'Loan Amortization'!$BL$3,'Key Life Events'!$N$3:$N$28,'Loan Amortization'!BG487),BH486-BK486)</f>
        <v>0</v>
      </c>
      <c r="BI487" s="532">
        <f t="shared" ca="1" si="361"/>
        <v>0</v>
      </c>
      <c r="BJ487" s="532">
        <f t="shared" ca="1" si="362"/>
        <v>0</v>
      </c>
      <c r="BK487" s="532">
        <f t="shared" ca="1" si="351"/>
        <v>0</v>
      </c>
      <c r="BP487" s="536">
        <f t="shared" ca="1" si="352"/>
        <v>2066</v>
      </c>
      <c r="BS487" s="530">
        <v>486</v>
      </c>
      <c r="BT487" s="531">
        <f t="shared" ca="1" si="363"/>
        <v>60959</v>
      </c>
      <c r="BU487" s="532">
        <f ca="1">IF(BU486=0,SUMIFS('Key Life Events'!$L$3:$L$28,'Key Life Events'!$H$3:$H$28,'Loan Amortization'!$BY$3,'Key Life Events'!$N$3:$N$28,'Loan Amortization'!BT487),BU486-BX486)</f>
        <v>0</v>
      </c>
      <c r="BV487" s="532">
        <f t="shared" ca="1" si="368"/>
        <v>0</v>
      </c>
      <c r="BW487" s="532">
        <f t="shared" ca="1" si="364"/>
        <v>0</v>
      </c>
      <c r="BX487" s="532">
        <f t="shared" ca="1" si="353"/>
        <v>0</v>
      </c>
      <c r="CC487" s="536">
        <f t="shared" ca="1" si="354"/>
        <v>2066</v>
      </c>
      <c r="CF487" s="530">
        <v>486</v>
      </c>
      <c r="CG487" s="531">
        <f t="shared" ca="1" si="365"/>
        <v>60959</v>
      </c>
      <c r="CH487" s="532">
        <f ca="1">IF(CH486=0,SUMIFS('Key Life Events'!$L$3:$L$28,'Key Life Events'!$H$3:$H$28,'Loan Amortization'!$CL$3,'Key Life Events'!$N$3:$N$28,'Loan Amortization'!CG487),CH486-CK486)</f>
        <v>0</v>
      </c>
      <c r="CI487" s="532">
        <f t="shared" ca="1" si="366"/>
        <v>0</v>
      </c>
      <c r="CJ487" s="532">
        <f t="shared" ca="1" si="367"/>
        <v>0</v>
      </c>
      <c r="CK487" s="532">
        <f t="shared" ca="1" si="355"/>
        <v>0</v>
      </c>
      <c r="CP487" s="536">
        <f t="shared" ca="1" si="356"/>
        <v>2066</v>
      </c>
      <c r="CS487" s="100">
        <f t="shared" si="345"/>
        <v>486</v>
      </c>
      <c r="CT487" s="102">
        <f t="shared" ca="1" si="346"/>
        <v>0</v>
      </c>
      <c r="CU487" s="102">
        <f t="shared" ca="1" si="347"/>
        <v>0</v>
      </c>
      <c r="CV487" s="511">
        <f t="shared" ca="1" si="357"/>
        <v>2066</v>
      </c>
    </row>
    <row r="488" spans="1:100" x14ac:dyDescent="0.3">
      <c r="A488" s="100">
        <v>487</v>
      </c>
      <c r="B488" s="131">
        <f t="shared" si="369"/>
        <v>13967</v>
      </c>
      <c r="C488" s="102">
        <f t="shared" si="370"/>
        <v>0</v>
      </c>
      <c r="D488" s="102">
        <f t="shared" si="371"/>
        <v>0</v>
      </c>
      <c r="E488" s="102">
        <f t="shared" si="372"/>
        <v>0</v>
      </c>
      <c r="F488" s="102">
        <f t="shared" si="373"/>
        <v>0</v>
      </c>
      <c r="L488" s="100">
        <v>487</v>
      </c>
      <c r="M488" s="131">
        <f t="shared" ca="1" si="374"/>
        <v>60989</v>
      </c>
      <c r="N488" s="102">
        <f t="shared" si="375"/>
        <v>0</v>
      </c>
      <c r="O488" s="102">
        <f t="shared" si="376"/>
        <v>0</v>
      </c>
      <c r="P488" s="102">
        <f t="shared" si="377"/>
        <v>0</v>
      </c>
      <c r="Q488" s="102">
        <f t="shared" si="378"/>
        <v>0</v>
      </c>
      <c r="W488" s="100">
        <v>487</v>
      </c>
      <c r="X488" s="131">
        <f t="shared" ca="1" si="379"/>
        <v>60989</v>
      </c>
      <c r="Y488" s="102">
        <f t="shared" si="380"/>
        <v>0</v>
      </c>
      <c r="Z488" s="102">
        <f t="shared" si="381"/>
        <v>0</v>
      </c>
      <c r="AA488" s="102">
        <f t="shared" si="382"/>
        <v>0</v>
      </c>
      <c r="AB488" s="102">
        <f t="shared" si="383"/>
        <v>0</v>
      </c>
      <c r="AH488" s="100">
        <v>487</v>
      </c>
      <c r="AI488" s="131">
        <f t="shared" ca="1" si="384"/>
        <v>60989</v>
      </c>
      <c r="AJ488" s="102">
        <f t="shared" si="385"/>
        <v>0</v>
      </c>
      <c r="AK488" s="102">
        <f t="shared" si="386"/>
        <v>0</v>
      </c>
      <c r="AL488" s="102">
        <f t="shared" si="387"/>
        <v>0</v>
      </c>
      <c r="AM488" s="102">
        <f t="shared" si="388"/>
        <v>0</v>
      </c>
      <c r="AS488" s="530">
        <v>487</v>
      </c>
      <c r="AT488" s="531">
        <f t="shared" ca="1" si="358"/>
        <v>60989</v>
      </c>
      <c r="AU488" s="532">
        <f ca="1">IF(AU487=0,SUMIFS('Key Life Events'!$L$3:$L$28,'Key Life Events'!$H$3:$H$28,'Loan Amortization'!$AY$3,'Key Life Events'!$N$3:$N$28,'Loan Amortization'!AT488),AU487-AX487)</f>
        <v>0</v>
      </c>
      <c r="AV488" s="532">
        <f t="shared" ca="1" si="359"/>
        <v>0</v>
      </c>
      <c r="AW488" s="532">
        <f t="shared" ca="1" si="348"/>
        <v>0</v>
      </c>
      <c r="AX488" s="532">
        <f t="shared" ca="1" si="349"/>
        <v>0</v>
      </c>
      <c r="BC488" s="536">
        <f t="shared" ca="1" si="350"/>
        <v>2066</v>
      </c>
      <c r="BF488" s="530">
        <v>487</v>
      </c>
      <c r="BG488" s="531">
        <f t="shared" ca="1" si="360"/>
        <v>60989</v>
      </c>
      <c r="BH488" s="532">
        <f ca="1">IF(BH487=0,SUMIFS('Key Life Events'!$L$3:$L$28,'Key Life Events'!$H$3:$H$28,'Loan Amortization'!$BL$3,'Key Life Events'!$N$3:$N$28,'Loan Amortization'!BG488),BH487-BK487)</f>
        <v>0</v>
      </c>
      <c r="BI488" s="532">
        <f t="shared" ca="1" si="361"/>
        <v>0</v>
      </c>
      <c r="BJ488" s="532">
        <f t="shared" ca="1" si="362"/>
        <v>0</v>
      </c>
      <c r="BK488" s="532">
        <f t="shared" ca="1" si="351"/>
        <v>0</v>
      </c>
      <c r="BP488" s="536">
        <f t="shared" ca="1" si="352"/>
        <v>2066</v>
      </c>
      <c r="BS488" s="530">
        <v>487</v>
      </c>
      <c r="BT488" s="531">
        <f t="shared" ca="1" si="363"/>
        <v>60989</v>
      </c>
      <c r="BU488" s="532">
        <f ca="1">IF(BU487=0,SUMIFS('Key Life Events'!$L$3:$L$28,'Key Life Events'!$H$3:$H$28,'Loan Amortization'!$BY$3,'Key Life Events'!$N$3:$N$28,'Loan Amortization'!BT488),BU487-BX487)</f>
        <v>0</v>
      </c>
      <c r="BV488" s="532">
        <f t="shared" ca="1" si="368"/>
        <v>0</v>
      </c>
      <c r="BW488" s="532">
        <f t="shared" ca="1" si="364"/>
        <v>0</v>
      </c>
      <c r="BX488" s="532">
        <f t="shared" ca="1" si="353"/>
        <v>0</v>
      </c>
      <c r="CC488" s="536">
        <f t="shared" ca="1" si="354"/>
        <v>2066</v>
      </c>
      <c r="CF488" s="530">
        <v>487</v>
      </c>
      <c r="CG488" s="531">
        <f t="shared" ca="1" si="365"/>
        <v>60989</v>
      </c>
      <c r="CH488" s="532">
        <f ca="1">IF(CH487=0,SUMIFS('Key Life Events'!$L$3:$L$28,'Key Life Events'!$H$3:$H$28,'Loan Amortization'!$CL$3,'Key Life Events'!$N$3:$N$28,'Loan Amortization'!CG488),CH487-CK487)</f>
        <v>0</v>
      </c>
      <c r="CI488" s="532">
        <f t="shared" ca="1" si="366"/>
        <v>0</v>
      </c>
      <c r="CJ488" s="532">
        <f t="shared" ca="1" si="367"/>
        <v>0</v>
      </c>
      <c r="CK488" s="532">
        <f t="shared" ca="1" si="355"/>
        <v>0</v>
      </c>
      <c r="CP488" s="536">
        <f t="shared" ca="1" si="356"/>
        <v>2066</v>
      </c>
      <c r="CS488" s="100">
        <f t="shared" si="345"/>
        <v>487</v>
      </c>
      <c r="CT488" s="102">
        <f t="shared" ca="1" si="346"/>
        <v>0</v>
      </c>
      <c r="CU488" s="102">
        <f t="shared" ca="1" si="347"/>
        <v>0</v>
      </c>
      <c r="CV488" s="511">
        <f t="shared" ca="1" si="357"/>
        <v>2066</v>
      </c>
    </row>
    <row r="489" spans="1:100" x14ac:dyDescent="0.3">
      <c r="A489" s="100">
        <v>488</v>
      </c>
      <c r="B489" s="131">
        <f t="shared" si="369"/>
        <v>13998</v>
      </c>
      <c r="C489" s="102">
        <f t="shared" si="370"/>
        <v>0</v>
      </c>
      <c r="D489" s="102">
        <f t="shared" si="371"/>
        <v>0</v>
      </c>
      <c r="E489" s="102">
        <f t="shared" si="372"/>
        <v>0</v>
      </c>
      <c r="F489" s="102">
        <f t="shared" si="373"/>
        <v>0</v>
      </c>
      <c r="L489" s="100">
        <v>488</v>
      </c>
      <c r="M489" s="131">
        <f t="shared" ca="1" si="374"/>
        <v>61020</v>
      </c>
      <c r="N489" s="102">
        <f t="shared" si="375"/>
        <v>0</v>
      </c>
      <c r="O489" s="102">
        <f t="shared" si="376"/>
        <v>0</v>
      </c>
      <c r="P489" s="102">
        <f t="shared" si="377"/>
        <v>0</v>
      </c>
      <c r="Q489" s="102">
        <f t="shared" si="378"/>
        <v>0</v>
      </c>
      <c r="W489" s="100">
        <v>488</v>
      </c>
      <c r="X489" s="131">
        <f t="shared" ca="1" si="379"/>
        <v>61020</v>
      </c>
      <c r="Y489" s="102">
        <f t="shared" si="380"/>
        <v>0</v>
      </c>
      <c r="Z489" s="102">
        <f t="shared" si="381"/>
        <v>0</v>
      </c>
      <c r="AA489" s="102">
        <f t="shared" si="382"/>
        <v>0</v>
      </c>
      <c r="AB489" s="102">
        <f t="shared" si="383"/>
        <v>0</v>
      </c>
      <c r="AH489" s="100">
        <v>488</v>
      </c>
      <c r="AI489" s="131">
        <f t="shared" ca="1" si="384"/>
        <v>61020</v>
      </c>
      <c r="AJ489" s="102">
        <f t="shared" si="385"/>
        <v>0</v>
      </c>
      <c r="AK489" s="102">
        <f t="shared" si="386"/>
        <v>0</v>
      </c>
      <c r="AL489" s="102">
        <f t="shared" si="387"/>
        <v>0</v>
      </c>
      <c r="AM489" s="102">
        <f t="shared" si="388"/>
        <v>0</v>
      </c>
      <c r="AS489" s="530">
        <v>488</v>
      </c>
      <c r="AT489" s="531">
        <f t="shared" ca="1" si="358"/>
        <v>61020</v>
      </c>
      <c r="AU489" s="532">
        <f ca="1">IF(AU488=0,SUMIFS('Key Life Events'!$L$3:$L$28,'Key Life Events'!$H$3:$H$28,'Loan Amortization'!$AY$3,'Key Life Events'!$N$3:$N$28,'Loan Amortization'!AT489),AU488-AX488)</f>
        <v>0</v>
      </c>
      <c r="AV489" s="532">
        <f t="shared" ca="1" si="359"/>
        <v>0</v>
      </c>
      <c r="AW489" s="532">
        <f t="shared" ca="1" si="348"/>
        <v>0</v>
      </c>
      <c r="AX489" s="532">
        <f t="shared" ca="1" si="349"/>
        <v>0</v>
      </c>
      <c r="BC489" s="536">
        <f t="shared" ca="1" si="350"/>
        <v>2067</v>
      </c>
      <c r="BF489" s="530">
        <v>488</v>
      </c>
      <c r="BG489" s="531">
        <f t="shared" ca="1" si="360"/>
        <v>61020</v>
      </c>
      <c r="BH489" s="532">
        <f ca="1">IF(BH488=0,SUMIFS('Key Life Events'!$L$3:$L$28,'Key Life Events'!$H$3:$H$28,'Loan Amortization'!$BL$3,'Key Life Events'!$N$3:$N$28,'Loan Amortization'!BG489),BH488-BK488)</f>
        <v>0</v>
      </c>
      <c r="BI489" s="532">
        <f t="shared" ca="1" si="361"/>
        <v>0</v>
      </c>
      <c r="BJ489" s="532">
        <f t="shared" ca="1" si="362"/>
        <v>0</v>
      </c>
      <c r="BK489" s="532">
        <f t="shared" ca="1" si="351"/>
        <v>0</v>
      </c>
      <c r="BP489" s="536">
        <f t="shared" ca="1" si="352"/>
        <v>2067</v>
      </c>
      <c r="BS489" s="530">
        <v>488</v>
      </c>
      <c r="BT489" s="531">
        <f t="shared" ca="1" si="363"/>
        <v>61020</v>
      </c>
      <c r="BU489" s="532">
        <f ca="1">IF(BU488=0,SUMIFS('Key Life Events'!$L$3:$L$28,'Key Life Events'!$H$3:$H$28,'Loan Amortization'!$BY$3,'Key Life Events'!$N$3:$N$28,'Loan Amortization'!BT489),BU488-BX488)</f>
        <v>0</v>
      </c>
      <c r="BV489" s="532">
        <f t="shared" ca="1" si="368"/>
        <v>0</v>
      </c>
      <c r="BW489" s="532">
        <f t="shared" ca="1" si="364"/>
        <v>0</v>
      </c>
      <c r="BX489" s="532">
        <f t="shared" ca="1" si="353"/>
        <v>0</v>
      </c>
      <c r="CC489" s="536">
        <f t="shared" ca="1" si="354"/>
        <v>2067</v>
      </c>
      <c r="CF489" s="530">
        <v>488</v>
      </c>
      <c r="CG489" s="531">
        <f t="shared" ca="1" si="365"/>
        <v>61020</v>
      </c>
      <c r="CH489" s="532">
        <f ca="1">IF(CH488=0,SUMIFS('Key Life Events'!$L$3:$L$28,'Key Life Events'!$H$3:$H$28,'Loan Amortization'!$CL$3,'Key Life Events'!$N$3:$N$28,'Loan Amortization'!CG489),CH488-CK488)</f>
        <v>0</v>
      </c>
      <c r="CI489" s="532">
        <f t="shared" ca="1" si="366"/>
        <v>0</v>
      </c>
      <c r="CJ489" s="532">
        <f t="shared" ca="1" si="367"/>
        <v>0</v>
      </c>
      <c r="CK489" s="532">
        <f t="shared" ca="1" si="355"/>
        <v>0</v>
      </c>
      <c r="CP489" s="536">
        <f t="shared" ca="1" si="356"/>
        <v>2067</v>
      </c>
      <c r="CS489" s="100">
        <f t="shared" si="345"/>
        <v>488</v>
      </c>
      <c r="CT489" s="102">
        <f t="shared" ca="1" si="346"/>
        <v>0</v>
      </c>
      <c r="CU489" s="102">
        <f t="shared" ca="1" si="347"/>
        <v>0</v>
      </c>
      <c r="CV489" s="511">
        <f t="shared" ca="1" si="357"/>
        <v>2067</v>
      </c>
    </row>
    <row r="490" spans="1:100" x14ac:dyDescent="0.3">
      <c r="A490" s="100">
        <v>489</v>
      </c>
      <c r="B490" s="131">
        <f t="shared" si="369"/>
        <v>14028</v>
      </c>
      <c r="C490" s="102">
        <f t="shared" si="370"/>
        <v>0</v>
      </c>
      <c r="D490" s="102">
        <f t="shared" si="371"/>
        <v>0</v>
      </c>
      <c r="E490" s="102">
        <f t="shared" si="372"/>
        <v>0</v>
      </c>
      <c r="F490" s="102">
        <f t="shared" si="373"/>
        <v>0</v>
      </c>
      <c r="L490" s="100">
        <v>489</v>
      </c>
      <c r="M490" s="131">
        <f t="shared" ca="1" si="374"/>
        <v>61051</v>
      </c>
      <c r="N490" s="102">
        <f t="shared" si="375"/>
        <v>0</v>
      </c>
      <c r="O490" s="102">
        <f t="shared" si="376"/>
        <v>0</v>
      </c>
      <c r="P490" s="102">
        <f t="shared" si="377"/>
        <v>0</v>
      </c>
      <c r="Q490" s="102">
        <f t="shared" si="378"/>
        <v>0</v>
      </c>
      <c r="W490" s="100">
        <v>489</v>
      </c>
      <c r="X490" s="131">
        <f t="shared" ca="1" si="379"/>
        <v>61051</v>
      </c>
      <c r="Y490" s="102">
        <f t="shared" si="380"/>
        <v>0</v>
      </c>
      <c r="Z490" s="102">
        <f t="shared" si="381"/>
        <v>0</v>
      </c>
      <c r="AA490" s="102">
        <f t="shared" si="382"/>
        <v>0</v>
      </c>
      <c r="AB490" s="102">
        <f t="shared" si="383"/>
        <v>0</v>
      </c>
      <c r="AH490" s="100">
        <v>489</v>
      </c>
      <c r="AI490" s="131">
        <f t="shared" ca="1" si="384"/>
        <v>61051</v>
      </c>
      <c r="AJ490" s="102">
        <f t="shared" si="385"/>
        <v>0</v>
      </c>
      <c r="AK490" s="102">
        <f t="shared" si="386"/>
        <v>0</v>
      </c>
      <c r="AL490" s="102">
        <f t="shared" si="387"/>
        <v>0</v>
      </c>
      <c r="AM490" s="102">
        <f t="shared" si="388"/>
        <v>0</v>
      </c>
      <c r="AS490" s="530">
        <v>489</v>
      </c>
      <c r="AT490" s="531">
        <f t="shared" ca="1" si="358"/>
        <v>61051</v>
      </c>
      <c r="AU490" s="532">
        <f ca="1">IF(AU489=0,SUMIFS('Key Life Events'!$L$3:$L$28,'Key Life Events'!$H$3:$H$28,'Loan Amortization'!$AY$3,'Key Life Events'!$N$3:$N$28,'Loan Amortization'!AT490),AU489-AX489)</f>
        <v>0</v>
      </c>
      <c r="AV490" s="532">
        <f t="shared" ca="1" si="359"/>
        <v>0</v>
      </c>
      <c r="AW490" s="532">
        <f t="shared" ca="1" si="348"/>
        <v>0</v>
      </c>
      <c r="AX490" s="532">
        <f t="shared" ca="1" si="349"/>
        <v>0</v>
      </c>
      <c r="BC490" s="536">
        <f t="shared" ca="1" si="350"/>
        <v>2067</v>
      </c>
      <c r="BF490" s="530">
        <v>489</v>
      </c>
      <c r="BG490" s="531">
        <f t="shared" ca="1" si="360"/>
        <v>61051</v>
      </c>
      <c r="BH490" s="532">
        <f ca="1">IF(BH489=0,SUMIFS('Key Life Events'!$L$3:$L$28,'Key Life Events'!$H$3:$H$28,'Loan Amortization'!$BL$3,'Key Life Events'!$N$3:$N$28,'Loan Amortization'!BG490),BH489-BK489)</f>
        <v>0</v>
      </c>
      <c r="BI490" s="532">
        <f t="shared" ca="1" si="361"/>
        <v>0</v>
      </c>
      <c r="BJ490" s="532">
        <f t="shared" ca="1" si="362"/>
        <v>0</v>
      </c>
      <c r="BK490" s="532">
        <f t="shared" ca="1" si="351"/>
        <v>0</v>
      </c>
      <c r="BP490" s="536">
        <f t="shared" ca="1" si="352"/>
        <v>2067</v>
      </c>
      <c r="BS490" s="530">
        <v>489</v>
      </c>
      <c r="BT490" s="531">
        <f t="shared" ca="1" si="363"/>
        <v>61051</v>
      </c>
      <c r="BU490" s="532">
        <f ca="1">IF(BU489=0,SUMIFS('Key Life Events'!$L$3:$L$28,'Key Life Events'!$H$3:$H$28,'Loan Amortization'!$BY$3,'Key Life Events'!$N$3:$N$28,'Loan Amortization'!BT490),BU489-BX489)</f>
        <v>0</v>
      </c>
      <c r="BV490" s="532">
        <f t="shared" ca="1" si="368"/>
        <v>0</v>
      </c>
      <c r="BW490" s="532">
        <f t="shared" ca="1" si="364"/>
        <v>0</v>
      </c>
      <c r="BX490" s="532">
        <f t="shared" ca="1" si="353"/>
        <v>0</v>
      </c>
      <c r="CC490" s="536">
        <f t="shared" ca="1" si="354"/>
        <v>2067</v>
      </c>
      <c r="CF490" s="530">
        <v>489</v>
      </c>
      <c r="CG490" s="531">
        <f t="shared" ca="1" si="365"/>
        <v>61051</v>
      </c>
      <c r="CH490" s="532">
        <f ca="1">IF(CH489=0,SUMIFS('Key Life Events'!$L$3:$L$28,'Key Life Events'!$H$3:$H$28,'Loan Amortization'!$CL$3,'Key Life Events'!$N$3:$N$28,'Loan Amortization'!CG490),CH489-CK489)</f>
        <v>0</v>
      </c>
      <c r="CI490" s="532">
        <f t="shared" ca="1" si="366"/>
        <v>0</v>
      </c>
      <c r="CJ490" s="532">
        <f t="shared" ca="1" si="367"/>
        <v>0</v>
      </c>
      <c r="CK490" s="532">
        <f t="shared" ca="1" si="355"/>
        <v>0</v>
      </c>
      <c r="CP490" s="536">
        <f t="shared" ca="1" si="356"/>
        <v>2067</v>
      </c>
      <c r="CS490" s="100">
        <f t="shared" si="345"/>
        <v>489</v>
      </c>
      <c r="CT490" s="102">
        <f t="shared" ca="1" si="346"/>
        <v>0</v>
      </c>
      <c r="CU490" s="102">
        <f t="shared" ca="1" si="347"/>
        <v>0</v>
      </c>
      <c r="CV490" s="511">
        <f t="shared" ca="1" si="357"/>
        <v>2067</v>
      </c>
    </row>
    <row r="491" spans="1:100" x14ac:dyDescent="0.3">
      <c r="A491" s="100">
        <v>490</v>
      </c>
      <c r="B491" s="131">
        <f t="shared" si="369"/>
        <v>14059</v>
      </c>
      <c r="C491" s="102">
        <f t="shared" si="370"/>
        <v>0</v>
      </c>
      <c r="D491" s="102">
        <f t="shared" si="371"/>
        <v>0</v>
      </c>
      <c r="E491" s="102">
        <f t="shared" si="372"/>
        <v>0</v>
      </c>
      <c r="F491" s="102">
        <f t="shared" si="373"/>
        <v>0</v>
      </c>
      <c r="L491" s="100">
        <v>490</v>
      </c>
      <c r="M491" s="131">
        <f t="shared" ca="1" si="374"/>
        <v>61079</v>
      </c>
      <c r="N491" s="102">
        <f t="shared" si="375"/>
        <v>0</v>
      </c>
      <c r="O491" s="102">
        <f t="shared" si="376"/>
        <v>0</v>
      </c>
      <c r="P491" s="102">
        <f t="shared" si="377"/>
        <v>0</v>
      </c>
      <c r="Q491" s="102">
        <f t="shared" si="378"/>
        <v>0</v>
      </c>
      <c r="W491" s="100">
        <v>490</v>
      </c>
      <c r="X491" s="131">
        <f t="shared" ca="1" si="379"/>
        <v>61079</v>
      </c>
      <c r="Y491" s="102">
        <f t="shared" si="380"/>
        <v>0</v>
      </c>
      <c r="Z491" s="102">
        <f t="shared" si="381"/>
        <v>0</v>
      </c>
      <c r="AA491" s="102">
        <f t="shared" si="382"/>
        <v>0</v>
      </c>
      <c r="AB491" s="102">
        <f t="shared" si="383"/>
        <v>0</v>
      </c>
      <c r="AH491" s="100">
        <v>490</v>
      </c>
      <c r="AI491" s="131">
        <f t="shared" ca="1" si="384"/>
        <v>61079</v>
      </c>
      <c r="AJ491" s="102">
        <f t="shared" si="385"/>
        <v>0</v>
      </c>
      <c r="AK491" s="102">
        <f t="shared" si="386"/>
        <v>0</v>
      </c>
      <c r="AL491" s="102">
        <f t="shared" si="387"/>
        <v>0</v>
      </c>
      <c r="AM491" s="102">
        <f t="shared" si="388"/>
        <v>0</v>
      </c>
      <c r="AS491" s="530">
        <v>490</v>
      </c>
      <c r="AT491" s="531">
        <f t="shared" ca="1" si="358"/>
        <v>61079</v>
      </c>
      <c r="AU491" s="532">
        <f ca="1">IF(AU490=0,SUMIFS('Key Life Events'!$L$3:$L$28,'Key Life Events'!$H$3:$H$28,'Loan Amortization'!$AY$3,'Key Life Events'!$N$3:$N$28,'Loan Amortization'!AT491),AU490-AX490)</f>
        <v>0</v>
      </c>
      <c r="AV491" s="532">
        <f t="shared" ca="1" si="359"/>
        <v>0</v>
      </c>
      <c r="AW491" s="532">
        <f t="shared" ca="1" si="348"/>
        <v>0</v>
      </c>
      <c r="AX491" s="532">
        <f t="shared" ca="1" si="349"/>
        <v>0</v>
      </c>
      <c r="BC491" s="536">
        <f t="shared" ca="1" si="350"/>
        <v>2067</v>
      </c>
      <c r="BF491" s="530">
        <v>490</v>
      </c>
      <c r="BG491" s="531">
        <f t="shared" ca="1" si="360"/>
        <v>61079</v>
      </c>
      <c r="BH491" s="532">
        <f ca="1">IF(BH490=0,SUMIFS('Key Life Events'!$L$3:$L$28,'Key Life Events'!$H$3:$H$28,'Loan Amortization'!$BL$3,'Key Life Events'!$N$3:$N$28,'Loan Amortization'!BG491),BH490-BK490)</f>
        <v>0</v>
      </c>
      <c r="BI491" s="532">
        <f t="shared" ca="1" si="361"/>
        <v>0</v>
      </c>
      <c r="BJ491" s="532">
        <f t="shared" ca="1" si="362"/>
        <v>0</v>
      </c>
      <c r="BK491" s="532">
        <f t="shared" ca="1" si="351"/>
        <v>0</v>
      </c>
      <c r="BP491" s="536">
        <f t="shared" ca="1" si="352"/>
        <v>2067</v>
      </c>
      <c r="BS491" s="530">
        <v>490</v>
      </c>
      <c r="BT491" s="531">
        <f t="shared" ca="1" si="363"/>
        <v>61079</v>
      </c>
      <c r="BU491" s="532">
        <f ca="1">IF(BU490=0,SUMIFS('Key Life Events'!$L$3:$L$28,'Key Life Events'!$H$3:$H$28,'Loan Amortization'!$BY$3,'Key Life Events'!$N$3:$N$28,'Loan Amortization'!BT491),BU490-BX490)</f>
        <v>0</v>
      </c>
      <c r="BV491" s="532">
        <f t="shared" ca="1" si="368"/>
        <v>0</v>
      </c>
      <c r="BW491" s="532">
        <f t="shared" ca="1" si="364"/>
        <v>0</v>
      </c>
      <c r="BX491" s="532">
        <f t="shared" ca="1" si="353"/>
        <v>0</v>
      </c>
      <c r="CC491" s="536">
        <f t="shared" ca="1" si="354"/>
        <v>2067</v>
      </c>
      <c r="CF491" s="530">
        <v>490</v>
      </c>
      <c r="CG491" s="531">
        <f t="shared" ca="1" si="365"/>
        <v>61079</v>
      </c>
      <c r="CH491" s="532">
        <f ca="1">IF(CH490=0,SUMIFS('Key Life Events'!$L$3:$L$28,'Key Life Events'!$H$3:$H$28,'Loan Amortization'!$CL$3,'Key Life Events'!$N$3:$N$28,'Loan Amortization'!CG491),CH490-CK490)</f>
        <v>0</v>
      </c>
      <c r="CI491" s="532">
        <f t="shared" ca="1" si="366"/>
        <v>0</v>
      </c>
      <c r="CJ491" s="532">
        <f t="shared" ca="1" si="367"/>
        <v>0</v>
      </c>
      <c r="CK491" s="532">
        <f t="shared" ca="1" si="355"/>
        <v>0</v>
      </c>
      <c r="CP491" s="536">
        <f t="shared" ca="1" si="356"/>
        <v>2067</v>
      </c>
      <c r="CS491" s="100">
        <f t="shared" si="345"/>
        <v>490</v>
      </c>
      <c r="CT491" s="102">
        <f t="shared" ca="1" si="346"/>
        <v>0</v>
      </c>
      <c r="CU491" s="102">
        <f t="shared" ca="1" si="347"/>
        <v>0</v>
      </c>
      <c r="CV491" s="511">
        <f t="shared" ca="1" si="357"/>
        <v>2067</v>
      </c>
    </row>
    <row r="492" spans="1:100" x14ac:dyDescent="0.3">
      <c r="A492" s="100">
        <v>491</v>
      </c>
      <c r="B492" s="131">
        <f t="shared" si="369"/>
        <v>14089</v>
      </c>
      <c r="C492" s="102">
        <f t="shared" si="370"/>
        <v>0</v>
      </c>
      <c r="D492" s="102">
        <f t="shared" si="371"/>
        <v>0</v>
      </c>
      <c r="E492" s="102">
        <f t="shared" si="372"/>
        <v>0</v>
      </c>
      <c r="F492" s="102">
        <f t="shared" si="373"/>
        <v>0</v>
      </c>
      <c r="L492" s="100">
        <v>491</v>
      </c>
      <c r="M492" s="131">
        <f t="shared" ca="1" si="374"/>
        <v>61110</v>
      </c>
      <c r="N492" s="102">
        <f t="shared" si="375"/>
        <v>0</v>
      </c>
      <c r="O492" s="102">
        <f t="shared" si="376"/>
        <v>0</v>
      </c>
      <c r="P492" s="102">
        <f t="shared" si="377"/>
        <v>0</v>
      </c>
      <c r="Q492" s="102">
        <f t="shared" si="378"/>
        <v>0</v>
      </c>
      <c r="W492" s="100">
        <v>491</v>
      </c>
      <c r="X492" s="131">
        <f t="shared" ca="1" si="379"/>
        <v>61110</v>
      </c>
      <c r="Y492" s="102">
        <f t="shared" si="380"/>
        <v>0</v>
      </c>
      <c r="Z492" s="102">
        <f t="shared" si="381"/>
        <v>0</v>
      </c>
      <c r="AA492" s="102">
        <f t="shared" si="382"/>
        <v>0</v>
      </c>
      <c r="AB492" s="102">
        <f t="shared" si="383"/>
        <v>0</v>
      </c>
      <c r="AH492" s="100">
        <v>491</v>
      </c>
      <c r="AI492" s="131">
        <f t="shared" ca="1" si="384"/>
        <v>61110</v>
      </c>
      <c r="AJ492" s="102">
        <f t="shared" si="385"/>
        <v>0</v>
      </c>
      <c r="AK492" s="102">
        <f t="shared" si="386"/>
        <v>0</v>
      </c>
      <c r="AL492" s="102">
        <f t="shared" si="387"/>
        <v>0</v>
      </c>
      <c r="AM492" s="102">
        <f t="shared" si="388"/>
        <v>0</v>
      </c>
      <c r="AS492" s="530">
        <v>491</v>
      </c>
      <c r="AT492" s="531">
        <f t="shared" ca="1" si="358"/>
        <v>61110</v>
      </c>
      <c r="AU492" s="532">
        <f ca="1">IF(AU491=0,SUMIFS('Key Life Events'!$L$3:$L$28,'Key Life Events'!$H$3:$H$28,'Loan Amortization'!$AY$3,'Key Life Events'!$N$3:$N$28,'Loan Amortization'!AT492),AU491-AX491)</f>
        <v>0</v>
      </c>
      <c r="AV492" s="532">
        <f t="shared" ca="1" si="359"/>
        <v>0</v>
      </c>
      <c r="AW492" s="532">
        <f t="shared" ca="1" si="348"/>
        <v>0</v>
      </c>
      <c r="AX492" s="532">
        <f t="shared" ca="1" si="349"/>
        <v>0</v>
      </c>
      <c r="BC492" s="536">
        <f t="shared" ca="1" si="350"/>
        <v>2067</v>
      </c>
      <c r="BF492" s="530">
        <v>491</v>
      </c>
      <c r="BG492" s="531">
        <f t="shared" ca="1" si="360"/>
        <v>61110</v>
      </c>
      <c r="BH492" s="532">
        <f ca="1">IF(BH491=0,SUMIFS('Key Life Events'!$L$3:$L$28,'Key Life Events'!$H$3:$H$28,'Loan Amortization'!$BL$3,'Key Life Events'!$N$3:$N$28,'Loan Amortization'!BG492),BH491-BK491)</f>
        <v>0</v>
      </c>
      <c r="BI492" s="532">
        <f t="shared" ca="1" si="361"/>
        <v>0</v>
      </c>
      <c r="BJ492" s="532">
        <f t="shared" ca="1" si="362"/>
        <v>0</v>
      </c>
      <c r="BK492" s="532">
        <f t="shared" ca="1" si="351"/>
        <v>0</v>
      </c>
      <c r="BP492" s="536">
        <f t="shared" ca="1" si="352"/>
        <v>2067</v>
      </c>
      <c r="BS492" s="530">
        <v>491</v>
      </c>
      <c r="BT492" s="531">
        <f t="shared" ca="1" si="363"/>
        <v>61110</v>
      </c>
      <c r="BU492" s="532">
        <f ca="1">IF(BU491=0,SUMIFS('Key Life Events'!$L$3:$L$28,'Key Life Events'!$H$3:$H$28,'Loan Amortization'!$BY$3,'Key Life Events'!$N$3:$N$28,'Loan Amortization'!BT492),BU491-BX491)</f>
        <v>0</v>
      </c>
      <c r="BV492" s="532">
        <f t="shared" ca="1" si="368"/>
        <v>0</v>
      </c>
      <c r="BW492" s="532">
        <f t="shared" ca="1" si="364"/>
        <v>0</v>
      </c>
      <c r="BX492" s="532">
        <f t="shared" ca="1" si="353"/>
        <v>0</v>
      </c>
      <c r="CC492" s="536">
        <f t="shared" ca="1" si="354"/>
        <v>2067</v>
      </c>
      <c r="CF492" s="530">
        <v>491</v>
      </c>
      <c r="CG492" s="531">
        <f t="shared" ca="1" si="365"/>
        <v>61110</v>
      </c>
      <c r="CH492" s="532">
        <f ca="1">IF(CH491=0,SUMIFS('Key Life Events'!$L$3:$L$28,'Key Life Events'!$H$3:$H$28,'Loan Amortization'!$CL$3,'Key Life Events'!$N$3:$N$28,'Loan Amortization'!CG492),CH491-CK491)</f>
        <v>0</v>
      </c>
      <c r="CI492" s="532">
        <f t="shared" ca="1" si="366"/>
        <v>0</v>
      </c>
      <c r="CJ492" s="532">
        <f t="shared" ca="1" si="367"/>
        <v>0</v>
      </c>
      <c r="CK492" s="532">
        <f t="shared" ca="1" si="355"/>
        <v>0</v>
      </c>
      <c r="CP492" s="536">
        <f t="shared" ca="1" si="356"/>
        <v>2067</v>
      </c>
      <c r="CS492" s="100">
        <f t="shared" si="345"/>
        <v>491</v>
      </c>
      <c r="CT492" s="102">
        <f t="shared" ca="1" si="346"/>
        <v>0</v>
      </c>
      <c r="CU492" s="102">
        <f t="shared" ca="1" si="347"/>
        <v>0</v>
      </c>
      <c r="CV492" s="511">
        <f t="shared" ca="1" si="357"/>
        <v>2067</v>
      </c>
    </row>
    <row r="493" spans="1:100" x14ac:dyDescent="0.3">
      <c r="A493" s="100">
        <v>492</v>
      </c>
      <c r="B493" s="131">
        <f t="shared" si="369"/>
        <v>14120</v>
      </c>
      <c r="C493" s="102">
        <f t="shared" si="370"/>
        <v>0</v>
      </c>
      <c r="D493" s="102">
        <f t="shared" si="371"/>
        <v>0</v>
      </c>
      <c r="E493" s="102">
        <f t="shared" si="372"/>
        <v>0</v>
      </c>
      <c r="F493" s="102">
        <f t="shared" si="373"/>
        <v>0</v>
      </c>
      <c r="L493" s="100">
        <v>492</v>
      </c>
      <c r="M493" s="131">
        <f t="shared" ca="1" si="374"/>
        <v>61140</v>
      </c>
      <c r="N493" s="102">
        <f t="shared" si="375"/>
        <v>0</v>
      </c>
      <c r="O493" s="102">
        <f t="shared" si="376"/>
        <v>0</v>
      </c>
      <c r="P493" s="102">
        <f t="shared" si="377"/>
        <v>0</v>
      </c>
      <c r="Q493" s="102">
        <f t="shared" si="378"/>
        <v>0</v>
      </c>
      <c r="W493" s="100">
        <v>492</v>
      </c>
      <c r="X493" s="131">
        <f t="shared" ca="1" si="379"/>
        <v>61140</v>
      </c>
      <c r="Y493" s="102">
        <f t="shared" si="380"/>
        <v>0</v>
      </c>
      <c r="Z493" s="102">
        <f t="shared" si="381"/>
        <v>0</v>
      </c>
      <c r="AA493" s="102">
        <f t="shared" si="382"/>
        <v>0</v>
      </c>
      <c r="AB493" s="102">
        <f t="shared" si="383"/>
        <v>0</v>
      </c>
      <c r="AH493" s="100">
        <v>492</v>
      </c>
      <c r="AI493" s="131">
        <f t="shared" ca="1" si="384"/>
        <v>61140</v>
      </c>
      <c r="AJ493" s="102">
        <f t="shared" si="385"/>
        <v>0</v>
      </c>
      <c r="AK493" s="102">
        <f t="shared" si="386"/>
        <v>0</v>
      </c>
      <c r="AL493" s="102">
        <f t="shared" si="387"/>
        <v>0</v>
      </c>
      <c r="AM493" s="102">
        <f t="shared" si="388"/>
        <v>0</v>
      </c>
      <c r="AS493" s="530">
        <v>492</v>
      </c>
      <c r="AT493" s="531">
        <f t="shared" ca="1" si="358"/>
        <v>61140</v>
      </c>
      <c r="AU493" s="532">
        <f ca="1">IF(AU492=0,SUMIFS('Key Life Events'!$L$3:$L$28,'Key Life Events'!$H$3:$H$28,'Loan Amortization'!$AY$3,'Key Life Events'!$N$3:$N$28,'Loan Amortization'!AT493),AU492-AX492)</f>
        <v>0</v>
      </c>
      <c r="AV493" s="532">
        <f t="shared" ca="1" si="359"/>
        <v>0</v>
      </c>
      <c r="AW493" s="532">
        <f t="shared" ca="1" si="348"/>
        <v>0</v>
      </c>
      <c r="AX493" s="532">
        <f t="shared" ca="1" si="349"/>
        <v>0</v>
      </c>
      <c r="BC493" s="536">
        <f t="shared" ca="1" si="350"/>
        <v>2067</v>
      </c>
      <c r="BF493" s="530">
        <v>492</v>
      </c>
      <c r="BG493" s="531">
        <f t="shared" ca="1" si="360"/>
        <v>61140</v>
      </c>
      <c r="BH493" s="532">
        <f ca="1">IF(BH492=0,SUMIFS('Key Life Events'!$L$3:$L$28,'Key Life Events'!$H$3:$H$28,'Loan Amortization'!$BL$3,'Key Life Events'!$N$3:$N$28,'Loan Amortization'!BG493),BH492-BK492)</f>
        <v>0</v>
      </c>
      <c r="BI493" s="532">
        <f t="shared" ca="1" si="361"/>
        <v>0</v>
      </c>
      <c r="BJ493" s="532">
        <f t="shared" ca="1" si="362"/>
        <v>0</v>
      </c>
      <c r="BK493" s="532">
        <f t="shared" ca="1" si="351"/>
        <v>0</v>
      </c>
      <c r="BP493" s="536">
        <f t="shared" ca="1" si="352"/>
        <v>2067</v>
      </c>
      <c r="BS493" s="530">
        <v>492</v>
      </c>
      <c r="BT493" s="531">
        <f t="shared" ca="1" si="363"/>
        <v>61140</v>
      </c>
      <c r="BU493" s="532">
        <f ca="1">IF(BU492=0,SUMIFS('Key Life Events'!$L$3:$L$28,'Key Life Events'!$H$3:$H$28,'Loan Amortization'!$BY$3,'Key Life Events'!$N$3:$N$28,'Loan Amortization'!BT493),BU492-BX492)</f>
        <v>0</v>
      </c>
      <c r="BV493" s="532">
        <f t="shared" ca="1" si="368"/>
        <v>0</v>
      </c>
      <c r="BW493" s="532">
        <f t="shared" ca="1" si="364"/>
        <v>0</v>
      </c>
      <c r="BX493" s="532">
        <f t="shared" ca="1" si="353"/>
        <v>0</v>
      </c>
      <c r="CC493" s="536">
        <f t="shared" ca="1" si="354"/>
        <v>2067</v>
      </c>
      <c r="CF493" s="530">
        <v>492</v>
      </c>
      <c r="CG493" s="531">
        <f t="shared" ca="1" si="365"/>
        <v>61140</v>
      </c>
      <c r="CH493" s="532">
        <f ca="1">IF(CH492=0,SUMIFS('Key Life Events'!$L$3:$L$28,'Key Life Events'!$H$3:$H$28,'Loan Amortization'!$CL$3,'Key Life Events'!$N$3:$N$28,'Loan Amortization'!CG493),CH492-CK492)</f>
        <v>0</v>
      </c>
      <c r="CI493" s="532">
        <f t="shared" ca="1" si="366"/>
        <v>0</v>
      </c>
      <c r="CJ493" s="532">
        <f t="shared" ca="1" si="367"/>
        <v>0</v>
      </c>
      <c r="CK493" s="532">
        <f t="shared" ca="1" si="355"/>
        <v>0</v>
      </c>
      <c r="CP493" s="536">
        <f t="shared" ca="1" si="356"/>
        <v>2067</v>
      </c>
      <c r="CS493" s="100">
        <f t="shared" si="345"/>
        <v>492</v>
      </c>
      <c r="CT493" s="102">
        <f t="shared" ca="1" si="346"/>
        <v>0</v>
      </c>
      <c r="CU493" s="102">
        <f t="shared" ca="1" si="347"/>
        <v>0</v>
      </c>
      <c r="CV493" s="511">
        <f t="shared" ca="1" si="357"/>
        <v>2067</v>
      </c>
    </row>
    <row r="494" spans="1:100" x14ac:dyDescent="0.3">
      <c r="A494" s="100">
        <v>493</v>
      </c>
      <c r="B494" s="131">
        <f t="shared" si="369"/>
        <v>14151</v>
      </c>
      <c r="C494" s="102">
        <f t="shared" si="370"/>
        <v>0</v>
      </c>
      <c r="D494" s="102">
        <f t="shared" si="371"/>
        <v>0</v>
      </c>
      <c r="E494" s="102">
        <f t="shared" si="372"/>
        <v>0</v>
      </c>
      <c r="F494" s="102">
        <f t="shared" si="373"/>
        <v>0</v>
      </c>
      <c r="L494" s="100">
        <v>493</v>
      </c>
      <c r="M494" s="131">
        <f t="shared" ca="1" si="374"/>
        <v>61171</v>
      </c>
      <c r="N494" s="102">
        <f t="shared" si="375"/>
        <v>0</v>
      </c>
      <c r="O494" s="102">
        <f t="shared" si="376"/>
        <v>0</v>
      </c>
      <c r="P494" s="102">
        <f t="shared" si="377"/>
        <v>0</v>
      </c>
      <c r="Q494" s="102">
        <f t="shared" si="378"/>
        <v>0</v>
      </c>
      <c r="W494" s="100">
        <v>493</v>
      </c>
      <c r="X494" s="131">
        <f t="shared" ca="1" si="379"/>
        <v>61171</v>
      </c>
      <c r="Y494" s="102">
        <f t="shared" si="380"/>
        <v>0</v>
      </c>
      <c r="Z494" s="102">
        <f t="shared" si="381"/>
        <v>0</v>
      </c>
      <c r="AA494" s="102">
        <f t="shared" si="382"/>
        <v>0</v>
      </c>
      <c r="AB494" s="102">
        <f t="shared" si="383"/>
        <v>0</v>
      </c>
      <c r="AH494" s="100">
        <v>493</v>
      </c>
      <c r="AI494" s="131">
        <f t="shared" ca="1" si="384"/>
        <v>61171</v>
      </c>
      <c r="AJ494" s="102">
        <f t="shared" si="385"/>
        <v>0</v>
      </c>
      <c r="AK494" s="102">
        <f t="shared" si="386"/>
        <v>0</v>
      </c>
      <c r="AL494" s="102">
        <f t="shared" si="387"/>
        <v>0</v>
      </c>
      <c r="AM494" s="102">
        <f t="shared" si="388"/>
        <v>0</v>
      </c>
      <c r="AS494" s="530">
        <v>493</v>
      </c>
      <c r="AT494" s="531">
        <f t="shared" ca="1" si="358"/>
        <v>61171</v>
      </c>
      <c r="AU494" s="532">
        <f ca="1">IF(AU493=0,SUMIFS('Key Life Events'!$L$3:$L$28,'Key Life Events'!$H$3:$H$28,'Loan Amortization'!$AY$3,'Key Life Events'!$N$3:$N$28,'Loan Amortization'!AT494),AU493-AX493)</f>
        <v>0</v>
      </c>
      <c r="AV494" s="532">
        <f t="shared" ca="1" si="359"/>
        <v>0</v>
      </c>
      <c r="AW494" s="532">
        <f t="shared" ca="1" si="348"/>
        <v>0</v>
      </c>
      <c r="AX494" s="532">
        <f t="shared" ca="1" si="349"/>
        <v>0</v>
      </c>
      <c r="BC494" s="536">
        <f t="shared" ca="1" si="350"/>
        <v>2067</v>
      </c>
      <c r="BF494" s="530">
        <v>493</v>
      </c>
      <c r="BG494" s="531">
        <f t="shared" ca="1" si="360"/>
        <v>61171</v>
      </c>
      <c r="BH494" s="532">
        <f ca="1">IF(BH493=0,SUMIFS('Key Life Events'!$L$3:$L$28,'Key Life Events'!$H$3:$H$28,'Loan Amortization'!$BL$3,'Key Life Events'!$N$3:$N$28,'Loan Amortization'!BG494),BH493-BK493)</f>
        <v>0</v>
      </c>
      <c r="BI494" s="532">
        <f t="shared" ca="1" si="361"/>
        <v>0</v>
      </c>
      <c r="BJ494" s="532">
        <f t="shared" ca="1" si="362"/>
        <v>0</v>
      </c>
      <c r="BK494" s="532">
        <f t="shared" ca="1" si="351"/>
        <v>0</v>
      </c>
      <c r="BP494" s="536">
        <f t="shared" ca="1" si="352"/>
        <v>2067</v>
      </c>
      <c r="BS494" s="530">
        <v>493</v>
      </c>
      <c r="BT494" s="531">
        <f t="shared" ca="1" si="363"/>
        <v>61171</v>
      </c>
      <c r="BU494" s="532">
        <f ca="1">IF(BU493=0,SUMIFS('Key Life Events'!$L$3:$L$28,'Key Life Events'!$H$3:$H$28,'Loan Amortization'!$BY$3,'Key Life Events'!$N$3:$N$28,'Loan Amortization'!BT494),BU493-BX493)</f>
        <v>0</v>
      </c>
      <c r="BV494" s="532">
        <f t="shared" ca="1" si="368"/>
        <v>0</v>
      </c>
      <c r="BW494" s="532">
        <f t="shared" ca="1" si="364"/>
        <v>0</v>
      </c>
      <c r="BX494" s="532">
        <f t="shared" ca="1" si="353"/>
        <v>0</v>
      </c>
      <c r="CC494" s="536">
        <f t="shared" ca="1" si="354"/>
        <v>2067</v>
      </c>
      <c r="CF494" s="530">
        <v>493</v>
      </c>
      <c r="CG494" s="531">
        <f t="shared" ca="1" si="365"/>
        <v>61171</v>
      </c>
      <c r="CH494" s="532">
        <f ca="1">IF(CH493=0,SUMIFS('Key Life Events'!$L$3:$L$28,'Key Life Events'!$H$3:$H$28,'Loan Amortization'!$CL$3,'Key Life Events'!$N$3:$N$28,'Loan Amortization'!CG494),CH493-CK493)</f>
        <v>0</v>
      </c>
      <c r="CI494" s="532">
        <f t="shared" ca="1" si="366"/>
        <v>0</v>
      </c>
      <c r="CJ494" s="532">
        <f t="shared" ca="1" si="367"/>
        <v>0</v>
      </c>
      <c r="CK494" s="532">
        <f t="shared" ca="1" si="355"/>
        <v>0</v>
      </c>
      <c r="CP494" s="536">
        <f t="shared" ca="1" si="356"/>
        <v>2067</v>
      </c>
      <c r="CS494" s="100">
        <f t="shared" si="345"/>
        <v>493</v>
      </c>
      <c r="CT494" s="102">
        <f t="shared" ca="1" si="346"/>
        <v>0</v>
      </c>
      <c r="CU494" s="102">
        <f t="shared" ca="1" si="347"/>
        <v>0</v>
      </c>
      <c r="CV494" s="511">
        <f t="shared" ca="1" si="357"/>
        <v>2067</v>
      </c>
    </row>
    <row r="495" spans="1:100" x14ac:dyDescent="0.3">
      <c r="A495" s="100">
        <v>494</v>
      </c>
      <c r="B495" s="131">
        <f t="shared" si="369"/>
        <v>14181</v>
      </c>
      <c r="C495" s="102">
        <f t="shared" si="370"/>
        <v>0</v>
      </c>
      <c r="D495" s="102">
        <f t="shared" si="371"/>
        <v>0</v>
      </c>
      <c r="E495" s="102">
        <f t="shared" si="372"/>
        <v>0</v>
      </c>
      <c r="F495" s="102">
        <f t="shared" si="373"/>
        <v>0</v>
      </c>
      <c r="L495" s="100">
        <v>494</v>
      </c>
      <c r="M495" s="131">
        <f t="shared" ca="1" si="374"/>
        <v>61201</v>
      </c>
      <c r="N495" s="102">
        <f t="shared" si="375"/>
        <v>0</v>
      </c>
      <c r="O495" s="102">
        <f t="shared" si="376"/>
        <v>0</v>
      </c>
      <c r="P495" s="102">
        <f t="shared" si="377"/>
        <v>0</v>
      </c>
      <c r="Q495" s="102">
        <f t="shared" si="378"/>
        <v>0</v>
      </c>
      <c r="W495" s="100">
        <v>494</v>
      </c>
      <c r="X495" s="131">
        <f t="shared" ca="1" si="379"/>
        <v>61201</v>
      </c>
      <c r="Y495" s="102">
        <f t="shared" si="380"/>
        <v>0</v>
      </c>
      <c r="Z495" s="102">
        <f t="shared" si="381"/>
        <v>0</v>
      </c>
      <c r="AA495" s="102">
        <f t="shared" si="382"/>
        <v>0</v>
      </c>
      <c r="AB495" s="102">
        <f t="shared" si="383"/>
        <v>0</v>
      </c>
      <c r="AH495" s="100">
        <v>494</v>
      </c>
      <c r="AI495" s="131">
        <f t="shared" ca="1" si="384"/>
        <v>61201</v>
      </c>
      <c r="AJ495" s="102">
        <f t="shared" si="385"/>
        <v>0</v>
      </c>
      <c r="AK495" s="102">
        <f t="shared" si="386"/>
        <v>0</v>
      </c>
      <c r="AL495" s="102">
        <f t="shared" si="387"/>
        <v>0</v>
      </c>
      <c r="AM495" s="102">
        <f t="shared" si="388"/>
        <v>0</v>
      </c>
      <c r="AS495" s="530">
        <v>494</v>
      </c>
      <c r="AT495" s="531">
        <f t="shared" ca="1" si="358"/>
        <v>61201</v>
      </c>
      <c r="AU495" s="532">
        <f ca="1">IF(AU494=0,SUMIFS('Key Life Events'!$L$3:$L$28,'Key Life Events'!$H$3:$H$28,'Loan Amortization'!$AY$3,'Key Life Events'!$N$3:$N$28,'Loan Amortization'!AT495),AU494-AX494)</f>
        <v>0</v>
      </c>
      <c r="AV495" s="532">
        <f t="shared" ca="1" si="359"/>
        <v>0</v>
      </c>
      <c r="AW495" s="532">
        <f t="shared" ca="1" si="348"/>
        <v>0</v>
      </c>
      <c r="AX495" s="532">
        <f t="shared" ca="1" si="349"/>
        <v>0</v>
      </c>
      <c r="BC495" s="536">
        <f t="shared" ca="1" si="350"/>
        <v>2067</v>
      </c>
      <c r="BF495" s="530">
        <v>494</v>
      </c>
      <c r="BG495" s="531">
        <f t="shared" ca="1" si="360"/>
        <v>61201</v>
      </c>
      <c r="BH495" s="532">
        <f ca="1">IF(BH494=0,SUMIFS('Key Life Events'!$L$3:$L$28,'Key Life Events'!$H$3:$H$28,'Loan Amortization'!$BL$3,'Key Life Events'!$N$3:$N$28,'Loan Amortization'!BG495),BH494-BK494)</f>
        <v>0</v>
      </c>
      <c r="BI495" s="532">
        <f t="shared" ca="1" si="361"/>
        <v>0</v>
      </c>
      <c r="BJ495" s="532">
        <f t="shared" ca="1" si="362"/>
        <v>0</v>
      </c>
      <c r="BK495" s="532">
        <f t="shared" ca="1" si="351"/>
        <v>0</v>
      </c>
      <c r="BP495" s="536">
        <f t="shared" ca="1" si="352"/>
        <v>2067</v>
      </c>
      <c r="BS495" s="530">
        <v>494</v>
      </c>
      <c r="BT495" s="531">
        <f t="shared" ca="1" si="363"/>
        <v>61201</v>
      </c>
      <c r="BU495" s="532">
        <f ca="1">IF(BU494=0,SUMIFS('Key Life Events'!$L$3:$L$28,'Key Life Events'!$H$3:$H$28,'Loan Amortization'!$BY$3,'Key Life Events'!$N$3:$N$28,'Loan Amortization'!BT495),BU494-BX494)</f>
        <v>0</v>
      </c>
      <c r="BV495" s="532">
        <f t="shared" ca="1" si="368"/>
        <v>0</v>
      </c>
      <c r="BW495" s="532">
        <f t="shared" ca="1" si="364"/>
        <v>0</v>
      </c>
      <c r="BX495" s="532">
        <f t="shared" ca="1" si="353"/>
        <v>0</v>
      </c>
      <c r="CC495" s="536">
        <f t="shared" ca="1" si="354"/>
        <v>2067</v>
      </c>
      <c r="CF495" s="530">
        <v>494</v>
      </c>
      <c r="CG495" s="531">
        <f t="shared" ca="1" si="365"/>
        <v>61201</v>
      </c>
      <c r="CH495" s="532">
        <f ca="1">IF(CH494=0,SUMIFS('Key Life Events'!$L$3:$L$28,'Key Life Events'!$H$3:$H$28,'Loan Amortization'!$CL$3,'Key Life Events'!$N$3:$N$28,'Loan Amortization'!CG495),CH494-CK494)</f>
        <v>0</v>
      </c>
      <c r="CI495" s="532">
        <f t="shared" ca="1" si="366"/>
        <v>0</v>
      </c>
      <c r="CJ495" s="532">
        <f t="shared" ca="1" si="367"/>
        <v>0</v>
      </c>
      <c r="CK495" s="532">
        <f t="shared" ca="1" si="355"/>
        <v>0</v>
      </c>
      <c r="CP495" s="536">
        <f t="shared" ca="1" si="356"/>
        <v>2067</v>
      </c>
      <c r="CS495" s="100">
        <f t="shared" si="345"/>
        <v>494</v>
      </c>
      <c r="CT495" s="102">
        <f t="shared" ca="1" si="346"/>
        <v>0</v>
      </c>
      <c r="CU495" s="102">
        <f t="shared" ca="1" si="347"/>
        <v>0</v>
      </c>
      <c r="CV495" s="511">
        <f t="shared" ca="1" si="357"/>
        <v>2067</v>
      </c>
    </row>
    <row r="496" spans="1:100" x14ac:dyDescent="0.3">
      <c r="A496" s="100">
        <v>495</v>
      </c>
      <c r="B496" s="131">
        <f t="shared" si="369"/>
        <v>14212</v>
      </c>
      <c r="C496" s="102">
        <f t="shared" si="370"/>
        <v>0</v>
      </c>
      <c r="D496" s="102">
        <f t="shared" si="371"/>
        <v>0</v>
      </c>
      <c r="E496" s="102">
        <f t="shared" si="372"/>
        <v>0</v>
      </c>
      <c r="F496" s="102">
        <f t="shared" si="373"/>
        <v>0</v>
      </c>
      <c r="L496" s="100">
        <v>495</v>
      </c>
      <c r="M496" s="131">
        <f t="shared" ca="1" si="374"/>
        <v>61232</v>
      </c>
      <c r="N496" s="102">
        <f t="shared" si="375"/>
        <v>0</v>
      </c>
      <c r="O496" s="102">
        <f t="shared" si="376"/>
        <v>0</v>
      </c>
      <c r="P496" s="102">
        <f t="shared" si="377"/>
        <v>0</v>
      </c>
      <c r="Q496" s="102">
        <f t="shared" si="378"/>
        <v>0</v>
      </c>
      <c r="W496" s="100">
        <v>495</v>
      </c>
      <c r="X496" s="131">
        <f t="shared" ca="1" si="379"/>
        <v>61232</v>
      </c>
      <c r="Y496" s="102">
        <f t="shared" si="380"/>
        <v>0</v>
      </c>
      <c r="Z496" s="102">
        <f t="shared" si="381"/>
        <v>0</v>
      </c>
      <c r="AA496" s="102">
        <f t="shared" si="382"/>
        <v>0</v>
      </c>
      <c r="AB496" s="102">
        <f t="shared" si="383"/>
        <v>0</v>
      </c>
      <c r="AH496" s="100">
        <v>495</v>
      </c>
      <c r="AI496" s="131">
        <f t="shared" ca="1" si="384"/>
        <v>61232</v>
      </c>
      <c r="AJ496" s="102">
        <f t="shared" si="385"/>
        <v>0</v>
      </c>
      <c r="AK496" s="102">
        <f t="shared" si="386"/>
        <v>0</v>
      </c>
      <c r="AL496" s="102">
        <f t="shared" si="387"/>
        <v>0</v>
      </c>
      <c r="AM496" s="102">
        <f t="shared" si="388"/>
        <v>0</v>
      </c>
      <c r="AS496" s="530">
        <v>495</v>
      </c>
      <c r="AT496" s="531">
        <f t="shared" ca="1" si="358"/>
        <v>61232</v>
      </c>
      <c r="AU496" s="532">
        <f ca="1">IF(AU495=0,SUMIFS('Key Life Events'!$L$3:$L$28,'Key Life Events'!$H$3:$H$28,'Loan Amortization'!$AY$3,'Key Life Events'!$N$3:$N$28,'Loan Amortization'!AT496),AU495-AX495)</f>
        <v>0</v>
      </c>
      <c r="AV496" s="532">
        <f t="shared" ca="1" si="359"/>
        <v>0</v>
      </c>
      <c r="AW496" s="532">
        <f t="shared" ca="1" si="348"/>
        <v>0</v>
      </c>
      <c r="AX496" s="532">
        <f t="shared" ca="1" si="349"/>
        <v>0</v>
      </c>
      <c r="BC496" s="536">
        <f t="shared" ca="1" si="350"/>
        <v>2067</v>
      </c>
      <c r="BF496" s="530">
        <v>495</v>
      </c>
      <c r="BG496" s="531">
        <f t="shared" ca="1" si="360"/>
        <v>61232</v>
      </c>
      <c r="BH496" s="532">
        <f ca="1">IF(BH495=0,SUMIFS('Key Life Events'!$L$3:$L$28,'Key Life Events'!$H$3:$H$28,'Loan Amortization'!$BL$3,'Key Life Events'!$N$3:$N$28,'Loan Amortization'!BG496),BH495-BK495)</f>
        <v>0</v>
      </c>
      <c r="BI496" s="532">
        <f t="shared" ca="1" si="361"/>
        <v>0</v>
      </c>
      <c r="BJ496" s="532">
        <f t="shared" ca="1" si="362"/>
        <v>0</v>
      </c>
      <c r="BK496" s="532">
        <f t="shared" ca="1" si="351"/>
        <v>0</v>
      </c>
      <c r="BP496" s="536">
        <f t="shared" ca="1" si="352"/>
        <v>2067</v>
      </c>
      <c r="BS496" s="530">
        <v>495</v>
      </c>
      <c r="BT496" s="531">
        <f t="shared" ca="1" si="363"/>
        <v>61232</v>
      </c>
      <c r="BU496" s="532">
        <f ca="1">IF(BU495=0,SUMIFS('Key Life Events'!$L$3:$L$28,'Key Life Events'!$H$3:$H$28,'Loan Amortization'!$BY$3,'Key Life Events'!$N$3:$N$28,'Loan Amortization'!BT496),BU495-BX495)</f>
        <v>0</v>
      </c>
      <c r="BV496" s="532">
        <f t="shared" ca="1" si="368"/>
        <v>0</v>
      </c>
      <c r="BW496" s="532">
        <f t="shared" ca="1" si="364"/>
        <v>0</v>
      </c>
      <c r="BX496" s="532">
        <f t="shared" ca="1" si="353"/>
        <v>0</v>
      </c>
      <c r="CC496" s="536">
        <f t="shared" ca="1" si="354"/>
        <v>2067</v>
      </c>
      <c r="CF496" s="530">
        <v>495</v>
      </c>
      <c r="CG496" s="531">
        <f t="shared" ca="1" si="365"/>
        <v>61232</v>
      </c>
      <c r="CH496" s="532">
        <f ca="1">IF(CH495=0,SUMIFS('Key Life Events'!$L$3:$L$28,'Key Life Events'!$H$3:$H$28,'Loan Amortization'!$CL$3,'Key Life Events'!$N$3:$N$28,'Loan Amortization'!CG496),CH495-CK495)</f>
        <v>0</v>
      </c>
      <c r="CI496" s="532">
        <f t="shared" ca="1" si="366"/>
        <v>0</v>
      </c>
      <c r="CJ496" s="532">
        <f t="shared" ca="1" si="367"/>
        <v>0</v>
      </c>
      <c r="CK496" s="532">
        <f t="shared" ca="1" si="355"/>
        <v>0</v>
      </c>
      <c r="CP496" s="536">
        <f t="shared" ca="1" si="356"/>
        <v>2067</v>
      </c>
      <c r="CS496" s="100">
        <f t="shared" si="345"/>
        <v>495</v>
      </c>
      <c r="CT496" s="102">
        <f t="shared" ca="1" si="346"/>
        <v>0</v>
      </c>
      <c r="CU496" s="102">
        <f t="shared" ca="1" si="347"/>
        <v>0</v>
      </c>
      <c r="CV496" s="511">
        <f t="shared" ca="1" si="357"/>
        <v>2067</v>
      </c>
    </row>
    <row r="497" spans="1:100" x14ac:dyDescent="0.3">
      <c r="A497" s="100">
        <v>496</v>
      </c>
      <c r="B497" s="131">
        <f t="shared" si="369"/>
        <v>14242</v>
      </c>
      <c r="C497" s="102">
        <f t="shared" si="370"/>
        <v>0</v>
      </c>
      <c r="D497" s="102">
        <f t="shared" si="371"/>
        <v>0</v>
      </c>
      <c r="E497" s="102">
        <f t="shared" si="372"/>
        <v>0</v>
      </c>
      <c r="F497" s="102">
        <f t="shared" si="373"/>
        <v>0</v>
      </c>
      <c r="L497" s="100">
        <v>496</v>
      </c>
      <c r="M497" s="131">
        <f t="shared" ca="1" si="374"/>
        <v>61263</v>
      </c>
      <c r="N497" s="102">
        <f t="shared" si="375"/>
        <v>0</v>
      </c>
      <c r="O497" s="102">
        <f t="shared" si="376"/>
        <v>0</v>
      </c>
      <c r="P497" s="102">
        <f t="shared" si="377"/>
        <v>0</v>
      </c>
      <c r="Q497" s="102">
        <f t="shared" si="378"/>
        <v>0</v>
      </c>
      <c r="W497" s="100">
        <v>496</v>
      </c>
      <c r="X497" s="131">
        <f t="shared" ca="1" si="379"/>
        <v>61263</v>
      </c>
      <c r="Y497" s="102">
        <f t="shared" si="380"/>
        <v>0</v>
      </c>
      <c r="Z497" s="102">
        <f t="shared" si="381"/>
        <v>0</v>
      </c>
      <c r="AA497" s="102">
        <f t="shared" si="382"/>
        <v>0</v>
      </c>
      <c r="AB497" s="102">
        <f t="shared" si="383"/>
        <v>0</v>
      </c>
      <c r="AH497" s="100">
        <v>496</v>
      </c>
      <c r="AI497" s="131">
        <f t="shared" ca="1" si="384"/>
        <v>61263</v>
      </c>
      <c r="AJ497" s="102">
        <f t="shared" si="385"/>
        <v>0</v>
      </c>
      <c r="AK497" s="102">
        <f t="shared" si="386"/>
        <v>0</v>
      </c>
      <c r="AL497" s="102">
        <f t="shared" si="387"/>
        <v>0</v>
      </c>
      <c r="AM497" s="102">
        <f t="shared" si="388"/>
        <v>0</v>
      </c>
      <c r="AS497" s="530">
        <v>496</v>
      </c>
      <c r="AT497" s="531">
        <f t="shared" ca="1" si="358"/>
        <v>61263</v>
      </c>
      <c r="AU497" s="532">
        <f ca="1">IF(AU496=0,SUMIFS('Key Life Events'!$L$3:$L$28,'Key Life Events'!$H$3:$H$28,'Loan Amortization'!$AY$3,'Key Life Events'!$N$3:$N$28,'Loan Amortization'!AT497),AU496-AX496)</f>
        <v>0</v>
      </c>
      <c r="AV497" s="532">
        <f t="shared" ca="1" si="359"/>
        <v>0</v>
      </c>
      <c r="AW497" s="532">
        <f t="shared" ca="1" si="348"/>
        <v>0</v>
      </c>
      <c r="AX497" s="532">
        <f t="shared" ca="1" si="349"/>
        <v>0</v>
      </c>
      <c r="BC497" s="536">
        <f t="shared" ca="1" si="350"/>
        <v>2067</v>
      </c>
      <c r="BF497" s="530">
        <v>496</v>
      </c>
      <c r="BG497" s="531">
        <f t="shared" ca="1" si="360"/>
        <v>61263</v>
      </c>
      <c r="BH497" s="532">
        <f ca="1">IF(BH496=0,SUMIFS('Key Life Events'!$L$3:$L$28,'Key Life Events'!$H$3:$H$28,'Loan Amortization'!$BL$3,'Key Life Events'!$N$3:$N$28,'Loan Amortization'!BG497),BH496-BK496)</f>
        <v>0</v>
      </c>
      <c r="BI497" s="532">
        <f t="shared" ca="1" si="361"/>
        <v>0</v>
      </c>
      <c r="BJ497" s="532">
        <f t="shared" ca="1" si="362"/>
        <v>0</v>
      </c>
      <c r="BK497" s="532">
        <f t="shared" ca="1" si="351"/>
        <v>0</v>
      </c>
      <c r="BP497" s="536">
        <f t="shared" ca="1" si="352"/>
        <v>2067</v>
      </c>
      <c r="BS497" s="530">
        <v>496</v>
      </c>
      <c r="BT497" s="531">
        <f t="shared" ca="1" si="363"/>
        <v>61263</v>
      </c>
      <c r="BU497" s="532">
        <f ca="1">IF(BU496=0,SUMIFS('Key Life Events'!$L$3:$L$28,'Key Life Events'!$H$3:$H$28,'Loan Amortization'!$BY$3,'Key Life Events'!$N$3:$N$28,'Loan Amortization'!BT497),BU496-BX496)</f>
        <v>0</v>
      </c>
      <c r="BV497" s="532">
        <f t="shared" ca="1" si="368"/>
        <v>0</v>
      </c>
      <c r="BW497" s="532">
        <f t="shared" ca="1" si="364"/>
        <v>0</v>
      </c>
      <c r="BX497" s="532">
        <f t="shared" ca="1" si="353"/>
        <v>0</v>
      </c>
      <c r="CC497" s="536">
        <f t="shared" ca="1" si="354"/>
        <v>2067</v>
      </c>
      <c r="CF497" s="530">
        <v>496</v>
      </c>
      <c r="CG497" s="531">
        <f t="shared" ca="1" si="365"/>
        <v>61263</v>
      </c>
      <c r="CH497" s="532">
        <f ca="1">IF(CH496=0,SUMIFS('Key Life Events'!$L$3:$L$28,'Key Life Events'!$H$3:$H$28,'Loan Amortization'!$CL$3,'Key Life Events'!$N$3:$N$28,'Loan Amortization'!CG497),CH496-CK496)</f>
        <v>0</v>
      </c>
      <c r="CI497" s="532">
        <f t="shared" ca="1" si="366"/>
        <v>0</v>
      </c>
      <c r="CJ497" s="532">
        <f t="shared" ca="1" si="367"/>
        <v>0</v>
      </c>
      <c r="CK497" s="532">
        <f t="shared" ca="1" si="355"/>
        <v>0</v>
      </c>
      <c r="CP497" s="536">
        <f t="shared" ca="1" si="356"/>
        <v>2067</v>
      </c>
      <c r="CS497" s="100">
        <f t="shared" si="345"/>
        <v>496</v>
      </c>
      <c r="CT497" s="102">
        <f t="shared" ca="1" si="346"/>
        <v>0</v>
      </c>
      <c r="CU497" s="102">
        <f t="shared" ca="1" si="347"/>
        <v>0</v>
      </c>
      <c r="CV497" s="511">
        <f t="shared" ca="1" si="357"/>
        <v>2067</v>
      </c>
    </row>
    <row r="498" spans="1:100" x14ac:dyDescent="0.3">
      <c r="A498" s="100">
        <v>497</v>
      </c>
      <c r="B498" s="131">
        <f t="shared" si="369"/>
        <v>14273</v>
      </c>
      <c r="C498" s="102">
        <f t="shared" si="370"/>
        <v>0</v>
      </c>
      <c r="D498" s="102">
        <f t="shared" si="371"/>
        <v>0</v>
      </c>
      <c r="E498" s="102">
        <f t="shared" si="372"/>
        <v>0</v>
      </c>
      <c r="F498" s="102">
        <f t="shared" si="373"/>
        <v>0</v>
      </c>
      <c r="L498" s="100">
        <v>497</v>
      </c>
      <c r="M498" s="131">
        <f t="shared" ca="1" si="374"/>
        <v>61293</v>
      </c>
      <c r="N498" s="102">
        <f t="shared" si="375"/>
        <v>0</v>
      </c>
      <c r="O498" s="102">
        <f t="shared" si="376"/>
        <v>0</v>
      </c>
      <c r="P498" s="102">
        <f t="shared" si="377"/>
        <v>0</v>
      </c>
      <c r="Q498" s="102">
        <f t="shared" si="378"/>
        <v>0</v>
      </c>
      <c r="W498" s="100">
        <v>497</v>
      </c>
      <c r="X498" s="131">
        <f t="shared" ca="1" si="379"/>
        <v>61293</v>
      </c>
      <c r="Y498" s="102">
        <f t="shared" si="380"/>
        <v>0</v>
      </c>
      <c r="Z498" s="102">
        <f t="shared" si="381"/>
        <v>0</v>
      </c>
      <c r="AA498" s="102">
        <f t="shared" si="382"/>
        <v>0</v>
      </c>
      <c r="AB498" s="102">
        <f t="shared" si="383"/>
        <v>0</v>
      </c>
      <c r="AH498" s="100">
        <v>497</v>
      </c>
      <c r="AI498" s="131">
        <f t="shared" ca="1" si="384"/>
        <v>61293</v>
      </c>
      <c r="AJ498" s="102">
        <f t="shared" si="385"/>
        <v>0</v>
      </c>
      <c r="AK498" s="102">
        <f t="shared" si="386"/>
        <v>0</v>
      </c>
      <c r="AL498" s="102">
        <f t="shared" si="387"/>
        <v>0</v>
      </c>
      <c r="AM498" s="102">
        <f t="shared" si="388"/>
        <v>0</v>
      </c>
      <c r="AS498" s="530">
        <v>497</v>
      </c>
      <c r="AT498" s="531">
        <f t="shared" ca="1" si="358"/>
        <v>61293</v>
      </c>
      <c r="AU498" s="532">
        <f ca="1">IF(AU497=0,SUMIFS('Key Life Events'!$L$3:$L$28,'Key Life Events'!$H$3:$H$28,'Loan Amortization'!$AY$3,'Key Life Events'!$N$3:$N$28,'Loan Amortization'!AT498),AU497-AX497)</f>
        <v>0</v>
      </c>
      <c r="AV498" s="532">
        <f t="shared" ca="1" si="359"/>
        <v>0</v>
      </c>
      <c r="AW498" s="532">
        <f t="shared" ca="1" si="348"/>
        <v>0</v>
      </c>
      <c r="AX498" s="532">
        <f t="shared" ca="1" si="349"/>
        <v>0</v>
      </c>
      <c r="BC498" s="536">
        <f t="shared" ca="1" si="350"/>
        <v>2067</v>
      </c>
      <c r="BF498" s="530">
        <v>497</v>
      </c>
      <c r="BG498" s="531">
        <f t="shared" ca="1" si="360"/>
        <v>61293</v>
      </c>
      <c r="BH498" s="532">
        <f ca="1">IF(BH497=0,SUMIFS('Key Life Events'!$L$3:$L$28,'Key Life Events'!$H$3:$H$28,'Loan Amortization'!$BL$3,'Key Life Events'!$N$3:$N$28,'Loan Amortization'!BG498),BH497-BK497)</f>
        <v>0</v>
      </c>
      <c r="BI498" s="532">
        <f t="shared" ca="1" si="361"/>
        <v>0</v>
      </c>
      <c r="BJ498" s="532">
        <f t="shared" ca="1" si="362"/>
        <v>0</v>
      </c>
      <c r="BK498" s="532">
        <f t="shared" ca="1" si="351"/>
        <v>0</v>
      </c>
      <c r="BP498" s="536">
        <f t="shared" ca="1" si="352"/>
        <v>2067</v>
      </c>
      <c r="BS498" s="530">
        <v>497</v>
      </c>
      <c r="BT498" s="531">
        <f t="shared" ca="1" si="363"/>
        <v>61293</v>
      </c>
      <c r="BU498" s="532">
        <f ca="1">IF(BU497=0,SUMIFS('Key Life Events'!$L$3:$L$28,'Key Life Events'!$H$3:$H$28,'Loan Amortization'!$BY$3,'Key Life Events'!$N$3:$N$28,'Loan Amortization'!BT498),BU497-BX497)</f>
        <v>0</v>
      </c>
      <c r="BV498" s="532">
        <f t="shared" ca="1" si="368"/>
        <v>0</v>
      </c>
      <c r="BW498" s="532">
        <f t="shared" ca="1" si="364"/>
        <v>0</v>
      </c>
      <c r="BX498" s="532">
        <f t="shared" ca="1" si="353"/>
        <v>0</v>
      </c>
      <c r="CC498" s="536">
        <f t="shared" ca="1" si="354"/>
        <v>2067</v>
      </c>
      <c r="CF498" s="530">
        <v>497</v>
      </c>
      <c r="CG498" s="531">
        <f t="shared" ca="1" si="365"/>
        <v>61293</v>
      </c>
      <c r="CH498" s="532">
        <f ca="1">IF(CH497=0,SUMIFS('Key Life Events'!$L$3:$L$28,'Key Life Events'!$H$3:$H$28,'Loan Amortization'!$CL$3,'Key Life Events'!$N$3:$N$28,'Loan Amortization'!CG498),CH497-CK497)</f>
        <v>0</v>
      </c>
      <c r="CI498" s="532">
        <f t="shared" ca="1" si="366"/>
        <v>0</v>
      </c>
      <c r="CJ498" s="532">
        <f t="shared" ca="1" si="367"/>
        <v>0</v>
      </c>
      <c r="CK498" s="532">
        <f t="shared" ca="1" si="355"/>
        <v>0</v>
      </c>
      <c r="CP498" s="536">
        <f t="shared" ca="1" si="356"/>
        <v>2067</v>
      </c>
      <c r="CS498" s="100">
        <f t="shared" si="345"/>
        <v>497</v>
      </c>
      <c r="CT498" s="102">
        <f t="shared" ca="1" si="346"/>
        <v>0</v>
      </c>
      <c r="CU498" s="102">
        <f t="shared" ca="1" si="347"/>
        <v>0</v>
      </c>
      <c r="CV498" s="511">
        <f t="shared" ca="1" si="357"/>
        <v>2067</v>
      </c>
    </row>
    <row r="499" spans="1:100" x14ac:dyDescent="0.3">
      <c r="A499" s="100">
        <v>498</v>
      </c>
      <c r="B499" s="131">
        <f t="shared" si="369"/>
        <v>14304</v>
      </c>
      <c r="C499" s="102">
        <f t="shared" si="370"/>
        <v>0</v>
      </c>
      <c r="D499" s="102">
        <f t="shared" si="371"/>
        <v>0</v>
      </c>
      <c r="E499" s="102">
        <f t="shared" si="372"/>
        <v>0</v>
      </c>
      <c r="F499" s="102">
        <f t="shared" si="373"/>
        <v>0</v>
      </c>
      <c r="L499" s="100">
        <v>498</v>
      </c>
      <c r="M499" s="131">
        <f t="shared" ca="1" si="374"/>
        <v>61324</v>
      </c>
      <c r="N499" s="102">
        <f t="shared" si="375"/>
        <v>0</v>
      </c>
      <c r="O499" s="102">
        <f t="shared" si="376"/>
        <v>0</v>
      </c>
      <c r="P499" s="102">
        <f t="shared" si="377"/>
        <v>0</v>
      </c>
      <c r="Q499" s="102">
        <f t="shared" si="378"/>
        <v>0</v>
      </c>
      <c r="W499" s="100">
        <v>498</v>
      </c>
      <c r="X499" s="131">
        <f t="shared" ca="1" si="379"/>
        <v>61324</v>
      </c>
      <c r="Y499" s="102">
        <f t="shared" si="380"/>
        <v>0</v>
      </c>
      <c r="Z499" s="102">
        <f t="shared" si="381"/>
        <v>0</v>
      </c>
      <c r="AA499" s="102">
        <f t="shared" si="382"/>
        <v>0</v>
      </c>
      <c r="AB499" s="102">
        <f t="shared" si="383"/>
        <v>0</v>
      </c>
      <c r="AH499" s="100">
        <v>498</v>
      </c>
      <c r="AI499" s="131">
        <f t="shared" ca="1" si="384"/>
        <v>61324</v>
      </c>
      <c r="AJ499" s="102">
        <f t="shared" si="385"/>
        <v>0</v>
      </c>
      <c r="AK499" s="102">
        <f t="shared" si="386"/>
        <v>0</v>
      </c>
      <c r="AL499" s="102">
        <f t="shared" si="387"/>
        <v>0</v>
      </c>
      <c r="AM499" s="102">
        <f t="shared" si="388"/>
        <v>0</v>
      </c>
      <c r="AS499" s="530">
        <v>498</v>
      </c>
      <c r="AT499" s="531">
        <f t="shared" ca="1" si="358"/>
        <v>61324</v>
      </c>
      <c r="AU499" s="532">
        <f ca="1">IF(AU498=0,SUMIFS('Key Life Events'!$L$3:$L$28,'Key Life Events'!$H$3:$H$28,'Loan Amortization'!$AY$3,'Key Life Events'!$N$3:$N$28,'Loan Amortization'!AT499),AU498-AX498)</f>
        <v>0</v>
      </c>
      <c r="AV499" s="532">
        <f t="shared" ca="1" si="359"/>
        <v>0</v>
      </c>
      <c r="AW499" s="532">
        <f t="shared" ca="1" si="348"/>
        <v>0</v>
      </c>
      <c r="AX499" s="532">
        <f t="shared" ca="1" si="349"/>
        <v>0</v>
      </c>
      <c r="BC499" s="536">
        <f t="shared" ca="1" si="350"/>
        <v>2067</v>
      </c>
      <c r="BF499" s="530">
        <v>498</v>
      </c>
      <c r="BG499" s="531">
        <f t="shared" ca="1" si="360"/>
        <v>61324</v>
      </c>
      <c r="BH499" s="532">
        <f ca="1">IF(BH498=0,SUMIFS('Key Life Events'!$L$3:$L$28,'Key Life Events'!$H$3:$H$28,'Loan Amortization'!$BL$3,'Key Life Events'!$N$3:$N$28,'Loan Amortization'!BG499),BH498-BK498)</f>
        <v>0</v>
      </c>
      <c r="BI499" s="532">
        <f t="shared" ca="1" si="361"/>
        <v>0</v>
      </c>
      <c r="BJ499" s="532">
        <f t="shared" ca="1" si="362"/>
        <v>0</v>
      </c>
      <c r="BK499" s="532">
        <f t="shared" ca="1" si="351"/>
        <v>0</v>
      </c>
      <c r="BP499" s="536">
        <f t="shared" ca="1" si="352"/>
        <v>2067</v>
      </c>
      <c r="BS499" s="530">
        <v>498</v>
      </c>
      <c r="BT499" s="531">
        <f t="shared" ca="1" si="363"/>
        <v>61324</v>
      </c>
      <c r="BU499" s="532">
        <f ca="1">IF(BU498=0,SUMIFS('Key Life Events'!$L$3:$L$28,'Key Life Events'!$H$3:$H$28,'Loan Amortization'!$BY$3,'Key Life Events'!$N$3:$N$28,'Loan Amortization'!BT499),BU498-BX498)</f>
        <v>0</v>
      </c>
      <c r="BV499" s="532">
        <f t="shared" ca="1" si="368"/>
        <v>0</v>
      </c>
      <c r="BW499" s="532">
        <f t="shared" ca="1" si="364"/>
        <v>0</v>
      </c>
      <c r="BX499" s="532">
        <f t="shared" ca="1" si="353"/>
        <v>0</v>
      </c>
      <c r="CC499" s="536">
        <f t="shared" ca="1" si="354"/>
        <v>2067</v>
      </c>
      <c r="CF499" s="530">
        <v>498</v>
      </c>
      <c r="CG499" s="531">
        <f t="shared" ca="1" si="365"/>
        <v>61324</v>
      </c>
      <c r="CH499" s="532">
        <f ca="1">IF(CH498=0,SUMIFS('Key Life Events'!$L$3:$L$28,'Key Life Events'!$H$3:$H$28,'Loan Amortization'!$CL$3,'Key Life Events'!$N$3:$N$28,'Loan Amortization'!CG499),CH498-CK498)</f>
        <v>0</v>
      </c>
      <c r="CI499" s="532">
        <f t="shared" ca="1" si="366"/>
        <v>0</v>
      </c>
      <c r="CJ499" s="532">
        <f t="shared" ca="1" si="367"/>
        <v>0</v>
      </c>
      <c r="CK499" s="532">
        <f t="shared" ca="1" si="355"/>
        <v>0</v>
      </c>
      <c r="CP499" s="536">
        <f t="shared" ca="1" si="356"/>
        <v>2067</v>
      </c>
      <c r="CS499" s="100">
        <f t="shared" si="345"/>
        <v>498</v>
      </c>
      <c r="CT499" s="102">
        <f t="shared" ca="1" si="346"/>
        <v>0</v>
      </c>
      <c r="CU499" s="102">
        <f t="shared" ca="1" si="347"/>
        <v>0</v>
      </c>
      <c r="CV499" s="511">
        <f t="shared" ca="1" si="357"/>
        <v>2067</v>
      </c>
    </row>
    <row r="500" spans="1:100" x14ac:dyDescent="0.3">
      <c r="A500" s="100">
        <v>499</v>
      </c>
      <c r="B500" s="131">
        <f t="shared" si="369"/>
        <v>14332</v>
      </c>
      <c r="C500" s="102">
        <f t="shared" si="370"/>
        <v>0</v>
      </c>
      <c r="D500" s="102">
        <f t="shared" si="371"/>
        <v>0</v>
      </c>
      <c r="E500" s="102">
        <f t="shared" si="372"/>
        <v>0</v>
      </c>
      <c r="F500" s="102">
        <f t="shared" si="373"/>
        <v>0</v>
      </c>
      <c r="L500" s="100">
        <v>499</v>
      </c>
      <c r="M500" s="131">
        <f t="shared" ca="1" si="374"/>
        <v>61354</v>
      </c>
      <c r="N500" s="102">
        <f t="shared" si="375"/>
        <v>0</v>
      </c>
      <c r="O500" s="102">
        <f t="shared" si="376"/>
        <v>0</v>
      </c>
      <c r="P500" s="102">
        <f t="shared" si="377"/>
        <v>0</v>
      </c>
      <c r="Q500" s="102">
        <f t="shared" si="378"/>
        <v>0</v>
      </c>
      <c r="W500" s="100">
        <v>499</v>
      </c>
      <c r="X500" s="131">
        <f t="shared" ca="1" si="379"/>
        <v>61354</v>
      </c>
      <c r="Y500" s="102">
        <f t="shared" si="380"/>
        <v>0</v>
      </c>
      <c r="Z500" s="102">
        <f t="shared" si="381"/>
        <v>0</v>
      </c>
      <c r="AA500" s="102">
        <f t="shared" si="382"/>
        <v>0</v>
      </c>
      <c r="AB500" s="102">
        <f t="shared" si="383"/>
        <v>0</v>
      </c>
      <c r="AH500" s="100">
        <v>499</v>
      </c>
      <c r="AI500" s="131">
        <f t="shared" ca="1" si="384"/>
        <v>61354</v>
      </c>
      <c r="AJ500" s="102">
        <f t="shared" si="385"/>
        <v>0</v>
      </c>
      <c r="AK500" s="102">
        <f t="shared" si="386"/>
        <v>0</v>
      </c>
      <c r="AL500" s="102">
        <f t="shared" si="387"/>
        <v>0</v>
      </c>
      <c r="AM500" s="102">
        <f t="shared" si="388"/>
        <v>0</v>
      </c>
      <c r="AS500" s="530">
        <v>499</v>
      </c>
      <c r="AT500" s="531">
        <f t="shared" ca="1" si="358"/>
        <v>61354</v>
      </c>
      <c r="AU500" s="532">
        <f ca="1">IF(AU499=0,SUMIFS('Key Life Events'!$L$3:$L$28,'Key Life Events'!$H$3:$H$28,'Loan Amortization'!$AY$3,'Key Life Events'!$N$3:$N$28,'Loan Amortization'!AT500),AU499-AX499)</f>
        <v>0</v>
      </c>
      <c r="AV500" s="532">
        <f t="shared" ca="1" si="359"/>
        <v>0</v>
      </c>
      <c r="AW500" s="532">
        <f t="shared" ca="1" si="348"/>
        <v>0</v>
      </c>
      <c r="AX500" s="532">
        <f t="shared" ca="1" si="349"/>
        <v>0</v>
      </c>
      <c r="BC500" s="536">
        <f t="shared" ca="1" si="350"/>
        <v>2067</v>
      </c>
      <c r="BF500" s="530">
        <v>499</v>
      </c>
      <c r="BG500" s="531">
        <f t="shared" ca="1" si="360"/>
        <v>61354</v>
      </c>
      <c r="BH500" s="532">
        <f ca="1">IF(BH499=0,SUMIFS('Key Life Events'!$L$3:$L$28,'Key Life Events'!$H$3:$H$28,'Loan Amortization'!$BL$3,'Key Life Events'!$N$3:$N$28,'Loan Amortization'!BG500),BH499-BK499)</f>
        <v>0</v>
      </c>
      <c r="BI500" s="532">
        <f t="shared" ca="1" si="361"/>
        <v>0</v>
      </c>
      <c r="BJ500" s="532">
        <f t="shared" ca="1" si="362"/>
        <v>0</v>
      </c>
      <c r="BK500" s="532">
        <f t="shared" ca="1" si="351"/>
        <v>0</v>
      </c>
      <c r="BP500" s="536">
        <f t="shared" ca="1" si="352"/>
        <v>2067</v>
      </c>
      <c r="BS500" s="530">
        <v>499</v>
      </c>
      <c r="BT500" s="531">
        <f t="shared" ca="1" si="363"/>
        <v>61354</v>
      </c>
      <c r="BU500" s="532">
        <f ca="1">IF(BU499=0,SUMIFS('Key Life Events'!$L$3:$L$28,'Key Life Events'!$H$3:$H$28,'Loan Amortization'!$BY$3,'Key Life Events'!$N$3:$N$28,'Loan Amortization'!BT500),BU499-BX499)</f>
        <v>0</v>
      </c>
      <c r="BV500" s="532">
        <f t="shared" ca="1" si="368"/>
        <v>0</v>
      </c>
      <c r="BW500" s="532">
        <f t="shared" ca="1" si="364"/>
        <v>0</v>
      </c>
      <c r="BX500" s="532">
        <f t="shared" ca="1" si="353"/>
        <v>0</v>
      </c>
      <c r="CC500" s="536">
        <f t="shared" ca="1" si="354"/>
        <v>2067</v>
      </c>
      <c r="CF500" s="530">
        <v>499</v>
      </c>
      <c r="CG500" s="531">
        <f t="shared" ca="1" si="365"/>
        <v>61354</v>
      </c>
      <c r="CH500" s="532">
        <f ca="1">IF(CH499=0,SUMIFS('Key Life Events'!$L$3:$L$28,'Key Life Events'!$H$3:$H$28,'Loan Amortization'!$CL$3,'Key Life Events'!$N$3:$N$28,'Loan Amortization'!CG500),CH499-CK499)</f>
        <v>0</v>
      </c>
      <c r="CI500" s="532">
        <f t="shared" ca="1" si="366"/>
        <v>0</v>
      </c>
      <c r="CJ500" s="532">
        <f t="shared" ca="1" si="367"/>
        <v>0</v>
      </c>
      <c r="CK500" s="532">
        <f t="shared" ca="1" si="355"/>
        <v>0</v>
      </c>
      <c r="CP500" s="536">
        <f t="shared" ca="1" si="356"/>
        <v>2067</v>
      </c>
      <c r="CS500" s="100">
        <f t="shared" ref="CS500:CS563" si="389">AH500</f>
        <v>499</v>
      </c>
      <c r="CT500" s="102">
        <f t="shared" ref="CT500:CT563" ca="1" si="390">C500+Y500+AJ500+N500+AU500+BH500+BU500+CH500</f>
        <v>0</v>
      </c>
      <c r="CU500" s="102">
        <f t="shared" ref="CU500:CU563" ca="1" si="391">D500+Z500+AK500+O500+AV500+BI500+BV500+CI500</f>
        <v>0</v>
      </c>
      <c r="CV500" s="511">
        <f t="shared" ca="1" si="357"/>
        <v>2067</v>
      </c>
    </row>
    <row r="501" spans="1:100" x14ac:dyDescent="0.3">
      <c r="A501" s="100">
        <v>500</v>
      </c>
      <c r="B501" s="131">
        <f t="shared" si="369"/>
        <v>14363</v>
      </c>
      <c r="C501" s="102">
        <f t="shared" si="370"/>
        <v>0</v>
      </c>
      <c r="D501" s="102">
        <f t="shared" si="371"/>
        <v>0</v>
      </c>
      <c r="E501" s="102">
        <f t="shared" si="372"/>
        <v>0</v>
      </c>
      <c r="F501" s="102">
        <f t="shared" si="373"/>
        <v>0</v>
      </c>
      <c r="L501" s="100">
        <v>500</v>
      </c>
      <c r="M501" s="131">
        <f t="shared" ca="1" si="374"/>
        <v>61385</v>
      </c>
      <c r="N501" s="102">
        <f t="shared" si="375"/>
        <v>0</v>
      </c>
      <c r="O501" s="102">
        <f t="shared" si="376"/>
        <v>0</v>
      </c>
      <c r="P501" s="102">
        <f t="shared" si="377"/>
        <v>0</v>
      </c>
      <c r="Q501" s="102">
        <f t="shared" si="378"/>
        <v>0</v>
      </c>
      <c r="W501" s="100">
        <v>500</v>
      </c>
      <c r="X501" s="131">
        <f t="shared" ca="1" si="379"/>
        <v>61385</v>
      </c>
      <c r="Y501" s="102">
        <f t="shared" si="380"/>
        <v>0</v>
      </c>
      <c r="Z501" s="102">
        <f t="shared" si="381"/>
        <v>0</v>
      </c>
      <c r="AA501" s="102">
        <f t="shared" si="382"/>
        <v>0</v>
      </c>
      <c r="AB501" s="102">
        <f t="shared" si="383"/>
        <v>0</v>
      </c>
      <c r="AH501" s="100">
        <v>500</v>
      </c>
      <c r="AI501" s="131">
        <f t="shared" ca="1" si="384"/>
        <v>61385</v>
      </c>
      <c r="AJ501" s="102">
        <f t="shared" si="385"/>
        <v>0</v>
      </c>
      <c r="AK501" s="102">
        <f t="shared" si="386"/>
        <v>0</v>
      </c>
      <c r="AL501" s="102">
        <f t="shared" si="387"/>
        <v>0</v>
      </c>
      <c r="AM501" s="102">
        <f t="shared" si="388"/>
        <v>0</v>
      </c>
      <c r="AS501" s="530">
        <v>500</v>
      </c>
      <c r="AT501" s="531">
        <f t="shared" ca="1" si="358"/>
        <v>61385</v>
      </c>
      <c r="AU501" s="532">
        <f ca="1">IF(AU500=0,SUMIFS('Key Life Events'!$L$3:$L$28,'Key Life Events'!$H$3:$H$28,'Loan Amortization'!$AY$3,'Key Life Events'!$N$3:$N$28,'Loan Amortization'!AT501),AU500-AX500)</f>
        <v>0</v>
      </c>
      <c r="AV501" s="532">
        <f t="shared" ca="1" si="359"/>
        <v>0</v>
      </c>
      <c r="AW501" s="532">
        <f t="shared" ca="1" si="348"/>
        <v>0</v>
      </c>
      <c r="AX501" s="532">
        <f t="shared" ca="1" si="349"/>
        <v>0</v>
      </c>
      <c r="BC501" s="536">
        <f t="shared" ca="1" si="350"/>
        <v>2068</v>
      </c>
      <c r="BF501" s="530">
        <v>500</v>
      </c>
      <c r="BG501" s="531">
        <f t="shared" ca="1" si="360"/>
        <v>61385</v>
      </c>
      <c r="BH501" s="532">
        <f ca="1">IF(BH500=0,SUMIFS('Key Life Events'!$L$3:$L$28,'Key Life Events'!$H$3:$H$28,'Loan Amortization'!$BL$3,'Key Life Events'!$N$3:$N$28,'Loan Amortization'!BG501),BH500-BK500)</f>
        <v>0</v>
      </c>
      <c r="BI501" s="532">
        <f t="shared" ca="1" si="361"/>
        <v>0</v>
      </c>
      <c r="BJ501" s="532">
        <f t="shared" ca="1" si="362"/>
        <v>0</v>
      </c>
      <c r="BK501" s="532">
        <f t="shared" ca="1" si="351"/>
        <v>0</v>
      </c>
      <c r="BP501" s="536">
        <f t="shared" ca="1" si="352"/>
        <v>2068</v>
      </c>
      <c r="BS501" s="530">
        <v>500</v>
      </c>
      <c r="BT501" s="531">
        <f t="shared" ca="1" si="363"/>
        <v>61385</v>
      </c>
      <c r="BU501" s="532">
        <f ca="1">IF(BU500=0,SUMIFS('Key Life Events'!$L$3:$L$28,'Key Life Events'!$H$3:$H$28,'Loan Amortization'!$BY$3,'Key Life Events'!$N$3:$N$28,'Loan Amortization'!BT501),BU500-BX500)</f>
        <v>0</v>
      </c>
      <c r="BV501" s="532">
        <f t="shared" ca="1" si="368"/>
        <v>0</v>
      </c>
      <c r="BW501" s="532">
        <f t="shared" ca="1" si="364"/>
        <v>0</v>
      </c>
      <c r="BX501" s="532">
        <f t="shared" ca="1" si="353"/>
        <v>0</v>
      </c>
      <c r="CC501" s="536">
        <f t="shared" ca="1" si="354"/>
        <v>2068</v>
      </c>
      <c r="CF501" s="530">
        <v>500</v>
      </c>
      <c r="CG501" s="531">
        <f t="shared" ca="1" si="365"/>
        <v>61385</v>
      </c>
      <c r="CH501" s="532">
        <f ca="1">IF(CH500=0,SUMIFS('Key Life Events'!$L$3:$L$28,'Key Life Events'!$H$3:$H$28,'Loan Amortization'!$CL$3,'Key Life Events'!$N$3:$N$28,'Loan Amortization'!CG501),CH500-CK500)</f>
        <v>0</v>
      </c>
      <c r="CI501" s="532">
        <f t="shared" ca="1" si="366"/>
        <v>0</v>
      </c>
      <c r="CJ501" s="532">
        <f t="shared" ca="1" si="367"/>
        <v>0</v>
      </c>
      <c r="CK501" s="532">
        <f t="shared" ca="1" si="355"/>
        <v>0</v>
      </c>
      <c r="CP501" s="536">
        <f t="shared" ca="1" si="356"/>
        <v>2068</v>
      </c>
      <c r="CS501" s="100">
        <f t="shared" si="389"/>
        <v>500</v>
      </c>
      <c r="CT501" s="102">
        <f t="shared" ca="1" si="390"/>
        <v>0</v>
      </c>
      <c r="CU501" s="102">
        <f t="shared" ca="1" si="391"/>
        <v>0</v>
      </c>
      <c r="CV501" s="511">
        <f t="shared" ca="1" si="357"/>
        <v>2068</v>
      </c>
    </row>
    <row r="502" spans="1:100" x14ac:dyDescent="0.3">
      <c r="A502" s="100">
        <v>501</v>
      </c>
      <c r="B502" s="131">
        <f t="shared" si="369"/>
        <v>14393</v>
      </c>
      <c r="C502" s="102">
        <f t="shared" si="370"/>
        <v>0</v>
      </c>
      <c r="D502" s="102">
        <f t="shared" si="371"/>
        <v>0</v>
      </c>
      <c r="E502" s="102">
        <f t="shared" si="372"/>
        <v>0</v>
      </c>
      <c r="F502" s="102">
        <f t="shared" si="373"/>
        <v>0</v>
      </c>
      <c r="L502" s="100">
        <v>501</v>
      </c>
      <c r="M502" s="131">
        <f t="shared" ca="1" si="374"/>
        <v>61416</v>
      </c>
      <c r="N502" s="102">
        <f t="shared" si="375"/>
        <v>0</v>
      </c>
      <c r="O502" s="102">
        <f t="shared" si="376"/>
        <v>0</v>
      </c>
      <c r="P502" s="102">
        <f t="shared" si="377"/>
        <v>0</v>
      </c>
      <c r="Q502" s="102">
        <f t="shared" si="378"/>
        <v>0</v>
      </c>
      <c r="W502" s="100">
        <v>501</v>
      </c>
      <c r="X502" s="131">
        <f t="shared" ca="1" si="379"/>
        <v>61416</v>
      </c>
      <c r="Y502" s="102">
        <f t="shared" si="380"/>
        <v>0</v>
      </c>
      <c r="Z502" s="102">
        <f t="shared" si="381"/>
        <v>0</v>
      </c>
      <c r="AA502" s="102">
        <f t="shared" si="382"/>
        <v>0</v>
      </c>
      <c r="AB502" s="102">
        <f t="shared" si="383"/>
        <v>0</v>
      </c>
      <c r="AH502" s="100">
        <v>501</v>
      </c>
      <c r="AI502" s="131">
        <f t="shared" ca="1" si="384"/>
        <v>61416</v>
      </c>
      <c r="AJ502" s="102">
        <f t="shared" si="385"/>
        <v>0</v>
      </c>
      <c r="AK502" s="102">
        <f t="shared" si="386"/>
        <v>0</v>
      </c>
      <c r="AL502" s="102">
        <f t="shared" si="387"/>
        <v>0</v>
      </c>
      <c r="AM502" s="102">
        <f t="shared" si="388"/>
        <v>0</v>
      </c>
      <c r="AS502" s="530">
        <v>501</v>
      </c>
      <c r="AT502" s="531">
        <f t="shared" ca="1" si="358"/>
        <v>61416</v>
      </c>
      <c r="AU502" s="532">
        <f ca="1">IF(AU501=0,SUMIFS('Key Life Events'!$L$3:$L$28,'Key Life Events'!$H$3:$H$28,'Loan Amortization'!$AY$3,'Key Life Events'!$N$3:$N$28,'Loan Amortization'!AT502),AU501-AX501)</f>
        <v>0</v>
      </c>
      <c r="AV502" s="532">
        <f t="shared" ca="1" si="359"/>
        <v>0</v>
      </c>
      <c r="AW502" s="532">
        <f t="shared" ca="1" si="348"/>
        <v>0</v>
      </c>
      <c r="AX502" s="532">
        <f t="shared" ca="1" si="349"/>
        <v>0</v>
      </c>
      <c r="BC502" s="536">
        <f t="shared" ca="1" si="350"/>
        <v>2068</v>
      </c>
      <c r="BF502" s="530">
        <v>501</v>
      </c>
      <c r="BG502" s="531">
        <f t="shared" ca="1" si="360"/>
        <v>61416</v>
      </c>
      <c r="BH502" s="532">
        <f ca="1">IF(BH501=0,SUMIFS('Key Life Events'!$L$3:$L$28,'Key Life Events'!$H$3:$H$28,'Loan Amortization'!$BL$3,'Key Life Events'!$N$3:$N$28,'Loan Amortization'!BG502),BH501-BK501)</f>
        <v>0</v>
      </c>
      <c r="BI502" s="532">
        <f t="shared" ca="1" si="361"/>
        <v>0</v>
      </c>
      <c r="BJ502" s="532">
        <f t="shared" ca="1" si="362"/>
        <v>0</v>
      </c>
      <c r="BK502" s="532">
        <f t="shared" ca="1" si="351"/>
        <v>0</v>
      </c>
      <c r="BP502" s="536">
        <f t="shared" ca="1" si="352"/>
        <v>2068</v>
      </c>
      <c r="BS502" s="530">
        <v>501</v>
      </c>
      <c r="BT502" s="531">
        <f t="shared" ca="1" si="363"/>
        <v>61416</v>
      </c>
      <c r="BU502" s="532">
        <f ca="1">IF(BU501=0,SUMIFS('Key Life Events'!$L$3:$L$28,'Key Life Events'!$H$3:$H$28,'Loan Amortization'!$BY$3,'Key Life Events'!$N$3:$N$28,'Loan Amortization'!BT502),BU501-BX501)</f>
        <v>0</v>
      </c>
      <c r="BV502" s="532">
        <f t="shared" ca="1" si="368"/>
        <v>0</v>
      </c>
      <c r="BW502" s="532">
        <f t="shared" ca="1" si="364"/>
        <v>0</v>
      </c>
      <c r="BX502" s="532">
        <f t="shared" ca="1" si="353"/>
        <v>0</v>
      </c>
      <c r="CC502" s="536">
        <f t="shared" ca="1" si="354"/>
        <v>2068</v>
      </c>
      <c r="CF502" s="530">
        <v>501</v>
      </c>
      <c r="CG502" s="531">
        <f t="shared" ca="1" si="365"/>
        <v>61416</v>
      </c>
      <c r="CH502" s="532">
        <f ca="1">IF(CH501=0,SUMIFS('Key Life Events'!$L$3:$L$28,'Key Life Events'!$H$3:$H$28,'Loan Amortization'!$CL$3,'Key Life Events'!$N$3:$N$28,'Loan Amortization'!CG502),CH501-CK501)</f>
        <v>0</v>
      </c>
      <c r="CI502" s="532">
        <f t="shared" ca="1" si="366"/>
        <v>0</v>
      </c>
      <c r="CJ502" s="532">
        <f t="shared" ca="1" si="367"/>
        <v>0</v>
      </c>
      <c r="CK502" s="532">
        <f t="shared" ca="1" si="355"/>
        <v>0</v>
      </c>
      <c r="CP502" s="536">
        <f t="shared" ca="1" si="356"/>
        <v>2068</v>
      </c>
      <c r="CS502" s="100">
        <f t="shared" si="389"/>
        <v>501</v>
      </c>
      <c r="CT502" s="102">
        <f t="shared" ca="1" si="390"/>
        <v>0</v>
      </c>
      <c r="CU502" s="102">
        <f t="shared" ca="1" si="391"/>
        <v>0</v>
      </c>
      <c r="CV502" s="511">
        <f t="shared" ca="1" si="357"/>
        <v>2068</v>
      </c>
    </row>
    <row r="503" spans="1:100" x14ac:dyDescent="0.3">
      <c r="A503" s="100">
        <v>502</v>
      </c>
      <c r="B503" s="131">
        <f t="shared" si="369"/>
        <v>14424</v>
      </c>
      <c r="C503" s="102">
        <f t="shared" si="370"/>
        <v>0</v>
      </c>
      <c r="D503" s="102">
        <f t="shared" si="371"/>
        <v>0</v>
      </c>
      <c r="E503" s="102">
        <f t="shared" si="372"/>
        <v>0</v>
      </c>
      <c r="F503" s="102">
        <f t="shared" si="373"/>
        <v>0</v>
      </c>
      <c r="L503" s="100">
        <v>502</v>
      </c>
      <c r="M503" s="131">
        <f t="shared" ca="1" si="374"/>
        <v>61445</v>
      </c>
      <c r="N503" s="102">
        <f t="shared" si="375"/>
        <v>0</v>
      </c>
      <c r="O503" s="102">
        <f t="shared" si="376"/>
        <v>0</v>
      </c>
      <c r="P503" s="102">
        <f t="shared" si="377"/>
        <v>0</v>
      </c>
      <c r="Q503" s="102">
        <f t="shared" si="378"/>
        <v>0</v>
      </c>
      <c r="W503" s="100">
        <v>502</v>
      </c>
      <c r="X503" s="131">
        <f t="shared" ca="1" si="379"/>
        <v>61445</v>
      </c>
      <c r="Y503" s="102">
        <f t="shared" si="380"/>
        <v>0</v>
      </c>
      <c r="Z503" s="102">
        <f t="shared" si="381"/>
        <v>0</v>
      </c>
      <c r="AA503" s="102">
        <f t="shared" si="382"/>
        <v>0</v>
      </c>
      <c r="AB503" s="102">
        <f t="shared" si="383"/>
        <v>0</v>
      </c>
      <c r="AH503" s="100">
        <v>502</v>
      </c>
      <c r="AI503" s="131">
        <f t="shared" ca="1" si="384"/>
        <v>61445</v>
      </c>
      <c r="AJ503" s="102">
        <f t="shared" si="385"/>
        <v>0</v>
      </c>
      <c r="AK503" s="102">
        <f t="shared" si="386"/>
        <v>0</v>
      </c>
      <c r="AL503" s="102">
        <f t="shared" si="387"/>
        <v>0</v>
      </c>
      <c r="AM503" s="102">
        <f t="shared" si="388"/>
        <v>0</v>
      </c>
      <c r="AS503" s="530">
        <v>502</v>
      </c>
      <c r="AT503" s="531">
        <f t="shared" ca="1" si="358"/>
        <v>61445</v>
      </c>
      <c r="AU503" s="532">
        <f ca="1">IF(AU502=0,SUMIFS('Key Life Events'!$L$3:$L$28,'Key Life Events'!$H$3:$H$28,'Loan Amortization'!$AY$3,'Key Life Events'!$N$3:$N$28,'Loan Amortization'!AT503),AU502-AX502)</f>
        <v>0</v>
      </c>
      <c r="AV503" s="532">
        <f t="shared" ca="1" si="359"/>
        <v>0</v>
      </c>
      <c r="AW503" s="532">
        <f t="shared" ca="1" si="348"/>
        <v>0</v>
      </c>
      <c r="AX503" s="532">
        <f t="shared" ca="1" si="349"/>
        <v>0</v>
      </c>
      <c r="BC503" s="536">
        <f t="shared" ca="1" si="350"/>
        <v>2068</v>
      </c>
      <c r="BF503" s="530">
        <v>502</v>
      </c>
      <c r="BG503" s="531">
        <f t="shared" ca="1" si="360"/>
        <v>61445</v>
      </c>
      <c r="BH503" s="532">
        <f ca="1">IF(BH502=0,SUMIFS('Key Life Events'!$L$3:$L$28,'Key Life Events'!$H$3:$H$28,'Loan Amortization'!$BL$3,'Key Life Events'!$N$3:$N$28,'Loan Amortization'!BG503),BH502-BK502)</f>
        <v>0</v>
      </c>
      <c r="BI503" s="532">
        <f t="shared" ca="1" si="361"/>
        <v>0</v>
      </c>
      <c r="BJ503" s="532">
        <f t="shared" ca="1" si="362"/>
        <v>0</v>
      </c>
      <c r="BK503" s="532">
        <f t="shared" ca="1" si="351"/>
        <v>0</v>
      </c>
      <c r="BP503" s="536">
        <f t="shared" ca="1" si="352"/>
        <v>2068</v>
      </c>
      <c r="BS503" s="530">
        <v>502</v>
      </c>
      <c r="BT503" s="531">
        <f t="shared" ca="1" si="363"/>
        <v>61445</v>
      </c>
      <c r="BU503" s="532">
        <f ca="1">IF(BU502=0,SUMIFS('Key Life Events'!$L$3:$L$28,'Key Life Events'!$H$3:$H$28,'Loan Amortization'!$BY$3,'Key Life Events'!$N$3:$N$28,'Loan Amortization'!BT503),BU502-BX502)</f>
        <v>0</v>
      </c>
      <c r="BV503" s="532">
        <f t="shared" ca="1" si="368"/>
        <v>0</v>
      </c>
      <c r="BW503" s="532">
        <f t="shared" ca="1" si="364"/>
        <v>0</v>
      </c>
      <c r="BX503" s="532">
        <f t="shared" ca="1" si="353"/>
        <v>0</v>
      </c>
      <c r="CC503" s="536">
        <f t="shared" ca="1" si="354"/>
        <v>2068</v>
      </c>
      <c r="CF503" s="530">
        <v>502</v>
      </c>
      <c r="CG503" s="531">
        <f t="shared" ca="1" si="365"/>
        <v>61445</v>
      </c>
      <c r="CH503" s="532">
        <f ca="1">IF(CH502=0,SUMIFS('Key Life Events'!$L$3:$L$28,'Key Life Events'!$H$3:$H$28,'Loan Amortization'!$CL$3,'Key Life Events'!$N$3:$N$28,'Loan Amortization'!CG503),CH502-CK502)</f>
        <v>0</v>
      </c>
      <c r="CI503" s="532">
        <f t="shared" ca="1" si="366"/>
        <v>0</v>
      </c>
      <c r="CJ503" s="532">
        <f t="shared" ca="1" si="367"/>
        <v>0</v>
      </c>
      <c r="CK503" s="532">
        <f t="shared" ca="1" si="355"/>
        <v>0</v>
      </c>
      <c r="CP503" s="536">
        <f t="shared" ca="1" si="356"/>
        <v>2068</v>
      </c>
      <c r="CS503" s="100">
        <f t="shared" si="389"/>
        <v>502</v>
      </c>
      <c r="CT503" s="102">
        <f t="shared" ca="1" si="390"/>
        <v>0</v>
      </c>
      <c r="CU503" s="102">
        <f t="shared" ca="1" si="391"/>
        <v>0</v>
      </c>
      <c r="CV503" s="511">
        <f t="shared" ca="1" si="357"/>
        <v>2068</v>
      </c>
    </row>
    <row r="504" spans="1:100" x14ac:dyDescent="0.3">
      <c r="A504" s="100">
        <v>503</v>
      </c>
      <c r="B504" s="131">
        <f t="shared" si="369"/>
        <v>14454</v>
      </c>
      <c r="C504" s="102">
        <f t="shared" si="370"/>
        <v>0</v>
      </c>
      <c r="D504" s="102">
        <f t="shared" si="371"/>
        <v>0</v>
      </c>
      <c r="E504" s="102">
        <f t="shared" si="372"/>
        <v>0</v>
      </c>
      <c r="F504" s="102">
        <f t="shared" si="373"/>
        <v>0</v>
      </c>
      <c r="L504" s="100">
        <v>503</v>
      </c>
      <c r="M504" s="131">
        <f t="shared" ca="1" si="374"/>
        <v>61476</v>
      </c>
      <c r="N504" s="102">
        <f t="shared" si="375"/>
        <v>0</v>
      </c>
      <c r="O504" s="102">
        <f t="shared" si="376"/>
        <v>0</v>
      </c>
      <c r="P504" s="102">
        <f t="shared" si="377"/>
        <v>0</v>
      </c>
      <c r="Q504" s="102">
        <f t="shared" si="378"/>
        <v>0</v>
      </c>
      <c r="W504" s="100">
        <v>503</v>
      </c>
      <c r="X504" s="131">
        <f t="shared" ca="1" si="379"/>
        <v>61476</v>
      </c>
      <c r="Y504" s="102">
        <f t="shared" si="380"/>
        <v>0</v>
      </c>
      <c r="Z504" s="102">
        <f t="shared" si="381"/>
        <v>0</v>
      </c>
      <c r="AA504" s="102">
        <f t="shared" si="382"/>
        <v>0</v>
      </c>
      <c r="AB504" s="102">
        <f t="shared" si="383"/>
        <v>0</v>
      </c>
      <c r="AH504" s="100">
        <v>503</v>
      </c>
      <c r="AI504" s="131">
        <f t="shared" ca="1" si="384"/>
        <v>61476</v>
      </c>
      <c r="AJ504" s="102">
        <f t="shared" si="385"/>
        <v>0</v>
      </c>
      <c r="AK504" s="102">
        <f t="shared" si="386"/>
        <v>0</v>
      </c>
      <c r="AL504" s="102">
        <f t="shared" si="387"/>
        <v>0</v>
      </c>
      <c r="AM504" s="102">
        <f t="shared" si="388"/>
        <v>0</v>
      </c>
      <c r="AS504" s="530">
        <v>503</v>
      </c>
      <c r="AT504" s="531">
        <f t="shared" ca="1" si="358"/>
        <v>61476</v>
      </c>
      <c r="AU504" s="532">
        <f ca="1">IF(AU503=0,SUMIFS('Key Life Events'!$L$3:$L$28,'Key Life Events'!$H$3:$H$28,'Loan Amortization'!$AY$3,'Key Life Events'!$N$3:$N$28,'Loan Amortization'!AT504),AU503-AX503)</f>
        <v>0</v>
      </c>
      <c r="AV504" s="532">
        <f t="shared" ca="1" si="359"/>
        <v>0</v>
      </c>
      <c r="AW504" s="532">
        <f t="shared" ca="1" si="348"/>
        <v>0</v>
      </c>
      <c r="AX504" s="532">
        <f t="shared" ca="1" si="349"/>
        <v>0</v>
      </c>
      <c r="BC504" s="536">
        <f t="shared" ca="1" si="350"/>
        <v>2068</v>
      </c>
      <c r="BF504" s="530">
        <v>503</v>
      </c>
      <c r="BG504" s="531">
        <f t="shared" ca="1" si="360"/>
        <v>61476</v>
      </c>
      <c r="BH504" s="532">
        <f ca="1">IF(BH503=0,SUMIFS('Key Life Events'!$L$3:$L$28,'Key Life Events'!$H$3:$H$28,'Loan Amortization'!$BL$3,'Key Life Events'!$N$3:$N$28,'Loan Amortization'!BG504),BH503-BK503)</f>
        <v>0</v>
      </c>
      <c r="BI504" s="532">
        <f t="shared" ca="1" si="361"/>
        <v>0</v>
      </c>
      <c r="BJ504" s="532">
        <f t="shared" ca="1" si="362"/>
        <v>0</v>
      </c>
      <c r="BK504" s="532">
        <f t="shared" ca="1" si="351"/>
        <v>0</v>
      </c>
      <c r="BP504" s="536">
        <f t="shared" ca="1" si="352"/>
        <v>2068</v>
      </c>
      <c r="BS504" s="530">
        <v>503</v>
      </c>
      <c r="BT504" s="531">
        <f t="shared" ca="1" si="363"/>
        <v>61476</v>
      </c>
      <c r="BU504" s="532">
        <f ca="1">IF(BU503=0,SUMIFS('Key Life Events'!$L$3:$L$28,'Key Life Events'!$H$3:$H$28,'Loan Amortization'!$BY$3,'Key Life Events'!$N$3:$N$28,'Loan Amortization'!BT504),BU503-BX503)</f>
        <v>0</v>
      </c>
      <c r="BV504" s="532">
        <f t="shared" ca="1" si="368"/>
        <v>0</v>
      </c>
      <c r="BW504" s="532">
        <f t="shared" ca="1" si="364"/>
        <v>0</v>
      </c>
      <c r="BX504" s="532">
        <f t="shared" ca="1" si="353"/>
        <v>0</v>
      </c>
      <c r="CC504" s="536">
        <f t="shared" ca="1" si="354"/>
        <v>2068</v>
      </c>
      <c r="CF504" s="530">
        <v>503</v>
      </c>
      <c r="CG504" s="531">
        <f t="shared" ca="1" si="365"/>
        <v>61476</v>
      </c>
      <c r="CH504" s="532">
        <f ca="1">IF(CH503=0,SUMIFS('Key Life Events'!$L$3:$L$28,'Key Life Events'!$H$3:$H$28,'Loan Amortization'!$CL$3,'Key Life Events'!$N$3:$N$28,'Loan Amortization'!CG504),CH503-CK503)</f>
        <v>0</v>
      </c>
      <c r="CI504" s="532">
        <f t="shared" ca="1" si="366"/>
        <v>0</v>
      </c>
      <c r="CJ504" s="532">
        <f t="shared" ca="1" si="367"/>
        <v>0</v>
      </c>
      <c r="CK504" s="532">
        <f t="shared" ca="1" si="355"/>
        <v>0</v>
      </c>
      <c r="CP504" s="536">
        <f t="shared" ca="1" si="356"/>
        <v>2068</v>
      </c>
      <c r="CS504" s="100">
        <f t="shared" si="389"/>
        <v>503</v>
      </c>
      <c r="CT504" s="102">
        <f t="shared" ca="1" si="390"/>
        <v>0</v>
      </c>
      <c r="CU504" s="102">
        <f t="shared" ca="1" si="391"/>
        <v>0</v>
      </c>
      <c r="CV504" s="511">
        <f t="shared" ca="1" si="357"/>
        <v>2068</v>
      </c>
    </row>
    <row r="505" spans="1:100" x14ac:dyDescent="0.3">
      <c r="A505" s="100">
        <v>504</v>
      </c>
      <c r="B505" s="131">
        <f t="shared" si="369"/>
        <v>14485</v>
      </c>
      <c r="C505" s="102">
        <f t="shared" si="370"/>
        <v>0</v>
      </c>
      <c r="D505" s="102">
        <f t="shared" si="371"/>
        <v>0</v>
      </c>
      <c r="E505" s="102">
        <f t="shared" si="372"/>
        <v>0</v>
      </c>
      <c r="F505" s="102">
        <f t="shared" si="373"/>
        <v>0</v>
      </c>
      <c r="L505" s="100">
        <v>504</v>
      </c>
      <c r="M505" s="131">
        <f t="shared" ca="1" si="374"/>
        <v>61506</v>
      </c>
      <c r="N505" s="102">
        <f t="shared" si="375"/>
        <v>0</v>
      </c>
      <c r="O505" s="102">
        <f t="shared" si="376"/>
        <v>0</v>
      </c>
      <c r="P505" s="102">
        <f t="shared" si="377"/>
        <v>0</v>
      </c>
      <c r="Q505" s="102">
        <f t="shared" si="378"/>
        <v>0</v>
      </c>
      <c r="W505" s="100">
        <v>504</v>
      </c>
      <c r="X505" s="131">
        <f t="shared" ca="1" si="379"/>
        <v>61506</v>
      </c>
      <c r="Y505" s="102">
        <f t="shared" si="380"/>
        <v>0</v>
      </c>
      <c r="Z505" s="102">
        <f t="shared" si="381"/>
        <v>0</v>
      </c>
      <c r="AA505" s="102">
        <f t="shared" si="382"/>
        <v>0</v>
      </c>
      <c r="AB505" s="102">
        <f t="shared" si="383"/>
        <v>0</v>
      </c>
      <c r="AH505" s="100">
        <v>504</v>
      </c>
      <c r="AI505" s="131">
        <f t="shared" ca="1" si="384"/>
        <v>61506</v>
      </c>
      <c r="AJ505" s="102">
        <f t="shared" si="385"/>
        <v>0</v>
      </c>
      <c r="AK505" s="102">
        <f t="shared" si="386"/>
        <v>0</v>
      </c>
      <c r="AL505" s="102">
        <f t="shared" si="387"/>
        <v>0</v>
      </c>
      <c r="AM505" s="102">
        <f t="shared" si="388"/>
        <v>0</v>
      </c>
      <c r="AS505" s="530">
        <v>504</v>
      </c>
      <c r="AT505" s="531">
        <f t="shared" ca="1" si="358"/>
        <v>61506</v>
      </c>
      <c r="AU505" s="532">
        <f ca="1">IF(AU504=0,SUMIFS('Key Life Events'!$L$3:$L$28,'Key Life Events'!$H$3:$H$28,'Loan Amortization'!$AY$3,'Key Life Events'!$N$3:$N$28,'Loan Amortization'!AT505),AU504-AX504)</f>
        <v>0</v>
      </c>
      <c r="AV505" s="532">
        <f t="shared" ca="1" si="359"/>
        <v>0</v>
      </c>
      <c r="AW505" s="532">
        <f t="shared" ca="1" si="348"/>
        <v>0</v>
      </c>
      <c r="AX505" s="532">
        <f t="shared" ca="1" si="349"/>
        <v>0</v>
      </c>
      <c r="BC505" s="536">
        <f t="shared" ca="1" si="350"/>
        <v>2068</v>
      </c>
      <c r="BF505" s="530">
        <v>504</v>
      </c>
      <c r="BG505" s="531">
        <f t="shared" ca="1" si="360"/>
        <v>61506</v>
      </c>
      <c r="BH505" s="532">
        <f ca="1">IF(BH504=0,SUMIFS('Key Life Events'!$L$3:$L$28,'Key Life Events'!$H$3:$H$28,'Loan Amortization'!$BL$3,'Key Life Events'!$N$3:$N$28,'Loan Amortization'!BG505),BH504-BK504)</f>
        <v>0</v>
      </c>
      <c r="BI505" s="532">
        <f t="shared" ca="1" si="361"/>
        <v>0</v>
      </c>
      <c r="BJ505" s="532">
        <f t="shared" ca="1" si="362"/>
        <v>0</v>
      </c>
      <c r="BK505" s="532">
        <f t="shared" ca="1" si="351"/>
        <v>0</v>
      </c>
      <c r="BP505" s="536">
        <f t="shared" ca="1" si="352"/>
        <v>2068</v>
      </c>
      <c r="BS505" s="530">
        <v>504</v>
      </c>
      <c r="BT505" s="531">
        <f t="shared" ca="1" si="363"/>
        <v>61506</v>
      </c>
      <c r="BU505" s="532">
        <f ca="1">IF(BU504=0,SUMIFS('Key Life Events'!$L$3:$L$28,'Key Life Events'!$H$3:$H$28,'Loan Amortization'!$BY$3,'Key Life Events'!$N$3:$N$28,'Loan Amortization'!BT505),BU504-BX504)</f>
        <v>0</v>
      </c>
      <c r="BV505" s="532">
        <f t="shared" ca="1" si="368"/>
        <v>0</v>
      </c>
      <c r="BW505" s="532">
        <f t="shared" ca="1" si="364"/>
        <v>0</v>
      </c>
      <c r="BX505" s="532">
        <f t="shared" ca="1" si="353"/>
        <v>0</v>
      </c>
      <c r="CC505" s="536">
        <f t="shared" ca="1" si="354"/>
        <v>2068</v>
      </c>
      <c r="CF505" s="530">
        <v>504</v>
      </c>
      <c r="CG505" s="531">
        <f t="shared" ca="1" si="365"/>
        <v>61506</v>
      </c>
      <c r="CH505" s="532">
        <f ca="1">IF(CH504=0,SUMIFS('Key Life Events'!$L$3:$L$28,'Key Life Events'!$H$3:$H$28,'Loan Amortization'!$CL$3,'Key Life Events'!$N$3:$N$28,'Loan Amortization'!CG505),CH504-CK504)</f>
        <v>0</v>
      </c>
      <c r="CI505" s="532">
        <f t="shared" ca="1" si="366"/>
        <v>0</v>
      </c>
      <c r="CJ505" s="532">
        <f t="shared" ca="1" si="367"/>
        <v>0</v>
      </c>
      <c r="CK505" s="532">
        <f t="shared" ca="1" si="355"/>
        <v>0</v>
      </c>
      <c r="CP505" s="536">
        <f t="shared" ca="1" si="356"/>
        <v>2068</v>
      </c>
      <c r="CS505" s="100">
        <f t="shared" si="389"/>
        <v>504</v>
      </c>
      <c r="CT505" s="102">
        <f t="shared" ca="1" si="390"/>
        <v>0</v>
      </c>
      <c r="CU505" s="102">
        <f t="shared" ca="1" si="391"/>
        <v>0</v>
      </c>
      <c r="CV505" s="511">
        <f t="shared" ca="1" si="357"/>
        <v>2068</v>
      </c>
    </row>
    <row r="506" spans="1:100" x14ac:dyDescent="0.3">
      <c r="A506" s="100">
        <v>505</v>
      </c>
      <c r="B506" s="131">
        <f t="shared" si="369"/>
        <v>14516</v>
      </c>
      <c r="C506" s="102">
        <f t="shared" si="370"/>
        <v>0</v>
      </c>
      <c r="D506" s="102">
        <f t="shared" si="371"/>
        <v>0</v>
      </c>
      <c r="E506" s="102">
        <f t="shared" si="372"/>
        <v>0</v>
      </c>
      <c r="F506" s="102">
        <f t="shared" si="373"/>
        <v>0</v>
      </c>
      <c r="L506" s="100">
        <v>505</v>
      </c>
      <c r="M506" s="131">
        <f t="shared" ca="1" si="374"/>
        <v>61537</v>
      </c>
      <c r="N506" s="102">
        <f t="shared" si="375"/>
        <v>0</v>
      </c>
      <c r="O506" s="102">
        <f t="shared" si="376"/>
        <v>0</v>
      </c>
      <c r="P506" s="102">
        <f t="shared" si="377"/>
        <v>0</v>
      </c>
      <c r="Q506" s="102">
        <f t="shared" si="378"/>
        <v>0</v>
      </c>
      <c r="W506" s="100">
        <v>505</v>
      </c>
      <c r="X506" s="131">
        <f t="shared" ca="1" si="379"/>
        <v>61537</v>
      </c>
      <c r="Y506" s="102">
        <f t="shared" si="380"/>
        <v>0</v>
      </c>
      <c r="Z506" s="102">
        <f t="shared" si="381"/>
        <v>0</v>
      </c>
      <c r="AA506" s="102">
        <f t="shared" si="382"/>
        <v>0</v>
      </c>
      <c r="AB506" s="102">
        <f t="shared" si="383"/>
        <v>0</v>
      </c>
      <c r="AH506" s="100">
        <v>505</v>
      </c>
      <c r="AI506" s="131">
        <f t="shared" ca="1" si="384"/>
        <v>61537</v>
      </c>
      <c r="AJ506" s="102">
        <f t="shared" si="385"/>
        <v>0</v>
      </c>
      <c r="AK506" s="102">
        <f t="shared" si="386"/>
        <v>0</v>
      </c>
      <c r="AL506" s="102">
        <f t="shared" si="387"/>
        <v>0</v>
      </c>
      <c r="AM506" s="102">
        <f t="shared" si="388"/>
        <v>0</v>
      </c>
      <c r="AS506" s="530">
        <v>505</v>
      </c>
      <c r="AT506" s="531">
        <f t="shared" ca="1" si="358"/>
        <v>61537</v>
      </c>
      <c r="AU506" s="532">
        <f ca="1">IF(AU505=0,SUMIFS('Key Life Events'!$L$3:$L$28,'Key Life Events'!$H$3:$H$28,'Loan Amortization'!$AY$3,'Key Life Events'!$N$3:$N$28,'Loan Amortization'!AT506),AU505-AX505)</f>
        <v>0</v>
      </c>
      <c r="AV506" s="532">
        <f t="shared" ca="1" si="359"/>
        <v>0</v>
      </c>
      <c r="AW506" s="532">
        <f t="shared" ca="1" si="348"/>
        <v>0</v>
      </c>
      <c r="AX506" s="532">
        <f t="shared" ca="1" si="349"/>
        <v>0</v>
      </c>
      <c r="BC506" s="536">
        <f t="shared" ca="1" si="350"/>
        <v>2068</v>
      </c>
      <c r="BF506" s="530">
        <v>505</v>
      </c>
      <c r="BG506" s="531">
        <f t="shared" ca="1" si="360"/>
        <v>61537</v>
      </c>
      <c r="BH506" s="532">
        <f ca="1">IF(BH505=0,SUMIFS('Key Life Events'!$L$3:$L$28,'Key Life Events'!$H$3:$H$28,'Loan Amortization'!$BL$3,'Key Life Events'!$N$3:$N$28,'Loan Amortization'!BG506),BH505-BK505)</f>
        <v>0</v>
      </c>
      <c r="BI506" s="532">
        <f t="shared" ca="1" si="361"/>
        <v>0</v>
      </c>
      <c r="BJ506" s="532">
        <f t="shared" ca="1" si="362"/>
        <v>0</v>
      </c>
      <c r="BK506" s="532">
        <f t="shared" ca="1" si="351"/>
        <v>0</v>
      </c>
      <c r="BP506" s="536">
        <f t="shared" ca="1" si="352"/>
        <v>2068</v>
      </c>
      <c r="BS506" s="530">
        <v>505</v>
      </c>
      <c r="BT506" s="531">
        <f t="shared" ca="1" si="363"/>
        <v>61537</v>
      </c>
      <c r="BU506" s="532">
        <f ca="1">IF(BU505=0,SUMIFS('Key Life Events'!$L$3:$L$28,'Key Life Events'!$H$3:$H$28,'Loan Amortization'!$BY$3,'Key Life Events'!$N$3:$N$28,'Loan Amortization'!BT506),BU505-BX505)</f>
        <v>0</v>
      </c>
      <c r="BV506" s="532">
        <f t="shared" ca="1" si="368"/>
        <v>0</v>
      </c>
      <c r="BW506" s="532">
        <f t="shared" ca="1" si="364"/>
        <v>0</v>
      </c>
      <c r="BX506" s="532">
        <f t="shared" ca="1" si="353"/>
        <v>0</v>
      </c>
      <c r="CC506" s="536">
        <f t="shared" ca="1" si="354"/>
        <v>2068</v>
      </c>
      <c r="CF506" s="530">
        <v>505</v>
      </c>
      <c r="CG506" s="531">
        <f t="shared" ca="1" si="365"/>
        <v>61537</v>
      </c>
      <c r="CH506" s="532">
        <f ca="1">IF(CH505=0,SUMIFS('Key Life Events'!$L$3:$L$28,'Key Life Events'!$H$3:$H$28,'Loan Amortization'!$CL$3,'Key Life Events'!$N$3:$N$28,'Loan Amortization'!CG506),CH505-CK505)</f>
        <v>0</v>
      </c>
      <c r="CI506" s="532">
        <f t="shared" ca="1" si="366"/>
        <v>0</v>
      </c>
      <c r="CJ506" s="532">
        <f t="shared" ca="1" si="367"/>
        <v>0</v>
      </c>
      <c r="CK506" s="532">
        <f t="shared" ca="1" si="355"/>
        <v>0</v>
      </c>
      <c r="CP506" s="536">
        <f t="shared" ca="1" si="356"/>
        <v>2068</v>
      </c>
      <c r="CS506" s="100">
        <f t="shared" si="389"/>
        <v>505</v>
      </c>
      <c r="CT506" s="102">
        <f t="shared" ca="1" si="390"/>
        <v>0</v>
      </c>
      <c r="CU506" s="102">
        <f t="shared" ca="1" si="391"/>
        <v>0</v>
      </c>
      <c r="CV506" s="511">
        <f t="shared" ca="1" si="357"/>
        <v>2068</v>
      </c>
    </row>
    <row r="507" spans="1:100" x14ac:dyDescent="0.3">
      <c r="A507" s="100">
        <v>506</v>
      </c>
      <c r="B507" s="131">
        <f t="shared" si="369"/>
        <v>14546</v>
      </c>
      <c r="C507" s="102">
        <f t="shared" si="370"/>
        <v>0</v>
      </c>
      <c r="D507" s="102">
        <f t="shared" si="371"/>
        <v>0</v>
      </c>
      <c r="E507" s="102">
        <f t="shared" si="372"/>
        <v>0</v>
      </c>
      <c r="F507" s="102">
        <f t="shared" si="373"/>
        <v>0</v>
      </c>
      <c r="L507" s="100">
        <v>506</v>
      </c>
      <c r="M507" s="131">
        <f t="shared" ca="1" si="374"/>
        <v>61567</v>
      </c>
      <c r="N507" s="102">
        <f t="shared" si="375"/>
        <v>0</v>
      </c>
      <c r="O507" s="102">
        <f t="shared" si="376"/>
        <v>0</v>
      </c>
      <c r="P507" s="102">
        <f t="shared" si="377"/>
        <v>0</v>
      </c>
      <c r="Q507" s="102">
        <f t="shared" si="378"/>
        <v>0</v>
      </c>
      <c r="W507" s="100">
        <v>506</v>
      </c>
      <c r="X507" s="131">
        <f t="shared" ca="1" si="379"/>
        <v>61567</v>
      </c>
      <c r="Y507" s="102">
        <f t="shared" si="380"/>
        <v>0</v>
      </c>
      <c r="Z507" s="102">
        <f t="shared" si="381"/>
        <v>0</v>
      </c>
      <c r="AA507" s="102">
        <f t="shared" si="382"/>
        <v>0</v>
      </c>
      <c r="AB507" s="102">
        <f t="shared" si="383"/>
        <v>0</v>
      </c>
      <c r="AH507" s="100">
        <v>506</v>
      </c>
      <c r="AI507" s="131">
        <f t="shared" ca="1" si="384"/>
        <v>61567</v>
      </c>
      <c r="AJ507" s="102">
        <f t="shared" si="385"/>
        <v>0</v>
      </c>
      <c r="AK507" s="102">
        <f t="shared" si="386"/>
        <v>0</v>
      </c>
      <c r="AL507" s="102">
        <f t="shared" si="387"/>
        <v>0</v>
      </c>
      <c r="AM507" s="102">
        <f t="shared" si="388"/>
        <v>0</v>
      </c>
      <c r="AS507" s="530">
        <v>506</v>
      </c>
      <c r="AT507" s="531">
        <f t="shared" ca="1" si="358"/>
        <v>61567</v>
      </c>
      <c r="AU507" s="532">
        <f ca="1">IF(AU506=0,SUMIFS('Key Life Events'!$L$3:$L$28,'Key Life Events'!$H$3:$H$28,'Loan Amortization'!$AY$3,'Key Life Events'!$N$3:$N$28,'Loan Amortization'!AT507),AU506-AX506)</f>
        <v>0</v>
      </c>
      <c r="AV507" s="532">
        <f t="shared" ca="1" si="359"/>
        <v>0</v>
      </c>
      <c r="AW507" s="532">
        <f t="shared" ca="1" si="348"/>
        <v>0</v>
      </c>
      <c r="AX507" s="532">
        <f t="shared" ca="1" si="349"/>
        <v>0</v>
      </c>
      <c r="BC507" s="536">
        <f t="shared" ca="1" si="350"/>
        <v>2068</v>
      </c>
      <c r="BF507" s="530">
        <v>506</v>
      </c>
      <c r="BG507" s="531">
        <f t="shared" ca="1" si="360"/>
        <v>61567</v>
      </c>
      <c r="BH507" s="532">
        <f ca="1">IF(BH506=0,SUMIFS('Key Life Events'!$L$3:$L$28,'Key Life Events'!$H$3:$H$28,'Loan Amortization'!$BL$3,'Key Life Events'!$N$3:$N$28,'Loan Amortization'!BG507),BH506-BK506)</f>
        <v>0</v>
      </c>
      <c r="BI507" s="532">
        <f t="shared" ca="1" si="361"/>
        <v>0</v>
      </c>
      <c r="BJ507" s="532">
        <f t="shared" ca="1" si="362"/>
        <v>0</v>
      </c>
      <c r="BK507" s="532">
        <f t="shared" ca="1" si="351"/>
        <v>0</v>
      </c>
      <c r="BP507" s="536">
        <f t="shared" ca="1" si="352"/>
        <v>2068</v>
      </c>
      <c r="BS507" s="530">
        <v>506</v>
      </c>
      <c r="BT507" s="531">
        <f t="shared" ca="1" si="363"/>
        <v>61567</v>
      </c>
      <c r="BU507" s="532">
        <f ca="1">IF(BU506=0,SUMIFS('Key Life Events'!$L$3:$L$28,'Key Life Events'!$H$3:$H$28,'Loan Amortization'!$BY$3,'Key Life Events'!$N$3:$N$28,'Loan Amortization'!BT507),BU506-BX506)</f>
        <v>0</v>
      </c>
      <c r="BV507" s="532">
        <f t="shared" ca="1" si="368"/>
        <v>0</v>
      </c>
      <c r="BW507" s="532">
        <f t="shared" ca="1" si="364"/>
        <v>0</v>
      </c>
      <c r="BX507" s="532">
        <f t="shared" ca="1" si="353"/>
        <v>0</v>
      </c>
      <c r="CC507" s="536">
        <f t="shared" ca="1" si="354"/>
        <v>2068</v>
      </c>
      <c r="CF507" s="530">
        <v>506</v>
      </c>
      <c r="CG507" s="531">
        <f t="shared" ca="1" si="365"/>
        <v>61567</v>
      </c>
      <c r="CH507" s="532">
        <f ca="1">IF(CH506=0,SUMIFS('Key Life Events'!$L$3:$L$28,'Key Life Events'!$H$3:$H$28,'Loan Amortization'!$CL$3,'Key Life Events'!$N$3:$N$28,'Loan Amortization'!CG507),CH506-CK506)</f>
        <v>0</v>
      </c>
      <c r="CI507" s="532">
        <f t="shared" ca="1" si="366"/>
        <v>0</v>
      </c>
      <c r="CJ507" s="532">
        <f t="shared" ca="1" si="367"/>
        <v>0</v>
      </c>
      <c r="CK507" s="532">
        <f t="shared" ca="1" si="355"/>
        <v>0</v>
      </c>
      <c r="CP507" s="536">
        <f t="shared" ca="1" si="356"/>
        <v>2068</v>
      </c>
      <c r="CS507" s="100">
        <f t="shared" si="389"/>
        <v>506</v>
      </c>
      <c r="CT507" s="102">
        <f t="shared" ca="1" si="390"/>
        <v>0</v>
      </c>
      <c r="CU507" s="102">
        <f t="shared" ca="1" si="391"/>
        <v>0</v>
      </c>
      <c r="CV507" s="511">
        <f t="shared" ca="1" si="357"/>
        <v>2068</v>
      </c>
    </row>
    <row r="508" spans="1:100" x14ac:dyDescent="0.3">
      <c r="A508" s="100">
        <v>507</v>
      </c>
      <c r="B508" s="131">
        <f t="shared" si="369"/>
        <v>14577</v>
      </c>
      <c r="C508" s="102">
        <f t="shared" si="370"/>
        <v>0</v>
      </c>
      <c r="D508" s="102">
        <f t="shared" si="371"/>
        <v>0</v>
      </c>
      <c r="E508" s="102">
        <f t="shared" si="372"/>
        <v>0</v>
      </c>
      <c r="F508" s="102">
        <f t="shared" si="373"/>
        <v>0</v>
      </c>
      <c r="L508" s="100">
        <v>507</v>
      </c>
      <c r="M508" s="131">
        <f t="shared" ca="1" si="374"/>
        <v>61598</v>
      </c>
      <c r="N508" s="102">
        <f t="shared" si="375"/>
        <v>0</v>
      </c>
      <c r="O508" s="102">
        <f t="shared" si="376"/>
        <v>0</v>
      </c>
      <c r="P508" s="102">
        <f t="shared" si="377"/>
        <v>0</v>
      </c>
      <c r="Q508" s="102">
        <f t="shared" si="378"/>
        <v>0</v>
      </c>
      <c r="W508" s="100">
        <v>507</v>
      </c>
      <c r="X508" s="131">
        <f t="shared" ca="1" si="379"/>
        <v>61598</v>
      </c>
      <c r="Y508" s="102">
        <f t="shared" si="380"/>
        <v>0</v>
      </c>
      <c r="Z508" s="102">
        <f t="shared" si="381"/>
        <v>0</v>
      </c>
      <c r="AA508" s="102">
        <f t="shared" si="382"/>
        <v>0</v>
      </c>
      <c r="AB508" s="102">
        <f t="shared" si="383"/>
        <v>0</v>
      </c>
      <c r="AH508" s="100">
        <v>507</v>
      </c>
      <c r="AI508" s="131">
        <f t="shared" ca="1" si="384"/>
        <v>61598</v>
      </c>
      <c r="AJ508" s="102">
        <f t="shared" si="385"/>
        <v>0</v>
      </c>
      <c r="AK508" s="102">
        <f t="shared" si="386"/>
        <v>0</v>
      </c>
      <c r="AL508" s="102">
        <f t="shared" si="387"/>
        <v>0</v>
      </c>
      <c r="AM508" s="102">
        <f t="shared" si="388"/>
        <v>0</v>
      </c>
      <c r="AS508" s="530">
        <v>507</v>
      </c>
      <c r="AT508" s="531">
        <f t="shared" ca="1" si="358"/>
        <v>61598</v>
      </c>
      <c r="AU508" s="532">
        <f ca="1">IF(AU507=0,SUMIFS('Key Life Events'!$L$3:$L$28,'Key Life Events'!$H$3:$H$28,'Loan Amortization'!$AY$3,'Key Life Events'!$N$3:$N$28,'Loan Amortization'!AT508),AU507-AX507)</f>
        <v>0</v>
      </c>
      <c r="AV508" s="532">
        <f t="shared" ca="1" si="359"/>
        <v>0</v>
      </c>
      <c r="AW508" s="532">
        <f t="shared" ca="1" si="348"/>
        <v>0</v>
      </c>
      <c r="AX508" s="532">
        <f t="shared" ca="1" si="349"/>
        <v>0</v>
      </c>
      <c r="BC508" s="536">
        <f t="shared" ca="1" si="350"/>
        <v>2068</v>
      </c>
      <c r="BF508" s="530">
        <v>507</v>
      </c>
      <c r="BG508" s="531">
        <f t="shared" ca="1" si="360"/>
        <v>61598</v>
      </c>
      <c r="BH508" s="532">
        <f ca="1">IF(BH507=0,SUMIFS('Key Life Events'!$L$3:$L$28,'Key Life Events'!$H$3:$H$28,'Loan Amortization'!$BL$3,'Key Life Events'!$N$3:$N$28,'Loan Amortization'!BG508),BH507-BK507)</f>
        <v>0</v>
      </c>
      <c r="BI508" s="532">
        <f t="shared" ca="1" si="361"/>
        <v>0</v>
      </c>
      <c r="BJ508" s="532">
        <f t="shared" ca="1" si="362"/>
        <v>0</v>
      </c>
      <c r="BK508" s="532">
        <f t="shared" ca="1" si="351"/>
        <v>0</v>
      </c>
      <c r="BP508" s="536">
        <f t="shared" ca="1" si="352"/>
        <v>2068</v>
      </c>
      <c r="BS508" s="530">
        <v>507</v>
      </c>
      <c r="BT508" s="531">
        <f t="shared" ca="1" si="363"/>
        <v>61598</v>
      </c>
      <c r="BU508" s="532">
        <f ca="1">IF(BU507=0,SUMIFS('Key Life Events'!$L$3:$L$28,'Key Life Events'!$H$3:$H$28,'Loan Amortization'!$BY$3,'Key Life Events'!$N$3:$N$28,'Loan Amortization'!BT508),BU507-BX507)</f>
        <v>0</v>
      </c>
      <c r="BV508" s="532">
        <f t="shared" ca="1" si="368"/>
        <v>0</v>
      </c>
      <c r="BW508" s="532">
        <f t="shared" ca="1" si="364"/>
        <v>0</v>
      </c>
      <c r="BX508" s="532">
        <f t="shared" ca="1" si="353"/>
        <v>0</v>
      </c>
      <c r="CC508" s="536">
        <f t="shared" ca="1" si="354"/>
        <v>2068</v>
      </c>
      <c r="CF508" s="530">
        <v>507</v>
      </c>
      <c r="CG508" s="531">
        <f t="shared" ca="1" si="365"/>
        <v>61598</v>
      </c>
      <c r="CH508" s="532">
        <f ca="1">IF(CH507=0,SUMIFS('Key Life Events'!$L$3:$L$28,'Key Life Events'!$H$3:$H$28,'Loan Amortization'!$CL$3,'Key Life Events'!$N$3:$N$28,'Loan Amortization'!CG508),CH507-CK507)</f>
        <v>0</v>
      </c>
      <c r="CI508" s="532">
        <f t="shared" ca="1" si="366"/>
        <v>0</v>
      </c>
      <c r="CJ508" s="532">
        <f t="shared" ca="1" si="367"/>
        <v>0</v>
      </c>
      <c r="CK508" s="532">
        <f t="shared" ca="1" si="355"/>
        <v>0</v>
      </c>
      <c r="CP508" s="536">
        <f t="shared" ca="1" si="356"/>
        <v>2068</v>
      </c>
      <c r="CS508" s="100">
        <f t="shared" si="389"/>
        <v>507</v>
      </c>
      <c r="CT508" s="102">
        <f t="shared" ca="1" si="390"/>
        <v>0</v>
      </c>
      <c r="CU508" s="102">
        <f t="shared" ca="1" si="391"/>
        <v>0</v>
      </c>
      <c r="CV508" s="511">
        <f t="shared" ca="1" si="357"/>
        <v>2068</v>
      </c>
    </row>
    <row r="509" spans="1:100" x14ac:dyDescent="0.3">
      <c r="A509" s="100">
        <v>508</v>
      </c>
      <c r="B509" s="131">
        <f t="shared" si="369"/>
        <v>14607</v>
      </c>
      <c r="C509" s="102">
        <f t="shared" si="370"/>
        <v>0</v>
      </c>
      <c r="D509" s="102">
        <f t="shared" si="371"/>
        <v>0</v>
      </c>
      <c r="E509" s="102">
        <f t="shared" si="372"/>
        <v>0</v>
      </c>
      <c r="F509" s="102">
        <f t="shared" si="373"/>
        <v>0</v>
      </c>
      <c r="L509" s="100">
        <v>508</v>
      </c>
      <c r="M509" s="131">
        <f t="shared" ca="1" si="374"/>
        <v>61629</v>
      </c>
      <c r="N509" s="102">
        <f t="shared" si="375"/>
        <v>0</v>
      </c>
      <c r="O509" s="102">
        <f t="shared" si="376"/>
        <v>0</v>
      </c>
      <c r="P509" s="102">
        <f t="shared" si="377"/>
        <v>0</v>
      </c>
      <c r="Q509" s="102">
        <f t="shared" si="378"/>
        <v>0</v>
      </c>
      <c r="W509" s="100">
        <v>508</v>
      </c>
      <c r="X509" s="131">
        <f t="shared" ca="1" si="379"/>
        <v>61629</v>
      </c>
      <c r="Y509" s="102">
        <f t="shared" si="380"/>
        <v>0</v>
      </c>
      <c r="Z509" s="102">
        <f t="shared" si="381"/>
        <v>0</v>
      </c>
      <c r="AA509" s="102">
        <f t="shared" si="382"/>
        <v>0</v>
      </c>
      <c r="AB509" s="102">
        <f t="shared" si="383"/>
        <v>0</v>
      </c>
      <c r="AH509" s="100">
        <v>508</v>
      </c>
      <c r="AI509" s="131">
        <f t="shared" ca="1" si="384"/>
        <v>61629</v>
      </c>
      <c r="AJ509" s="102">
        <f t="shared" si="385"/>
        <v>0</v>
      </c>
      <c r="AK509" s="102">
        <f t="shared" si="386"/>
        <v>0</v>
      </c>
      <c r="AL509" s="102">
        <f t="shared" si="387"/>
        <v>0</v>
      </c>
      <c r="AM509" s="102">
        <f t="shared" si="388"/>
        <v>0</v>
      </c>
      <c r="AS509" s="530">
        <v>508</v>
      </c>
      <c r="AT509" s="531">
        <f t="shared" ca="1" si="358"/>
        <v>61629</v>
      </c>
      <c r="AU509" s="532">
        <f ca="1">IF(AU508=0,SUMIFS('Key Life Events'!$L$3:$L$28,'Key Life Events'!$H$3:$H$28,'Loan Amortization'!$AY$3,'Key Life Events'!$N$3:$N$28,'Loan Amortization'!AT509),AU508-AX508)</f>
        <v>0</v>
      </c>
      <c r="AV509" s="532">
        <f t="shared" ca="1" si="359"/>
        <v>0</v>
      </c>
      <c r="AW509" s="532">
        <f t="shared" ca="1" si="348"/>
        <v>0</v>
      </c>
      <c r="AX509" s="532">
        <f t="shared" ca="1" si="349"/>
        <v>0</v>
      </c>
      <c r="BC509" s="536">
        <f t="shared" ca="1" si="350"/>
        <v>2068</v>
      </c>
      <c r="BF509" s="530">
        <v>508</v>
      </c>
      <c r="BG509" s="531">
        <f t="shared" ca="1" si="360"/>
        <v>61629</v>
      </c>
      <c r="BH509" s="532">
        <f ca="1">IF(BH508=0,SUMIFS('Key Life Events'!$L$3:$L$28,'Key Life Events'!$H$3:$H$28,'Loan Amortization'!$BL$3,'Key Life Events'!$N$3:$N$28,'Loan Amortization'!BG509),BH508-BK508)</f>
        <v>0</v>
      </c>
      <c r="BI509" s="532">
        <f t="shared" ca="1" si="361"/>
        <v>0</v>
      </c>
      <c r="BJ509" s="532">
        <f t="shared" ca="1" si="362"/>
        <v>0</v>
      </c>
      <c r="BK509" s="532">
        <f t="shared" ca="1" si="351"/>
        <v>0</v>
      </c>
      <c r="BP509" s="536">
        <f t="shared" ca="1" si="352"/>
        <v>2068</v>
      </c>
      <c r="BS509" s="530">
        <v>508</v>
      </c>
      <c r="BT509" s="531">
        <f t="shared" ca="1" si="363"/>
        <v>61629</v>
      </c>
      <c r="BU509" s="532">
        <f ca="1">IF(BU508=0,SUMIFS('Key Life Events'!$L$3:$L$28,'Key Life Events'!$H$3:$H$28,'Loan Amortization'!$BY$3,'Key Life Events'!$N$3:$N$28,'Loan Amortization'!BT509),BU508-BX508)</f>
        <v>0</v>
      </c>
      <c r="BV509" s="532">
        <f t="shared" ca="1" si="368"/>
        <v>0</v>
      </c>
      <c r="BW509" s="532">
        <f t="shared" ca="1" si="364"/>
        <v>0</v>
      </c>
      <c r="BX509" s="532">
        <f t="shared" ca="1" si="353"/>
        <v>0</v>
      </c>
      <c r="CC509" s="536">
        <f t="shared" ca="1" si="354"/>
        <v>2068</v>
      </c>
      <c r="CF509" s="530">
        <v>508</v>
      </c>
      <c r="CG509" s="531">
        <f t="shared" ca="1" si="365"/>
        <v>61629</v>
      </c>
      <c r="CH509" s="532">
        <f ca="1">IF(CH508=0,SUMIFS('Key Life Events'!$L$3:$L$28,'Key Life Events'!$H$3:$H$28,'Loan Amortization'!$CL$3,'Key Life Events'!$N$3:$N$28,'Loan Amortization'!CG509),CH508-CK508)</f>
        <v>0</v>
      </c>
      <c r="CI509" s="532">
        <f t="shared" ca="1" si="366"/>
        <v>0</v>
      </c>
      <c r="CJ509" s="532">
        <f t="shared" ca="1" si="367"/>
        <v>0</v>
      </c>
      <c r="CK509" s="532">
        <f t="shared" ca="1" si="355"/>
        <v>0</v>
      </c>
      <c r="CP509" s="536">
        <f t="shared" ca="1" si="356"/>
        <v>2068</v>
      </c>
      <c r="CS509" s="100">
        <f t="shared" si="389"/>
        <v>508</v>
      </c>
      <c r="CT509" s="102">
        <f t="shared" ca="1" si="390"/>
        <v>0</v>
      </c>
      <c r="CU509" s="102">
        <f t="shared" ca="1" si="391"/>
        <v>0</v>
      </c>
      <c r="CV509" s="511">
        <f t="shared" ca="1" si="357"/>
        <v>2068</v>
      </c>
    </row>
    <row r="510" spans="1:100" x14ac:dyDescent="0.3">
      <c r="A510" s="100">
        <v>509</v>
      </c>
      <c r="B510" s="131">
        <f t="shared" si="369"/>
        <v>14638</v>
      </c>
      <c r="C510" s="102">
        <f t="shared" si="370"/>
        <v>0</v>
      </c>
      <c r="D510" s="102">
        <f t="shared" si="371"/>
        <v>0</v>
      </c>
      <c r="E510" s="102">
        <f t="shared" si="372"/>
        <v>0</v>
      </c>
      <c r="F510" s="102">
        <f t="shared" si="373"/>
        <v>0</v>
      </c>
      <c r="L510" s="100">
        <v>509</v>
      </c>
      <c r="M510" s="131">
        <f t="shared" ca="1" si="374"/>
        <v>61659</v>
      </c>
      <c r="N510" s="102">
        <f t="shared" si="375"/>
        <v>0</v>
      </c>
      <c r="O510" s="102">
        <f t="shared" si="376"/>
        <v>0</v>
      </c>
      <c r="P510" s="102">
        <f t="shared" si="377"/>
        <v>0</v>
      </c>
      <c r="Q510" s="102">
        <f t="shared" si="378"/>
        <v>0</v>
      </c>
      <c r="W510" s="100">
        <v>509</v>
      </c>
      <c r="X510" s="131">
        <f t="shared" ca="1" si="379"/>
        <v>61659</v>
      </c>
      <c r="Y510" s="102">
        <f t="shared" si="380"/>
        <v>0</v>
      </c>
      <c r="Z510" s="102">
        <f t="shared" si="381"/>
        <v>0</v>
      </c>
      <c r="AA510" s="102">
        <f t="shared" si="382"/>
        <v>0</v>
      </c>
      <c r="AB510" s="102">
        <f t="shared" si="383"/>
        <v>0</v>
      </c>
      <c r="AH510" s="100">
        <v>509</v>
      </c>
      <c r="AI510" s="131">
        <f t="shared" ca="1" si="384"/>
        <v>61659</v>
      </c>
      <c r="AJ510" s="102">
        <f t="shared" si="385"/>
        <v>0</v>
      </c>
      <c r="AK510" s="102">
        <f t="shared" si="386"/>
        <v>0</v>
      </c>
      <c r="AL510" s="102">
        <f t="shared" si="387"/>
        <v>0</v>
      </c>
      <c r="AM510" s="102">
        <f t="shared" si="388"/>
        <v>0</v>
      </c>
      <c r="AS510" s="530">
        <v>509</v>
      </c>
      <c r="AT510" s="531">
        <f t="shared" ca="1" si="358"/>
        <v>61659</v>
      </c>
      <c r="AU510" s="532">
        <f ca="1">IF(AU509=0,SUMIFS('Key Life Events'!$L$3:$L$28,'Key Life Events'!$H$3:$H$28,'Loan Amortization'!$AY$3,'Key Life Events'!$N$3:$N$28,'Loan Amortization'!AT510),AU509-AX509)</f>
        <v>0</v>
      </c>
      <c r="AV510" s="532">
        <f t="shared" ca="1" si="359"/>
        <v>0</v>
      </c>
      <c r="AW510" s="532">
        <f t="shared" ca="1" si="348"/>
        <v>0</v>
      </c>
      <c r="AX510" s="532">
        <f t="shared" ca="1" si="349"/>
        <v>0</v>
      </c>
      <c r="BC510" s="536">
        <f t="shared" ca="1" si="350"/>
        <v>2068</v>
      </c>
      <c r="BF510" s="530">
        <v>509</v>
      </c>
      <c r="BG510" s="531">
        <f t="shared" ca="1" si="360"/>
        <v>61659</v>
      </c>
      <c r="BH510" s="532">
        <f ca="1">IF(BH509=0,SUMIFS('Key Life Events'!$L$3:$L$28,'Key Life Events'!$H$3:$H$28,'Loan Amortization'!$BL$3,'Key Life Events'!$N$3:$N$28,'Loan Amortization'!BG510),BH509-BK509)</f>
        <v>0</v>
      </c>
      <c r="BI510" s="532">
        <f t="shared" ca="1" si="361"/>
        <v>0</v>
      </c>
      <c r="BJ510" s="532">
        <f t="shared" ca="1" si="362"/>
        <v>0</v>
      </c>
      <c r="BK510" s="532">
        <f t="shared" ca="1" si="351"/>
        <v>0</v>
      </c>
      <c r="BP510" s="536">
        <f t="shared" ca="1" si="352"/>
        <v>2068</v>
      </c>
      <c r="BS510" s="530">
        <v>509</v>
      </c>
      <c r="BT510" s="531">
        <f t="shared" ca="1" si="363"/>
        <v>61659</v>
      </c>
      <c r="BU510" s="532">
        <f ca="1">IF(BU509=0,SUMIFS('Key Life Events'!$L$3:$L$28,'Key Life Events'!$H$3:$H$28,'Loan Amortization'!$BY$3,'Key Life Events'!$N$3:$N$28,'Loan Amortization'!BT510),BU509-BX509)</f>
        <v>0</v>
      </c>
      <c r="BV510" s="532">
        <f t="shared" ca="1" si="368"/>
        <v>0</v>
      </c>
      <c r="BW510" s="532">
        <f t="shared" ca="1" si="364"/>
        <v>0</v>
      </c>
      <c r="BX510" s="532">
        <f t="shared" ca="1" si="353"/>
        <v>0</v>
      </c>
      <c r="CC510" s="536">
        <f t="shared" ca="1" si="354"/>
        <v>2068</v>
      </c>
      <c r="CF510" s="530">
        <v>509</v>
      </c>
      <c r="CG510" s="531">
        <f t="shared" ca="1" si="365"/>
        <v>61659</v>
      </c>
      <c r="CH510" s="532">
        <f ca="1">IF(CH509=0,SUMIFS('Key Life Events'!$L$3:$L$28,'Key Life Events'!$H$3:$H$28,'Loan Amortization'!$CL$3,'Key Life Events'!$N$3:$N$28,'Loan Amortization'!CG510),CH509-CK509)</f>
        <v>0</v>
      </c>
      <c r="CI510" s="532">
        <f t="shared" ca="1" si="366"/>
        <v>0</v>
      </c>
      <c r="CJ510" s="532">
        <f t="shared" ca="1" si="367"/>
        <v>0</v>
      </c>
      <c r="CK510" s="532">
        <f t="shared" ca="1" si="355"/>
        <v>0</v>
      </c>
      <c r="CP510" s="536">
        <f t="shared" ca="1" si="356"/>
        <v>2068</v>
      </c>
      <c r="CS510" s="100">
        <f t="shared" si="389"/>
        <v>509</v>
      </c>
      <c r="CT510" s="102">
        <f t="shared" ca="1" si="390"/>
        <v>0</v>
      </c>
      <c r="CU510" s="102">
        <f t="shared" ca="1" si="391"/>
        <v>0</v>
      </c>
      <c r="CV510" s="511">
        <f t="shared" ca="1" si="357"/>
        <v>2068</v>
      </c>
    </row>
    <row r="511" spans="1:100" x14ac:dyDescent="0.3">
      <c r="A511" s="100">
        <v>510</v>
      </c>
      <c r="B511" s="131">
        <f t="shared" si="369"/>
        <v>14669</v>
      </c>
      <c r="C511" s="102">
        <f t="shared" si="370"/>
        <v>0</v>
      </c>
      <c r="D511" s="102">
        <f t="shared" si="371"/>
        <v>0</v>
      </c>
      <c r="E511" s="102">
        <f t="shared" si="372"/>
        <v>0</v>
      </c>
      <c r="F511" s="102">
        <f t="shared" si="373"/>
        <v>0</v>
      </c>
      <c r="L511" s="100">
        <v>510</v>
      </c>
      <c r="M511" s="131">
        <f t="shared" ca="1" si="374"/>
        <v>61690</v>
      </c>
      <c r="N511" s="102">
        <f t="shared" si="375"/>
        <v>0</v>
      </c>
      <c r="O511" s="102">
        <f t="shared" si="376"/>
        <v>0</v>
      </c>
      <c r="P511" s="102">
        <f t="shared" si="377"/>
        <v>0</v>
      </c>
      <c r="Q511" s="102">
        <f t="shared" si="378"/>
        <v>0</v>
      </c>
      <c r="W511" s="100">
        <v>510</v>
      </c>
      <c r="X511" s="131">
        <f t="shared" ca="1" si="379"/>
        <v>61690</v>
      </c>
      <c r="Y511" s="102">
        <f t="shared" si="380"/>
        <v>0</v>
      </c>
      <c r="Z511" s="102">
        <f t="shared" si="381"/>
        <v>0</v>
      </c>
      <c r="AA511" s="102">
        <f t="shared" si="382"/>
        <v>0</v>
      </c>
      <c r="AB511" s="102">
        <f t="shared" si="383"/>
        <v>0</v>
      </c>
      <c r="AH511" s="100">
        <v>510</v>
      </c>
      <c r="AI511" s="131">
        <f t="shared" ca="1" si="384"/>
        <v>61690</v>
      </c>
      <c r="AJ511" s="102">
        <f t="shared" si="385"/>
        <v>0</v>
      </c>
      <c r="AK511" s="102">
        <f t="shared" si="386"/>
        <v>0</v>
      </c>
      <c r="AL511" s="102">
        <f t="shared" si="387"/>
        <v>0</v>
      </c>
      <c r="AM511" s="102">
        <f t="shared" si="388"/>
        <v>0</v>
      </c>
      <c r="AS511" s="530">
        <v>510</v>
      </c>
      <c r="AT511" s="531">
        <f t="shared" ca="1" si="358"/>
        <v>61690</v>
      </c>
      <c r="AU511" s="532">
        <f ca="1">IF(AU510=0,SUMIFS('Key Life Events'!$L$3:$L$28,'Key Life Events'!$H$3:$H$28,'Loan Amortization'!$AY$3,'Key Life Events'!$N$3:$N$28,'Loan Amortization'!AT511),AU510-AX510)</f>
        <v>0</v>
      </c>
      <c r="AV511" s="532">
        <f t="shared" ca="1" si="359"/>
        <v>0</v>
      </c>
      <c r="AW511" s="532">
        <f t="shared" ca="1" si="348"/>
        <v>0</v>
      </c>
      <c r="AX511" s="532">
        <f t="shared" ca="1" si="349"/>
        <v>0</v>
      </c>
      <c r="BC511" s="536">
        <f t="shared" ca="1" si="350"/>
        <v>2068</v>
      </c>
      <c r="BF511" s="530">
        <v>510</v>
      </c>
      <c r="BG511" s="531">
        <f t="shared" ca="1" si="360"/>
        <v>61690</v>
      </c>
      <c r="BH511" s="532">
        <f ca="1">IF(BH510=0,SUMIFS('Key Life Events'!$L$3:$L$28,'Key Life Events'!$H$3:$H$28,'Loan Amortization'!$BL$3,'Key Life Events'!$N$3:$N$28,'Loan Amortization'!BG511),BH510-BK510)</f>
        <v>0</v>
      </c>
      <c r="BI511" s="532">
        <f t="shared" ca="1" si="361"/>
        <v>0</v>
      </c>
      <c r="BJ511" s="532">
        <f t="shared" ca="1" si="362"/>
        <v>0</v>
      </c>
      <c r="BK511" s="532">
        <f t="shared" ca="1" si="351"/>
        <v>0</v>
      </c>
      <c r="BP511" s="536">
        <f t="shared" ca="1" si="352"/>
        <v>2068</v>
      </c>
      <c r="BS511" s="530">
        <v>510</v>
      </c>
      <c r="BT511" s="531">
        <f t="shared" ca="1" si="363"/>
        <v>61690</v>
      </c>
      <c r="BU511" s="532">
        <f ca="1">IF(BU510=0,SUMIFS('Key Life Events'!$L$3:$L$28,'Key Life Events'!$H$3:$H$28,'Loan Amortization'!$BY$3,'Key Life Events'!$N$3:$N$28,'Loan Amortization'!BT511),BU510-BX510)</f>
        <v>0</v>
      </c>
      <c r="BV511" s="532">
        <f t="shared" ca="1" si="368"/>
        <v>0</v>
      </c>
      <c r="BW511" s="532">
        <f t="shared" ca="1" si="364"/>
        <v>0</v>
      </c>
      <c r="BX511" s="532">
        <f t="shared" ca="1" si="353"/>
        <v>0</v>
      </c>
      <c r="CC511" s="536">
        <f t="shared" ca="1" si="354"/>
        <v>2068</v>
      </c>
      <c r="CF511" s="530">
        <v>510</v>
      </c>
      <c r="CG511" s="531">
        <f t="shared" ca="1" si="365"/>
        <v>61690</v>
      </c>
      <c r="CH511" s="532">
        <f ca="1">IF(CH510=0,SUMIFS('Key Life Events'!$L$3:$L$28,'Key Life Events'!$H$3:$H$28,'Loan Amortization'!$CL$3,'Key Life Events'!$N$3:$N$28,'Loan Amortization'!CG511),CH510-CK510)</f>
        <v>0</v>
      </c>
      <c r="CI511" s="532">
        <f t="shared" ca="1" si="366"/>
        <v>0</v>
      </c>
      <c r="CJ511" s="532">
        <f t="shared" ca="1" si="367"/>
        <v>0</v>
      </c>
      <c r="CK511" s="532">
        <f t="shared" ca="1" si="355"/>
        <v>0</v>
      </c>
      <c r="CP511" s="536">
        <f t="shared" ca="1" si="356"/>
        <v>2068</v>
      </c>
      <c r="CS511" s="100">
        <f t="shared" si="389"/>
        <v>510</v>
      </c>
      <c r="CT511" s="102">
        <f t="shared" ca="1" si="390"/>
        <v>0</v>
      </c>
      <c r="CU511" s="102">
        <f t="shared" ca="1" si="391"/>
        <v>0</v>
      </c>
      <c r="CV511" s="511">
        <f t="shared" ca="1" si="357"/>
        <v>2068</v>
      </c>
    </row>
    <row r="512" spans="1:100" x14ac:dyDescent="0.3">
      <c r="A512" s="100">
        <v>511</v>
      </c>
      <c r="B512" s="131">
        <f t="shared" si="369"/>
        <v>14698</v>
      </c>
      <c r="C512" s="102">
        <f t="shared" si="370"/>
        <v>0</v>
      </c>
      <c r="D512" s="102">
        <f t="shared" si="371"/>
        <v>0</v>
      </c>
      <c r="E512" s="102">
        <f t="shared" si="372"/>
        <v>0</v>
      </c>
      <c r="F512" s="102">
        <f t="shared" si="373"/>
        <v>0</v>
      </c>
      <c r="L512" s="100">
        <v>511</v>
      </c>
      <c r="M512" s="131">
        <f t="shared" ca="1" si="374"/>
        <v>61720</v>
      </c>
      <c r="N512" s="102">
        <f t="shared" si="375"/>
        <v>0</v>
      </c>
      <c r="O512" s="102">
        <f t="shared" si="376"/>
        <v>0</v>
      </c>
      <c r="P512" s="102">
        <f t="shared" si="377"/>
        <v>0</v>
      </c>
      <c r="Q512" s="102">
        <f t="shared" si="378"/>
        <v>0</v>
      </c>
      <c r="W512" s="100">
        <v>511</v>
      </c>
      <c r="X512" s="131">
        <f t="shared" ca="1" si="379"/>
        <v>61720</v>
      </c>
      <c r="Y512" s="102">
        <f t="shared" si="380"/>
        <v>0</v>
      </c>
      <c r="Z512" s="102">
        <f t="shared" si="381"/>
        <v>0</v>
      </c>
      <c r="AA512" s="102">
        <f t="shared" si="382"/>
        <v>0</v>
      </c>
      <c r="AB512" s="102">
        <f t="shared" si="383"/>
        <v>0</v>
      </c>
      <c r="AH512" s="100">
        <v>511</v>
      </c>
      <c r="AI512" s="131">
        <f t="shared" ca="1" si="384"/>
        <v>61720</v>
      </c>
      <c r="AJ512" s="102">
        <f t="shared" si="385"/>
        <v>0</v>
      </c>
      <c r="AK512" s="102">
        <f t="shared" si="386"/>
        <v>0</v>
      </c>
      <c r="AL512" s="102">
        <f t="shared" si="387"/>
        <v>0</v>
      </c>
      <c r="AM512" s="102">
        <f t="shared" si="388"/>
        <v>0</v>
      </c>
      <c r="AS512" s="530">
        <v>511</v>
      </c>
      <c r="AT512" s="531">
        <f t="shared" ca="1" si="358"/>
        <v>61720</v>
      </c>
      <c r="AU512" s="532">
        <f ca="1">IF(AU511=0,SUMIFS('Key Life Events'!$L$3:$L$28,'Key Life Events'!$H$3:$H$28,'Loan Amortization'!$AY$3,'Key Life Events'!$N$3:$N$28,'Loan Amortization'!AT512),AU511-AX511)</f>
        <v>0</v>
      </c>
      <c r="AV512" s="532">
        <f t="shared" ca="1" si="359"/>
        <v>0</v>
      </c>
      <c r="AW512" s="532">
        <f t="shared" ca="1" si="348"/>
        <v>0</v>
      </c>
      <c r="AX512" s="532">
        <f t="shared" ca="1" si="349"/>
        <v>0</v>
      </c>
      <c r="BC512" s="536">
        <f t="shared" ca="1" si="350"/>
        <v>2068</v>
      </c>
      <c r="BF512" s="530">
        <v>511</v>
      </c>
      <c r="BG512" s="531">
        <f t="shared" ca="1" si="360"/>
        <v>61720</v>
      </c>
      <c r="BH512" s="532">
        <f ca="1">IF(BH511=0,SUMIFS('Key Life Events'!$L$3:$L$28,'Key Life Events'!$H$3:$H$28,'Loan Amortization'!$BL$3,'Key Life Events'!$N$3:$N$28,'Loan Amortization'!BG512),BH511-BK511)</f>
        <v>0</v>
      </c>
      <c r="BI512" s="532">
        <f t="shared" ca="1" si="361"/>
        <v>0</v>
      </c>
      <c r="BJ512" s="532">
        <f t="shared" ca="1" si="362"/>
        <v>0</v>
      </c>
      <c r="BK512" s="532">
        <f t="shared" ca="1" si="351"/>
        <v>0</v>
      </c>
      <c r="BP512" s="536">
        <f t="shared" ca="1" si="352"/>
        <v>2068</v>
      </c>
      <c r="BS512" s="530">
        <v>511</v>
      </c>
      <c r="BT512" s="531">
        <f t="shared" ca="1" si="363"/>
        <v>61720</v>
      </c>
      <c r="BU512" s="532">
        <f ca="1">IF(BU511=0,SUMIFS('Key Life Events'!$L$3:$L$28,'Key Life Events'!$H$3:$H$28,'Loan Amortization'!$BY$3,'Key Life Events'!$N$3:$N$28,'Loan Amortization'!BT512),BU511-BX511)</f>
        <v>0</v>
      </c>
      <c r="BV512" s="532">
        <f t="shared" ca="1" si="368"/>
        <v>0</v>
      </c>
      <c r="BW512" s="532">
        <f t="shared" ca="1" si="364"/>
        <v>0</v>
      </c>
      <c r="BX512" s="532">
        <f t="shared" ca="1" si="353"/>
        <v>0</v>
      </c>
      <c r="CC512" s="536">
        <f t="shared" ca="1" si="354"/>
        <v>2068</v>
      </c>
      <c r="CF512" s="530">
        <v>511</v>
      </c>
      <c r="CG512" s="531">
        <f t="shared" ca="1" si="365"/>
        <v>61720</v>
      </c>
      <c r="CH512" s="532">
        <f ca="1">IF(CH511=0,SUMIFS('Key Life Events'!$L$3:$L$28,'Key Life Events'!$H$3:$H$28,'Loan Amortization'!$CL$3,'Key Life Events'!$N$3:$N$28,'Loan Amortization'!CG512),CH511-CK511)</f>
        <v>0</v>
      </c>
      <c r="CI512" s="532">
        <f t="shared" ca="1" si="366"/>
        <v>0</v>
      </c>
      <c r="CJ512" s="532">
        <f t="shared" ca="1" si="367"/>
        <v>0</v>
      </c>
      <c r="CK512" s="532">
        <f t="shared" ca="1" si="355"/>
        <v>0</v>
      </c>
      <c r="CP512" s="536">
        <f t="shared" ca="1" si="356"/>
        <v>2068</v>
      </c>
      <c r="CS512" s="100">
        <f t="shared" si="389"/>
        <v>511</v>
      </c>
      <c r="CT512" s="102">
        <f t="shared" ca="1" si="390"/>
        <v>0</v>
      </c>
      <c r="CU512" s="102">
        <f t="shared" ca="1" si="391"/>
        <v>0</v>
      </c>
      <c r="CV512" s="511">
        <f t="shared" ca="1" si="357"/>
        <v>2068</v>
      </c>
    </row>
    <row r="513" spans="1:100" x14ac:dyDescent="0.3">
      <c r="A513" s="100">
        <v>512</v>
      </c>
      <c r="B513" s="131">
        <f t="shared" si="369"/>
        <v>14729</v>
      </c>
      <c r="C513" s="102">
        <f t="shared" si="370"/>
        <v>0</v>
      </c>
      <c r="D513" s="102">
        <f t="shared" si="371"/>
        <v>0</v>
      </c>
      <c r="E513" s="102">
        <f t="shared" si="372"/>
        <v>0</v>
      </c>
      <c r="F513" s="102">
        <f t="shared" si="373"/>
        <v>0</v>
      </c>
      <c r="L513" s="100">
        <v>512</v>
      </c>
      <c r="M513" s="131">
        <f t="shared" ca="1" si="374"/>
        <v>61751</v>
      </c>
      <c r="N513" s="102">
        <f t="shared" si="375"/>
        <v>0</v>
      </c>
      <c r="O513" s="102">
        <f t="shared" si="376"/>
        <v>0</v>
      </c>
      <c r="P513" s="102">
        <f t="shared" si="377"/>
        <v>0</v>
      </c>
      <c r="Q513" s="102">
        <f t="shared" si="378"/>
        <v>0</v>
      </c>
      <c r="W513" s="100">
        <v>512</v>
      </c>
      <c r="X513" s="131">
        <f t="shared" ca="1" si="379"/>
        <v>61751</v>
      </c>
      <c r="Y513" s="102">
        <f t="shared" si="380"/>
        <v>0</v>
      </c>
      <c r="Z513" s="102">
        <f t="shared" si="381"/>
        <v>0</v>
      </c>
      <c r="AA513" s="102">
        <f t="shared" si="382"/>
        <v>0</v>
      </c>
      <c r="AB513" s="102">
        <f t="shared" si="383"/>
        <v>0</v>
      </c>
      <c r="AH513" s="100">
        <v>512</v>
      </c>
      <c r="AI513" s="131">
        <f t="shared" ca="1" si="384"/>
        <v>61751</v>
      </c>
      <c r="AJ513" s="102">
        <f t="shared" si="385"/>
        <v>0</v>
      </c>
      <c r="AK513" s="102">
        <f t="shared" si="386"/>
        <v>0</v>
      </c>
      <c r="AL513" s="102">
        <f t="shared" si="387"/>
        <v>0</v>
      </c>
      <c r="AM513" s="102">
        <f t="shared" si="388"/>
        <v>0</v>
      </c>
      <c r="AS513" s="530">
        <v>512</v>
      </c>
      <c r="AT513" s="531">
        <f t="shared" ca="1" si="358"/>
        <v>61751</v>
      </c>
      <c r="AU513" s="532">
        <f ca="1">IF(AU512=0,SUMIFS('Key Life Events'!$L$3:$L$28,'Key Life Events'!$H$3:$H$28,'Loan Amortization'!$AY$3,'Key Life Events'!$N$3:$N$28,'Loan Amortization'!AT513),AU512-AX512)</f>
        <v>0</v>
      </c>
      <c r="AV513" s="532">
        <f t="shared" ca="1" si="359"/>
        <v>0</v>
      </c>
      <c r="AW513" s="532">
        <f t="shared" ca="1" si="348"/>
        <v>0</v>
      </c>
      <c r="AX513" s="532">
        <f t="shared" ca="1" si="349"/>
        <v>0</v>
      </c>
      <c r="BC513" s="536">
        <f t="shared" ca="1" si="350"/>
        <v>2069</v>
      </c>
      <c r="BF513" s="530">
        <v>512</v>
      </c>
      <c r="BG513" s="531">
        <f t="shared" ca="1" si="360"/>
        <v>61751</v>
      </c>
      <c r="BH513" s="532">
        <f ca="1">IF(BH512=0,SUMIFS('Key Life Events'!$L$3:$L$28,'Key Life Events'!$H$3:$H$28,'Loan Amortization'!$BL$3,'Key Life Events'!$N$3:$N$28,'Loan Amortization'!BG513),BH512-BK512)</f>
        <v>0</v>
      </c>
      <c r="BI513" s="532">
        <f t="shared" ca="1" si="361"/>
        <v>0</v>
      </c>
      <c r="BJ513" s="532">
        <f t="shared" ca="1" si="362"/>
        <v>0</v>
      </c>
      <c r="BK513" s="532">
        <f t="shared" ca="1" si="351"/>
        <v>0</v>
      </c>
      <c r="BP513" s="536">
        <f t="shared" ca="1" si="352"/>
        <v>2069</v>
      </c>
      <c r="BS513" s="530">
        <v>512</v>
      </c>
      <c r="BT513" s="531">
        <f t="shared" ca="1" si="363"/>
        <v>61751</v>
      </c>
      <c r="BU513" s="532">
        <f ca="1">IF(BU512=0,SUMIFS('Key Life Events'!$L$3:$L$28,'Key Life Events'!$H$3:$H$28,'Loan Amortization'!$BY$3,'Key Life Events'!$N$3:$N$28,'Loan Amortization'!BT513),BU512-BX512)</f>
        <v>0</v>
      </c>
      <c r="BV513" s="532">
        <f t="shared" ca="1" si="368"/>
        <v>0</v>
      </c>
      <c r="BW513" s="532">
        <f t="shared" ca="1" si="364"/>
        <v>0</v>
      </c>
      <c r="BX513" s="532">
        <f t="shared" ca="1" si="353"/>
        <v>0</v>
      </c>
      <c r="CC513" s="536">
        <f t="shared" ca="1" si="354"/>
        <v>2069</v>
      </c>
      <c r="CF513" s="530">
        <v>512</v>
      </c>
      <c r="CG513" s="531">
        <f t="shared" ca="1" si="365"/>
        <v>61751</v>
      </c>
      <c r="CH513" s="532">
        <f ca="1">IF(CH512=0,SUMIFS('Key Life Events'!$L$3:$L$28,'Key Life Events'!$H$3:$H$28,'Loan Amortization'!$CL$3,'Key Life Events'!$N$3:$N$28,'Loan Amortization'!CG513),CH512-CK512)</f>
        <v>0</v>
      </c>
      <c r="CI513" s="532">
        <f t="shared" ca="1" si="366"/>
        <v>0</v>
      </c>
      <c r="CJ513" s="532">
        <f t="shared" ca="1" si="367"/>
        <v>0</v>
      </c>
      <c r="CK513" s="532">
        <f t="shared" ca="1" si="355"/>
        <v>0</v>
      </c>
      <c r="CP513" s="536">
        <f t="shared" ca="1" si="356"/>
        <v>2069</v>
      </c>
      <c r="CS513" s="100">
        <f t="shared" si="389"/>
        <v>512</v>
      </c>
      <c r="CT513" s="102">
        <f t="shared" ca="1" si="390"/>
        <v>0</v>
      </c>
      <c r="CU513" s="102">
        <f t="shared" ca="1" si="391"/>
        <v>0</v>
      </c>
      <c r="CV513" s="511">
        <f t="shared" ca="1" si="357"/>
        <v>2069</v>
      </c>
    </row>
    <row r="514" spans="1:100" x14ac:dyDescent="0.3">
      <c r="A514" s="100">
        <v>513</v>
      </c>
      <c r="B514" s="131">
        <f t="shared" si="369"/>
        <v>14759</v>
      </c>
      <c r="C514" s="102">
        <f t="shared" si="370"/>
        <v>0</v>
      </c>
      <c r="D514" s="102">
        <f t="shared" si="371"/>
        <v>0</v>
      </c>
      <c r="E514" s="102">
        <f t="shared" si="372"/>
        <v>0</v>
      </c>
      <c r="F514" s="102">
        <f t="shared" si="373"/>
        <v>0</v>
      </c>
      <c r="L514" s="100">
        <v>513</v>
      </c>
      <c r="M514" s="131">
        <f t="shared" ca="1" si="374"/>
        <v>61782</v>
      </c>
      <c r="N514" s="102">
        <f t="shared" si="375"/>
        <v>0</v>
      </c>
      <c r="O514" s="102">
        <f t="shared" si="376"/>
        <v>0</v>
      </c>
      <c r="P514" s="102">
        <f t="shared" si="377"/>
        <v>0</v>
      </c>
      <c r="Q514" s="102">
        <f t="shared" si="378"/>
        <v>0</v>
      </c>
      <c r="W514" s="100">
        <v>513</v>
      </c>
      <c r="X514" s="131">
        <f t="shared" ca="1" si="379"/>
        <v>61782</v>
      </c>
      <c r="Y514" s="102">
        <f t="shared" si="380"/>
        <v>0</v>
      </c>
      <c r="Z514" s="102">
        <f t="shared" si="381"/>
        <v>0</v>
      </c>
      <c r="AA514" s="102">
        <f t="shared" si="382"/>
        <v>0</v>
      </c>
      <c r="AB514" s="102">
        <f t="shared" si="383"/>
        <v>0</v>
      </c>
      <c r="AH514" s="100">
        <v>513</v>
      </c>
      <c r="AI514" s="131">
        <f t="shared" ca="1" si="384"/>
        <v>61782</v>
      </c>
      <c r="AJ514" s="102">
        <f t="shared" si="385"/>
        <v>0</v>
      </c>
      <c r="AK514" s="102">
        <f t="shared" si="386"/>
        <v>0</v>
      </c>
      <c r="AL514" s="102">
        <f t="shared" si="387"/>
        <v>0</v>
      </c>
      <c r="AM514" s="102">
        <f t="shared" si="388"/>
        <v>0</v>
      </c>
      <c r="AS514" s="530">
        <v>513</v>
      </c>
      <c r="AT514" s="531">
        <f t="shared" ca="1" si="358"/>
        <v>61782</v>
      </c>
      <c r="AU514" s="532">
        <f ca="1">IF(AU513=0,SUMIFS('Key Life Events'!$L$3:$L$28,'Key Life Events'!$H$3:$H$28,'Loan Amortization'!$AY$3,'Key Life Events'!$N$3:$N$28,'Loan Amortization'!AT514),AU513-AX513)</f>
        <v>0</v>
      </c>
      <c r="AV514" s="532">
        <f t="shared" ca="1" si="359"/>
        <v>0</v>
      </c>
      <c r="AW514" s="532">
        <f t="shared" ref="AW514:AW577" ca="1" si="392">(AU514*AZ$1)/12</f>
        <v>0</v>
      </c>
      <c r="AX514" s="532">
        <f t="shared" ca="1" si="349"/>
        <v>0</v>
      </c>
      <c r="BC514" s="536">
        <f t="shared" ca="1" si="350"/>
        <v>2069</v>
      </c>
      <c r="BF514" s="530">
        <v>513</v>
      </c>
      <c r="BG514" s="531">
        <f t="shared" ca="1" si="360"/>
        <v>61782</v>
      </c>
      <c r="BH514" s="532">
        <f ca="1">IF(BH513=0,SUMIFS('Key Life Events'!$L$3:$L$28,'Key Life Events'!$H$3:$H$28,'Loan Amortization'!$BL$3,'Key Life Events'!$N$3:$N$28,'Loan Amortization'!BG514),BH513-BK513)</f>
        <v>0</v>
      </c>
      <c r="BI514" s="532">
        <f t="shared" ca="1" si="361"/>
        <v>0</v>
      </c>
      <c r="BJ514" s="532">
        <f t="shared" ca="1" si="362"/>
        <v>0</v>
      </c>
      <c r="BK514" s="532">
        <f t="shared" ca="1" si="351"/>
        <v>0</v>
      </c>
      <c r="BP514" s="536">
        <f t="shared" ca="1" si="352"/>
        <v>2069</v>
      </c>
      <c r="BS514" s="530">
        <v>513</v>
      </c>
      <c r="BT514" s="531">
        <f t="shared" ca="1" si="363"/>
        <v>61782</v>
      </c>
      <c r="BU514" s="532">
        <f ca="1">IF(BU513=0,SUMIFS('Key Life Events'!$L$3:$L$28,'Key Life Events'!$H$3:$H$28,'Loan Amortization'!$BY$3,'Key Life Events'!$N$3:$N$28,'Loan Amortization'!BT514),BU513-BX513)</f>
        <v>0</v>
      </c>
      <c r="BV514" s="532">
        <f t="shared" ca="1" si="368"/>
        <v>0</v>
      </c>
      <c r="BW514" s="532">
        <f t="shared" ca="1" si="364"/>
        <v>0</v>
      </c>
      <c r="BX514" s="532">
        <f t="shared" ca="1" si="353"/>
        <v>0</v>
      </c>
      <c r="CC514" s="536">
        <f t="shared" ca="1" si="354"/>
        <v>2069</v>
      </c>
      <c r="CF514" s="530">
        <v>513</v>
      </c>
      <c r="CG514" s="531">
        <f t="shared" ca="1" si="365"/>
        <v>61782</v>
      </c>
      <c r="CH514" s="532">
        <f ca="1">IF(CH513=0,SUMIFS('Key Life Events'!$L$3:$L$28,'Key Life Events'!$H$3:$H$28,'Loan Amortization'!$CL$3,'Key Life Events'!$N$3:$N$28,'Loan Amortization'!CG514),CH513-CK513)</f>
        <v>0</v>
      </c>
      <c r="CI514" s="532">
        <f t="shared" ca="1" si="366"/>
        <v>0</v>
      </c>
      <c r="CJ514" s="532">
        <f t="shared" ca="1" si="367"/>
        <v>0</v>
      </c>
      <c r="CK514" s="532">
        <f t="shared" ca="1" si="355"/>
        <v>0</v>
      </c>
      <c r="CP514" s="536">
        <f t="shared" ca="1" si="356"/>
        <v>2069</v>
      </c>
      <c r="CS514" s="100">
        <f t="shared" si="389"/>
        <v>513</v>
      </c>
      <c r="CT514" s="102">
        <f t="shared" ca="1" si="390"/>
        <v>0</v>
      </c>
      <c r="CU514" s="102">
        <f t="shared" ca="1" si="391"/>
        <v>0</v>
      </c>
      <c r="CV514" s="511">
        <f t="shared" ca="1" si="357"/>
        <v>2069</v>
      </c>
    </row>
    <row r="515" spans="1:100" x14ac:dyDescent="0.3">
      <c r="A515" s="100">
        <v>514</v>
      </c>
      <c r="B515" s="131">
        <f t="shared" si="369"/>
        <v>14790</v>
      </c>
      <c r="C515" s="102">
        <f t="shared" si="370"/>
        <v>0</v>
      </c>
      <c r="D515" s="102">
        <f t="shared" si="371"/>
        <v>0</v>
      </c>
      <c r="E515" s="102">
        <f t="shared" si="372"/>
        <v>0</v>
      </c>
      <c r="F515" s="102">
        <f t="shared" si="373"/>
        <v>0</v>
      </c>
      <c r="L515" s="100">
        <v>514</v>
      </c>
      <c r="M515" s="131">
        <f t="shared" ca="1" si="374"/>
        <v>61810</v>
      </c>
      <c r="N515" s="102">
        <f t="shared" si="375"/>
        <v>0</v>
      </c>
      <c r="O515" s="102">
        <f t="shared" si="376"/>
        <v>0</v>
      </c>
      <c r="P515" s="102">
        <f t="shared" si="377"/>
        <v>0</v>
      </c>
      <c r="Q515" s="102">
        <f t="shared" si="378"/>
        <v>0</v>
      </c>
      <c r="W515" s="100">
        <v>514</v>
      </c>
      <c r="X515" s="131">
        <f t="shared" ca="1" si="379"/>
        <v>61810</v>
      </c>
      <c r="Y515" s="102">
        <f t="shared" si="380"/>
        <v>0</v>
      </c>
      <c r="Z515" s="102">
        <f t="shared" si="381"/>
        <v>0</v>
      </c>
      <c r="AA515" s="102">
        <f t="shared" si="382"/>
        <v>0</v>
      </c>
      <c r="AB515" s="102">
        <f t="shared" si="383"/>
        <v>0</v>
      </c>
      <c r="AH515" s="100">
        <v>514</v>
      </c>
      <c r="AI515" s="131">
        <f t="shared" ca="1" si="384"/>
        <v>61810</v>
      </c>
      <c r="AJ515" s="102">
        <f t="shared" si="385"/>
        <v>0</v>
      </c>
      <c r="AK515" s="102">
        <f t="shared" si="386"/>
        <v>0</v>
      </c>
      <c r="AL515" s="102">
        <f t="shared" si="387"/>
        <v>0</v>
      </c>
      <c r="AM515" s="102">
        <f t="shared" si="388"/>
        <v>0</v>
      </c>
      <c r="AS515" s="530">
        <v>514</v>
      </c>
      <c r="AT515" s="531">
        <f t="shared" ca="1" si="358"/>
        <v>61810</v>
      </c>
      <c r="AU515" s="532">
        <f ca="1">IF(AU514=0,SUMIFS('Key Life Events'!$L$3:$L$28,'Key Life Events'!$H$3:$H$28,'Loan Amortization'!$AY$3,'Key Life Events'!$N$3:$N$28,'Loan Amortization'!AT515),AU514-AX514)</f>
        <v>0</v>
      </c>
      <c r="AV515" s="532">
        <f t="shared" ca="1" si="359"/>
        <v>0</v>
      </c>
      <c r="AW515" s="532">
        <f t="shared" ca="1" si="392"/>
        <v>0</v>
      </c>
      <c r="AX515" s="532">
        <f t="shared" ref="AX515:AX578" ca="1" si="393">AV515-AW515</f>
        <v>0</v>
      </c>
      <c r="BC515" s="536">
        <f t="shared" ref="BC515:BC578" ca="1" si="394">YEAR(AT515)</f>
        <v>2069</v>
      </c>
      <c r="BF515" s="530">
        <v>514</v>
      </c>
      <c r="BG515" s="531">
        <f t="shared" ca="1" si="360"/>
        <v>61810</v>
      </c>
      <c r="BH515" s="532">
        <f ca="1">IF(BH514=0,SUMIFS('Key Life Events'!$L$3:$L$28,'Key Life Events'!$H$3:$H$28,'Loan Amortization'!$BL$3,'Key Life Events'!$N$3:$N$28,'Loan Amortization'!BG515),BH514-BK514)</f>
        <v>0</v>
      </c>
      <c r="BI515" s="532">
        <f t="shared" ca="1" si="361"/>
        <v>0</v>
      </c>
      <c r="BJ515" s="532">
        <f t="shared" ca="1" si="362"/>
        <v>0</v>
      </c>
      <c r="BK515" s="532">
        <f t="shared" ref="BK515:BK578" ca="1" si="395">BI515-BJ515</f>
        <v>0</v>
      </c>
      <c r="BP515" s="536">
        <f t="shared" ref="BP515:BP578" ca="1" si="396">YEAR(BG515)</f>
        <v>2069</v>
      </c>
      <c r="BS515" s="530">
        <v>514</v>
      </c>
      <c r="BT515" s="531">
        <f t="shared" ca="1" si="363"/>
        <v>61810</v>
      </c>
      <c r="BU515" s="532">
        <f ca="1">IF(BU514=0,SUMIFS('Key Life Events'!$L$3:$L$28,'Key Life Events'!$H$3:$H$28,'Loan Amortization'!$BY$3,'Key Life Events'!$N$3:$N$28,'Loan Amortization'!BT515),BU514-BX514)</f>
        <v>0</v>
      </c>
      <c r="BV515" s="532">
        <f t="shared" ca="1" si="368"/>
        <v>0</v>
      </c>
      <c r="BW515" s="532">
        <f t="shared" ca="1" si="364"/>
        <v>0</v>
      </c>
      <c r="BX515" s="532">
        <f t="shared" ref="BX515:BX578" ca="1" si="397">BV515-BW515</f>
        <v>0</v>
      </c>
      <c r="CC515" s="536">
        <f t="shared" ref="CC515:CC578" ca="1" si="398">YEAR(BT515)</f>
        <v>2069</v>
      </c>
      <c r="CF515" s="530">
        <v>514</v>
      </c>
      <c r="CG515" s="531">
        <f t="shared" ca="1" si="365"/>
        <v>61810</v>
      </c>
      <c r="CH515" s="532">
        <f ca="1">IF(CH514=0,SUMIFS('Key Life Events'!$L$3:$L$28,'Key Life Events'!$H$3:$H$28,'Loan Amortization'!$CL$3,'Key Life Events'!$N$3:$N$28,'Loan Amortization'!CG515),CH514-CK514)</f>
        <v>0</v>
      </c>
      <c r="CI515" s="532">
        <f t="shared" ca="1" si="366"/>
        <v>0</v>
      </c>
      <c r="CJ515" s="532">
        <f t="shared" ca="1" si="367"/>
        <v>0</v>
      </c>
      <c r="CK515" s="532">
        <f t="shared" ref="CK515:CK578" ca="1" si="399">CI515-CJ515</f>
        <v>0</v>
      </c>
      <c r="CP515" s="536">
        <f t="shared" ref="CP515:CP578" ca="1" si="400">YEAR(CG515)</f>
        <v>2069</v>
      </c>
      <c r="CS515" s="100">
        <f t="shared" si="389"/>
        <v>514</v>
      </c>
      <c r="CT515" s="102">
        <f t="shared" ca="1" si="390"/>
        <v>0</v>
      </c>
      <c r="CU515" s="102">
        <f t="shared" ca="1" si="391"/>
        <v>0</v>
      </c>
      <c r="CV515" s="511">
        <f t="shared" ref="CV515:CV578" ca="1" si="401">MAX(TEXT(B515,"yyyy"),TEXT(M515,"yyyy"),TEXT(X515,"yyyy"),TEXT(AT515,"yyyy"),TEXT(AI515,"yyyy"),TEXT(BG515,"yyyy"),TEXT(BT515,"yyyy"),TEXT(CG515,"yyyy"))</f>
        <v>2069</v>
      </c>
    </row>
    <row r="516" spans="1:100" x14ac:dyDescent="0.3">
      <c r="A516" s="100">
        <v>515</v>
      </c>
      <c r="B516" s="131">
        <f t="shared" si="369"/>
        <v>14820</v>
      </c>
      <c r="C516" s="102">
        <f t="shared" si="370"/>
        <v>0</v>
      </c>
      <c r="D516" s="102">
        <f t="shared" si="371"/>
        <v>0</v>
      </c>
      <c r="E516" s="102">
        <f t="shared" si="372"/>
        <v>0</v>
      </c>
      <c r="F516" s="102">
        <f t="shared" si="373"/>
        <v>0</v>
      </c>
      <c r="L516" s="100">
        <v>515</v>
      </c>
      <c r="M516" s="131">
        <f t="shared" ca="1" si="374"/>
        <v>61841</v>
      </c>
      <c r="N516" s="102">
        <f t="shared" si="375"/>
        <v>0</v>
      </c>
      <c r="O516" s="102">
        <f t="shared" si="376"/>
        <v>0</v>
      </c>
      <c r="P516" s="102">
        <f t="shared" si="377"/>
        <v>0</v>
      </c>
      <c r="Q516" s="102">
        <f t="shared" si="378"/>
        <v>0</v>
      </c>
      <c r="W516" s="100">
        <v>515</v>
      </c>
      <c r="X516" s="131">
        <f t="shared" ca="1" si="379"/>
        <v>61841</v>
      </c>
      <c r="Y516" s="102">
        <f t="shared" si="380"/>
        <v>0</v>
      </c>
      <c r="Z516" s="102">
        <f t="shared" si="381"/>
        <v>0</v>
      </c>
      <c r="AA516" s="102">
        <f t="shared" si="382"/>
        <v>0</v>
      </c>
      <c r="AB516" s="102">
        <f t="shared" si="383"/>
        <v>0</v>
      </c>
      <c r="AH516" s="100">
        <v>515</v>
      </c>
      <c r="AI516" s="131">
        <f t="shared" ca="1" si="384"/>
        <v>61841</v>
      </c>
      <c r="AJ516" s="102">
        <f t="shared" si="385"/>
        <v>0</v>
      </c>
      <c r="AK516" s="102">
        <f t="shared" si="386"/>
        <v>0</v>
      </c>
      <c r="AL516" s="102">
        <f t="shared" si="387"/>
        <v>0</v>
      </c>
      <c r="AM516" s="102">
        <f t="shared" si="388"/>
        <v>0</v>
      </c>
      <c r="AS516" s="530">
        <v>515</v>
      </c>
      <c r="AT516" s="531">
        <f t="shared" ref="AT516:AT579" ca="1" si="402">IF(AU515&lt;AV515,,EDATE(AT515,1))</f>
        <v>61841</v>
      </c>
      <c r="AU516" s="532">
        <f ca="1">IF(AU515=0,SUMIFS('Key Life Events'!$L$3:$L$28,'Key Life Events'!$H$3:$H$28,'Loan Amortization'!$AY$3,'Key Life Events'!$N$3:$N$28,'Loan Amortization'!AT516),AU515-AX515)</f>
        <v>0</v>
      </c>
      <c r="AV516" s="532">
        <f t="shared" ref="AV516:AV579" ca="1" si="403">IF(AND(AU515=0,AU516&gt;0),PMT($AZ$1/12,$BB$1*12,-AU516,0,0),IF(AU516&lt;=AV515,AU516+AW516,AV515))</f>
        <v>0</v>
      </c>
      <c r="AW516" s="532">
        <f t="shared" ca="1" si="392"/>
        <v>0</v>
      </c>
      <c r="AX516" s="532">
        <f t="shared" ca="1" si="393"/>
        <v>0</v>
      </c>
      <c r="BC516" s="536">
        <f t="shared" ca="1" si="394"/>
        <v>2069</v>
      </c>
      <c r="BF516" s="530">
        <v>515</v>
      </c>
      <c r="BG516" s="531">
        <f t="shared" ref="BG516:BG579" ca="1" si="404">IF(BH515&lt;BI515,,EDATE(BG515,1))</f>
        <v>61841</v>
      </c>
      <c r="BH516" s="532">
        <f ca="1">IF(BH515=0,SUMIFS('Key Life Events'!$L$3:$L$28,'Key Life Events'!$H$3:$H$28,'Loan Amortization'!$BL$3,'Key Life Events'!$N$3:$N$28,'Loan Amortization'!BG516),BH515-BK515)</f>
        <v>0</v>
      </c>
      <c r="BI516" s="532">
        <f t="shared" ref="BI516:BI579" ca="1" si="405">IF(AND(BH515=0,BH516&gt;0),PMT(BM$1/12,BO$1*12,-BH516,0,0),IF(BH516&lt;=BI515,BH516+BJ516,BI515))</f>
        <v>0</v>
      </c>
      <c r="BJ516" s="532">
        <f t="shared" ref="BJ516:BJ579" ca="1" si="406">(BH516*BM$1)/12</f>
        <v>0</v>
      </c>
      <c r="BK516" s="532">
        <f t="shared" ca="1" si="395"/>
        <v>0</v>
      </c>
      <c r="BP516" s="536">
        <f t="shared" ca="1" si="396"/>
        <v>2069</v>
      </c>
      <c r="BS516" s="530">
        <v>515</v>
      </c>
      <c r="BT516" s="531">
        <f t="shared" ref="BT516:BT579" ca="1" si="407">IF(BU515&lt;BV515,,EDATE(BT515,1))</f>
        <v>61841</v>
      </c>
      <c r="BU516" s="532">
        <f ca="1">IF(BU515=0,SUMIFS('Key Life Events'!$L$3:$L$28,'Key Life Events'!$H$3:$H$28,'Loan Amortization'!$BY$3,'Key Life Events'!$N$3:$N$28,'Loan Amortization'!BT516),BU515-BX515)</f>
        <v>0</v>
      </c>
      <c r="BV516" s="532">
        <f t="shared" ca="1" si="368"/>
        <v>0</v>
      </c>
      <c r="BW516" s="532">
        <f t="shared" ref="BW516:BW579" ca="1" si="408">(BU516*BZ$1)/12</f>
        <v>0</v>
      </c>
      <c r="BX516" s="532">
        <f t="shared" ca="1" si="397"/>
        <v>0</v>
      </c>
      <c r="CC516" s="536">
        <f t="shared" ca="1" si="398"/>
        <v>2069</v>
      </c>
      <c r="CF516" s="530">
        <v>515</v>
      </c>
      <c r="CG516" s="531">
        <f t="shared" ref="CG516:CG579" ca="1" si="409">IF(CH515&lt;CI515,,EDATE(CG515,1))</f>
        <v>61841</v>
      </c>
      <c r="CH516" s="532">
        <f ca="1">IF(CH515=0,SUMIFS('Key Life Events'!$L$3:$L$28,'Key Life Events'!$H$3:$H$28,'Loan Amortization'!$CL$3,'Key Life Events'!$N$3:$N$28,'Loan Amortization'!CG516),CH515-CK515)</f>
        <v>0</v>
      </c>
      <c r="CI516" s="532">
        <f t="shared" ref="CI516:CI579" ca="1" si="410">IF(AND(CH515=0,CH516&gt;0),PMT(CM$1/12,CO$1*12,-CH516,0,0),IF(CH516&lt;=CI515,CH516+CJ516,CI515))</f>
        <v>0</v>
      </c>
      <c r="CJ516" s="532">
        <f t="shared" ref="CJ516:CJ579" ca="1" si="411">(CH516*CM$1)/12</f>
        <v>0</v>
      </c>
      <c r="CK516" s="532">
        <f t="shared" ca="1" si="399"/>
        <v>0</v>
      </c>
      <c r="CP516" s="536">
        <f t="shared" ca="1" si="400"/>
        <v>2069</v>
      </c>
      <c r="CS516" s="100">
        <f t="shared" si="389"/>
        <v>515</v>
      </c>
      <c r="CT516" s="102">
        <f t="shared" ca="1" si="390"/>
        <v>0</v>
      </c>
      <c r="CU516" s="102">
        <f t="shared" ca="1" si="391"/>
        <v>0</v>
      </c>
      <c r="CV516" s="511">
        <f t="shared" ca="1" si="401"/>
        <v>2069</v>
      </c>
    </row>
    <row r="517" spans="1:100" x14ac:dyDescent="0.3">
      <c r="A517" s="100">
        <v>516</v>
      </c>
      <c r="B517" s="131">
        <f t="shared" si="369"/>
        <v>14851</v>
      </c>
      <c r="C517" s="102">
        <f t="shared" si="370"/>
        <v>0</v>
      </c>
      <c r="D517" s="102">
        <f t="shared" si="371"/>
        <v>0</v>
      </c>
      <c r="E517" s="102">
        <f t="shared" si="372"/>
        <v>0</v>
      </c>
      <c r="F517" s="102">
        <f t="shared" si="373"/>
        <v>0</v>
      </c>
      <c r="L517" s="100">
        <v>516</v>
      </c>
      <c r="M517" s="131">
        <f t="shared" ca="1" si="374"/>
        <v>61871</v>
      </c>
      <c r="N517" s="102">
        <f t="shared" si="375"/>
        <v>0</v>
      </c>
      <c r="O517" s="102">
        <f t="shared" si="376"/>
        <v>0</v>
      </c>
      <c r="P517" s="102">
        <f t="shared" si="377"/>
        <v>0</v>
      </c>
      <c r="Q517" s="102">
        <f t="shared" si="378"/>
        <v>0</v>
      </c>
      <c r="W517" s="100">
        <v>516</v>
      </c>
      <c r="X517" s="131">
        <f t="shared" ca="1" si="379"/>
        <v>61871</v>
      </c>
      <c r="Y517" s="102">
        <f t="shared" si="380"/>
        <v>0</v>
      </c>
      <c r="Z517" s="102">
        <f t="shared" si="381"/>
        <v>0</v>
      </c>
      <c r="AA517" s="102">
        <f t="shared" si="382"/>
        <v>0</v>
      </c>
      <c r="AB517" s="102">
        <f t="shared" si="383"/>
        <v>0</v>
      </c>
      <c r="AH517" s="100">
        <v>516</v>
      </c>
      <c r="AI517" s="131">
        <f t="shared" ca="1" si="384"/>
        <v>61871</v>
      </c>
      <c r="AJ517" s="102">
        <f t="shared" si="385"/>
        <v>0</v>
      </c>
      <c r="AK517" s="102">
        <f t="shared" si="386"/>
        <v>0</v>
      </c>
      <c r="AL517" s="102">
        <f t="shared" si="387"/>
        <v>0</v>
      </c>
      <c r="AM517" s="102">
        <f t="shared" si="388"/>
        <v>0</v>
      </c>
      <c r="AS517" s="530">
        <v>516</v>
      </c>
      <c r="AT517" s="531">
        <f t="shared" ca="1" si="402"/>
        <v>61871</v>
      </c>
      <c r="AU517" s="532">
        <f ca="1">IF(AU516=0,SUMIFS('Key Life Events'!$L$3:$L$28,'Key Life Events'!$H$3:$H$28,'Loan Amortization'!$AY$3,'Key Life Events'!$N$3:$N$28,'Loan Amortization'!AT517),AU516-AX516)</f>
        <v>0</v>
      </c>
      <c r="AV517" s="532">
        <f t="shared" ca="1" si="403"/>
        <v>0</v>
      </c>
      <c r="AW517" s="532">
        <f t="shared" ca="1" si="392"/>
        <v>0</v>
      </c>
      <c r="AX517" s="532">
        <f t="shared" ca="1" si="393"/>
        <v>0</v>
      </c>
      <c r="BC517" s="536">
        <f t="shared" ca="1" si="394"/>
        <v>2069</v>
      </c>
      <c r="BF517" s="530">
        <v>516</v>
      </c>
      <c r="BG517" s="531">
        <f t="shared" ca="1" si="404"/>
        <v>61871</v>
      </c>
      <c r="BH517" s="532">
        <f ca="1">IF(BH516=0,SUMIFS('Key Life Events'!$L$3:$L$28,'Key Life Events'!$H$3:$H$28,'Loan Amortization'!$BL$3,'Key Life Events'!$N$3:$N$28,'Loan Amortization'!BG517),BH516-BK516)</f>
        <v>0</v>
      </c>
      <c r="BI517" s="532">
        <f t="shared" ca="1" si="405"/>
        <v>0</v>
      </c>
      <c r="BJ517" s="532">
        <f t="shared" ca="1" si="406"/>
        <v>0</v>
      </c>
      <c r="BK517" s="532">
        <f t="shared" ca="1" si="395"/>
        <v>0</v>
      </c>
      <c r="BP517" s="536">
        <f t="shared" ca="1" si="396"/>
        <v>2069</v>
      </c>
      <c r="BS517" s="530">
        <v>516</v>
      </c>
      <c r="BT517" s="531">
        <f t="shared" ca="1" si="407"/>
        <v>61871</v>
      </c>
      <c r="BU517" s="532">
        <f ca="1">IF(BU516=0,SUMIFS('Key Life Events'!$L$3:$L$28,'Key Life Events'!$H$3:$H$28,'Loan Amortization'!$BY$3,'Key Life Events'!$N$3:$N$28,'Loan Amortization'!BT517),BU516-BX516)</f>
        <v>0</v>
      </c>
      <c r="BV517" s="532">
        <f t="shared" ca="1" si="368"/>
        <v>0</v>
      </c>
      <c r="BW517" s="532">
        <f t="shared" ca="1" si="408"/>
        <v>0</v>
      </c>
      <c r="BX517" s="532">
        <f t="shared" ca="1" si="397"/>
        <v>0</v>
      </c>
      <c r="CC517" s="536">
        <f t="shared" ca="1" si="398"/>
        <v>2069</v>
      </c>
      <c r="CF517" s="530">
        <v>516</v>
      </c>
      <c r="CG517" s="531">
        <f t="shared" ca="1" si="409"/>
        <v>61871</v>
      </c>
      <c r="CH517" s="532">
        <f ca="1">IF(CH516=0,SUMIFS('Key Life Events'!$L$3:$L$28,'Key Life Events'!$H$3:$H$28,'Loan Amortization'!$CL$3,'Key Life Events'!$N$3:$N$28,'Loan Amortization'!CG517),CH516-CK516)</f>
        <v>0</v>
      </c>
      <c r="CI517" s="532">
        <f t="shared" ca="1" si="410"/>
        <v>0</v>
      </c>
      <c r="CJ517" s="532">
        <f t="shared" ca="1" si="411"/>
        <v>0</v>
      </c>
      <c r="CK517" s="532">
        <f t="shared" ca="1" si="399"/>
        <v>0</v>
      </c>
      <c r="CP517" s="536">
        <f t="shared" ca="1" si="400"/>
        <v>2069</v>
      </c>
      <c r="CS517" s="100">
        <f t="shared" si="389"/>
        <v>516</v>
      </c>
      <c r="CT517" s="102">
        <f t="shared" ca="1" si="390"/>
        <v>0</v>
      </c>
      <c r="CU517" s="102">
        <f t="shared" ca="1" si="391"/>
        <v>0</v>
      </c>
      <c r="CV517" s="511">
        <f t="shared" ca="1" si="401"/>
        <v>2069</v>
      </c>
    </row>
    <row r="518" spans="1:100" x14ac:dyDescent="0.3">
      <c r="A518" s="100">
        <v>517</v>
      </c>
      <c r="B518" s="131">
        <f t="shared" si="369"/>
        <v>14882</v>
      </c>
      <c r="C518" s="102">
        <f t="shared" si="370"/>
        <v>0</v>
      </c>
      <c r="D518" s="102">
        <f t="shared" si="371"/>
        <v>0</v>
      </c>
      <c r="E518" s="102">
        <f t="shared" si="372"/>
        <v>0</v>
      </c>
      <c r="F518" s="102">
        <f t="shared" si="373"/>
        <v>0</v>
      </c>
      <c r="L518" s="100">
        <v>517</v>
      </c>
      <c r="M518" s="131">
        <f t="shared" ca="1" si="374"/>
        <v>61902</v>
      </c>
      <c r="N518" s="102">
        <f t="shared" si="375"/>
        <v>0</v>
      </c>
      <c r="O518" s="102">
        <f t="shared" si="376"/>
        <v>0</v>
      </c>
      <c r="P518" s="102">
        <f t="shared" si="377"/>
        <v>0</v>
      </c>
      <c r="Q518" s="102">
        <f t="shared" si="378"/>
        <v>0</v>
      </c>
      <c r="W518" s="100">
        <v>517</v>
      </c>
      <c r="X518" s="131">
        <f t="shared" ca="1" si="379"/>
        <v>61902</v>
      </c>
      <c r="Y518" s="102">
        <f t="shared" si="380"/>
        <v>0</v>
      </c>
      <c r="Z518" s="102">
        <f t="shared" si="381"/>
        <v>0</v>
      </c>
      <c r="AA518" s="102">
        <f t="shared" si="382"/>
        <v>0</v>
      </c>
      <c r="AB518" s="102">
        <f t="shared" si="383"/>
        <v>0</v>
      </c>
      <c r="AH518" s="100">
        <v>517</v>
      </c>
      <c r="AI518" s="131">
        <f t="shared" ca="1" si="384"/>
        <v>61902</v>
      </c>
      <c r="AJ518" s="102">
        <f t="shared" si="385"/>
        <v>0</v>
      </c>
      <c r="AK518" s="102">
        <f t="shared" si="386"/>
        <v>0</v>
      </c>
      <c r="AL518" s="102">
        <f t="shared" si="387"/>
        <v>0</v>
      </c>
      <c r="AM518" s="102">
        <f t="shared" si="388"/>
        <v>0</v>
      </c>
      <c r="AS518" s="530">
        <v>517</v>
      </c>
      <c r="AT518" s="531">
        <f t="shared" ca="1" si="402"/>
        <v>61902</v>
      </c>
      <c r="AU518" s="532">
        <f ca="1">IF(AU517=0,SUMIFS('Key Life Events'!$L$3:$L$28,'Key Life Events'!$H$3:$H$28,'Loan Amortization'!$AY$3,'Key Life Events'!$N$3:$N$28,'Loan Amortization'!AT518),AU517-AX517)</f>
        <v>0</v>
      </c>
      <c r="AV518" s="532">
        <f t="shared" ca="1" si="403"/>
        <v>0</v>
      </c>
      <c r="AW518" s="532">
        <f t="shared" ca="1" si="392"/>
        <v>0</v>
      </c>
      <c r="AX518" s="532">
        <f t="shared" ca="1" si="393"/>
        <v>0</v>
      </c>
      <c r="BC518" s="536">
        <f t="shared" ca="1" si="394"/>
        <v>2069</v>
      </c>
      <c r="BF518" s="530">
        <v>517</v>
      </c>
      <c r="BG518" s="531">
        <f t="shared" ca="1" si="404"/>
        <v>61902</v>
      </c>
      <c r="BH518" s="532">
        <f ca="1">IF(BH517=0,SUMIFS('Key Life Events'!$L$3:$L$28,'Key Life Events'!$H$3:$H$28,'Loan Amortization'!$BL$3,'Key Life Events'!$N$3:$N$28,'Loan Amortization'!BG518),BH517-BK517)</f>
        <v>0</v>
      </c>
      <c r="BI518" s="532">
        <f t="shared" ca="1" si="405"/>
        <v>0</v>
      </c>
      <c r="BJ518" s="532">
        <f t="shared" ca="1" si="406"/>
        <v>0</v>
      </c>
      <c r="BK518" s="532">
        <f t="shared" ca="1" si="395"/>
        <v>0</v>
      </c>
      <c r="BP518" s="536">
        <f t="shared" ca="1" si="396"/>
        <v>2069</v>
      </c>
      <c r="BS518" s="530">
        <v>517</v>
      </c>
      <c r="BT518" s="531">
        <f t="shared" ca="1" si="407"/>
        <v>61902</v>
      </c>
      <c r="BU518" s="532">
        <f ca="1">IF(BU517=0,SUMIFS('Key Life Events'!$L$3:$L$28,'Key Life Events'!$H$3:$H$28,'Loan Amortization'!$BY$3,'Key Life Events'!$N$3:$N$28,'Loan Amortization'!BT518),BU517-BX517)</f>
        <v>0</v>
      </c>
      <c r="BV518" s="532">
        <f t="shared" ref="BV518:BV581" ca="1" si="412">IF(AND(BU517=0,BU518&gt;0),PMT(BZ$1/12,CB$1*12,-BU518,0,0),IF(BU518&lt;=BV517,BU518+BW518,BV517))</f>
        <v>0</v>
      </c>
      <c r="BW518" s="532">
        <f t="shared" ca="1" si="408"/>
        <v>0</v>
      </c>
      <c r="BX518" s="532">
        <f t="shared" ca="1" si="397"/>
        <v>0</v>
      </c>
      <c r="CC518" s="536">
        <f t="shared" ca="1" si="398"/>
        <v>2069</v>
      </c>
      <c r="CF518" s="530">
        <v>517</v>
      </c>
      <c r="CG518" s="531">
        <f t="shared" ca="1" si="409"/>
        <v>61902</v>
      </c>
      <c r="CH518" s="532">
        <f ca="1">IF(CH517=0,SUMIFS('Key Life Events'!$L$3:$L$28,'Key Life Events'!$H$3:$H$28,'Loan Amortization'!$CL$3,'Key Life Events'!$N$3:$N$28,'Loan Amortization'!CG518),CH517-CK517)</f>
        <v>0</v>
      </c>
      <c r="CI518" s="532">
        <f t="shared" ca="1" si="410"/>
        <v>0</v>
      </c>
      <c r="CJ518" s="532">
        <f t="shared" ca="1" si="411"/>
        <v>0</v>
      </c>
      <c r="CK518" s="532">
        <f t="shared" ca="1" si="399"/>
        <v>0</v>
      </c>
      <c r="CP518" s="536">
        <f t="shared" ca="1" si="400"/>
        <v>2069</v>
      </c>
      <c r="CS518" s="100">
        <f t="shared" si="389"/>
        <v>517</v>
      </c>
      <c r="CT518" s="102">
        <f t="shared" ca="1" si="390"/>
        <v>0</v>
      </c>
      <c r="CU518" s="102">
        <f t="shared" ca="1" si="391"/>
        <v>0</v>
      </c>
      <c r="CV518" s="511">
        <f t="shared" ca="1" si="401"/>
        <v>2069</v>
      </c>
    </row>
    <row r="519" spans="1:100" x14ac:dyDescent="0.3">
      <c r="A519" s="100">
        <v>518</v>
      </c>
      <c r="B519" s="131">
        <f t="shared" si="369"/>
        <v>14912</v>
      </c>
      <c r="C519" s="102">
        <f t="shared" si="370"/>
        <v>0</v>
      </c>
      <c r="D519" s="102">
        <f t="shared" si="371"/>
        <v>0</v>
      </c>
      <c r="E519" s="102">
        <f t="shared" si="372"/>
        <v>0</v>
      </c>
      <c r="F519" s="102">
        <f t="shared" si="373"/>
        <v>0</v>
      </c>
      <c r="L519" s="100">
        <v>518</v>
      </c>
      <c r="M519" s="131">
        <f t="shared" ca="1" si="374"/>
        <v>61932</v>
      </c>
      <c r="N519" s="102">
        <f t="shared" si="375"/>
        <v>0</v>
      </c>
      <c r="O519" s="102">
        <f t="shared" si="376"/>
        <v>0</v>
      </c>
      <c r="P519" s="102">
        <f t="shared" si="377"/>
        <v>0</v>
      </c>
      <c r="Q519" s="102">
        <f t="shared" si="378"/>
        <v>0</v>
      </c>
      <c r="W519" s="100">
        <v>518</v>
      </c>
      <c r="X519" s="131">
        <f t="shared" ca="1" si="379"/>
        <v>61932</v>
      </c>
      <c r="Y519" s="102">
        <f t="shared" si="380"/>
        <v>0</v>
      </c>
      <c r="Z519" s="102">
        <f t="shared" si="381"/>
        <v>0</v>
      </c>
      <c r="AA519" s="102">
        <f t="shared" si="382"/>
        <v>0</v>
      </c>
      <c r="AB519" s="102">
        <f t="shared" si="383"/>
        <v>0</v>
      </c>
      <c r="AH519" s="100">
        <v>518</v>
      </c>
      <c r="AI519" s="131">
        <f t="shared" ca="1" si="384"/>
        <v>61932</v>
      </c>
      <c r="AJ519" s="102">
        <f t="shared" si="385"/>
        <v>0</v>
      </c>
      <c r="AK519" s="102">
        <f t="shared" si="386"/>
        <v>0</v>
      </c>
      <c r="AL519" s="102">
        <f t="shared" si="387"/>
        <v>0</v>
      </c>
      <c r="AM519" s="102">
        <f t="shared" si="388"/>
        <v>0</v>
      </c>
      <c r="AS519" s="530">
        <v>518</v>
      </c>
      <c r="AT519" s="531">
        <f t="shared" ca="1" si="402"/>
        <v>61932</v>
      </c>
      <c r="AU519" s="532">
        <f ca="1">IF(AU518=0,SUMIFS('Key Life Events'!$L$3:$L$28,'Key Life Events'!$H$3:$H$28,'Loan Amortization'!$AY$3,'Key Life Events'!$N$3:$N$28,'Loan Amortization'!AT519),AU518-AX518)</f>
        <v>0</v>
      </c>
      <c r="AV519" s="532">
        <f t="shared" ca="1" si="403"/>
        <v>0</v>
      </c>
      <c r="AW519" s="532">
        <f t="shared" ca="1" si="392"/>
        <v>0</v>
      </c>
      <c r="AX519" s="532">
        <f t="shared" ca="1" si="393"/>
        <v>0</v>
      </c>
      <c r="BC519" s="536">
        <f t="shared" ca="1" si="394"/>
        <v>2069</v>
      </c>
      <c r="BF519" s="530">
        <v>518</v>
      </c>
      <c r="BG519" s="531">
        <f t="shared" ca="1" si="404"/>
        <v>61932</v>
      </c>
      <c r="BH519" s="532">
        <f ca="1">IF(BH518=0,SUMIFS('Key Life Events'!$L$3:$L$28,'Key Life Events'!$H$3:$H$28,'Loan Amortization'!$BL$3,'Key Life Events'!$N$3:$N$28,'Loan Amortization'!BG519),BH518-BK518)</f>
        <v>0</v>
      </c>
      <c r="BI519" s="532">
        <f t="shared" ca="1" si="405"/>
        <v>0</v>
      </c>
      <c r="BJ519" s="532">
        <f t="shared" ca="1" si="406"/>
        <v>0</v>
      </c>
      <c r="BK519" s="532">
        <f t="shared" ca="1" si="395"/>
        <v>0</v>
      </c>
      <c r="BP519" s="536">
        <f t="shared" ca="1" si="396"/>
        <v>2069</v>
      </c>
      <c r="BS519" s="530">
        <v>518</v>
      </c>
      <c r="BT519" s="531">
        <f t="shared" ca="1" si="407"/>
        <v>61932</v>
      </c>
      <c r="BU519" s="532">
        <f ca="1">IF(BU518=0,SUMIFS('Key Life Events'!$L$3:$L$28,'Key Life Events'!$H$3:$H$28,'Loan Amortization'!$BY$3,'Key Life Events'!$N$3:$N$28,'Loan Amortization'!BT519),BU518-BX518)</f>
        <v>0</v>
      </c>
      <c r="BV519" s="532">
        <f t="shared" ca="1" si="412"/>
        <v>0</v>
      </c>
      <c r="BW519" s="532">
        <f t="shared" ca="1" si="408"/>
        <v>0</v>
      </c>
      <c r="BX519" s="532">
        <f t="shared" ca="1" si="397"/>
        <v>0</v>
      </c>
      <c r="CC519" s="536">
        <f t="shared" ca="1" si="398"/>
        <v>2069</v>
      </c>
      <c r="CF519" s="530">
        <v>518</v>
      </c>
      <c r="CG519" s="531">
        <f t="shared" ca="1" si="409"/>
        <v>61932</v>
      </c>
      <c r="CH519" s="532">
        <f ca="1">IF(CH518=0,SUMIFS('Key Life Events'!$L$3:$L$28,'Key Life Events'!$H$3:$H$28,'Loan Amortization'!$CL$3,'Key Life Events'!$N$3:$N$28,'Loan Amortization'!CG519),CH518-CK518)</f>
        <v>0</v>
      </c>
      <c r="CI519" s="532">
        <f t="shared" ca="1" si="410"/>
        <v>0</v>
      </c>
      <c r="CJ519" s="532">
        <f t="shared" ca="1" si="411"/>
        <v>0</v>
      </c>
      <c r="CK519" s="532">
        <f t="shared" ca="1" si="399"/>
        <v>0</v>
      </c>
      <c r="CP519" s="536">
        <f t="shared" ca="1" si="400"/>
        <v>2069</v>
      </c>
      <c r="CS519" s="100">
        <f t="shared" si="389"/>
        <v>518</v>
      </c>
      <c r="CT519" s="102">
        <f t="shared" ca="1" si="390"/>
        <v>0</v>
      </c>
      <c r="CU519" s="102">
        <f t="shared" ca="1" si="391"/>
        <v>0</v>
      </c>
      <c r="CV519" s="511">
        <f t="shared" ca="1" si="401"/>
        <v>2069</v>
      </c>
    </row>
    <row r="520" spans="1:100" x14ac:dyDescent="0.3">
      <c r="A520" s="100">
        <v>519</v>
      </c>
      <c r="B520" s="131">
        <f t="shared" si="369"/>
        <v>14943</v>
      </c>
      <c r="C520" s="102">
        <f t="shared" si="370"/>
        <v>0</v>
      </c>
      <c r="D520" s="102">
        <f t="shared" si="371"/>
        <v>0</v>
      </c>
      <c r="E520" s="102">
        <f t="shared" si="372"/>
        <v>0</v>
      </c>
      <c r="F520" s="102">
        <f t="shared" si="373"/>
        <v>0</v>
      </c>
      <c r="L520" s="100">
        <v>519</v>
      </c>
      <c r="M520" s="131">
        <f t="shared" ca="1" si="374"/>
        <v>61963</v>
      </c>
      <c r="N520" s="102">
        <f t="shared" si="375"/>
        <v>0</v>
      </c>
      <c r="O520" s="102">
        <f t="shared" si="376"/>
        <v>0</v>
      </c>
      <c r="P520" s="102">
        <f t="shared" si="377"/>
        <v>0</v>
      </c>
      <c r="Q520" s="102">
        <f t="shared" si="378"/>
        <v>0</v>
      </c>
      <c r="W520" s="100">
        <v>519</v>
      </c>
      <c r="X520" s="131">
        <f t="shared" ca="1" si="379"/>
        <v>61963</v>
      </c>
      <c r="Y520" s="102">
        <f t="shared" si="380"/>
        <v>0</v>
      </c>
      <c r="Z520" s="102">
        <f t="shared" si="381"/>
        <v>0</v>
      </c>
      <c r="AA520" s="102">
        <f t="shared" si="382"/>
        <v>0</v>
      </c>
      <c r="AB520" s="102">
        <f t="shared" si="383"/>
        <v>0</v>
      </c>
      <c r="AH520" s="100">
        <v>519</v>
      </c>
      <c r="AI520" s="131">
        <f t="shared" ca="1" si="384"/>
        <v>61963</v>
      </c>
      <c r="AJ520" s="102">
        <f t="shared" si="385"/>
        <v>0</v>
      </c>
      <c r="AK520" s="102">
        <f t="shared" si="386"/>
        <v>0</v>
      </c>
      <c r="AL520" s="102">
        <f t="shared" si="387"/>
        <v>0</v>
      </c>
      <c r="AM520" s="102">
        <f t="shared" si="388"/>
        <v>0</v>
      </c>
      <c r="AS520" s="530">
        <v>519</v>
      </c>
      <c r="AT520" s="531">
        <f t="shared" ca="1" si="402"/>
        <v>61963</v>
      </c>
      <c r="AU520" s="532">
        <f ca="1">IF(AU519=0,SUMIFS('Key Life Events'!$L$3:$L$28,'Key Life Events'!$H$3:$H$28,'Loan Amortization'!$AY$3,'Key Life Events'!$N$3:$N$28,'Loan Amortization'!AT520),AU519-AX519)</f>
        <v>0</v>
      </c>
      <c r="AV520" s="532">
        <f t="shared" ca="1" si="403"/>
        <v>0</v>
      </c>
      <c r="AW520" s="532">
        <f t="shared" ca="1" si="392"/>
        <v>0</v>
      </c>
      <c r="AX520" s="532">
        <f t="shared" ca="1" si="393"/>
        <v>0</v>
      </c>
      <c r="BC520" s="536">
        <f t="shared" ca="1" si="394"/>
        <v>2069</v>
      </c>
      <c r="BF520" s="530">
        <v>519</v>
      </c>
      <c r="BG520" s="531">
        <f t="shared" ca="1" si="404"/>
        <v>61963</v>
      </c>
      <c r="BH520" s="532">
        <f ca="1">IF(BH519=0,SUMIFS('Key Life Events'!$L$3:$L$28,'Key Life Events'!$H$3:$H$28,'Loan Amortization'!$BL$3,'Key Life Events'!$N$3:$N$28,'Loan Amortization'!BG520),BH519-BK519)</f>
        <v>0</v>
      </c>
      <c r="BI520" s="532">
        <f t="shared" ca="1" si="405"/>
        <v>0</v>
      </c>
      <c r="BJ520" s="532">
        <f t="shared" ca="1" si="406"/>
        <v>0</v>
      </c>
      <c r="BK520" s="532">
        <f t="shared" ca="1" si="395"/>
        <v>0</v>
      </c>
      <c r="BP520" s="536">
        <f t="shared" ca="1" si="396"/>
        <v>2069</v>
      </c>
      <c r="BS520" s="530">
        <v>519</v>
      </c>
      <c r="BT520" s="531">
        <f t="shared" ca="1" si="407"/>
        <v>61963</v>
      </c>
      <c r="BU520" s="532">
        <f ca="1">IF(BU519=0,SUMIFS('Key Life Events'!$L$3:$L$28,'Key Life Events'!$H$3:$H$28,'Loan Amortization'!$BY$3,'Key Life Events'!$N$3:$N$28,'Loan Amortization'!BT520),BU519-BX519)</f>
        <v>0</v>
      </c>
      <c r="BV520" s="532">
        <f t="shared" ca="1" si="412"/>
        <v>0</v>
      </c>
      <c r="BW520" s="532">
        <f t="shared" ca="1" si="408"/>
        <v>0</v>
      </c>
      <c r="BX520" s="532">
        <f t="shared" ca="1" si="397"/>
        <v>0</v>
      </c>
      <c r="CC520" s="536">
        <f t="shared" ca="1" si="398"/>
        <v>2069</v>
      </c>
      <c r="CF520" s="530">
        <v>519</v>
      </c>
      <c r="CG520" s="531">
        <f t="shared" ca="1" si="409"/>
        <v>61963</v>
      </c>
      <c r="CH520" s="532">
        <f ca="1">IF(CH519=0,SUMIFS('Key Life Events'!$L$3:$L$28,'Key Life Events'!$H$3:$H$28,'Loan Amortization'!$CL$3,'Key Life Events'!$N$3:$N$28,'Loan Amortization'!CG520),CH519-CK519)</f>
        <v>0</v>
      </c>
      <c r="CI520" s="532">
        <f t="shared" ca="1" si="410"/>
        <v>0</v>
      </c>
      <c r="CJ520" s="532">
        <f t="shared" ca="1" si="411"/>
        <v>0</v>
      </c>
      <c r="CK520" s="532">
        <f t="shared" ca="1" si="399"/>
        <v>0</v>
      </c>
      <c r="CP520" s="536">
        <f t="shared" ca="1" si="400"/>
        <v>2069</v>
      </c>
      <c r="CS520" s="100">
        <f t="shared" si="389"/>
        <v>519</v>
      </c>
      <c r="CT520" s="102">
        <f t="shared" ca="1" si="390"/>
        <v>0</v>
      </c>
      <c r="CU520" s="102">
        <f t="shared" ca="1" si="391"/>
        <v>0</v>
      </c>
      <c r="CV520" s="511">
        <f t="shared" ca="1" si="401"/>
        <v>2069</v>
      </c>
    </row>
    <row r="521" spans="1:100" x14ac:dyDescent="0.3">
      <c r="A521" s="100">
        <v>520</v>
      </c>
      <c r="B521" s="131">
        <f t="shared" si="369"/>
        <v>14973</v>
      </c>
      <c r="C521" s="102">
        <f t="shared" si="370"/>
        <v>0</v>
      </c>
      <c r="D521" s="102">
        <f t="shared" si="371"/>
        <v>0</v>
      </c>
      <c r="E521" s="102">
        <f t="shared" si="372"/>
        <v>0</v>
      </c>
      <c r="F521" s="102">
        <f t="shared" si="373"/>
        <v>0</v>
      </c>
      <c r="L521" s="100">
        <v>520</v>
      </c>
      <c r="M521" s="131">
        <f t="shared" ca="1" si="374"/>
        <v>61994</v>
      </c>
      <c r="N521" s="102">
        <f t="shared" si="375"/>
        <v>0</v>
      </c>
      <c r="O521" s="102">
        <f t="shared" si="376"/>
        <v>0</v>
      </c>
      <c r="P521" s="102">
        <f t="shared" si="377"/>
        <v>0</v>
      </c>
      <c r="Q521" s="102">
        <f t="shared" si="378"/>
        <v>0</v>
      </c>
      <c r="W521" s="100">
        <v>520</v>
      </c>
      <c r="X521" s="131">
        <f t="shared" ca="1" si="379"/>
        <v>61994</v>
      </c>
      <c r="Y521" s="102">
        <f t="shared" si="380"/>
        <v>0</v>
      </c>
      <c r="Z521" s="102">
        <f t="shared" si="381"/>
        <v>0</v>
      </c>
      <c r="AA521" s="102">
        <f t="shared" si="382"/>
        <v>0</v>
      </c>
      <c r="AB521" s="102">
        <f t="shared" si="383"/>
        <v>0</v>
      </c>
      <c r="AH521" s="100">
        <v>520</v>
      </c>
      <c r="AI521" s="131">
        <f t="shared" ca="1" si="384"/>
        <v>61994</v>
      </c>
      <c r="AJ521" s="102">
        <f t="shared" si="385"/>
        <v>0</v>
      </c>
      <c r="AK521" s="102">
        <f t="shared" si="386"/>
        <v>0</v>
      </c>
      <c r="AL521" s="102">
        <f t="shared" si="387"/>
        <v>0</v>
      </c>
      <c r="AM521" s="102">
        <f t="shared" si="388"/>
        <v>0</v>
      </c>
      <c r="AS521" s="530">
        <v>520</v>
      </c>
      <c r="AT521" s="531">
        <f t="shared" ca="1" si="402"/>
        <v>61994</v>
      </c>
      <c r="AU521" s="532">
        <f ca="1">IF(AU520=0,SUMIFS('Key Life Events'!$L$3:$L$28,'Key Life Events'!$H$3:$H$28,'Loan Amortization'!$AY$3,'Key Life Events'!$N$3:$N$28,'Loan Amortization'!AT521),AU520-AX520)</f>
        <v>0</v>
      </c>
      <c r="AV521" s="532">
        <f t="shared" ca="1" si="403"/>
        <v>0</v>
      </c>
      <c r="AW521" s="532">
        <f t="shared" ca="1" si="392"/>
        <v>0</v>
      </c>
      <c r="AX521" s="532">
        <f t="shared" ca="1" si="393"/>
        <v>0</v>
      </c>
      <c r="BC521" s="536">
        <f t="shared" ca="1" si="394"/>
        <v>2069</v>
      </c>
      <c r="BF521" s="530">
        <v>520</v>
      </c>
      <c r="BG521" s="531">
        <f t="shared" ca="1" si="404"/>
        <v>61994</v>
      </c>
      <c r="BH521" s="532">
        <f ca="1">IF(BH520=0,SUMIFS('Key Life Events'!$L$3:$L$28,'Key Life Events'!$H$3:$H$28,'Loan Amortization'!$BL$3,'Key Life Events'!$N$3:$N$28,'Loan Amortization'!BG521),BH520-BK520)</f>
        <v>0</v>
      </c>
      <c r="BI521" s="532">
        <f t="shared" ca="1" si="405"/>
        <v>0</v>
      </c>
      <c r="BJ521" s="532">
        <f t="shared" ca="1" si="406"/>
        <v>0</v>
      </c>
      <c r="BK521" s="532">
        <f t="shared" ca="1" si="395"/>
        <v>0</v>
      </c>
      <c r="BP521" s="536">
        <f t="shared" ca="1" si="396"/>
        <v>2069</v>
      </c>
      <c r="BS521" s="530">
        <v>520</v>
      </c>
      <c r="BT521" s="531">
        <f t="shared" ca="1" si="407"/>
        <v>61994</v>
      </c>
      <c r="BU521" s="532">
        <f ca="1">IF(BU520=0,SUMIFS('Key Life Events'!$L$3:$L$28,'Key Life Events'!$H$3:$H$28,'Loan Amortization'!$BY$3,'Key Life Events'!$N$3:$N$28,'Loan Amortization'!BT521),BU520-BX520)</f>
        <v>0</v>
      </c>
      <c r="BV521" s="532">
        <f t="shared" ca="1" si="412"/>
        <v>0</v>
      </c>
      <c r="BW521" s="532">
        <f t="shared" ca="1" si="408"/>
        <v>0</v>
      </c>
      <c r="BX521" s="532">
        <f t="shared" ca="1" si="397"/>
        <v>0</v>
      </c>
      <c r="CC521" s="536">
        <f t="shared" ca="1" si="398"/>
        <v>2069</v>
      </c>
      <c r="CF521" s="530">
        <v>520</v>
      </c>
      <c r="CG521" s="531">
        <f t="shared" ca="1" si="409"/>
        <v>61994</v>
      </c>
      <c r="CH521" s="532">
        <f ca="1">IF(CH520=0,SUMIFS('Key Life Events'!$L$3:$L$28,'Key Life Events'!$H$3:$H$28,'Loan Amortization'!$CL$3,'Key Life Events'!$N$3:$N$28,'Loan Amortization'!CG521),CH520-CK520)</f>
        <v>0</v>
      </c>
      <c r="CI521" s="532">
        <f t="shared" ca="1" si="410"/>
        <v>0</v>
      </c>
      <c r="CJ521" s="532">
        <f t="shared" ca="1" si="411"/>
        <v>0</v>
      </c>
      <c r="CK521" s="532">
        <f t="shared" ca="1" si="399"/>
        <v>0</v>
      </c>
      <c r="CP521" s="536">
        <f t="shared" ca="1" si="400"/>
        <v>2069</v>
      </c>
      <c r="CS521" s="100">
        <f t="shared" si="389"/>
        <v>520</v>
      </c>
      <c r="CT521" s="102">
        <f t="shared" ca="1" si="390"/>
        <v>0</v>
      </c>
      <c r="CU521" s="102">
        <f t="shared" ca="1" si="391"/>
        <v>0</v>
      </c>
      <c r="CV521" s="511">
        <f t="shared" ca="1" si="401"/>
        <v>2069</v>
      </c>
    </row>
    <row r="522" spans="1:100" x14ac:dyDescent="0.3">
      <c r="A522" s="100">
        <v>521</v>
      </c>
      <c r="B522" s="131">
        <f t="shared" si="369"/>
        <v>15004</v>
      </c>
      <c r="C522" s="102">
        <f t="shared" si="370"/>
        <v>0</v>
      </c>
      <c r="D522" s="102">
        <f t="shared" si="371"/>
        <v>0</v>
      </c>
      <c r="E522" s="102">
        <f t="shared" si="372"/>
        <v>0</v>
      </c>
      <c r="F522" s="102">
        <f t="shared" si="373"/>
        <v>0</v>
      </c>
      <c r="L522" s="100">
        <v>521</v>
      </c>
      <c r="M522" s="131">
        <f t="shared" ca="1" si="374"/>
        <v>62024</v>
      </c>
      <c r="N522" s="102">
        <f t="shared" si="375"/>
        <v>0</v>
      </c>
      <c r="O522" s="102">
        <f t="shared" si="376"/>
        <v>0</v>
      </c>
      <c r="P522" s="102">
        <f t="shared" si="377"/>
        <v>0</v>
      </c>
      <c r="Q522" s="102">
        <f t="shared" si="378"/>
        <v>0</v>
      </c>
      <c r="W522" s="100">
        <v>521</v>
      </c>
      <c r="X522" s="131">
        <f t="shared" ca="1" si="379"/>
        <v>62024</v>
      </c>
      <c r="Y522" s="102">
        <f t="shared" si="380"/>
        <v>0</v>
      </c>
      <c r="Z522" s="102">
        <f t="shared" si="381"/>
        <v>0</v>
      </c>
      <c r="AA522" s="102">
        <f t="shared" si="382"/>
        <v>0</v>
      </c>
      <c r="AB522" s="102">
        <f t="shared" si="383"/>
        <v>0</v>
      </c>
      <c r="AH522" s="100">
        <v>521</v>
      </c>
      <c r="AI522" s="131">
        <f t="shared" ca="1" si="384"/>
        <v>62024</v>
      </c>
      <c r="AJ522" s="102">
        <f t="shared" si="385"/>
        <v>0</v>
      </c>
      <c r="AK522" s="102">
        <f t="shared" si="386"/>
        <v>0</v>
      </c>
      <c r="AL522" s="102">
        <f t="shared" si="387"/>
        <v>0</v>
      </c>
      <c r="AM522" s="102">
        <f t="shared" si="388"/>
        <v>0</v>
      </c>
      <c r="AS522" s="530">
        <v>521</v>
      </c>
      <c r="AT522" s="531">
        <f t="shared" ca="1" si="402"/>
        <v>62024</v>
      </c>
      <c r="AU522" s="532">
        <f ca="1">IF(AU521=0,SUMIFS('Key Life Events'!$L$3:$L$28,'Key Life Events'!$H$3:$H$28,'Loan Amortization'!$AY$3,'Key Life Events'!$N$3:$N$28,'Loan Amortization'!AT522),AU521-AX521)</f>
        <v>0</v>
      </c>
      <c r="AV522" s="532">
        <f t="shared" ca="1" si="403"/>
        <v>0</v>
      </c>
      <c r="AW522" s="532">
        <f t="shared" ca="1" si="392"/>
        <v>0</v>
      </c>
      <c r="AX522" s="532">
        <f t="shared" ca="1" si="393"/>
        <v>0</v>
      </c>
      <c r="BC522" s="536">
        <f t="shared" ca="1" si="394"/>
        <v>2069</v>
      </c>
      <c r="BF522" s="530">
        <v>521</v>
      </c>
      <c r="BG522" s="531">
        <f t="shared" ca="1" si="404"/>
        <v>62024</v>
      </c>
      <c r="BH522" s="532">
        <f ca="1">IF(BH521=0,SUMIFS('Key Life Events'!$L$3:$L$28,'Key Life Events'!$H$3:$H$28,'Loan Amortization'!$BL$3,'Key Life Events'!$N$3:$N$28,'Loan Amortization'!BG522),BH521-BK521)</f>
        <v>0</v>
      </c>
      <c r="BI522" s="532">
        <f t="shared" ca="1" si="405"/>
        <v>0</v>
      </c>
      <c r="BJ522" s="532">
        <f t="shared" ca="1" si="406"/>
        <v>0</v>
      </c>
      <c r="BK522" s="532">
        <f t="shared" ca="1" si="395"/>
        <v>0</v>
      </c>
      <c r="BP522" s="536">
        <f t="shared" ca="1" si="396"/>
        <v>2069</v>
      </c>
      <c r="BS522" s="530">
        <v>521</v>
      </c>
      <c r="BT522" s="531">
        <f t="shared" ca="1" si="407"/>
        <v>62024</v>
      </c>
      <c r="BU522" s="532">
        <f ca="1">IF(BU521=0,SUMIFS('Key Life Events'!$L$3:$L$28,'Key Life Events'!$H$3:$H$28,'Loan Amortization'!$BY$3,'Key Life Events'!$N$3:$N$28,'Loan Amortization'!BT522),BU521-BX521)</f>
        <v>0</v>
      </c>
      <c r="BV522" s="532">
        <f t="shared" ca="1" si="412"/>
        <v>0</v>
      </c>
      <c r="BW522" s="532">
        <f t="shared" ca="1" si="408"/>
        <v>0</v>
      </c>
      <c r="BX522" s="532">
        <f t="shared" ca="1" si="397"/>
        <v>0</v>
      </c>
      <c r="CC522" s="536">
        <f t="shared" ca="1" si="398"/>
        <v>2069</v>
      </c>
      <c r="CF522" s="530">
        <v>521</v>
      </c>
      <c r="CG522" s="531">
        <f t="shared" ca="1" si="409"/>
        <v>62024</v>
      </c>
      <c r="CH522" s="532">
        <f ca="1">IF(CH521=0,SUMIFS('Key Life Events'!$L$3:$L$28,'Key Life Events'!$H$3:$H$28,'Loan Amortization'!$CL$3,'Key Life Events'!$N$3:$N$28,'Loan Amortization'!CG522),CH521-CK521)</f>
        <v>0</v>
      </c>
      <c r="CI522" s="532">
        <f t="shared" ca="1" si="410"/>
        <v>0</v>
      </c>
      <c r="CJ522" s="532">
        <f t="shared" ca="1" si="411"/>
        <v>0</v>
      </c>
      <c r="CK522" s="532">
        <f t="shared" ca="1" si="399"/>
        <v>0</v>
      </c>
      <c r="CP522" s="536">
        <f t="shared" ca="1" si="400"/>
        <v>2069</v>
      </c>
      <c r="CS522" s="100">
        <f t="shared" si="389"/>
        <v>521</v>
      </c>
      <c r="CT522" s="102">
        <f t="shared" ca="1" si="390"/>
        <v>0</v>
      </c>
      <c r="CU522" s="102">
        <f t="shared" ca="1" si="391"/>
        <v>0</v>
      </c>
      <c r="CV522" s="511">
        <f t="shared" ca="1" si="401"/>
        <v>2069</v>
      </c>
    </row>
    <row r="523" spans="1:100" x14ac:dyDescent="0.3">
      <c r="A523" s="100">
        <v>522</v>
      </c>
      <c r="B523" s="131">
        <f t="shared" si="369"/>
        <v>15035</v>
      </c>
      <c r="C523" s="102">
        <f t="shared" si="370"/>
        <v>0</v>
      </c>
      <c r="D523" s="102">
        <f t="shared" si="371"/>
        <v>0</v>
      </c>
      <c r="E523" s="102">
        <f t="shared" si="372"/>
        <v>0</v>
      </c>
      <c r="F523" s="102">
        <f t="shared" si="373"/>
        <v>0</v>
      </c>
      <c r="L523" s="100">
        <v>522</v>
      </c>
      <c r="M523" s="131">
        <f t="shared" ca="1" si="374"/>
        <v>62055</v>
      </c>
      <c r="N523" s="102">
        <f t="shared" si="375"/>
        <v>0</v>
      </c>
      <c r="O523" s="102">
        <f t="shared" si="376"/>
        <v>0</v>
      </c>
      <c r="P523" s="102">
        <f t="shared" si="377"/>
        <v>0</v>
      </c>
      <c r="Q523" s="102">
        <f t="shared" si="378"/>
        <v>0</v>
      </c>
      <c r="W523" s="100">
        <v>522</v>
      </c>
      <c r="X523" s="131">
        <f t="shared" ca="1" si="379"/>
        <v>62055</v>
      </c>
      <c r="Y523" s="102">
        <f t="shared" si="380"/>
        <v>0</v>
      </c>
      <c r="Z523" s="102">
        <f t="shared" si="381"/>
        <v>0</v>
      </c>
      <c r="AA523" s="102">
        <f t="shared" si="382"/>
        <v>0</v>
      </c>
      <c r="AB523" s="102">
        <f t="shared" si="383"/>
        <v>0</v>
      </c>
      <c r="AH523" s="100">
        <v>522</v>
      </c>
      <c r="AI523" s="131">
        <f t="shared" ca="1" si="384"/>
        <v>62055</v>
      </c>
      <c r="AJ523" s="102">
        <f t="shared" si="385"/>
        <v>0</v>
      </c>
      <c r="AK523" s="102">
        <f t="shared" si="386"/>
        <v>0</v>
      </c>
      <c r="AL523" s="102">
        <f t="shared" si="387"/>
        <v>0</v>
      </c>
      <c r="AM523" s="102">
        <f t="shared" si="388"/>
        <v>0</v>
      </c>
      <c r="AS523" s="530">
        <v>522</v>
      </c>
      <c r="AT523" s="531">
        <f t="shared" ca="1" si="402"/>
        <v>62055</v>
      </c>
      <c r="AU523" s="532">
        <f ca="1">IF(AU522=0,SUMIFS('Key Life Events'!$L$3:$L$28,'Key Life Events'!$H$3:$H$28,'Loan Amortization'!$AY$3,'Key Life Events'!$N$3:$N$28,'Loan Amortization'!AT523),AU522-AX522)</f>
        <v>0</v>
      </c>
      <c r="AV523" s="532">
        <f t="shared" ca="1" si="403"/>
        <v>0</v>
      </c>
      <c r="AW523" s="532">
        <f t="shared" ca="1" si="392"/>
        <v>0</v>
      </c>
      <c r="AX523" s="532">
        <f t="shared" ca="1" si="393"/>
        <v>0</v>
      </c>
      <c r="BC523" s="536">
        <f t="shared" ca="1" si="394"/>
        <v>2069</v>
      </c>
      <c r="BF523" s="530">
        <v>522</v>
      </c>
      <c r="BG523" s="531">
        <f t="shared" ca="1" si="404"/>
        <v>62055</v>
      </c>
      <c r="BH523" s="532">
        <f ca="1">IF(BH522=0,SUMIFS('Key Life Events'!$L$3:$L$28,'Key Life Events'!$H$3:$H$28,'Loan Amortization'!$BL$3,'Key Life Events'!$N$3:$N$28,'Loan Amortization'!BG523),BH522-BK522)</f>
        <v>0</v>
      </c>
      <c r="BI523" s="532">
        <f t="shared" ca="1" si="405"/>
        <v>0</v>
      </c>
      <c r="BJ523" s="532">
        <f t="shared" ca="1" si="406"/>
        <v>0</v>
      </c>
      <c r="BK523" s="532">
        <f t="shared" ca="1" si="395"/>
        <v>0</v>
      </c>
      <c r="BP523" s="536">
        <f t="shared" ca="1" si="396"/>
        <v>2069</v>
      </c>
      <c r="BS523" s="530">
        <v>522</v>
      </c>
      <c r="BT523" s="531">
        <f t="shared" ca="1" si="407"/>
        <v>62055</v>
      </c>
      <c r="BU523" s="532">
        <f ca="1">IF(BU522=0,SUMIFS('Key Life Events'!$L$3:$L$28,'Key Life Events'!$H$3:$H$28,'Loan Amortization'!$BY$3,'Key Life Events'!$N$3:$N$28,'Loan Amortization'!BT523),BU522-BX522)</f>
        <v>0</v>
      </c>
      <c r="BV523" s="532">
        <f t="shared" ca="1" si="412"/>
        <v>0</v>
      </c>
      <c r="BW523" s="532">
        <f t="shared" ca="1" si="408"/>
        <v>0</v>
      </c>
      <c r="BX523" s="532">
        <f t="shared" ca="1" si="397"/>
        <v>0</v>
      </c>
      <c r="CC523" s="536">
        <f t="shared" ca="1" si="398"/>
        <v>2069</v>
      </c>
      <c r="CF523" s="530">
        <v>522</v>
      </c>
      <c r="CG523" s="531">
        <f t="shared" ca="1" si="409"/>
        <v>62055</v>
      </c>
      <c r="CH523" s="532">
        <f ca="1">IF(CH522=0,SUMIFS('Key Life Events'!$L$3:$L$28,'Key Life Events'!$H$3:$H$28,'Loan Amortization'!$CL$3,'Key Life Events'!$N$3:$N$28,'Loan Amortization'!CG523),CH522-CK522)</f>
        <v>0</v>
      </c>
      <c r="CI523" s="532">
        <f t="shared" ca="1" si="410"/>
        <v>0</v>
      </c>
      <c r="CJ523" s="532">
        <f t="shared" ca="1" si="411"/>
        <v>0</v>
      </c>
      <c r="CK523" s="532">
        <f t="shared" ca="1" si="399"/>
        <v>0</v>
      </c>
      <c r="CP523" s="536">
        <f t="shared" ca="1" si="400"/>
        <v>2069</v>
      </c>
      <c r="CS523" s="100">
        <f t="shared" si="389"/>
        <v>522</v>
      </c>
      <c r="CT523" s="102">
        <f t="shared" ca="1" si="390"/>
        <v>0</v>
      </c>
      <c r="CU523" s="102">
        <f t="shared" ca="1" si="391"/>
        <v>0</v>
      </c>
      <c r="CV523" s="511">
        <f t="shared" ca="1" si="401"/>
        <v>2069</v>
      </c>
    </row>
    <row r="524" spans="1:100" x14ac:dyDescent="0.3">
      <c r="A524" s="100">
        <v>523</v>
      </c>
      <c r="B524" s="131">
        <f t="shared" si="369"/>
        <v>15063</v>
      </c>
      <c r="C524" s="102">
        <f t="shared" si="370"/>
        <v>0</v>
      </c>
      <c r="D524" s="102">
        <f t="shared" si="371"/>
        <v>0</v>
      </c>
      <c r="E524" s="102">
        <f t="shared" si="372"/>
        <v>0</v>
      </c>
      <c r="F524" s="102">
        <f t="shared" si="373"/>
        <v>0</v>
      </c>
      <c r="L524" s="100">
        <v>523</v>
      </c>
      <c r="M524" s="131">
        <f t="shared" ca="1" si="374"/>
        <v>62085</v>
      </c>
      <c r="N524" s="102">
        <f t="shared" si="375"/>
        <v>0</v>
      </c>
      <c r="O524" s="102">
        <f t="shared" si="376"/>
        <v>0</v>
      </c>
      <c r="P524" s="102">
        <f t="shared" si="377"/>
        <v>0</v>
      </c>
      <c r="Q524" s="102">
        <f t="shared" si="378"/>
        <v>0</v>
      </c>
      <c r="W524" s="100">
        <v>523</v>
      </c>
      <c r="X524" s="131">
        <f t="shared" ca="1" si="379"/>
        <v>62085</v>
      </c>
      <c r="Y524" s="102">
        <f t="shared" si="380"/>
        <v>0</v>
      </c>
      <c r="Z524" s="102">
        <f t="shared" si="381"/>
        <v>0</v>
      </c>
      <c r="AA524" s="102">
        <f t="shared" si="382"/>
        <v>0</v>
      </c>
      <c r="AB524" s="102">
        <f t="shared" si="383"/>
        <v>0</v>
      </c>
      <c r="AH524" s="100">
        <v>523</v>
      </c>
      <c r="AI524" s="131">
        <f t="shared" ca="1" si="384"/>
        <v>62085</v>
      </c>
      <c r="AJ524" s="102">
        <f t="shared" si="385"/>
        <v>0</v>
      </c>
      <c r="AK524" s="102">
        <f t="shared" si="386"/>
        <v>0</v>
      </c>
      <c r="AL524" s="102">
        <f t="shared" si="387"/>
        <v>0</v>
      </c>
      <c r="AM524" s="102">
        <f t="shared" si="388"/>
        <v>0</v>
      </c>
      <c r="AS524" s="530">
        <v>523</v>
      </c>
      <c r="AT524" s="531">
        <f t="shared" ca="1" si="402"/>
        <v>62085</v>
      </c>
      <c r="AU524" s="532">
        <f ca="1">IF(AU523=0,SUMIFS('Key Life Events'!$L$3:$L$28,'Key Life Events'!$H$3:$H$28,'Loan Amortization'!$AY$3,'Key Life Events'!$N$3:$N$28,'Loan Amortization'!AT524),AU523-AX523)</f>
        <v>0</v>
      </c>
      <c r="AV524" s="532">
        <f t="shared" ca="1" si="403"/>
        <v>0</v>
      </c>
      <c r="AW524" s="532">
        <f t="shared" ca="1" si="392"/>
        <v>0</v>
      </c>
      <c r="AX524" s="532">
        <f t="shared" ca="1" si="393"/>
        <v>0</v>
      </c>
      <c r="BC524" s="536">
        <f t="shared" ca="1" si="394"/>
        <v>2069</v>
      </c>
      <c r="BF524" s="530">
        <v>523</v>
      </c>
      <c r="BG524" s="531">
        <f t="shared" ca="1" si="404"/>
        <v>62085</v>
      </c>
      <c r="BH524" s="532">
        <f ca="1">IF(BH523=0,SUMIFS('Key Life Events'!$L$3:$L$28,'Key Life Events'!$H$3:$H$28,'Loan Amortization'!$BL$3,'Key Life Events'!$N$3:$N$28,'Loan Amortization'!BG524),BH523-BK523)</f>
        <v>0</v>
      </c>
      <c r="BI524" s="532">
        <f t="shared" ca="1" si="405"/>
        <v>0</v>
      </c>
      <c r="BJ524" s="532">
        <f t="shared" ca="1" si="406"/>
        <v>0</v>
      </c>
      <c r="BK524" s="532">
        <f t="shared" ca="1" si="395"/>
        <v>0</v>
      </c>
      <c r="BP524" s="536">
        <f t="shared" ca="1" si="396"/>
        <v>2069</v>
      </c>
      <c r="BS524" s="530">
        <v>523</v>
      </c>
      <c r="BT524" s="531">
        <f t="shared" ca="1" si="407"/>
        <v>62085</v>
      </c>
      <c r="BU524" s="532">
        <f ca="1">IF(BU523=0,SUMIFS('Key Life Events'!$L$3:$L$28,'Key Life Events'!$H$3:$H$28,'Loan Amortization'!$BY$3,'Key Life Events'!$N$3:$N$28,'Loan Amortization'!BT524),BU523-BX523)</f>
        <v>0</v>
      </c>
      <c r="BV524" s="532">
        <f t="shared" ca="1" si="412"/>
        <v>0</v>
      </c>
      <c r="BW524" s="532">
        <f t="shared" ca="1" si="408"/>
        <v>0</v>
      </c>
      <c r="BX524" s="532">
        <f t="shared" ca="1" si="397"/>
        <v>0</v>
      </c>
      <c r="CC524" s="536">
        <f t="shared" ca="1" si="398"/>
        <v>2069</v>
      </c>
      <c r="CF524" s="530">
        <v>523</v>
      </c>
      <c r="CG524" s="531">
        <f t="shared" ca="1" si="409"/>
        <v>62085</v>
      </c>
      <c r="CH524" s="532">
        <f ca="1">IF(CH523=0,SUMIFS('Key Life Events'!$L$3:$L$28,'Key Life Events'!$H$3:$H$28,'Loan Amortization'!$CL$3,'Key Life Events'!$N$3:$N$28,'Loan Amortization'!CG524),CH523-CK523)</f>
        <v>0</v>
      </c>
      <c r="CI524" s="532">
        <f t="shared" ca="1" si="410"/>
        <v>0</v>
      </c>
      <c r="CJ524" s="532">
        <f t="shared" ca="1" si="411"/>
        <v>0</v>
      </c>
      <c r="CK524" s="532">
        <f t="shared" ca="1" si="399"/>
        <v>0</v>
      </c>
      <c r="CP524" s="536">
        <f t="shared" ca="1" si="400"/>
        <v>2069</v>
      </c>
      <c r="CS524" s="100">
        <f t="shared" si="389"/>
        <v>523</v>
      </c>
      <c r="CT524" s="102">
        <f t="shared" ca="1" si="390"/>
        <v>0</v>
      </c>
      <c r="CU524" s="102">
        <f t="shared" ca="1" si="391"/>
        <v>0</v>
      </c>
      <c r="CV524" s="511">
        <f t="shared" ca="1" si="401"/>
        <v>2069</v>
      </c>
    </row>
    <row r="525" spans="1:100" x14ac:dyDescent="0.3">
      <c r="A525" s="100">
        <v>524</v>
      </c>
      <c r="B525" s="131">
        <f t="shared" si="369"/>
        <v>15094</v>
      </c>
      <c r="C525" s="102">
        <f t="shared" si="370"/>
        <v>0</v>
      </c>
      <c r="D525" s="102">
        <f t="shared" si="371"/>
        <v>0</v>
      </c>
      <c r="E525" s="102">
        <f t="shared" si="372"/>
        <v>0</v>
      </c>
      <c r="F525" s="102">
        <f t="shared" si="373"/>
        <v>0</v>
      </c>
      <c r="L525" s="100">
        <v>524</v>
      </c>
      <c r="M525" s="131">
        <f t="shared" ca="1" si="374"/>
        <v>62116</v>
      </c>
      <c r="N525" s="102">
        <f t="shared" si="375"/>
        <v>0</v>
      </c>
      <c r="O525" s="102">
        <f t="shared" si="376"/>
        <v>0</v>
      </c>
      <c r="P525" s="102">
        <f t="shared" si="377"/>
        <v>0</v>
      </c>
      <c r="Q525" s="102">
        <f t="shared" si="378"/>
        <v>0</v>
      </c>
      <c r="W525" s="100">
        <v>524</v>
      </c>
      <c r="X525" s="131">
        <f t="shared" ca="1" si="379"/>
        <v>62116</v>
      </c>
      <c r="Y525" s="102">
        <f t="shared" si="380"/>
        <v>0</v>
      </c>
      <c r="Z525" s="102">
        <f t="shared" si="381"/>
        <v>0</v>
      </c>
      <c r="AA525" s="102">
        <f t="shared" si="382"/>
        <v>0</v>
      </c>
      <c r="AB525" s="102">
        <f t="shared" si="383"/>
        <v>0</v>
      </c>
      <c r="AH525" s="100">
        <v>524</v>
      </c>
      <c r="AI525" s="131">
        <f t="shared" ca="1" si="384"/>
        <v>62116</v>
      </c>
      <c r="AJ525" s="102">
        <f t="shared" si="385"/>
        <v>0</v>
      </c>
      <c r="AK525" s="102">
        <f t="shared" si="386"/>
        <v>0</v>
      </c>
      <c r="AL525" s="102">
        <f t="shared" si="387"/>
        <v>0</v>
      </c>
      <c r="AM525" s="102">
        <f t="shared" si="388"/>
        <v>0</v>
      </c>
      <c r="AS525" s="530">
        <v>524</v>
      </c>
      <c r="AT525" s="531">
        <f t="shared" ca="1" si="402"/>
        <v>62116</v>
      </c>
      <c r="AU525" s="532">
        <f ca="1">IF(AU524=0,SUMIFS('Key Life Events'!$L$3:$L$28,'Key Life Events'!$H$3:$H$28,'Loan Amortization'!$AY$3,'Key Life Events'!$N$3:$N$28,'Loan Amortization'!AT525),AU524-AX524)</f>
        <v>0</v>
      </c>
      <c r="AV525" s="532">
        <f t="shared" ca="1" si="403"/>
        <v>0</v>
      </c>
      <c r="AW525" s="532">
        <f t="shared" ca="1" si="392"/>
        <v>0</v>
      </c>
      <c r="AX525" s="532">
        <f t="shared" ca="1" si="393"/>
        <v>0</v>
      </c>
      <c r="BC525" s="536">
        <f t="shared" ca="1" si="394"/>
        <v>2070</v>
      </c>
      <c r="BF525" s="530">
        <v>524</v>
      </c>
      <c r="BG525" s="531">
        <f t="shared" ca="1" si="404"/>
        <v>62116</v>
      </c>
      <c r="BH525" s="532">
        <f ca="1">IF(BH524=0,SUMIFS('Key Life Events'!$L$3:$L$28,'Key Life Events'!$H$3:$H$28,'Loan Amortization'!$BL$3,'Key Life Events'!$N$3:$N$28,'Loan Amortization'!BG525),BH524-BK524)</f>
        <v>0</v>
      </c>
      <c r="BI525" s="532">
        <f t="shared" ca="1" si="405"/>
        <v>0</v>
      </c>
      <c r="BJ525" s="532">
        <f t="shared" ca="1" si="406"/>
        <v>0</v>
      </c>
      <c r="BK525" s="532">
        <f t="shared" ca="1" si="395"/>
        <v>0</v>
      </c>
      <c r="BP525" s="536">
        <f t="shared" ca="1" si="396"/>
        <v>2070</v>
      </c>
      <c r="BS525" s="530">
        <v>524</v>
      </c>
      <c r="BT525" s="531">
        <f t="shared" ca="1" si="407"/>
        <v>62116</v>
      </c>
      <c r="BU525" s="532">
        <f ca="1">IF(BU524=0,SUMIFS('Key Life Events'!$L$3:$L$28,'Key Life Events'!$H$3:$H$28,'Loan Amortization'!$BY$3,'Key Life Events'!$N$3:$N$28,'Loan Amortization'!BT525),BU524-BX524)</f>
        <v>0</v>
      </c>
      <c r="BV525" s="532">
        <f t="shared" ca="1" si="412"/>
        <v>0</v>
      </c>
      <c r="BW525" s="532">
        <f t="shared" ca="1" si="408"/>
        <v>0</v>
      </c>
      <c r="BX525" s="532">
        <f t="shared" ca="1" si="397"/>
        <v>0</v>
      </c>
      <c r="CC525" s="536">
        <f t="shared" ca="1" si="398"/>
        <v>2070</v>
      </c>
      <c r="CF525" s="530">
        <v>524</v>
      </c>
      <c r="CG525" s="531">
        <f t="shared" ca="1" si="409"/>
        <v>62116</v>
      </c>
      <c r="CH525" s="532">
        <f ca="1">IF(CH524=0,SUMIFS('Key Life Events'!$L$3:$L$28,'Key Life Events'!$H$3:$H$28,'Loan Amortization'!$CL$3,'Key Life Events'!$N$3:$N$28,'Loan Amortization'!CG525),CH524-CK524)</f>
        <v>0</v>
      </c>
      <c r="CI525" s="532">
        <f t="shared" ca="1" si="410"/>
        <v>0</v>
      </c>
      <c r="CJ525" s="532">
        <f t="shared" ca="1" si="411"/>
        <v>0</v>
      </c>
      <c r="CK525" s="532">
        <f t="shared" ca="1" si="399"/>
        <v>0</v>
      </c>
      <c r="CP525" s="536">
        <f t="shared" ca="1" si="400"/>
        <v>2070</v>
      </c>
      <c r="CS525" s="100">
        <f t="shared" si="389"/>
        <v>524</v>
      </c>
      <c r="CT525" s="102">
        <f t="shared" ca="1" si="390"/>
        <v>0</v>
      </c>
      <c r="CU525" s="102">
        <f t="shared" ca="1" si="391"/>
        <v>0</v>
      </c>
      <c r="CV525" s="511">
        <f t="shared" ca="1" si="401"/>
        <v>2070</v>
      </c>
    </row>
    <row r="526" spans="1:100" x14ac:dyDescent="0.3">
      <c r="A526" s="100">
        <v>525</v>
      </c>
      <c r="B526" s="131">
        <f t="shared" si="369"/>
        <v>15124</v>
      </c>
      <c r="C526" s="102">
        <f t="shared" si="370"/>
        <v>0</v>
      </c>
      <c r="D526" s="102">
        <f t="shared" si="371"/>
        <v>0</v>
      </c>
      <c r="E526" s="102">
        <f t="shared" si="372"/>
        <v>0</v>
      </c>
      <c r="F526" s="102">
        <f t="shared" si="373"/>
        <v>0</v>
      </c>
      <c r="L526" s="100">
        <v>525</v>
      </c>
      <c r="M526" s="131">
        <f t="shared" ca="1" si="374"/>
        <v>62147</v>
      </c>
      <c r="N526" s="102">
        <f t="shared" si="375"/>
        <v>0</v>
      </c>
      <c r="O526" s="102">
        <f t="shared" si="376"/>
        <v>0</v>
      </c>
      <c r="P526" s="102">
        <f t="shared" si="377"/>
        <v>0</v>
      </c>
      <c r="Q526" s="102">
        <f t="shared" si="378"/>
        <v>0</v>
      </c>
      <c r="W526" s="100">
        <v>525</v>
      </c>
      <c r="X526" s="131">
        <f t="shared" ca="1" si="379"/>
        <v>62147</v>
      </c>
      <c r="Y526" s="102">
        <f t="shared" si="380"/>
        <v>0</v>
      </c>
      <c r="Z526" s="102">
        <f t="shared" si="381"/>
        <v>0</v>
      </c>
      <c r="AA526" s="102">
        <f t="shared" si="382"/>
        <v>0</v>
      </c>
      <c r="AB526" s="102">
        <f t="shared" si="383"/>
        <v>0</v>
      </c>
      <c r="AH526" s="100">
        <v>525</v>
      </c>
      <c r="AI526" s="131">
        <f t="shared" ca="1" si="384"/>
        <v>62147</v>
      </c>
      <c r="AJ526" s="102">
        <f t="shared" si="385"/>
        <v>0</v>
      </c>
      <c r="AK526" s="102">
        <f t="shared" si="386"/>
        <v>0</v>
      </c>
      <c r="AL526" s="102">
        <f t="shared" si="387"/>
        <v>0</v>
      </c>
      <c r="AM526" s="102">
        <f t="shared" si="388"/>
        <v>0</v>
      </c>
      <c r="AS526" s="530">
        <v>525</v>
      </c>
      <c r="AT526" s="531">
        <f t="shared" ca="1" si="402"/>
        <v>62147</v>
      </c>
      <c r="AU526" s="532">
        <f ca="1">IF(AU525=0,SUMIFS('Key Life Events'!$L$3:$L$28,'Key Life Events'!$H$3:$H$28,'Loan Amortization'!$AY$3,'Key Life Events'!$N$3:$N$28,'Loan Amortization'!AT526),AU525-AX525)</f>
        <v>0</v>
      </c>
      <c r="AV526" s="532">
        <f t="shared" ca="1" si="403"/>
        <v>0</v>
      </c>
      <c r="AW526" s="532">
        <f t="shared" ca="1" si="392"/>
        <v>0</v>
      </c>
      <c r="AX526" s="532">
        <f t="shared" ca="1" si="393"/>
        <v>0</v>
      </c>
      <c r="BC526" s="536">
        <f t="shared" ca="1" si="394"/>
        <v>2070</v>
      </c>
      <c r="BF526" s="530">
        <v>525</v>
      </c>
      <c r="BG526" s="531">
        <f t="shared" ca="1" si="404"/>
        <v>62147</v>
      </c>
      <c r="BH526" s="532">
        <f ca="1">IF(BH525=0,SUMIFS('Key Life Events'!$L$3:$L$28,'Key Life Events'!$H$3:$H$28,'Loan Amortization'!$BL$3,'Key Life Events'!$N$3:$N$28,'Loan Amortization'!BG526),BH525-BK525)</f>
        <v>0</v>
      </c>
      <c r="BI526" s="532">
        <f t="shared" ca="1" si="405"/>
        <v>0</v>
      </c>
      <c r="BJ526" s="532">
        <f t="shared" ca="1" si="406"/>
        <v>0</v>
      </c>
      <c r="BK526" s="532">
        <f t="shared" ca="1" si="395"/>
        <v>0</v>
      </c>
      <c r="BP526" s="536">
        <f t="shared" ca="1" si="396"/>
        <v>2070</v>
      </c>
      <c r="BS526" s="530">
        <v>525</v>
      </c>
      <c r="BT526" s="531">
        <f t="shared" ca="1" si="407"/>
        <v>62147</v>
      </c>
      <c r="BU526" s="532">
        <f ca="1">IF(BU525=0,SUMIFS('Key Life Events'!$L$3:$L$28,'Key Life Events'!$H$3:$H$28,'Loan Amortization'!$BY$3,'Key Life Events'!$N$3:$N$28,'Loan Amortization'!BT526),BU525-BX525)</f>
        <v>0</v>
      </c>
      <c r="BV526" s="532">
        <f t="shared" ca="1" si="412"/>
        <v>0</v>
      </c>
      <c r="BW526" s="532">
        <f t="shared" ca="1" si="408"/>
        <v>0</v>
      </c>
      <c r="BX526" s="532">
        <f t="shared" ca="1" si="397"/>
        <v>0</v>
      </c>
      <c r="CC526" s="536">
        <f t="shared" ca="1" si="398"/>
        <v>2070</v>
      </c>
      <c r="CF526" s="530">
        <v>525</v>
      </c>
      <c r="CG526" s="531">
        <f t="shared" ca="1" si="409"/>
        <v>62147</v>
      </c>
      <c r="CH526" s="532">
        <f ca="1">IF(CH525=0,SUMIFS('Key Life Events'!$L$3:$L$28,'Key Life Events'!$H$3:$H$28,'Loan Amortization'!$CL$3,'Key Life Events'!$N$3:$N$28,'Loan Amortization'!CG526),CH525-CK525)</f>
        <v>0</v>
      </c>
      <c r="CI526" s="532">
        <f t="shared" ca="1" si="410"/>
        <v>0</v>
      </c>
      <c r="CJ526" s="532">
        <f t="shared" ca="1" si="411"/>
        <v>0</v>
      </c>
      <c r="CK526" s="532">
        <f t="shared" ca="1" si="399"/>
        <v>0</v>
      </c>
      <c r="CP526" s="536">
        <f t="shared" ca="1" si="400"/>
        <v>2070</v>
      </c>
      <c r="CS526" s="100">
        <f t="shared" si="389"/>
        <v>525</v>
      </c>
      <c r="CT526" s="102">
        <f t="shared" ca="1" si="390"/>
        <v>0</v>
      </c>
      <c r="CU526" s="102">
        <f t="shared" ca="1" si="391"/>
        <v>0</v>
      </c>
      <c r="CV526" s="511">
        <f t="shared" ca="1" si="401"/>
        <v>2070</v>
      </c>
    </row>
    <row r="527" spans="1:100" x14ac:dyDescent="0.3">
      <c r="A527" s="100">
        <v>526</v>
      </c>
      <c r="B527" s="131">
        <f t="shared" si="369"/>
        <v>15155</v>
      </c>
      <c r="C527" s="102">
        <f t="shared" si="370"/>
        <v>0</v>
      </c>
      <c r="D527" s="102">
        <f t="shared" si="371"/>
        <v>0</v>
      </c>
      <c r="E527" s="102">
        <f t="shared" si="372"/>
        <v>0</v>
      </c>
      <c r="F527" s="102">
        <f t="shared" si="373"/>
        <v>0</v>
      </c>
      <c r="L527" s="100">
        <v>526</v>
      </c>
      <c r="M527" s="131">
        <f t="shared" ca="1" si="374"/>
        <v>62175</v>
      </c>
      <c r="N527" s="102">
        <f t="shared" si="375"/>
        <v>0</v>
      </c>
      <c r="O527" s="102">
        <f t="shared" si="376"/>
        <v>0</v>
      </c>
      <c r="P527" s="102">
        <f t="shared" si="377"/>
        <v>0</v>
      </c>
      <c r="Q527" s="102">
        <f t="shared" si="378"/>
        <v>0</v>
      </c>
      <c r="W527" s="100">
        <v>526</v>
      </c>
      <c r="X527" s="131">
        <f t="shared" ca="1" si="379"/>
        <v>62175</v>
      </c>
      <c r="Y527" s="102">
        <f t="shared" si="380"/>
        <v>0</v>
      </c>
      <c r="Z527" s="102">
        <f t="shared" si="381"/>
        <v>0</v>
      </c>
      <c r="AA527" s="102">
        <f t="shared" si="382"/>
        <v>0</v>
      </c>
      <c r="AB527" s="102">
        <f t="shared" si="383"/>
        <v>0</v>
      </c>
      <c r="AH527" s="100">
        <v>526</v>
      </c>
      <c r="AI527" s="131">
        <f t="shared" ca="1" si="384"/>
        <v>62175</v>
      </c>
      <c r="AJ527" s="102">
        <f t="shared" si="385"/>
        <v>0</v>
      </c>
      <c r="AK527" s="102">
        <f t="shared" si="386"/>
        <v>0</v>
      </c>
      <c r="AL527" s="102">
        <f t="shared" si="387"/>
        <v>0</v>
      </c>
      <c r="AM527" s="102">
        <f t="shared" si="388"/>
        <v>0</v>
      </c>
      <c r="AS527" s="530">
        <v>526</v>
      </c>
      <c r="AT527" s="531">
        <f t="shared" ca="1" si="402"/>
        <v>62175</v>
      </c>
      <c r="AU527" s="532">
        <f ca="1">IF(AU526=0,SUMIFS('Key Life Events'!$L$3:$L$28,'Key Life Events'!$H$3:$H$28,'Loan Amortization'!$AY$3,'Key Life Events'!$N$3:$N$28,'Loan Amortization'!AT527),AU526-AX526)</f>
        <v>0</v>
      </c>
      <c r="AV527" s="532">
        <f t="shared" ca="1" si="403"/>
        <v>0</v>
      </c>
      <c r="AW527" s="532">
        <f t="shared" ca="1" si="392"/>
        <v>0</v>
      </c>
      <c r="AX527" s="532">
        <f t="shared" ca="1" si="393"/>
        <v>0</v>
      </c>
      <c r="BC527" s="536">
        <f t="shared" ca="1" si="394"/>
        <v>2070</v>
      </c>
      <c r="BF527" s="530">
        <v>526</v>
      </c>
      <c r="BG527" s="531">
        <f t="shared" ca="1" si="404"/>
        <v>62175</v>
      </c>
      <c r="BH527" s="532">
        <f ca="1">IF(BH526=0,SUMIFS('Key Life Events'!$L$3:$L$28,'Key Life Events'!$H$3:$H$28,'Loan Amortization'!$BL$3,'Key Life Events'!$N$3:$N$28,'Loan Amortization'!BG527),BH526-BK526)</f>
        <v>0</v>
      </c>
      <c r="BI527" s="532">
        <f t="shared" ca="1" si="405"/>
        <v>0</v>
      </c>
      <c r="BJ527" s="532">
        <f t="shared" ca="1" si="406"/>
        <v>0</v>
      </c>
      <c r="BK527" s="532">
        <f t="shared" ca="1" si="395"/>
        <v>0</v>
      </c>
      <c r="BP527" s="536">
        <f t="shared" ca="1" si="396"/>
        <v>2070</v>
      </c>
      <c r="BS527" s="530">
        <v>526</v>
      </c>
      <c r="BT527" s="531">
        <f t="shared" ca="1" si="407"/>
        <v>62175</v>
      </c>
      <c r="BU527" s="532">
        <f ca="1">IF(BU526=0,SUMIFS('Key Life Events'!$L$3:$L$28,'Key Life Events'!$H$3:$H$28,'Loan Amortization'!$BY$3,'Key Life Events'!$N$3:$N$28,'Loan Amortization'!BT527),BU526-BX526)</f>
        <v>0</v>
      </c>
      <c r="BV527" s="532">
        <f t="shared" ca="1" si="412"/>
        <v>0</v>
      </c>
      <c r="BW527" s="532">
        <f t="shared" ca="1" si="408"/>
        <v>0</v>
      </c>
      <c r="BX527" s="532">
        <f t="shared" ca="1" si="397"/>
        <v>0</v>
      </c>
      <c r="CC527" s="536">
        <f t="shared" ca="1" si="398"/>
        <v>2070</v>
      </c>
      <c r="CF527" s="530">
        <v>526</v>
      </c>
      <c r="CG527" s="531">
        <f t="shared" ca="1" si="409"/>
        <v>62175</v>
      </c>
      <c r="CH527" s="532">
        <f ca="1">IF(CH526=0,SUMIFS('Key Life Events'!$L$3:$L$28,'Key Life Events'!$H$3:$H$28,'Loan Amortization'!$CL$3,'Key Life Events'!$N$3:$N$28,'Loan Amortization'!CG527),CH526-CK526)</f>
        <v>0</v>
      </c>
      <c r="CI527" s="532">
        <f t="shared" ca="1" si="410"/>
        <v>0</v>
      </c>
      <c r="CJ527" s="532">
        <f t="shared" ca="1" si="411"/>
        <v>0</v>
      </c>
      <c r="CK527" s="532">
        <f t="shared" ca="1" si="399"/>
        <v>0</v>
      </c>
      <c r="CP527" s="536">
        <f t="shared" ca="1" si="400"/>
        <v>2070</v>
      </c>
      <c r="CS527" s="100">
        <f t="shared" si="389"/>
        <v>526</v>
      </c>
      <c r="CT527" s="102">
        <f t="shared" ca="1" si="390"/>
        <v>0</v>
      </c>
      <c r="CU527" s="102">
        <f t="shared" ca="1" si="391"/>
        <v>0</v>
      </c>
      <c r="CV527" s="511">
        <f t="shared" ca="1" si="401"/>
        <v>2070</v>
      </c>
    </row>
    <row r="528" spans="1:100" x14ac:dyDescent="0.3">
      <c r="A528" s="100">
        <v>527</v>
      </c>
      <c r="B528" s="131">
        <f t="shared" si="369"/>
        <v>15185</v>
      </c>
      <c r="C528" s="102">
        <f t="shared" si="370"/>
        <v>0</v>
      </c>
      <c r="D528" s="102">
        <f t="shared" si="371"/>
        <v>0</v>
      </c>
      <c r="E528" s="102">
        <f t="shared" si="372"/>
        <v>0</v>
      </c>
      <c r="F528" s="102">
        <f t="shared" si="373"/>
        <v>0</v>
      </c>
      <c r="L528" s="100">
        <v>527</v>
      </c>
      <c r="M528" s="131">
        <f t="shared" ca="1" si="374"/>
        <v>62206</v>
      </c>
      <c r="N528" s="102">
        <f t="shared" si="375"/>
        <v>0</v>
      </c>
      <c r="O528" s="102">
        <f t="shared" si="376"/>
        <v>0</v>
      </c>
      <c r="P528" s="102">
        <f t="shared" si="377"/>
        <v>0</v>
      </c>
      <c r="Q528" s="102">
        <f t="shared" si="378"/>
        <v>0</v>
      </c>
      <c r="W528" s="100">
        <v>527</v>
      </c>
      <c r="X528" s="131">
        <f t="shared" ca="1" si="379"/>
        <v>62206</v>
      </c>
      <c r="Y528" s="102">
        <f t="shared" si="380"/>
        <v>0</v>
      </c>
      <c r="Z528" s="102">
        <f t="shared" si="381"/>
        <v>0</v>
      </c>
      <c r="AA528" s="102">
        <f t="shared" si="382"/>
        <v>0</v>
      </c>
      <c r="AB528" s="102">
        <f t="shared" si="383"/>
        <v>0</v>
      </c>
      <c r="AH528" s="100">
        <v>527</v>
      </c>
      <c r="AI528" s="131">
        <f t="shared" ca="1" si="384"/>
        <v>62206</v>
      </c>
      <c r="AJ528" s="102">
        <f t="shared" si="385"/>
        <v>0</v>
      </c>
      <c r="AK528" s="102">
        <f t="shared" si="386"/>
        <v>0</v>
      </c>
      <c r="AL528" s="102">
        <f t="shared" si="387"/>
        <v>0</v>
      </c>
      <c r="AM528" s="102">
        <f t="shared" si="388"/>
        <v>0</v>
      </c>
      <c r="AS528" s="530">
        <v>527</v>
      </c>
      <c r="AT528" s="531">
        <f t="shared" ca="1" si="402"/>
        <v>62206</v>
      </c>
      <c r="AU528" s="532">
        <f ca="1">IF(AU527=0,SUMIFS('Key Life Events'!$L$3:$L$28,'Key Life Events'!$H$3:$H$28,'Loan Amortization'!$AY$3,'Key Life Events'!$N$3:$N$28,'Loan Amortization'!AT528),AU527-AX527)</f>
        <v>0</v>
      </c>
      <c r="AV528" s="532">
        <f t="shared" ca="1" si="403"/>
        <v>0</v>
      </c>
      <c r="AW528" s="532">
        <f t="shared" ca="1" si="392"/>
        <v>0</v>
      </c>
      <c r="AX528" s="532">
        <f t="shared" ca="1" si="393"/>
        <v>0</v>
      </c>
      <c r="BC528" s="536">
        <f t="shared" ca="1" si="394"/>
        <v>2070</v>
      </c>
      <c r="BF528" s="530">
        <v>527</v>
      </c>
      <c r="BG528" s="531">
        <f t="shared" ca="1" si="404"/>
        <v>62206</v>
      </c>
      <c r="BH528" s="532">
        <f ca="1">IF(BH527=0,SUMIFS('Key Life Events'!$L$3:$L$28,'Key Life Events'!$H$3:$H$28,'Loan Amortization'!$BL$3,'Key Life Events'!$N$3:$N$28,'Loan Amortization'!BG528),BH527-BK527)</f>
        <v>0</v>
      </c>
      <c r="BI528" s="532">
        <f t="shared" ca="1" si="405"/>
        <v>0</v>
      </c>
      <c r="BJ528" s="532">
        <f t="shared" ca="1" si="406"/>
        <v>0</v>
      </c>
      <c r="BK528" s="532">
        <f t="shared" ca="1" si="395"/>
        <v>0</v>
      </c>
      <c r="BP528" s="536">
        <f t="shared" ca="1" si="396"/>
        <v>2070</v>
      </c>
      <c r="BS528" s="530">
        <v>527</v>
      </c>
      <c r="BT528" s="531">
        <f t="shared" ca="1" si="407"/>
        <v>62206</v>
      </c>
      <c r="BU528" s="532">
        <f ca="1">IF(BU527=0,SUMIFS('Key Life Events'!$L$3:$L$28,'Key Life Events'!$H$3:$H$28,'Loan Amortization'!$BY$3,'Key Life Events'!$N$3:$N$28,'Loan Amortization'!BT528),BU527-BX527)</f>
        <v>0</v>
      </c>
      <c r="BV528" s="532">
        <f t="shared" ca="1" si="412"/>
        <v>0</v>
      </c>
      <c r="BW528" s="532">
        <f t="shared" ca="1" si="408"/>
        <v>0</v>
      </c>
      <c r="BX528" s="532">
        <f t="shared" ca="1" si="397"/>
        <v>0</v>
      </c>
      <c r="CC528" s="536">
        <f t="shared" ca="1" si="398"/>
        <v>2070</v>
      </c>
      <c r="CF528" s="530">
        <v>527</v>
      </c>
      <c r="CG528" s="531">
        <f t="shared" ca="1" si="409"/>
        <v>62206</v>
      </c>
      <c r="CH528" s="532">
        <f ca="1">IF(CH527=0,SUMIFS('Key Life Events'!$L$3:$L$28,'Key Life Events'!$H$3:$H$28,'Loan Amortization'!$CL$3,'Key Life Events'!$N$3:$N$28,'Loan Amortization'!CG528),CH527-CK527)</f>
        <v>0</v>
      </c>
      <c r="CI528" s="532">
        <f t="shared" ca="1" si="410"/>
        <v>0</v>
      </c>
      <c r="CJ528" s="532">
        <f t="shared" ca="1" si="411"/>
        <v>0</v>
      </c>
      <c r="CK528" s="532">
        <f t="shared" ca="1" si="399"/>
        <v>0</v>
      </c>
      <c r="CP528" s="536">
        <f t="shared" ca="1" si="400"/>
        <v>2070</v>
      </c>
      <c r="CS528" s="100">
        <f t="shared" si="389"/>
        <v>527</v>
      </c>
      <c r="CT528" s="102">
        <f t="shared" ca="1" si="390"/>
        <v>0</v>
      </c>
      <c r="CU528" s="102">
        <f t="shared" ca="1" si="391"/>
        <v>0</v>
      </c>
      <c r="CV528" s="511">
        <f t="shared" ca="1" si="401"/>
        <v>2070</v>
      </c>
    </row>
    <row r="529" spans="1:100" x14ac:dyDescent="0.3">
      <c r="A529" s="100">
        <v>528</v>
      </c>
      <c r="B529" s="131">
        <f t="shared" si="369"/>
        <v>15216</v>
      </c>
      <c r="C529" s="102">
        <f t="shared" si="370"/>
        <v>0</v>
      </c>
      <c r="D529" s="102">
        <f t="shared" si="371"/>
        <v>0</v>
      </c>
      <c r="E529" s="102">
        <f t="shared" si="372"/>
        <v>0</v>
      </c>
      <c r="F529" s="102">
        <f t="shared" si="373"/>
        <v>0</v>
      </c>
      <c r="L529" s="100">
        <v>528</v>
      </c>
      <c r="M529" s="131">
        <f t="shared" ca="1" si="374"/>
        <v>62236</v>
      </c>
      <c r="N529" s="102">
        <f t="shared" si="375"/>
        <v>0</v>
      </c>
      <c r="O529" s="102">
        <f t="shared" si="376"/>
        <v>0</v>
      </c>
      <c r="P529" s="102">
        <f t="shared" si="377"/>
        <v>0</v>
      </c>
      <c r="Q529" s="102">
        <f t="shared" si="378"/>
        <v>0</v>
      </c>
      <c r="W529" s="100">
        <v>528</v>
      </c>
      <c r="X529" s="131">
        <f t="shared" ca="1" si="379"/>
        <v>62236</v>
      </c>
      <c r="Y529" s="102">
        <f t="shared" si="380"/>
        <v>0</v>
      </c>
      <c r="Z529" s="102">
        <f t="shared" si="381"/>
        <v>0</v>
      </c>
      <c r="AA529" s="102">
        <f t="shared" si="382"/>
        <v>0</v>
      </c>
      <c r="AB529" s="102">
        <f t="shared" si="383"/>
        <v>0</v>
      </c>
      <c r="AH529" s="100">
        <v>528</v>
      </c>
      <c r="AI529" s="131">
        <f t="shared" ca="1" si="384"/>
        <v>62236</v>
      </c>
      <c r="AJ529" s="102">
        <f t="shared" si="385"/>
        <v>0</v>
      </c>
      <c r="AK529" s="102">
        <f t="shared" si="386"/>
        <v>0</v>
      </c>
      <c r="AL529" s="102">
        <f t="shared" si="387"/>
        <v>0</v>
      </c>
      <c r="AM529" s="102">
        <f t="shared" si="388"/>
        <v>0</v>
      </c>
      <c r="AS529" s="530">
        <v>528</v>
      </c>
      <c r="AT529" s="531">
        <f t="shared" ca="1" si="402"/>
        <v>62236</v>
      </c>
      <c r="AU529" s="532">
        <f ca="1">IF(AU528=0,SUMIFS('Key Life Events'!$L$3:$L$28,'Key Life Events'!$H$3:$H$28,'Loan Amortization'!$AY$3,'Key Life Events'!$N$3:$N$28,'Loan Amortization'!AT529),AU528-AX528)</f>
        <v>0</v>
      </c>
      <c r="AV529" s="532">
        <f t="shared" ca="1" si="403"/>
        <v>0</v>
      </c>
      <c r="AW529" s="532">
        <f t="shared" ca="1" si="392"/>
        <v>0</v>
      </c>
      <c r="AX529" s="532">
        <f t="shared" ca="1" si="393"/>
        <v>0</v>
      </c>
      <c r="BC529" s="536">
        <f t="shared" ca="1" si="394"/>
        <v>2070</v>
      </c>
      <c r="BF529" s="530">
        <v>528</v>
      </c>
      <c r="BG529" s="531">
        <f t="shared" ca="1" si="404"/>
        <v>62236</v>
      </c>
      <c r="BH529" s="532">
        <f ca="1">IF(BH528=0,SUMIFS('Key Life Events'!$L$3:$L$28,'Key Life Events'!$H$3:$H$28,'Loan Amortization'!$BL$3,'Key Life Events'!$N$3:$N$28,'Loan Amortization'!BG529),BH528-BK528)</f>
        <v>0</v>
      </c>
      <c r="BI529" s="532">
        <f t="shared" ca="1" si="405"/>
        <v>0</v>
      </c>
      <c r="BJ529" s="532">
        <f t="shared" ca="1" si="406"/>
        <v>0</v>
      </c>
      <c r="BK529" s="532">
        <f t="shared" ca="1" si="395"/>
        <v>0</v>
      </c>
      <c r="BP529" s="536">
        <f t="shared" ca="1" si="396"/>
        <v>2070</v>
      </c>
      <c r="BS529" s="530">
        <v>528</v>
      </c>
      <c r="BT529" s="531">
        <f t="shared" ca="1" si="407"/>
        <v>62236</v>
      </c>
      <c r="BU529" s="532">
        <f ca="1">IF(BU528=0,SUMIFS('Key Life Events'!$L$3:$L$28,'Key Life Events'!$H$3:$H$28,'Loan Amortization'!$BY$3,'Key Life Events'!$N$3:$N$28,'Loan Amortization'!BT529),BU528-BX528)</f>
        <v>0</v>
      </c>
      <c r="BV529" s="532">
        <f t="shared" ca="1" si="412"/>
        <v>0</v>
      </c>
      <c r="BW529" s="532">
        <f t="shared" ca="1" si="408"/>
        <v>0</v>
      </c>
      <c r="BX529" s="532">
        <f t="shared" ca="1" si="397"/>
        <v>0</v>
      </c>
      <c r="CC529" s="536">
        <f t="shared" ca="1" si="398"/>
        <v>2070</v>
      </c>
      <c r="CF529" s="530">
        <v>528</v>
      </c>
      <c r="CG529" s="531">
        <f t="shared" ca="1" si="409"/>
        <v>62236</v>
      </c>
      <c r="CH529" s="532">
        <f ca="1">IF(CH528=0,SUMIFS('Key Life Events'!$L$3:$L$28,'Key Life Events'!$H$3:$H$28,'Loan Amortization'!$CL$3,'Key Life Events'!$N$3:$N$28,'Loan Amortization'!CG529),CH528-CK528)</f>
        <v>0</v>
      </c>
      <c r="CI529" s="532">
        <f t="shared" ca="1" si="410"/>
        <v>0</v>
      </c>
      <c r="CJ529" s="532">
        <f t="shared" ca="1" si="411"/>
        <v>0</v>
      </c>
      <c r="CK529" s="532">
        <f t="shared" ca="1" si="399"/>
        <v>0</v>
      </c>
      <c r="CP529" s="536">
        <f t="shared" ca="1" si="400"/>
        <v>2070</v>
      </c>
      <c r="CS529" s="100">
        <f t="shared" si="389"/>
        <v>528</v>
      </c>
      <c r="CT529" s="102">
        <f t="shared" ca="1" si="390"/>
        <v>0</v>
      </c>
      <c r="CU529" s="102">
        <f t="shared" ca="1" si="391"/>
        <v>0</v>
      </c>
      <c r="CV529" s="511">
        <f t="shared" ca="1" si="401"/>
        <v>2070</v>
      </c>
    </row>
    <row r="530" spans="1:100" x14ac:dyDescent="0.3">
      <c r="A530" s="100">
        <v>529</v>
      </c>
      <c r="B530" s="131">
        <f t="shared" si="369"/>
        <v>15247</v>
      </c>
      <c r="C530" s="102">
        <f t="shared" si="370"/>
        <v>0</v>
      </c>
      <c r="D530" s="102">
        <f t="shared" si="371"/>
        <v>0</v>
      </c>
      <c r="E530" s="102">
        <f t="shared" si="372"/>
        <v>0</v>
      </c>
      <c r="F530" s="102">
        <f t="shared" si="373"/>
        <v>0</v>
      </c>
      <c r="L530" s="100">
        <v>529</v>
      </c>
      <c r="M530" s="131">
        <f t="shared" ca="1" si="374"/>
        <v>62267</v>
      </c>
      <c r="N530" s="102">
        <f t="shared" si="375"/>
        <v>0</v>
      </c>
      <c r="O530" s="102">
        <f t="shared" si="376"/>
        <v>0</v>
      </c>
      <c r="P530" s="102">
        <f t="shared" si="377"/>
        <v>0</v>
      </c>
      <c r="Q530" s="102">
        <f t="shared" si="378"/>
        <v>0</v>
      </c>
      <c r="W530" s="100">
        <v>529</v>
      </c>
      <c r="X530" s="131">
        <f t="shared" ca="1" si="379"/>
        <v>62267</v>
      </c>
      <c r="Y530" s="102">
        <f t="shared" si="380"/>
        <v>0</v>
      </c>
      <c r="Z530" s="102">
        <f t="shared" si="381"/>
        <v>0</v>
      </c>
      <c r="AA530" s="102">
        <f t="shared" si="382"/>
        <v>0</v>
      </c>
      <c r="AB530" s="102">
        <f t="shared" si="383"/>
        <v>0</v>
      </c>
      <c r="AH530" s="100">
        <v>529</v>
      </c>
      <c r="AI530" s="131">
        <f t="shared" ca="1" si="384"/>
        <v>62267</v>
      </c>
      <c r="AJ530" s="102">
        <f t="shared" si="385"/>
        <v>0</v>
      </c>
      <c r="AK530" s="102">
        <f t="shared" si="386"/>
        <v>0</v>
      </c>
      <c r="AL530" s="102">
        <f t="shared" si="387"/>
        <v>0</v>
      </c>
      <c r="AM530" s="102">
        <f t="shared" si="388"/>
        <v>0</v>
      </c>
      <c r="AS530" s="530">
        <v>529</v>
      </c>
      <c r="AT530" s="531">
        <f t="shared" ca="1" si="402"/>
        <v>62267</v>
      </c>
      <c r="AU530" s="532">
        <f ca="1">IF(AU529=0,SUMIFS('Key Life Events'!$L$3:$L$28,'Key Life Events'!$H$3:$H$28,'Loan Amortization'!$AY$3,'Key Life Events'!$N$3:$N$28,'Loan Amortization'!AT530),AU529-AX529)</f>
        <v>0</v>
      </c>
      <c r="AV530" s="532">
        <f t="shared" ca="1" si="403"/>
        <v>0</v>
      </c>
      <c r="AW530" s="532">
        <f t="shared" ca="1" si="392"/>
        <v>0</v>
      </c>
      <c r="AX530" s="532">
        <f t="shared" ca="1" si="393"/>
        <v>0</v>
      </c>
      <c r="BC530" s="536">
        <f t="shared" ca="1" si="394"/>
        <v>2070</v>
      </c>
      <c r="BF530" s="530">
        <v>529</v>
      </c>
      <c r="BG530" s="531">
        <f t="shared" ca="1" si="404"/>
        <v>62267</v>
      </c>
      <c r="BH530" s="532">
        <f ca="1">IF(BH529=0,SUMIFS('Key Life Events'!$L$3:$L$28,'Key Life Events'!$H$3:$H$28,'Loan Amortization'!$BL$3,'Key Life Events'!$N$3:$N$28,'Loan Amortization'!BG530),BH529-BK529)</f>
        <v>0</v>
      </c>
      <c r="BI530" s="532">
        <f t="shared" ca="1" si="405"/>
        <v>0</v>
      </c>
      <c r="BJ530" s="532">
        <f t="shared" ca="1" si="406"/>
        <v>0</v>
      </c>
      <c r="BK530" s="532">
        <f t="shared" ca="1" si="395"/>
        <v>0</v>
      </c>
      <c r="BP530" s="536">
        <f t="shared" ca="1" si="396"/>
        <v>2070</v>
      </c>
      <c r="BS530" s="530">
        <v>529</v>
      </c>
      <c r="BT530" s="531">
        <f t="shared" ca="1" si="407"/>
        <v>62267</v>
      </c>
      <c r="BU530" s="532">
        <f ca="1">IF(BU529=0,SUMIFS('Key Life Events'!$L$3:$L$28,'Key Life Events'!$H$3:$H$28,'Loan Amortization'!$BY$3,'Key Life Events'!$N$3:$N$28,'Loan Amortization'!BT530),BU529-BX529)</f>
        <v>0</v>
      </c>
      <c r="BV530" s="532">
        <f t="shared" ca="1" si="412"/>
        <v>0</v>
      </c>
      <c r="BW530" s="532">
        <f t="shared" ca="1" si="408"/>
        <v>0</v>
      </c>
      <c r="BX530" s="532">
        <f t="shared" ca="1" si="397"/>
        <v>0</v>
      </c>
      <c r="CC530" s="536">
        <f t="shared" ca="1" si="398"/>
        <v>2070</v>
      </c>
      <c r="CF530" s="530">
        <v>529</v>
      </c>
      <c r="CG530" s="531">
        <f t="shared" ca="1" si="409"/>
        <v>62267</v>
      </c>
      <c r="CH530" s="532">
        <f ca="1">IF(CH529=0,SUMIFS('Key Life Events'!$L$3:$L$28,'Key Life Events'!$H$3:$H$28,'Loan Amortization'!$CL$3,'Key Life Events'!$N$3:$N$28,'Loan Amortization'!CG530),CH529-CK529)</f>
        <v>0</v>
      </c>
      <c r="CI530" s="532">
        <f t="shared" ca="1" si="410"/>
        <v>0</v>
      </c>
      <c r="CJ530" s="532">
        <f t="shared" ca="1" si="411"/>
        <v>0</v>
      </c>
      <c r="CK530" s="532">
        <f t="shared" ca="1" si="399"/>
        <v>0</v>
      </c>
      <c r="CP530" s="536">
        <f t="shared" ca="1" si="400"/>
        <v>2070</v>
      </c>
      <c r="CS530" s="100">
        <f t="shared" si="389"/>
        <v>529</v>
      </c>
      <c r="CT530" s="102">
        <f t="shared" ca="1" si="390"/>
        <v>0</v>
      </c>
      <c r="CU530" s="102">
        <f t="shared" ca="1" si="391"/>
        <v>0</v>
      </c>
      <c r="CV530" s="511">
        <f t="shared" ca="1" si="401"/>
        <v>2070</v>
      </c>
    </row>
    <row r="531" spans="1:100" x14ac:dyDescent="0.3">
      <c r="A531" s="100">
        <v>530</v>
      </c>
      <c r="B531" s="131">
        <f t="shared" si="369"/>
        <v>15277</v>
      </c>
      <c r="C531" s="102">
        <f t="shared" si="370"/>
        <v>0</v>
      </c>
      <c r="D531" s="102">
        <f t="shared" si="371"/>
        <v>0</v>
      </c>
      <c r="E531" s="102">
        <f t="shared" si="372"/>
        <v>0</v>
      </c>
      <c r="F531" s="102">
        <f t="shared" si="373"/>
        <v>0</v>
      </c>
      <c r="L531" s="100">
        <v>530</v>
      </c>
      <c r="M531" s="131">
        <f t="shared" ca="1" si="374"/>
        <v>62297</v>
      </c>
      <c r="N531" s="102">
        <f t="shared" si="375"/>
        <v>0</v>
      </c>
      <c r="O531" s="102">
        <f t="shared" si="376"/>
        <v>0</v>
      </c>
      <c r="P531" s="102">
        <f t="shared" si="377"/>
        <v>0</v>
      </c>
      <c r="Q531" s="102">
        <f t="shared" si="378"/>
        <v>0</v>
      </c>
      <c r="W531" s="100">
        <v>530</v>
      </c>
      <c r="X531" s="131">
        <f t="shared" ca="1" si="379"/>
        <v>62297</v>
      </c>
      <c r="Y531" s="102">
        <f t="shared" si="380"/>
        <v>0</v>
      </c>
      <c r="Z531" s="102">
        <f t="shared" si="381"/>
        <v>0</v>
      </c>
      <c r="AA531" s="102">
        <f t="shared" si="382"/>
        <v>0</v>
      </c>
      <c r="AB531" s="102">
        <f t="shared" si="383"/>
        <v>0</v>
      </c>
      <c r="AH531" s="100">
        <v>530</v>
      </c>
      <c r="AI531" s="131">
        <f t="shared" ca="1" si="384"/>
        <v>62297</v>
      </c>
      <c r="AJ531" s="102">
        <f t="shared" si="385"/>
        <v>0</v>
      </c>
      <c r="AK531" s="102">
        <f t="shared" si="386"/>
        <v>0</v>
      </c>
      <c r="AL531" s="102">
        <f t="shared" si="387"/>
        <v>0</v>
      </c>
      <c r="AM531" s="102">
        <f t="shared" si="388"/>
        <v>0</v>
      </c>
      <c r="AS531" s="530">
        <v>530</v>
      </c>
      <c r="AT531" s="531">
        <f t="shared" ca="1" si="402"/>
        <v>62297</v>
      </c>
      <c r="AU531" s="532">
        <f ca="1">IF(AU530=0,SUMIFS('Key Life Events'!$L$3:$L$28,'Key Life Events'!$H$3:$H$28,'Loan Amortization'!$AY$3,'Key Life Events'!$N$3:$N$28,'Loan Amortization'!AT531),AU530-AX530)</f>
        <v>0</v>
      </c>
      <c r="AV531" s="532">
        <f t="shared" ca="1" si="403"/>
        <v>0</v>
      </c>
      <c r="AW531" s="532">
        <f t="shared" ca="1" si="392"/>
        <v>0</v>
      </c>
      <c r="AX531" s="532">
        <f t="shared" ca="1" si="393"/>
        <v>0</v>
      </c>
      <c r="BC531" s="536">
        <f t="shared" ca="1" si="394"/>
        <v>2070</v>
      </c>
      <c r="BF531" s="530">
        <v>530</v>
      </c>
      <c r="BG531" s="531">
        <f t="shared" ca="1" si="404"/>
        <v>62297</v>
      </c>
      <c r="BH531" s="532">
        <f ca="1">IF(BH530=0,SUMIFS('Key Life Events'!$L$3:$L$28,'Key Life Events'!$H$3:$H$28,'Loan Amortization'!$BL$3,'Key Life Events'!$N$3:$N$28,'Loan Amortization'!BG531),BH530-BK530)</f>
        <v>0</v>
      </c>
      <c r="BI531" s="532">
        <f t="shared" ca="1" si="405"/>
        <v>0</v>
      </c>
      <c r="BJ531" s="532">
        <f t="shared" ca="1" si="406"/>
        <v>0</v>
      </c>
      <c r="BK531" s="532">
        <f t="shared" ca="1" si="395"/>
        <v>0</v>
      </c>
      <c r="BP531" s="536">
        <f t="shared" ca="1" si="396"/>
        <v>2070</v>
      </c>
      <c r="BS531" s="530">
        <v>530</v>
      </c>
      <c r="BT531" s="531">
        <f t="shared" ca="1" si="407"/>
        <v>62297</v>
      </c>
      <c r="BU531" s="532">
        <f ca="1">IF(BU530=0,SUMIFS('Key Life Events'!$L$3:$L$28,'Key Life Events'!$H$3:$H$28,'Loan Amortization'!$BY$3,'Key Life Events'!$N$3:$N$28,'Loan Amortization'!BT531),BU530-BX530)</f>
        <v>0</v>
      </c>
      <c r="BV531" s="532">
        <f t="shared" ca="1" si="412"/>
        <v>0</v>
      </c>
      <c r="BW531" s="532">
        <f t="shared" ca="1" si="408"/>
        <v>0</v>
      </c>
      <c r="BX531" s="532">
        <f t="shared" ca="1" si="397"/>
        <v>0</v>
      </c>
      <c r="CC531" s="536">
        <f t="shared" ca="1" si="398"/>
        <v>2070</v>
      </c>
      <c r="CF531" s="530">
        <v>530</v>
      </c>
      <c r="CG531" s="531">
        <f t="shared" ca="1" si="409"/>
        <v>62297</v>
      </c>
      <c r="CH531" s="532">
        <f ca="1">IF(CH530=0,SUMIFS('Key Life Events'!$L$3:$L$28,'Key Life Events'!$H$3:$H$28,'Loan Amortization'!$CL$3,'Key Life Events'!$N$3:$N$28,'Loan Amortization'!CG531),CH530-CK530)</f>
        <v>0</v>
      </c>
      <c r="CI531" s="532">
        <f t="shared" ca="1" si="410"/>
        <v>0</v>
      </c>
      <c r="CJ531" s="532">
        <f t="shared" ca="1" si="411"/>
        <v>0</v>
      </c>
      <c r="CK531" s="532">
        <f t="shared" ca="1" si="399"/>
        <v>0</v>
      </c>
      <c r="CP531" s="536">
        <f t="shared" ca="1" si="400"/>
        <v>2070</v>
      </c>
      <c r="CS531" s="100">
        <f t="shared" si="389"/>
        <v>530</v>
      </c>
      <c r="CT531" s="102">
        <f t="shared" ca="1" si="390"/>
        <v>0</v>
      </c>
      <c r="CU531" s="102">
        <f t="shared" ca="1" si="391"/>
        <v>0</v>
      </c>
      <c r="CV531" s="511">
        <f t="shared" ca="1" si="401"/>
        <v>2070</v>
      </c>
    </row>
    <row r="532" spans="1:100" x14ac:dyDescent="0.3">
      <c r="A532" s="100">
        <v>531</v>
      </c>
      <c r="B532" s="131">
        <f t="shared" si="369"/>
        <v>15308</v>
      </c>
      <c r="C532" s="102">
        <f t="shared" si="370"/>
        <v>0</v>
      </c>
      <c r="D532" s="102">
        <f t="shared" si="371"/>
        <v>0</v>
      </c>
      <c r="E532" s="102">
        <f t="shared" si="372"/>
        <v>0</v>
      </c>
      <c r="F532" s="102">
        <f t="shared" si="373"/>
        <v>0</v>
      </c>
      <c r="L532" s="100">
        <v>531</v>
      </c>
      <c r="M532" s="131">
        <f t="shared" ca="1" si="374"/>
        <v>62328</v>
      </c>
      <c r="N532" s="102">
        <f t="shared" si="375"/>
        <v>0</v>
      </c>
      <c r="O532" s="102">
        <f t="shared" si="376"/>
        <v>0</v>
      </c>
      <c r="P532" s="102">
        <f t="shared" si="377"/>
        <v>0</v>
      </c>
      <c r="Q532" s="102">
        <f t="shared" si="378"/>
        <v>0</v>
      </c>
      <c r="W532" s="100">
        <v>531</v>
      </c>
      <c r="X532" s="131">
        <f t="shared" ca="1" si="379"/>
        <v>62328</v>
      </c>
      <c r="Y532" s="102">
        <f t="shared" si="380"/>
        <v>0</v>
      </c>
      <c r="Z532" s="102">
        <f t="shared" si="381"/>
        <v>0</v>
      </c>
      <c r="AA532" s="102">
        <f t="shared" si="382"/>
        <v>0</v>
      </c>
      <c r="AB532" s="102">
        <f t="shared" si="383"/>
        <v>0</v>
      </c>
      <c r="AH532" s="100">
        <v>531</v>
      </c>
      <c r="AI532" s="131">
        <f t="shared" ca="1" si="384"/>
        <v>62328</v>
      </c>
      <c r="AJ532" s="102">
        <f t="shared" si="385"/>
        <v>0</v>
      </c>
      <c r="AK532" s="102">
        <f t="shared" si="386"/>
        <v>0</v>
      </c>
      <c r="AL532" s="102">
        <f t="shared" si="387"/>
        <v>0</v>
      </c>
      <c r="AM532" s="102">
        <f t="shared" si="388"/>
        <v>0</v>
      </c>
      <c r="AS532" s="530">
        <v>531</v>
      </c>
      <c r="AT532" s="531">
        <f t="shared" ca="1" si="402"/>
        <v>62328</v>
      </c>
      <c r="AU532" s="532">
        <f ca="1">IF(AU531=0,SUMIFS('Key Life Events'!$L$3:$L$28,'Key Life Events'!$H$3:$H$28,'Loan Amortization'!$AY$3,'Key Life Events'!$N$3:$N$28,'Loan Amortization'!AT532),AU531-AX531)</f>
        <v>0</v>
      </c>
      <c r="AV532" s="532">
        <f t="shared" ca="1" si="403"/>
        <v>0</v>
      </c>
      <c r="AW532" s="532">
        <f t="shared" ca="1" si="392"/>
        <v>0</v>
      </c>
      <c r="AX532" s="532">
        <f t="shared" ca="1" si="393"/>
        <v>0</v>
      </c>
      <c r="BC532" s="536">
        <f t="shared" ca="1" si="394"/>
        <v>2070</v>
      </c>
      <c r="BF532" s="530">
        <v>531</v>
      </c>
      <c r="BG532" s="531">
        <f t="shared" ca="1" si="404"/>
        <v>62328</v>
      </c>
      <c r="BH532" s="532">
        <f ca="1">IF(BH531=0,SUMIFS('Key Life Events'!$L$3:$L$28,'Key Life Events'!$H$3:$H$28,'Loan Amortization'!$BL$3,'Key Life Events'!$N$3:$N$28,'Loan Amortization'!BG532),BH531-BK531)</f>
        <v>0</v>
      </c>
      <c r="BI532" s="532">
        <f t="shared" ca="1" si="405"/>
        <v>0</v>
      </c>
      <c r="BJ532" s="532">
        <f t="shared" ca="1" si="406"/>
        <v>0</v>
      </c>
      <c r="BK532" s="532">
        <f t="shared" ca="1" si="395"/>
        <v>0</v>
      </c>
      <c r="BP532" s="536">
        <f t="shared" ca="1" si="396"/>
        <v>2070</v>
      </c>
      <c r="BS532" s="530">
        <v>531</v>
      </c>
      <c r="BT532" s="531">
        <f t="shared" ca="1" si="407"/>
        <v>62328</v>
      </c>
      <c r="BU532" s="532">
        <f ca="1">IF(BU531=0,SUMIFS('Key Life Events'!$L$3:$L$28,'Key Life Events'!$H$3:$H$28,'Loan Amortization'!$BY$3,'Key Life Events'!$N$3:$N$28,'Loan Amortization'!BT532),BU531-BX531)</f>
        <v>0</v>
      </c>
      <c r="BV532" s="532">
        <f t="shared" ca="1" si="412"/>
        <v>0</v>
      </c>
      <c r="BW532" s="532">
        <f t="shared" ca="1" si="408"/>
        <v>0</v>
      </c>
      <c r="BX532" s="532">
        <f t="shared" ca="1" si="397"/>
        <v>0</v>
      </c>
      <c r="CC532" s="536">
        <f t="shared" ca="1" si="398"/>
        <v>2070</v>
      </c>
      <c r="CF532" s="530">
        <v>531</v>
      </c>
      <c r="CG532" s="531">
        <f t="shared" ca="1" si="409"/>
        <v>62328</v>
      </c>
      <c r="CH532" s="532">
        <f ca="1">IF(CH531=0,SUMIFS('Key Life Events'!$L$3:$L$28,'Key Life Events'!$H$3:$H$28,'Loan Amortization'!$CL$3,'Key Life Events'!$N$3:$N$28,'Loan Amortization'!CG532),CH531-CK531)</f>
        <v>0</v>
      </c>
      <c r="CI532" s="532">
        <f t="shared" ca="1" si="410"/>
        <v>0</v>
      </c>
      <c r="CJ532" s="532">
        <f t="shared" ca="1" si="411"/>
        <v>0</v>
      </c>
      <c r="CK532" s="532">
        <f t="shared" ca="1" si="399"/>
        <v>0</v>
      </c>
      <c r="CP532" s="536">
        <f t="shared" ca="1" si="400"/>
        <v>2070</v>
      </c>
      <c r="CS532" s="100">
        <f t="shared" si="389"/>
        <v>531</v>
      </c>
      <c r="CT532" s="102">
        <f t="shared" ca="1" si="390"/>
        <v>0</v>
      </c>
      <c r="CU532" s="102">
        <f t="shared" ca="1" si="391"/>
        <v>0</v>
      </c>
      <c r="CV532" s="511">
        <f t="shared" ca="1" si="401"/>
        <v>2070</v>
      </c>
    </row>
    <row r="533" spans="1:100" x14ac:dyDescent="0.3">
      <c r="A533" s="100">
        <v>532</v>
      </c>
      <c r="B533" s="131">
        <f t="shared" si="369"/>
        <v>15338</v>
      </c>
      <c r="C533" s="102">
        <f t="shared" si="370"/>
        <v>0</v>
      </c>
      <c r="D533" s="102">
        <f t="shared" si="371"/>
        <v>0</v>
      </c>
      <c r="E533" s="102">
        <f t="shared" si="372"/>
        <v>0</v>
      </c>
      <c r="F533" s="102">
        <f t="shared" si="373"/>
        <v>0</v>
      </c>
      <c r="L533" s="100">
        <v>532</v>
      </c>
      <c r="M533" s="131">
        <f t="shared" ca="1" si="374"/>
        <v>62359</v>
      </c>
      <c r="N533" s="102">
        <f t="shared" si="375"/>
        <v>0</v>
      </c>
      <c r="O533" s="102">
        <f t="shared" si="376"/>
        <v>0</v>
      </c>
      <c r="P533" s="102">
        <f t="shared" si="377"/>
        <v>0</v>
      </c>
      <c r="Q533" s="102">
        <f t="shared" si="378"/>
        <v>0</v>
      </c>
      <c r="W533" s="100">
        <v>532</v>
      </c>
      <c r="X533" s="131">
        <f t="shared" ca="1" si="379"/>
        <v>62359</v>
      </c>
      <c r="Y533" s="102">
        <f t="shared" si="380"/>
        <v>0</v>
      </c>
      <c r="Z533" s="102">
        <f t="shared" si="381"/>
        <v>0</v>
      </c>
      <c r="AA533" s="102">
        <f t="shared" si="382"/>
        <v>0</v>
      </c>
      <c r="AB533" s="102">
        <f t="shared" si="383"/>
        <v>0</v>
      </c>
      <c r="AH533" s="100">
        <v>532</v>
      </c>
      <c r="AI533" s="131">
        <f t="shared" ca="1" si="384"/>
        <v>62359</v>
      </c>
      <c r="AJ533" s="102">
        <f t="shared" si="385"/>
        <v>0</v>
      </c>
      <c r="AK533" s="102">
        <f t="shared" si="386"/>
        <v>0</v>
      </c>
      <c r="AL533" s="102">
        <f t="shared" si="387"/>
        <v>0</v>
      </c>
      <c r="AM533" s="102">
        <f t="shared" si="388"/>
        <v>0</v>
      </c>
      <c r="AS533" s="530">
        <v>532</v>
      </c>
      <c r="AT533" s="531">
        <f t="shared" ca="1" si="402"/>
        <v>62359</v>
      </c>
      <c r="AU533" s="532">
        <f ca="1">IF(AU532=0,SUMIFS('Key Life Events'!$L$3:$L$28,'Key Life Events'!$H$3:$H$28,'Loan Amortization'!$AY$3,'Key Life Events'!$N$3:$N$28,'Loan Amortization'!AT533),AU532-AX532)</f>
        <v>0</v>
      </c>
      <c r="AV533" s="532">
        <f t="shared" ca="1" si="403"/>
        <v>0</v>
      </c>
      <c r="AW533" s="532">
        <f t="shared" ca="1" si="392"/>
        <v>0</v>
      </c>
      <c r="AX533" s="532">
        <f t="shared" ca="1" si="393"/>
        <v>0</v>
      </c>
      <c r="BC533" s="536">
        <f t="shared" ca="1" si="394"/>
        <v>2070</v>
      </c>
      <c r="BF533" s="530">
        <v>532</v>
      </c>
      <c r="BG533" s="531">
        <f t="shared" ca="1" si="404"/>
        <v>62359</v>
      </c>
      <c r="BH533" s="532">
        <f ca="1">IF(BH532=0,SUMIFS('Key Life Events'!$L$3:$L$28,'Key Life Events'!$H$3:$H$28,'Loan Amortization'!$BL$3,'Key Life Events'!$N$3:$N$28,'Loan Amortization'!BG533),BH532-BK532)</f>
        <v>0</v>
      </c>
      <c r="BI533" s="532">
        <f t="shared" ca="1" si="405"/>
        <v>0</v>
      </c>
      <c r="BJ533" s="532">
        <f t="shared" ca="1" si="406"/>
        <v>0</v>
      </c>
      <c r="BK533" s="532">
        <f t="shared" ca="1" si="395"/>
        <v>0</v>
      </c>
      <c r="BP533" s="536">
        <f t="shared" ca="1" si="396"/>
        <v>2070</v>
      </c>
      <c r="BS533" s="530">
        <v>532</v>
      </c>
      <c r="BT533" s="531">
        <f t="shared" ca="1" si="407"/>
        <v>62359</v>
      </c>
      <c r="BU533" s="532">
        <f ca="1">IF(BU532=0,SUMIFS('Key Life Events'!$L$3:$L$28,'Key Life Events'!$H$3:$H$28,'Loan Amortization'!$BY$3,'Key Life Events'!$N$3:$N$28,'Loan Amortization'!BT533),BU532-BX532)</f>
        <v>0</v>
      </c>
      <c r="BV533" s="532">
        <f t="shared" ca="1" si="412"/>
        <v>0</v>
      </c>
      <c r="BW533" s="532">
        <f t="shared" ca="1" si="408"/>
        <v>0</v>
      </c>
      <c r="BX533" s="532">
        <f t="shared" ca="1" si="397"/>
        <v>0</v>
      </c>
      <c r="CC533" s="536">
        <f t="shared" ca="1" si="398"/>
        <v>2070</v>
      </c>
      <c r="CF533" s="530">
        <v>532</v>
      </c>
      <c r="CG533" s="531">
        <f t="shared" ca="1" si="409"/>
        <v>62359</v>
      </c>
      <c r="CH533" s="532">
        <f ca="1">IF(CH532=0,SUMIFS('Key Life Events'!$L$3:$L$28,'Key Life Events'!$H$3:$H$28,'Loan Amortization'!$CL$3,'Key Life Events'!$N$3:$N$28,'Loan Amortization'!CG533),CH532-CK532)</f>
        <v>0</v>
      </c>
      <c r="CI533" s="532">
        <f t="shared" ca="1" si="410"/>
        <v>0</v>
      </c>
      <c r="CJ533" s="532">
        <f t="shared" ca="1" si="411"/>
        <v>0</v>
      </c>
      <c r="CK533" s="532">
        <f t="shared" ca="1" si="399"/>
        <v>0</v>
      </c>
      <c r="CP533" s="536">
        <f t="shared" ca="1" si="400"/>
        <v>2070</v>
      </c>
      <c r="CS533" s="100">
        <f t="shared" si="389"/>
        <v>532</v>
      </c>
      <c r="CT533" s="102">
        <f t="shared" ca="1" si="390"/>
        <v>0</v>
      </c>
      <c r="CU533" s="102">
        <f t="shared" ca="1" si="391"/>
        <v>0</v>
      </c>
      <c r="CV533" s="511">
        <f t="shared" ca="1" si="401"/>
        <v>2070</v>
      </c>
    </row>
    <row r="534" spans="1:100" x14ac:dyDescent="0.3">
      <c r="A534" s="100">
        <v>533</v>
      </c>
      <c r="B534" s="131">
        <f t="shared" si="369"/>
        <v>15369</v>
      </c>
      <c r="C534" s="102">
        <f t="shared" si="370"/>
        <v>0</v>
      </c>
      <c r="D534" s="102">
        <f t="shared" si="371"/>
        <v>0</v>
      </c>
      <c r="E534" s="102">
        <f t="shared" si="372"/>
        <v>0</v>
      </c>
      <c r="F534" s="102">
        <f t="shared" si="373"/>
        <v>0</v>
      </c>
      <c r="L534" s="100">
        <v>533</v>
      </c>
      <c r="M534" s="131">
        <f t="shared" ca="1" si="374"/>
        <v>62389</v>
      </c>
      <c r="N534" s="102">
        <f t="shared" si="375"/>
        <v>0</v>
      </c>
      <c r="O534" s="102">
        <f t="shared" si="376"/>
        <v>0</v>
      </c>
      <c r="P534" s="102">
        <f t="shared" si="377"/>
        <v>0</v>
      </c>
      <c r="Q534" s="102">
        <f t="shared" si="378"/>
        <v>0</v>
      </c>
      <c r="W534" s="100">
        <v>533</v>
      </c>
      <c r="X534" s="131">
        <f t="shared" ca="1" si="379"/>
        <v>62389</v>
      </c>
      <c r="Y534" s="102">
        <f t="shared" si="380"/>
        <v>0</v>
      </c>
      <c r="Z534" s="102">
        <f t="shared" si="381"/>
        <v>0</v>
      </c>
      <c r="AA534" s="102">
        <f t="shared" si="382"/>
        <v>0</v>
      </c>
      <c r="AB534" s="102">
        <f t="shared" si="383"/>
        <v>0</v>
      </c>
      <c r="AH534" s="100">
        <v>533</v>
      </c>
      <c r="AI534" s="131">
        <f t="shared" ca="1" si="384"/>
        <v>62389</v>
      </c>
      <c r="AJ534" s="102">
        <f t="shared" si="385"/>
        <v>0</v>
      </c>
      <c r="AK534" s="102">
        <f t="shared" si="386"/>
        <v>0</v>
      </c>
      <c r="AL534" s="102">
        <f t="shared" si="387"/>
        <v>0</v>
      </c>
      <c r="AM534" s="102">
        <f t="shared" si="388"/>
        <v>0</v>
      </c>
      <c r="AS534" s="530">
        <v>533</v>
      </c>
      <c r="AT534" s="531">
        <f t="shared" ca="1" si="402"/>
        <v>62389</v>
      </c>
      <c r="AU534" s="532">
        <f ca="1">IF(AU533=0,SUMIFS('Key Life Events'!$L$3:$L$28,'Key Life Events'!$H$3:$H$28,'Loan Amortization'!$AY$3,'Key Life Events'!$N$3:$N$28,'Loan Amortization'!AT534),AU533-AX533)</f>
        <v>0</v>
      </c>
      <c r="AV534" s="532">
        <f t="shared" ca="1" si="403"/>
        <v>0</v>
      </c>
      <c r="AW534" s="532">
        <f t="shared" ca="1" si="392"/>
        <v>0</v>
      </c>
      <c r="AX534" s="532">
        <f t="shared" ca="1" si="393"/>
        <v>0</v>
      </c>
      <c r="BC534" s="536">
        <f t="shared" ca="1" si="394"/>
        <v>2070</v>
      </c>
      <c r="BF534" s="530">
        <v>533</v>
      </c>
      <c r="BG534" s="531">
        <f t="shared" ca="1" si="404"/>
        <v>62389</v>
      </c>
      <c r="BH534" s="532">
        <f ca="1">IF(BH533=0,SUMIFS('Key Life Events'!$L$3:$L$28,'Key Life Events'!$H$3:$H$28,'Loan Amortization'!$BL$3,'Key Life Events'!$N$3:$N$28,'Loan Amortization'!BG534),BH533-BK533)</f>
        <v>0</v>
      </c>
      <c r="BI534" s="532">
        <f t="shared" ca="1" si="405"/>
        <v>0</v>
      </c>
      <c r="BJ534" s="532">
        <f t="shared" ca="1" si="406"/>
        <v>0</v>
      </c>
      <c r="BK534" s="532">
        <f t="shared" ca="1" si="395"/>
        <v>0</v>
      </c>
      <c r="BP534" s="536">
        <f t="shared" ca="1" si="396"/>
        <v>2070</v>
      </c>
      <c r="BS534" s="530">
        <v>533</v>
      </c>
      <c r="BT534" s="531">
        <f t="shared" ca="1" si="407"/>
        <v>62389</v>
      </c>
      <c r="BU534" s="532">
        <f ca="1">IF(BU533=0,SUMIFS('Key Life Events'!$L$3:$L$28,'Key Life Events'!$H$3:$H$28,'Loan Amortization'!$BY$3,'Key Life Events'!$N$3:$N$28,'Loan Amortization'!BT534),BU533-BX533)</f>
        <v>0</v>
      </c>
      <c r="BV534" s="532">
        <f t="shared" ca="1" si="412"/>
        <v>0</v>
      </c>
      <c r="BW534" s="532">
        <f t="shared" ca="1" si="408"/>
        <v>0</v>
      </c>
      <c r="BX534" s="532">
        <f t="shared" ca="1" si="397"/>
        <v>0</v>
      </c>
      <c r="CC534" s="536">
        <f t="shared" ca="1" si="398"/>
        <v>2070</v>
      </c>
      <c r="CF534" s="530">
        <v>533</v>
      </c>
      <c r="CG534" s="531">
        <f t="shared" ca="1" si="409"/>
        <v>62389</v>
      </c>
      <c r="CH534" s="532">
        <f ca="1">IF(CH533=0,SUMIFS('Key Life Events'!$L$3:$L$28,'Key Life Events'!$H$3:$H$28,'Loan Amortization'!$CL$3,'Key Life Events'!$N$3:$N$28,'Loan Amortization'!CG534),CH533-CK533)</f>
        <v>0</v>
      </c>
      <c r="CI534" s="532">
        <f t="shared" ca="1" si="410"/>
        <v>0</v>
      </c>
      <c r="CJ534" s="532">
        <f t="shared" ca="1" si="411"/>
        <v>0</v>
      </c>
      <c r="CK534" s="532">
        <f t="shared" ca="1" si="399"/>
        <v>0</v>
      </c>
      <c r="CP534" s="536">
        <f t="shared" ca="1" si="400"/>
        <v>2070</v>
      </c>
      <c r="CS534" s="100">
        <f t="shared" si="389"/>
        <v>533</v>
      </c>
      <c r="CT534" s="102">
        <f t="shared" ca="1" si="390"/>
        <v>0</v>
      </c>
      <c r="CU534" s="102">
        <f t="shared" ca="1" si="391"/>
        <v>0</v>
      </c>
      <c r="CV534" s="511">
        <f t="shared" ca="1" si="401"/>
        <v>2070</v>
      </c>
    </row>
    <row r="535" spans="1:100" x14ac:dyDescent="0.3">
      <c r="A535" s="100">
        <v>534</v>
      </c>
      <c r="B535" s="131">
        <f t="shared" si="369"/>
        <v>15400</v>
      </c>
      <c r="C535" s="102">
        <f t="shared" si="370"/>
        <v>0</v>
      </c>
      <c r="D535" s="102">
        <f t="shared" si="371"/>
        <v>0</v>
      </c>
      <c r="E535" s="102">
        <f t="shared" si="372"/>
        <v>0</v>
      </c>
      <c r="F535" s="102">
        <f t="shared" si="373"/>
        <v>0</v>
      </c>
      <c r="L535" s="100">
        <v>534</v>
      </c>
      <c r="M535" s="131">
        <f t="shared" ca="1" si="374"/>
        <v>62420</v>
      </c>
      <c r="N535" s="102">
        <f t="shared" si="375"/>
        <v>0</v>
      </c>
      <c r="O535" s="102">
        <f t="shared" si="376"/>
        <v>0</v>
      </c>
      <c r="P535" s="102">
        <f t="shared" si="377"/>
        <v>0</v>
      </c>
      <c r="Q535" s="102">
        <f t="shared" si="378"/>
        <v>0</v>
      </c>
      <c r="W535" s="100">
        <v>534</v>
      </c>
      <c r="X535" s="131">
        <f t="shared" ca="1" si="379"/>
        <v>62420</v>
      </c>
      <c r="Y535" s="102">
        <f t="shared" si="380"/>
        <v>0</v>
      </c>
      <c r="Z535" s="102">
        <f t="shared" si="381"/>
        <v>0</v>
      </c>
      <c r="AA535" s="102">
        <f t="shared" si="382"/>
        <v>0</v>
      </c>
      <c r="AB535" s="102">
        <f t="shared" si="383"/>
        <v>0</v>
      </c>
      <c r="AH535" s="100">
        <v>534</v>
      </c>
      <c r="AI535" s="131">
        <f t="shared" ca="1" si="384"/>
        <v>62420</v>
      </c>
      <c r="AJ535" s="102">
        <f t="shared" si="385"/>
        <v>0</v>
      </c>
      <c r="AK535" s="102">
        <f t="shared" si="386"/>
        <v>0</v>
      </c>
      <c r="AL535" s="102">
        <f t="shared" si="387"/>
        <v>0</v>
      </c>
      <c r="AM535" s="102">
        <f t="shared" si="388"/>
        <v>0</v>
      </c>
      <c r="AS535" s="530">
        <v>534</v>
      </c>
      <c r="AT535" s="531">
        <f t="shared" ca="1" si="402"/>
        <v>62420</v>
      </c>
      <c r="AU535" s="532">
        <f ca="1">IF(AU534=0,SUMIFS('Key Life Events'!$L$3:$L$28,'Key Life Events'!$H$3:$H$28,'Loan Amortization'!$AY$3,'Key Life Events'!$N$3:$N$28,'Loan Amortization'!AT535),AU534-AX534)</f>
        <v>0</v>
      </c>
      <c r="AV535" s="532">
        <f t="shared" ca="1" si="403"/>
        <v>0</v>
      </c>
      <c r="AW535" s="532">
        <f t="shared" ca="1" si="392"/>
        <v>0</v>
      </c>
      <c r="AX535" s="532">
        <f t="shared" ca="1" si="393"/>
        <v>0</v>
      </c>
      <c r="BC535" s="536">
        <f t="shared" ca="1" si="394"/>
        <v>2070</v>
      </c>
      <c r="BF535" s="530">
        <v>534</v>
      </c>
      <c r="BG535" s="531">
        <f t="shared" ca="1" si="404"/>
        <v>62420</v>
      </c>
      <c r="BH535" s="532">
        <f ca="1">IF(BH534=0,SUMIFS('Key Life Events'!$L$3:$L$28,'Key Life Events'!$H$3:$H$28,'Loan Amortization'!$BL$3,'Key Life Events'!$N$3:$N$28,'Loan Amortization'!BG535),BH534-BK534)</f>
        <v>0</v>
      </c>
      <c r="BI535" s="532">
        <f t="shared" ca="1" si="405"/>
        <v>0</v>
      </c>
      <c r="BJ535" s="532">
        <f t="shared" ca="1" si="406"/>
        <v>0</v>
      </c>
      <c r="BK535" s="532">
        <f t="shared" ca="1" si="395"/>
        <v>0</v>
      </c>
      <c r="BP535" s="536">
        <f t="shared" ca="1" si="396"/>
        <v>2070</v>
      </c>
      <c r="BS535" s="530">
        <v>534</v>
      </c>
      <c r="BT535" s="531">
        <f t="shared" ca="1" si="407"/>
        <v>62420</v>
      </c>
      <c r="BU535" s="532">
        <f ca="1">IF(BU534=0,SUMIFS('Key Life Events'!$L$3:$L$28,'Key Life Events'!$H$3:$H$28,'Loan Amortization'!$BY$3,'Key Life Events'!$N$3:$N$28,'Loan Amortization'!BT535),BU534-BX534)</f>
        <v>0</v>
      </c>
      <c r="BV535" s="532">
        <f t="shared" ca="1" si="412"/>
        <v>0</v>
      </c>
      <c r="BW535" s="532">
        <f t="shared" ca="1" si="408"/>
        <v>0</v>
      </c>
      <c r="BX535" s="532">
        <f t="shared" ca="1" si="397"/>
        <v>0</v>
      </c>
      <c r="CC535" s="536">
        <f t="shared" ca="1" si="398"/>
        <v>2070</v>
      </c>
      <c r="CF535" s="530">
        <v>534</v>
      </c>
      <c r="CG535" s="531">
        <f t="shared" ca="1" si="409"/>
        <v>62420</v>
      </c>
      <c r="CH535" s="532">
        <f ca="1">IF(CH534=0,SUMIFS('Key Life Events'!$L$3:$L$28,'Key Life Events'!$H$3:$H$28,'Loan Amortization'!$CL$3,'Key Life Events'!$N$3:$N$28,'Loan Amortization'!CG535),CH534-CK534)</f>
        <v>0</v>
      </c>
      <c r="CI535" s="532">
        <f t="shared" ca="1" si="410"/>
        <v>0</v>
      </c>
      <c r="CJ535" s="532">
        <f t="shared" ca="1" si="411"/>
        <v>0</v>
      </c>
      <c r="CK535" s="532">
        <f t="shared" ca="1" si="399"/>
        <v>0</v>
      </c>
      <c r="CP535" s="536">
        <f t="shared" ca="1" si="400"/>
        <v>2070</v>
      </c>
      <c r="CS535" s="100">
        <f t="shared" si="389"/>
        <v>534</v>
      </c>
      <c r="CT535" s="102">
        <f t="shared" ca="1" si="390"/>
        <v>0</v>
      </c>
      <c r="CU535" s="102">
        <f t="shared" ca="1" si="391"/>
        <v>0</v>
      </c>
      <c r="CV535" s="511">
        <f t="shared" ca="1" si="401"/>
        <v>2070</v>
      </c>
    </row>
    <row r="536" spans="1:100" x14ac:dyDescent="0.3">
      <c r="A536" s="100">
        <v>535</v>
      </c>
      <c r="B536" s="131">
        <f t="shared" si="369"/>
        <v>15428</v>
      </c>
      <c r="C536" s="102">
        <f t="shared" si="370"/>
        <v>0</v>
      </c>
      <c r="D536" s="102">
        <f t="shared" si="371"/>
        <v>0</v>
      </c>
      <c r="E536" s="102">
        <f t="shared" si="372"/>
        <v>0</v>
      </c>
      <c r="F536" s="102">
        <f t="shared" si="373"/>
        <v>0</v>
      </c>
      <c r="L536" s="100">
        <v>535</v>
      </c>
      <c r="M536" s="131">
        <f t="shared" ca="1" si="374"/>
        <v>62450</v>
      </c>
      <c r="N536" s="102">
        <f t="shared" si="375"/>
        <v>0</v>
      </c>
      <c r="O536" s="102">
        <f t="shared" si="376"/>
        <v>0</v>
      </c>
      <c r="P536" s="102">
        <f t="shared" si="377"/>
        <v>0</v>
      </c>
      <c r="Q536" s="102">
        <f t="shared" si="378"/>
        <v>0</v>
      </c>
      <c r="W536" s="100">
        <v>535</v>
      </c>
      <c r="X536" s="131">
        <f t="shared" ca="1" si="379"/>
        <v>62450</v>
      </c>
      <c r="Y536" s="102">
        <f t="shared" si="380"/>
        <v>0</v>
      </c>
      <c r="Z536" s="102">
        <f t="shared" si="381"/>
        <v>0</v>
      </c>
      <c r="AA536" s="102">
        <f t="shared" si="382"/>
        <v>0</v>
      </c>
      <c r="AB536" s="102">
        <f t="shared" si="383"/>
        <v>0</v>
      </c>
      <c r="AH536" s="100">
        <v>535</v>
      </c>
      <c r="AI536" s="131">
        <f t="shared" ca="1" si="384"/>
        <v>62450</v>
      </c>
      <c r="AJ536" s="102">
        <f t="shared" si="385"/>
        <v>0</v>
      </c>
      <c r="AK536" s="102">
        <f t="shared" si="386"/>
        <v>0</v>
      </c>
      <c r="AL536" s="102">
        <f t="shared" si="387"/>
        <v>0</v>
      </c>
      <c r="AM536" s="102">
        <f t="shared" si="388"/>
        <v>0</v>
      </c>
      <c r="AS536" s="530">
        <v>535</v>
      </c>
      <c r="AT536" s="531">
        <f t="shared" ca="1" si="402"/>
        <v>62450</v>
      </c>
      <c r="AU536" s="532">
        <f ca="1">IF(AU535=0,SUMIFS('Key Life Events'!$L$3:$L$28,'Key Life Events'!$H$3:$H$28,'Loan Amortization'!$AY$3,'Key Life Events'!$N$3:$N$28,'Loan Amortization'!AT536),AU535-AX535)</f>
        <v>0</v>
      </c>
      <c r="AV536" s="532">
        <f t="shared" ca="1" si="403"/>
        <v>0</v>
      </c>
      <c r="AW536" s="532">
        <f t="shared" ca="1" si="392"/>
        <v>0</v>
      </c>
      <c r="AX536" s="532">
        <f t="shared" ca="1" si="393"/>
        <v>0</v>
      </c>
      <c r="BC536" s="536">
        <f t="shared" ca="1" si="394"/>
        <v>2070</v>
      </c>
      <c r="BF536" s="530">
        <v>535</v>
      </c>
      <c r="BG536" s="531">
        <f t="shared" ca="1" si="404"/>
        <v>62450</v>
      </c>
      <c r="BH536" s="532">
        <f ca="1">IF(BH535=0,SUMIFS('Key Life Events'!$L$3:$L$28,'Key Life Events'!$H$3:$H$28,'Loan Amortization'!$BL$3,'Key Life Events'!$N$3:$N$28,'Loan Amortization'!BG536),BH535-BK535)</f>
        <v>0</v>
      </c>
      <c r="BI536" s="532">
        <f t="shared" ca="1" si="405"/>
        <v>0</v>
      </c>
      <c r="BJ536" s="532">
        <f t="shared" ca="1" si="406"/>
        <v>0</v>
      </c>
      <c r="BK536" s="532">
        <f t="shared" ca="1" si="395"/>
        <v>0</v>
      </c>
      <c r="BP536" s="536">
        <f t="shared" ca="1" si="396"/>
        <v>2070</v>
      </c>
      <c r="BS536" s="530">
        <v>535</v>
      </c>
      <c r="BT536" s="531">
        <f t="shared" ca="1" si="407"/>
        <v>62450</v>
      </c>
      <c r="BU536" s="532">
        <f ca="1">IF(BU535=0,SUMIFS('Key Life Events'!$L$3:$L$28,'Key Life Events'!$H$3:$H$28,'Loan Amortization'!$BY$3,'Key Life Events'!$N$3:$N$28,'Loan Amortization'!BT536),BU535-BX535)</f>
        <v>0</v>
      </c>
      <c r="BV536" s="532">
        <f t="shared" ca="1" si="412"/>
        <v>0</v>
      </c>
      <c r="BW536" s="532">
        <f t="shared" ca="1" si="408"/>
        <v>0</v>
      </c>
      <c r="BX536" s="532">
        <f t="shared" ca="1" si="397"/>
        <v>0</v>
      </c>
      <c r="CC536" s="536">
        <f t="shared" ca="1" si="398"/>
        <v>2070</v>
      </c>
      <c r="CF536" s="530">
        <v>535</v>
      </c>
      <c r="CG536" s="531">
        <f t="shared" ca="1" si="409"/>
        <v>62450</v>
      </c>
      <c r="CH536" s="532">
        <f ca="1">IF(CH535=0,SUMIFS('Key Life Events'!$L$3:$L$28,'Key Life Events'!$H$3:$H$28,'Loan Amortization'!$CL$3,'Key Life Events'!$N$3:$N$28,'Loan Amortization'!CG536),CH535-CK535)</f>
        <v>0</v>
      </c>
      <c r="CI536" s="532">
        <f t="shared" ca="1" si="410"/>
        <v>0</v>
      </c>
      <c r="CJ536" s="532">
        <f t="shared" ca="1" si="411"/>
        <v>0</v>
      </c>
      <c r="CK536" s="532">
        <f t="shared" ca="1" si="399"/>
        <v>0</v>
      </c>
      <c r="CP536" s="536">
        <f t="shared" ca="1" si="400"/>
        <v>2070</v>
      </c>
      <c r="CS536" s="100">
        <f t="shared" si="389"/>
        <v>535</v>
      </c>
      <c r="CT536" s="102">
        <f t="shared" ca="1" si="390"/>
        <v>0</v>
      </c>
      <c r="CU536" s="102">
        <f t="shared" ca="1" si="391"/>
        <v>0</v>
      </c>
      <c r="CV536" s="511">
        <f t="shared" ca="1" si="401"/>
        <v>2070</v>
      </c>
    </row>
    <row r="537" spans="1:100" x14ac:dyDescent="0.3">
      <c r="A537" s="100">
        <v>536</v>
      </c>
      <c r="B537" s="131">
        <f t="shared" si="369"/>
        <v>15459</v>
      </c>
      <c r="C537" s="102">
        <f t="shared" si="370"/>
        <v>0</v>
      </c>
      <c r="D537" s="102">
        <f t="shared" si="371"/>
        <v>0</v>
      </c>
      <c r="E537" s="102">
        <f t="shared" si="372"/>
        <v>0</v>
      </c>
      <c r="F537" s="102">
        <f t="shared" si="373"/>
        <v>0</v>
      </c>
      <c r="L537" s="100">
        <v>536</v>
      </c>
      <c r="M537" s="131">
        <f t="shared" ca="1" si="374"/>
        <v>62481</v>
      </c>
      <c r="N537" s="102">
        <f t="shared" si="375"/>
        <v>0</v>
      </c>
      <c r="O537" s="102">
        <f t="shared" si="376"/>
        <v>0</v>
      </c>
      <c r="P537" s="102">
        <f t="shared" si="377"/>
        <v>0</v>
      </c>
      <c r="Q537" s="102">
        <f t="shared" si="378"/>
        <v>0</v>
      </c>
      <c r="W537" s="100">
        <v>536</v>
      </c>
      <c r="X537" s="131">
        <f t="shared" ca="1" si="379"/>
        <v>62481</v>
      </c>
      <c r="Y537" s="102">
        <f t="shared" si="380"/>
        <v>0</v>
      </c>
      <c r="Z537" s="102">
        <f t="shared" si="381"/>
        <v>0</v>
      </c>
      <c r="AA537" s="102">
        <f t="shared" si="382"/>
        <v>0</v>
      </c>
      <c r="AB537" s="102">
        <f t="shared" si="383"/>
        <v>0</v>
      </c>
      <c r="AH537" s="100">
        <v>536</v>
      </c>
      <c r="AI537" s="131">
        <f t="shared" ca="1" si="384"/>
        <v>62481</v>
      </c>
      <c r="AJ537" s="102">
        <f t="shared" si="385"/>
        <v>0</v>
      </c>
      <c r="AK537" s="102">
        <f t="shared" si="386"/>
        <v>0</v>
      </c>
      <c r="AL537" s="102">
        <f t="shared" si="387"/>
        <v>0</v>
      </c>
      <c r="AM537" s="102">
        <f t="shared" si="388"/>
        <v>0</v>
      </c>
      <c r="AS537" s="530">
        <v>536</v>
      </c>
      <c r="AT537" s="531">
        <f t="shared" ca="1" si="402"/>
        <v>62481</v>
      </c>
      <c r="AU537" s="532">
        <f ca="1">IF(AU536=0,SUMIFS('Key Life Events'!$L$3:$L$28,'Key Life Events'!$H$3:$H$28,'Loan Amortization'!$AY$3,'Key Life Events'!$N$3:$N$28,'Loan Amortization'!AT537),AU536-AX536)</f>
        <v>0</v>
      </c>
      <c r="AV537" s="532">
        <f t="shared" ca="1" si="403"/>
        <v>0</v>
      </c>
      <c r="AW537" s="532">
        <f t="shared" ca="1" si="392"/>
        <v>0</v>
      </c>
      <c r="AX537" s="532">
        <f t="shared" ca="1" si="393"/>
        <v>0</v>
      </c>
      <c r="BC537" s="536">
        <f t="shared" ca="1" si="394"/>
        <v>2071</v>
      </c>
      <c r="BF537" s="530">
        <v>536</v>
      </c>
      <c r="BG537" s="531">
        <f t="shared" ca="1" si="404"/>
        <v>62481</v>
      </c>
      <c r="BH537" s="532">
        <f ca="1">IF(BH536=0,SUMIFS('Key Life Events'!$L$3:$L$28,'Key Life Events'!$H$3:$H$28,'Loan Amortization'!$BL$3,'Key Life Events'!$N$3:$N$28,'Loan Amortization'!BG537),BH536-BK536)</f>
        <v>0</v>
      </c>
      <c r="BI537" s="532">
        <f t="shared" ca="1" si="405"/>
        <v>0</v>
      </c>
      <c r="BJ537" s="532">
        <f t="shared" ca="1" si="406"/>
        <v>0</v>
      </c>
      <c r="BK537" s="532">
        <f t="shared" ca="1" si="395"/>
        <v>0</v>
      </c>
      <c r="BP537" s="536">
        <f t="shared" ca="1" si="396"/>
        <v>2071</v>
      </c>
      <c r="BS537" s="530">
        <v>536</v>
      </c>
      <c r="BT537" s="531">
        <f t="shared" ca="1" si="407"/>
        <v>62481</v>
      </c>
      <c r="BU537" s="532">
        <f ca="1">IF(BU536=0,SUMIFS('Key Life Events'!$L$3:$L$28,'Key Life Events'!$H$3:$H$28,'Loan Amortization'!$BY$3,'Key Life Events'!$N$3:$N$28,'Loan Amortization'!BT537),BU536-BX536)</f>
        <v>0</v>
      </c>
      <c r="BV537" s="532">
        <f t="shared" ca="1" si="412"/>
        <v>0</v>
      </c>
      <c r="BW537" s="532">
        <f t="shared" ca="1" si="408"/>
        <v>0</v>
      </c>
      <c r="BX537" s="532">
        <f t="shared" ca="1" si="397"/>
        <v>0</v>
      </c>
      <c r="CC537" s="536">
        <f t="shared" ca="1" si="398"/>
        <v>2071</v>
      </c>
      <c r="CF537" s="530">
        <v>536</v>
      </c>
      <c r="CG537" s="531">
        <f t="shared" ca="1" si="409"/>
        <v>62481</v>
      </c>
      <c r="CH537" s="532">
        <f ca="1">IF(CH536=0,SUMIFS('Key Life Events'!$L$3:$L$28,'Key Life Events'!$H$3:$H$28,'Loan Amortization'!$CL$3,'Key Life Events'!$N$3:$N$28,'Loan Amortization'!CG537),CH536-CK536)</f>
        <v>0</v>
      </c>
      <c r="CI537" s="532">
        <f t="shared" ca="1" si="410"/>
        <v>0</v>
      </c>
      <c r="CJ537" s="532">
        <f t="shared" ca="1" si="411"/>
        <v>0</v>
      </c>
      <c r="CK537" s="532">
        <f t="shared" ca="1" si="399"/>
        <v>0</v>
      </c>
      <c r="CP537" s="536">
        <f t="shared" ca="1" si="400"/>
        <v>2071</v>
      </c>
      <c r="CS537" s="100">
        <f t="shared" si="389"/>
        <v>536</v>
      </c>
      <c r="CT537" s="102">
        <f t="shared" ca="1" si="390"/>
        <v>0</v>
      </c>
      <c r="CU537" s="102">
        <f t="shared" ca="1" si="391"/>
        <v>0</v>
      </c>
      <c r="CV537" s="511">
        <f t="shared" ca="1" si="401"/>
        <v>2071</v>
      </c>
    </row>
    <row r="538" spans="1:100" x14ac:dyDescent="0.3">
      <c r="A538" s="100">
        <v>537</v>
      </c>
      <c r="B538" s="131">
        <f t="shared" si="369"/>
        <v>15489</v>
      </c>
      <c r="C538" s="102">
        <f t="shared" si="370"/>
        <v>0</v>
      </c>
      <c r="D538" s="102">
        <f t="shared" si="371"/>
        <v>0</v>
      </c>
      <c r="E538" s="102">
        <f t="shared" si="372"/>
        <v>0</v>
      </c>
      <c r="F538" s="102">
        <f t="shared" si="373"/>
        <v>0</v>
      </c>
      <c r="L538" s="100">
        <v>537</v>
      </c>
      <c r="M538" s="131">
        <f t="shared" ca="1" si="374"/>
        <v>62512</v>
      </c>
      <c r="N538" s="102">
        <f t="shared" si="375"/>
        <v>0</v>
      </c>
      <c r="O538" s="102">
        <f t="shared" si="376"/>
        <v>0</v>
      </c>
      <c r="P538" s="102">
        <f t="shared" si="377"/>
        <v>0</v>
      </c>
      <c r="Q538" s="102">
        <f t="shared" si="378"/>
        <v>0</v>
      </c>
      <c r="W538" s="100">
        <v>537</v>
      </c>
      <c r="X538" s="131">
        <f t="shared" ca="1" si="379"/>
        <v>62512</v>
      </c>
      <c r="Y538" s="102">
        <f t="shared" si="380"/>
        <v>0</v>
      </c>
      <c r="Z538" s="102">
        <f t="shared" si="381"/>
        <v>0</v>
      </c>
      <c r="AA538" s="102">
        <f t="shared" si="382"/>
        <v>0</v>
      </c>
      <c r="AB538" s="102">
        <f t="shared" si="383"/>
        <v>0</v>
      </c>
      <c r="AH538" s="100">
        <v>537</v>
      </c>
      <c r="AI538" s="131">
        <f t="shared" ca="1" si="384"/>
        <v>62512</v>
      </c>
      <c r="AJ538" s="102">
        <f t="shared" si="385"/>
        <v>0</v>
      </c>
      <c r="AK538" s="102">
        <f t="shared" si="386"/>
        <v>0</v>
      </c>
      <c r="AL538" s="102">
        <f t="shared" si="387"/>
        <v>0</v>
      </c>
      <c r="AM538" s="102">
        <f t="shared" si="388"/>
        <v>0</v>
      </c>
      <c r="AS538" s="530">
        <v>537</v>
      </c>
      <c r="AT538" s="531">
        <f t="shared" ca="1" si="402"/>
        <v>62512</v>
      </c>
      <c r="AU538" s="532">
        <f ca="1">IF(AU537=0,SUMIFS('Key Life Events'!$L$3:$L$28,'Key Life Events'!$H$3:$H$28,'Loan Amortization'!$AY$3,'Key Life Events'!$N$3:$N$28,'Loan Amortization'!AT538),AU537-AX537)</f>
        <v>0</v>
      </c>
      <c r="AV538" s="532">
        <f t="shared" ca="1" si="403"/>
        <v>0</v>
      </c>
      <c r="AW538" s="532">
        <f t="shared" ca="1" si="392"/>
        <v>0</v>
      </c>
      <c r="AX538" s="532">
        <f t="shared" ca="1" si="393"/>
        <v>0</v>
      </c>
      <c r="BC538" s="536">
        <f t="shared" ca="1" si="394"/>
        <v>2071</v>
      </c>
      <c r="BF538" s="530">
        <v>537</v>
      </c>
      <c r="BG538" s="531">
        <f t="shared" ca="1" si="404"/>
        <v>62512</v>
      </c>
      <c r="BH538" s="532">
        <f ca="1">IF(BH537=0,SUMIFS('Key Life Events'!$L$3:$L$28,'Key Life Events'!$H$3:$H$28,'Loan Amortization'!$BL$3,'Key Life Events'!$N$3:$N$28,'Loan Amortization'!BG538),BH537-BK537)</f>
        <v>0</v>
      </c>
      <c r="BI538" s="532">
        <f t="shared" ca="1" si="405"/>
        <v>0</v>
      </c>
      <c r="BJ538" s="532">
        <f t="shared" ca="1" si="406"/>
        <v>0</v>
      </c>
      <c r="BK538" s="532">
        <f t="shared" ca="1" si="395"/>
        <v>0</v>
      </c>
      <c r="BP538" s="536">
        <f t="shared" ca="1" si="396"/>
        <v>2071</v>
      </c>
      <c r="BS538" s="530">
        <v>537</v>
      </c>
      <c r="BT538" s="531">
        <f t="shared" ca="1" si="407"/>
        <v>62512</v>
      </c>
      <c r="BU538" s="532">
        <f ca="1">IF(BU537=0,SUMIFS('Key Life Events'!$L$3:$L$28,'Key Life Events'!$H$3:$H$28,'Loan Amortization'!$BY$3,'Key Life Events'!$N$3:$N$28,'Loan Amortization'!BT538),BU537-BX537)</f>
        <v>0</v>
      </c>
      <c r="BV538" s="532">
        <f t="shared" ca="1" si="412"/>
        <v>0</v>
      </c>
      <c r="BW538" s="532">
        <f t="shared" ca="1" si="408"/>
        <v>0</v>
      </c>
      <c r="BX538" s="532">
        <f t="shared" ca="1" si="397"/>
        <v>0</v>
      </c>
      <c r="CC538" s="536">
        <f t="shared" ca="1" si="398"/>
        <v>2071</v>
      </c>
      <c r="CF538" s="530">
        <v>537</v>
      </c>
      <c r="CG538" s="531">
        <f t="shared" ca="1" si="409"/>
        <v>62512</v>
      </c>
      <c r="CH538" s="532">
        <f ca="1">IF(CH537=0,SUMIFS('Key Life Events'!$L$3:$L$28,'Key Life Events'!$H$3:$H$28,'Loan Amortization'!$CL$3,'Key Life Events'!$N$3:$N$28,'Loan Amortization'!CG538),CH537-CK537)</f>
        <v>0</v>
      </c>
      <c r="CI538" s="532">
        <f t="shared" ca="1" si="410"/>
        <v>0</v>
      </c>
      <c r="CJ538" s="532">
        <f t="shared" ca="1" si="411"/>
        <v>0</v>
      </c>
      <c r="CK538" s="532">
        <f t="shared" ca="1" si="399"/>
        <v>0</v>
      </c>
      <c r="CP538" s="536">
        <f t="shared" ca="1" si="400"/>
        <v>2071</v>
      </c>
      <c r="CS538" s="100">
        <f t="shared" si="389"/>
        <v>537</v>
      </c>
      <c r="CT538" s="102">
        <f t="shared" ca="1" si="390"/>
        <v>0</v>
      </c>
      <c r="CU538" s="102">
        <f t="shared" ca="1" si="391"/>
        <v>0</v>
      </c>
      <c r="CV538" s="511">
        <f t="shared" ca="1" si="401"/>
        <v>2071</v>
      </c>
    </row>
    <row r="539" spans="1:100" x14ac:dyDescent="0.3">
      <c r="A539" s="100">
        <v>538</v>
      </c>
      <c r="B539" s="131">
        <f t="shared" si="369"/>
        <v>15520</v>
      </c>
      <c r="C539" s="102">
        <f t="shared" si="370"/>
        <v>0</v>
      </c>
      <c r="D539" s="102">
        <f t="shared" si="371"/>
        <v>0</v>
      </c>
      <c r="E539" s="102">
        <f t="shared" si="372"/>
        <v>0</v>
      </c>
      <c r="F539" s="102">
        <f t="shared" si="373"/>
        <v>0</v>
      </c>
      <c r="L539" s="100">
        <v>538</v>
      </c>
      <c r="M539" s="131">
        <f t="shared" ca="1" si="374"/>
        <v>62540</v>
      </c>
      <c r="N539" s="102">
        <f t="shared" si="375"/>
        <v>0</v>
      </c>
      <c r="O539" s="102">
        <f t="shared" si="376"/>
        <v>0</v>
      </c>
      <c r="P539" s="102">
        <f t="shared" si="377"/>
        <v>0</v>
      </c>
      <c r="Q539" s="102">
        <f t="shared" si="378"/>
        <v>0</v>
      </c>
      <c r="W539" s="100">
        <v>538</v>
      </c>
      <c r="X539" s="131">
        <f t="shared" ca="1" si="379"/>
        <v>62540</v>
      </c>
      <c r="Y539" s="102">
        <f t="shared" si="380"/>
        <v>0</v>
      </c>
      <c r="Z539" s="102">
        <f t="shared" si="381"/>
        <v>0</v>
      </c>
      <c r="AA539" s="102">
        <f t="shared" si="382"/>
        <v>0</v>
      </c>
      <c r="AB539" s="102">
        <f t="shared" si="383"/>
        <v>0</v>
      </c>
      <c r="AH539" s="100">
        <v>538</v>
      </c>
      <c r="AI539" s="131">
        <f t="shared" ca="1" si="384"/>
        <v>62540</v>
      </c>
      <c r="AJ539" s="102">
        <f t="shared" si="385"/>
        <v>0</v>
      </c>
      <c r="AK539" s="102">
        <f t="shared" si="386"/>
        <v>0</v>
      </c>
      <c r="AL539" s="102">
        <f t="shared" si="387"/>
        <v>0</v>
      </c>
      <c r="AM539" s="102">
        <f t="shared" si="388"/>
        <v>0</v>
      </c>
      <c r="AS539" s="530">
        <v>538</v>
      </c>
      <c r="AT539" s="531">
        <f t="shared" ca="1" si="402"/>
        <v>62540</v>
      </c>
      <c r="AU539" s="532">
        <f ca="1">IF(AU538=0,SUMIFS('Key Life Events'!$L$3:$L$28,'Key Life Events'!$H$3:$H$28,'Loan Amortization'!$AY$3,'Key Life Events'!$N$3:$N$28,'Loan Amortization'!AT539),AU538-AX538)</f>
        <v>0</v>
      </c>
      <c r="AV539" s="532">
        <f t="shared" ca="1" si="403"/>
        <v>0</v>
      </c>
      <c r="AW539" s="532">
        <f t="shared" ca="1" si="392"/>
        <v>0</v>
      </c>
      <c r="AX539" s="532">
        <f t="shared" ca="1" si="393"/>
        <v>0</v>
      </c>
      <c r="BC539" s="536">
        <f t="shared" ca="1" si="394"/>
        <v>2071</v>
      </c>
      <c r="BF539" s="530">
        <v>538</v>
      </c>
      <c r="BG539" s="531">
        <f t="shared" ca="1" si="404"/>
        <v>62540</v>
      </c>
      <c r="BH539" s="532">
        <f ca="1">IF(BH538=0,SUMIFS('Key Life Events'!$L$3:$L$28,'Key Life Events'!$H$3:$H$28,'Loan Amortization'!$BL$3,'Key Life Events'!$N$3:$N$28,'Loan Amortization'!BG539),BH538-BK538)</f>
        <v>0</v>
      </c>
      <c r="BI539" s="532">
        <f t="shared" ca="1" si="405"/>
        <v>0</v>
      </c>
      <c r="BJ539" s="532">
        <f t="shared" ca="1" si="406"/>
        <v>0</v>
      </c>
      <c r="BK539" s="532">
        <f t="shared" ca="1" si="395"/>
        <v>0</v>
      </c>
      <c r="BP539" s="536">
        <f t="shared" ca="1" si="396"/>
        <v>2071</v>
      </c>
      <c r="BS539" s="530">
        <v>538</v>
      </c>
      <c r="BT539" s="531">
        <f t="shared" ca="1" si="407"/>
        <v>62540</v>
      </c>
      <c r="BU539" s="532">
        <f ca="1">IF(BU538=0,SUMIFS('Key Life Events'!$L$3:$L$28,'Key Life Events'!$H$3:$H$28,'Loan Amortization'!$BY$3,'Key Life Events'!$N$3:$N$28,'Loan Amortization'!BT539),BU538-BX538)</f>
        <v>0</v>
      </c>
      <c r="BV539" s="532">
        <f t="shared" ca="1" si="412"/>
        <v>0</v>
      </c>
      <c r="BW539" s="532">
        <f t="shared" ca="1" si="408"/>
        <v>0</v>
      </c>
      <c r="BX539" s="532">
        <f t="shared" ca="1" si="397"/>
        <v>0</v>
      </c>
      <c r="CC539" s="536">
        <f t="shared" ca="1" si="398"/>
        <v>2071</v>
      </c>
      <c r="CF539" s="530">
        <v>538</v>
      </c>
      <c r="CG539" s="531">
        <f t="shared" ca="1" si="409"/>
        <v>62540</v>
      </c>
      <c r="CH539" s="532">
        <f ca="1">IF(CH538=0,SUMIFS('Key Life Events'!$L$3:$L$28,'Key Life Events'!$H$3:$H$28,'Loan Amortization'!$CL$3,'Key Life Events'!$N$3:$N$28,'Loan Amortization'!CG539),CH538-CK538)</f>
        <v>0</v>
      </c>
      <c r="CI539" s="532">
        <f t="shared" ca="1" si="410"/>
        <v>0</v>
      </c>
      <c r="CJ539" s="532">
        <f t="shared" ca="1" si="411"/>
        <v>0</v>
      </c>
      <c r="CK539" s="532">
        <f t="shared" ca="1" si="399"/>
        <v>0</v>
      </c>
      <c r="CP539" s="536">
        <f t="shared" ca="1" si="400"/>
        <v>2071</v>
      </c>
      <c r="CS539" s="100">
        <f t="shared" si="389"/>
        <v>538</v>
      </c>
      <c r="CT539" s="102">
        <f t="shared" ca="1" si="390"/>
        <v>0</v>
      </c>
      <c r="CU539" s="102">
        <f t="shared" ca="1" si="391"/>
        <v>0</v>
      </c>
      <c r="CV539" s="511">
        <f t="shared" ca="1" si="401"/>
        <v>2071</v>
      </c>
    </row>
    <row r="540" spans="1:100" x14ac:dyDescent="0.3">
      <c r="A540" s="100">
        <v>539</v>
      </c>
      <c r="B540" s="131">
        <f t="shared" si="369"/>
        <v>15550</v>
      </c>
      <c r="C540" s="102">
        <f t="shared" si="370"/>
        <v>0</v>
      </c>
      <c r="D540" s="102">
        <f t="shared" si="371"/>
        <v>0</v>
      </c>
      <c r="E540" s="102">
        <f t="shared" si="372"/>
        <v>0</v>
      </c>
      <c r="F540" s="102">
        <f t="shared" si="373"/>
        <v>0</v>
      </c>
      <c r="L540" s="100">
        <v>539</v>
      </c>
      <c r="M540" s="131">
        <f t="shared" ca="1" si="374"/>
        <v>62571</v>
      </c>
      <c r="N540" s="102">
        <f t="shared" si="375"/>
        <v>0</v>
      </c>
      <c r="O540" s="102">
        <f t="shared" si="376"/>
        <v>0</v>
      </c>
      <c r="P540" s="102">
        <f t="shared" si="377"/>
        <v>0</v>
      </c>
      <c r="Q540" s="102">
        <f t="shared" si="378"/>
        <v>0</v>
      </c>
      <c r="W540" s="100">
        <v>539</v>
      </c>
      <c r="X540" s="131">
        <f t="shared" ca="1" si="379"/>
        <v>62571</v>
      </c>
      <c r="Y540" s="102">
        <f t="shared" si="380"/>
        <v>0</v>
      </c>
      <c r="Z540" s="102">
        <f t="shared" si="381"/>
        <v>0</v>
      </c>
      <c r="AA540" s="102">
        <f t="shared" si="382"/>
        <v>0</v>
      </c>
      <c r="AB540" s="102">
        <f t="shared" si="383"/>
        <v>0</v>
      </c>
      <c r="AH540" s="100">
        <v>539</v>
      </c>
      <c r="AI540" s="131">
        <f t="shared" ca="1" si="384"/>
        <v>62571</v>
      </c>
      <c r="AJ540" s="102">
        <f t="shared" si="385"/>
        <v>0</v>
      </c>
      <c r="AK540" s="102">
        <f t="shared" si="386"/>
        <v>0</v>
      </c>
      <c r="AL540" s="102">
        <f t="shared" si="387"/>
        <v>0</v>
      </c>
      <c r="AM540" s="102">
        <f t="shared" si="388"/>
        <v>0</v>
      </c>
      <c r="AS540" s="530">
        <v>539</v>
      </c>
      <c r="AT540" s="531">
        <f t="shared" ca="1" si="402"/>
        <v>62571</v>
      </c>
      <c r="AU540" s="532">
        <f ca="1">IF(AU539=0,SUMIFS('Key Life Events'!$L$3:$L$28,'Key Life Events'!$H$3:$H$28,'Loan Amortization'!$AY$3,'Key Life Events'!$N$3:$N$28,'Loan Amortization'!AT540),AU539-AX539)</f>
        <v>0</v>
      </c>
      <c r="AV540" s="532">
        <f t="shared" ca="1" si="403"/>
        <v>0</v>
      </c>
      <c r="AW540" s="532">
        <f t="shared" ca="1" si="392"/>
        <v>0</v>
      </c>
      <c r="AX540" s="532">
        <f t="shared" ca="1" si="393"/>
        <v>0</v>
      </c>
      <c r="BC540" s="536">
        <f t="shared" ca="1" si="394"/>
        <v>2071</v>
      </c>
      <c r="BF540" s="530">
        <v>539</v>
      </c>
      <c r="BG540" s="531">
        <f t="shared" ca="1" si="404"/>
        <v>62571</v>
      </c>
      <c r="BH540" s="532">
        <f ca="1">IF(BH539=0,SUMIFS('Key Life Events'!$L$3:$L$28,'Key Life Events'!$H$3:$H$28,'Loan Amortization'!$BL$3,'Key Life Events'!$N$3:$N$28,'Loan Amortization'!BG540),BH539-BK539)</f>
        <v>0</v>
      </c>
      <c r="BI540" s="532">
        <f t="shared" ca="1" si="405"/>
        <v>0</v>
      </c>
      <c r="BJ540" s="532">
        <f t="shared" ca="1" si="406"/>
        <v>0</v>
      </c>
      <c r="BK540" s="532">
        <f t="shared" ca="1" si="395"/>
        <v>0</v>
      </c>
      <c r="BP540" s="536">
        <f t="shared" ca="1" si="396"/>
        <v>2071</v>
      </c>
      <c r="BS540" s="530">
        <v>539</v>
      </c>
      <c r="BT540" s="531">
        <f t="shared" ca="1" si="407"/>
        <v>62571</v>
      </c>
      <c r="BU540" s="532">
        <f ca="1">IF(BU539=0,SUMIFS('Key Life Events'!$L$3:$L$28,'Key Life Events'!$H$3:$H$28,'Loan Amortization'!$BY$3,'Key Life Events'!$N$3:$N$28,'Loan Amortization'!BT540),BU539-BX539)</f>
        <v>0</v>
      </c>
      <c r="BV540" s="532">
        <f t="shared" ca="1" si="412"/>
        <v>0</v>
      </c>
      <c r="BW540" s="532">
        <f t="shared" ca="1" si="408"/>
        <v>0</v>
      </c>
      <c r="BX540" s="532">
        <f t="shared" ca="1" si="397"/>
        <v>0</v>
      </c>
      <c r="CC540" s="536">
        <f t="shared" ca="1" si="398"/>
        <v>2071</v>
      </c>
      <c r="CF540" s="530">
        <v>539</v>
      </c>
      <c r="CG540" s="531">
        <f t="shared" ca="1" si="409"/>
        <v>62571</v>
      </c>
      <c r="CH540" s="532">
        <f ca="1">IF(CH539=0,SUMIFS('Key Life Events'!$L$3:$L$28,'Key Life Events'!$H$3:$H$28,'Loan Amortization'!$CL$3,'Key Life Events'!$N$3:$N$28,'Loan Amortization'!CG540),CH539-CK539)</f>
        <v>0</v>
      </c>
      <c r="CI540" s="532">
        <f t="shared" ca="1" si="410"/>
        <v>0</v>
      </c>
      <c r="CJ540" s="532">
        <f t="shared" ca="1" si="411"/>
        <v>0</v>
      </c>
      <c r="CK540" s="532">
        <f t="shared" ca="1" si="399"/>
        <v>0</v>
      </c>
      <c r="CP540" s="536">
        <f t="shared" ca="1" si="400"/>
        <v>2071</v>
      </c>
      <c r="CS540" s="100">
        <f t="shared" si="389"/>
        <v>539</v>
      </c>
      <c r="CT540" s="102">
        <f t="shared" ca="1" si="390"/>
        <v>0</v>
      </c>
      <c r="CU540" s="102">
        <f t="shared" ca="1" si="391"/>
        <v>0</v>
      </c>
      <c r="CV540" s="511">
        <f t="shared" ca="1" si="401"/>
        <v>2071</v>
      </c>
    </row>
    <row r="541" spans="1:100" x14ac:dyDescent="0.3">
      <c r="A541" s="100">
        <v>540</v>
      </c>
      <c r="B541" s="131">
        <f t="shared" si="369"/>
        <v>15581</v>
      </c>
      <c r="C541" s="102">
        <f t="shared" si="370"/>
        <v>0</v>
      </c>
      <c r="D541" s="102">
        <f t="shared" si="371"/>
        <v>0</v>
      </c>
      <c r="E541" s="102">
        <f t="shared" si="372"/>
        <v>0</v>
      </c>
      <c r="F541" s="102">
        <f t="shared" si="373"/>
        <v>0</v>
      </c>
      <c r="L541" s="100">
        <v>540</v>
      </c>
      <c r="M541" s="131">
        <f t="shared" ca="1" si="374"/>
        <v>62601</v>
      </c>
      <c r="N541" s="102">
        <f t="shared" si="375"/>
        <v>0</v>
      </c>
      <c r="O541" s="102">
        <f t="shared" si="376"/>
        <v>0</v>
      </c>
      <c r="P541" s="102">
        <f t="shared" si="377"/>
        <v>0</v>
      </c>
      <c r="Q541" s="102">
        <f t="shared" si="378"/>
        <v>0</v>
      </c>
      <c r="W541" s="100">
        <v>540</v>
      </c>
      <c r="X541" s="131">
        <f t="shared" ca="1" si="379"/>
        <v>62601</v>
      </c>
      <c r="Y541" s="102">
        <f t="shared" si="380"/>
        <v>0</v>
      </c>
      <c r="Z541" s="102">
        <f t="shared" si="381"/>
        <v>0</v>
      </c>
      <c r="AA541" s="102">
        <f t="shared" si="382"/>
        <v>0</v>
      </c>
      <c r="AB541" s="102">
        <f t="shared" si="383"/>
        <v>0</v>
      </c>
      <c r="AH541" s="100">
        <v>540</v>
      </c>
      <c r="AI541" s="131">
        <f t="shared" ca="1" si="384"/>
        <v>62601</v>
      </c>
      <c r="AJ541" s="102">
        <f t="shared" si="385"/>
        <v>0</v>
      </c>
      <c r="AK541" s="102">
        <f t="shared" si="386"/>
        <v>0</v>
      </c>
      <c r="AL541" s="102">
        <f t="shared" si="387"/>
        <v>0</v>
      </c>
      <c r="AM541" s="102">
        <f t="shared" si="388"/>
        <v>0</v>
      </c>
      <c r="AS541" s="530">
        <v>540</v>
      </c>
      <c r="AT541" s="531">
        <f t="shared" ca="1" si="402"/>
        <v>62601</v>
      </c>
      <c r="AU541" s="532">
        <f ca="1">IF(AU540=0,SUMIFS('Key Life Events'!$L$3:$L$28,'Key Life Events'!$H$3:$H$28,'Loan Amortization'!$AY$3,'Key Life Events'!$N$3:$N$28,'Loan Amortization'!AT541),AU540-AX540)</f>
        <v>0</v>
      </c>
      <c r="AV541" s="532">
        <f t="shared" ca="1" si="403"/>
        <v>0</v>
      </c>
      <c r="AW541" s="532">
        <f t="shared" ca="1" si="392"/>
        <v>0</v>
      </c>
      <c r="AX541" s="532">
        <f t="shared" ca="1" si="393"/>
        <v>0</v>
      </c>
      <c r="BC541" s="536">
        <f t="shared" ca="1" si="394"/>
        <v>2071</v>
      </c>
      <c r="BF541" s="530">
        <v>540</v>
      </c>
      <c r="BG541" s="531">
        <f t="shared" ca="1" si="404"/>
        <v>62601</v>
      </c>
      <c r="BH541" s="532">
        <f ca="1">IF(BH540=0,SUMIFS('Key Life Events'!$L$3:$L$28,'Key Life Events'!$H$3:$H$28,'Loan Amortization'!$BL$3,'Key Life Events'!$N$3:$N$28,'Loan Amortization'!BG541),BH540-BK540)</f>
        <v>0</v>
      </c>
      <c r="BI541" s="532">
        <f t="shared" ca="1" si="405"/>
        <v>0</v>
      </c>
      <c r="BJ541" s="532">
        <f t="shared" ca="1" si="406"/>
        <v>0</v>
      </c>
      <c r="BK541" s="532">
        <f t="shared" ca="1" si="395"/>
        <v>0</v>
      </c>
      <c r="BP541" s="536">
        <f t="shared" ca="1" si="396"/>
        <v>2071</v>
      </c>
      <c r="BS541" s="530">
        <v>540</v>
      </c>
      <c r="BT541" s="531">
        <f t="shared" ca="1" si="407"/>
        <v>62601</v>
      </c>
      <c r="BU541" s="532">
        <f ca="1">IF(BU540=0,SUMIFS('Key Life Events'!$L$3:$L$28,'Key Life Events'!$H$3:$H$28,'Loan Amortization'!$BY$3,'Key Life Events'!$N$3:$N$28,'Loan Amortization'!BT541),BU540-BX540)</f>
        <v>0</v>
      </c>
      <c r="BV541" s="532">
        <f t="shared" ca="1" si="412"/>
        <v>0</v>
      </c>
      <c r="BW541" s="532">
        <f t="shared" ca="1" si="408"/>
        <v>0</v>
      </c>
      <c r="BX541" s="532">
        <f t="shared" ca="1" si="397"/>
        <v>0</v>
      </c>
      <c r="CC541" s="536">
        <f t="shared" ca="1" si="398"/>
        <v>2071</v>
      </c>
      <c r="CF541" s="530">
        <v>540</v>
      </c>
      <c r="CG541" s="531">
        <f t="shared" ca="1" si="409"/>
        <v>62601</v>
      </c>
      <c r="CH541" s="532">
        <f ca="1">IF(CH540=0,SUMIFS('Key Life Events'!$L$3:$L$28,'Key Life Events'!$H$3:$H$28,'Loan Amortization'!$CL$3,'Key Life Events'!$N$3:$N$28,'Loan Amortization'!CG541),CH540-CK540)</f>
        <v>0</v>
      </c>
      <c r="CI541" s="532">
        <f t="shared" ca="1" si="410"/>
        <v>0</v>
      </c>
      <c r="CJ541" s="532">
        <f t="shared" ca="1" si="411"/>
        <v>0</v>
      </c>
      <c r="CK541" s="532">
        <f t="shared" ca="1" si="399"/>
        <v>0</v>
      </c>
      <c r="CP541" s="536">
        <f t="shared" ca="1" si="400"/>
        <v>2071</v>
      </c>
      <c r="CS541" s="100">
        <f t="shared" si="389"/>
        <v>540</v>
      </c>
      <c r="CT541" s="102">
        <f t="shared" ca="1" si="390"/>
        <v>0</v>
      </c>
      <c r="CU541" s="102">
        <f t="shared" ca="1" si="391"/>
        <v>0</v>
      </c>
      <c r="CV541" s="511">
        <f t="shared" ca="1" si="401"/>
        <v>2071</v>
      </c>
    </row>
    <row r="542" spans="1:100" x14ac:dyDescent="0.3">
      <c r="A542" s="100">
        <v>541</v>
      </c>
      <c r="B542" s="131">
        <f t="shared" si="369"/>
        <v>15612</v>
      </c>
      <c r="C542" s="102">
        <f t="shared" si="370"/>
        <v>0</v>
      </c>
      <c r="D542" s="102">
        <f t="shared" si="371"/>
        <v>0</v>
      </c>
      <c r="E542" s="102">
        <f t="shared" si="372"/>
        <v>0</v>
      </c>
      <c r="F542" s="102">
        <f t="shared" si="373"/>
        <v>0</v>
      </c>
      <c r="L542" s="100">
        <v>541</v>
      </c>
      <c r="M542" s="131">
        <f t="shared" ca="1" si="374"/>
        <v>62632</v>
      </c>
      <c r="N542" s="102">
        <f t="shared" si="375"/>
        <v>0</v>
      </c>
      <c r="O542" s="102">
        <f t="shared" si="376"/>
        <v>0</v>
      </c>
      <c r="P542" s="102">
        <f t="shared" si="377"/>
        <v>0</v>
      </c>
      <c r="Q542" s="102">
        <f t="shared" si="378"/>
        <v>0</v>
      </c>
      <c r="W542" s="100">
        <v>541</v>
      </c>
      <c r="X542" s="131">
        <f t="shared" ca="1" si="379"/>
        <v>62632</v>
      </c>
      <c r="Y542" s="102">
        <f t="shared" si="380"/>
        <v>0</v>
      </c>
      <c r="Z542" s="102">
        <f t="shared" si="381"/>
        <v>0</v>
      </c>
      <c r="AA542" s="102">
        <f t="shared" si="382"/>
        <v>0</v>
      </c>
      <c r="AB542" s="102">
        <f t="shared" si="383"/>
        <v>0</v>
      </c>
      <c r="AH542" s="100">
        <v>541</v>
      </c>
      <c r="AI542" s="131">
        <f t="shared" ca="1" si="384"/>
        <v>62632</v>
      </c>
      <c r="AJ542" s="102">
        <f t="shared" si="385"/>
        <v>0</v>
      </c>
      <c r="AK542" s="102">
        <f t="shared" si="386"/>
        <v>0</v>
      </c>
      <c r="AL542" s="102">
        <f t="shared" si="387"/>
        <v>0</v>
      </c>
      <c r="AM542" s="102">
        <f t="shared" si="388"/>
        <v>0</v>
      </c>
      <c r="AS542" s="530">
        <v>541</v>
      </c>
      <c r="AT542" s="531">
        <f t="shared" ca="1" si="402"/>
        <v>62632</v>
      </c>
      <c r="AU542" s="532">
        <f ca="1">IF(AU541=0,SUMIFS('Key Life Events'!$L$3:$L$28,'Key Life Events'!$H$3:$H$28,'Loan Amortization'!$AY$3,'Key Life Events'!$N$3:$N$28,'Loan Amortization'!AT542),AU541-AX541)</f>
        <v>0</v>
      </c>
      <c r="AV542" s="532">
        <f t="shared" ca="1" si="403"/>
        <v>0</v>
      </c>
      <c r="AW542" s="532">
        <f t="shared" ca="1" si="392"/>
        <v>0</v>
      </c>
      <c r="AX542" s="532">
        <f t="shared" ca="1" si="393"/>
        <v>0</v>
      </c>
      <c r="BC542" s="536">
        <f t="shared" ca="1" si="394"/>
        <v>2071</v>
      </c>
      <c r="BF542" s="530">
        <v>541</v>
      </c>
      <c r="BG542" s="531">
        <f t="shared" ca="1" si="404"/>
        <v>62632</v>
      </c>
      <c r="BH542" s="532">
        <f ca="1">IF(BH541=0,SUMIFS('Key Life Events'!$L$3:$L$28,'Key Life Events'!$H$3:$H$28,'Loan Amortization'!$BL$3,'Key Life Events'!$N$3:$N$28,'Loan Amortization'!BG542),BH541-BK541)</f>
        <v>0</v>
      </c>
      <c r="BI542" s="532">
        <f t="shared" ca="1" si="405"/>
        <v>0</v>
      </c>
      <c r="BJ542" s="532">
        <f t="shared" ca="1" si="406"/>
        <v>0</v>
      </c>
      <c r="BK542" s="532">
        <f t="shared" ca="1" si="395"/>
        <v>0</v>
      </c>
      <c r="BP542" s="536">
        <f t="shared" ca="1" si="396"/>
        <v>2071</v>
      </c>
      <c r="BS542" s="530">
        <v>541</v>
      </c>
      <c r="BT542" s="531">
        <f t="shared" ca="1" si="407"/>
        <v>62632</v>
      </c>
      <c r="BU542" s="532">
        <f ca="1">IF(BU541=0,SUMIFS('Key Life Events'!$L$3:$L$28,'Key Life Events'!$H$3:$H$28,'Loan Amortization'!$BY$3,'Key Life Events'!$N$3:$N$28,'Loan Amortization'!BT542),BU541-BX541)</f>
        <v>0</v>
      </c>
      <c r="BV542" s="532">
        <f t="shared" ca="1" si="412"/>
        <v>0</v>
      </c>
      <c r="BW542" s="532">
        <f t="shared" ca="1" si="408"/>
        <v>0</v>
      </c>
      <c r="BX542" s="532">
        <f t="shared" ca="1" si="397"/>
        <v>0</v>
      </c>
      <c r="CC542" s="536">
        <f t="shared" ca="1" si="398"/>
        <v>2071</v>
      </c>
      <c r="CF542" s="530">
        <v>541</v>
      </c>
      <c r="CG542" s="531">
        <f t="shared" ca="1" si="409"/>
        <v>62632</v>
      </c>
      <c r="CH542" s="532">
        <f ca="1">IF(CH541=0,SUMIFS('Key Life Events'!$L$3:$L$28,'Key Life Events'!$H$3:$H$28,'Loan Amortization'!$CL$3,'Key Life Events'!$N$3:$N$28,'Loan Amortization'!CG542),CH541-CK541)</f>
        <v>0</v>
      </c>
      <c r="CI542" s="532">
        <f t="shared" ca="1" si="410"/>
        <v>0</v>
      </c>
      <c r="CJ542" s="532">
        <f t="shared" ca="1" si="411"/>
        <v>0</v>
      </c>
      <c r="CK542" s="532">
        <f t="shared" ca="1" si="399"/>
        <v>0</v>
      </c>
      <c r="CP542" s="536">
        <f t="shared" ca="1" si="400"/>
        <v>2071</v>
      </c>
      <c r="CS542" s="100">
        <f t="shared" si="389"/>
        <v>541</v>
      </c>
      <c r="CT542" s="102">
        <f t="shared" ca="1" si="390"/>
        <v>0</v>
      </c>
      <c r="CU542" s="102">
        <f t="shared" ca="1" si="391"/>
        <v>0</v>
      </c>
      <c r="CV542" s="511">
        <f t="shared" ca="1" si="401"/>
        <v>2071</v>
      </c>
    </row>
    <row r="543" spans="1:100" x14ac:dyDescent="0.3">
      <c r="A543" s="100">
        <v>542</v>
      </c>
      <c r="B543" s="131">
        <f t="shared" si="369"/>
        <v>15642</v>
      </c>
      <c r="C543" s="102">
        <f t="shared" si="370"/>
        <v>0</v>
      </c>
      <c r="D543" s="102">
        <f t="shared" si="371"/>
        <v>0</v>
      </c>
      <c r="E543" s="102">
        <f t="shared" si="372"/>
        <v>0</v>
      </c>
      <c r="F543" s="102">
        <f t="shared" si="373"/>
        <v>0</v>
      </c>
      <c r="L543" s="100">
        <v>542</v>
      </c>
      <c r="M543" s="131">
        <f t="shared" ca="1" si="374"/>
        <v>62662</v>
      </c>
      <c r="N543" s="102">
        <f t="shared" si="375"/>
        <v>0</v>
      </c>
      <c r="O543" s="102">
        <f t="shared" si="376"/>
        <v>0</v>
      </c>
      <c r="P543" s="102">
        <f t="shared" si="377"/>
        <v>0</v>
      </c>
      <c r="Q543" s="102">
        <f t="shared" si="378"/>
        <v>0</v>
      </c>
      <c r="W543" s="100">
        <v>542</v>
      </c>
      <c r="X543" s="131">
        <f t="shared" ca="1" si="379"/>
        <v>62662</v>
      </c>
      <c r="Y543" s="102">
        <f t="shared" si="380"/>
        <v>0</v>
      </c>
      <c r="Z543" s="102">
        <f t="shared" si="381"/>
        <v>0</v>
      </c>
      <c r="AA543" s="102">
        <f t="shared" si="382"/>
        <v>0</v>
      </c>
      <c r="AB543" s="102">
        <f t="shared" si="383"/>
        <v>0</v>
      </c>
      <c r="AH543" s="100">
        <v>542</v>
      </c>
      <c r="AI543" s="131">
        <f t="shared" ca="1" si="384"/>
        <v>62662</v>
      </c>
      <c r="AJ543" s="102">
        <f t="shared" si="385"/>
        <v>0</v>
      </c>
      <c r="AK543" s="102">
        <f t="shared" si="386"/>
        <v>0</v>
      </c>
      <c r="AL543" s="102">
        <f t="shared" si="387"/>
        <v>0</v>
      </c>
      <c r="AM543" s="102">
        <f t="shared" si="388"/>
        <v>0</v>
      </c>
      <c r="AS543" s="530">
        <v>542</v>
      </c>
      <c r="AT543" s="531">
        <f t="shared" ca="1" si="402"/>
        <v>62662</v>
      </c>
      <c r="AU543" s="532">
        <f ca="1">IF(AU542=0,SUMIFS('Key Life Events'!$L$3:$L$28,'Key Life Events'!$H$3:$H$28,'Loan Amortization'!$AY$3,'Key Life Events'!$N$3:$N$28,'Loan Amortization'!AT543),AU542-AX542)</f>
        <v>0</v>
      </c>
      <c r="AV543" s="532">
        <f t="shared" ca="1" si="403"/>
        <v>0</v>
      </c>
      <c r="AW543" s="532">
        <f t="shared" ca="1" si="392"/>
        <v>0</v>
      </c>
      <c r="AX543" s="532">
        <f t="shared" ca="1" si="393"/>
        <v>0</v>
      </c>
      <c r="BC543" s="536">
        <f t="shared" ca="1" si="394"/>
        <v>2071</v>
      </c>
      <c r="BF543" s="530">
        <v>542</v>
      </c>
      <c r="BG543" s="531">
        <f t="shared" ca="1" si="404"/>
        <v>62662</v>
      </c>
      <c r="BH543" s="532">
        <f ca="1">IF(BH542=0,SUMIFS('Key Life Events'!$L$3:$L$28,'Key Life Events'!$H$3:$H$28,'Loan Amortization'!$BL$3,'Key Life Events'!$N$3:$N$28,'Loan Amortization'!BG543),BH542-BK542)</f>
        <v>0</v>
      </c>
      <c r="BI543" s="532">
        <f t="shared" ca="1" si="405"/>
        <v>0</v>
      </c>
      <c r="BJ543" s="532">
        <f t="shared" ca="1" si="406"/>
        <v>0</v>
      </c>
      <c r="BK543" s="532">
        <f t="shared" ca="1" si="395"/>
        <v>0</v>
      </c>
      <c r="BP543" s="536">
        <f t="shared" ca="1" si="396"/>
        <v>2071</v>
      </c>
      <c r="BS543" s="530">
        <v>542</v>
      </c>
      <c r="BT543" s="531">
        <f t="shared" ca="1" si="407"/>
        <v>62662</v>
      </c>
      <c r="BU543" s="532">
        <f ca="1">IF(BU542=0,SUMIFS('Key Life Events'!$L$3:$L$28,'Key Life Events'!$H$3:$H$28,'Loan Amortization'!$BY$3,'Key Life Events'!$N$3:$N$28,'Loan Amortization'!BT543),BU542-BX542)</f>
        <v>0</v>
      </c>
      <c r="BV543" s="532">
        <f t="shared" ca="1" si="412"/>
        <v>0</v>
      </c>
      <c r="BW543" s="532">
        <f t="shared" ca="1" si="408"/>
        <v>0</v>
      </c>
      <c r="BX543" s="532">
        <f t="shared" ca="1" si="397"/>
        <v>0</v>
      </c>
      <c r="CC543" s="536">
        <f t="shared" ca="1" si="398"/>
        <v>2071</v>
      </c>
      <c r="CF543" s="530">
        <v>542</v>
      </c>
      <c r="CG543" s="531">
        <f t="shared" ca="1" si="409"/>
        <v>62662</v>
      </c>
      <c r="CH543" s="532">
        <f ca="1">IF(CH542=0,SUMIFS('Key Life Events'!$L$3:$L$28,'Key Life Events'!$H$3:$H$28,'Loan Amortization'!$CL$3,'Key Life Events'!$N$3:$N$28,'Loan Amortization'!CG543),CH542-CK542)</f>
        <v>0</v>
      </c>
      <c r="CI543" s="532">
        <f t="shared" ca="1" si="410"/>
        <v>0</v>
      </c>
      <c r="CJ543" s="532">
        <f t="shared" ca="1" si="411"/>
        <v>0</v>
      </c>
      <c r="CK543" s="532">
        <f t="shared" ca="1" si="399"/>
        <v>0</v>
      </c>
      <c r="CP543" s="536">
        <f t="shared" ca="1" si="400"/>
        <v>2071</v>
      </c>
      <c r="CS543" s="100">
        <f t="shared" si="389"/>
        <v>542</v>
      </c>
      <c r="CT543" s="102">
        <f t="shared" ca="1" si="390"/>
        <v>0</v>
      </c>
      <c r="CU543" s="102">
        <f t="shared" ca="1" si="391"/>
        <v>0</v>
      </c>
      <c r="CV543" s="511">
        <f t="shared" ca="1" si="401"/>
        <v>2071</v>
      </c>
    </row>
    <row r="544" spans="1:100" x14ac:dyDescent="0.3">
      <c r="A544" s="100">
        <v>543</v>
      </c>
      <c r="B544" s="131">
        <f t="shared" si="369"/>
        <v>15673</v>
      </c>
      <c r="C544" s="102">
        <f t="shared" si="370"/>
        <v>0</v>
      </c>
      <c r="D544" s="102">
        <f t="shared" si="371"/>
        <v>0</v>
      </c>
      <c r="E544" s="102">
        <f t="shared" si="372"/>
        <v>0</v>
      </c>
      <c r="F544" s="102">
        <f t="shared" si="373"/>
        <v>0</v>
      </c>
      <c r="L544" s="100">
        <v>543</v>
      </c>
      <c r="M544" s="131">
        <f t="shared" ca="1" si="374"/>
        <v>62693</v>
      </c>
      <c r="N544" s="102">
        <f t="shared" si="375"/>
        <v>0</v>
      </c>
      <c r="O544" s="102">
        <f t="shared" si="376"/>
        <v>0</v>
      </c>
      <c r="P544" s="102">
        <f t="shared" si="377"/>
        <v>0</v>
      </c>
      <c r="Q544" s="102">
        <f t="shared" si="378"/>
        <v>0</v>
      </c>
      <c r="W544" s="100">
        <v>543</v>
      </c>
      <c r="X544" s="131">
        <f t="shared" ca="1" si="379"/>
        <v>62693</v>
      </c>
      <c r="Y544" s="102">
        <f t="shared" si="380"/>
        <v>0</v>
      </c>
      <c r="Z544" s="102">
        <f t="shared" si="381"/>
        <v>0</v>
      </c>
      <c r="AA544" s="102">
        <f t="shared" si="382"/>
        <v>0</v>
      </c>
      <c r="AB544" s="102">
        <f t="shared" si="383"/>
        <v>0</v>
      </c>
      <c r="AH544" s="100">
        <v>543</v>
      </c>
      <c r="AI544" s="131">
        <f t="shared" ca="1" si="384"/>
        <v>62693</v>
      </c>
      <c r="AJ544" s="102">
        <f t="shared" si="385"/>
        <v>0</v>
      </c>
      <c r="AK544" s="102">
        <f t="shared" si="386"/>
        <v>0</v>
      </c>
      <c r="AL544" s="102">
        <f t="shared" si="387"/>
        <v>0</v>
      </c>
      <c r="AM544" s="102">
        <f t="shared" si="388"/>
        <v>0</v>
      </c>
      <c r="AS544" s="530">
        <v>543</v>
      </c>
      <c r="AT544" s="531">
        <f t="shared" ca="1" si="402"/>
        <v>62693</v>
      </c>
      <c r="AU544" s="532">
        <f ca="1">IF(AU543=0,SUMIFS('Key Life Events'!$L$3:$L$28,'Key Life Events'!$H$3:$H$28,'Loan Amortization'!$AY$3,'Key Life Events'!$N$3:$N$28,'Loan Amortization'!AT544),AU543-AX543)</f>
        <v>0</v>
      </c>
      <c r="AV544" s="532">
        <f t="shared" ca="1" si="403"/>
        <v>0</v>
      </c>
      <c r="AW544" s="532">
        <f t="shared" ca="1" si="392"/>
        <v>0</v>
      </c>
      <c r="AX544" s="532">
        <f t="shared" ca="1" si="393"/>
        <v>0</v>
      </c>
      <c r="BC544" s="536">
        <f t="shared" ca="1" si="394"/>
        <v>2071</v>
      </c>
      <c r="BF544" s="530">
        <v>543</v>
      </c>
      <c r="BG544" s="531">
        <f t="shared" ca="1" si="404"/>
        <v>62693</v>
      </c>
      <c r="BH544" s="532">
        <f ca="1">IF(BH543=0,SUMIFS('Key Life Events'!$L$3:$L$28,'Key Life Events'!$H$3:$H$28,'Loan Amortization'!$BL$3,'Key Life Events'!$N$3:$N$28,'Loan Amortization'!BG544),BH543-BK543)</f>
        <v>0</v>
      </c>
      <c r="BI544" s="532">
        <f t="shared" ca="1" si="405"/>
        <v>0</v>
      </c>
      <c r="BJ544" s="532">
        <f t="shared" ca="1" si="406"/>
        <v>0</v>
      </c>
      <c r="BK544" s="532">
        <f t="shared" ca="1" si="395"/>
        <v>0</v>
      </c>
      <c r="BP544" s="536">
        <f t="shared" ca="1" si="396"/>
        <v>2071</v>
      </c>
      <c r="BS544" s="530">
        <v>543</v>
      </c>
      <c r="BT544" s="531">
        <f t="shared" ca="1" si="407"/>
        <v>62693</v>
      </c>
      <c r="BU544" s="532">
        <f ca="1">IF(BU543=0,SUMIFS('Key Life Events'!$L$3:$L$28,'Key Life Events'!$H$3:$H$28,'Loan Amortization'!$BY$3,'Key Life Events'!$N$3:$N$28,'Loan Amortization'!BT544),BU543-BX543)</f>
        <v>0</v>
      </c>
      <c r="BV544" s="532">
        <f t="shared" ca="1" si="412"/>
        <v>0</v>
      </c>
      <c r="BW544" s="532">
        <f t="shared" ca="1" si="408"/>
        <v>0</v>
      </c>
      <c r="BX544" s="532">
        <f t="shared" ca="1" si="397"/>
        <v>0</v>
      </c>
      <c r="CC544" s="536">
        <f t="shared" ca="1" si="398"/>
        <v>2071</v>
      </c>
      <c r="CF544" s="530">
        <v>543</v>
      </c>
      <c r="CG544" s="531">
        <f t="shared" ca="1" si="409"/>
        <v>62693</v>
      </c>
      <c r="CH544" s="532">
        <f ca="1">IF(CH543=0,SUMIFS('Key Life Events'!$L$3:$L$28,'Key Life Events'!$H$3:$H$28,'Loan Amortization'!$CL$3,'Key Life Events'!$N$3:$N$28,'Loan Amortization'!CG544),CH543-CK543)</f>
        <v>0</v>
      </c>
      <c r="CI544" s="532">
        <f t="shared" ca="1" si="410"/>
        <v>0</v>
      </c>
      <c r="CJ544" s="532">
        <f t="shared" ca="1" si="411"/>
        <v>0</v>
      </c>
      <c r="CK544" s="532">
        <f t="shared" ca="1" si="399"/>
        <v>0</v>
      </c>
      <c r="CP544" s="536">
        <f t="shared" ca="1" si="400"/>
        <v>2071</v>
      </c>
      <c r="CS544" s="100">
        <f t="shared" si="389"/>
        <v>543</v>
      </c>
      <c r="CT544" s="102">
        <f t="shared" ca="1" si="390"/>
        <v>0</v>
      </c>
      <c r="CU544" s="102">
        <f t="shared" ca="1" si="391"/>
        <v>0</v>
      </c>
      <c r="CV544" s="511">
        <f t="shared" ca="1" si="401"/>
        <v>2071</v>
      </c>
    </row>
    <row r="545" spans="1:100" x14ac:dyDescent="0.3">
      <c r="A545" s="100">
        <v>544</v>
      </c>
      <c r="B545" s="131">
        <f t="shared" ref="B545:B608" si="413">IF(C544&lt;D544,,EDATE(B544,1))</f>
        <v>15703</v>
      </c>
      <c r="C545" s="102">
        <f t="shared" ref="C545:C608" si="414">IF(C544&lt;D544,0,C544-F544)</f>
        <v>0</v>
      </c>
      <c r="D545" s="102">
        <f t="shared" ref="D545:D608" si="415">IF(C545&lt;=D544,C545+E545,D$2)</f>
        <v>0</v>
      </c>
      <c r="E545" s="102">
        <f t="shared" ref="E545:E608" si="416">(C545*H$1)/12</f>
        <v>0</v>
      </c>
      <c r="F545" s="102">
        <f t="shared" ref="F545:F608" si="417">D545-E545</f>
        <v>0</v>
      </c>
      <c r="L545" s="100">
        <v>544</v>
      </c>
      <c r="M545" s="131">
        <f t="shared" ref="M545:M608" ca="1" si="418">IF(N544&lt;O544,,EDATE(M544,1))</f>
        <v>62724</v>
      </c>
      <c r="N545" s="102">
        <f t="shared" ref="N545:N608" si="419">IF(N544&lt;O544,0,N544-Q544)</f>
        <v>0</v>
      </c>
      <c r="O545" s="102">
        <f t="shared" ref="O545:O608" si="420">IF(N545&lt;=O544,N545+P545,O$2)</f>
        <v>0</v>
      </c>
      <c r="P545" s="102">
        <f t="shared" ref="P545:P608" si="421">(N545*S$1)/12</f>
        <v>0</v>
      </c>
      <c r="Q545" s="102">
        <f t="shared" ref="Q545:Q608" si="422">O545-P545</f>
        <v>0</v>
      </c>
      <c r="W545" s="100">
        <v>544</v>
      </c>
      <c r="X545" s="131">
        <f t="shared" ref="X545:X608" ca="1" si="423">IF(Y544&lt;Z544,,EDATE(X544,1))</f>
        <v>62724</v>
      </c>
      <c r="Y545" s="102">
        <f t="shared" ref="Y545:Y608" si="424">IF(Y544&lt;Z544,0,Y544-AB544)</f>
        <v>0</v>
      </c>
      <c r="Z545" s="102">
        <f t="shared" ref="Z545:Z608" si="425">IF(Y545&lt;=Z544,Y545+AA545,Z$2)</f>
        <v>0</v>
      </c>
      <c r="AA545" s="102">
        <f t="shared" ref="AA545:AA608" si="426">(Y545*AD$1)/12</f>
        <v>0</v>
      </c>
      <c r="AB545" s="102">
        <f t="shared" ref="AB545:AB608" si="427">Z545-AA545</f>
        <v>0</v>
      </c>
      <c r="AH545" s="100">
        <v>544</v>
      </c>
      <c r="AI545" s="131">
        <f t="shared" ref="AI545:AI608" ca="1" si="428">IF(AJ544&lt;AK544,,EDATE(AI544,1))</f>
        <v>62724</v>
      </c>
      <c r="AJ545" s="102">
        <f t="shared" ref="AJ545:AJ608" si="429">IF(AJ544&lt;AK544,0,AJ544-AM544)</f>
        <v>0</v>
      </c>
      <c r="AK545" s="102">
        <f t="shared" ref="AK545:AK608" si="430">IF(AJ545&lt;=AK544,AJ545+AL545,AK$2)</f>
        <v>0</v>
      </c>
      <c r="AL545" s="102">
        <f t="shared" ref="AL545:AL608" si="431">(AJ545*AO$1)/12</f>
        <v>0</v>
      </c>
      <c r="AM545" s="102">
        <f t="shared" ref="AM545:AM608" si="432">AK545-AL545</f>
        <v>0</v>
      </c>
      <c r="AS545" s="530">
        <v>544</v>
      </c>
      <c r="AT545" s="531">
        <f t="shared" ca="1" si="402"/>
        <v>62724</v>
      </c>
      <c r="AU545" s="532">
        <f ca="1">IF(AU544=0,SUMIFS('Key Life Events'!$L$3:$L$28,'Key Life Events'!$H$3:$H$28,'Loan Amortization'!$AY$3,'Key Life Events'!$N$3:$N$28,'Loan Amortization'!AT545),AU544-AX544)</f>
        <v>0</v>
      </c>
      <c r="AV545" s="532">
        <f t="shared" ca="1" si="403"/>
        <v>0</v>
      </c>
      <c r="AW545" s="532">
        <f t="shared" ca="1" si="392"/>
        <v>0</v>
      </c>
      <c r="AX545" s="532">
        <f t="shared" ca="1" si="393"/>
        <v>0</v>
      </c>
      <c r="BC545" s="536">
        <f t="shared" ca="1" si="394"/>
        <v>2071</v>
      </c>
      <c r="BF545" s="530">
        <v>544</v>
      </c>
      <c r="BG545" s="531">
        <f t="shared" ca="1" si="404"/>
        <v>62724</v>
      </c>
      <c r="BH545" s="532">
        <f ca="1">IF(BH544=0,SUMIFS('Key Life Events'!$L$3:$L$28,'Key Life Events'!$H$3:$H$28,'Loan Amortization'!$BL$3,'Key Life Events'!$N$3:$N$28,'Loan Amortization'!BG545),BH544-BK544)</f>
        <v>0</v>
      </c>
      <c r="BI545" s="532">
        <f t="shared" ca="1" si="405"/>
        <v>0</v>
      </c>
      <c r="BJ545" s="532">
        <f t="shared" ca="1" si="406"/>
        <v>0</v>
      </c>
      <c r="BK545" s="532">
        <f t="shared" ca="1" si="395"/>
        <v>0</v>
      </c>
      <c r="BP545" s="536">
        <f t="shared" ca="1" si="396"/>
        <v>2071</v>
      </c>
      <c r="BS545" s="530">
        <v>544</v>
      </c>
      <c r="BT545" s="531">
        <f t="shared" ca="1" si="407"/>
        <v>62724</v>
      </c>
      <c r="BU545" s="532">
        <f ca="1">IF(BU544=0,SUMIFS('Key Life Events'!$L$3:$L$28,'Key Life Events'!$H$3:$H$28,'Loan Amortization'!$BY$3,'Key Life Events'!$N$3:$N$28,'Loan Amortization'!BT545),BU544-BX544)</f>
        <v>0</v>
      </c>
      <c r="BV545" s="532">
        <f t="shared" ca="1" si="412"/>
        <v>0</v>
      </c>
      <c r="BW545" s="532">
        <f t="shared" ca="1" si="408"/>
        <v>0</v>
      </c>
      <c r="BX545" s="532">
        <f t="shared" ca="1" si="397"/>
        <v>0</v>
      </c>
      <c r="CC545" s="536">
        <f t="shared" ca="1" si="398"/>
        <v>2071</v>
      </c>
      <c r="CF545" s="530">
        <v>544</v>
      </c>
      <c r="CG545" s="531">
        <f t="shared" ca="1" si="409"/>
        <v>62724</v>
      </c>
      <c r="CH545" s="532">
        <f ca="1">IF(CH544=0,SUMIFS('Key Life Events'!$L$3:$L$28,'Key Life Events'!$H$3:$H$28,'Loan Amortization'!$CL$3,'Key Life Events'!$N$3:$N$28,'Loan Amortization'!CG545),CH544-CK544)</f>
        <v>0</v>
      </c>
      <c r="CI545" s="532">
        <f t="shared" ca="1" si="410"/>
        <v>0</v>
      </c>
      <c r="CJ545" s="532">
        <f t="shared" ca="1" si="411"/>
        <v>0</v>
      </c>
      <c r="CK545" s="532">
        <f t="shared" ca="1" si="399"/>
        <v>0</v>
      </c>
      <c r="CP545" s="536">
        <f t="shared" ca="1" si="400"/>
        <v>2071</v>
      </c>
      <c r="CS545" s="100">
        <f t="shared" si="389"/>
        <v>544</v>
      </c>
      <c r="CT545" s="102">
        <f t="shared" ca="1" si="390"/>
        <v>0</v>
      </c>
      <c r="CU545" s="102">
        <f t="shared" ca="1" si="391"/>
        <v>0</v>
      </c>
      <c r="CV545" s="511">
        <f t="shared" ca="1" si="401"/>
        <v>2071</v>
      </c>
    </row>
    <row r="546" spans="1:100" x14ac:dyDescent="0.3">
      <c r="A546" s="100">
        <v>545</v>
      </c>
      <c r="B546" s="131">
        <f t="shared" si="413"/>
        <v>15734</v>
      </c>
      <c r="C546" s="102">
        <f t="shared" si="414"/>
        <v>0</v>
      </c>
      <c r="D546" s="102">
        <f t="shared" si="415"/>
        <v>0</v>
      </c>
      <c r="E546" s="102">
        <f t="shared" si="416"/>
        <v>0</v>
      </c>
      <c r="F546" s="102">
        <f t="shared" si="417"/>
        <v>0</v>
      </c>
      <c r="L546" s="100">
        <v>545</v>
      </c>
      <c r="M546" s="131">
        <f t="shared" ca="1" si="418"/>
        <v>62754</v>
      </c>
      <c r="N546" s="102">
        <f t="shared" si="419"/>
        <v>0</v>
      </c>
      <c r="O546" s="102">
        <f t="shared" si="420"/>
        <v>0</v>
      </c>
      <c r="P546" s="102">
        <f t="shared" si="421"/>
        <v>0</v>
      </c>
      <c r="Q546" s="102">
        <f t="shared" si="422"/>
        <v>0</v>
      </c>
      <c r="W546" s="100">
        <v>545</v>
      </c>
      <c r="X546" s="131">
        <f t="shared" ca="1" si="423"/>
        <v>62754</v>
      </c>
      <c r="Y546" s="102">
        <f t="shared" si="424"/>
        <v>0</v>
      </c>
      <c r="Z546" s="102">
        <f t="shared" si="425"/>
        <v>0</v>
      </c>
      <c r="AA546" s="102">
        <f t="shared" si="426"/>
        <v>0</v>
      </c>
      <c r="AB546" s="102">
        <f t="shared" si="427"/>
        <v>0</v>
      </c>
      <c r="AH546" s="100">
        <v>545</v>
      </c>
      <c r="AI546" s="131">
        <f t="shared" ca="1" si="428"/>
        <v>62754</v>
      </c>
      <c r="AJ546" s="102">
        <f t="shared" si="429"/>
        <v>0</v>
      </c>
      <c r="AK546" s="102">
        <f t="shared" si="430"/>
        <v>0</v>
      </c>
      <c r="AL546" s="102">
        <f t="shared" si="431"/>
        <v>0</v>
      </c>
      <c r="AM546" s="102">
        <f t="shared" si="432"/>
        <v>0</v>
      </c>
      <c r="AS546" s="530">
        <v>545</v>
      </c>
      <c r="AT546" s="531">
        <f t="shared" ca="1" si="402"/>
        <v>62754</v>
      </c>
      <c r="AU546" s="532">
        <f ca="1">IF(AU545=0,SUMIFS('Key Life Events'!$L$3:$L$28,'Key Life Events'!$H$3:$H$28,'Loan Amortization'!$AY$3,'Key Life Events'!$N$3:$N$28,'Loan Amortization'!AT546),AU545-AX545)</f>
        <v>0</v>
      </c>
      <c r="AV546" s="532">
        <f t="shared" ca="1" si="403"/>
        <v>0</v>
      </c>
      <c r="AW546" s="532">
        <f t="shared" ca="1" si="392"/>
        <v>0</v>
      </c>
      <c r="AX546" s="532">
        <f t="shared" ca="1" si="393"/>
        <v>0</v>
      </c>
      <c r="BC546" s="536">
        <f t="shared" ca="1" si="394"/>
        <v>2071</v>
      </c>
      <c r="BF546" s="530">
        <v>545</v>
      </c>
      <c r="BG546" s="531">
        <f t="shared" ca="1" si="404"/>
        <v>62754</v>
      </c>
      <c r="BH546" s="532">
        <f ca="1">IF(BH545=0,SUMIFS('Key Life Events'!$L$3:$L$28,'Key Life Events'!$H$3:$H$28,'Loan Amortization'!$BL$3,'Key Life Events'!$N$3:$N$28,'Loan Amortization'!BG546),BH545-BK545)</f>
        <v>0</v>
      </c>
      <c r="BI546" s="532">
        <f t="shared" ca="1" si="405"/>
        <v>0</v>
      </c>
      <c r="BJ546" s="532">
        <f t="shared" ca="1" si="406"/>
        <v>0</v>
      </c>
      <c r="BK546" s="532">
        <f t="shared" ca="1" si="395"/>
        <v>0</v>
      </c>
      <c r="BP546" s="536">
        <f t="shared" ca="1" si="396"/>
        <v>2071</v>
      </c>
      <c r="BS546" s="530">
        <v>545</v>
      </c>
      <c r="BT546" s="531">
        <f t="shared" ca="1" si="407"/>
        <v>62754</v>
      </c>
      <c r="BU546" s="532">
        <f ca="1">IF(BU545=0,SUMIFS('Key Life Events'!$L$3:$L$28,'Key Life Events'!$H$3:$H$28,'Loan Amortization'!$BY$3,'Key Life Events'!$N$3:$N$28,'Loan Amortization'!BT546),BU545-BX545)</f>
        <v>0</v>
      </c>
      <c r="BV546" s="532">
        <f t="shared" ca="1" si="412"/>
        <v>0</v>
      </c>
      <c r="BW546" s="532">
        <f t="shared" ca="1" si="408"/>
        <v>0</v>
      </c>
      <c r="BX546" s="532">
        <f t="shared" ca="1" si="397"/>
        <v>0</v>
      </c>
      <c r="CC546" s="536">
        <f t="shared" ca="1" si="398"/>
        <v>2071</v>
      </c>
      <c r="CF546" s="530">
        <v>545</v>
      </c>
      <c r="CG546" s="531">
        <f t="shared" ca="1" si="409"/>
        <v>62754</v>
      </c>
      <c r="CH546" s="532">
        <f ca="1">IF(CH545=0,SUMIFS('Key Life Events'!$L$3:$L$28,'Key Life Events'!$H$3:$H$28,'Loan Amortization'!$CL$3,'Key Life Events'!$N$3:$N$28,'Loan Amortization'!CG546),CH545-CK545)</f>
        <v>0</v>
      </c>
      <c r="CI546" s="532">
        <f t="shared" ca="1" si="410"/>
        <v>0</v>
      </c>
      <c r="CJ546" s="532">
        <f t="shared" ca="1" si="411"/>
        <v>0</v>
      </c>
      <c r="CK546" s="532">
        <f t="shared" ca="1" si="399"/>
        <v>0</v>
      </c>
      <c r="CP546" s="536">
        <f t="shared" ca="1" si="400"/>
        <v>2071</v>
      </c>
      <c r="CS546" s="100">
        <f t="shared" si="389"/>
        <v>545</v>
      </c>
      <c r="CT546" s="102">
        <f t="shared" ca="1" si="390"/>
        <v>0</v>
      </c>
      <c r="CU546" s="102">
        <f t="shared" ca="1" si="391"/>
        <v>0</v>
      </c>
      <c r="CV546" s="511">
        <f t="shared" ca="1" si="401"/>
        <v>2071</v>
      </c>
    </row>
    <row r="547" spans="1:100" x14ac:dyDescent="0.3">
      <c r="A547" s="100">
        <v>546</v>
      </c>
      <c r="B547" s="131">
        <f t="shared" si="413"/>
        <v>15765</v>
      </c>
      <c r="C547" s="102">
        <f t="shared" si="414"/>
        <v>0</v>
      </c>
      <c r="D547" s="102">
        <f t="shared" si="415"/>
        <v>0</v>
      </c>
      <c r="E547" s="102">
        <f t="shared" si="416"/>
        <v>0</v>
      </c>
      <c r="F547" s="102">
        <f t="shared" si="417"/>
        <v>0</v>
      </c>
      <c r="L547" s="100">
        <v>546</v>
      </c>
      <c r="M547" s="131">
        <f t="shared" ca="1" si="418"/>
        <v>62785</v>
      </c>
      <c r="N547" s="102">
        <f t="shared" si="419"/>
        <v>0</v>
      </c>
      <c r="O547" s="102">
        <f t="shared" si="420"/>
        <v>0</v>
      </c>
      <c r="P547" s="102">
        <f t="shared" si="421"/>
        <v>0</v>
      </c>
      <c r="Q547" s="102">
        <f t="shared" si="422"/>
        <v>0</v>
      </c>
      <c r="W547" s="100">
        <v>546</v>
      </c>
      <c r="X547" s="131">
        <f t="shared" ca="1" si="423"/>
        <v>62785</v>
      </c>
      <c r="Y547" s="102">
        <f t="shared" si="424"/>
        <v>0</v>
      </c>
      <c r="Z547" s="102">
        <f t="shared" si="425"/>
        <v>0</v>
      </c>
      <c r="AA547" s="102">
        <f t="shared" si="426"/>
        <v>0</v>
      </c>
      <c r="AB547" s="102">
        <f t="shared" si="427"/>
        <v>0</v>
      </c>
      <c r="AH547" s="100">
        <v>546</v>
      </c>
      <c r="AI547" s="131">
        <f t="shared" ca="1" si="428"/>
        <v>62785</v>
      </c>
      <c r="AJ547" s="102">
        <f t="shared" si="429"/>
        <v>0</v>
      </c>
      <c r="AK547" s="102">
        <f t="shared" si="430"/>
        <v>0</v>
      </c>
      <c r="AL547" s="102">
        <f t="shared" si="431"/>
        <v>0</v>
      </c>
      <c r="AM547" s="102">
        <f t="shared" si="432"/>
        <v>0</v>
      </c>
      <c r="AS547" s="530">
        <v>546</v>
      </c>
      <c r="AT547" s="531">
        <f t="shared" ca="1" si="402"/>
        <v>62785</v>
      </c>
      <c r="AU547" s="532">
        <f ca="1">IF(AU546=0,SUMIFS('Key Life Events'!$L$3:$L$28,'Key Life Events'!$H$3:$H$28,'Loan Amortization'!$AY$3,'Key Life Events'!$N$3:$N$28,'Loan Amortization'!AT547),AU546-AX546)</f>
        <v>0</v>
      </c>
      <c r="AV547" s="532">
        <f t="shared" ca="1" si="403"/>
        <v>0</v>
      </c>
      <c r="AW547" s="532">
        <f t="shared" ca="1" si="392"/>
        <v>0</v>
      </c>
      <c r="AX547" s="532">
        <f t="shared" ca="1" si="393"/>
        <v>0</v>
      </c>
      <c r="BC547" s="536">
        <f t="shared" ca="1" si="394"/>
        <v>2071</v>
      </c>
      <c r="BF547" s="530">
        <v>546</v>
      </c>
      <c r="BG547" s="531">
        <f t="shared" ca="1" si="404"/>
        <v>62785</v>
      </c>
      <c r="BH547" s="532">
        <f ca="1">IF(BH546=0,SUMIFS('Key Life Events'!$L$3:$L$28,'Key Life Events'!$H$3:$H$28,'Loan Amortization'!$BL$3,'Key Life Events'!$N$3:$N$28,'Loan Amortization'!BG547),BH546-BK546)</f>
        <v>0</v>
      </c>
      <c r="BI547" s="532">
        <f t="shared" ca="1" si="405"/>
        <v>0</v>
      </c>
      <c r="BJ547" s="532">
        <f t="shared" ca="1" si="406"/>
        <v>0</v>
      </c>
      <c r="BK547" s="532">
        <f t="shared" ca="1" si="395"/>
        <v>0</v>
      </c>
      <c r="BP547" s="536">
        <f t="shared" ca="1" si="396"/>
        <v>2071</v>
      </c>
      <c r="BS547" s="530">
        <v>546</v>
      </c>
      <c r="BT547" s="531">
        <f t="shared" ca="1" si="407"/>
        <v>62785</v>
      </c>
      <c r="BU547" s="532">
        <f ca="1">IF(BU546=0,SUMIFS('Key Life Events'!$L$3:$L$28,'Key Life Events'!$H$3:$H$28,'Loan Amortization'!$BY$3,'Key Life Events'!$N$3:$N$28,'Loan Amortization'!BT547),BU546-BX546)</f>
        <v>0</v>
      </c>
      <c r="BV547" s="532">
        <f t="shared" ca="1" si="412"/>
        <v>0</v>
      </c>
      <c r="BW547" s="532">
        <f t="shared" ca="1" si="408"/>
        <v>0</v>
      </c>
      <c r="BX547" s="532">
        <f t="shared" ca="1" si="397"/>
        <v>0</v>
      </c>
      <c r="CC547" s="536">
        <f t="shared" ca="1" si="398"/>
        <v>2071</v>
      </c>
      <c r="CF547" s="530">
        <v>546</v>
      </c>
      <c r="CG547" s="531">
        <f t="shared" ca="1" si="409"/>
        <v>62785</v>
      </c>
      <c r="CH547" s="532">
        <f ca="1">IF(CH546=0,SUMIFS('Key Life Events'!$L$3:$L$28,'Key Life Events'!$H$3:$H$28,'Loan Amortization'!$CL$3,'Key Life Events'!$N$3:$N$28,'Loan Amortization'!CG547),CH546-CK546)</f>
        <v>0</v>
      </c>
      <c r="CI547" s="532">
        <f t="shared" ca="1" si="410"/>
        <v>0</v>
      </c>
      <c r="CJ547" s="532">
        <f t="shared" ca="1" si="411"/>
        <v>0</v>
      </c>
      <c r="CK547" s="532">
        <f t="shared" ca="1" si="399"/>
        <v>0</v>
      </c>
      <c r="CP547" s="536">
        <f t="shared" ca="1" si="400"/>
        <v>2071</v>
      </c>
      <c r="CS547" s="100">
        <f t="shared" si="389"/>
        <v>546</v>
      </c>
      <c r="CT547" s="102">
        <f t="shared" ca="1" si="390"/>
        <v>0</v>
      </c>
      <c r="CU547" s="102">
        <f t="shared" ca="1" si="391"/>
        <v>0</v>
      </c>
      <c r="CV547" s="511">
        <f t="shared" ca="1" si="401"/>
        <v>2071</v>
      </c>
    </row>
    <row r="548" spans="1:100" x14ac:dyDescent="0.3">
      <c r="A548" s="100">
        <v>547</v>
      </c>
      <c r="B548" s="131">
        <f t="shared" si="413"/>
        <v>15793</v>
      </c>
      <c r="C548" s="102">
        <f t="shared" si="414"/>
        <v>0</v>
      </c>
      <c r="D548" s="102">
        <f t="shared" si="415"/>
        <v>0</v>
      </c>
      <c r="E548" s="102">
        <f t="shared" si="416"/>
        <v>0</v>
      </c>
      <c r="F548" s="102">
        <f t="shared" si="417"/>
        <v>0</v>
      </c>
      <c r="L548" s="100">
        <v>547</v>
      </c>
      <c r="M548" s="131">
        <f t="shared" ca="1" si="418"/>
        <v>62815</v>
      </c>
      <c r="N548" s="102">
        <f t="shared" si="419"/>
        <v>0</v>
      </c>
      <c r="O548" s="102">
        <f t="shared" si="420"/>
        <v>0</v>
      </c>
      <c r="P548" s="102">
        <f t="shared" si="421"/>
        <v>0</v>
      </c>
      <c r="Q548" s="102">
        <f t="shared" si="422"/>
        <v>0</v>
      </c>
      <c r="W548" s="100">
        <v>547</v>
      </c>
      <c r="X548" s="131">
        <f t="shared" ca="1" si="423"/>
        <v>62815</v>
      </c>
      <c r="Y548" s="102">
        <f t="shared" si="424"/>
        <v>0</v>
      </c>
      <c r="Z548" s="102">
        <f t="shared" si="425"/>
        <v>0</v>
      </c>
      <c r="AA548" s="102">
        <f t="shared" si="426"/>
        <v>0</v>
      </c>
      <c r="AB548" s="102">
        <f t="shared" si="427"/>
        <v>0</v>
      </c>
      <c r="AH548" s="100">
        <v>547</v>
      </c>
      <c r="AI548" s="131">
        <f t="shared" ca="1" si="428"/>
        <v>62815</v>
      </c>
      <c r="AJ548" s="102">
        <f t="shared" si="429"/>
        <v>0</v>
      </c>
      <c r="AK548" s="102">
        <f t="shared" si="430"/>
        <v>0</v>
      </c>
      <c r="AL548" s="102">
        <f t="shared" si="431"/>
        <v>0</v>
      </c>
      <c r="AM548" s="102">
        <f t="shared" si="432"/>
        <v>0</v>
      </c>
      <c r="AS548" s="530">
        <v>547</v>
      </c>
      <c r="AT548" s="531">
        <f t="shared" ca="1" si="402"/>
        <v>62815</v>
      </c>
      <c r="AU548" s="532">
        <f ca="1">IF(AU547=0,SUMIFS('Key Life Events'!$L$3:$L$28,'Key Life Events'!$H$3:$H$28,'Loan Amortization'!$AY$3,'Key Life Events'!$N$3:$N$28,'Loan Amortization'!AT548),AU547-AX547)</f>
        <v>0</v>
      </c>
      <c r="AV548" s="532">
        <f t="shared" ca="1" si="403"/>
        <v>0</v>
      </c>
      <c r="AW548" s="532">
        <f t="shared" ca="1" si="392"/>
        <v>0</v>
      </c>
      <c r="AX548" s="532">
        <f t="shared" ca="1" si="393"/>
        <v>0</v>
      </c>
      <c r="BC548" s="536">
        <f t="shared" ca="1" si="394"/>
        <v>2071</v>
      </c>
      <c r="BF548" s="530">
        <v>547</v>
      </c>
      <c r="BG548" s="531">
        <f t="shared" ca="1" si="404"/>
        <v>62815</v>
      </c>
      <c r="BH548" s="532">
        <f ca="1">IF(BH547=0,SUMIFS('Key Life Events'!$L$3:$L$28,'Key Life Events'!$H$3:$H$28,'Loan Amortization'!$BL$3,'Key Life Events'!$N$3:$N$28,'Loan Amortization'!BG548),BH547-BK547)</f>
        <v>0</v>
      </c>
      <c r="BI548" s="532">
        <f t="shared" ca="1" si="405"/>
        <v>0</v>
      </c>
      <c r="BJ548" s="532">
        <f t="shared" ca="1" si="406"/>
        <v>0</v>
      </c>
      <c r="BK548" s="532">
        <f t="shared" ca="1" si="395"/>
        <v>0</v>
      </c>
      <c r="BP548" s="536">
        <f t="shared" ca="1" si="396"/>
        <v>2071</v>
      </c>
      <c r="BS548" s="530">
        <v>547</v>
      </c>
      <c r="BT548" s="531">
        <f t="shared" ca="1" si="407"/>
        <v>62815</v>
      </c>
      <c r="BU548" s="532">
        <f ca="1">IF(BU547=0,SUMIFS('Key Life Events'!$L$3:$L$28,'Key Life Events'!$H$3:$H$28,'Loan Amortization'!$BY$3,'Key Life Events'!$N$3:$N$28,'Loan Amortization'!BT548),BU547-BX547)</f>
        <v>0</v>
      </c>
      <c r="BV548" s="532">
        <f t="shared" ca="1" si="412"/>
        <v>0</v>
      </c>
      <c r="BW548" s="532">
        <f t="shared" ca="1" si="408"/>
        <v>0</v>
      </c>
      <c r="BX548" s="532">
        <f t="shared" ca="1" si="397"/>
        <v>0</v>
      </c>
      <c r="CC548" s="536">
        <f t="shared" ca="1" si="398"/>
        <v>2071</v>
      </c>
      <c r="CF548" s="530">
        <v>547</v>
      </c>
      <c r="CG548" s="531">
        <f t="shared" ca="1" si="409"/>
        <v>62815</v>
      </c>
      <c r="CH548" s="532">
        <f ca="1">IF(CH547=0,SUMIFS('Key Life Events'!$L$3:$L$28,'Key Life Events'!$H$3:$H$28,'Loan Amortization'!$CL$3,'Key Life Events'!$N$3:$N$28,'Loan Amortization'!CG548),CH547-CK547)</f>
        <v>0</v>
      </c>
      <c r="CI548" s="532">
        <f t="shared" ca="1" si="410"/>
        <v>0</v>
      </c>
      <c r="CJ548" s="532">
        <f t="shared" ca="1" si="411"/>
        <v>0</v>
      </c>
      <c r="CK548" s="532">
        <f t="shared" ca="1" si="399"/>
        <v>0</v>
      </c>
      <c r="CP548" s="536">
        <f t="shared" ca="1" si="400"/>
        <v>2071</v>
      </c>
      <c r="CS548" s="100">
        <f t="shared" si="389"/>
        <v>547</v>
      </c>
      <c r="CT548" s="102">
        <f t="shared" ca="1" si="390"/>
        <v>0</v>
      </c>
      <c r="CU548" s="102">
        <f t="shared" ca="1" si="391"/>
        <v>0</v>
      </c>
      <c r="CV548" s="511">
        <f t="shared" ca="1" si="401"/>
        <v>2071</v>
      </c>
    </row>
    <row r="549" spans="1:100" x14ac:dyDescent="0.3">
      <c r="A549" s="100">
        <v>548</v>
      </c>
      <c r="B549" s="131">
        <f t="shared" si="413"/>
        <v>15824</v>
      </c>
      <c r="C549" s="102">
        <f t="shared" si="414"/>
        <v>0</v>
      </c>
      <c r="D549" s="102">
        <f t="shared" si="415"/>
        <v>0</v>
      </c>
      <c r="E549" s="102">
        <f t="shared" si="416"/>
        <v>0</v>
      </c>
      <c r="F549" s="102">
        <f t="shared" si="417"/>
        <v>0</v>
      </c>
      <c r="L549" s="100">
        <v>548</v>
      </c>
      <c r="M549" s="131">
        <f t="shared" ca="1" si="418"/>
        <v>62846</v>
      </c>
      <c r="N549" s="102">
        <f t="shared" si="419"/>
        <v>0</v>
      </c>
      <c r="O549" s="102">
        <f t="shared" si="420"/>
        <v>0</v>
      </c>
      <c r="P549" s="102">
        <f t="shared" si="421"/>
        <v>0</v>
      </c>
      <c r="Q549" s="102">
        <f t="shared" si="422"/>
        <v>0</v>
      </c>
      <c r="W549" s="100">
        <v>548</v>
      </c>
      <c r="X549" s="131">
        <f t="shared" ca="1" si="423"/>
        <v>62846</v>
      </c>
      <c r="Y549" s="102">
        <f t="shared" si="424"/>
        <v>0</v>
      </c>
      <c r="Z549" s="102">
        <f t="shared" si="425"/>
        <v>0</v>
      </c>
      <c r="AA549" s="102">
        <f t="shared" si="426"/>
        <v>0</v>
      </c>
      <c r="AB549" s="102">
        <f t="shared" si="427"/>
        <v>0</v>
      </c>
      <c r="AH549" s="100">
        <v>548</v>
      </c>
      <c r="AI549" s="131">
        <f t="shared" ca="1" si="428"/>
        <v>62846</v>
      </c>
      <c r="AJ549" s="102">
        <f t="shared" si="429"/>
        <v>0</v>
      </c>
      <c r="AK549" s="102">
        <f t="shared" si="430"/>
        <v>0</v>
      </c>
      <c r="AL549" s="102">
        <f t="shared" si="431"/>
        <v>0</v>
      </c>
      <c r="AM549" s="102">
        <f t="shared" si="432"/>
        <v>0</v>
      </c>
      <c r="AS549" s="530">
        <v>548</v>
      </c>
      <c r="AT549" s="531">
        <f t="shared" ca="1" si="402"/>
        <v>62846</v>
      </c>
      <c r="AU549" s="532">
        <f ca="1">IF(AU548=0,SUMIFS('Key Life Events'!$L$3:$L$28,'Key Life Events'!$H$3:$H$28,'Loan Amortization'!$AY$3,'Key Life Events'!$N$3:$N$28,'Loan Amortization'!AT549),AU548-AX548)</f>
        <v>0</v>
      </c>
      <c r="AV549" s="532">
        <f t="shared" ca="1" si="403"/>
        <v>0</v>
      </c>
      <c r="AW549" s="532">
        <f t="shared" ca="1" si="392"/>
        <v>0</v>
      </c>
      <c r="AX549" s="532">
        <f t="shared" ca="1" si="393"/>
        <v>0</v>
      </c>
      <c r="BC549" s="536">
        <f t="shared" ca="1" si="394"/>
        <v>2072</v>
      </c>
      <c r="BF549" s="530">
        <v>548</v>
      </c>
      <c r="BG549" s="531">
        <f t="shared" ca="1" si="404"/>
        <v>62846</v>
      </c>
      <c r="BH549" s="532">
        <f ca="1">IF(BH548=0,SUMIFS('Key Life Events'!$L$3:$L$28,'Key Life Events'!$H$3:$H$28,'Loan Amortization'!$BL$3,'Key Life Events'!$N$3:$N$28,'Loan Amortization'!BG549),BH548-BK548)</f>
        <v>0</v>
      </c>
      <c r="BI549" s="532">
        <f t="shared" ca="1" si="405"/>
        <v>0</v>
      </c>
      <c r="BJ549" s="532">
        <f t="shared" ca="1" si="406"/>
        <v>0</v>
      </c>
      <c r="BK549" s="532">
        <f t="shared" ca="1" si="395"/>
        <v>0</v>
      </c>
      <c r="BP549" s="536">
        <f t="shared" ca="1" si="396"/>
        <v>2072</v>
      </c>
      <c r="BS549" s="530">
        <v>548</v>
      </c>
      <c r="BT549" s="531">
        <f t="shared" ca="1" si="407"/>
        <v>62846</v>
      </c>
      <c r="BU549" s="532">
        <f ca="1">IF(BU548=0,SUMIFS('Key Life Events'!$L$3:$L$28,'Key Life Events'!$H$3:$H$28,'Loan Amortization'!$BY$3,'Key Life Events'!$N$3:$N$28,'Loan Amortization'!BT549),BU548-BX548)</f>
        <v>0</v>
      </c>
      <c r="BV549" s="532">
        <f t="shared" ca="1" si="412"/>
        <v>0</v>
      </c>
      <c r="BW549" s="532">
        <f t="shared" ca="1" si="408"/>
        <v>0</v>
      </c>
      <c r="BX549" s="532">
        <f t="shared" ca="1" si="397"/>
        <v>0</v>
      </c>
      <c r="CC549" s="536">
        <f t="shared" ca="1" si="398"/>
        <v>2072</v>
      </c>
      <c r="CF549" s="530">
        <v>548</v>
      </c>
      <c r="CG549" s="531">
        <f t="shared" ca="1" si="409"/>
        <v>62846</v>
      </c>
      <c r="CH549" s="532">
        <f ca="1">IF(CH548=0,SUMIFS('Key Life Events'!$L$3:$L$28,'Key Life Events'!$H$3:$H$28,'Loan Amortization'!$CL$3,'Key Life Events'!$N$3:$N$28,'Loan Amortization'!CG549),CH548-CK548)</f>
        <v>0</v>
      </c>
      <c r="CI549" s="532">
        <f t="shared" ca="1" si="410"/>
        <v>0</v>
      </c>
      <c r="CJ549" s="532">
        <f t="shared" ca="1" si="411"/>
        <v>0</v>
      </c>
      <c r="CK549" s="532">
        <f t="shared" ca="1" si="399"/>
        <v>0</v>
      </c>
      <c r="CP549" s="536">
        <f t="shared" ca="1" si="400"/>
        <v>2072</v>
      </c>
      <c r="CS549" s="100">
        <f t="shared" si="389"/>
        <v>548</v>
      </c>
      <c r="CT549" s="102">
        <f t="shared" ca="1" si="390"/>
        <v>0</v>
      </c>
      <c r="CU549" s="102">
        <f t="shared" ca="1" si="391"/>
        <v>0</v>
      </c>
      <c r="CV549" s="511">
        <f t="shared" ca="1" si="401"/>
        <v>2072</v>
      </c>
    </row>
    <row r="550" spans="1:100" x14ac:dyDescent="0.3">
      <c r="A550" s="100">
        <v>549</v>
      </c>
      <c r="B550" s="131">
        <f t="shared" si="413"/>
        <v>15854</v>
      </c>
      <c r="C550" s="102">
        <f t="shared" si="414"/>
        <v>0</v>
      </c>
      <c r="D550" s="102">
        <f t="shared" si="415"/>
        <v>0</v>
      </c>
      <c r="E550" s="102">
        <f t="shared" si="416"/>
        <v>0</v>
      </c>
      <c r="F550" s="102">
        <f t="shared" si="417"/>
        <v>0</v>
      </c>
      <c r="L550" s="100">
        <v>549</v>
      </c>
      <c r="M550" s="131">
        <f t="shared" ca="1" si="418"/>
        <v>62877</v>
      </c>
      <c r="N550" s="102">
        <f t="shared" si="419"/>
        <v>0</v>
      </c>
      <c r="O550" s="102">
        <f t="shared" si="420"/>
        <v>0</v>
      </c>
      <c r="P550" s="102">
        <f t="shared" si="421"/>
        <v>0</v>
      </c>
      <c r="Q550" s="102">
        <f t="shared" si="422"/>
        <v>0</v>
      </c>
      <c r="W550" s="100">
        <v>549</v>
      </c>
      <c r="X550" s="131">
        <f t="shared" ca="1" si="423"/>
        <v>62877</v>
      </c>
      <c r="Y550" s="102">
        <f t="shared" si="424"/>
        <v>0</v>
      </c>
      <c r="Z550" s="102">
        <f t="shared" si="425"/>
        <v>0</v>
      </c>
      <c r="AA550" s="102">
        <f t="shared" si="426"/>
        <v>0</v>
      </c>
      <c r="AB550" s="102">
        <f t="shared" si="427"/>
        <v>0</v>
      </c>
      <c r="AH550" s="100">
        <v>549</v>
      </c>
      <c r="AI550" s="131">
        <f t="shared" ca="1" si="428"/>
        <v>62877</v>
      </c>
      <c r="AJ550" s="102">
        <f t="shared" si="429"/>
        <v>0</v>
      </c>
      <c r="AK550" s="102">
        <f t="shared" si="430"/>
        <v>0</v>
      </c>
      <c r="AL550" s="102">
        <f t="shared" si="431"/>
        <v>0</v>
      </c>
      <c r="AM550" s="102">
        <f t="shared" si="432"/>
        <v>0</v>
      </c>
      <c r="AS550" s="530">
        <v>549</v>
      </c>
      <c r="AT550" s="531">
        <f t="shared" ca="1" si="402"/>
        <v>62877</v>
      </c>
      <c r="AU550" s="532">
        <f ca="1">IF(AU549=0,SUMIFS('Key Life Events'!$L$3:$L$28,'Key Life Events'!$H$3:$H$28,'Loan Amortization'!$AY$3,'Key Life Events'!$N$3:$N$28,'Loan Amortization'!AT550),AU549-AX549)</f>
        <v>0</v>
      </c>
      <c r="AV550" s="532">
        <f t="shared" ca="1" si="403"/>
        <v>0</v>
      </c>
      <c r="AW550" s="532">
        <f t="shared" ca="1" si="392"/>
        <v>0</v>
      </c>
      <c r="AX550" s="532">
        <f t="shared" ca="1" si="393"/>
        <v>0</v>
      </c>
      <c r="BC550" s="536">
        <f t="shared" ca="1" si="394"/>
        <v>2072</v>
      </c>
      <c r="BF550" s="530">
        <v>549</v>
      </c>
      <c r="BG550" s="531">
        <f t="shared" ca="1" si="404"/>
        <v>62877</v>
      </c>
      <c r="BH550" s="532">
        <f ca="1">IF(BH549=0,SUMIFS('Key Life Events'!$L$3:$L$28,'Key Life Events'!$H$3:$H$28,'Loan Amortization'!$BL$3,'Key Life Events'!$N$3:$N$28,'Loan Amortization'!BG550),BH549-BK549)</f>
        <v>0</v>
      </c>
      <c r="BI550" s="532">
        <f t="shared" ca="1" si="405"/>
        <v>0</v>
      </c>
      <c r="BJ550" s="532">
        <f t="shared" ca="1" si="406"/>
        <v>0</v>
      </c>
      <c r="BK550" s="532">
        <f t="shared" ca="1" si="395"/>
        <v>0</v>
      </c>
      <c r="BP550" s="536">
        <f t="shared" ca="1" si="396"/>
        <v>2072</v>
      </c>
      <c r="BS550" s="530">
        <v>549</v>
      </c>
      <c r="BT550" s="531">
        <f t="shared" ca="1" si="407"/>
        <v>62877</v>
      </c>
      <c r="BU550" s="532">
        <f ca="1">IF(BU549=0,SUMIFS('Key Life Events'!$L$3:$L$28,'Key Life Events'!$H$3:$H$28,'Loan Amortization'!$BY$3,'Key Life Events'!$N$3:$N$28,'Loan Amortization'!BT550),BU549-BX549)</f>
        <v>0</v>
      </c>
      <c r="BV550" s="532">
        <f t="shared" ca="1" si="412"/>
        <v>0</v>
      </c>
      <c r="BW550" s="532">
        <f t="shared" ca="1" si="408"/>
        <v>0</v>
      </c>
      <c r="BX550" s="532">
        <f t="shared" ca="1" si="397"/>
        <v>0</v>
      </c>
      <c r="CC550" s="536">
        <f t="shared" ca="1" si="398"/>
        <v>2072</v>
      </c>
      <c r="CF550" s="530">
        <v>549</v>
      </c>
      <c r="CG550" s="531">
        <f t="shared" ca="1" si="409"/>
        <v>62877</v>
      </c>
      <c r="CH550" s="532">
        <f ca="1">IF(CH549=0,SUMIFS('Key Life Events'!$L$3:$L$28,'Key Life Events'!$H$3:$H$28,'Loan Amortization'!$CL$3,'Key Life Events'!$N$3:$N$28,'Loan Amortization'!CG550),CH549-CK549)</f>
        <v>0</v>
      </c>
      <c r="CI550" s="532">
        <f t="shared" ca="1" si="410"/>
        <v>0</v>
      </c>
      <c r="CJ550" s="532">
        <f t="shared" ca="1" si="411"/>
        <v>0</v>
      </c>
      <c r="CK550" s="532">
        <f t="shared" ca="1" si="399"/>
        <v>0</v>
      </c>
      <c r="CP550" s="536">
        <f t="shared" ca="1" si="400"/>
        <v>2072</v>
      </c>
      <c r="CS550" s="100">
        <f t="shared" si="389"/>
        <v>549</v>
      </c>
      <c r="CT550" s="102">
        <f t="shared" ca="1" si="390"/>
        <v>0</v>
      </c>
      <c r="CU550" s="102">
        <f t="shared" ca="1" si="391"/>
        <v>0</v>
      </c>
      <c r="CV550" s="511">
        <f t="shared" ca="1" si="401"/>
        <v>2072</v>
      </c>
    </row>
    <row r="551" spans="1:100" x14ac:dyDescent="0.3">
      <c r="A551" s="100">
        <v>550</v>
      </c>
      <c r="B551" s="131">
        <f t="shared" si="413"/>
        <v>15885</v>
      </c>
      <c r="C551" s="102">
        <f t="shared" si="414"/>
        <v>0</v>
      </c>
      <c r="D551" s="102">
        <f t="shared" si="415"/>
        <v>0</v>
      </c>
      <c r="E551" s="102">
        <f t="shared" si="416"/>
        <v>0</v>
      </c>
      <c r="F551" s="102">
        <f t="shared" si="417"/>
        <v>0</v>
      </c>
      <c r="L551" s="100">
        <v>550</v>
      </c>
      <c r="M551" s="131">
        <f t="shared" ca="1" si="418"/>
        <v>62906</v>
      </c>
      <c r="N551" s="102">
        <f t="shared" si="419"/>
        <v>0</v>
      </c>
      <c r="O551" s="102">
        <f t="shared" si="420"/>
        <v>0</v>
      </c>
      <c r="P551" s="102">
        <f t="shared" si="421"/>
        <v>0</v>
      </c>
      <c r="Q551" s="102">
        <f t="shared" si="422"/>
        <v>0</v>
      </c>
      <c r="W551" s="100">
        <v>550</v>
      </c>
      <c r="X551" s="131">
        <f t="shared" ca="1" si="423"/>
        <v>62906</v>
      </c>
      <c r="Y551" s="102">
        <f t="shared" si="424"/>
        <v>0</v>
      </c>
      <c r="Z551" s="102">
        <f t="shared" si="425"/>
        <v>0</v>
      </c>
      <c r="AA551" s="102">
        <f t="shared" si="426"/>
        <v>0</v>
      </c>
      <c r="AB551" s="102">
        <f t="shared" si="427"/>
        <v>0</v>
      </c>
      <c r="AH551" s="100">
        <v>550</v>
      </c>
      <c r="AI551" s="131">
        <f t="shared" ca="1" si="428"/>
        <v>62906</v>
      </c>
      <c r="AJ551" s="102">
        <f t="shared" si="429"/>
        <v>0</v>
      </c>
      <c r="AK551" s="102">
        <f t="shared" si="430"/>
        <v>0</v>
      </c>
      <c r="AL551" s="102">
        <f t="shared" si="431"/>
        <v>0</v>
      </c>
      <c r="AM551" s="102">
        <f t="shared" si="432"/>
        <v>0</v>
      </c>
      <c r="AS551" s="530">
        <v>550</v>
      </c>
      <c r="AT551" s="531">
        <f t="shared" ca="1" si="402"/>
        <v>62906</v>
      </c>
      <c r="AU551" s="532">
        <f ca="1">IF(AU550=0,SUMIFS('Key Life Events'!$L$3:$L$28,'Key Life Events'!$H$3:$H$28,'Loan Amortization'!$AY$3,'Key Life Events'!$N$3:$N$28,'Loan Amortization'!AT551),AU550-AX550)</f>
        <v>0</v>
      </c>
      <c r="AV551" s="532">
        <f t="shared" ca="1" si="403"/>
        <v>0</v>
      </c>
      <c r="AW551" s="532">
        <f t="shared" ca="1" si="392"/>
        <v>0</v>
      </c>
      <c r="AX551" s="532">
        <f t="shared" ca="1" si="393"/>
        <v>0</v>
      </c>
      <c r="BC551" s="536">
        <f t="shared" ca="1" si="394"/>
        <v>2072</v>
      </c>
      <c r="BF551" s="530">
        <v>550</v>
      </c>
      <c r="BG551" s="531">
        <f t="shared" ca="1" si="404"/>
        <v>62906</v>
      </c>
      <c r="BH551" s="532">
        <f ca="1">IF(BH550=0,SUMIFS('Key Life Events'!$L$3:$L$28,'Key Life Events'!$H$3:$H$28,'Loan Amortization'!$BL$3,'Key Life Events'!$N$3:$N$28,'Loan Amortization'!BG551),BH550-BK550)</f>
        <v>0</v>
      </c>
      <c r="BI551" s="532">
        <f t="shared" ca="1" si="405"/>
        <v>0</v>
      </c>
      <c r="BJ551" s="532">
        <f t="shared" ca="1" si="406"/>
        <v>0</v>
      </c>
      <c r="BK551" s="532">
        <f t="shared" ca="1" si="395"/>
        <v>0</v>
      </c>
      <c r="BP551" s="536">
        <f t="shared" ca="1" si="396"/>
        <v>2072</v>
      </c>
      <c r="BS551" s="530">
        <v>550</v>
      </c>
      <c r="BT551" s="531">
        <f t="shared" ca="1" si="407"/>
        <v>62906</v>
      </c>
      <c r="BU551" s="532">
        <f ca="1">IF(BU550=0,SUMIFS('Key Life Events'!$L$3:$L$28,'Key Life Events'!$H$3:$H$28,'Loan Amortization'!$BY$3,'Key Life Events'!$N$3:$N$28,'Loan Amortization'!BT551),BU550-BX550)</f>
        <v>0</v>
      </c>
      <c r="BV551" s="532">
        <f t="shared" ca="1" si="412"/>
        <v>0</v>
      </c>
      <c r="BW551" s="532">
        <f t="shared" ca="1" si="408"/>
        <v>0</v>
      </c>
      <c r="BX551" s="532">
        <f t="shared" ca="1" si="397"/>
        <v>0</v>
      </c>
      <c r="CC551" s="536">
        <f t="shared" ca="1" si="398"/>
        <v>2072</v>
      </c>
      <c r="CF551" s="530">
        <v>550</v>
      </c>
      <c r="CG551" s="531">
        <f t="shared" ca="1" si="409"/>
        <v>62906</v>
      </c>
      <c r="CH551" s="532">
        <f ca="1">IF(CH550=0,SUMIFS('Key Life Events'!$L$3:$L$28,'Key Life Events'!$H$3:$H$28,'Loan Amortization'!$CL$3,'Key Life Events'!$N$3:$N$28,'Loan Amortization'!CG551),CH550-CK550)</f>
        <v>0</v>
      </c>
      <c r="CI551" s="532">
        <f t="shared" ca="1" si="410"/>
        <v>0</v>
      </c>
      <c r="CJ551" s="532">
        <f t="shared" ca="1" si="411"/>
        <v>0</v>
      </c>
      <c r="CK551" s="532">
        <f t="shared" ca="1" si="399"/>
        <v>0</v>
      </c>
      <c r="CP551" s="536">
        <f t="shared" ca="1" si="400"/>
        <v>2072</v>
      </c>
      <c r="CS551" s="100">
        <f t="shared" si="389"/>
        <v>550</v>
      </c>
      <c r="CT551" s="102">
        <f t="shared" ca="1" si="390"/>
        <v>0</v>
      </c>
      <c r="CU551" s="102">
        <f t="shared" ca="1" si="391"/>
        <v>0</v>
      </c>
      <c r="CV551" s="511">
        <f t="shared" ca="1" si="401"/>
        <v>2072</v>
      </c>
    </row>
    <row r="552" spans="1:100" x14ac:dyDescent="0.3">
      <c r="A552" s="100">
        <v>551</v>
      </c>
      <c r="B552" s="131">
        <f t="shared" si="413"/>
        <v>15915</v>
      </c>
      <c r="C552" s="102">
        <f t="shared" si="414"/>
        <v>0</v>
      </c>
      <c r="D552" s="102">
        <f t="shared" si="415"/>
        <v>0</v>
      </c>
      <c r="E552" s="102">
        <f t="shared" si="416"/>
        <v>0</v>
      </c>
      <c r="F552" s="102">
        <f t="shared" si="417"/>
        <v>0</v>
      </c>
      <c r="L552" s="100">
        <v>551</v>
      </c>
      <c r="M552" s="131">
        <f t="shared" ca="1" si="418"/>
        <v>62937</v>
      </c>
      <c r="N552" s="102">
        <f t="shared" si="419"/>
        <v>0</v>
      </c>
      <c r="O552" s="102">
        <f t="shared" si="420"/>
        <v>0</v>
      </c>
      <c r="P552" s="102">
        <f t="shared" si="421"/>
        <v>0</v>
      </c>
      <c r="Q552" s="102">
        <f t="shared" si="422"/>
        <v>0</v>
      </c>
      <c r="W552" s="100">
        <v>551</v>
      </c>
      <c r="X552" s="131">
        <f t="shared" ca="1" si="423"/>
        <v>62937</v>
      </c>
      <c r="Y552" s="102">
        <f t="shared" si="424"/>
        <v>0</v>
      </c>
      <c r="Z552" s="102">
        <f t="shared" si="425"/>
        <v>0</v>
      </c>
      <c r="AA552" s="102">
        <f t="shared" si="426"/>
        <v>0</v>
      </c>
      <c r="AB552" s="102">
        <f t="shared" si="427"/>
        <v>0</v>
      </c>
      <c r="AH552" s="100">
        <v>551</v>
      </c>
      <c r="AI552" s="131">
        <f t="shared" ca="1" si="428"/>
        <v>62937</v>
      </c>
      <c r="AJ552" s="102">
        <f t="shared" si="429"/>
        <v>0</v>
      </c>
      <c r="AK552" s="102">
        <f t="shared" si="430"/>
        <v>0</v>
      </c>
      <c r="AL552" s="102">
        <f t="shared" si="431"/>
        <v>0</v>
      </c>
      <c r="AM552" s="102">
        <f t="shared" si="432"/>
        <v>0</v>
      </c>
      <c r="AS552" s="530">
        <v>551</v>
      </c>
      <c r="AT552" s="531">
        <f t="shared" ca="1" si="402"/>
        <v>62937</v>
      </c>
      <c r="AU552" s="532">
        <f ca="1">IF(AU551=0,SUMIFS('Key Life Events'!$L$3:$L$28,'Key Life Events'!$H$3:$H$28,'Loan Amortization'!$AY$3,'Key Life Events'!$N$3:$N$28,'Loan Amortization'!AT552),AU551-AX551)</f>
        <v>0</v>
      </c>
      <c r="AV552" s="532">
        <f t="shared" ca="1" si="403"/>
        <v>0</v>
      </c>
      <c r="AW552" s="532">
        <f t="shared" ca="1" si="392"/>
        <v>0</v>
      </c>
      <c r="AX552" s="532">
        <f t="shared" ca="1" si="393"/>
        <v>0</v>
      </c>
      <c r="BC552" s="536">
        <f t="shared" ca="1" si="394"/>
        <v>2072</v>
      </c>
      <c r="BF552" s="530">
        <v>551</v>
      </c>
      <c r="BG552" s="531">
        <f t="shared" ca="1" si="404"/>
        <v>62937</v>
      </c>
      <c r="BH552" s="532">
        <f ca="1">IF(BH551=0,SUMIFS('Key Life Events'!$L$3:$L$28,'Key Life Events'!$H$3:$H$28,'Loan Amortization'!$BL$3,'Key Life Events'!$N$3:$N$28,'Loan Amortization'!BG552),BH551-BK551)</f>
        <v>0</v>
      </c>
      <c r="BI552" s="532">
        <f t="shared" ca="1" si="405"/>
        <v>0</v>
      </c>
      <c r="BJ552" s="532">
        <f t="shared" ca="1" si="406"/>
        <v>0</v>
      </c>
      <c r="BK552" s="532">
        <f t="shared" ca="1" si="395"/>
        <v>0</v>
      </c>
      <c r="BP552" s="536">
        <f t="shared" ca="1" si="396"/>
        <v>2072</v>
      </c>
      <c r="BS552" s="530">
        <v>551</v>
      </c>
      <c r="BT552" s="531">
        <f t="shared" ca="1" si="407"/>
        <v>62937</v>
      </c>
      <c r="BU552" s="532">
        <f ca="1">IF(BU551=0,SUMIFS('Key Life Events'!$L$3:$L$28,'Key Life Events'!$H$3:$H$28,'Loan Amortization'!$BY$3,'Key Life Events'!$N$3:$N$28,'Loan Amortization'!BT552),BU551-BX551)</f>
        <v>0</v>
      </c>
      <c r="BV552" s="532">
        <f t="shared" ca="1" si="412"/>
        <v>0</v>
      </c>
      <c r="BW552" s="532">
        <f t="shared" ca="1" si="408"/>
        <v>0</v>
      </c>
      <c r="BX552" s="532">
        <f t="shared" ca="1" si="397"/>
        <v>0</v>
      </c>
      <c r="CC552" s="536">
        <f t="shared" ca="1" si="398"/>
        <v>2072</v>
      </c>
      <c r="CF552" s="530">
        <v>551</v>
      </c>
      <c r="CG552" s="531">
        <f t="shared" ca="1" si="409"/>
        <v>62937</v>
      </c>
      <c r="CH552" s="532">
        <f ca="1">IF(CH551=0,SUMIFS('Key Life Events'!$L$3:$L$28,'Key Life Events'!$H$3:$H$28,'Loan Amortization'!$CL$3,'Key Life Events'!$N$3:$N$28,'Loan Amortization'!CG552),CH551-CK551)</f>
        <v>0</v>
      </c>
      <c r="CI552" s="532">
        <f t="shared" ca="1" si="410"/>
        <v>0</v>
      </c>
      <c r="CJ552" s="532">
        <f t="shared" ca="1" si="411"/>
        <v>0</v>
      </c>
      <c r="CK552" s="532">
        <f t="shared" ca="1" si="399"/>
        <v>0</v>
      </c>
      <c r="CP552" s="536">
        <f t="shared" ca="1" si="400"/>
        <v>2072</v>
      </c>
      <c r="CS552" s="100">
        <f t="shared" si="389"/>
        <v>551</v>
      </c>
      <c r="CT552" s="102">
        <f t="shared" ca="1" si="390"/>
        <v>0</v>
      </c>
      <c r="CU552" s="102">
        <f t="shared" ca="1" si="391"/>
        <v>0</v>
      </c>
      <c r="CV552" s="511">
        <f t="shared" ca="1" si="401"/>
        <v>2072</v>
      </c>
    </row>
    <row r="553" spans="1:100" x14ac:dyDescent="0.3">
      <c r="A553" s="100">
        <v>552</v>
      </c>
      <c r="B553" s="131">
        <f t="shared" si="413"/>
        <v>15946</v>
      </c>
      <c r="C553" s="102">
        <f t="shared" si="414"/>
        <v>0</v>
      </c>
      <c r="D553" s="102">
        <f t="shared" si="415"/>
        <v>0</v>
      </c>
      <c r="E553" s="102">
        <f t="shared" si="416"/>
        <v>0</v>
      </c>
      <c r="F553" s="102">
        <f t="shared" si="417"/>
        <v>0</v>
      </c>
      <c r="L553" s="100">
        <v>552</v>
      </c>
      <c r="M553" s="131">
        <f t="shared" ca="1" si="418"/>
        <v>62967</v>
      </c>
      <c r="N553" s="102">
        <f t="shared" si="419"/>
        <v>0</v>
      </c>
      <c r="O553" s="102">
        <f t="shared" si="420"/>
        <v>0</v>
      </c>
      <c r="P553" s="102">
        <f t="shared" si="421"/>
        <v>0</v>
      </c>
      <c r="Q553" s="102">
        <f t="shared" si="422"/>
        <v>0</v>
      </c>
      <c r="W553" s="100">
        <v>552</v>
      </c>
      <c r="X553" s="131">
        <f t="shared" ca="1" si="423"/>
        <v>62967</v>
      </c>
      <c r="Y553" s="102">
        <f t="shared" si="424"/>
        <v>0</v>
      </c>
      <c r="Z553" s="102">
        <f t="shared" si="425"/>
        <v>0</v>
      </c>
      <c r="AA553" s="102">
        <f t="shared" si="426"/>
        <v>0</v>
      </c>
      <c r="AB553" s="102">
        <f t="shared" si="427"/>
        <v>0</v>
      </c>
      <c r="AH553" s="100">
        <v>552</v>
      </c>
      <c r="AI553" s="131">
        <f t="shared" ca="1" si="428"/>
        <v>62967</v>
      </c>
      <c r="AJ553" s="102">
        <f t="shared" si="429"/>
        <v>0</v>
      </c>
      <c r="AK553" s="102">
        <f t="shared" si="430"/>
        <v>0</v>
      </c>
      <c r="AL553" s="102">
        <f t="shared" si="431"/>
        <v>0</v>
      </c>
      <c r="AM553" s="102">
        <f t="shared" si="432"/>
        <v>0</v>
      </c>
      <c r="AS553" s="530">
        <v>552</v>
      </c>
      <c r="AT553" s="531">
        <f t="shared" ca="1" si="402"/>
        <v>62967</v>
      </c>
      <c r="AU553" s="532">
        <f ca="1">IF(AU552=0,SUMIFS('Key Life Events'!$L$3:$L$28,'Key Life Events'!$H$3:$H$28,'Loan Amortization'!$AY$3,'Key Life Events'!$N$3:$N$28,'Loan Amortization'!AT553),AU552-AX552)</f>
        <v>0</v>
      </c>
      <c r="AV553" s="532">
        <f t="shared" ca="1" si="403"/>
        <v>0</v>
      </c>
      <c r="AW553" s="532">
        <f t="shared" ca="1" si="392"/>
        <v>0</v>
      </c>
      <c r="AX553" s="532">
        <f t="shared" ca="1" si="393"/>
        <v>0</v>
      </c>
      <c r="BC553" s="536">
        <f t="shared" ca="1" si="394"/>
        <v>2072</v>
      </c>
      <c r="BF553" s="530">
        <v>552</v>
      </c>
      <c r="BG553" s="531">
        <f t="shared" ca="1" si="404"/>
        <v>62967</v>
      </c>
      <c r="BH553" s="532">
        <f ca="1">IF(BH552=0,SUMIFS('Key Life Events'!$L$3:$L$28,'Key Life Events'!$H$3:$H$28,'Loan Amortization'!$BL$3,'Key Life Events'!$N$3:$N$28,'Loan Amortization'!BG553),BH552-BK552)</f>
        <v>0</v>
      </c>
      <c r="BI553" s="532">
        <f t="shared" ca="1" si="405"/>
        <v>0</v>
      </c>
      <c r="BJ553" s="532">
        <f t="shared" ca="1" si="406"/>
        <v>0</v>
      </c>
      <c r="BK553" s="532">
        <f t="shared" ca="1" si="395"/>
        <v>0</v>
      </c>
      <c r="BP553" s="536">
        <f t="shared" ca="1" si="396"/>
        <v>2072</v>
      </c>
      <c r="BS553" s="530">
        <v>552</v>
      </c>
      <c r="BT553" s="531">
        <f t="shared" ca="1" si="407"/>
        <v>62967</v>
      </c>
      <c r="BU553" s="532">
        <f ca="1">IF(BU552=0,SUMIFS('Key Life Events'!$L$3:$L$28,'Key Life Events'!$H$3:$H$28,'Loan Amortization'!$BY$3,'Key Life Events'!$N$3:$N$28,'Loan Amortization'!BT553),BU552-BX552)</f>
        <v>0</v>
      </c>
      <c r="BV553" s="532">
        <f t="shared" ca="1" si="412"/>
        <v>0</v>
      </c>
      <c r="BW553" s="532">
        <f t="shared" ca="1" si="408"/>
        <v>0</v>
      </c>
      <c r="BX553" s="532">
        <f t="shared" ca="1" si="397"/>
        <v>0</v>
      </c>
      <c r="CC553" s="536">
        <f t="shared" ca="1" si="398"/>
        <v>2072</v>
      </c>
      <c r="CF553" s="530">
        <v>552</v>
      </c>
      <c r="CG553" s="531">
        <f t="shared" ca="1" si="409"/>
        <v>62967</v>
      </c>
      <c r="CH553" s="532">
        <f ca="1">IF(CH552=0,SUMIFS('Key Life Events'!$L$3:$L$28,'Key Life Events'!$H$3:$H$28,'Loan Amortization'!$CL$3,'Key Life Events'!$N$3:$N$28,'Loan Amortization'!CG553),CH552-CK552)</f>
        <v>0</v>
      </c>
      <c r="CI553" s="532">
        <f t="shared" ca="1" si="410"/>
        <v>0</v>
      </c>
      <c r="CJ553" s="532">
        <f t="shared" ca="1" si="411"/>
        <v>0</v>
      </c>
      <c r="CK553" s="532">
        <f t="shared" ca="1" si="399"/>
        <v>0</v>
      </c>
      <c r="CP553" s="536">
        <f t="shared" ca="1" si="400"/>
        <v>2072</v>
      </c>
      <c r="CS553" s="100">
        <f t="shared" si="389"/>
        <v>552</v>
      </c>
      <c r="CT553" s="102">
        <f t="shared" ca="1" si="390"/>
        <v>0</v>
      </c>
      <c r="CU553" s="102">
        <f t="shared" ca="1" si="391"/>
        <v>0</v>
      </c>
      <c r="CV553" s="511">
        <f t="shared" ca="1" si="401"/>
        <v>2072</v>
      </c>
    </row>
    <row r="554" spans="1:100" x14ac:dyDescent="0.3">
      <c r="A554" s="100">
        <v>553</v>
      </c>
      <c r="B554" s="131">
        <f t="shared" si="413"/>
        <v>15977</v>
      </c>
      <c r="C554" s="102">
        <f t="shared" si="414"/>
        <v>0</v>
      </c>
      <c r="D554" s="102">
        <f t="shared" si="415"/>
        <v>0</v>
      </c>
      <c r="E554" s="102">
        <f t="shared" si="416"/>
        <v>0</v>
      </c>
      <c r="F554" s="102">
        <f t="shared" si="417"/>
        <v>0</v>
      </c>
      <c r="L554" s="100">
        <v>553</v>
      </c>
      <c r="M554" s="131">
        <f t="shared" ca="1" si="418"/>
        <v>62998</v>
      </c>
      <c r="N554" s="102">
        <f t="shared" si="419"/>
        <v>0</v>
      </c>
      <c r="O554" s="102">
        <f t="shared" si="420"/>
        <v>0</v>
      </c>
      <c r="P554" s="102">
        <f t="shared" si="421"/>
        <v>0</v>
      </c>
      <c r="Q554" s="102">
        <f t="shared" si="422"/>
        <v>0</v>
      </c>
      <c r="W554" s="100">
        <v>553</v>
      </c>
      <c r="X554" s="131">
        <f t="shared" ca="1" si="423"/>
        <v>62998</v>
      </c>
      <c r="Y554" s="102">
        <f t="shared" si="424"/>
        <v>0</v>
      </c>
      <c r="Z554" s="102">
        <f t="shared" si="425"/>
        <v>0</v>
      </c>
      <c r="AA554" s="102">
        <f t="shared" si="426"/>
        <v>0</v>
      </c>
      <c r="AB554" s="102">
        <f t="shared" si="427"/>
        <v>0</v>
      </c>
      <c r="AH554" s="100">
        <v>553</v>
      </c>
      <c r="AI554" s="131">
        <f t="shared" ca="1" si="428"/>
        <v>62998</v>
      </c>
      <c r="AJ554" s="102">
        <f t="shared" si="429"/>
        <v>0</v>
      </c>
      <c r="AK554" s="102">
        <f t="shared" si="430"/>
        <v>0</v>
      </c>
      <c r="AL554" s="102">
        <f t="shared" si="431"/>
        <v>0</v>
      </c>
      <c r="AM554" s="102">
        <f t="shared" si="432"/>
        <v>0</v>
      </c>
      <c r="AS554" s="530">
        <v>553</v>
      </c>
      <c r="AT554" s="531">
        <f t="shared" ca="1" si="402"/>
        <v>62998</v>
      </c>
      <c r="AU554" s="532">
        <f ca="1">IF(AU553=0,SUMIFS('Key Life Events'!$L$3:$L$28,'Key Life Events'!$H$3:$H$28,'Loan Amortization'!$AY$3,'Key Life Events'!$N$3:$N$28,'Loan Amortization'!AT554),AU553-AX553)</f>
        <v>0</v>
      </c>
      <c r="AV554" s="532">
        <f t="shared" ca="1" si="403"/>
        <v>0</v>
      </c>
      <c r="AW554" s="532">
        <f t="shared" ca="1" si="392"/>
        <v>0</v>
      </c>
      <c r="AX554" s="532">
        <f t="shared" ca="1" si="393"/>
        <v>0</v>
      </c>
      <c r="BC554" s="536">
        <f t="shared" ca="1" si="394"/>
        <v>2072</v>
      </c>
      <c r="BF554" s="530">
        <v>553</v>
      </c>
      <c r="BG554" s="531">
        <f t="shared" ca="1" si="404"/>
        <v>62998</v>
      </c>
      <c r="BH554" s="532">
        <f ca="1">IF(BH553=0,SUMIFS('Key Life Events'!$L$3:$L$28,'Key Life Events'!$H$3:$H$28,'Loan Amortization'!$BL$3,'Key Life Events'!$N$3:$N$28,'Loan Amortization'!BG554),BH553-BK553)</f>
        <v>0</v>
      </c>
      <c r="BI554" s="532">
        <f t="shared" ca="1" si="405"/>
        <v>0</v>
      </c>
      <c r="BJ554" s="532">
        <f t="shared" ca="1" si="406"/>
        <v>0</v>
      </c>
      <c r="BK554" s="532">
        <f t="shared" ca="1" si="395"/>
        <v>0</v>
      </c>
      <c r="BP554" s="536">
        <f t="shared" ca="1" si="396"/>
        <v>2072</v>
      </c>
      <c r="BS554" s="530">
        <v>553</v>
      </c>
      <c r="BT554" s="531">
        <f t="shared" ca="1" si="407"/>
        <v>62998</v>
      </c>
      <c r="BU554" s="532">
        <f ca="1">IF(BU553=0,SUMIFS('Key Life Events'!$L$3:$L$28,'Key Life Events'!$H$3:$H$28,'Loan Amortization'!$BY$3,'Key Life Events'!$N$3:$N$28,'Loan Amortization'!BT554),BU553-BX553)</f>
        <v>0</v>
      </c>
      <c r="BV554" s="532">
        <f t="shared" ca="1" si="412"/>
        <v>0</v>
      </c>
      <c r="BW554" s="532">
        <f t="shared" ca="1" si="408"/>
        <v>0</v>
      </c>
      <c r="BX554" s="532">
        <f t="shared" ca="1" si="397"/>
        <v>0</v>
      </c>
      <c r="CC554" s="536">
        <f t="shared" ca="1" si="398"/>
        <v>2072</v>
      </c>
      <c r="CF554" s="530">
        <v>553</v>
      </c>
      <c r="CG554" s="531">
        <f t="shared" ca="1" si="409"/>
        <v>62998</v>
      </c>
      <c r="CH554" s="532">
        <f ca="1">IF(CH553=0,SUMIFS('Key Life Events'!$L$3:$L$28,'Key Life Events'!$H$3:$H$28,'Loan Amortization'!$CL$3,'Key Life Events'!$N$3:$N$28,'Loan Amortization'!CG554),CH553-CK553)</f>
        <v>0</v>
      </c>
      <c r="CI554" s="532">
        <f t="shared" ca="1" si="410"/>
        <v>0</v>
      </c>
      <c r="CJ554" s="532">
        <f t="shared" ca="1" si="411"/>
        <v>0</v>
      </c>
      <c r="CK554" s="532">
        <f t="shared" ca="1" si="399"/>
        <v>0</v>
      </c>
      <c r="CP554" s="536">
        <f t="shared" ca="1" si="400"/>
        <v>2072</v>
      </c>
      <c r="CS554" s="100">
        <f t="shared" si="389"/>
        <v>553</v>
      </c>
      <c r="CT554" s="102">
        <f t="shared" ca="1" si="390"/>
        <v>0</v>
      </c>
      <c r="CU554" s="102">
        <f t="shared" ca="1" si="391"/>
        <v>0</v>
      </c>
      <c r="CV554" s="511">
        <f t="shared" ca="1" si="401"/>
        <v>2072</v>
      </c>
    </row>
    <row r="555" spans="1:100" x14ac:dyDescent="0.3">
      <c r="A555" s="100">
        <v>554</v>
      </c>
      <c r="B555" s="131">
        <f t="shared" si="413"/>
        <v>16007</v>
      </c>
      <c r="C555" s="102">
        <f t="shared" si="414"/>
        <v>0</v>
      </c>
      <c r="D555" s="102">
        <f t="shared" si="415"/>
        <v>0</v>
      </c>
      <c r="E555" s="102">
        <f t="shared" si="416"/>
        <v>0</v>
      </c>
      <c r="F555" s="102">
        <f t="shared" si="417"/>
        <v>0</v>
      </c>
      <c r="L555" s="100">
        <v>554</v>
      </c>
      <c r="M555" s="131">
        <f t="shared" ca="1" si="418"/>
        <v>63028</v>
      </c>
      <c r="N555" s="102">
        <f t="shared" si="419"/>
        <v>0</v>
      </c>
      <c r="O555" s="102">
        <f t="shared" si="420"/>
        <v>0</v>
      </c>
      <c r="P555" s="102">
        <f t="shared" si="421"/>
        <v>0</v>
      </c>
      <c r="Q555" s="102">
        <f t="shared" si="422"/>
        <v>0</v>
      </c>
      <c r="W555" s="100">
        <v>554</v>
      </c>
      <c r="X555" s="131">
        <f t="shared" ca="1" si="423"/>
        <v>63028</v>
      </c>
      <c r="Y555" s="102">
        <f t="shared" si="424"/>
        <v>0</v>
      </c>
      <c r="Z555" s="102">
        <f t="shared" si="425"/>
        <v>0</v>
      </c>
      <c r="AA555" s="102">
        <f t="shared" si="426"/>
        <v>0</v>
      </c>
      <c r="AB555" s="102">
        <f t="shared" si="427"/>
        <v>0</v>
      </c>
      <c r="AH555" s="100">
        <v>554</v>
      </c>
      <c r="AI555" s="131">
        <f t="shared" ca="1" si="428"/>
        <v>63028</v>
      </c>
      <c r="AJ555" s="102">
        <f t="shared" si="429"/>
        <v>0</v>
      </c>
      <c r="AK555" s="102">
        <f t="shared" si="430"/>
        <v>0</v>
      </c>
      <c r="AL555" s="102">
        <f t="shared" si="431"/>
        <v>0</v>
      </c>
      <c r="AM555" s="102">
        <f t="shared" si="432"/>
        <v>0</v>
      </c>
      <c r="AS555" s="530">
        <v>554</v>
      </c>
      <c r="AT555" s="531">
        <f t="shared" ca="1" si="402"/>
        <v>63028</v>
      </c>
      <c r="AU555" s="532">
        <f ca="1">IF(AU554=0,SUMIFS('Key Life Events'!$L$3:$L$28,'Key Life Events'!$H$3:$H$28,'Loan Amortization'!$AY$3,'Key Life Events'!$N$3:$N$28,'Loan Amortization'!AT555),AU554-AX554)</f>
        <v>0</v>
      </c>
      <c r="AV555" s="532">
        <f t="shared" ca="1" si="403"/>
        <v>0</v>
      </c>
      <c r="AW555" s="532">
        <f t="shared" ca="1" si="392"/>
        <v>0</v>
      </c>
      <c r="AX555" s="532">
        <f t="shared" ca="1" si="393"/>
        <v>0</v>
      </c>
      <c r="BC555" s="536">
        <f t="shared" ca="1" si="394"/>
        <v>2072</v>
      </c>
      <c r="BF555" s="530">
        <v>554</v>
      </c>
      <c r="BG555" s="531">
        <f t="shared" ca="1" si="404"/>
        <v>63028</v>
      </c>
      <c r="BH555" s="532">
        <f ca="1">IF(BH554=0,SUMIFS('Key Life Events'!$L$3:$L$28,'Key Life Events'!$H$3:$H$28,'Loan Amortization'!$BL$3,'Key Life Events'!$N$3:$N$28,'Loan Amortization'!BG555),BH554-BK554)</f>
        <v>0</v>
      </c>
      <c r="BI555" s="532">
        <f t="shared" ca="1" si="405"/>
        <v>0</v>
      </c>
      <c r="BJ555" s="532">
        <f t="shared" ca="1" si="406"/>
        <v>0</v>
      </c>
      <c r="BK555" s="532">
        <f t="shared" ca="1" si="395"/>
        <v>0</v>
      </c>
      <c r="BP555" s="536">
        <f t="shared" ca="1" si="396"/>
        <v>2072</v>
      </c>
      <c r="BS555" s="530">
        <v>554</v>
      </c>
      <c r="BT555" s="531">
        <f t="shared" ca="1" si="407"/>
        <v>63028</v>
      </c>
      <c r="BU555" s="532">
        <f ca="1">IF(BU554=0,SUMIFS('Key Life Events'!$L$3:$L$28,'Key Life Events'!$H$3:$H$28,'Loan Amortization'!$BY$3,'Key Life Events'!$N$3:$N$28,'Loan Amortization'!BT555),BU554-BX554)</f>
        <v>0</v>
      </c>
      <c r="BV555" s="532">
        <f t="shared" ca="1" si="412"/>
        <v>0</v>
      </c>
      <c r="BW555" s="532">
        <f t="shared" ca="1" si="408"/>
        <v>0</v>
      </c>
      <c r="BX555" s="532">
        <f t="shared" ca="1" si="397"/>
        <v>0</v>
      </c>
      <c r="CC555" s="536">
        <f t="shared" ca="1" si="398"/>
        <v>2072</v>
      </c>
      <c r="CF555" s="530">
        <v>554</v>
      </c>
      <c r="CG555" s="531">
        <f t="shared" ca="1" si="409"/>
        <v>63028</v>
      </c>
      <c r="CH555" s="532">
        <f ca="1">IF(CH554=0,SUMIFS('Key Life Events'!$L$3:$L$28,'Key Life Events'!$H$3:$H$28,'Loan Amortization'!$CL$3,'Key Life Events'!$N$3:$N$28,'Loan Amortization'!CG555),CH554-CK554)</f>
        <v>0</v>
      </c>
      <c r="CI555" s="532">
        <f t="shared" ca="1" si="410"/>
        <v>0</v>
      </c>
      <c r="CJ555" s="532">
        <f t="shared" ca="1" si="411"/>
        <v>0</v>
      </c>
      <c r="CK555" s="532">
        <f t="shared" ca="1" si="399"/>
        <v>0</v>
      </c>
      <c r="CP555" s="536">
        <f t="shared" ca="1" si="400"/>
        <v>2072</v>
      </c>
      <c r="CS555" s="100">
        <f t="shared" si="389"/>
        <v>554</v>
      </c>
      <c r="CT555" s="102">
        <f t="shared" ca="1" si="390"/>
        <v>0</v>
      </c>
      <c r="CU555" s="102">
        <f t="shared" ca="1" si="391"/>
        <v>0</v>
      </c>
      <c r="CV555" s="511">
        <f t="shared" ca="1" si="401"/>
        <v>2072</v>
      </c>
    </row>
    <row r="556" spans="1:100" x14ac:dyDescent="0.3">
      <c r="A556" s="100">
        <v>555</v>
      </c>
      <c r="B556" s="131">
        <f t="shared" si="413"/>
        <v>16038</v>
      </c>
      <c r="C556" s="102">
        <f t="shared" si="414"/>
        <v>0</v>
      </c>
      <c r="D556" s="102">
        <f t="shared" si="415"/>
        <v>0</v>
      </c>
      <c r="E556" s="102">
        <f t="shared" si="416"/>
        <v>0</v>
      </c>
      <c r="F556" s="102">
        <f t="shared" si="417"/>
        <v>0</v>
      </c>
      <c r="L556" s="100">
        <v>555</v>
      </c>
      <c r="M556" s="131">
        <f t="shared" ca="1" si="418"/>
        <v>63059</v>
      </c>
      <c r="N556" s="102">
        <f t="shared" si="419"/>
        <v>0</v>
      </c>
      <c r="O556" s="102">
        <f t="shared" si="420"/>
        <v>0</v>
      </c>
      <c r="P556" s="102">
        <f t="shared" si="421"/>
        <v>0</v>
      </c>
      <c r="Q556" s="102">
        <f t="shared" si="422"/>
        <v>0</v>
      </c>
      <c r="W556" s="100">
        <v>555</v>
      </c>
      <c r="X556" s="131">
        <f t="shared" ca="1" si="423"/>
        <v>63059</v>
      </c>
      <c r="Y556" s="102">
        <f t="shared" si="424"/>
        <v>0</v>
      </c>
      <c r="Z556" s="102">
        <f t="shared" si="425"/>
        <v>0</v>
      </c>
      <c r="AA556" s="102">
        <f t="shared" si="426"/>
        <v>0</v>
      </c>
      <c r="AB556" s="102">
        <f t="shared" si="427"/>
        <v>0</v>
      </c>
      <c r="AH556" s="100">
        <v>555</v>
      </c>
      <c r="AI556" s="131">
        <f t="shared" ca="1" si="428"/>
        <v>63059</v>
      </c>
      <c r="AJ556" s="102">
        <f t="shared" si="429"/>
        <v>0</v>
      </c>
      <c r="AK556" s="102">
        <f t="shared" si="430"/>
        <v>0</v>
      </c>
      <c r="AL556" s="102">
        <f t="shared" si="431"/>
        <v>0</v>
      </c>
      <c r="AM556" s="102">
        <f t="shared" si="432"/>
        <v>0</v>
      </c>
      <c r="AS556" s="530">
        <v>555</v>
      </c>
      <c r="AT556" s="531">
        <f t="shared" ca="1" si="402"/>
        <v>63059</v>
      </c>
      <c r="AU556" s="532">
        <f ca="1">IF(AU555=0,SUMIFS('Key Life Events'!$L$3:$L$28,'Key Life Events'!$H$3:$H$28,'Loan Amortization'!$AY$3,'Key Life Events'!$N$3:$N$28,'Loan Amortization'!AT556),AU555-AX555)</f>
        <v>0</v>
      </c>
      <c r="AV556" s="532">
        <f t="shared" ca="1" si="403"/>
        <v>0</v>
      </c>
      <c r="AW556" s="532">
        <f t="shared" ca="1" si="392"/>
        <v>0</v>
      </c>
      <c r="AX556" s="532">
        <f t="shared" ca="1" si="393"/>
        <v>0</v>
      </c>
      <c r="BC556" s="536">
        <f t="shared" ca="1" si="394"/>
        <v>2072</v>
      </c>
      <c r="BF556" s="530">
        <v>555</v>
      </c>
      <c r="BG556" s="531">
        <f t="shared" ca="1" si="404"/>
        <v>63059</v>
      </c>
      <c r="BH556" s="532">
        <f ca="1">IF(BH555=0,SUMIFS('Key Life Events'!$L$3:$L$28,'Key Life Events'!$H$3:$H$28,'Loan Amortization'!$BL$3,'Key Life Events'!$N$3:$N$28,'Loan Amortization'!BG556),BH555-BK555)</f>
        <v>0</v>
      </c>
      <c r="BI556" s="532">
        <f t="shared" ca="1" si="405"/>
        <v>0</v>
      </c>
      <c r="BJ556" s="532">
        <f t="shared" ca="1" si="406"/>
        <v>0</v>
      </c>
      <c r="BK556" s="532">
        <f t="shared" ca="1" si="395"/>
        <v>0</v>
      </c>
      <c r="BP556" s="536">
        <f t="shared" ca="1" si="396"/>
        <v>2072</v>
      </c>
      <c r="BS556" s="530">
        <v>555</v>
      </c>
      <c r="BT556" s="531">
        <f t="shared" ca="1" si="407"/>
        <v>63059</v>
      </c>
      <c r="BU556" s="532">
        <f ca="1">IF(BU555=0,SUMIFS('Key Life Events'!$L$3:$L$28,'Key Life Events'!$H$3:$H$28,'Loan Amortization'!$BY$3,'Key Life Events'!$N$3:$N$28,'Loan Amortization'!BT556),BU555-BX555)</f>
        <v>0</v>
      </c>
      <c r="BV556" s="532">
        <f t="shared" ca="1" si="412"/>
        <v>0</v>
      </c>
      <c r="BW556" s="532">
        <f t="shared" ca="1" si="408"/>
        <v>0</v>
      </c>
      <c r="BX556" s="532">
        <f t="shared" ca="1" si="397"/>
        <v>0</v>
      </c>
      <c r="CC556" s="536">
        <f t="shared" ca="1" si="398"/>
        <v>2072</v>
      </c>
      <c r="CF556" s="530">
        <v>555</v>
      </c>
      <c r="CG556" s="531">
        <f t="shared" ca="1" si="409"/>
        <v>63059</v>
      </c>
      <c r="CH556" s="532">
        <f ca="1">IF(CH555=0,SUMIFS('Key Life Events'!$L$3:$L$28,'Key Life Events'!$H$3:$H$28,'Loan Amortization'!$CL$3,'Key Life Events'!$N$3:$N$28,'Loan Amortization'!CG556),CH555-CK555)</f>
        <v>0</v>
      </c>
      <c r="CI556" s="532">
        <f t="shared" ca="1" si="410"/>
        <v>0</v>
      </c>
      <c r="CJ556" s="532">
        <f t="shared" ca="1" si="411"/>
        <v>0</v>
      </c>
      <c r="CK556" s="532">
        <f t="shared" ca="1" si="399"/>
        <v>0</v>
      </c>
      <c r="CP556" s="536">
        <f t="shared" ca="1" si="400"/>
        <v>2072</v>
      </c>
      <c r="CS556" s="100">
        <f t="shared" si="389"/>
        <v>555</v>
      </c>
      <c r="CT556" s="102">
        <f t="shared" ca="1" si="390"/>
        <v>0</v>
      </c>
      <c r="CU556" s="102">
        <f t="shared" ca="1" si="391"/>
        <v>0</v>
      </c>
      <c r="CV556" s="511">
        <f t="shared" ca="1" si="401"/>
        <v>2072</v>
      </c>
    </row>
    <row r="557" spans="1:100" x14ac:dyDescent="0.3">
      <c r="A557" s="100">
        <v>556</v>
      </c>
      <c r="B557" s="131">
        <f t="shared" si="413"/>
        <v>16068</v>
      </c>
      <c r="C557" s="102">
        <f t="shared" si="414"/>
        <v>0</v>
      </c>
      <c r="D557" s="102">
        <f t="shared" si="415"/>
        <v>0</v>
      </c>
      <c r="E557" s="102">
        <f t="shared" si="416"/>
        <v>0</v>
      </c>
      <c r="F557" s="102">
        <f t="shared" si="417"/>
        <v>0</v>
      </c>
      <c r="L557" s="100">
        <v>556</v>
      </c>
      <c r="M557" s="131">
        <f t="shared" ca="1" si="418"/>
        <v>63090</v>
      </c>
      <c r="N557" s="102">
        <f t="shared" si="419"/>
        <v>0</v>
      </c>
      <c r="O557" s="102">
        <f t="shared" si="420"/>
        <v>0</v>
      </c>
      <c r="P557" s="102">
        <f t="shared" si="421"/>
        <v>0</v>
      </c>
      <c r="Q557" s="102">
        <f t="shared" si="422"/>
        <v>0</v>
      </c>
      <c r="W557" s="100">
        <v>556</v>
      </c>
      <c r="X557" s="131">
        <f t="shared" ca="1" si="423"/>
        <v>63090</v>
      </c>
      <c r="Y557" s="102">
        <f t="shared" si="424"/>
        <v>0</v>
      </c>
      <c r="Z557" s="102">
        <f t="shared" si="425"/>
        <v>0</v>
      </c>
      <c r="AA557" s="102">
        <f t="shared" si="426"/>
        <v>0</v>
      </c>
      <c r="AB557" s="102">
        <f t="shared" si="427"/>
        <v>0</v>
      </c>
      <c r="AH557" s="100">
        <v>556</v>
      </c>
      <c r="AI557" s="131">
        <f t="shared" ca="1" si="428"/>
        <v>63090</v>
      </c>
      <c r="AJ557" s="102">
        <f t="shared" si="429"/>
        <v>0</v>
      </c>
      <c r="AK557" s="102">
        <f t="shared" si="430"/>
        <v>0</v>
      </c>
      <c r="AL557" s="102">
        <f t="shared" si="431"/>
        <v>0</v>
      </c>
      <c r="AM557" s="102">
        <f t="shared" si="432"/>
        <v>0</v>
      </c>
      <c r="AS557" s="530">
        <v>556</v>
      </c>
      <c r="AT557" s="531">
        <f t="shared" ca="1" si="402"/>
        <v>63090</v>
      </c>
      <c r="AU557" s="532">
        <f ca="1">IF(AU556=0,SUMIFS('Key Life Events'!$L$3:$L$28,'Key Life Events'!$H$3:$H$28,'Loan Amortization'!$AY$3,'Key Life Events'!$N$3:$N$28,'Loan Amortization'!AT557),AU556-AX556)</f>
        <v>0</v>
      </c>
      <c r="AV557" s="532">
        <f t="shared" ca="1" si="403"/>
        <v>0</v>
      </c>
      <c r="AW557" s="532">
        <f t="shared" ca="1" si="392"/>
        <v>0</v>
      </c>
      <c r="AX557" s="532">
        <f t="shared" ca="1" si="393"/>
        <v>0</v>
      </c>
      <c r="BC557" s="536">
        <f t="shared" ca="1" si="394"/>
        <v>2072</v>
      </c>
      <c r="BF557" s="530">
        <v>556</v>
      </c>
      <c r="BG557" s="531">
        <f t="shared" ca="1" si="404"/>
        <v>63090</v>
      </c>
      <c r="BH557" s="532">
        <f ca="1">IF(BH556=0,SUMIFS('Key Life Events'!$L$3:$L$28,'Key Life Events'!$H$3:$H$28,'Loan Amortization'!$BL$3,'Key Life Events'!$N$3:$N$28,'Loan Amortization'!BG557),BH556-BK556)</f>
        <v>0</v>
      </c>
      <c r="BI557" s="532">
        <f t="shared" ca="1" si="405"/>
        <v>0</v>
      </c>
      <c r="BJ557" s="532">
        <f t="shared" ca="1" si="406"/>
        <v>0</v>
      </c>
      <c r="BK557" s="532">
        <f t="shared" ca="1" si="395"/>
        <v>0</v>
      </c>
      <c r="BP557" s="536">
        <f t="shared" ca="1" si="396"/>
        <v>2072</v>
      </c>
      <c r="BS557" s="530">
        <v>556</v>
      </c>
      <c r="BT557" s="531">
        <f t="shared" ca="1" si="407"/>
        <v>63090</v>
      </c>
      <c r="BU557" s="532">
        <f ca="1">IF(BU556=0,SUMIFS('Key Life Events'!$L$3:$L$28,'Key Life Events'!$H$3:$H$28,'Loan Amortization'!$BY$3,'Key Life Events'!$N$3:$N$28,'Loan Amortization'!BT557),BU556-BX556)</f>
        <v>0</v>
      </c>
      <c r="BV557" s="532">
        <f t="shared" ca="1" si="412"/>
        <v>0</v>
      </c>
      <c r="BW557" s="532">
        <f t="shared" ca="1" si="408"/>
        <v>0</v>
      </c>
      <c r="BX557" s="532">
        <f t="shared" ca="1" si="397"/>
        <v>0</v>
      </c>
      <c r="CC557" s="536">
        <f t="shared" ca="1" si="398"/>
        <v>2072</v>
      </c>
      <c r="CF557" s="530">
        <v>556</v>
      </c>
      <c r="CG557" s="531">
        <f t="shared" ca="1" si="409"/>
        <v>63090</v>
      </c>
      <c r="CH557" s="532">
        <f ca="1">IF(CH556=0,SUMIFS('Key Life Events'!$L$3:$L$28,'Key Life Events'!$H$3:$H$28,'Loan Amortization'!$CL$3,'Key Life Events'!$N$3:$N$28,'Loan Amortization'!CG557),CH556-CK556)</f>
        <v>0</v>
      </c>
      <c r="CI557" s="532">
        <f t="shared" ca="1" si="410"/>
        <v>0</v>
      </c>
      <c r="CJ557" s="532">
        <f t="shared" ca="1" si="411"/>
        <v>0</v>
      </c>
      <c r="CK557" s="532">
        <f t="shared" ca="1" si="399"/>
        <v>0</v>
      </c>
      <c r="CP557" s="536">
        <f t="shared" ca="1" si="400"/>
        <v>2072</v>
      </c>
      <c r="CS557" s="100">
        <f t="shared" si="389"/>
        <v>556</v>
      </c>
      <c r="CT557" s="102">
        <f t="shared" ca="1" si="390"/>
        <v>0</v>
      </c>
      <c r="CU557" s="102">
        <f t="shared" ca="1" si="391"/>
        <v>0</v>
      </c>
      <c r="CV557" s="511">
        <f t="shared" ca="1" si="401"/>
        <v>2072</v>
      </c>
    </row>
    <row r="558" spans="1:100" x14ac:dyDescent="0.3">
      <c r="A558" s="100">
        <v>557</v>
      </c>
      <c r="B558" s="131">
        <f t="shared" si="413"/>
        <v>16099</v>
      </c>
      <c r="C558" s="102">
        <f t="shared" si="414"/>
        <v>0</v>
      </c>
      <c r="D558" s="102">
        <f t="shared" si="415"/>
        <v>0</v>
      </c>
      <c r="E558" s="102">
        <f t="shared" si="416"/>
        <v>0</v>
      </c>
      <c r="F558" s="102">
        <f t="shared" si="417"/>
        <v>0</v>
      </c>
      <c r="L558" s="100">
        <v>557</v>
      </c>
      <c r="M558" s="131">
        <f t="shared" ca="1" si="418"/>
        <v>63120</v>
      </c>
      <c r="N558" s="102">
        <f t="shared" si="419"/>
        <v>0</v>
      </c>
      <c r="O558" s="102">
        <f t="shared" si="420"/>
        <v>0</v>
      </c>
      <c r="P558" s="102">
        <f t="shared" si="421"/>
        <v>0</v>
      </c>
      <c r="Q558" s="102">
        <f t="shared" si="422"/>
        <v>0</v>
      </c>
      <c r="W558" s="100">
        <v>557</v>
      </c>
      <c r="X558" s="131">
        <f t="shared" ca="1" si="423"/>
        <v>63120</v>
      </c>
      <c r="Y558" s="102">
        <f t="shared" si="424"/>
        <v>0</v>
      </c>
      <c r="Z558" s="102">
        <f t="shared" si="425"/>
        <v>0</v>
      </c>
      <c r="AA558" s="102">
        <f t="shared" si="426"/>
        <v>0</v>
      </c>
      <c r="AB558" s="102">
        <f t="shared" si="427"/>
        <v>0</v>
      </c>
      <c r="AH558" s="100">
        <v>557</v>
      </c>
      <c r="AI558" s="131">
        <f t="shared" ca="1" si="428"/>
        <v>63120</v>
      </c>
      <c r="AJ558" s="102">
        <f t="shared" si="429"/>
        <v>0</v>
      </c>
      <c r="AK558" s="102">
        <f t="shared" si="430"/>
        <v>0</v>
      </c>
      <c r="AL558" s="102">
        <f t="shared" si="431"/>
        <v>0</v>
      </c>
      <c r="AM558" s="102">
        <f t="shared" si="432"/>
        <v>0</v>
      </c>
      <c r="AS558" s="530">
        <v>557</v>
      </c>
      <c r="AT558" s="531">
        <f t="shared" ca="1" si="402"/>
        <v>63120</v>
      </c>
      <c r="AU558" s="532">
        <f ca="1">IF(AU557=0,SUMIFS('Key Life Events'!$L$3:$L$28,'Key Life Events'!$H$3:$H$28,'Loan Amortization'!$AY$3,'Key Life Events'!$N$3:$N$28,'Loan Amortization'!AT558),AU557-AX557)</f>
        <v>0</v>
      </c>
      <c r="AV558" s="532">
        <f t="shared" ca="1" si="403"/>
        <v>0</v>
      </c>
      <c r="AW558" s="532">
        <f t="shared" ca="1" si="392"/>
        <v>0</v>
      </c>
      <c r="AX558" s="532">
        <f t="shared" ca="1" si="393"/>
        <v>0</v>
      </c>
      <c r="BC558" s="536">
        <f t="shared" ca="1" si="394"/>
        <v>2072</v>
      </c>
      <c r="BF558" s="530">
        <v>557</v>
      </c>
      <c r="BG558" s="531">
        <f t="shared" ca="1" si="404"/>
        <v>63120</v>
      </c>
      <c r="BH558" s="532">
        <f ca="1">IF(BH557=0,SUMIFS('Key Life Events'!$L$3:$L$28,'Key Life Events'!$H$3:$H$28,'Loan Amortization'!$BL$3,'Key Life Events'!$N$3:$N$28,'Loan Amortization'!BG558),BH557-BK557)</f>
        <v>0</v>
      </c>
      <c r="BI558" s="532">
        <f t="shared" ca="1" si="405"/>
        <v>0</v>
      </c>
      <c r="BJ558" s="532">
        <f t="shared" ca="1" si="406"/>
        <v>0</v>
      </c>
      <c r="BK558" s="532">
        <f t="shared" ca="1" si="395"/>
        <v>0</v>
      </c>
      <c r="BP558" s="536">
        <f t="shared" ca="1" si="396"/>
        <v>2072</v>
      </c>
      <c r="BS558" s="530">
        <v>557</v>
      </c>
      <c r="BT558" s="531">
        <f t="shared" ca="1" si="407"/>
        <v>63120</v>
      </c>
      <c r="BU558" s="532">
        <f ca="1">IF(BU557=0,SUMIFS('Key Life Events'!$L$3:$L$28,'Key Life Events'!$H$3:$H$28,'Loan Amortization'!$BY$3,'Key Life Events'!$N$3:$N$28,'Loan Amortization'!BT558),BU557-BX557)</f>
        <v>0</v>
      </c>
      <c r="BV558" s="532">
        <f t="shared" ca="1" si="412"/>
        <v>0</v>
      </c>
      <c r="BW558" s="532">
        <f t="shared" ca="1" si="408"/>
        <v>0</v>
      </c>
      <c r="BX558" s="532">
        <f t="shared" ca="1" si="397"/>
        <v>0</v>
      </c>
      <c r="CC558" s="536">
        <f t="shared" ca="1" si="398"/>
        <v>2072</v>
      </c>
      <c r="CF558" s="530">
        <v>557</v>
      </c>
      <c r="CG558" s="531">
        <f t="shared" ca="1" si="409"/>
        <v>63120</v>
      </c>
      <c r="CH558" s="532">
        <f ca="1">IF(CH557=0,SUMIFS('Key Life Events'!$L$3:$L$28,'Key Life Events'!$H$3:$H$28,'Loan Amortization'!$CL$3,'Key Life Events'!$N$3:$N$28,'Loan Amortization'!CG558),CH557-CK557)</f>
        <v>0</v>
      </c>
      <c r="CI558" s="532">
        <f t="shared" ca="1" si="410"/>
        <v>0</v>
      </c>
      <c r="CJ558" s="532">
        <f t="shared" ca="1" si="411"/>
        <v>0</v>
      </c>
      <c r="CK558" s="532">
        <f t="shared" ca="1" si="399"/>
        <v>0</v>
      </c>
      <c r="CP558" s="536">
        <f t="shared" ca="1" si="400"/>
        <v>2072</v>
      </c>
      <c r="CS558" s="100">
        <f t="shared" si="389"/>
        <v>557</v>
      </c>
      <c r="CT558" s="102">
        <f t="shared" ca="1" si="390"/>
        <v>0</v>
      </c>
      <c r="CU558" s="102">
        <f t="shared" ca="1" si="391"/>
        <v>0</v>
      </c>
      <c r="CV558" s="511">
        <f t="shared" ca="1" si="401"/>
        <v>2072</v>
      </c>
    </row>
    <row r="559" spans="1:100" x14ac:dyDescent="0.3">
      <c r="A559" s="100">
        <v>558</v>
      </c>
      <c r="B559" s="131">
        <f t="shared" si="413"/>
        <v>16130</v>
      </c>
      <c r="C559" s="102">
        <f t="shared" si="414"/>
        <v>0</v>
      </c>
      <c r="D559" s="102">
        <f t="shared" si="415"/>
        <v>0</v>
      </c>
      <c r="E559" s="102">
        <f t="shared" si="416"/>
        <v>0</v>
      </c>
      <c r="F559" s="102">
        <f t="shared" si="417"/>
        <v>0</v>
      </c>
      <c r="L559" s="100">
        <v>558</v>
      </c>
      <c r="M559" s="131">
        <f t="shared" ca="1" si="418"/>
        <v>63151</v>
      </c>
      <c r="N559" s="102">
        <f t="shared" si="419"/>
        <v>0</v>
      </c>
      <c r="O559" s="102">
        <f t="shared" si="420"/>
        <v>0</v>
      </c>
      <c r="P559" s="102">
        <f t="shared" si="421"/>
        <v>0</v>
      </c>
      <c r="Q559" s="102">
        <f t="shared" si="422"/>
        <v>0</v>
      </c>
      <c r="W559" s="100">
        <v>558</v>
      </c>
      <c r="X559" s="131">
        <f t="shared" ca="1" si="423"/>
        <v>63151</v>
      </c>
      <c r="Y559" s="102">
        <f t="shared" si="424"/>
        <v>0</v>
      </c>
      <c r="Z559" s="102">
        <f t="shared" si="425"/>
        <v>0</v>
      </c>
      <c r="AA559" s="102">
        <f t="shared" si="426"/>
        <v>0</v>
      </c>
      <c r="AB559" s="102">
        <f t="shared" si="427"/>
        <v>0</v>
      </c>
      <c r="AH559" s="100">
        <v>558</v>
      </c>
      <c r="AI559" s="131">
        <f t="shared" ca="1" si="428"/>
        <v>63151</v>
      </c>
      <c r="AJ559" s="102">
        <f t="shared" si="429"/>
        <v>0</v>
      </c>
      <c r="AK559" s="102">
        <f t="shared" si="430"/>
        <v>0</v>
      </c>
      <c r="AL559" s="102">
        <f t="shared" si="431"/>
        <v>0</v>
      </c>
      <c r="AM559" s="102">
        <f t="shared" si="432"/>
        <v>0</v>
      </c>
      <c r="AS559" s="530">
        <v>558</v>
      </c>
      <c r="AT559" s="531">
        <f t="shared" ca="1" si="402"/>
        <v>63151</v>
      </c>
      <c r="AU559" s="532">
        <f ca="1">IF(AU558=0,SUMIFS('Key Life Events'!$L$3:$L$28,'Key Life Events'!$H$3:$H$28,'Loan Amortization'!$AY$3,'Key Life Events'!$N$3:$N$28,'Loan Amortization'!AT559),AU558-AX558)</f>
        <v>0</v>
      </c>
      <c r="AV559" s="532">
        <f t="shared" ca="1" si="403"/>
        <v>0</v>
      </c>
      <c r="AW559" s="532">
        <f t="shared" ca="1" si="392"/>
        <v>0</v>
      </c>
      <c r="AX559" s="532">
        <f t="shared" ca="1" si="393"/>
        <v>0</v>
      </c>
      <c r="BC559" s="536">
        <f t="shared" ca="1" si="394"/>
        <v>2072</v>
      </c>
      <c r="BF559" s="530">
        <v>558</v>
      </c>
      <c r="BG559" s="531">
        <f t="shared" ca="1" si="404"/>
        <v>63151</v>
      </c>
      <c r="BH559" s="532">
        <f ca="1">IF(BH558=0,SUMIFS('Key Life Events'!$L$3:$L$28,'Key Life Events'!$H$3:$H$28,'Loan Amortization'!$BL$3,'Key Life Events'!$N$3:$N$28,'Loan Amortization'!BG559),BH558-BK558)</f>
        <v>0</v>
      </c>
      <c r="BI559" s="532">
        <f t="shared" ca="1" si="405"/>
        <v>0</v>
      </c>
      <c r="BJ559" s="532">
        <f t="shared" ca="1" si="406"/>
        <v>0</v>
      </c>
      <c r="BK559" s="532">
        <f t="shared" ca="1" si="395"/>
        <v>0</v>
      </c>
      <c r="BP559" s="536">
        <f t="shared" ca="1" si="396"/>
        <v>2072</v>
      </c>
      <c r="BS559" s="530">
        <v>558</v>
      </c>
      <c r="BT559" s="531">
        <f t="shared" ca="1" si="407"/>
        <v>63151</v>
      </c>
      <c r="BU559" s="532">
        <f ca="1">IF(BU558=0,SUMIFS('Key Life Events'!$L$3:$L$28,'Key Life Events'!$H$3:$H$28,'Loan Amortization'!$BY$3,'Key Life Events'!$N$3:$N$28,'Loan Amortization'!BT559),BU558-BX558)</f>
        <v>0</v>
      </c>
      <c r="BV559" s="532">
        <f t="shared" ca="1" si="412"/>
        <v>0</v>
      </c>
      <c r="BW559" s="532">
        <f t="shared" ca="1" si="408"/>
        <v>0</v>
      </c>
      <c r="BX559" s="532">
        <f t="shared" ca="1" si="397"/>
        <v>0</v>
      </c>
      <c r="CC559" s="536">
        <f t="shared" ca="1" si="398"/>
        <v>2072</v>
      </c>
      <c r="CF559" s="530">
        <v>558</v>
      </c>
      <c r="CG559" s="531">
        <f t="shared" ca="1" si="409"/>
        <v>63151</v>
      </c>
      <c r="CH559" s="532">
        <f ca="1">IF(CH558=0,SUMIFS('Key Life Events'!$L$3:$L$28,'Key Life Events'!$H$3:$H$28,'Loan Amortization'!$CL$3,'Key Life Events'!$N$3:$N$28,'Loan Amortization'!CG559),CH558-CK558)</f>
        <v>0</v>
      </c>
      <c r="CI559" s="532">
        <f t="shared" ca="1" si="410"/>
        <v>0</v>
      </c>
      <c r="CJ559" s="532">
        <f t="shared" ca="1" si="411"/>
        <v>0</v>
      </c>
      <c r="CK559" s="532">
        <f t="shared" ca="1" si="399"/>
        <v>0</v>
      </c>
      <c r="CP559" s="536">
        <f t="shared" ca="1" si="400"/>
        <v>2072</v>
      </c>
      <c r="CS559" s="100">
        <f t="shared" si="389"/>
        <v>558</v>
      </c>
      <c r="CT559" s="102">
        <f t="shared" ca="1" si="390"/>
        <v>0</v>
      </c>
      <c r="CU559" s="102">
        <f t="shared" ca="1" si="391"/>
        <v>0</v>
      </c>
      <c r="CV559" s="511">
        <f t="shared" ca="1" si="401"/>
        <v>2072</v>
      </c>
    </row>
    <row r="560" spans="1:100" x14ac:dyDescent="0.3">
      <c r="A560" s="100">
        <v>559</v>
      </c>
      <c r="B560" s="131">
        <f t="shared" si="413"/>
        <v>16159</v>
      </c>
      <c r="C560" s="102">
        <f t="shared" si="414"/>
        <v>0</v>
      </c>
      <c r="D560" s="102">
        <f t="shared" si="415"/>
        <v>0</v>
      </c>
      <c r="E560" s="102">
        <f t="shared" si="416"/>
        <v>0</v>
      </c>
      <c r="F560" s="102">
        <f t="shared" si="417"/>
        <v>0</v>
      </c>
      <c r="L560" s="100">
        <v>559</v>
      </c>
      <c r="M560" s="131">
        <f t="shared" ca="1" si="418"/>
        <v>63181</v>
      </c>
      <c r="N560" s="102">
        <f t="shared" si="419"/>
        <v>0</v>
      </c>
      <c r="O560" s="102">
        <f t="shared" si="420"/>
        <v>0</v>
      </c>
      <c r="P560" s="102">
        <f t="shared" si="421"/>
        <v>0</v>
      </c>
      <c r="Q560" s="102">
        <f t="shared" si="422"/>
        <v>0</v>
      </c>
      <c r="W560" s="100">
        <v>559</v>
      </c>
      <c r="X560" s="131">
        <f t="shared" ca="1" si="423"/>
        <v>63181</v>
      </c>
      <c r="Y560" s="102">
        <f t="shared" si="424"/>
        <v>0</v>
      </c>
      <c r="Z560" s="102">
        <f t="shared" si="425"/>
        <v>0</v>
      </c>
      <c r="AA560" s="102">
        <f t="shared" si="426"/>
        <v>0</v>
      </c>
      <c r="AB560" s="102">
        <f t="shared" si="427"/>
        <v>0</v>
      </c>
      <c r="AH560" s="100">
        <v>559</v>
      </c>
      <c r="AI560" s="131">
        <f t="shared" ca="1" si="428"/>
        <v>63181</v>
      </c>
      <c r="AJ560" s="102">
        <f t="shared" si="429"/>
        <v>0</v>
      </c>
      <c r="AK560" s="102">
        <f t="shared" si="430"/>
        <v>0</v>
      </c>
      <c r="AL560" s="102">
        <f t="shared" si="431"/>
        <v>0</v>
      </c>
      <c r="AM560" s="102">
        <f t="shared" si="432"/>
        <v>0</v>
      </c>
      <c r="AS560" s="530">
        <v>559</v>
      </c>
      <c r="AT560" s="531">
        <f t="shared" ca="1" si="402"/>
        <v>63181</v>
      </c>
      <c r="AU560" s="532">
        <f ca="1">IF(AU559=0,SUMIFS('Key Life Events'!$L$3:$L$28,'Key Life Events'!$H$3:$H$28,'Loan Amortization'!$AY$3,'Key Life Events'!$N$3:$N$28,'Loan Amortization'!AT560),AU559-AX559)</f>
        <v>0</v>
      </c>
      <c r="AV560" s="532">
        <f t="shared" ca="1" si="403"/>
        <v>0</v>
      </c>
      <c r="AW560" s="532">
        <f t="shared" ca="1" si="392"/>
        <v>0</v>
      </c>
      <c r="AX560" s="532">
        <f t="shared" ca="1" si="393"/>
        <v>0</v>
      </c>
      <c r="BC560" s="536">
        <f t="shared" ca="1" si="394"/>
        <v>2072</v>
      </c>
      <c r="BF560" s="530">
        <v>559</v>
      </c>
      <c r="BG560" s="531">
        <f t="shared" ca="1" si="404"/>
        <v>63181</v>
      </c>
      <c r="BH560" s="532">
        <f ca="1">IF(BH559=0,SUMIFS('Key Life Events'!$L$3:$L$28,'Key Life Events'!$H$3:$H$28,'Loan Amortization'!$BL$3,'Key Life Events'!$N$3:$N$28,'Loan Amortization'!BG560),BH559-BK559)</f>
        <v>0</v>
      </c>
      <c r="BI560" s="532">
        <f t="shared" ca="1" si="405"/>
        <v>0</v>
      </c>
      <c r="BJ560" s="532">
        <f t="shared" ca="1" si="406"/>
        <v>0</v>
      </c>
      <c r="BK560" s="532">
        <f t="shared" ca="1" si="395"/>
        <v>0</v>
      </c>
      <c r="BP560" s="536">
        <f t="shared" ca="1" si="396"/>
        <v>2072</v>
      </c>
      <c r="BS560" s="530">
        <v>559</v>
      </c>
      <c r="BT560" s="531">
        <f t="shared" ca="1" si="407"/>
        <v>63181</v>
      </c>
      <c r="BU560" s="532">
        <f ca="1">IF(BU559=0,SUMIFS('Key Life Events'!$L$3:$L$28,'Key Life Events'!$H$3:$H$28,'Loan Amortization'!$BY$3,'Key Life Events'!$N$3:$N$28,'Loan Amortization'!BT560),BU559-BX559)</f>
        <v>0</v>
      </c>
      <c r="BV560" s="532">
        <f t="shared" ca="1" si="412"/>
        <v>0</v>
      </c>
      <c r="BW560" s="532">
        <f t="shared" ca="1" si="408"/>
        <v>0</v>
      </c>
      <c r="BX560" s="532">
        <f t="shared" ca="1" si="397"/>
        <v>0</v>
      </c>
      <c r="CC560" s="536">
        <f t="shared" ca="1" si="398"/>
        <v>2072</v>
      </c>
      <c r="CF560" s="530">
        <v>559</v>
      </c>
      <c r="CG560" s="531">
        <f t="shared" ca="1" si="409"/>
        <v>63181</v>
      </c>
      <c r="CH560" s="532">
        <f ca="1">IF(CH559=0,SUMIFS('Key Life Events'!$L$3:$L$28,'Key Life Events'!$H$3:$H$28,'Loan Amortization'!$CL$3,'Key Life Events'!$N$3:$N$28,'Loan Amortization'!CG560),CH559-CK559)</f>
        <v>0</v>
      </c>
      <c r="CI560" s="532">
        <f t="shared" ca="1" si="410"/>
        <v>0</v>
      </c>
      <c r="CJ560" s="532">
        <f t="shared" ca="1" si="411"/>
        <v>0</v>
      </c>
      <c r="CK560" s="532">
        <f t="shared" ca="1" si="399"/>
        <v>0</v>
      </c>
      <c r="CP560" s="536">
        <f t="shared" ca="1" si="400"/>
        <v>2072</v>
      </c>
      <c r="CS560" s="100">
        <f t="shared" si="389"/>
        <v>559</v>
      </c>
      <c r="CT560" s="102">
        <f t="shared" ca="1" si="390"/>
        <v>0</v>
      </c>
      <c r="CU560" s="102">
        <f t="shared" ca="1" si="391"/>
        <v>0</v>
      </c>
      <c r="CV560" s="511">
        <f t="shared" ca="1" si="401"/>
        <v>2072</v>
      </c>
    </row>
    <row r="561" spans="1:100" x14ac:dyDescent="0.3">
      <c r="A561" s="100">
        <v>560</v>
      </c>
      <c r="B561" s="131">
        <f t="shared" si="413"/>
        <v>16190</v>
      </c>
      <c r="C561" s="102">
        <f t="shared" si="414"/>
        <v>0</v>
      </c>
      <c r="D561" s="102">
        <f t="shared" si="415"/>
        <v>0</v>
      </c>
      <c r="E561" s="102">
        <f t="shared" si="416"/>
        <v>0</v>
      </c>
      <c r="F561" s="102">
        <f t="shared" si="417"/>
        <v>0</v>
      </c>
      <c r="L561" s="100">
        <v>560</v>
      </c>
      <c r="M561" s="131">
        <f t="shared" ca="1" si="418"/>
        <v>63212</v>
      </c>
      <c r="N561" s="102">
        <f t="shared" si="419"/>
        <v>0</v>
      </c>
      <c r="O561" s="102">
        <f t="shared" si="420"/>
        <v>0</v>
      </c>
      <c r="P561" s="102">
        <f t="shared" si="421"/>
        <v>0</v>
      </c>
      <c r="Q561" s="102">
        <f t="shared" si="422"/>
        <v>0</v>
      </c>
      <c r="W561" s="100">
        <v>560</v>
      </c>
      <c r="X561" s="131">
        <f t="shared" ca="1" si="423"/>
        <v>63212</v>
      </c>
      <c r="Y561" s="102">
        <f t="shared" si="424"/>
        <v>0</v>
      </c>
      <c r="Z561" s="102">
        <f t="shared" si="425"/>
        <v>0</v>
      </c>
      <c r="AA561" s="102">
        <f t="shared" si="426"/>
        <v>0</v>
      </c>
      <c r="AB561" s="102">
        <f t="shared" si="427"/>
        <v>0</v>
      </c>
      <c r="AH561" s="100">
        <v>560</v>
      </c>
      <c r="AI561" s="131">
        <f t="shared" ca="1" si="428"/>
        <v>63212</v>
      </c>
      <c r="AJ561" s="102">
        <f t="shared" si="429"/>
        <v>0</v>
      </c>
      <c r="AK561" s="102">
        <f t="shared" si="430"/>
        <v>0</v>
      </c>
      <c r="AL561" s="102">
        <f t="shared" si="431"/>
        <v>0</v>
      </c>
      <c r="AM561" s="102">
        <f t="shared" si="432"/>
        <v>0</v>
      </c>
      <c r="AS561" s="530">
        <v>560</v>
      </c>
      <c r="AT561" s="531">
        <f t="shared" ca="1" si="402"/>
        <v>63212</v>
      </c>
      <c r="AU561" s="532">
        <f ca="1">IF(AU560=0,SUMIFS('Key Life Events'!$L$3:$L$28,'Key Life Events'!$H$3:$H$28,'Loan Amortization'!$AY$3,'Key Life Events'!$N$3:$N$28,'Loan Amortization'!AT561),AU560-AX560)</f>
        <v>0</v>
      </c>
      <c r="AV561" s="532">
        <f t="shared" ca="1" si="403"/>
        <v>0</v>
      </c>
      <c r="AW561" s="532">
        <f t="shared" ca="1" si="392"/>
        <v>0</v>
      </c>
      <c r="AX561" s="532">
        <f t="shared" ca="1" si="393"/>
        <v>0</v>
      </c>
      <c r="BC561" s="536">
        <f t="shared" ca="1" si="394"/>
        <v>2073</v>
      </c>
      <c r="BF561" s="530">
        <v>560</v>
      </c>
      <c r="BG561" s="531">
        <f t="shared" ca="1" si="404"/>
        <v>63212</v>
      </c>
      <c r="BH561" s="532">
        <f ca="1">IF(BH560=0,SUMIFS('Key Life Events'!$L$3:$L$28,'Key Life Events'!$H$3:$H$28,'Loan Amortization'!$BL$3,'Key Life Events'!$N$3:$N$28,'Loan Amortization'!BG561),BH560-BK560)</f>
        <v>0</v>
      </c>
      <c r="BI561" s="532">
        <f t="shared" ca="1" si="405"/>
        <v>0</v>
      </c>
      <c r="BJ561" s="532">
        <f t="shared" ca="1" si="406"/>
        <v>0</v>
      </c>
      <c r="BK561" s="532">
        <f t="shared" ca="1" si="395"/>
        <v>0</v>
      </c>
      <c r="BP561" s="536">
        <f t="shared" ca="1" si="396"/>
        <v>2073</v>
      </c>
      <c r="BS561" s="530">
        <v>560</v>
      </c>
      <c r="BT561" s="531">
        <f t="shared" ca="1" si="407"/>
        <v>63212</v>
      </c>
      <c r="BU561" s="532">
        <f ca="1">IF(BU560=0,SUMIFS('Key Life Events'!$L$3:$L$28,'Key Life Events'!$H$3:$H$28,'Loan Amortization'!$BY$3,'Key Life Events'!$N$3:$N$28,'Loan Amortization'!BT561),BU560-BX560)</f>
        <v>0</v>
      </c>
      <c r="BV561" s="532">
        <f t="shared" ca="1" si="412"/>
        <v>0</v>
      </c>
      <c r="BW561" s="532">
        <f t="shared" ca="1" si="408"/>
        <v>0</v>
      </c>
      <c r="BX561" s="532">
        <f t="shared" ca="1" si="397"/>
        <v>0</v>
      </c>
      <c r="CC561" s="536">
        <f t="shared" ca="1" si="398"/>
        <v>2073</v>
      </c>
      <c r="CF561" s="530">
        <v>560</v>
      </c>
      <c r="CG561" s="531">
        <f t="shared" ca="1" si="409"/>
        <v>63212</v>
      </c>
      <c r="CH561" s="532">
        <f ca="1">IF(CH560=0,SUMIFS('Key Life Events'!$L$3:$L$28,'Key Life Events'!$H$3:$H$28,'Loan Amortization'!$CL$3,'Key Life Events'!$N$3:$N$28,'Loan Amortization'!CG561),CH560-CK560)</f>
        <v>0</v>
      </c>
      <c r="CI561" s="532">
        <f t="shared" ca="1" si="410"/>
        <v>0</v>
      </c>
      <c r="CJ561" s="532">
        <f t="shared" ca="1" si="411"/>
        <v>0</v>
      </c>
      <c r="CK561" s="532">
        <f t="shared" ca="1" si="399"/>
        <v>0</v>
      </c>
      <c r="CP561" s="536">
        <f t="shared" ca="1" si="400"/>
        <v>2073</v>
      </c>
      <c r="CS561" s="100">
        <f t="shared" si="389"/>
        <v>560</v>
      </c>
      <c r="CT561" s="102">
        <f t="shared" ca="1" si="390"/>
        <v>0</v>
      </c>
      <c r="CU561" s="102">
        <f t="shared" ca="1" si="391"/>
        <v>0</v>
      </c>
      <c r="CV561" s="511">
        <f t="shared" ca="1" si="401"/>
        <v>2073</v>
      </c>
    </row>
    <row r="562" spans="1:100" x14ac:dyDescent="0.3">
      <c r="A562" s="100">
        <v>561</v>
      </c>
      <c r="B562" s="131">
        <f t="shared" si="413"/>
        <v>16220</v>
      </c>
      <c r="C562" s="102">
        <f t="shared" si="414"/>
        <v>0</v>
      </c>
      <c r="D562" s="102">
        <f t="shared" si="415"/>
        <v>0</v>
      </c>
      <c r="E562" s="102">
        <f t="shared" si="416"/>
        <v>0</v>
      </c>
      <c r="F562" s="102">
        <f t="shared" si="417"/>
        <v>0</v>
      </c>
      <c r="L562" s="100">
        <v>561</v>
      </c>
      <c r="M562" s="131">
        <f t="shared" ca="1" si="418"/>
        <v>63243</v>
      </c>
      <c r="N562" s="102">
        <f t="shared" si="419"/>
        <v>0</v>
      </c>
      <c r="O562" s="102">
        <f t="shared" si="420"/>
        <v>0</v>
      </c>
      <c r="P562" s="102">
        <f t="shared" si="421"/>
        <v>0</v>
      </c>
      <c r="Q562" s="102">
        <f t="shared" si="422"/>
        <v>0</v>
      </c>
      <c r="W562" s="100">
        <v>561</v>
      </c>
      <c r="X562" s="131">
        <f t="shared" ca="1" si="423"/>
        <v>63243</v>
      </c>
      <c r="Y562" s="102">
        <f t="shared" si="424"/>
        <v>0</v>
      </c>
      <c r="Z562" s="102">
        <f t="shared" si="425"/>
        <v>0</v>
      </c>
      <c r="AA562" s="102">
        <f t="shared" si="426"/>
        <v>0</v>
      </c>
      <c r="AB562" s="102">
        <f t="shared" si="427"/>
        <v>0</v>
      </c>
      <c r="AH562" s="100">
        <v>561</v>
      </c>
      <c r="AI562" s="131">
        <f t="shared" ca="1" si="428"/>
        <v>63243</v>
      </c>
      <c r="AJ562" s="102">
        <f t="shared" si="429"/>
        <v>0</v>
      </c>
      <c r="AK562" s="102">
        <f t="shared" si="430"/>
        <v>0</v>
      </c>
      <c r="AL562" s="102">
        <f t="shared" si="431"/>
        <v>0</v>
      </c>
      <c r="AM562" s="102">
        <f t="shared" si="432"/>
        <v>0</v>
      </c>
      <c r="AS562" s="530">
        <v>561</v>
      </c>
      <c r="AT562" s="531">
        <f t="shared" ca="1" si="402"/>
        <v>63243</v>
      </c>
      <c r="AU562" s="532">
        <f ca="1">IF(AU561=0,SUMIFS('Key Life Events'!$L$3:$L$28,'Key Life Events'!$H$3:$H$28,'Loan Amortization'!$AY$3,'Key Life Events'!$N$3:$N$28,'Loan Amortization'!AT562),AU561-AX561)</f>
        <v>0</v>
      </c>
      <c r="AV562" s="532">
        <f t="shared" ca="1" si="403"/>
        <v>0</v>
      </c>
      <c r="AW562" s="532">
        <f t="shared" ca="1" si="392"/>
        <v>0</v>
      </c>
      <c r="AX562" s="532">
        <f t="shared" ca="1" si="393"/>
        <v>0</v>
      </c>
      <c r="BC562" s="536">
        <f t="shared" ca="1" si="394"/>
        <v>2073</v>
      </c>
      <c r="BF562" s="530">
        <v>561</v>
      </c>
      <c r="BG562" s="531">
        <f t="shared" ca="1" si="404"/>
        <v>63243</v>
      </c>
      <c r="BH562" s="532">
        <f ca="1">IF(BH561=0,SUMIFS('Key Life Events'!$L$3:$L$28,'Key Life Events'!$H$3:$H$28,'Loan Amortization'!$BL$3,'Key Life Events'!$N$3:$N$28,'Loan Amortization'!BG562),BH561-BK561)</f>
        <v>0</v>
      </c>
      <c r="BI562" s="532">
        <f t="shared" ca="1" si="405"/>
        <v>0</v>
      </c>
      <c r="BJ562" s="532">
        <f t="shared" ca="1" si="406"/>
        <v>0</v>
      </c>
      <c r="BK562" s="532">
        <f t="shared" ca="1" si="395"/>
        <v>0</v>
      </c>
      <c r="BP562" s="536">
        <f t="shared" ca="1" si="396"/>
        <v>2073</v>
      </c>
      <c r="BS562" s="530">
        <v>561</v>
      </c>
      <c r="BT562" s="531">
        <f t="shared" ca="1" si="407"/>
        <v>63243</v>
      </c>
      <c r="BU562" s="532">
        <f ca="1">IF(BU561=0,SUMIFS('Key Life Events'!$L$3:$L$28,'Key Life Events'!$H$3:$H$28,'Loan Amortization'!$BY$3,'Key Life Events'!$N$3:$N$28,'Loan Amortization'!BT562),BU561-BX561)</f>
        <v>0</v>
      </c>
      <c r="BV562" s="532">
        <f t="shared" ca="1" si="412"/>
        <v>0</v>
      </c>
      <c r="BW562" s="532">
        <f t="shared" ca="1" si="408"/>
        <v>0</v>
      </c>
      <c r="BX562" s="532">
        <f t="shared" ca="1" si="397"/>
        <v>0</v>
      </c>
      <c r="CC562" s="536">
        <f t="shared" ca="1" si="398"/>
        <v>2073</v>
      </c>
      <c r="CF562" s="530">
        <v>561</v>
      </c>
      <c r="CG562" s="531">
        <f t="shared" ca="1" si="409"/>
        <v>63243</v>
      </c>
      <c r="CH562" s="532">
        <f ca="1">IF(CH561=0,SUMIFS('Key Life Events'!$L$3:$L$28,'Key Life Events'!$H$3:$H$28,'Loan Amortization'!$CL$3,'Key Life Events'!$N$3:$N$28,'Loan Amortization'!CG562),CH561-CK561)</f>
        <v>0</v>
      </c>
      <c r="CI562" s="532">
        <f t="shared" ca="1" si="410"/>
        <v>0</v>
      </c>
      <c r="CJ562" s="532">
        <f t="shared" ca="1" si="411"/>
        <v>0</v>
      </c>
      <c r="CK562" s="532">
        <f t="shared" ca="1" si="399"/>
        <v>0</v>
      </c>
      <c r="CP562" s="536">
        <f t="shared" ca="1" si="400"/>
        <v>2073</v>
      </c>
      <c r="CS562" s="100">
        <f t="shared" si="389"/>
        <v>561</v>
      </c>
      <c r="CT562" s="102">
        <f t="shared" ca="1" si="390"/>
        <v>0</v>
      </c>
      <c r="CU562" s="102">
        <f t="shared" ca="1" si="391"/>
        <v>0</v>
      </c>
      <c r="CV562" s="511">
        <f t="shared" ca="1" si="401"/>
        <v>2073</v>
      </c>
    </row>
    <row r="563" spans="1:100" x14ac:dyDescent="0.3">
      <c r="A563" s="100">
        <v>562</v>
      </c>
      <c r="B563" s="131">
        <f t="shared" si="413"/>
        <v>16251</v>
      </c>
      <c r="C563" s="102">
        <f t="shared" si="414"/>
        <v>0</v>
      </c>
      <c r="D563" s="102">
        <f t="shared" si="415"/>
        <v>0</v>
      </c>
      <c r="E563" s="102">
        <f t="shared" si="416"/>
        <v>0</v>
      </c>
      <c r="F563" s="102">
        <f t="shared" si="417"/>
        <v>0</v>
      </c>
      <c r="L563" s="100">
        <v>562</v>
      </c>
      <c r="M563" s="131">
        <f t="shared" ca="1" si="418"/>
        <v>63271</v>
      </c>
      <c r="N563" s="102">
        <f t="shared" si="419"/>
        <v>0</v>
      </c>
      <c r="O563" s="102">
        <f t="shared" si="420"/>
        <v>0</v>
      </c>
      <c r="P563" s="102">
        <f t="shared" si="421"/>
        <v>0</v>
      </c>
      <c r="Q563" s="102">
        <f t="shared" si="422"/>
        <v>0</v>
      </c>
      <c r="W563" s="100">
        <v>562</v>
      </c>
      <c r="X563" s="131">
        <f t="shared" ca="1" si="423"/>
        <v>63271</v>
      </c>
      <c r="Y563" s="102">
        <f t="shared" si="424"/>
        <v>0</v>
      </c>
      <c r="Z563" s="102">
        <f t="shared" si="425"/>
        <v>0</v>
      </c>
      <c r="AA563" s="102">
        <f t="shared" si="426"/>
        <v>0</v>
      </c>
      <c r="AB563" s="102">
        <f t="shared" si="427"/>
        <v>0</v>
      </c>
      <c r="AH563" s="100">
        <v>562</v>
      </c>
      <c r="AI563" s="131">
        <f t="shared" ca="1" si="428"/>
        <v>63271</v>
      </c>
      <c r="AJ563" s="102">
        <f t="shared" si="429"/>
        <v>0</v>
      </c>
      <c r="AK563" s="102">
        <f t="shared" si="430"/>
        <v>0</v>
      </c>
      <c r="AL563" s="102">
        <f t="shared" si="431"/>
        <v>0</v>
      </c>
      <c r="AM563" s="102">
        <f t="shared" si="432"/>
        <v>0</v>
      </c>
      <c r="AS563" s="530">
        <v>562</v>
      </c>
      <c r="AT563" s="531">
        <f t="shared" ca="1" si="402"/>
        <v>63271</v>
      </c>
      <c r="AU563" s="532">
        <f ca="1">IF(AU562=0,SUMIFS('Key Life Events'!$L$3:$L$28,'Key Life Events'!$H$3:$H$28,'Loan Amortization'!$AY$3,'Key Life Events'!$N$3:$N$28,'Loan Amortization'!AT563),AU562-AX562)</f>
        <v>0</v>
      </c>
      <c r="AV563" s="532">
        <f t="shared" ca="1" si="403"/>
        <v>0</v>
      </c>
      <c r="AW563" s="532">
        <f t="shared" ca="1" si="392"/>
        <v>0</v>
      </c>
      <c r="AX563" s="532">
        <f t="shared" ca="1" si="393"/>
        <v>0</v>
      </c>
      <c r="BC563" s="536">
        <f t="shared" ca="1" si="394"/>
        <v>2073</v>
      </c>
      <c r="BF563" s="530">
        <v>562</v>
      </c>
      <c r="BG563" s="531">
        <f t="shared" ca="1" si="404"/>
        <v>63271</v>
      </c>
      <c r="BH563" s="532">
        <f ca="1">IF(BH562=0,SUMIFS('Key Life Events'!$L$3:$L$28,'Key Life Events'!$H$3:$H$28,'Loan Amortization'!$BL$3,'Key Life Events'!$N$3:$N$28,'Loan Amortization'!BG563),BH562-BK562)</f>
        <v>0</v>
      </c>
      <c r="BI563" s="532">
        <f t="shared" ca="1" si="405"/>
        <v>0</v>
      </c>
      <c r="BJ563" s="532">
        <f t="shared" ca="1" si="406"/>
        <v>0</v>
      </c>
      <c r="BK563" s="532">
        <f t="shared" ca="1" si="395"/>
        <v>0</v>
      </c>
      <c r="BP563" s="536">
        <f t="shared" ca="1" si="396"/>
        <v>2073</v>
      </c>
      <c r="BS563" s="530">
        <v>562</v>
      </c>
      <c r="BT563" s="531">
        <f t="shared" ca="1" si="407"/>
        <v>63271</v>
      </c>
      <c r="BU563" s="532">
        <f ca="1">IF(BU562=0,SUMIFS('Key Life Events'!$L$3:$L$28,'Key Life Events'!$H$3:$H$28,'Loan Amortization'!$BY$3,'Key Life Events'!$N$3:$N$28,'Loan Amortization'!BT563),BU562-BX562)</f>
        <v>0</v>
      </c>
      <c r="BV563" s="532">
        <f t="shared" ca="1" si="412"/>
        <v>0</v>
      </c>
      <c r="BW563" s="532">
        <f t="shared" ca="1" si="408"/>
        <v>0</v>
      </c>
      <c r="BX563" s="532">
        <f t="shared" ca="1" si="397"/>
        <v>0</v>
      </c>
      <c r="CC563" s="536">
        <f t="shared" ca="1" si="398"/>
        <v>2073</v>
      </c>
      <c r="CF563" s="530">
        <v>562</v>
      </c>
      <c r="CG563" s="531">
        <f t="shared" ca="1" si="409"/>
        <v>63271</v>
      </c>
      <c r="CH563" s="532">
        <f ca="1">IF(CH562=0,SUMIFS('Key Life Events'!$L$3:$L$28,'Key Life Events'!$H$3:$H$28,'Loan Amortization'!$CL$3,'Key Life Events'!$N$3:$N$28,'Loan Amortization'!CG563),CH562-CK562)</f>
        <v>0</v>
      </c>
      <c r="CI563" s="532">
        <f t="shared" ca="1" si="410"/>
        <v>0</v>
      </c>
      <c r="CJ563" s="532">
        <f t="shared" ca="1" si="411"/>
        <v>0</v>
      </c>
      <c r="CK563" s="532">
        <f t="shared" ca="1" si="399"/>
        <v>0</v>
      </c>
      <c r="CP563" s="536">
        <f t="shared" ca="1" si="400"/>
        <v>2073</v>
      </c>
      <c r="CS563" s="100">
        <f t="shared" si="389"/>
        <v>562</v>
      </c>
      <c r="CT563" s="102">
        <f t="shared" ca="1" si="390"/>
        <v>0</v>
      </c>
      <c r="CU563" s="102">
        <f t="shared" ca="1" si="391"/>
        <v>0</v>
      </c>
      <c r="CV563" s="511">
        <f t="shared" ca="1" si="401"/>
        <v>2073</v>
      </c>
    </row>
    <row r="564" spans="1:100" x14ac:dyDescent="0.3">
      <c r="A564" s="100">
        <v>563</v>
      </c>
      <c r="B564" s="131">
        <f t="shared" si="413"/>
        <v>16281</v>
      </c>
      <c r="C564" s="102">
        <f t="shared" si="414"/>
        <v>0</v>
      </c>
      <c r="D564" s="102">
        <f t="shared" si="415"/>
        <v>0</v>
      </c>
      <c r="E564" s="102">
        <f t="shared" si="416"/>
        <v>0</v>
      </c>
      <c r="F564" s="102">
        <f t="shared" si="417"/>
        <v>0</v>
      </c>
      <c r="L564" s="100">
        <v>563</v>
      </c>
      <c r="M564" s="131">
        <f t="shared" ca="1" si="418"/>
        <v>63302</v>
      </c>
      <c r="N564" s="102">
        <f t="shared" si="419"/>
        <v>0</v>
      </c>
      <c r="O564" s="102">
        <f t="shared" si="420"/>
        <v>0</v>
      </c>
      <c r="P564" s="102">
        <f t="shared" si="421"/>
        <v>0</v>
      </c>
      <c r="Q564" s="102">
        <f t="shared" si="422"/>
        <v>0</v>
      </c>
      <c r="W564" s="100">
        <v>563</v>
      </c>
      <c r="X564" s="131">
        <f t="shared" ca="1" si="423"/>
        <v>63302</v>
      </c>
      <c r="Y564" s="102">
        <f t="shared" si="424"/>
        <v>0</v>
      </c>
      <c r="Z564" s="102">
        <f t="shared" si="425"/>
        <v>0</v>
      </c>
      <c r="AA564" s="102">
        <f t="shared" si="426"/>
        <v>0</v>
      </c>
      <c r="AB564" s="102">
        <f t="shared" si="427"/>
        <v>0</v>
      </c>
      <c r="AH564" s="100">
        <v>563</v>
      </c>
      <c r="AI564" s="131">
        <f t="shared" ca="1" si="428"/>
        <v>63302</v>
      </c>
      <c r="AJ564" s="102">
        <f t="shared" si="429"/>
        <v>0</v>
      </c>
      <c r="AK564" s="102">
        <f t="shared" si="430"/>
        <v>0</v>
      </c>
      <c r="AL564" s="102">
        <f t="shared" si="431"/>
        <v>0</v>
      </c>
      <c r="AM564" s="102">
        <f t="shared" si="432"/>
        <v>0</v>
      </c>
      <c r="AS564" s="530">
        <v>563</v>
      </c>
      <c r="AT564" s="531">
        <f t="shared" ca="1" si="402"/>
        <v>63302</v>
      </c>
      <c r="AU564" s="532">
        <f ca="1">IF(AU563=0,SUMIFS('Key Life Events'!$L$3:$L$28,'Key Life Events'!$H$3:$H$28,'Loan Amortization'!$AY$3,'Key Life Events'!$N$3:$N$28,'Loan Amortization'!AT564),AU563-AX563)</f>
        <v>0</v>
      </c>
      <c r="AV564" s="532">
        <f t="shared" ca="1" si="403"/>
        <v>0</v>
      </c>
      <c r="AW564" s="532">
        <f t="shared" ca="1" si="392"/>
        <v>0</v>
      </c>
      <c r="AX564" s="532">
        <f t="shared" ca="1" si="393"/>
        <v>0</v>
      </c>
      <c r="BC564" s="536">
        <f t="shared" ca="1" si="394"/>
        <v>2073</v>
      </c>
      <c r="BF564" s="530">
        <v>563</v>
      </c>
      <c r="BG564" s="531">
        <f t="shared" ca="1" si="404"/>
        <v>63302</v>
      </c>
      <c r="BH564" s="532">
        <f ca="1">IF(BH563=0,SUMIFS('Key Life Events'!$L$3:$L$28,'Key Life Events'!$H$3:$H$28,'Loan Amortization'!$BL$3,'Key Life Events'!$N$3:$N$28,'Loan Amortization'!BG564),BH563-BK563)</f>
        <v>0</v>
      </c>
      <c r="BI564" s="532">
        <f t="shared" ca="1" si="405"/>
        <v>0</v>
      </c>
      <c r="BJ564" s="532">
        <f t="shared" ca="1" si="406"/>
        <v>0</v>
      </c>
      <c r="BK564" s="532">
        <f t="shared" ca="1" si="395"/>
        <v>0</v>
      </c>
      <c r="BP564" s="536">
        <f t="shared" ca="1" si="396"/>
        <v>2073</v>
      </c>
      <c r="BS564" s="530">
        <v>563</v>
      </c>
      <c r="BT564" s="531">
        <f t="shared" ca="1" si="407"/>
        <v>63302</v>
      </c>
      <c r="BU564" s="532">
        <f ca="1">IF(BU563=0,SUMIFS('Key Life Events'!$L$3:$L$28,'Key Life Events'!$H$3:$H$28,'Loan Amortization'!$BY$3,'Key Life Events'!$N$3:$N$28,'Loan Amortization'!BT564),BU563-BX563)</f>
        <v>0</v>
      </c>
      <c r="BV564" s="532">
        <f t="shared" ca="1" si="412"/>
        <v>0</v>
      </c>
      <c r="BW564" s="532">
        <f t="shared" ca="1" si="408"/>
        <v>0</v>
      </c>
      <c r="BX564" s="532">
        <f t="shared" ca="1" si="397"/>
        <v>0</v>
      </c>
      <c r="CC564" s="536">
        <f t="shared" ca="1" si="398"/>
        <v>2073</v>
      </c>
      <c r="CF564" s="530">
        <v>563</v>
      </c>
      <c r="CG564" s="531">
        <f t="shared" ca="1" si="409"/>
        <v>63302</v>
      </c>
      <c r="CH564" s="532">
        <f ca="1">IF(CH563=0,SUMIFS('Key Life Events'!$L$3:$L$28,'Key Life Events'!$H$3:$H$28,'Loan Amortization'!$CL$3,'Key Life Events'!$N$3:$N$28,'Loan Amortization'!CG564),CH563-CK563)</f>
        <v>0</v>
      </c>
      <c r="CI564" s="532">
        <f t="shared" ca="1" si="410"/>
        <v>0</v>
      </c>
      <c r="CJ564" s="532">
        <f t="shared" ca="1" si="411"/>
        <v>0</v>
      </c>
      <c r="CK564" s="532">
        <f t="shared" ca="1" si="399"/>
        <v>0</v>
      </c>
      <c r="CP564" s="536">
        <f t="shared" ca="1" si="400"/>
        <v>2073</v>
      </c>
      <c r="CS564" s="100">
        <f t="shared" ref="CS564:CS627" si="433">AH564</f>
        <v>563</v>
      </c>
      <c r="CT564" s="102">
        <f t="shared" ref="CT564:CT627" ca="1" si="434">C564+Y564+AJ564+N564+AU564+BH564+BU564+CH564</f>
        <v>0</v>
      </c>
      <c r="CU564" s="102">
        <f t="shared" ref="CU564:CU627" ca="1" si="435">D564+Z564+AK564+O564+AV564+BI564+BV564+CI564</f>
        <v>0</v>
      </c>
      <c r="CV564" s="511">
        <f t="shared" ca="1" si="401"/>
        <v>2073</v>
      </c>
    </row>
    <row r="565" spans="1:100" x14ac:dyDescent="0.3">
      <c r="A565" s="100">
        <v>564</v>
      </c>
      <c r="B565" s="131">
        <f t="shared" si="413"/>
        <v>16312</v>
      </c>
      <c r="C565" s="102">
        <f t="shared" si="414"/>
        <v>0</v>
      </c>
      <c r="D565" s="102">
        <f t="shared" si="415"/>
        <v>0</v>
      </c>
      <c r="E565" s="102">
        <f t="shared" si="416"/>
        <v>0</v>
      </c>
      <c r="F565" s="102">
        <f t="shared" si="417"/>
        <v>0</v>
      </c>
      <c r="L565" s="100">
        <v>564</v>
      </c>
      <c r="M565" s="131">
        <f t="shared" ca="1" si="418"/>
        <v>63332</v>
      </c>
      <c r="N565" s="102">
        <f t="shared" si="419"/>
        <v>0</v>
      </c>
      <c r="O565" s="102">
        <f t="shared" si="420"/>
        <v>0</v>
      </c>
      <c r="P565" s="102">
        <f t="shared" si="421"/>
        <v>0</v>
      </c>
      <c r="Q565" s="102">
        <f t="shared" si="422"/>
        <v>0</v>
      </c>
      <c r="W565" s="100">
        <v>564</v>
      </c>
      <c r="X565" s="131">
        <f t="shared" ca="1" si="423"/>
        <v>63332</v>
      </c>
      <c r="Y565" s="102">
        <f t="shared" si="424"/>
        <v>0</v>
      </c>
      <c r="Z565" s="102">
        <f t="shared" si="425"/>
        <v>0</v>
      </c>
      <c r="AA565" s="102">
        <f t="shared" si="426"/>
        <v>0</v>
      </c>
      <c r="AB565" s="102">
        <f t="shared" si="427"/>
        <v>0</v>
      </c>
      <c r="AH565" s="100">
        <v>564</v>
      </c>
      <c r="AI565" s="131">
        <f t="shared" ca="1" si="428"/>
        <v>63332</v>
      </c>
      <c r="AJ565" s="102">
        <f t="shared" si="429"/>
        <v>0</v>
      </c>
      <c r="AK565" s="102">
        <f t="shared" si="430"/>
        <v>0</v>
      </c>
      <c r="AL565" s="102">
        <f t="shared" si="431"/>
        <v>0</v>
      </c>
      <c r="AM565" s="102">
        <f t="shared" si="432"/>
        <v>0</v>
      </c>
      <c r="AS565" s="530">
        <v>564</v>
      </c>
      <c r="AT565" s="531">
        <f t="shared" ca="1" si="402"/>
        <v>63332</v>
      </c>
      <c r="AU565" s="532">
        <f ca="1">IF(AU564=0,SUMIFS('Key Life Events'!$L$3:$L$28,'Key Life Events'!$H$3:$H$28,'Loan Amortization'!$AY$3,'Key Life Events'!$N$3:$N$28,'Loan Amortization'!AT565),AU564-AX564)</f>
        <v>0</v>
      </c>
      <c r="AV565" s="532">
        <f t="shared" ca="1" si="403"/>
        <v>0</v>
      </c>
      <c r="AW565" s="532">
        <f t="shared" ca="1" si="392"/>
        <v>0</v>
      </c>
      <c r="AX565" s="532">
        <f t="shared" ca="1" si="393"/>
        <v>0</v>
      </c>
      <c r="BC565" s="536">
        <f t="shared" ca="1" si="394"/>
        <v>2073</v>
      </c>
      <c r="BF565" s="530">
        <v>564</v>
      </c>
      <c r="BG565" s="531">
        <f t="shared" ca="1" si="404"/>
        <v>63332</v>
      </c>
      <c r="BH565" s="532">
        <f ca="1">IF(BH564=0,SUMIFS('Key Life Events'!$L$3:$L$28,'Key Life Events'!$H$3:$H$28,'Loan Amortization'!$BL$3,'Key Life Events'!$N$3:$N$28,'Loan Amortization'!BG565),BH564-BK564)</f>
        <v>0</v>
      </c>
      <c r="BI565" s="532">
        <f t="shared" ca="1" si="405"/>
        <v>0</v>
      </c>
      <c r="BJ565" s="532">
        <f t="shared" ca="1" si="406"/>
        <v>0</v>
      </c>
      <c r="BK565" s="532">
        <f t="shared" ca="1" si="395"/>
        <v>0</v>
      </c>
      <c r="BP565" s="536">
        <f t="shared" ca="1" si="396"/>
        <v>2073</v>
      </c>
      <c r="BS565" s="530">
        <v>564</v>
      </c>
      <c r="BT565" s="531">
        <f t="shared" ca="1" si="407"/>
        <v>63332</v>
      </c>
      <c r="BU565" s="532">
        <f ca="1">IF(BU564=0,SUMIFS('Key Life Events'!$L$3:$L$28,'Key Life Events'!$H$3:$H$28,'Loan Amortization'!$BY$3,'Key Life Events'!$N$3:$N$28,'Loan Amortization'!BT565),BU564-BX564)</f>
        <v>0</v>
      </c>
      <c r="BV565" s="532">
        <f t="shared" ca="1" si="412"/>
        <v>0</v>
      </c>
      <c r="BW565" s="532">
        <f t="shared" ca="1" si="408"/>
        <v>0</v>
      </c>
      <c r="BX565" s="532">
        <f t="shared" ca="1" si="397"/>
        <v>0</v>
      </c>
      <c r="CC565" s="536">
        <f t="shared" ca="1" si="398"/>
        <v>2073</v>
      </c>
      <c r="CF565" s="530">
        <v>564</v>
      </c>
      <c r="CG565" s="531">
        <f t="shared" ca="1" si="409"/>
        <v>63332</v>
      </c>
      <c r="CH565" s="532">
        <f ca="1">IF(CH564=0,SUMIFS('Key Life Events'!$L$3:$L$28,'Key Life Events'!$H$3:$H$28,'Loan Amortization'!$CL$3,'Key Life Events'!$N$3:$N$28,'Loan Amortization'!CG565),CH564-CK564)</f>
        <v>0</v>
      </c>
      <c r="CI565" s="532">
        <f t="shared" ca="1" si="410"/>
        <v>0</v>
      </c>
      <c r="CJ565" s="532">
        <f t="shared" ca="1" si="411"/>
        <v>0</v>
      </c>
      <c r="CK565" s="532">
        <f t="shared" ca="1" si="399"/>
        <v>0</v>
      </c>
      <c r="CP565" s="536">
        <f t="shared" ca="1" si="400"/>
        <v>2073</v>
      </c>
      <c r="CS565" s="100">
        <f t="shared" si="433"/>
        <v>564</v>
      </c>
      <c r="CT565" s="102">
        <f t="shared" ca="1" si="434"/>
        <v>0</v>
      </c>
      <c r="CU565" s="102">
        <f t="shared" ca="1" si="435"/>
        <v>0</v>
      </c>
      <c r="CV565" s="511">
        <f t="shared" ca="1" si="401"/>
        <v>2073</v>
      </c>
    </row>
    <row r="566" spans="1:100" x14ac:dyDescent="0.3">
      <c r="A566" s="100">
        <v>565</v>
      </c>
      <c r="B566" s="131">
        <f t="shared" si="413"/>
        <v>16343</v>
      </c>
      <c r="C566" s="102">
        <f t="shared" si="414"/>
        <v>0</v>
      </c>
      <c r="D566" s="102">
        <f t="shared" si="415"/>
        <v>0</v>
      </c>
      <c r="E566" s="102">
        <f t="shared" si="416"/>
        <v>0</v>
      </c>
      <c r="F566" s="102">
        <f t="shared" si="417"/>
        <v>0</v>
      </c>
      <c r="L566" s="100">
        <v>565</v>
      </c>
      <c r="M566" s="131">
        <f t="shared" ca="1" si="418"/>
        <v>63363</v>
      </c>
      <c r="N566" s="102">
        <f t="shared" si="419"/>
        <v>0</v>
      </c>
      <c r="O566" s="102">
        <f t="shared" si="420"/>
        <v>0</v>
      </c>
      <c r="P566" s="102">
        <f t="shared" si="421"/>
        <v>0</v>
      </c>
      <c r="Q566" s="102">
        <f t="shared" si="422"/>
        <v>0</v>
      </c>
      <c r="W566" s="100">
        <v>565</v>
      </c>
      <c r="X566" s="131">
        <f t="shared" ca="1" si="423"/>
        <v>63363</v>
      </c>
      <c r="Y566" s="102">
        <f t="shared" si="424"/>
        <v>0</v>
      </c>
      <c r="Z566" s="102">
        <f t="shared" si="425"/>
        <v>0</v>
      </c>
      <c r="AA566" s="102">
        <f t="shared" si="426"/>
        <v>0</v>
      </c>
      <c r="AB566" s="102">
        <f t="shared" si="427"/>
        <v>0</v>
      </c>
      <c r="AH566" s="100">
        <v>565</v>
      </c>
      <c r="AI566" s="131">
        <f t="shared" ca="1" si="428"/>
        <v>63363</v>
      </c>
      <c r="AJ566" s="102">
        <f t="shared" si="429"/>
        <v>0</v>
      </c>
      <c r="AK566" s="102">
        <f t="shared" si="430"/>
        <v>0</v>
      </c>
      <c r="AL566" s="102">
        <f t="shared" si="431"/>
        <v>0</v>
      </c>
      <c r="AM566" s="102">
        <f t="shared" si="432"/>
        <v>0</v>
      </c>
      <c r="AS566" s="530">
        <v>565</v>
      </c>
      <c r="AT566" s="531">
        <f t="shared" ca="1" si="402"/>
        <v>63363</v>
      </c>
      <c r="AU566" s="532">
        <f ca="1">IF(AU565=0,SUMIFS('Key Life Events'!$L$3:$L$28,'Key Life Events'!$H$3:$H$28,'Loan Amortization'!$AY$3,'Key Life Events'!$N$3:$N$28,'Loan Amortization'!AT566),AU565-AX565)</f>
        <v>0</v>
      </c>
      <c r="AV566" s="532">
        <f t="shared" ca="1" si="403"/>
        <v>0</v>
      </c>
      <c r="AW566" s="532">
        <f t="shared" ca="1" si="392"/>
        <v>0</v>
      </c>
      <c r="AX566" s="532">
        <f t="shared" ca="1" si="393"/>
        <v>0</v>
      </c>
      <c r="BC566" s="536">
        <f t="shared" ca="1" si="394"/>
        <v>2073</v>
      </c>
      <c r="BF566" s="530">
        <v>565</v>
      </c>
      <c r="BG566" s="531">
        <f t="shared" ca="1" si="404"/>
        <v>63363</v>
      </c>
      <c r="BH566" s="532">
        <f ca="1">IF(BH565=0,SUMIFS('Key Life Events'!$L$3:$L$28,'Key Life Events'!$H$3:$H$28,'Loan Amortization'!$BL$3,'Key Life Events'!$N$3:$N$28,'Loan Amortization'!BG566),BH565-BK565)</f>
        <v>0</v>
      </c>
      <c r="BI566" s="532">
        <f t="shared" ca="1" si="405"/>
        <v>0</v>
      </c>
      <c r="BJ566" s="532">
        <f t="shared" ca="1" si="406"/>
        <v>0</v>
      </c>
      <c r="BK566" s="532">
        <f t="shared" ca="1" si="395"/>
        <v>0</v>
      </c>
      <c r="BP566" s="536">
        <f t="shared" ca="1" si="396"/>
        <v>2073</v>
      </c>
      <c r="BS566" s="530">
        <v>565</v>
      </c>
      <c r="BT566" s="531">
        <f t="shared" ca="1" si="407"/>
        <v>63363</v>
      </c>
      <c r="BU566" s="532">
        <f ca="1">IF(BU565=0,SUMIFS('Key Life Events'!$L$3:$L$28,'Key Life Events'!$H$3:$H$28,'Loan Amortization'!$BY$3,'Key Life Events'!$N$3:$N$28,'Loan Amortization'!BT566),BU565-BX565)</f>
        <v>0</v>
      </c>
      <c r="BV566" s="532">
        <f t="shared" ca="1" si="412"/>
        <v>0</v>
      </c>
      <c r="BW566" s="532">
        <f t="shared" ca="1" si="408"/>
        <v>0</v>
      </c>
      <c r="BX566" s="532">
        <f t="shared" ca="1" si="397"/>
        <v>0</v>
      </c>
      <c r="CC566" s="536">
        <f t="shared" ca="1" si="398"/>
        <v>2073</v>
      </c>
      <c r="CF566" s="530">
        <v>565</v>
      </c>
      <c r="CG566" s="531">
        <f t="shared" ca="1" si="409"/>
        <v>63363</v>
      </c>
      <c r="CH566" s="532">
        <f ca="1">IF(CH565=0,SUMIFS('Key Life Events'!$L$3:$L$28,'Key Life Events'!$H$3:$H$28,'Loan Amortization'!$CL$3,'Key Life Events'!$N$3:$N$28,'Loan Amortization'!CG566),CH565-CK565)</f>
        <v>0</v>
      </c>
      <c r="CI566" s="532">
        <f t="shared" ca="1" si="410"/>
        <v>0</v>
      </c>
      <c r="CJ566" s="532">
        <f t="shared" ca="1" si="411"/>
        <v>0</v>
      </c>
      <c r="CK566" s="532">
        <f t="shared" ca="1" si="399"/>
        <v>0</v>
      </c>
      <c r="CP566" s="536">
        <f t="shared" ca="1" si="400"/>
        <v>2073</v>
      </c>
      <c r="CS566" s="100">
        <f t="shared" si="433"/>
        <v>565</v>
      </c>
      <c r="CT566" s="102">
        <f t="shared" ca="1" si="434"/>
        <v>0</v>
      </c>
      <c r="CU566" s="102">
        <f t="shared" ca="1" si="435"/>
        <v>0</v>
      </c>
      <c r="CV566" s="511">
        <f t="shared" ca="1" si="401"/>
        <v>2073</v>
      </c>
    </row>
    <row r="567" spans="1:100" x14ac:dyDescent="0.3">
      <c r="A567" s="100">
        <v>566</v>
      </c>
      <c r="B567" s="131">
        <f t="shared" si="413"/>
        <v>16373</v>
      </c>
      <c r="C567" s="102">
        <f t="shared" si="414"/>
        <v>0</v>
      </c>
      <c r="D567" s="102">
        <f t="shared" si="415"/>
        <v>0</v>
      </c>
      <c r="E567" s="102">
        <f t="shared" si="416"/>
        <v>0</v>
      </c>
      <c r="F567" s="102">
        <f t="shared" si="417"/>
        <v>0</v>
      </c>
      <c r="L567" s="100">
        <v>566</v>
      </c>
      <c r="M567" s="131">
        <f t="shared" ca="1" si="418"/>
        <v>63393</v>
      </c>
      <c r="N567" s="102">
        <f t="shared" si="419"/>
        <v>0</v>
      </c>
      <c r="O567" s="102">
        <f t="shared" si="420"/>
        <v>0</v>
      </c>
      <c r="P567" s="102">
        <f t="shared" si="421"/>
        <v>0</v>
      </c>
      <c r="Q567" s="102">
        <f t="shared" si="422"/>
        <v>0</v>
      </c>
      <c r="W567" s="100">
        <v>566</v>
      </c>
      <c r="X567" s="131">
        <f t="shared" ca="1" si="423"/>
        <v>63393</v>
      </c>
      <c r="Y567" s="102">
        <f t="shared" si="424"/>
        <v>0</v>
      </c>
      <c r="Z567" s="102">
        <f t="shared" si="425"/>
        <v>0</v>
      </c>
      <c r="AA567" s="102">
        <f t="shared" si="426"/>
        <v>0</v>
      </c>
      <c r="AB567" s="102">
        <f t="shared" si="427"/>
        <v>0</v>
      </c>
      <c r="AH567" s="100">
        <v>566</v>
      </c>
      <c r="AI567" s="131">
        <f t="shared" ca="1" si="428"/>
        <v>63393</v>
      </c>
      <c r="AJ567" s="102">
        <f t="shared" si="429"/>
        <v>0</v>
      </c>
      <c r="AK567" s="102">
        <f t="shared" si="430"/>
        <v>0</v>
      </c>
      <c r="AL567" s="102">
        <f t="shared" si="431"/>
        <v>0</v>
      </c>
      <c r="AM567" s="102">
        <f t="shared" si="432"/>
        <v>0</v>
      </c>
      <c r="AS567" s="530">
        <v>566</v>
      </c>
      <c r="AT567" s="531">
        <f t="shared" ca="1" si="402"/>
        <v>63393</v>
      </c>
      <c r="AU567" s="532">
        <f ca="1">IF(AU566=0,SUMIFS('Key Life Events'!$L$3:$L$28,'Key Life Events'!$H$3:$H$28,'Loan Amortization'!$AY$3,'Key Life Events'!$N$3:$N$28,'Loan Amortization'!AT567),AU566-AX566)</f>
        <v>0</v>
      </c>
      <c r="AV567" s="532">
        <f t="shared" ca="1" si="403"/>
        <v>0</v>
      </c>
      <c r="AW567" s="532">
        <f t="shared" ca="1" si="392"/>
        <v>0</v>
      </c>
      <c r="AX567" s="532">
        <f t="shared" ca="1" si="393"/>
        <v>0</v>
      </c>
      <c r="BC567" s="536">
        <f t="shared" ca="1" si="394"/>
        <v>2073</v>
      </c>
      <c r="BF567" s="530">
        <v>566</v>
      </c>
      <c r="BG567" s="531">
        <f t="shared" ca="1" si="404"/>
        <v>63393</v>
      </c>
      <c r="BH567" s="532">
        <f ca="1">IF(BH566=0,SUMIFS('Key Life Events'!$L$3:$L$28,'Key Life Events'!$H$3:$H$28,'Loan Amortization'!$BL$3,'Key Life Events'!$N$3:$N$28,'Loan Amortization'!BG567),BH566-BK566)</f>
        <v>0</v>
      </c>
      <c r="BI567" s="532">
        <f t="shared" ca="1" si="405"/>
        <v>0</v>
      </c>
      <c r="BJ567" s="532">
        <f t="shared" ca="1" si="406"/>
        <v>0</v>
      </c>
      <c r="BK567" s="532">
        <f t="shared" ca="1" si="395"/>
        <v>0</v>
      </c>
      <c r="BP567" s="536">
        <f t="shared" ca="1" si="396"/>
        <v>2073</v>
      </c>
      <c r="BS567" s="530">
        <v>566</v>
      </c>
      <c r="BT567" s="531">
        <f t="shared" ca="1" si="407"/>
        <v>63393</v>
      </c>
      <c r="BU567" s="532">
        <f ca="1">IF(BU566=0,SUMIFS('Key Life Events'!$L$3:$L$28,'Key Life Events'!$H$3:$H$28,'Loan Amortization'!$BY$3,'Key Life Events'!$N$3:$N$28,'Loan Amortization'!BT567),BU566-BX566)</f>
        <v>0</v>
      </c>
      <c r="BV567" s="532">
        <f t="shared" ca="1" si="412"/>
        <v>0</v>
      </c>
      <c r="BW567" s="532">
        <f t="shared" ca="1" si="408"/>
        <v>0</v>
      </c>
      <c r="BX567" s="532">
        <f t="shared" ca="1" si="397"/>
        <v>0</v>
      </c>
      <c r="CC567" s="536">
        <f t="shared" ca="1" si="398"/>
        <v>2073</v>
      </c>
      <c r="CF567" s="530">
        <v>566</v>
      </c>
      <c r="CG567" s="531">
        <f t="shared" ca="1" si="409"/>
        <v>63393</v>
      </c>
      <c r="CH567" s="532">
        <f ca="1">IF(CH566=0,SUMIFS('Key Life Events'!$L$3:$L$28,'Key Life Events'!$H$3:$H$28,'Loan Amortization'!$CL$3,'Key Life Events'!$N$3:$N$28,'Loan Amortization'!CG567),CH566-CK566)</f>
        <v>0</v>
      </c>
      <c r="CI567" s="532">
        <f t="shared" ca="1" si="410"/>
        <v>0</v>
      </c>
      <c r="CJ567" s="532">
        <f t="shared" ca="1" si="411"/>
        <v>0</v>
      </c>
      <c r="CK567" s="532">
        <f t="shared" ca="1" si="399"/>
        <v>0</v>
      </c>
      <c r="CP567" s="536">
        <f t="shared" ca="1" si="400"/>
        <v>2073</v>
      </c>
      <c r="CS567" s="100">
        <f t="shared" si="433"/>
        <v>566</v>
      </c>
      <c r="CT567" s="102">
        <f t="shared" ca="1" si="434"/>
        <v>0</v>
      </c>
      <c r="CU567" s="102">
        <f t="shared" ca="1" si="435"/>
        <v>0</v>
      </c>
      <c r="CV567" s="511">
        <f t="shared" ca="1" si="401"/>
        <v>2073</v>
      </c>
    </row>
    <row r="568" spans="1:100" x14ac:dyDescent="0.3">
      <c r="A568" s="100">
        <v>567</v>
      </c>
      <c r="B568" s="131">
        <f t="shared" si="413"/>
        <v>16404</v>
      </c>
      <c r="C568" s="102">
        <f t="shared" si="414"/>
        <v>0</v>
      </c>
      <c r="D568" s="102">
        <f t="shared" si="415"/>
        <v>0</v>
      </c>
      <c r="E568" s="102">
        <f t="shared" si="416"/>
        <v>0</v>
      </c>
      <c r="F568" s="102">
        <f t="shared" si="417"/>
        <v>0</v>
      </c>
      <c r="L568" s="100">
        <v>567</v>
      </c>
      <c r="M568" s="131">
        <f t="shared" ca="1" si="418"/>
        <v>63424</v>
      </c>
      <c r="N568" s="102">
        <f t="shared" si="419"/>
        <v>0</v>
      </c>
      <c r="O568" s="102">
        <f t="shared" si="420"/>
        <v>0</v>
      </c>
      <c r="P568" s="102">
        <f t="shared" si="421"/>
        <v>0</v>
      </c>
      <c r="Q568" s="102">
        <f t="shared" si="422"/>
        <v>0</v>
      </c>
      <c r="W568" s="100">
        <v>567</v>
      </c>
      <c r="X568" s="131">
        <f t="shared" ca="1" si="423"/>
        <v>63424</v>
      </c>
      <c r="Y568" s="102">
        <f t="shared" si="424"/>
        <v>0</v>
      </c>
      <c r="Z568" s="102">
        <f t="shared" si="425"/>
        <v>0</v>
      </c>
      <c r="AA568" s="102">
        <f t="shared" si="426"/>
        <v>0</v>
      </c>
      <c r="AB568" s="102">
        <f t="shared" si="427"/>
        <v>0</v>
      </c>
      <c r="AH568" s="100">
        <v>567</v>
      </c>
      <c r="AI568" s="131">
        <f t="shared" ca="1" si="428"/>
        <v>63424</v>
      </c>
      <c r="AJ568" s="102">
        <f t="shared" si="429"/>
        <v>0</v>
      </c>
      <c r="AK568" s="102">
        <f t="shared" si="430"/>
        <v>0</v>
      </c>
      <c r="AL568" s="102">
        <f t="shared" si="431"/>
        <v>0</v>
      </c>
      <c r="AM568" s="102">
        <f t="shared" si="432"/>
        <v>0</v>
      </c>
      <c r="AS568" s="530">
        <v>567</v>
      </c>
      <c r="AT568" s="531">
        <f t="shared" ca="1" si="402"/>
        <v>63424</v>
      </c>
      <c r="AU568" s="532">
        <f ca="1">IF(AU567=0,SUMIFS('Key Life Events'!$L$3:$L$28,'Key Life Events'!$H$3:$H$28,'Loan Amortization'!$AY$3,'Key Life Events'!$N$3:$N$28,'Loan Amortization'!AT568),AU567-AX567)</f>
        <v>0</v>
      </c>
      <c r="AV568" s="532">
        <f t="shared" ca="1" si="403"/>
        <v>0</v>
      </c>
      <c r="AW568" s="532">
        <f t="shared" ca="1" si="392"/>
        <v>0</v>
      </c>
      <c r="AX568" s="532">
        <f t="shared" ca="1" si="393"/>
        <v>0</v>
      </c>
      <c r="BC568" s="536">
        <f t="shared" ca="1" si="394"/>
        <v>2073</v>
      </c>
      <c r="BF568" s="530">
        <v>567</v>
      </c>
      <c r="BG568" s="531">
        <f t="shared" ca="1" si="404"/>
        <v>63424</v>
      </c>
      <c r="BH568" s="532">
        <f ca="1">IF(BH567=0,SUMIFS('Key Life Events'!$L$3:$L$28,'Key Life Events'!$H$3:$H$28,'Loan Amortization'!$BL$3,'Key Life Events'!$N$3:$N$28,'Loan Amortization'!BG568),BH567-BK567)</f>
        <v>0</v>
      </c>
      <c r="BI568" s="532">
        <f t="shared" ca="1" si="405"/>
        <v>0</v>
      </c>
      <c r="BJ568" s="532">
        <f t="shared" ca="1" si="406"/>
        <v>0</v>
      </c>
      <c r="BK568" s="532">
        <f t="shared" ca="1" si="395"/>
        <v>0</v>
      </c>
      <c r="BP568" s="536">
        <f t="shared" ca="1" si="396"/>
        <v>2073</v>
      </c>
      <c r="BS568" s="530">
        <v>567</v>
      </c>
      <c r="BT568" s="531">
        <f t="shared" ca="1" si="407"/>
        <v>63424</v>
      </c>
      <c r="BU568" s="532">
        <f ca="1">IF(BU567=0,SUMIFS('Key Life Events'!$L$3:$L$28,'Key Life Events'!$H$3:$H$28,'Loan Amortization'!$BY$3,'Key Life Events'!$N$3:$N$28,'Loan Amortization'!BT568),BU567-BX567)</f>
        <v>0</v>
      </c>
      <c r="BV568" s="532">
        <f t="shared" ca="1" si="412"/>
        <v>0</v>
      </c>
      <c r="BW568" s="532">
        <f t="shared" ca="1" si="408"/>
        <v>0</v>
      </c>
      <c r="BX568" s="532">
        <f t="shared" ca="1" si="397"/>
        <v>0</v>
      </c>
      <c r="CC568" s="536">
        <f t="shared" ca="1" si="398"/>
        <v>2073</v>
      </c>
      <c r="CF568" s="530">
        <v>567</v>
      </c>
      <c r="CG568" s="531">
        <f t="shared" ca="1" si="409"/>
        <v>63424</v>
      </c>
      <c r="CH568" s="532">
        <f ca="1">IF(CH567=0,SUMIFS('Key Life Events'!$L$3:$L$28,'Key Life Events'!$H$3:$H$28,'Loan Amortization'!$CL$3,'Key Life Events'!$N$3:$N$28,'Loan Amortization'!CG568),CH567-CK567)</f>
        <v>0</v>
      </c>
      <c r="CI568" s="532">
        <f t="shared" ca="1" si="410"/>
        <v>0</v>
      </c>
      <c r="CJ568" s="532">
        <f t="shared" ca="1" si="411"/>
        <v>0</v>
      </c>
      <c r="CK568" s="532">
        <f t="shared" ca="1" si="399"/>
        <v>0</v>
      </c>
      <c r="CP568" s="536">
        <f t="shared" ca="1" si="400"/>
        <v>2073</v>
      </c>
      <c r="CS568" s="100">
        <f t="shared" si="433"/>
        <v>567</v>
      </c>
      <c r="CT568" s="102">
        <f t="shared" ca="1" si="434"/>
        <v>0</v>
      </c>
      <c r="CU568" s="102">
        <f t="shared" ca="1" si="435"/>
        <v>0</v>
      </c>
      <c r="CV568" s="511">
        <f t="shared" ca="1" si="401"/>
        <v>2073</v>
      </c>
    </row>
    <row r="569" spans="1:100" x14ac:dyDescent="0.3">
      <c r="A569" s="100">
        <v>568</v>
      </c>
      <c r="B569" s="131">
        <f t="shared" si="413"/>
        <v>16434</v>
      </c>
      <c r="C569" s="102">
        <f t="shared" si="414"/>
        <v>0</v>
      </c>
      <c r="D569" s="102">
        <f t="shared" si="415"/>
        <v>0</v>
      </c>
      <c r="E569" s="102">
        <f t="shared" si="416"/>
        <v>0</v>
      </c>
      <c r="F569" s="102">
        <f t="shared" si="417"/>
        <v>0</v>
      </c>
      <c r="L569" s="100">
        <v>568</v>
      </c>
      <c r="M569" s="131">
        <f t="shared" ca="1" si="418"/>
        <v>63455</v>
      </c>
      <c r="N569" s="102">
        <f t="shared" si="419"/>
        <v>0</v>
      </c>
      <c r="O569" s="102">
        <f t="shared" si="420"/>
        <v>0</v>
      </c>
      <c r="P569" s="102">
        <f t="shared" si="421"/>
        <v>0</v>
      </c>
      <c r="Q569" s="102">
        <f t="shared" si="422"/>
        <v>0</v>
      </c>
      <c r="W569" s="100">
        <v>568</v>
      </c>
      <c r="X569" s="131">
        <f t="shared" ca="1" si="423"/>
        <v>63455</v>
      </c>
      <c r="Y569" s="102">
        <f t="shared" si="424"/>
        <v>0</v>
      </c>
      <c r="Z569" s="102">
        <f t="shared" si="425"/>
        <v>0</v>
      </c>
      <c r="AA569" s="102">
        <f t="shared" si="426"/>
        <v>0</v>
      </c>
      <c r="AB569" s="102">
        <f t="shared" si="427"/>
        <v>0</v>
      </c>
      <c r="AH569" s="100">
        <v>568</v>
      </c>
      <c r="AI569" s="131">
        <f t="shared" ca="1" si="428"/>
        <v>63455</v>
      </c>
      <c r="AJ569" s="102">
        <f t="shared" si="429"/>
        <v>0</v>
      </c>
      <c r="AK569" s="102">
        <f t="shared" si="430"/>
        <v>0</v>
      </c>
      <c r="AL569" s="102">
        <f t="shared" si="431"/>
        <v>0</v>
      </c>
      <c r="AM569" s="102">
        <f t="shared" si="432"/>
        <v>0</v>
      </c>
      <c r="AS569" s="530">
        <v>568</v>
      </c>
      <c r="AT569" s="531">
        <f t="shared" ca="1" si="402"/>
        <v>63455</v>
      </c>
      <c r="AU569" s="532">
        <f ca="1">IF(AU568=0,SUMIFS('Key Life Events'!$L$3:$L$28,'Key Life Events'!$H$3:$H$28,'Loan Amortization'!$AY$3,'Key Life Events'!$N$3:$N$28,'Loan Amortization'!AT569),AU568-AX568)</f>
        <v>0</v>
      </c>
      <c r="AV569" s="532">
        <f t="shared" ca="1" si="403"/>
        <v>0</v>
      </c>
      <c r="AW569" s="532">
        <f t="shared" ca="1" si="392"/>
        <v>0</v>
      </c>
      <c r="AX569" s="532">
        <f t="shared" ca="1" si="393"/>
        <v>0</v>
      </c>
      <c r="BC569" s="536">
        <f t="shared" ca="1" si="394"/>
        <v>2073</v>
      </c>
      <c r="BF569" s="530">
        <v>568</v>
      </c>
      <c r="BG569" s="531">
        <f t="shared" ca="1" si="404"/>
        <v>63455</v>
      </c>
      <c r="BH569" s="532">
        <f ca="1">IF(BH568=0,SUMIFS('Key Life Events'!$L$3:$L$28,'Key Life Events'!$H$3:$H$28,'Loan Amortization'!$BL$3,'Key Life Events'!$N$3:$N$28,'Loan Amortization'!BG569),BH568-BK568)</f>
        <v>0</v>
      </c>
      <c r="BI569" s="532">
        <f t="shared" ca="1" si="405"/>
        <v>0</v>
      </c>
      <c r="BJ569" s="532">
        <f t="shared" ca="1" si="406"/>
        <v>0</v>
      </c>
      <c r="BK569" s="532">
        <f t="shared" ca="1" si="395"/>
        <v>0</v>
      </c>
      <c r="BP569" s="536">
        <f t="shared" ca="1" si="396"/>
        <v>2073</v>
      </c>
      <c r="BS569" s="530">
        <v>568</v>
      </c>
      <c r="BT569" s="531">
        <f t="shared" ca="1" si="407"/>
        <v>63455</v>
      </c>
      <c r="BU569" s="532">
        <f ca="1">IF(BU568=0,SUMIFS('Key Life Events'!$L$3:$L$28,'Key Life Events'!$H$3:$H$28,'Loan Amortization'!$BY$3,'Key Life Events'!$N$3:$N$28,'Loan Amortization'!BT569),BU568-BX568)</f>
        <v>0</v>
      </c>
      <c r="BV569" s="532">
        <f t="shared" ca="1" si="412"/>
        <v>0</v>
      </c>
      <c r="BW569" s="532">
        <f t="shared" ca="1" si="408"/>
        <v>0</v>
      </c>
      <c r="BX569" s="532">
        <f t="shared" ca="1" si="397"/>
        <v>0</v>
      </c>
      <c r="CC569" s="536">
        <f t="shared" ca="1" si="398"/>
        <v>2073</v>
      </c>
      <c r="CF569" s="530">
        <v>568</v>
      </c>
      <c r="CG569" s="531">
        <f t="shared" ca="1" si="409"/>
        <v>63455</v>
      </c>
      <c r="CH569" s="532">
        <f ca="1">IF(CH568=0,SUMIFS('Key Life Events'!$L$3:$L$28,'Key Life Events'!$H$3:$H$28,'Loan Amortization'!$CL$3,'Key Life Events'!$N$3:$N$28,'Loan Amortization'!CG569),CH568-CK568)</f>
        <v>0</v>
      </c>
      <c r="CI569" s="532">
        <f t="shared" ca="1" si="410"/>
        <v>0</v>
      </c>
      <c r="CJ569" s="532">
        <f t="shared" ca="1" si="411"/>
        <v>0</v>
      </c>
      <c r="CK569" s="532">
        <f t="shared" ca="1" si="399"/>
        <v>0</v>
      </c>
      <c r="CP569" s="536">
        <f t="shared" ca="1" si="400"/>
        <v>2073</v>
      </c>
      <c r="CS569" s="100">
        <f t="shared" si="433"/>
        <v>568</v>
      </c>
      <c r="CT569" s="102">
        <f t="shared" ca="1" si="434"/>
        <v>0</v>
      </c>
      <c r="CU569" s="102">
        <f t="shared" ca="1" si="435"/>
        <v>0</v>
      </c>
      <c r="CV569" s="511">
        <f t="shared" ca="1" si="401"/>
        <v>2073</v>
      </c>
    </row>
    <row r="570" spans="1:100" x14ac:dyDescent="0.3">
      <c r="A570" s="100">
        <v>569</v>
      </c>
      <c r="B570" s="131">
        <f t="shared" si="413"/>
        <v>16465</v>
      </c>
      <c r="C570" s="102">
        <f t="shared" si="414"/>
        <v>0</v>
      </c>
      <c r="D570" s="102">
        <f t="shared" si="415"/>
        <v>0</v>
      </c>
      <c r="E570" s="102">
        <f t="shared" si="416"/>
        <v>0</v>
      </c>
      <c r="F570" s="102">
        <f t="shared" si="417"/>
        <v>0</v>
      </c>
      <c r="L570" s="100">
        <v>569</v>
      </c>
      <c r="M570" s="131">
        <f t="shared" ca="1" si="418"/>
        <v>63485</v>
      </c>
      <c r="N570" s="102">
        <f t="shared" si="419"/>
        <v>0</v>
      </c>
      <c r="O570" s="102">
        <f t="shared" si="420"/>
        <v>0</v>
      </c>
      <c r="P570" s="102">
        <f t="shared" si="421"/>
        <v>0</v>
      </c>
      <c r="Q570" s="102">
        <f t="shared" si="422"/>
        <v>0</v>
      </c>
      <c r="W570" s="100">
        <v>569</v>
      </c>
      <c r="X570" s="131">
        <f t="shared" ca="1" si="423"/>
        <v>63485</v>
      </c>
      <c r="Y570" s="102">
        <f t="shared" si="424"/>
        <v>0</v>
      </c>
      <c r="Z570" s="102">
        <f t="shared" si="425"/>
        <v>0</v>
      </c>
      <c r="AA570" s="102">
        <f t="shared" si="426"/>
        <v>0</v>
      </c>
      <c r="AB570" s="102">
        <f t="shared" si="427"/>
        <v>0</v>
      </c>
      <c r="AH570" s="100">
        <v>569</v>
      </c>
      <c r="AI570" s="131">
        <f t="shared" ca="1" si="428"/>
        <v>63485</v>
      </c>
      <c r="AJ570" s="102">
        <f t="shared" si="429"/>
        <v>0</v>
      </c>
      <c r="AK570" s="102">
        <f t="shared" si="430"/>
        <v>0</v>
      </c>
      <c r="AL570" s="102">
        <f t="shared" si="431"/>
        <v>0</v>
      </c>
      <c r="AM570" s="102">
        <f t="shared" si="432"/>
        <v>0</v>
      </c>
      <c r="AS570" s="530">
        <v>569</v>
      </c>
      <c r="AT570" s="531">
        <f t="shared" ca="1" si="402"/>
        <v>63485</v>
      </c>
      <c r="AU570" s="532">
        <f ca="1">IF(AU569=0,SUMIFS('Key Life Events'!$L$3:$L$28,'Key Life Events'!$H$3:$H$28,'Loan Amortization'!$AY$3,'Key Life Events'!$N$3:$N$28,'Loan Amortization'!AT570),AU569-AX569)</f>
        <v>0</v>
      </c>
      <c r="AV570" s="532">
        <f t="shared" ca="1" si="403"/>
        <v>0</v>
      </c>
      <c r="AW570" s="532">
        <f t="shared" ca="1" si="392"/>
        <v>0</v>
      </c>
      <c r="AX570" s="532">
        <f t="shared" ca="1" si="393"/>
        <v>0</v>
      </c>
      <c r="BC570" s="536">
        <f t="shared" ca="1" si="394"/>
        <v>2073</v>
      </c>
      <c r="BF570" s="530">
        <v>569</v>
      </c>
      <c r="BG570" s="531">
        <f t="shared" ca="1" si="404"/>
        <v>63485</v>
      </c>
      <c r="BH570" s="532">
        <f ca="1">IF(BH569=0,SUMIFS('Key Life Events'!$L$3:$L$28,'Key Life Events'!$H$3:$H$28,'Loan Amortization'!$BL$3,'Key Life Events'!$N$3:$N$28,'Loan Amortization'!BG570),BH569-BK569)</f>
        <v>0</v>
      </c>
      <c r="BI570" s="532">
        <f t="shared" ca="1" si="405"/>
        <v>0</v>
      </c>
      <c r="BJ570" s="532">
        <f t="shared" ca="1" si="406"/>
        <v>0</v>
      </c>
      <c r="BK570" s="532">
        <f t="shared" ca="1" si="395"/>
        <v>0</v>
      </c>
      <c r="BP570" s="536">
        <f t="shared" ca="1" si="396"/>
        <v>2073</v>
      </c>
      <c r="BS570" s="530">
        <v>569</v>
      </c>
      <c r="BT570" s="531">
        <f t="shared" ca="1" si="407"/>
        <v>63485</v>
      </c>
      <c r="BU570" s="532">
        <f ca="1">IF(BU569=0,SUMIFS('Key Life Events'!$L$3:$L$28,'Key Life Events'!$H$3:$H$28,'Loan Amortization'!$BY$3,'Key Life Events'!$N$3:$N$28,'Loan Amortization'!BT570),BU569-BX569)</f>
        <v>0</v>
      </c>
      <c r="BV570" s="532">
        <f t="shared" ca="1" si="412"/>
        <v>0</v>
      </c>
      <c r="BW570" s="532">
        <f t="shared" ca="1" si="408"/>
        <v>0</v>
      </c>
      <c r="BX570" s="532">
        <f t="shared" ca="1" si="397"/>
        <v>0</v>
      </c>
      <c r="CC570" s="536">
        <f t="shared" ca="1" si="398"/>
        <v>2073</v>
      </c>
      <c r="CF570" s="530">
        <v>569</v>
      </c>
      <c r="CG570" s="531">
        <f t="shared" ca="1" si="409"/>
        <v>63485</v>
      </c>
      <c r="CH570" s="532">
        <f ca="1">IF(CH569=0,SUMIFS('Key Life Events'!$L$3:$L$28,'Key Life Events'!$H$3:$H$28,'Loan Amortization'!$CL$3,'Key Life Events'!$N$3:$N$28,'Loan Amortization'!CG570),CH569-CK569)</f>
        <v>0</v>
      </c>
      <c r="CI570" s="532">
        <f t="shared" ca="1" si="410"/>
        <v>0</v>
      </c>
      <c r="CJ570" s="532">
        <f t="shared" ca="1" si="411"/>
        <v>0</v>
      </c>
      <c r="CK570" s="532">
        <f t="shared" ca="1" si="399"/>
        <v>0</v>
      </c>
      <c r="CP570" s="536">
        <f t="shared" ca="1" si="400"/>
        <v>2073</v>
      </c>
      <c r="CS570" s="100">
        <f t="shared" si="433"/>
        <v>569</v>
      </c>
      <c r="CT570" s="102">
        <f t="shared" ca="1" si="434"/>
        <v>0</v>
      </c>
      <c r="CU570" s="102">
        <f t="shared" ca="1" si="435"/>
        <v>0</v>
      </c>
      <c r="CV570" s="511">
        <f t="shared" ca="1" si="401"/>
        <v>2073</v>
      </c>
    </row>
    <row r="571" spans="1:100" x14ac:dyDescent="0.3">
      <c r="A571" s="100">
        <v>570</v>
      </c>
      <c r="B571" s="131">
        <f t="shared" si="413"/>
        <v>16496</v>
      </c>
      <c r="C571" s="102">
        <f t="shared" si="414"/>
        <v>0</v>
      </c>
      <c r="D571" s="102">
        <f t="shared" si="415"/>
        <v>0</v>
      </c>
      <c r="E571" s="102">
        <f t="shared" si="416"/>
        <v>0</v>
      </c>
      <c r="F571" s="102">
        <f t="shared" si="417"/>
        <v>0</v>
      </c>
      <c r="L571" s="100">
        <v>570</v>
      </c>
      <c r="M571" s="131">
        <f t="shared" ca="1" si="418"/>
        <v>63516</v>
      </c>
      <c r="N571" s="102">
        <f t="shared" si="419"/>
        <v>0</v>
      </c>
      <c r="O571" s="102">
        <f t="shared" si="420"/>
        <v>0</v>
      </c>
      <c r="P571" s="102">
        <f t="shared" si="421"/>
        <v>0</v>
      </c>
      <c r="Q571" s="102">
        <f t="shared" si="422"/>
        <v>0</v>
      </c>
      <c r="W571" s="100">
        <v>570</v>
      </c>
      <c r="X571" s="131">
        <f t="shared" ca="1" si="423"/>
        <v>63516</v>
      </c>
      <c r="Y571" s="102">
        <f t="shared" si="424"/>
        <v>0</v>
      </c>
      <c r="Z571" s="102">
        <f t="shared" si="425"/>
        <v>0</v>
      </c>
      <c r="AA571" s="102">
        <f t="shared" si="426"/>
        <v>0</v>
      </c>
      <c r="AB571" s="102">
        <f t="shared" si="427"/>
        <v>0</v>
      </c>
      <c r="AH571" s="100">
        <v>570</v>
      </c>
      <c r="AI571" s="131">
        <f t="shared" ca="1" si="428"/>
        <v>63516</v>
      </c>
      <c r="AJ571" s="102">
        <f t="shared" si="429"/>
        <v>0</v>
      </c>
      <c r="AK571" s="102">
        <f t="shared" si="430"/>
        <v>0</v>
      </c>
      <c r="AL571" s="102">
        <f t="shared" si="431"/>
        <v>0</v>
      </c>
      <c r="AM571" s="102">
        <f t="shared" si="432"/>
        <v>0</v>
      </c>
      <c r="AS571" s="530">
        <v>570</v>
      </c>
      <c r="AT571" s="531">
        <f t="shared" ca="1" si="402"/>
        <v>63516</v>
      </c>
      <c r="AU571" s="532">
        <f ca="1">IF(AU570=0,SUMIFS('Key Life Events'!$L$3:$L$28,'Key Life Events'!$H$3:$H$28,'Loan Amortization'!$AY$3,'Key Life Events'!$N$3:$N$28,'Loan Amortization'!AT571),AU570-AX570)</f>
        <v>0</v>
      </c>
      <c r="AV571" s="532">
        <f t="shared" ca="1" si="403"/>
        <v>0</v>
      </c>
      <c r="AW571" s="532">
        <f t="shared" ca="1" si="392"/>
        <v>0</v>
      </c>
      <c r="AX571" s="532">
        <f t="shared" ca="1" si="393"/>
        <v>0</v>
      </c>
      <c r="BC571" s="536">
        <f t="shared" ca="1" si="394"/>
        <v>2073</v>
      </c>
      <c r="BF571" s="530">
        <v>570</v>
      </c>
      <c r="BG571" s="531">
        <f t="shared" ca="1" si="404"/>
        <v>63516</v>
      </c>
      <c r="BH571" s="532">
        <f ca="1">IF(BH570=0,SUMIFS('Key Life Events'!$L$3:$L$28,'Key Life Events'!$H$3:$H$28,'Loan Amortization'!$BL$3,'Key Life Events'!$N$3:$N$28,'Loan Amortization'!BG571),BH570-BK570)</f>
        <v>0</v>
      </c>
      <c r="BI571" s="532">
        <f t="shared" ca="1" si="405"/>
        <v>0</v>
      </c>
      <c r="BJ571" s="532">
        <f t="shared" ca="1" si="406"/>
        <v>0</v>
      </c>
      <c r="BK571" s="532">
        <f t="shared" ca="1" si="395"/>
        <v>0</v>
      </c>
      <c r="BP571" s="536">
        <f t="shared" ca="1" si="396"/>
        <v>2073</v>
      </c>
      <c r="BS571" s="530">
        <v>570</v>
      </c>
      <c r="BT571" s="531">
        <f t="shared" ca="1" si="407"/>
        <v>63516</v>
      </c>
      <c r="BU571" s="532">
        <f ca="1">IF(BU570=0,SUMIFS('Key Life Events'!$L$3:$L$28,'Key Life Events'!$H$3:$H$28,'Loan Amortization'!$BY$3,'Key Life Events'!$N$3:$N$28,'Loan Amortization'!BT571),BU570-BX570)</f>
        <v>0</v>
      </c>
      <c r="BV571" s="532">
        <f t="shared" ca="1" si="412"/>
        <v>0</v>
      </c>
      <c r="BW571" s="532">
        <f t="shared" ca="1" si="408"/>
        <v>0</v>
      </c>
      <c r="BX571" s="532">
        <f t="shared" ca="1" si="397"/>
        <v>0</v>
      </c>
      <c r="CC571" s="536">
        <f t="shared" ca="1" si="398"/>
        <v>2073</v>
      </c>
      <c r="CF571" s="530">
        <v>570</v>
      </c>
      <c r="CG571" s="531">
        <f t="shared" ca="1" si="409"/>
        <v>63516</v>
      </c>
      <c r="CH571" s="532">
        <f ca="1">IF(CH570=0,SUMIFS('Key Life Events'!$L$3:$L$28,'Key Life Events'!$H$3:$H$28,'Loan Amortization'!$CL$3,'Key Life Events'!$N$3:$N$28,'Loan Amortization'!CG571),CH570-CK570)</f>
        <v>0</v>
      </c>
      <c r="CI571" s="532">
        <f t="shared" ca="1" si="410"/>
        <v>0</v>
      </c>
      <c r="CJ571" s="532">
        <f t="shared" ca="1" si="411"/>
        <v>0</v>
      </c>
      <c r="CK571" s="532">
        <f t="shared" ca="1" si="399"/>
        <v>0</v>
      </c>
      <c r="CP571" s="536">
        <f t="shared" ca="1" si="400"/>
        <v>2073</v>
      </c>
      <c r="CS571" s="100">
        <f t="shared" si="433"/>
        <v>570</v>
      </c>
      <c r="CT571" s="102">
        <f t="shared" ca="1" si="434"/>
        <v>0</v>
      </c>
      <c r="CU571" s="102">
        <f t="shared" ca="1" si="435"/>
        <v>0</v>
      </c>
      <c r="CV571" s="511">
        <f t="shared" ca="1" si="401"/>
        <v>2073</v>
      </c>
    </row>
    <row r="572" spans="1:100" x14ac:dyDescent="0.3">
      <c r="A572" s="100">
        <v>571</v>
      </c>
      <c r="B572" s="131">
        <f t="shared" si="413"/>
        <v>16524</v>
      </c>
      <c r="C572" s="102">
        <f t="shared" si="414"/>
        <v>0</v>
      </c>
      <c r="D572" s="102">
        <f t="shared" si="415"/>
        <v>0</v>
      </c>
      <c r="E572" s="102">
        <f t="shared" si="416"/>
        <v>0</v>
      </c>
      <c r="F572" s="102">
        <f t="shared" si="417"/>
        <v>0</v>
      </c>
      <c r="L572" s="100">
        <v>571</v>
      </c>
      <c r="M572" s="131">
        <f t="shared" ca="1" si="418"/>
        <v>63546</v>
      </c>
      <c r="N572" s="102">
        <f t="shared" si="419"/>
        <v>0</v>
      </c>
      <c r="O572" s="102">
        <f t="shared" si="420"/>
        <v>0</v>
      </c>
      <c r="P572" s="102">
        <f t="shared" si="421"/>
        <v>0</v>
      </c>
      <c r="Q572" s="102">
        <f t="shared" si="422"/>
        <v>0</v>
      </c>
      <c r="W572" s="100">
        <v>571</v>
      </c>
      <c r="X572" s="131">
        <f t="shared" ca="1" si="423"/>
        <v>63546</v>
      </c>
      <c r="Y572" s="102">
        <f t="shared" si="424"/>
        <v>0</v>
      </c>
      <c r="Z572" s="102">
        <f t="shared" si="425"/>
        <v>0</v>
      </c>
      <c r="AA572" s="102">
        <f t="shared" si="426"/>
        <v>0</v>
      </c>
      <c r="AB572" s="102">
        <f t="shared" si="427"/>
        <v>0</v>
      </c>
      <c r="AH572" s="100">
        <v>571</v>
      </c>
      <c r="AI572" s="131">
        <f t="shared" ca="1" si="428"/>
        <v>63546</v>
      </c>
      <c r="AJ572" s="102">
        <f t="shared" si="429"/>
        <v>0</v>
      </c>
      <c r="AK572" s="102">
        <f t="shared" si="430"/>
        <v>0</v>
      </c>
      <c r="AL572" s="102">
        <f t="shared" si="431"/>
        <v>0</v>
      </c>
      <c r="AM572" s="102">
        <f t="shared" si="432"/>
        <v>0</v>
      </c>
      <c r="AS572" s="530">
        <v>571</v>
      </c>
      <c r="AT572" s="531">
        <f t="shared" ca="1" si="402"/>
        <v>63546</v>
      </c>
      <c r="AU572" s="532">
        <f ca="1">IF(AU571=0,SUMIFS('Key Life Events'!$L$3:$L$28,'Key Life Events'!$H$3:$H$28,'Loan Amortization'!$AY$3,'Key Life Events'!$N$3:$N$28,'Loan Amortization'!AT572),AU571-AX571)</f>
        <v>0</v>
      </c>
      <c r="AV572" s="532">
        <f t="shared" ca="1" si="403"/>
        <v>0</v>
      </c>
      <c r="AW572" s="532">
        <f t="shared" ca="1" si="392"/>
        <v>0</v>
      </c>
      <c r="AX572" s="532">
        <f t="shared" ca="1" si="393"/>
        <v>0</v>
      </c>
      <c r="BC572" s="536">
        <f t="shared" ca="1" si="394"/>
        <v>2073</v>
      </c>
      <c r="BF572" s="530">
        <v>571</v>
      </c>
      <c r="BG572" s="531">
        <f t="shared" ca="1" si="404"/>
        <v>63546</v>
      </c>
      <c r="BH572" s="532">
        <f ca="1">IF(BH571=0,SUMIFS('Key Life Events'!$L$3:$L$28,'Key Life Events'!$H$3:$H$28,'Loan Amortization'!$BL$3,'Key Life Events'!$N$3:$N$28,'Loan Amortization'!BG572),BH571-BK571)</f>
        <v>0</v>
      </c>
      <c r="BI572" s="532">
        <f t="shared" ca="1" si="405"/>
        <v>0</v>
      </c>
      <c r="BJ572" s="532">
        <f t="shared" ca="1" si="406"/>
        <v>0</v>
      </c>
      <c r="BK572" s="532">
        <f t="shared" ca="1" si="395"/>
        <v>0</v>
      </c>
      <c r="BP572" s="536">
        <f t="shared" ca="1" si="396"/>
        <v>2073</v>
      </c>
      <c r="BS572" s="530">
        <v>571</v>
      </c>
      <c r="BT572" s="531">
        <f t="shared" ca="1" si="407"/>
        <v>63546</v>
      </c>
      <c r="BU572" s="532">
        <f ca="1">IF(BU571=0,SUMIFS('Key Life Events'!$L$3:$L$28,'Key Life Events'!$H$3:$H$28,'Loan Amortization'!$BY$3,'Key Life Events'!$N$3:$N$28,'Loan Amortization'!BT572),BU571-BX571)</f>
        <v>0</v>
      </c>
      <c r="BV572" s="532">
        <f t="shared" ca="1" si="412"/>
        <v>0</v>
      </c>
      <c r="BW572" s="532">
        <f t="shared" ca="1" si="408"/>
        <v>0</v>
      </c>
      <c r="BX572" s="532">
        <f t="shared" ca="1" si="397"/>
        <v>0</v>
      </c>
      <c r="CC572" s="536">
        <f t="shared" ca="1" si="398"/>
        <v>2073</v>
      </c>
      <c r="CF572" s="530">
        <v>571</v>
      </c>
      <c r="CG572" s="531">
        <f t="shared" ca="1" si="409"/>
        <v>63546</v>
      </c>
      <c r="CH572" s="532">
        <f ca="1">IF(CH571=0,SUMIFS('Key Life Events'!$L$3:$L$28,'Key Life Events'!$H$3:$H$28,'Loan Amortization'!$CL$3,'Key Life Events'!$N$3:$N$28,'Loan Amortization'!CG572),CH571-CK571)</f>
        <v>0</v>
      </c>
      <c r="CI572" s="532">
        <f t="shared" ca="1" si="410"/>
        <v>0</v>
      </c>
      <c r="CJ572" s="532">
        <f t="shared" ca="1" si="411"/>
        <v>0</v>
      </c>
      <c r="CK572" s="532">
        <f t="shared" ca="1" si="399"/>
        <v>0</v>
      </c>
      <c r="CP572" s="536">
        <f t="shared" ca="1" si="400"/>
        <v>2073</v>
      </c>
      <c r="CS572" s="100">
        <f t="shared" si="433"/>
        <v>571</v>
      </c>
      <c r="CT572" s="102">
        <f t="shared" ca="1" si="434"/>
        <v>0</v>
      </c>
      <c r="CU572" s="102">
        <f t="shared" ca="1" si="435"/>
        <v>0</v>
      </c>
      <c r="CV572" s="511">
        <f t="shared" ca="1" si="401"/>
        <v>2073</v>
      </c>
    </row>
    <row r="573" spans="1:100" x14ac:dyDescent="0.3">
      <c r="A573" s="100">
        <v>572</v>
      </c>
      <c r="B573" s="131">
        <f t="shared" si="413"/>
        <v>16555</v>
      </c>
      <c r="C573" s="102">
        <f t="shared" si="414"/>
        <v>0</v>
      </c>
      <c r="D573" s="102">
        <f t="shared" si="415"/>
        <v>0</v>
      </c>
      <c r="E573" s="102">
        <f t="shared" si="416"/>
        <v>0</v>
      </c>
      <c r="F573" s="102">
        <f t="shared" si="417"/>
        <v>0</v>
      </c>
      <c r="L573" s="100">
        <v>572</v>
      </c>
      <c r="M573" s="131">
        <f t="shared" ca="1" si="418"/>
        <v>63577</v>
      </c>
      <c r="N573" s="102">
        <f t="shared" si="419"/>
        <v>0</v>
      </c>
      <c r="O573" s="102">
        <f t="shared" si="420"/>
        <v>0</v>
      </c>
      <c r="P573" s="102">
        <f t="shared" si="421"/>
        <v>0</v>
      </c>
      <c r="Q573" s="102">
        <f t="shared" si="422"/>
        <v>0</v>
      </c>
      <c r="W573" s="100">
        <v>572</v>
      </c>
      <c r="X573" s="131">
        <f t="shared" ca="1" si="423"/>
        <v>63577</v>
      </c>
      <c r="Y573" s="102">
        <f t="shared" si="424"/>
        <v>0</v>
      </c>
      <c r="Z573" s="102">
        <f t="shared" si="425"/>
        <v>0</v>
      </c>
      <c r="AA573" s="102">
        <f t="shared" si="426"/>
        <v>0</v>
      </c>
      <c r="AB573" s="102">
        <f t="shared" si="427"/>
        <v>0</v>
      </c>
      <c r="AH573" s="100">
        <v>572</v>
      </c>
      <c r="AI573" s="131">
        <f t="shared" ca="1" si="428"/>
        <v>63577</v>
      </c>
      <c r="AJ573" s="102">
        <f t="shared" si="429"/>
        <v>0</v>
      </c>
      <c r="AK573" s="102">
        <f t="shared" si="430"/>
        <v>0</v>
      </c>
      <c r="AL573" s="102">
        <f t="shared" si="431"/>
        <v>0</v>
      </c>
      <c r="AM573" s="102">
        <f t="shared" si="432"/>
        <v>0</v>
      </c>
      <c r="AS573" s="530">
        <v>572</v>
      </c>
      <c r="AT573" s="531">
        <f t="shared" ca="1" si="402"/>
        <v>63577</v>
      </c>
      <c r="AU573" s="532">
        <f ca="1">IF(AU572=0,SUMIFS('Key Life Events'!$L$3:$L$28,'Key Life Events'!$H$3:$H$28,'Loan Amortization'!$AY$3,'Key Life Events'!$N$3:$N$28,'Loan Amortization'!AT573),AU572-AX572)</f>
        <v>0</v>
      </c>
      <c r="AV573" s="532">
        <f t="shared" ca="1" si="403"/>
        <v>0</v>
      </c>
      <c r="AW573" s="532">
        <f t="shared" ca="1" si="392"/>
        <v>0</v>
      </c>
      <c r="AX573" s="532">
        <f t="shared" ca="1" si="393"/>
        <v>0</v>
      </c>
      <c r="BC573" s="536">
        <f t="shared" ca="1" si="394"/>
        <v>2074</v>
      </c>
      <c r="BF573" s="530">
        <v>572</v>
      </c>
      <c r="BG573" s="531">
        <f t="shared" ca="1" si="404"/>
        <v>63577</v>
      </c>
      <c r="BH573" s="532">
        <f ca="1">IF(BH572=0,SUMIFS('Key Life Events'!$L$3:$L$28,'Key Life Events'!$H$3:$H$28,'Loan Amortization'!$BL$3,'Key Life Events'!$N$3:$N$28,'Loan Amortization'!BG573),BH572-BK572)</f>
        <v>0</v>
      </c>
      <c r="BI573" s="532">
        <f t="shared" ca="1" si="405"/>
        <v>0</v>
      </c>
      <c r="BJ573" s="532">
        <f t="shared" ca="1" si="406"/>
        <v>0</v>
      </c>
      <c r="BK573" s="532">
        <f t="shared" ca="1" si="395"/>
        <v>0</v>
      </c>
      <c r="BP573" s="536">
        <f t="shared" ca="1" si="396"/>
        <v>2074</v>
      </c>
      <c r="BS573" s="530">
        <v>572</v>
      </c>
      <c r="BT573" s="531">
        <f t="shared" ca="1" si="407"/>
        <v>63577</v>
      </c>
      <c r="BU573" s="532">
        <f ca="1">IF(BU572=0,SUMIFS('Key Life Events'!$L$3:$L$28,'Key Life Events'!$H$3:$H$28,'Loan Amortization'!$BY$3,'Key Life Events'!$N$3:$N$28,'Loan Amortization'!BT573),BU572-BX572)</f>
        <v>0</v>
      </c>
      <c r="BV573" s="532">
        <f t="shared" ca="1" si="412"/>
        <v>0</v>
      </c>
      <c r="BW573" s="532">
        <f t="shared" ca="1" si="408"/>
        <v>0</v>
      </c>
      <c r="BX573" s="532">
        <f t="shared" ca="1" si="397"/>
        <v>0</v>
      </c>
      <c r="CC573" s="536">
        <f t="shared" ca="1" si="398"/>
        <v>2074</v>
      </c>
      <c r="CF573" s="530">
        <v>572</v>
      </c>
      <c r="CG573" s="531">
        <f t="shared" ca="1" si="409"/>
        <v>63577</v>
      </c>
      <c r="CH573" s="532">
        <f ca="1">IF(CH572=0,SUMIFS('Key Life Events'!$L$3:$L$28,'Key Life Events'!$H$3:$H$28,'Loan Amortization'!$CL$3,'Key Life Events'!$N$3:$N$28,'Loan Amortization'!CG573),CH572-CK572)</f>
        <v>0</v>
      </c>
      <c r="CI573" s="532">
        <f t="shared" ca="1" si="410"/>
        <v>0</v>
      </c>
      <c r="CJ573" s="532">
        <f t="shared" ca="1" si="411"/>
        <v>0</v>
      </c>
      <c r="CK573" s="532">
        <f t="shared" ca="1" si="399"/>
        <v>0</v>
      </c>
      <c r="CP573" s="536">
        <f t="shared" ca="1" si="400"/>
        <v>2074</v>
      </c>
      <c r="CS573" s="100">
        <f t="shared" si="433"/>
        <v>572</v>
      </c>
      <c r="CT573" s="102">
        <f t="shared" ca="1" si="434"/>
        <v>0</v>
      </c>
      <c r="CU573" s="102">
        <f t="shared" ca="1" si="435"/>
        <v>0</v>
      </c>
      <c r="CV573" s="511">
        <f t="shared" ca="1" si="401"/>
        <v>2074</v>
      </c>
    </row>
    <row r="574" spans="1:100" x14ac:dyDescent="0.3">
      <c r="A574" s="100">
        <v>573</v>
      </c>
      <c r="B574" s="131">
        <f t="shared" si="413"/>
        <v>16585</v>
      </c>
      <c r="C574" s="102">
        <f t="shared" si="414"/>
        <v>0</v>
      </c>
      <c r="D574" s="102">
        <f t="shared" si="415"/>
        <v>0</v>
      </c>
      <c r="E574" s="102">
        <f t="shared" si="416"/>
        <v>0</v>
      </c>
      <c r="F574" s="102">
        <f t="shared" si="417"/>
        <v>0</v>
      </c>
      <c r="L574" s="100">
        <v>573</v>
      </c>
      <c r="M574" s="131">
        <f t="shared" ca="1" si="418"/>
        <v>63608</v>
      </c>
      <c r="N574" s="102">
        <f t="shared" si="419"/>
        <v>0</v>
      </c>
      <c r="O574" s="102">
        <f t="shared" si="420"/>
        <v>0</v>
      </c>
      <c r="P574" s="102">
        <f t="shared" si="421"/>
        <v>0</v>
      </c>
      <c r="Q574" s="102">
        <f t="shared" si="422"/>
        <v>0</v>
      </c>
      <c r="W574" s="100">
        <v>573</v>
      </c>
      <c r="X574" s="131">
        <f t="shared" ca="1" si="423"/>
        <v>63608</v>
      </c>
      <c r="Y574" s="102">
        <f t="shared" si="424"/>
        <v>0</v>
      </c>
      <c r="Z574" s="102">
        <f t="shared" si="425"/>
        <v>0</v>
      </c>
      <c r="AA574" s="102">
        <f t="shared" si="426"/>
        <v>0</v>
      </c>
      <c r="AB574" s="102">
        <f t="shared" si="427"/>
        <v>0</v>
      </c>
      <c r="AH574" s="100">
        <v>573</v>
      </c>
      <c r="AI574" s="131">
        <f t="shared" ca="1" si="428"/>
        <v>63608</v>
      </c>
      <c r="AJ574" s="102">
        <f t="shared" si="429"/>
        <v>0</v>
      </c>
      <c r="AK574" s="102">
        <f t="shared" si="430"/>
        <v>0</v>
      </c>
      <c r="AL574" s="102">
        <f t="shared" si="431"/>
        <v>0</v>
      </c>
      <c r="AM574" s="102">
        <f t="shared" si="432"/>
        <v>0</v>
      </c>
      <c r="AS574" s="530">
        <v>573</v>
      </c>
      <c r="AT574" s="531">
        <f t="shared" ca="1" si="402"/>
        <v>63608</v>
      </c>
      <c r="AU574" s="532">
        <f ca="1">IF(AU573=0,SUMIFS('Key Life Events'!$L$3:$L$28,'Key Life Events'!$H$3:$H$28,'Loan Amortization'!$AY$3,'Key Life Events'!$N$3:$N$28,'Loan Amortization'!AT574),AU573-AX573)</f>
        <v>0</v>
      </c>
      <c r="AV574" s="532">
        <f t="shared" ca="1" si="403"/>
        <v>0</v>
      </c>
      <c r="AW574" s="532">
        <f t="shared" ca="1" si="392"/>
        <v>0</v>
      </c>
      <c r="AX574" s="532">
        <f t="shared" ca="1" si="393"/>
        <v>0</v>
      </c>
      <c r="BC574" s="536">
        <f t="shared" ca="1" si="394"/>
        <v>2074</v>
      </c>
      <c r="BF574" s="530">
        <v>573</v>
      </c>
      <c r="BG574" s="531">
        <f t="shared" ca="1" si="404"/>
        <v>63608</v>
      </c>
      <c r="BH574" s="532">
        <f ca="1">IF(BH573=0,SUMIFS('Key Life Events'!$L$3:$L$28,'Key Life Events'!$H$3:$H$28,'Loan Amortization'!$BL$3,'Key Life Events'!$N$3:$N$28,'Loan Amortization'!BG574),BH573-BK573)</f>
        <v>0</v>
      </c>
      <c r="BI574" s="532">
        <f t="shared" ca="1" si="405"/>
        <v>0</v>
      </c>
      <c r="BJ574" s="532">
        <f t="shared" ca="1" si="406"/>
        <v>0</v>
      </c>
      <c r="BK574" s="532">
        <f t="shared" ca="1" si="395"/>
        <v>0</v>
      </c>
      <c r="BP574" s="536">
        <f t="shared" ca="1" si="396"/>
        <v>2074</v>
      </c>
      <c r="BS574" s="530">
        <v>573</v>
      </c>
      <c r="BT574" s="531">
        <f t="shared" ca="1" si="407"/>
        <v>63608</v>
      </c>
      <c r="BU574" s="532">
        <f ca="1">IF(BU573=0,SUMIFS('Key Life Events'!$L$3:$L$28,'Key Life Events'!$H$3:$H$28,'Loan Amortization'!$BY$3,'Key Life Events'!$N$3:$N$28,'Loan Amortization'!BT574),BU573-BX573)</f>
        <v>0</v>
      </c>
      <c r="BV574" s="532">
        <f t="shared" ca="1" si="412"/>
        <v>0</v>
      </c>
      <c r="BW574" s="532">
        <f t="shared" ca="1" si="408"/>
        <v>0</v>
      </c>
      <c r="BX574" s="532">
        <f t="shared" ca="1" si="397"/>
        <v>0</v>
      </c>
      <c r="CC574" s="536">
        <f t="shared" ca="1" si="398"/>
        <v>2074</v>
      </c>
      <c r="CF574" s="530">
        <v>573</v>
      </c>
      <c r="CG574" s="531">
        <f t="shared" ca="1" si="409"/>
        <v>63608</v>
      </c>
      <c r="CH574" s="532">
        <f ca="1">IF(CH573=0,SUMIFS('Key Life Events'!$L$3:$L$28,'Key Life Events'!$H$3:$H$28,'Loan Amortization'!$CL$3,'Key Life Events'!$N$3:$N$28,'Loan Amortization'!CG574),CH573-CK573)</f>
        <v>0</v>
      </c>
      <c r="CI574" s="532">
        <f t="shared" ca="1" si="410"/>
        <v>0</v>
      </c>
      <c r="CJ574" s="532">
        <f t="shared" ca="1" si="411"/>
        <v>0</v>
      </c>
      <c r="CK574" s="532">
        <f t="shared" ca="1" si="399"/>
        <v>0</v>
      </c>
      <c r="CP574" s="536">
        <f t="shared" ca="1" si="400"/>
        <v>2074</v>
      </c>
      <c r="CS574" s="100">
        <f t="shared" si="433"/>
        <v>573</v>
      </c>
      <c r="CT574" s="102">
        <f t="shared" ca="1" si="434"/>
        <v>0</v>
      </c>
      <c r="CU574" s="102">
        <f t="shared" ca="1" si="435"/>
        <v>0</v>
      </c>
      <c r="CV574" s="511">
        <f t="shared" ca="1" si="401"/>
        <v>2074</v>
      </c>
    </row>
    <row r="575" spans="1:100" x14ac:dyDescent="0.3">
      <c r="A575" s="100">
        <v>574</v>
      </c>
      <c r="B575" s="131">
        <f t="shared" si="413"/>
        <v>16616</v>
      </c>
      <c r="C575" s="102">
        <f t="shared" si="414"/>
        <v>0</v>
      </c>
      <c r="D575" s="102">
        <f t="shared" si="415"/>
        <v>0</v>
      </c>
      <c r="E575" s="102">
        <f t="shared" si="416"/>
        <v>0</v>
      </c>
      <c r="F575" s="102">
        <f t="shared" si="417"/>
        <v>0</v>
      </c>
      <c r="L575" s="100">
        <v>574</v>
      </c>
      <c r="M575" s="131">
        <f t="shared" ca="1" si="418"/>
        <v>63636</v>
      </c>
      <c r="N575" s="102">
        <f t="shared" si="419"/>
        <v>0</v>
      </c>
      <c r="O575" s="102">
        <f t="shared" si="420"/>
        <v>0</v>
      </c>
      <c r="P575" s="102">
        <f t="shared" si="421"/>
        <v>0</v>
      </c>
      <c r="Q575" s="102">
        <f t="shared" si="422"/>
        <v>0</v>
      </c>
      <c r="W575" s="100">
        <v>574</v>
      </c>
      <c r="X575" s="131">
        <f t="shared" ca="1" si="423"/>
        <v>63636</v>
      </c>
      <c r="Y575" s="102">
        <f t="shared" si="424"/>
        <v>0</v>
      </c>
      <c r="Z575" s="102">
        <f t="shared" si="425"/>
        <v>0</v>
      </c>
      <c r="AA575" s="102">
        <f t="shared" si="426"/>
        <v>0</v>
      </c>
      <c r="AB575" s="102">
        <f t="shared" si="427"/>
        <v>0</v>
      </c>
      <c r="AH575" s="100">
        <v>574</v>
      </c>
      <c r="AI575" s="131">
        <f t="shared" ca="1" si="428"/>
        <v>63636</v>
      </c>
      <c r="AJ575" s="102">
        <f t="shared" si="429"/>
        <v>0</v>
      </c>
      <c r="AK575" s="102">
        <f t="shared" si="430"/>
        <v>0</v>
      </c>
      <c r="AL575" s="102">
        <f t="shared" si="431"/>
        <v>0</v>
      </c>
      <c r="AM575" s="102">
        <f t="shared" si="432"/>
        <v>0</v>
      </c>
      <c r="AS575" s="530">
        <v>574</v>
      </c>
      <c r="AT575" s="531">
        <f t="shared" ca="1" si="402"/>
        <v>63636</v>
      </c>
      <c r="AU575" s="532">
        <f ca="1">IF(AU574=0,SUMIFS('Key Life Events'!$L$3:$L$28,'Key Life Events'!$H$3:$H$28,'Loan Amortization'!$AY$3,'Key Life Events'!$N$3:$N$28,'Loan Amortization'!AT575),AU574-AX574)</f>
        <v>0</v>
      </c>
      <c r="AV575" s="532">
        <f t="shared" ca="1" si="403"/>
        <v>0</v>
      </c>
      <c r="AW575" s="532">
        <f t="shared" ca="1" si="392"/>
        <v>0</v>
      </c>
      <c r="AX575" s="532">
        <f t="shared" ca="1" si="393"/>
        <v>0</v>
      </c>
      <c r="BC575" s="536">
        <f t="shared" ca="1" si="394"/>
        <v>2074</v>
      </c>
      <c r="BF575" s="530">
        <v>574</v>
      </c>
      <c r="BG575" s="531">
        <f t="shared" ca="1" si="404"/>
        <v>63636</v>
      </c>
      <c r="BH575" s="532">
        <f ca="1">IF(BH574=0,SUMIFS('Key Life Events'!$L$3:$L$28,'Key Life Events'!$H$3:$H$28,'Loan Amortization'!$BL$3,'Key Life Events'!$N$3:$N$28,'Loan Amortization'!BG575),BH574-BK574)</f>
        <v>0</v>
      </c>
      <c r="BI575" s="532">
        <f t="shared" ca="1" si="405"/>
        <v>0</v>
      </c>
      <c r="BJ575" s="532">
        <f t="shared" ca="1" si="406"/>
        <v>0</v>
      </c>
      <c r="BK575" s="532">
        <f t="shared" ca="1" si="395"/>
        <v>0</v>
      </c>
      <c r="BP575" s="536">
        <f t="shared" ca="1" si="396"/>
        <v>2074</v>
      </c>
      <c r="BS575" s="530">
        <v>574</v>
      </c>
      <c r="BT575" s="531">
        <f t="shared" ca="1" si="407"/>
        <v>63636</v>
      </c>
      <c r="BU575" s="532">
        <f ca="1">IF(BU574=0,SUMIFS('Key Life Events'!$L$3:$L$28,'Key Life Events'!$H$3:$H$28,'Loan Amortization'!$BY$3,'Key Life Events'!$N$3:$N$28,'Loan Amortization'!BT575),BU574-BX574)</f>
        <v>0</v>
      </c>
      <c r="BV575" s="532">
        <f t="shared" ca="1" si="412"/>
        <v>0</v>
      </c>
      <c r="BW575" s="532">
        <f t="shared" ca="1" si="408"/>
        <v>0</v>
      </c>
      <c r="BX575" s="532">
        <f t="shared" ca="1" si="397"/>
        <v>0</v>
      </c>
      <c r="CC575" s="536">
        <f t="shared" ca="1" si="398"/>
        <v>2074</v>
      </c>
      <c r="CF575" s="530">
        <v>574</v>
      </c>
      <c r="CG575" s="531">
        <f t="shared" ca="1" si="409"/>
        <v>63636</v>
      </c>
      <c r="CH575" s="532">
        <f ca="1">IF(CH574=0,SUMIFS('Key Life Events'!$L$3:$L$28,'Key Life Events'!$H$3:$H$28,'Loan Amortization'!$CL$3,'Key Life Events'!$N$3:$N$28,'Loan Amortization'!CG575),CH574-CK574)</f>
        <v>0</v>
      </c>
      <c r="CI575" s="532">
        <f t="shared" ca="1" si="410"/>
        <v>0</v>
      </c>
      <c r="CJ575" s="532">
        <f t="shared" ca="1" si="411"/>
        <v>0</v>
      </c>
      <c r="CK575" s="532">
        <f t="shared" ca="1" si="399"/>
        <v>0</v>
      </c>
      <c r="CP575" s="536">
        <f t="shared" ca="1" si="400"/>
        <v>2074</v>
      </c>
      <c r="CS575" s="100">
        <f t="shared" si="433"/>
        <v>574</v>
      </c>
      <c r="CT575" s="102">
        <f t="shared" ca="1" si="434"/>
        <v>0</v>
      </c>
      <c r="CU575" s="102">
        <f t="shared" ca="1" si="435"/>
        <v>0</v>
      </c>
      <c r="CV575" s="511">
        <f t="shared" ca="1" si="401"/>
        <v>2074</v>
      </c>
    </row>
    <row r="576" spans="1:100" x14ac:dyDescent="0.3">
      <c r="A576" s="100">
        <v>575</v>
      </c>
      <c r="B576" s="131">
        <f t="shared" si="413"/>
        <v>16646</v>
      </c>
      <c r="C576" s="102">
        <f t="shared" si="414"/>
        <v>0</v>
      </c>
      <c r="D576" s="102">
        <f t="shared" si="415"/>
        <v>0</v>
      </c>
      <c r="E576" s="102">
        <f t="shared" si="416"/>
        <v>0</v>
      </c>
      <c r="F576" s="102">
        <f t="shared" si="417"/>
        <v>0</v>
      </c>
      <c r="L576" s="100">
        <v>575</v>
      </c>
      <c r="M576" s="131">
        <f t="shared" ca="1" si="418"/>
        <v>63667</v>
      </c>
      <c r="N576" s="102">
        <f t="shared" si="419"/>
        <v>0</v>
      </c>
      <c r="O576" s="102">
        <f t="shared" si="420"/>
        <v>0</v>
      </c>
      <c r="P576" s="102">
        <f t="shared" si="421"/>
        <v>0</v>
      </c>
      <c r="Q576" s="102">
        <f t="shared" si="422"/>
        <v>0</v>
      </c>
      <c r="W576" s="100">
        <v>575</v>
      </c>
      <c r="X576" s="131">
        <f t="shared" ca="1" si="423"/>
        <v>63667</v>
      </c>
      <c r="Y576" s="102">
        <f t="shared" si="424"/>
        <v>0</v>
      </c>
      <c r="Z576" s="102">
        <f t="shared" si="425"/>
        <v>0</v>
      </c>
      <c r="AA576" s="102">
        <f t="shared" si="426"/>
        <v>0</v>
      </c>
      <c r="AB576" s="102">
        <f t="shared" si="427"/>
        <v>0</v>
      </c>
      <c r="AH576" s="100">
        <v>575</v>
      </c>
      <c r="AI576" s="131">
        <f t="shared" ca="1" si="428"/>
        <v>63667</v>
      </c>
      <c r="AJ576" s="102">
        <f t="shared" si="429"/>
        <v>0</v>
      </c>
      <c r="AK576" s="102">
        <f t="shared" si="430"/>
        <v>0</v>
      </c>
      <c r="AL576" s="102">
        <f t="shared" si="431"/>
        <v>0</v>
      </c>
      <c r="AM576" s="102">
        <f t="shared" si="432"/>
        <v>0</v>
      </c>
      <c r="AS576" s="530">
        <v>575</v>
      </c>
      <c r="AT576" s="531">
        <f t="shared" ca="1" si="402"/>
        <v>63667</v>
      </c>
      <c r="AU576" s="532">
        <f ca="1">IF(AU575=0,SUMIFS('Key Life Events'!$L$3:$L$28,'Key Life Events'!$H$3:$H$28,'Loan Amortization'!$AY$3,'Key Life Events'!$N$3:$N$28,'Loan Amortization'!AT576),AU575-AX575)</f>
        <v>0</v>
      </c>
      <c r="AV576" s="532">
        <f t="shared" ca="1" si="403"/>
        <v>0</v>
      </c>
      <c r="AW576" s="532">
        <f t="shared" ca="1" si="392"/>
        <v>0</v>
      </c>
      <c r="AX576" s="532">
        <f t="shared" ca="1" si="393"/>
        <v>0</v>
      </c>
      <c r="BC576" s="536">
        <f t="shared" ca="1" si="394"/>
        <v>2074</v>
      </c>
      <c r="BF576" s="530">
        <v>575</v>
      </c>
      <c r="BG576" s="531">
        <f t="shared" ca="1" si="404"/>
        <v>63667</v>
      </c>
      <c r="BH576" s="532">
        <f ca="1">IF(BH575=0,SUMIFS('Key Life Events'!$L$3:$L$28,'Key Life Events'!$H$3:$H$28,'Loan Amortization'!$BL$3,'Key Life Events'!$N$3:$N$28,'Loan Amortization'!BG576),BH575-BK575)</f>
        <v>0</v>
      </c>
      <c r="BI576" s="532">
        <f t="shared" ca="1" si="405"/>
        <v>0</v>
      </c>
      <c r="BJ576" s="532">
        <f t="shared" ca="1" si="406"/>
        <v>0</v>
      </c>
      <c r="BK576" s="532">
        <f t="shared" ca="1" si="395"/>
        <v>0</v>
      </c>
      <c r="BP576" s="536">
        <f t="shared" ca="1" si="396"/>
        <v>2074</v>
      </c>
      <c r="BS576" s="530">
        <v>575</v>
      </c>
      <c r="BT576" s="531">
        <f t="shared" ca="1" si="407"/>
        <v>63667</v>
      </c>
      <c r="BU576" s="532">
        <f ca="1">IF(BU575=0,SUMIFS('Key Life Events'!$L$3:$L$28,'Key Life Events'!$H$3:$H$28,'Loan Amortization'!$BY$3,'Key Life Events'!$N$3:$N$28,'Loan Amortization'!BT576),BU575-BX575)</f>
        <v>0</v>
      </c>
      <c r="BV576" s="532">
        <f t="shared" ca="1" si="412"/>
        <v>0</v>
      </c>
      <c r="BW576" s="532">
        <f t="shared" ca="1" si="408"/>
        <v>0</v>
      </c>
      <c r="BX576" s="532">
        <f t="shared" ca="1" si="397"/>
        <v>0</v>
      </c>
      <c r="CC576" s="536">
        <f t="shared" ca="1" si="398"/>
        <v>2074</v>
      </c>
      <c r="CF576" s="530">
        <v>575</v>
      </c>
      <c r="CG576" s="531">
        <f t="shared" ca="1" si="409"/>
        <v>63667</v>
      </c>
      <c r="CH576" s="532">
        <f ca="1">IF(CH575=0,SUMIFS('Key Life Events'!$L$3:$L$28,'Key Life Events'!$H$3:$H$28,'Loan Amortization'!$CL$3,'Key Life Events'!$N$3:$N$28,'Loan Amortization'!CG576),CH575-CK575)</f>
        <v>0</v>
      </c>
      <c r="CI576" s="532">
        <f t="shared" ca="1" si="410"/>
        <v>0</v>
      </c>
      <c r="CJ576" s="532">
        <f t="shared" ca="1" si="411"/>
        <v>0</v>
      </c>
      <c r="CK576" s="532">
        <f t="shared" ca="1" si="399"/>
        <v>0</v>
      </c>
      <c r="CP576" s="536">
        <f t="shared" ca="1" si="400"/>
        <v>2074</v>
      </c>
      <c r="CS576" s="100">
        <f t="shared" si="433"/>
        <v>575</v>
      </c>
      <c r="CT576" s="102">
        <f t="shared" ca="1" si="434"/>
        <v>0</v>
      </c>
      <c r="CU576" s="102">
        <f t="shared" ca="1" si="435"/>
        <v>0</v>
      </c>
      <c r="CV576" s="511">
        <f t="shared" ca="1" si="401"/>
        <v>2074</v>
      </c>
    </row>
    <row r="577" spans="1:100" x14ac:dyDescent="0.3">
      <c r="A577" s="100">
        <v>576</v>
      </c>
      <c r="B577" s="131">
        <f t="shared" si="413"/>
        <v>16677</v>
      </c>
      <c r="C577" s="102">
        <f t="shared" si="414"/>
        <v>0</v>
      </c>
      <c r="D577" s="102">
        <f t="shared" si="415"/>
        <v>0</v>
      </c>
      <c r="E577" s="102">
        <f t="shared" si="416"/>
        <v>0</v>
      </c>
      <c r="F577" s="102">
        <f t="shared" si="417"/>
        <v>0</v>
      </c>
      <c r="L577" s="100">
        <v>576</v>
      </c>
      <c r="M577" s="131">
        <f t="shared" ca="1" si="418"/>
        <v>63697</v>
      </c>
      <c r="N577" s="102">
        <f t="shared" si="419"/>
        <v>0</v>
      </c>
      <c r="O577" s="102">
        <f t="shared" si="420"/>
        <v>0</v>
      </c>
      <c r="P577" s="102">
        <f t="shared" si="421"/>
        <v>0</v>
      </c>
      <c r="Q577" s="102">
        <f t="shared" si="422"/>
        <v>0</v>
      </c>
      <c r="W577" s="100">
        <v>576</v>
      </c>
      <c r="X577" s="131">
        <f t="shared" ca="1" si="423"/>
        <v>63697</v>
      </c>
      <c r="Y577" s="102">
        <f t="shared" si="424"/>
        <v>0</v>
      </c>
      <c r="Z577" s="102">
        <f t="shared" si="425"/>
        <v>0</v>
      </c>
      <c r="AA577" s="102">
        <f t="shared" si="426"/>
        <v>0</v>
      </c>
      <c r="AB577" s="102">
        <f t="shared" si="427"/>
        <v>0</v>
      </c>
      <c r="AH577" s="100">
        <v>576</v>
      </c>
      <c r="AI577" s="131">
        <f t="shared" ca="1" si="428"/>
        <v>63697</v>
      </c>
      <c r="AJ577" s="102">
        <f t="shared" si="429"/>
        <v>0</v>
      </c>
      <c r="AK577" s="102">
        <f t="shared" si="430"/>
        <v>0</v>
      </c>
      <c r="AL577" s="102">
        <f t="shared" si="431"/>
        <v>0</v>
      </c>
      <c r="AM577" s="102">
        <f t="shared" si="432"/>
        <v>0</v>
      </c>
      <c r="AS577" s="530">
        <v>576</v>
      </c>
      <c r="AT577" s="531">
        <f t="shared" ca="1" si="402"/>
        <v>63697</v>
      </c>
      <c r="AU577" s="532">
        <f ca="1">IF(AU576=0,SUMIFS('Key Life Events'!$L$3:$L$28,'Key Life Events'!$H$3:$H$28,'Loan Amortization'!$AY$3,'Key Life Events'!$N$3:$N$28,'Loan Amortization'!AT577),AU576-AX576)</f>
        <v>0</v>
      </c>
      <c r="AV577" s="532">
        <f t="shared" ca="1" si="403"/>
        <v>0</v>
      </c>
      <c r="AW577" s="532">
        <f t="shared" ca="1" si="392"/>
        <v>0</v>
      </c>
      <c r="AX577" s="532">
        <f t="shared" ca="1" si="393"/>
        <v>0</v>
      </c>
      <c r="BC577" s="536">
        <f t="shared" ca="1" si="394"/>
        <v>2074</v>
      </c>
      <c r="BF577" s="530">
        <v>576</v>
      </c>
      <c r="BG577" s="531">
        <f t="shared" ca="1" si="404"/>
        <v>63697</v>
      </c>
      <c r="BH577" s="532">
        <f ca="1">IF(BH576=0,SUMIFS('Key Life Events'!$L$3:$L$28,'Key Life Events'!$H$3:$H$28,'Loan Amortization'!$BL$3,'Key Life Events'!$N$3:$N$28,'Loan Amortization'!BG577),BH576-BK576)</f>
        <v>0</v>
      </c>
      <c r="BI577" s="532">
        <f t="shared" ca="1" si="405"/>
        <v>0</v>
      </c>
      <c r="BJ577" s="532">
        <f t="shared" ca="1" si="406"/>
        <v>0</v>
      </c>
      <c r="BK577" s="532">
        <f t="shared" ca="1" si="395"/>
        <v>0</v>
      </c>
      <c r="BP577" s="536">
        <f t="shared" ca="1" si="396"/>
        <v>2074</v>
      </c>
      <c r="BS577" s="530">
        <v>576</v>
      </c>
      <c r="BT577" s="531">
        <f t="shared" ca="1" si="407"/>
        <v>63697</v>
      </c>
      <c r="BU577" s="532">
        <f ca="1">IF(BU576=0,SUMIFS('Key Life Events'!$L$3:$L$28,'Key Life Events'!$H$3:$H$28,'Loan Amortization'!$BY$3,'Key Life Events'!$N$3:$N$28,'Loan Amortization'!BT577),BU576-BX576)</f>
        <v>0</v>
      </c>
      <c r="BV577" s="532">
        <f t="shared" ca="1" si="412"/>
        <v>0</v>
      </c>
      <c r="BW577" s="532">
        <f t="shared" ca="1" si="408"/>
        <v>0</v>
      </c>
      <c r="BX577" s="532">
        <f t="shared" ca="1" si="397"/>
        <v>0</v>
      </c>
      <c r="CC577" s="536">
        <f t="shared" ca="1" si="398"/>
        <v>2074</v>
      </c>
      <c r="CF577" s="530">
        <v>576</v>
      </c>
      <c r="CG577" s="531">
        <f t="shared" ca="1" si="409"/>
        <v>63697</v>
      </c>
      <c r="CH577" s="532">
        <f ca="1">IF(CH576=0,SUMIFS('Key Life Events'!$L$3:$L$28,'Key Life Events'!$H$3:$H$28,'Loan Amortization'!$CL$3,'Key Life Events'!$N$3:$N$28,'Loan Amortization'!CG577),CH576-CK576)</f>
        <v>0</v>
      </c>
      <c r="CI577" s="532">
        <f t="shared" ca="1" si="410"/>
        <v>0</v>
      </c>
      <c r="CJ577" s="532">
        <f t="shared" ca="1" si="411"/>
        <v>0</v>
      </c>
      <c r="CK577" s="532">
        <f t="shared" ca="1" si="399"/>
        <v>0</v>
      </c>
      <c r="CP577" s="536">
        <f t="shared" ca="1" si="400"/>
        <v>2074</v>
      </c>
      <c r="CS577" s="100">
        <f t="shared" si="433"/>
        <v>576</v>
      </c>
      <c r="CT577" s="102">
        <f t="shared" ca="1" si="434"/>
        <v>0</v>
      </c>
      <c r="CU577" s="102">
        <f t="shared" ca="1" si="435"/>
        <v>0</v>
      </c>
      <c r="CV577" s="511">
        <f t="shared" ca="1" si="401"/>
        <v>2074</v>
      </c>
    </row>
    <row r="578" spans="1:100" x14ac:dyDescent="0.3">
      <c r="A578" s="100">
        <v>577</v>
      </c>
      <c r="B578" s="131">
        <f t="shared" si="413"/>
        <v>16708</v>
      </c>
      <c r="C578" s="102">
        <f t="shared" si="414"/>
        <v>0</v>
      </c>
      <c r="D578" s="102">
        <f t="shared" si="415"/>
        <v>0</v>
      </c>
      <c r="E578" s="102">
        <f t="shared" si="416"/>
        <v>0</v>
      </c>
      <c r="F578" s="102">
        <f t="shared" si="417"/>
        <v>0</v>
      </c>
      <c r="L578" s="100">
        <v>577</v>
      </c>
      <c r="M578" s="131">
        <f t="shared" ca="1" si="418"/>
        <v>63728</v>
      </c>
      <c r="N578" s="102">
        <f t="shared" si="419"/>
        <v>0</v>
      </c>
      <c r="O578" s="102">
        <f t="shared" si="420"/>
        <v>0</v>
      </c>
      <c r="P578" s="102">
        <f t="shared" si="421"/>
        <v>0</v>
      </c>
      <c r="Q578" s="102">
        <f t="shared" si="422"/>
        <v>0</v>
      </c>
      <c r="W578" s="100">
        <v>577</v>
      </c>
      <c r="X578" s="131">
        <f t="shared" ca="1" si="423"/>
        <v>63728</v>
      </c>
      <c r="Y578" s="102">
        <f t="shared" si="424"/>
        <v>0</v>
      </c>
      <c r="Z578" s="102">
        <f t="shared" si="425"/>
        <v>0</v>
      </c>
      <c r="AA578" s="102">
        <f t="shared" si="426"/>
        <v>0</v>
      </c>
      <c r="AB578" s="102">
        <f t="shared" si="427"/>
        <v>0</v>
      </c>
      <c r="AH578" s="100">
        <v>577</v>
      </c>
      <c r="AI578" s="131">
        <f t="shared" ca="1" si="428"/>
        <v>63728</v>
      </c>
      <c r="AJ578" s="102">
        <f t="shared" si="429"/>
        <v>0</v>
      </c>
      <c r="AK578" s="102">
        <f t="shared" si="430"/>
        <v>0</v>
      </c>
      <c r="AL578" s="102">
        <f t="shared" si="431"/>
        <v>0</v>
      </c>
      <c r="AM578" s="102">
        <f t="shared" si="432"/>
        <v>0</v>
      </c>
      <c r="AS578" s="530">
        <v>577</v>
      </c>
      <c r="AT578" s="531">
        <f t="shared" ca="1" si="402"/>
        <v>63728</v>
      </c>
      <c r="AU578" s="532">
        <f ca="1">IF(AU577=0,SUMIFS('Key Life Events'!$L$3:$L$28,'Key Life Events'!$H$3:$H$28,'Loan Amortization'!$AY$3,'Key Life Events'!$N$3:$N$28,'Loan Amortization'!AT578),AU577-AX577)</f>
        <v>0</v>
      </c>
      <c r="AV578" s="532">
        <f t="shared" ca="1" si="403"/>
        <v>0</v>
      </c>
      <c r="AW578" s="532">
        <f t="shared" ref="AW578:AW641" ca="1" si="436">(AU578*AZ$1)/12</f>
        <v>0</v>
      </c>
      <c r="AX578" s="532">
        <f t="shared" ca="1" si="393"/>
        <v>0</v>
      </c>
      <c r="BC578" s="536">
        <f t="shared" ca="1" si="394"/>
        <v>2074</v>
      </c>
      <c r="BF578" s="530">
        <v>577</v>
      </c>
      <c r="BG578" s="531">
        <f t="shared" ca="1" si="404"/>
        <v>63728</v>
      </c>
      <c r="BH578" s="532">
        <f ca="1">IF(BH577=0,SUMIFS('Key Life Events'!$L$3:$L$28,'Key Life Events'!$H$3:$H$28,'Loan Amortization'!$BL$3,'Key Life Events'!$N$3:$N$28,'Loan Amortization'!BG578),BH577-BK577)</f>
        <v>0</v>
      </c>
      <c r="BI578" s="532">
        <f t="shared" ca="1" si="405"/>
        <v>0</v>
      </c>
      <c r="BJ578" s="532">
        <f t="shared" ca="1" si="406"/>
        <v>0</v>
      </c>
      <c r="BK578" s="532">
        <f t="shared" ca="1" si="395"/>
        <v>0</v>
      </c>
      <c r="BP578" s="536">
        <f t="shared" ca="1" si="396"/>
        <v>2074</v>
      </c>
      <c r="BS578" s="530">
        <v>577</v>
      </c>
      <c r="BT578" s="531">
        <f t="shared" ca="1" si="407"/>
        <v>63728</v>
      </c>
      <c r="BU578" s="532">
        <f ca="1">IF(BU577=0,SUMIFS('Key Life Events'!$L$3:$L$28,'Key Life Events'!$H$3:$H$28,'Loan Amortization'!$BY$3,'Key Life Events'!$N$3:$N$28,'Loan Amortization'!BT578),BU577-BX577)</f>
        <v>0</v>
      </c>
      <c r="BV578" s="532">
        <f t="shared" ca="1" si="412"/>
        <v>0</v>
      </c>
      <c r="BW578" s="532">
        <f t="shared" ca="1" si="408"/>
        <v>0</v>
      </c>
      <c r="BX578" s="532">
        <f t="shared" ca="1" si="397"/>
        <v>0</v>
      </c>
      <c r="CC578" s="536">
        <f t="shared" ca="1" si="398"/>
        <v>2074</v>
      </c>
      <c r="CF578" s="530">
        <v>577</v>
      </c>
      <c r="CG578" s="531">
        <f t="shared" ca="1" si="409"/>
        <v>63728</v>
      </c>
      <c r="CH578" s="532">
        <f ca="1">IF(CH577=0,SUMIFS('Key Life Events'!$L$3:$L$28,'Key Life Events'!$H$3:$H$28,'Loan Amortization'!$CL$3,'Key Life Events'!$N$3:$N$28,'Loan Amortization'!CG578),CH577-CK577)</f>
        <v>0</v>
      </c>
      <c r="CI578" s="532">
        <f t="shared" ca="1" si="410"/>
        <v>0</v>
      </c>
      <c r="CJ578" s="532">
        <f t="shared" ca="1" si="411"/>
        <v>0</v>
      </c>
      <c r="CK578" s="532">
        <f t="shared" ca="1" si="399"/>
        <v>0</v>
      </c>
      <c r="CP578" s="536">
        <f t="shared" ca="1" si="400"/>
        <v>2074</v>
      </c>
      <c r="CS578" s="100">
        <f t="shared" si="433"/>
        <v>577</v>
      </c>
      <c r="CT578" s="102">
        <f t="shared" ca="1" si="434"/>
        <v>0</v>
      </c>
      <c r="CU578" s="102">
        <f t="shared" ca="1" si="435"/>
        <v>0</v>
      </c>
      <c r="CV578" s="511">
        <f t="shared" ca="1" si="401"/>
        <v>2074</v>
      </c>
    </row>
    <row r="579" spans="1:100" x14ac:dyDescent="0.3">
      <c r="A579" s="100">
        <v>578</v>
      </c>
      <c r="B579" s="131">
        <f t="shared" si="413"/>
        <v>16738</v>
      </c>
      <c r="C579" s="102">
        <f t="shared" si="414"/>
        <v>0</v>
      </c>
      <c r="D579" s="102">
        <f t="shared" si="415"/>
        <v>0</v>
      </c>
      <c r="E579" s="102">
        <f t="shared" si="416"/>
        <v>0</v>
      </c>
      <c r="F579" s="102">
        <f t="shared" si="417"/>
        <v>0</v>
      </c>
      <c r="L579" s="100">
        <v>578</v>
      </c>
      <c r="M579" s="131">
        <f t="shared" ca="1" si="418"/>
        <v>63758</v>
      </c>
      <c r="N579" s="102">
        <f t="shared" si="419"/>
        <v>0</v>
      </c>
      <c r="O579" s="102">
        <f t="shared" si="420"/>
        <v>0</v>
      </c>
      <c r="P579" s="102">
        <f t="shared" si="421"/>
        <v>0</v>
      </c>
      <c r="Q579" s="102">
        <f t="shared" si="422"/>
        <v>0</v>
      </c>
      <c r="W579" s="100">
        <v>578</v>
      </c>
      <c r="X579" s="131">
        <f t="shared" ca="1" si="423"/>
        <v>63758</v>
      </c>
      <c r="Y579" s="102">
        <f t="shared" si="424"/>
        <v>0</v>
      </c>
      <c r="Z579" s="102">
        <f t="shared" si="425"/>
        <v>0</v>
      </c>
      <c r="AA579" s="102">
        <f t="shared" si="426"/>
        <v>0</v>
      </c>
      <c r="AB579" s="102">
        <f t="shared" si="427"/>
        <v>0</v>
      </c>
      <c r="AH579" s="100">
        <v>578</v>
      </c>
      <c r="AI579" s="131">
        <f t="shared" ca="1" si="428"/>
        <v>63758</v>
      </c>
      <c r="AJ579" s="102">
        <f t="shared" si="429"/>
        <v>0</v>
      </c>
      <c r="AK579" s="102">
        <f t="shared" si="430"/>
        <v>0</v>
      </c>
      <c r="AL579" s="102">
        <f t="shared" si="431"/>
        <v>0</v>
      </c>
      <c r="AM579" s="102">
        <f t="shared" si="432"/>
        <v>0</v>
      </c>
      <c r="AS579" s="530">
        <v>578</v>
      </c>
      <c r="AT579" s="531">
        <f t="shared" ca="1" si="402"/>
        <v>63758</v>
      </c>
      <c r="AU579" s="532">
        <f ca="1">IF(AU578=0,SUMIFS('Key Life Events'!$L$3:$L$28,'Key Life Events'!$H$3:$H$28,'Loan Amortization'!$AY$3,'Key Life Events'!$N$3:$N$28,'Loan Amortization'!AT579),AU578-AX578)</f>
        <v>0</v>
      </c>
      <c r="AV579" s="532">
        <f t="shared" ca="1" si="403"/>
        <v>0</v>
      </c>
      <c r="AW579" s="532">
        <f t="shared" ca="1" si="436"/>
        <v>0</v>
      </c>
      <c r="AX579" s="532">
        <f t="shared" ref="AX579:AX642" ca="1" si="437">AV579-AW579</f>
        <v>0</v>
      </c>
      <c r="BC579" s="536">
        <f t="shared" ref="BC579:BC642" ca="1" si="438">YEAR(AT579)</f>
        <v>2074</v>
      </c>
      <c r="BF579" s="530">
        <v>578</v>
      </c>
      <c r="BG579" s="531">
        <f t="shared" ca="1" si="404"/>
        <v>63758</v>
      </c>
      <c r="BH579" s="532">
        <f ca="1">IF(BH578=0,SUMIFS('Key Life Events'!$L$3:$L$28,'Key Life Events'!$H$3:$H$28,'Loan Amortization'!$BL$3,'Key Life Events'!$N$3:$N$28,'Loan Amortization'!BG579),BH578-BK578)</f>
        <v>0</v>
      </c>
      <c r="BI579" s="532">
        <f t="shared" ca="1" si="405"/>
        <v>0</v>
      </c>
      <c r="BJ579" s="532">
        <f t="shared" ca="1" si="406"/>
        <v>0</v>
      </c>
      <c r="BK579" s="532">
        <f t="shared" ref="BK579:BK642" ca="1" si="439">BI579-BJ579</f>
        <v>0</v>
      </c>
      <c r="BP579" s="536">
        <f t="shared" ref="BP579:BP642" ca="1" si="440">YEAR(BG579)</f>
        <v>2074</v>
      </c>
      <c r="BS579" s="530">
        <v>578</v>
      </c>
      <c r="BT579" s="531">
        <f t="shared" ca="1" si="407"/>
        <v>63758</v>
      </c>
      <c r="BU579" s="532">
        <f ca="1">IF(BU578=0,SUMIFS('Key Life Events'!$L$3:$L$28,'Key Life Events'!$H$3:$H$28,'Loan Amortization'!$BY$3,'Key Life Events'!$N$3:$N$28,'Loan Amortization'!BT579),BU578-BX578)</f>
        <v>0</v>
      </c>
      <c r="BV579" s="532">
        <f t="shared" ca="1" si="412"/>
        <v>0</v>
      </c>
      <c r="BW579" s="532">
        <f t="shared" ca="1" si="408"/>
        <v>0</v>
      </c>
      <c r="BX579" s="532">
        <f t="shared" ref="BX579:BX642" ca="1" si="441">BV579-BW579</f>
        <v>0</v>
      </c>
      <c r="CC579" s="536">
        <f t="shared" ref="CC579:CC642" ca="1" si="442">YEAR(BT579)</f>
        <v>2074</v>
      </c>
      <c r="CF579" s="530">
        <v>578</v>
      </c>
      <c r="CG579" s="531">
        <f t="shared" ca="1" si="409"/>
        <v>63758</v>
      </c>
      <c r="CH579" s="532">
        <f ca="1">IF(CH578=0,SUMIFS('Key Life Events'!$L$3:$L$28,'Key Life Events'!$H$3:$H$28,'Loan Amortization'!$CL$3,'Key Life Events'!$N$3:$N$28,'Loan Amortization'!CG579),CH578-CK578)</f>
        <v>0</v>
      </c>
      <c r="CI579" s="532">
        <f t="shared" ca="1" si="410"/>
        <v>0</v>
      </c>
      <c r="CJ579" s="532">
        <f t="shared" ca="1" si="411"/>
        <v>0</v>
      </c>
      <c r="CK579" s="532">
        <f t="shared" ref="CK579:CK642" ca="1" si="443">CI579-CJ579</f>
        <v>0</v>
      </c>
      <c r="CP579" s="536">
        <f t="shared" ref="CP579:CP642" ca="1" si="444">YEAR(CG579)</f>
        <v>2074</v>
      </c>
      <c r="CS579" s="100">
        <f t="shared" si="433"/>
        <v>578</v>
      </c>
      <c r="CT579" s="102">
        <f t="shared" ca="1" si="434"/>
        <v>0</v>
      </c>
      <c r="CU579" s="102">
        <f t="shared" ca="1" si="435"/>
        <v>0</v>
      </c>
      <c r="CV579" s="511">
        <f t="shared" ref="CV579:CV642" ca="1" si="445">MAX(TEXT(B579,"yyyy"),TEXT(M579,"yyyy"),TEXT(X579,"yyyy"),TEXT(AT579,"yyyy"),TEXT(AI579,"yyyy"),TEXT(BG579,"yyyy"),TEXT(BT579,"yyyy"),TEXT(CG579,"yyyy"))</f>
        <v>2074</v>
      </c>
    </row>
    <row r="580" spans="1:100" x14ac:dyDescent="0.3">
      <c r="A580" s="100">
        <v>579</v>
      </c>
      <c r="B580" s="131">
        <f t="shared" si="413"/>
        <v>16769</v>
      </c>
      <c r="C580" s="102">
        <f t="shared" si="414"/>
        <v>0</v>
      </c>
      <c r="D580" s="102">
        <f t="shared" si="415"/>
        <v>0</v>
      </c>
      <c r="E580" s="102">
        <f t="shared" si="416"/>
        <v>0</v>
      </c>
      <c r="F580" s="102">
        <f t="shared" si="417"/>
        <v>0</v>
      </c>
      <c r="L580" s="100">
        <v>579</v>
      </c>
      <c r="M580" s="131">
        <f t="shared" ca="1" si="418"/>
        <v>63789</v>
      </c>
      <c r="N580" s="102">
        <f t="shared" si="419"/>
        <v>0</v>
      </c>
      <c r="O580" s="102">
        <f t="shared" si="420"/>
        <v>0</v>
      </c>
      <c r="P580" s="102">
        <f t="shared" si="421"/>
        <v>0</v>
      </c>
      <c r="Q580" s="102">
        <f t="shared" si="422"/>
        <v>0</v>
      </c>
      <c r="W580" s="100">
        <v>579</v>
      </c>
      <c r="X580" s="131">
        <f t="shared" ca="1" si="423"/>
        <v>63789</v>
      </c>
      <c r="Y580" s="102">
        <f t="shared" si="424"/>
        <v>0</v>
      </c>
      <c r="Z580" s="102">
        <f t="shared" si="425"/>
        <v>0</v>
      </c>
      <c r="AA580" s="102">
        <f t="shared" si="426"/>
        <v>0</v>
      </c>
      <c r="AB580" s="102">
        <f t="shared" si="427"/>
        <v>0</v>
      </c>
      <c r="AH580" s="100">
        <v>579</v>
      </c>
      <c r="AI580" s="131">
        <f t="shared" ca="1" si="428"/>
        <v>63789</v>
      </c>
      <c r="AJ580" s="102">
        <f t="shared" si="429"/>
        <v>0</v>
      </c>
      <c r="AK580" s="102">
        <f t="shared" si="430"/>
        <v>0</v>
      </c>
      <c r="AL580" s="102">
        <f t="shared" si="431"/>
        <v>0</v>
      </c>
      <c r="AM580" s="102">
        <f t="shared" si="432"/>
        <v>0</v>
      </c>
      <c r="AS580" s="530">
        <v>579</v>
      </c>
      <c r="AT580" s="531">
        <f t="shared" ref="AT580:AT643" ca="1" si="446">IF(AU579&lt;AV579,,EDATE(AT579,1))</f>
        <v>63789</v>
      </c>
      <c r="AU580" s="532">
        <f ca="1">IF(AU579=0,SUMIFS('Key Life Events'!$L$3:$L$28,'Key Life Events'!$H$3:$H$28,'Loan Amortization'!$AY$3,'Key Life Events'!$N$3:$N$28,'Loan Amortization'!AT580),AU579-AX579)</f>
        <v>0</v>
      </c>
      <c r="AV580" s="532">
        <f t="shared" ref="AV580:AV643" ca="1" si="447">IF(AND(AU579=0,AU580&gt;0),PMT($AZ$1/12,$BB$1*12,-AU580,0,0),IF(AU580&lt;=AV579,AU580+AW580,AV579))</f>
        <v>0</v>
      </c>
      <c r="AW580" s="532">
        <f t="shared" ca="1" si="436"/>
        <v>0</v>
      </c>
      <c r="AX580" s="532">
        <f t="shared" ca="1" si="437"/>
        <v>0</v>
      </c>
      <c r="BC580" s="536">
        <f t="shared" ca="1" si="438"/>
        <v>2074</v>
      </c>
      <c r="BF580" s="530">
        <v>579</v>
      </c>
      <c r="BG580" s="531">
        <f t="shared" ref="BG580:BG643" ca="1" si="448">IF(BH579&lt;BI579,,EDATE(BG579,1))</f>
        <v>63789</v>
      </c>
      <c r="BH580" s="532">
        <f ca="1">IF(BH579=0,SUMIFS('Key Life Events'!$L$3:$L$28,'Key Life Events'!$H$3:$H$28,'Loan Amortization'!$BL$3,'Key Life Events'!$N$3:$N$28,'Loan Amortization'!BG580),BH579-BK579)</f>
        <v>0</v>
      </c>
      <c r="BI580" s="532">
        <f t="shared" ref="BI580:BI643" ca="1" si="449">IF(AND(BH579=0,BH580&gt;0),PMT(BM$1/12,BO$1*12,-BH580,0,0),IF(BH580&lt;=BI579,BH580+BJ580,BI579))</f>
        <v>0</v>
      </c>
      <c r="BJ580" s="532">
        <f t="shared" ref="BJ580:BJ643" ca="1" si="450">(BH580*BM$1)/12</f>
        <v>0</v>
      </c>
      <c r="BK580" s="532">
        <f t="shared" ca="1" si="439"/>
        <v>0</v>
      </c>
      <c r="BP580" s="536">
        <f t="shared" ca="1" si="440"/>
        <v>2074</v>
      </c>
      <c r="BS580" s="530">
        <v>579</v>
      </c>
      <c r="BT580" s="531">
        <f t="shared" ref="BT580:BT643" ca="1" si="451">IF(BU579&lt;BV579,,EDATE(BT579,1))</f>
        <v>63789</v>
      </c>
      <c r="BU580" s="532">
        <f ca="1">IF(BU579=0,SUMIFS('Key Life Events'!$L$3:$L$28,'Key Life Events'!$H$3:$H$28,'Loan Amortization'!$BY$3,'Key Life Events'!$N$3:$N$28,'Loan Amortization'!BT580),BU579-BX579)</f>
        <v>0</v>
      </c>
      <c r="BV580" s="532">
        <f t="shared" ca="1" si="412"/>
        <v>0</v>
      </c>
      <c r="BW580" s="532">
        <f t="shared" ref="BW580:BW643" ca="1" si="452">(BU580*BZ$1)/12</f>
        <v>0</v>
      </c>
      <c r="BX580" s="532">
        <f t="shared" ca="1" si="441"/>
        <v>0</v>
      </c>
      <c r="CC580" s="536">
        <f t="shared" ca="1" si="442"/>
        <v>2074</v>
      </c>
      <c r="CF580" s="530">
        <v>579</v>
      </c>
      <c r="CG580" s="531">
        <f t="shared" ref="CG580:CG643" ca="1" si="453">IF(CH579&lt;CI579,,EDATE(CG579,1))</f>
        <v>63789</v>
      </c>
      <c r="CH580" s="532">
        <f ca="1">IF(CH579=0,SUMIFS('Key Life Events'!$L$3:$L$28,'Key Life Events'!$H$3:$H$28,'Loan Amortization'!$CL$3,'Key Life Events'!$N$3:$N$28,'Loan Amortization'!CG580),CH579-CK579)</f>
        <v>0</v>
      </c>
      <c r="CI580" s="532">
        <f t="shared" ref="CI580:CI643" ca="1" si="454">IF(AND(CH579=0,CH580&gt;0),PMT(CM$1/12,CO$1*12,-CH580,0,0),IF(CH580&lt;=CI579,CH580+CJ580,CI579))</f>
        <v>0</v>
      </c>
      <c r="CJ580" s="532">
        <f t="shared" ref="CJ580:CJ643" ca="1" si="455">(CH580*CM$1)/12</f>
        <v>0</v>
      </c>
      <c r="CK580" s="532">
        <f t="shared" ca="1" si="443"/>
        <v>0</v>
      </c>
      <c r="CP580" s="536">
        <f t="shared" ca="1" si="444"/>
        <v>2074</v>
      </c>
      <c r="CS580" s="100">
        <f t="shared" si="433"/>
        <v>579</v>
      </c>
      <c r="CT580" s="102">
        <f t="shared" ca="1" si="434"/>
        <v>0</v>
      </c>
      <c r="CU580" s="102">
        <f t="shared" ca="1" si="435"/>
        <v>0</v>
      </c>
      <c r="CV580" s="511">
        <f t="shared" ca="1" si="445"/>
        <v>2074</v>
      </c>
    </row>
    <row r="581" spans="1:100" x14ac:dyDescent="0.3">
      <c r="A581" s="100">
        <v>580</v>
      </c>
      <c r="B581" s="131">
        <f t="shared" si="413"/>
        <v>16799</v>
      </c>
      <c r="C581" s="102">
        <f t="shared" si="414"/>
        <v>0</v>
      </c>
      <c r="D581" s="102">
        <f t="shared" si="415"/>
        <v>0</v>
      </c>
      <c r="E581" s="102">
        <f t="shared" si="416"/>
        <v>0</v>
      </c>
      <c r="F581" s="102">
        <f t="shared" si="417"/>
        <v>0</v>
      </c>
      <c r="L581" s="100">
        <v>580</v>
      </c>
      <c r="M581" s="131">
        <f t="shared" ca="1" si="418"/>
        <v>63820</v>
      </c>
      <c r="N581" s="102">
        <f t="shared" si="419"/>
        <v>0</v>
      </c>
      <c r="O581" s="102">
        <f t="shared" si="420"/>
        <v>0</v>
      </c>
      <c r="P581" s="102">
        <f t="shared" si="421"/>
        <v>0</v>
      </c>
      <c r="Q581" s="102">
        <f t="shared" si="422"/>
        <v>0</v>
      </c>
      <c r="W581" s="100">
        <v>580</v>
      </c>
      <c r="X581" s="131">
        <f t="shared" ca="1" si="423"/>
        <v>63820</v>
      </c>
      <c r="Y581" s="102">
        <f t="shared" si="424"/>
        <v>0</v>
      </c>
      <c r="Z581" s="102">
        <f t="shared" si="425"/>
        <v>0</v>
      </c>
      <c r="AA581" s="102">
        <f t="shared" si="426"/>
        <v>0</v>
      </c>
      <c r="AB581" s="102">
        <f t="shared" si="427"/>
        <v>0</v>
      </c>
      <c r="AH581" s="100">
        <v>580</v>
      </c>
      <c r="AI581" s="131">
        <f t="shared" ca="1" si="428"/>
        <v>63820</v>
      </c>
      <c r="AJ581" s="102">
        <f t="shared" si="429"/>
        <v>0</v>
      </c>
      <c r="AK581" s="102">
        <f t="shared" si="430"/>
        <v>0</v>
      </c>
      <c r="AL581" s="102">
        <f t="shared" si="431"/>
        <v>0</v>
      </c>
      <c r="AM581" s="102">
        <f t="shared" si="432"/>
        <v>0</v>
      </c>
      <c r="AS581" s="530">
        <v>580</v>
      </c>
      <c r="AT581" s="531">
        <f t="shared" ca="1" si="446"/>
        <v>63820</v>
      </c>
      <c r="AU581" s="532">
        <f ca="1">IF(AU580=0,SUMIFS('Key Life Events'!$L$3:$L$28,'Key Life Events'!$H$3:$H$28,'Loan Amortization'!$AY$3,'Key Life Events'!$N$3:$N$28,'Loan Amortization'!AT581),AU580-AX580)</f>
        <v>0</v>
      </c>
      <c r="AV581" s="532">
        <f t="shared" ca="1" si="447"/>
        <v>0</v>
      </c>
      <c r="AW581" s="532">
        <f t="shared" ca="1" si="436"/>
        <v>0</v>
      </c>
      <c r="AX581" s="532">
        <f t="shared" ca="1" si="437"/>
        <v>0</v>
      </c>
      <c r="BC581" s="536">
        <f t="shared" ca="1" si="438"/>
        <v>2074</v>
      </c>
      <c r="BF581" s="530">
        <v>580</v>
      </c>
      <c r="BG581" s="531">
        <f t="shared" ca="1" si="448"/>
        <v>63820</v>
      </c>
      <c r="BH581" s="532">
        <f ca="1">IF(BH580=0,SUMIFS('Key Life Events'!$L$3:$L$28,'Key Life Events'!$H$3:$H$28,'Loan Amortization'!$BL$3,'Key Life Events'!$N$3:$N$28,'Loan Amortization'!BG581),BH580-BK580)</f>
        <v>0</v>
      </c>
      <c r="BI581" s="532">
        <f t="shared" ca="1" si="449"/>
        <v>0</v>
      </c>
      <c r="BJ581" s="532">
        <f t="shared" ca="1" si="450"/>
        <v>0</v>
      </c>
      <c r="BK581" s="532">
        <f t="shared" ca="1" si="439"/>
        <v>0</v>
      </c>
      <c r="BP581" s="536">
        <f t="shared" ca="1" si="440"/>
        <v>2074</v>
      </c>
      <c r="BS581" s="530">
        <v>580</v>
      </c>
      <c r="BT581" s="531">
        <f t="shared" ca="1" si="451"/>
        <v>63820</v>
      </c>
      <c r="BU581" s="532">
        <f ca="1">IF(BU580=0,SUMIFS('Key Life Events'!$L$3:$L$28,'Key Life Events'!$H$3:$H$28,'Loan Amortization'!$BY$3,'Key Life Events'!$N$3:$N$28,'Loan Amortization'!BT581),BU580-BX580)</f>
        <v>0</v>
      </c>
      <c r="BV581" s="532">
        <f t="shared" ca="1" si="412"/>
        <v>0</v>
      </c>
      <c r="BW581" s="532">
        <f t="shared" ca="1" si="452"/>
        <v>0</v>
      </c>
      <c r="BX581" s="532">
        <f t="shared" ca="1" si="441"/>
        <v>0</v>
      </c>
      <c r="CC581" s="536">
        <f t="shared" ca="1" si="442"/>
        <v>2074</v>
      </c>
      <c r="CF581" s="530">
        <v>580</v>
      </c>
      <c r="CG581" s="531">
        <f t="shared" ca="1" si="453"/>
        <v>63820</v>
      </c>
      <c r="CH581" s="532">
        <f ca="1">IF(CH580=0,SUMIFS('Key Life Events'!$L$3:$L$28,'Key Life Events'!$H$3:$H$28,'Loan Amortization'!$CL$3,'Key Life Events'!$N$3:$N$28,'Loan Amortization'!CG581),CH580-CK580)</f>
        <v>0</v>
      </c>
      <c r="CI581" s="532">
        <f t="shared" ca="1" si="454"/>
        <v>0</v>
      </c>
      <c r="CJ581" s="532">
        <f t="shared" ca="1" si="455"/>
        <v>0</v>
      </c>
      <c r="CK581" s="532">
        <f t="shared" ca="1" si="443"/>
        <v>0</v>
      </c>
      <c r="CP581" s="536">
        <f t="shared" ca="1" si="444"/>
        <v>2074</v>
      </c>
      <c r="CS581" s="100">
        <f t="shared" si="433"/>
        <v>580</v>
      </c>
      <c r="CT581" s="102">
        <f t="shared" ca="1" si="434"/>
        <v>0</v>
      </c>
      <c r="CU581" s="102">
        <f t="shared" ca="1" si="435"/>
        <v>0</v>
      </c>
      <c r="CV581" s="511">
        <f t="shared" ca="1" si="445"/>
        <v>2074</v>
      </c>
    </row>
    <row r="582" spans="1:100" x14ac:dyDescent="0.3">
      <c r="A582" s="100">
        <v>581</v>
      </c>
      <c r="B582" s="131">
        <f t="shared" si="413"/>
        <v>16830</v>
      </c>
      <c r="C582" s="102">
        <f t="shared" si="414"/>
        <v>0</v>
      </c>
      <c r="D582" s="102">
        <f t="shared" si="415"/>
        <v>0</v>
      </c>
      <c r="E582" s="102">
        <f t="shared" si="416"/>
        <v>0</v>
      </c>
      <c r="F582" s="102">
        <f t="shared" si="417"/>
        <v>0</v>
      </c>
      <c r="L582" s="100">
        <v>581</v>
      </c>
      <c r="M582" s="131">
        <f t="shared" ca="1" si="418"/>
        <v>63850</v>
      </c>
      <c r="N582" s="102">
        <f t="shared" si="419"/>
        <v>0</v>
      </c>
      <c r="O582" s="102">
        <f t="shared" si="420"/>
        <v>0</v>
      </c>
      <c r="P582" s="102">
        <f t="shared" si="421"/>
        <v>0</v>
      </c>
      <c r="Q582" s="102">
        <f t="shared" si="422"/>
        <v>0</v>
      </c>
      <c r="W582" s="100">
        <v>581</v>
      </c>
      <c r="X582" s="131">
        <f t="shared" ca="1" si="423"/>
        <v>63850</v>
      </c>
      <c r="Y582" s="102">
        <f t="shared" si="424"/>
        <v>0</v>
      </c>
      <c r="Z582" s="102">
        <f t="shared" si="425"/>
        <v>0</v>
      </c>
      <c r="AA582" s="102">
        <f t="shared" si="426"/>
        <v>0</v>
      </c>
      <c r="AB582" s="102">
        <f t="shared" si="427"/>
        <v>0</v>
      </c>
      <c r="AH582" s="100">
        <v>581</v>
      </c>
      <c r="AI582" s="131">
        <f t="shared" ca="1" si="428"/>
        <v>63850</v>
      </c>
      <c r="AJ582" s="102">
        <f t="shared" si="429"/>
        <v>0</v>
      </c>
      <c r="AK582" s="102">
        <f t="shared" si="430"/>
        <v>0</v>
      </c>
      <c r="AL582" s="102">
        <f t="shared" si="431"/>
        <v>0</v>
      </c>
      <c r="AM582" s="102">
        <f t="shared" si="432"/>
        <v>0</v>
      </c>
      <c r="AS582" s="530">
        <v>581</v>
      </c>
      <c r="AT582" s="531">
        <f t="shared" ca="1" si="446"/>
        <v>63850</v>
      </c>
      <c r="AU582" s="532">
        <f ca="1">IF(AU581=0,SUMIFS('Key Life Events'!$L$3:$L$28,'Key Life Events'!$H$3:$H$28,'Loan Amortization'!$AY$3,'Key Life Events'!$N$3:$N$28,'Loan Amortization'!AT582),AU581-AX581)</f>
        <v>0</v>
      </c>
      <c r="AV582" s="532">
        <f t="shared" ca="1" si="447"/>
        <v>0</v>
      </c>
      <c r="AW582" s="532">
        <f t="shared" ca="1" si="436"/>
        <v>0</v>
      </c>
      <c r="AX582" s="532">
        <f t="shared" ca="1" si="437"/>
        <v>0</v>
      </c>
      <c r="BC582" s="536">
        <f t="shared" ca="1" si="438"/>
        <v>2074</v>
      </c>
      <c r="BF582" s="530">
        <v>581</v>
      </c>
      <c r="BG582" s="531">
        <f t="shared" ca="1" si="448"/>
        <v>63850</v>
      </c>
      <c r="BH582" s="532">
        <f ca="1">IF(BH581=0,SUMIFS('Key Life Events'!$L$3:$L$28,'Key Life Events'!$H$3:$H$28,'Loan Amortization'!$BL$3,'Key Life Events'!$N$3:$N$28,'Loan Amortization'!BG582),BH581-BK581)</f>
        <v>0</v>
      </c>
      <c r="BI582" s="532">
        <f t="shared" ca="1" si="449"/>
        <v>0</v>
      </c>
      <c r="BJ582" s="532">
        <f t="shared" ca="1" si="450"/>
        <v>0</v>
      </c>
      <c r="BK582" s="532">
        <f t="shared" ca="1" si="439"/>
        <v>0</v>
      </c>
      <c r="BP582" s="536">
        <f t="shared" ca="1" si="440"/>
        <v>2074</v>
      </c>
      <c r="BS582" s="530">
        <v>581</v>
      </c>
      <c r="BT582" s="531">
        <f t="shared" ca="1" si="451"/>
        <v>63850</v>
      </c>
      <c r="BU582" s="532">
        <f ca="1">IF(BU581=0,SUMIFS('Key Life Events'!$L$3:$L$28,'Key Life Events'!$H$3:$H$28,'Loan Amortization'!$BY$3,'Key Life Events'!$N$3:$N$28,'Loan Amortization'!BT582),BU581-BX581)</f>
        <v>0</v>
      </c>
      <c r="BV582" s="532">
        <f t="shared" ref="BV582:BV645" ca="1" si="456">IF(AND(BU581=0,BU582&gt;0),PMT(BZ$1/12,CB$1*12,-BU582,0,0),IF(BU582&lt;=BV581,BU582+BW582,BV581))</f>
        <v>0</v>
      </c>
      <c r="BW582" s="532">
        <f t="shared" ca="1" si="452"/>
        <v>0</v>
      </c>
      <c r="BX582" s="532">
        <f t="shared" ca="1" si="441"/>
        <v>0</v>
      </c>
      <c r="CC582" s="536">
        <f t="shared" ca="1" si="442"/>
        <v>2074</v>
      </c>
      <c r="CF582" s="530">
        <v>581</v>
      </c>
      <c r="CG582" s="531">
        <f t="shared" ca="1" si="453"/>
        <v>63850</v>
      </c>
      <c r="CH582" s="532">
        <f ca="1">IF(CH581=0,SUMIFS('Key Life Events'!$L$3:$L$28,'Key Life Events'!$H$3:$H$28,'Loan Amortization'!$CL$3,'Key Life Events'!$N$3:$N$28,'Loan Amortization'!CG582),CH581-CK581)</f>
        <v>0</v>
      </c>
      <c r="CI582" s="532">
        <f t="shared" ca="1" si="454"/>
        <v>0</v>
      </c>
      <c r="CJ582" s="532">
        <f t="shared" ca="1" si="455"/>
        <v>0</v>
      </c>
      <c r="CK582" s="532">
        <f t="shared" ca="1" si="443"/>
        <v>0</v>
      </c>
      <c r="CP582" s="536">
        <f t="shared" ca="1" si="444"/>
        <v>2074</v>
      </c>
      <c r="CS582" s="100">
        <f t="shared" si="433"/>
        <v>581</v>
      </c>
      <c r="CT582" s="102">
        <f t="shared" ca="1" si="434"/>
        <v>0</v>
      </c>
      <c r="CU582" s="102">
        <f t="shared" ca="1" si="435"/>
        <v>0</v>
      </c>
      <c r="CV582" s="511">
        <f t="shared" ca="1" si="445"/>
        <v>2074</v>
      </c>
    </row>
    <row r="583" spans="1:100" x14ac:dyDescent="0.3">
      <c r="A583" s="100">
        <v>582</v>
      </c>
      <c r="B583" s="131">
        <f t="shared" si="413"/>
        <v>16861</v>
      </c>
      <c r="C583" s="102">
        <f t="shared" si="414"/>
        <v>0</v>
      </c>
      <c r="D583" s="102">
        <f t="shared" si="415"/>
        <v>0</v>
      </c>
      <c r="E583" s="102">
        <f t="shared" si="416"/>
        <v>0</v>
      </c>
      <c r="F583" s="102">
        <f t="shared" si="417"/>
        <v>0</v>
      </c>
      <c r="L583" s="100">
        <v>582</v>
      </c>
      <c r="M583" s="131">
        <f t="shared" ca="1" si="418"/>
        <v>63881</v>
      </c>
      <c r="N583" s="102">
        <f t="shared" si="419"/>
        <v>0</v>
      </c>
      <c r="O583" s="102">
        <f t="shared" si="420"/>
        <v>0</v>
      </c>
      <c r="P583" s="102">
        <f t="shared" si="421"/>
        <v>0</v>
      </c>
      <c r="Q583" s="102">
        <f t="shared" si="422"/>
        <v>0</v>
      </c>
      <c r="W583" s="100">
        <v>582</v>
      </c>
      <c r="X583" s="131">
        <f t="shared" ca="1" si="423"/>
        <v>63881</v>
      </c>
      <c r="Y583" s="102">
        <f t="shared" si="424"/>
        <v>0</v>
      </c>
      <c r="Z583" s="102">
        <f t="shared" si="425"/>
        <v>0</v>
      </c>
      <c r="AA583" s="102">
        <f t="shared" si="426"/>
        <v>0</v>
      </c>
      <c r="AB583" s="102">
        <f t="shared" si="427"/>
        <v>0</v>
      </c>
      <c r="AH583" s="100">
        <v>582</v>
      </c>
      <c r="AI583" s="131">
        <f t="shared" ca="1" si="428"/>
        <v>63881</v>
      </c>
      <c r="AJ583" s="102">
        <f t="shared" si="429"/>
        <v>0</v>
      </c>
      <c r="AK583" s="102">
        <f t="shared" si="430"/>
        <v>0</v>
      </c>
      <c r="AL583" s="102">
        <f t="shared" si="431"/>
        <v>0</v>
      </c>
      <c r="AM583" s="102">
        <f t="shared" si="432"/>
        <v>0</v>
      </c>
      <c r="AS583" s="530">
        <v>582</v>
      </c>
      <c r="AT583" s="531">
        <f t="shared" ca="1" si="446"/>
        <v>63881</v>
      </c>
      <c r="AU583" s="532">
        <f ca="1">IF(AU582=0,SUMIFS('Key Life Events'!$L$3:$L$28,'Key Life Events'!$H$3:$H$28,'Loan Amortization'!$AY$3,'Key Life Events'!$N$3:$N$28,'Loan Amortization'!AT583),AU582-AX582)</f>
        <v>0</v>
      </c>
      <c r="AV583" s="532">
        <f t="shared" ca="1" si="447"/>
        <v>0</v>
      </c>
      <c r="AW583" s="532">
        <f t="shared" ca="1" si="436"/>
        <v>0</v>
      </c>
      <c r="AX583" s="532">
        <f t="shared" ca="1" si="437"/>
        <v>0</v>
      </c>
      <c r="BC583" s="536">
        <f t="shared" ca="1" si="438"/>
        <v>2074</v>
      </c>
      <c r="BF583" s="530">
        <v>582</v>
      </c>
      <c r="BG583" s="531">
        <f t="shared" ca="1" si="448"/>
        <v>63881</v>
      </c>
      <c r="BH583" s="532">
        <f ca="1">IF(BH582=0,SUMIFS('Key Life Events'!$L$3:$L$28,'Key Life Events'!$H$3:$H$28,'Loan Amortization'!$BL$3,'Key Life Events'!$N$3:$N$28,'Loan Amortization'!BG583),BH582-BK582)</f>
        <v>0</v>
      </c>
      <c r="BI583" s="532">
        <f t="shared" ca="1" si="449"/>
        <v>0</v>
      </c>
      <c r="BJ583" s="532">
        <f t="shared" ca="1" si="450"/>
        <v>0</v>
      </c>
      <c r="BK583" s="532">
        <f t="shared" ca="1" si="439"/>
        <v>0</v>
      </c>
      <c r="BP583" s="536">
        <f t="shared" ca="1" si="440"/>
        <v>2074</v>
      </c>
      <c r="BS583" s="530">
        <v>582</v>
      </c>
      <c r="BT583" s="531">
        <f t="shared" ca="1" si="451"/>
        <v>63881</v>
      </c>
      <c r="BU583" s="532">
        <f ca="1">IF(BU582=0,SUMIFS('Key Life Events'!$L$3:$L$28,'Key Life Events'!$H$3:$H$28,'Loan Amortization'!$BY$3,'Key Life Events'!$N$3:$N$28,'Loan Amortization'!BT583),BU582-BX582)</f>
        <v>0</v>
      </c>
      <c r="BV583" s="532">
        <f t="shared" ca="1" si="456"/>
        <v>0</v>
      </c>
      <c r="BW583" s="532">
        <f t="shared" ca="1" si="452"/>
        <v>0</v>
      </c>
      <c r="BX583" s="532">
        <f t="shared" ca="1" si="441"/>
        <v>0</v>
      </c>
      <c r="CC583" s="536">
        <f t="shared" ca="1" si="442"/>
        <v>2074</v>
      </c>
      <c r="CF583" s="530">
        <v>582</v>
      </c>
      <c r="CG583" s="531">
        <f t="shared" ca="1" si="453"/>
        <v>63881</v>
      </c>
      <c r="CH583" s="532">
        <f ca="1">IF(CH582=0,SUMIFS('Key Life Events'!$L$3:$L$28,'Key Life Events'!$H$3:$H$28,'Loan Amortization'!$CL$3,'Key Life Events'!$N$3:$N$28,'Loan Amortization'!CG583),CH582-CK582)</f>
        <v>0</v>
      </c>
      <c r="CI583" s="532">
        <f t="shared" ca="1" si="454"/>
        <v>0</v>
      </c>
      <c r="CJ583" s="532">
        <f t="shared" ca="1" si="455"/>
        <v>0</v>
      </c>
      <c r="CK583" s="532">
        <f t="shared" ca="1" si="443"/>
        <v>0</v>
      </c>
      <c r="CP583" s="536">
        <f t="shared" ca="1" si="444"/>
        <v>2074</v>
      </c>
      <c r="CS583" s="100">
        <f t="shared" si="433"/>
        <v>582</v>
      </c>
      <c r="CT583" s="102">
        <f t="shared" ca="1" si="434"/>
        <v>0</v>
      </c>
      <c r="CU583" s="102">
        <f t="shared" ca="1" si="435"/>
        <v>0</v>
      </c>
      <c r="CV583" s="511">
        <f t="shared" ca="1" si="445"/>
        <v>2074</v>
      </c>
    </row>
    <row r="584" spans="1:100" x14ac:dyDescent="0.3">
      <c r="A584" s="100">
        <v>583</v>
      </c>
      <c r="B584" s="131">
        <f t="shared" si="413"/>
        <v>16889</v>
      </c>
      <c r="C584" s="102">
        <f t="shared" si="414"/>
        <v>0</v>
      </c>
      <c r="D584" s="102">
        <f t="shared" si="415"/>
        <v>0</v>
      </c>
      <c r="E584" s="102">
        <f t="shared" si="416"/>
        <v>0</v>
      </c>
      <c r="F584" s="102">
        <f t="shared" si="417"/>
        <v>0</v>
      </c>
      <c r="L584" s="100">
        <v>583</v>
      </c>
      <c r="M584" s="131">
        <f t="shared" ca="1" si="418"/>
        <v>63911</v>
      </c>
      <c r="N584" s="102">
        <f t="shared" si="419"/>
        <v>0</v>
      </c>
      <c r="O584" s="102">
        <f t="shared" si="420"/>
        <v>0</v>
      </c>
      <c r="P584" s="102">
        <f t="shared" si="421"/>
        <v>0</v>
      </c>
      <c r="Q584" s="102">
        <f t="shared" si="422"/>
        <v>0</v>
      </c>
      <c r="W584" s="100">
        <v>583</v>
      </c>
      <c r="X584" s="131">
        <f t="shared" ca="1" si="423"/>
        <v>63911</v>
      </c>
      <c r="Y584" s="102">
        <f t="shared" si="424"/>
        <v>0</v>
      </c>
      <c r="Z584" s="102">
        <f t="shared" si="425"/>
        <v>0</v>
      </c>
      <c r="AA584" s="102">
        <f t="shared" si="426"/>
        <v>0</v>
      </c>
      <c r="AB584" s="102">
        <f t="shared" si="427"/>
        <v>0</v>
      </c>
      <c r="AH584" s="100">
        <v>583</v>
      </c>
      <c r="AI584" s="131">
        <f t="shared" ca="1" si="428"/>
        <v>63911</v>
      </c>
      <c r="AJ584" s="102">
        <f t="shared" si="429"/>
        <v>0</v>
      </c>
      <c r="AK584" s="102">
        <f t="shared" si="430"/>
        <v>0</v>
      </c>
      <c r="AL584" s="102">
        <f t="shared" si="431"/>
        <v>0</v>
      </c>
      <c r="AM584" s="102">
        <f t="shared" si="432"/>
        <v>0</v>
      </c>
      <c r="AS584" s="530">
        <v>583</v>
      </c>
      <c r="AT584" s="531">
        <f t="shared" ca="1" si="446"/>
        <v>63911</v>
      </c>
      <c r="AU584" s="532">
        <f ca="1">IF(AU583=0,SUMIFS('Key Life Events'!$L$3:$L$28,'Key Life Events'!$H$3:$H$28,'Loan Amortization'!$AY$3,'Key Life Events'!$N$3:$N$28,'Loan Amortization'!AT584),AU583-AX583)</f>
        <v>0</v>
      </c>
      <c r="AV584" s="532">
        <f t="shared" ca="1" si="447"/>
        <v>0</v>
      </c>
      <c r="AW584" s="532">
        <f t="shared" ca="1" si="436"/>
        <v>0</v>
      </c>
      <c r="AX584" s="532">
        <f t="shared" ca="1" si="437"/>
        <v>0</v>
      </c>
      <c r="BC584" s="536">
        <f t="shared" ca="1" si="438"/>
        <v>2074</v>
      </c>
      <c r="BF584" s="530">
        <v>583</v>
      </c>
      <c r="BG584" s="531">
        <f t="shared" ca="1" si="448"/>
        <v>63911</v>
      </c>
      <c r="BH584" s="532">
        <f ca="1">IF(BH583=0,SUMIFS('Key Life Events'!$L$3:$L$28,'Key Life Events'!$H$3:$H$28,'Loan Amortization'!$BL$3,'Key Life Events'!$N$3:$N$28,'Loan Amortization'!BG584),BH583-BK583)</f>
        <v>0</v>
      </c>
      <c r="BI584" s="532">
        <f t="shared" ca="1" si="449"/>
        <v>0</v>
      </c>
      <c r="BJ584" s="532">
        <f t="shared" ca="1" si="450"/>
        <v>0</v>
      </c>
      <c r="BK584" s="532">
        <f t="shared" ca="1" si="439"/>
        <v>0</v>
      </c>
      <c r="BP584" s="536">
        <f t="shared" ca="1" si="440"/>
        <v>2074</v>
      </c>
      <c r="BS584" s="530">
        <v>583</v>
      </c>
      <c r="BT584" s="531">
        <f t="shared" ca="1" si="451"/>
        <v>63911</v>
      </c>
      <c r="BU584" s="532">
        <f ca="1">IF(BU583=0,SUMIFS('Key Life Events'!$L$3:$L$28,'Key Life Events'!$H$3:$H$28,'Loan Amortization'!$BY$3,'Key Life Events'!$N$3:$N$28,'Loan Amortization'!BT584),BU583-BX583)</f>
        <v>0</v>
      </c>
      <c r="BV584" s="532">
        <f t="shared" ca="1" si="456"/>
        <v>0</v>
      </c>
      <c r="BW584" s="532">
        <f t="shared" ca="1" si="452"/>
        <v>0</v>
      </c>
      <c r="BX584" s="532">
        <f t="shared" ca="1" si="441"/>
        <v>0</v>
      </c>
      <c r="CC584" s="536">
        <f t="shared" ca="1" si="442"/>
        <v>2074</v>
      </c>
      <c r="CF584" s="530">
        <v>583</v>
      </c>
      <c r="CG584" s="531">
        <f t="shared" ca="1" si="453"/>
        <v>63911</v>
      </c>
      <c r="CH584" s="532">
        <f ca="1">IF(CH583=0,SUMIFS('Key Life Events'!$L$3:$L$28,'Key Life Events'!$H$3:$H$28,'Loan Amortization'!$CL$3,'Key Life Events'!$N$3:$N$28,'Loan Amortization'!CG584),CH583-CK583)</f>
        <v>0</v>
      </c>
      <c r="CI584" s="532">
        <f t="shared" ca="1" si="454"/>
        <v>0</v>
      </c>
      <c r="CJ584" s="532">
        <f t="shared" ca="1" si="455"/>
        <v>0</v>
      </c>
      <c r="CK584" s="532">
        <f t="shared" ca="1" si="443"/>
        <v>0</v>
      </c>
      <c r="CP584" s="536">
        <f t="shared" ca="1" si="444"/>
        <v>2074</v>
      </c>
      <c r="CS584" s="100">
        <f t="shared" si="433"/>
        <v>583</v>
      </c>
      <c r="CT584" s="102">
        <f t="shared" ca="1" si="434"/>
        <v>0</v>
      </c>
      <c r="CU584" s="102">
        <f t="shared" ca="1" si="435"/>
        <v>0</v>
      </c>
      <c r="CV584" s="511">
        <f t="shared" ca="1" si="445"/>
        <v>2074</v>
      </c>
    </row>
    <row r="585" spans="1:100" x14ac:dyDescent="0.3">
      <c r="A585" s="100">
        <v>584</v>
      </c>
      <c r="B585" s="131">
        <f t="shared" si="413"/>
        <v>16920</v>
      </c>
      <c r="C585" s="102">
        <f t="shared" si="414"/>
        <v>0</v>
      </c>
      <c r="D585" s="102">
        <f t="shared" si="415"/>
        <v>0</v>
      </c>
      <c r="E585" s="102">
        <f t="shared" si="416"/>
        <v>0</v>
      </c>
      <c r="F585" s="102">
        <f t="shared" si="417"/>
        <v>0</v>
      </c>
      <c r="L585" s="100">
        <v>584</v>
      </c>
      <c r="M585" s="131">
        <f t="shared" ca="1" si="418"/>
        <v>63942</v>
      </c>
      <c r="N585" s="102">
        <f t="shared" si="419"/>
        <v>0</v>
      </c>
      <c r="O585" s="102">
        <f t="shared" si="420"/>
        <v>0</v>
      </c>
      <c r="P585" s="102">
        <f t="shared" si="421"/>
        <v>0</v>
      </c>
      <c r="Q585" s="102">
        <f t="shared" si="422"/>
        <v>0</v>
      </c>
      <c r="W585" s="100">
        <v>584</v>
      </c>
      <c r="X585" s="131">
        <f t="shared" ca="1" si="423"/>
        <v>63942</v>
      </c>
      <c r="Y585" s="102">
        <f t="shared" si="424"/>
        <v>0</v>
      </c>
      <c r="Z585" s="102">
        <f t="shared" si="425"/>
        <v>0</v>
      </c>
      <c r="AA585" s="102">
        <f t="shared" si="426"/>
        <v>0</v>
      </c>
      <c r="AB585" s="102">
        <f t="shared" si="427"/>
        <v>0</v>
      </c>
      <c r="AH585" s="100">
        <v>584</v>
      </c>
      <c r="AI585" s="131">
        <f t="shared" ca="1" si="428"/>
        <v>63942</v>
      </c>
      <c r="AJ585" s="102">
        <f t="shared" si="429"/>
        <v>0</v>
      </c>
      <c r="AK585" s="102">
        <f t="shared" si="430"/>
        <v>0</v>
      </c>
      <c r="AL585" s="102">
        <f t="shared" si="431"/>
        <v>0</v>
      </c>
      <c r="AM585" s="102">
        <f t="shared" si="432"/>
        <v>0</v>
      </c>
      <c r="AS585" s="530">
        <v>584</v>
      </c>
      <c r="AT585" s="531">
        <f t="shared" ca="1" si="446"/>
        <v>63942</v>
      </c>
      <c r="AU585" s="532">
        <f ca="1">IF(AU584=0,SUMIFS('Key Life Events'!$L$3:$L$28,'Key Life Events'!$H$3:$H$28,'Loan Amortization'!$AY$3,'Key Life Events'!$N$3:$N$28,'Loan Amortization'!AT585),AU584-AX584)</f>
        <v>0</v>
      </c>
      <c r="AV585" s="532">
        <f t="shared" ca="1" si="447"/>
        <v>0</v>
      </c>
      <c r="AW585" s="532">
        <f t="shared" ca="1" si="436"/>
        <v>0</v>
      </c>
      <c r="AX585" s="532">
        <f t="shared" ca="1" si="437"/>
        <v>0</v>
      </c>
      <c r="BC585" s="536">
        <f t="shared" ca="1" si="438"/>
        <v>2075</v>
      </c>
      <c r="BF585" s="530">
        <v>584</v>
      </c>
      <c r="BG585" s="531">
        <f t="shared" ca="1" si="448"/>
        <v>63942</v>
      </c>
      <c r="BH585" s="532">
        <f ca="1">IF(BH584=0,SUMIFS('Key Life Events'!$L$3:$L$28,'Key Life Events'!$H$3:$H$28,'Loan Amortization'!$BL$3,'Key Life Events'!$N$3:$N$28,'Loan Amortization'!BG585),BH584-BK584)</f>
        <v>0</v>
      </c>
      <c r="BI585" s="532">
        <f t="shared" ca="1" si="449"/>
        <v>0</v>
      </c>
      <c r="BJ585" s="532">
        <f t="shared" ca="1" si="450"/>
        <v>0</v>
      </c>
      <c r="BK585" s="532">
        <f t="shared" ca="1" si="439"/>
        <v>0</v>
      </c>
      <c r="BP585" s="536">
        <f t="shared" ca="1" si="440"/>
        <v>2075</v>
      </c>
      <c r="BS585" s="530">
        <v>584</v>
      </c>
      <c r="BT585" s="531">
        <f t="shared" ca="1" si="451"/>
        <v>63942</v>
      </c>
      <c r="BU585" s="532">
        <f ca="1">IF(BU584=0,SUMIFS('Key Life Events'!$L$3:$L$28,'Key Life Events'!$H$3:$H$28,'Loan Amortization'!$BY$3,'Key Life Events'!$N$3:$N$28,'Loan Amortization'!BT585),BU584-BX584)</f>
        <v>0</v>
      </c>
      <c r="BV585" s="532">
        <f t="shared" ca="1" si="456"/>
        <v>0</v>
      </c>
      <c r="BW585" s="532">
        <f t="shared" ca="1" si="452"/>
        <v>0</v>
      </c>
      <c r="BX585" s="532">
        <f t="shared" ca="1" si="441"/>
        <v>0</v>
      </c>
      <c r="CC585" s="536">
        <f t="shared" ca="1" si="442"/>
        <v>2075</v>
      </c>
      <c r="CF585" s="530">
        <v>584</v>
      </c>
      <c r="CG585" s="531">
        <f t="shared" ca="1" si="453"/>
        <v>63942</v>
      </c>
      <c r="CH585" s="532">
        <f ca="1">IF(CH584=0,SUMIFS('Key Life Events'!$L$3:$L$28,'Key Life Events'!$H$3:$H$28,'Loan Amortization'!$CL$3,'Key Life Events'!$N$3:$N$28,'Loan Amortization'!CG585),CH584-CK584)</f>
        <v>0</v>
      </c>
      <c r="CI585" s="532">
        <f t="shared" ca="1" si="454"/>
        <v>0</v>
      </c>
      <c r="CJ585" s="532">
        <f t="shared" ca="1" si="455"/>
        <v>0</v>
      </c>
      <c r="CK585" s="532">
        <f t="shared" ca="1" si="443"/>
        <v>0</v>
      </c>
      <c r="CP585" s="536">
        <f t="shared" ca="1" si="444"/>
        <v>2075</v>
      </c>
      <c r="CS585" s="100">
        <f t="shared" si="433"/>
        <v>584</v>
      </c>
      <c r="CT585" s="102">
        <f t="shared" ca="1" si="434"/>
        <v>0</v>
      </c>
      <c r="CU585" s="102">
        <f t="shared" ca="1" si="435"/>
        <v>0</v>
      </c>
      <c r="CV585" s="511">
        <f t="shared" ca="1" si="445"/>
        <v>2075</v>
      </c>
    </row>
    <row r="586" spans="1:100" x14ac:dyDescent="0.3">
      <c r="A586" s="100">
        <v>585</v>
      </c>
      <c r="B586" s="131">
        <f t="shared" si="413"/>
        <v>16950</v>
      </c>
      <c r="C586" s="102">
        <f t="shared" si="414"/>
        <v>0</v>
      </c>
      <c r="D586" s="102">
        <f t="shared" si="415"/>
        <v>0</v>
      </c>
      <c r="E586" s="102">
        <f t="shared" si="416"/>
        <v>0</v>
      </c>
      <c r="F586" s="102">
        <f t="shared" si="417"/>
        <v>0</v>
      </c>
      <c r="L586" s="100">
        <v>585</v>
      </c>
      <c r="M586" s="131">
        <f t="shared" ca="1" si="418"/>
        <v>63973</v>
      </c>
      <c r="N586" s="102">
        <f t="shared" si="419"/>
        <v>0</v>
      </c>
      <c r="O586" s="102">
        <f t="shared" si="420"/>
        <v>0</v>
      </c>
      <c r="P586" s="102">
        <f t="shared" si="421"/>
        <v>0</v>
      </c>
      <c r="Q586" s="102">
        <f t="shared" si="422"/>
        <v>0</v>
      </c>
      <c r="W586" s="100">
        <v>585</v>
      </c>
      <c r="X586" s="131">
        <f t="shared" ca="1" si="423"/>
        <v>63973</v>
      </c>
      <c r="Y586" s="102">
        <f t="shared" si="424"/>
        <v>0</v>
      </c>
      <c r="Z586" s="102">
        <f t="shared" si="425"/>
        <v>0</v>
      </c>
      <c r="AA586" s="102">
        <f t="shared" si="426"/>
        <v>0</v>
      </c>
      <c r="AB586" s="102">
        <f t="shared" si="427"/>
        <v>0</v>
      </c>
      <c r="AH586" s="100">
        <v>585</v>
      </c>
      <c r="AI586" s="131">
        <f t="shared" ca="1" si="428"/>
        <v>63973</v>
      </c>
      <c r="AJ586" s="102">
        <f t="shared" si="429"/>
        <v>0</v>
      </c>
      <c r="AK586" s="102">
        <f t="shared" si="430"/>
        <v>0</v>
      </c>
      <c r="AL586" s="102">
        <f t="shared" si="431"/>
        <v>0</v>
      </c>
      <c r="AM586" s="102">
        <f t="shared" si="432"/>
        <v>0</v>
      </c>
      <c r="AS586" s="530">
        <v>585</v>
      </c>
      <c r="AT586" s="531">
        <f t="shared" ca="1" si="446"/>
        <v>63973</v>
      </c>
      <c r="AU586" s="532">
        <f ca="1">IF(AU585=0,SUMIFS('Key Life Events'!$L$3:$L$28,'Key Life Events'!$H$3:$H$28,'Loan Amortization'!$AY$3,'Key Life Events'!$N$3:$N$28,'Loan Amortization'!AT586),AU585-AX585)</f>
        <v>0</v>
      </c>
      <c r="AV586" s="532">
        <f t="shared" ca="1" si="447"/>
        <v>0</v>
      </c>
      <c r="AW586" s="532">
        <f t="shared" ca="1" si="436"/>
        <v>0</v>
      </c>
      <c r="AX586" s="532">
        <f t="shared" ca="1" si="437"/>
        <v>0</v>
      </c>
      <c r="BC586" s="536">
        <f t="shared" ca="1" si="438"/>
        <v>2075</v>
      </c>
      <c r="BF586" s="530">
        <v>585</v>
      </c>
      <c r="BG586" s="531">
        <f t="shared" ca="1" si="448"/>
        <v>63973</v>
      </c>
      <c r="BH586" s="532">
        <f ca="1">IF(BH585=0,SUMIFS('Key Life Events'!$L$3:$L$28,'Key Life Events'!$H$3:$H$28,'Loan Amortization'!$BL$3,'Key Life Events'!$N$3:$N$28,'Loan Amortization'!BG586),BH585-BK585)</f>
        <v>0</v>
      </c>
      <c r="BI586" s="532">
        <f t="shared" ca="1" si="449"/>
        <v>0</v>
      </c>
      <c r="BJ586" s="532">
        <f t="shared" ca="1" si="450"/>
        <v>0</v>
      </c>
      <c r="BK586" s="532">
        <f t="shared" ca="1" si="439"/>
        <v>0</v>
      </c>
      <c r="BP586" s="536">
        <f t="shared" ca="1" si="440"/>
        <v>2075</v>
      </c>
      <c r="BS586" s="530">
        <v>585</v>
      </c>
      <c r="BT586" s="531">
        <f t="shared" ca="1" si="451"/>
        <v>63973</v>
      </c>
      <c r="BU586" s="532">
        <f ca="1">IF(BU585=0,SUMIFS('Key Life Events'!$L$3:$L$28,'Key Life Events'!$H$3:$H$28,'Loan Amortization'!$BY$3,'Key Life Events'!$N$3:$N$28,'Loan Amortization'!BT586),BU585-BX585)</f>
        <v>0</v>
      </c>
      <c r="BV586" s="532">
        <f t="shared" ca="1" si="456"/>
        <v>0</v>
      </c>
      <c r="BW586" s="532">
        <f t="shared" ca="1" si="452"/>
        <v>0</v>
      </c>
      <c r="BX586" s="532">
        <f t="shared" ca="1" si="441"/>
        <v>0</v>
      </c>
      <c r="CC586" s="536">
        <f t="shared" ca="1" si="442"/>
        <v>2075</v>
      </c>
      <c r="CF586" s="530">
        <v>585</v>
      </c>
      <c r="CG586" s="531">
        <f t="shared" ca="1" si="453"/>
        <v>63973</v>
      </c>
      <c r="CH586" s="532">
        <f ca="1">IF(CH585=0,SUMIFS('Key Life Events'!$L$3:$L$28,'Key Life Events'!$H$3:$H$28,'Loan Amortization'!$CL$3,'Key Life Events'!$N$3:$N$28,'Loan Amortization'!CG586),CH585-CK585)</f>
        <v>0</v>
      </c>
      <c r="CI586" s="532">
        <f t="shared" ca="1" si="454"/>
        <v>0</v>
      </c>
      <c r="CJ586" s="532">
        <f t="shared" ca="1" si="455"/>
        <v>0</v>
      </c>
      <c r="CK586" s="532">
        <f t="shared" ca="1" si="443"/>
        <v>0</v>
      </c>
      <c r="CP586" s="536">
        <f t="shared" ca="1" si="444"/>
        <v>2075</v>
      </c>
      <c r="CS586" s="100">
        <f t="shared" si="433"/>
        <v>585</v>
      </c>
      <c r="CT586" s="102">
        <f t="shared" ca="1" si="434"/>
        <v>0</v>
      </c>
      <c r="CU586" s="102">
        <f t="shared" ca="1" si="435"/>
        <v>0</v>
      </c>
      <c r="CV586" s="511">
        <f t="shared" ca="1" si="445"/>
        <v>2075</v>
      </c>
    </row>
    <row r="587" spans="1:100" x14ac:dyDescent="0.3">
      <c r="A587" s="100">
        <v>586</v>
      </c>
      <c r="B587" s="131">
        <f t="shared" si="413"/>
        <v>16981</v>
      </c>
      <c r="C587" s="102">
        <f t="shared" si="414"/>
        <v>0</v>
      </c>
      <c r="D587" s="102">
        <f t="shared" si="415"/>
        <v>0</v>
      </c>
      <c r="E587" s="102">
        <f t="shared" si="416"/>
        <v>0</v>
      </c>
      <c r="F587" s="102">
        <f t="shared" si="417"/>
        <v>0</v>
      </c>
      <c r="L587" s="100">
        <v>586</v>
      </c>
      <c r="M587" s="131">
        <f t="shared" ca="1" si="418"/>
        <v>64001</v>
      </c>
      <c r="N587" s="102">
        <f t="shared" si="419"/>
        <v>0</v>
      </c>
      <c r="O587" s="102">
        <f t="shared" si="420"/>
        <v>0</v>
      </c>
      <c r="P587" s="102">
        <f t="shared" si="421"/>
        <v>0</v>
      </c>
      <c r="Q587" s="102">
        <f t="shared" si="422"/>
        <v>0</v>
      </c>
      <c r="W587" s="100">
        <v>586</v>
      </c>
      <c r="X587" s="131">
        <f t="shared" ca="1" si="423"/>
        <v>64001</v>
      </c>
      <c r="Y587" s="102">
        <f t="shared" si="424"/>
        <v>0</v>
      </c>
      <c r="Z587" s="102">
        <f t="shared" si="425"/>
        <v>0</v>
      </c>
      <c r="AA587" s="102">
        <f t="shared" si="426"/>
        <v>0</v>
      </c>
      <c r="AB587" s="102">
        <f t="shared" si="427"/>
        <v>0</v>
      </c>
      <c r="AH587" s="100">
        <v>586</v>
      </c>
      <c r="AI587" s="131">
        <f t="shared" ca="1" si="428"/>
        <v>64001</v>
      </c>
      <c r="AJ587" s="102">
        <f t="shared" si="429"/>
        <v>0</v>
      </c>
      <c r="AK587" s="102">
        <f t="shared" si="430"/>
        <v>0</v>
      </c>
      <c r="AL587" s="102">
        <f t="shared" si="431"/>
        <v>0</v>
      </c>
      <c r="AM587" s="102">
        <f t="shared" si="432"/>
        <v>0</v>
      </c>
      <c r="AS587" s="530">
        <v>586</v>
      </c>
      <c r="AT587" s="531">
        <f t="shared" ca="1" si="446"/>
        <v>64001</v>
      </c>
      <c r="AU587" s="532">
        <f ca="1">IF(AU586=0,SUMIFS('Key Life Events'!$L$3:$L$28,'Key Life Events'!$H$3:$H$28,'Loan Amortization'!$AY$3,'Key Life Events'!$N$3:$N$28,'Loan Amortization'!AT587),AU586-AX586)</f>
        <v>0</v>
      </c>
      <c r="AV587" s="532">
        <f t="shared" ca="1" si="447"/>
        <v>0</v>
      </c>
      <c r="AW587" s="532">
        <f t="shared" ca="1" si="436"/>
        <v>0</v>
      </c>
      <c r="AX587" s="532">
        <f t="shared" ca="1" si="437"/>
        <v>0</v>
      </c>
      <c r="BC587" s="536">
        <f t="shared" ca="1" si="438"/>
        <v>2075</v>
      </c>
      <c r="BF587" s="530">
        <v>586</v>
      </c>
      <c r="BG587" s="531">
        <f t="shared" ca="1" si="448"/>
        <v>64001</v>
      </c>
      <c r="BH587" s="532">
        <f ca="1">IF(BH586=0,SUMIFS('Key Life Events'!$L$3:$L$28,'Key Life Events'!$H$3:$H$28,'Loan Amortization'!$BL$3,'Key Life Events'!$N$3:$N$28,'Loan Amortization'!BG587),BH586-BK586)</f>
        <v>0</v>
      </c>
      <c r="BI587" s="532">
        <f t="shared" ca="1" si="449"/>
        <v>0</v>
      </c>
      <c r="BJ587" s="532">
        <f t="shared" ca="1" si="450"/>
        <v>0</v>
      </c>
      <c r="BK587" s="532">
        <f t="shared" ca="1" si="439"/>
        <v>0</v>
      </c>
      <c r="BP587" s="536">
        <f t="shared" ca="1" si="440"/>
        <v>2075</v>
      </c>
      <c r="BS587" s="530">
        <v>586</v>
      </c>
      <c r="BT587" s="531">
        <f t="shared" ca="1" si="451"/>
        <v>64001</v>
      </c>
      <c r="BU587" s="532">
        <f ca="1">IF(BU586=0,SUMIFS('Key Life Events'!$L$3:$L$28,'Key Life Events'!$H$3:$H$28,'Loan Amortization'!$BY$3,'Key Life Events'!$N$3:$N$28,'Loan Amortization'!BT587),BU586-BX586)</f>
        <v>0</v>
      </c>
      <c r="BV587" s="532">
        <f t="shared" ca="1" si="456"/>
        <v>0</v>
      </c>
      <c r="BW587" s="532">
        <f t="shared" ca="1" si="452"/>
        <v>0</v>
      </c>
      <c r="BX587" s="532">
        <f t="shared" ca="1" si="441"/>
        <v>0</v>
      </c>
      <c r="CC587" s="536">
        <f t="shared" ca="1" si="442"/>
        <v>2075</v>
      </c>
      <c r="CF587" s="530">
        <v>586</v>
      </c>
      <c r="CG587" s="531">
        <f t="shared" ca="1" si="453"/>
        <v>64001</v>
      </c>
      <c r="CH587" s="532">
        <f ca="1">IF(CH586=0,SUMIFS('Key Life Events'!$L$3:$L$28,'Key Life Events'!$H$3:$H$28,'Loan Amortization'!$CL$3,'Key Life Events'!$N$3:$N$28,'Loan Amortization'!CG587),CH586-CK586)</f>
        <v>0</v>
      </c>
      <c r="CI587" s="532">
        <f t="shared" ca="1" si="454"/>
        <v>0</v>
      </c>
      <c r="CJ587" s="532">
        <f t="shared" ca="1" si="455"/>
        <v>0</v>
      </c>
      <c r="CK587" s="532">
        <f t="shared" ca="1" si="443"/>
        <v>0</v>
      </c>
      <c r="CP587" s="536">
        <f t="shared" ca="1" si="444"/>
        <v>2075</v>
      </c>
      <c r="CS587" s="100">
        <f t="shared" si="433"/>
        <v>586</v>
      </c>
      <c r="CT587" s="102">
        <f t="shared" ca="1" si="434"/>
        <v>0</v>
      </c>
      <c r="CU587" s="102">
        <f t="shared" ca="1" si="435"/>
        <v>0</v>
      </c>
      <c r="CV587" s="511">
        <f t="shared" ca="1" si="445"/>
        <v>2075</v>
      </c>
    </row>
    <row r="588" spans="1:100" x14ac:dyDescent="0.3">
      <c r="A588" s="100">
        <v>587</v>
      </c>
      <c r="B588" s="131">
        <f t="shared" si="413"/>
        <v>17011</v>
      </c>
      <c r="C588" s="102">
        <f t="shared" si="414"/>
        <v>0</v>
      </c>
      <c r="D588" s="102">
        <f t="shared" si="415"/>
        <v>0</v>
      </c>
      <c r="E588" s="102">
        <f t="shared" si="416"/>
        <v>0</v>
      </c>
      <c r="F588" s="102">
        <f t="shared" si="417"/>
        <v>0</v>
      </c>
      <c r="L588" s="100">
        <v>587</v>
      </c>
      <c r="M588" s="131">
        <f t="shared" ca="1" si="418"/>
        <v>64032</v>
      </c>
      <c r="N588" s="102">
        <f t="shared" si="419"/>
        <v>0</v>
      </c>
      <c r="O588" s="102">
        <f t="shared" si="420"/>
        <v>0</v>
      </c>
      <c r="P588" s="102">
        <f t="shared" si="421"/>
        <v>0</v>
      </c>
      <c r="Q588" s="102">
        <f t="shared" si="422"/>
        <v>0</v>
      </c>
      <c r="W588" s="100">
        <v>587</v>
      </c>
      <c r="X588" s="131">
        <f t="shared" ca="1" si="423"/>
        <v>64032</v>
      </c>
      <c r="Y588" s="102">
        <f t="shared" si="424"/>
        <v>0</v>
      </c>
      <c r="Z588" s="102">
        <f t="shared" si="425"/>
        <v>0</v>
      </c>
      <c r="AA588" s="102">
        <f t="shared" si="426"/>
        <v>0</v>
      </c>
      <c r="AB588" s="102">
        <f t="shared" si="427"/>
        <v>0</v>
      </c>
      <c r="AH588" s="100">
        <v>587</v>
      </c>
      <c r="AI588" s="131">
        <f t="shared" ca="1" si="428"/>
        <v>64032</v>
      </c>
      <c r="AJ588" s="102">
        <f t="shared" si="429"/>
        <v>0</v>
      </c>
      <c r="AK588" s="102">
        <f t="shared" si="430"/>
        <v>0</v>
      </c>
      <c r="AL588" s="102">
        <f t="shared" si="431"/>
        <v>0</v>
      </c>
      <c r="AM588" s="102">
        <f t="shared" si="432"/>
        <v>0</v>
      </c>
      <c r="AS588" s="530">
        <v>587</v>
      </c>
      <c r="AT588" s="531">
        <f t="shared" ca="1" si="446"/>
        <v>64032</v>
      </c>
      <c r="AU588" s="532">
        <f ca="1">IF(AU587=0,SUMIFS('Key Life Events'!$L$3:$L$28,'Key Life Events'!$H$3:$H$28,'Loan Amortization'!$AY$3,'Key Life Events'!$N$3:$N$28,'Loan Amortization'!AT588),AU587-AX587)</f>
        <v>0</v>
      </c>
      <c r="AV588" s="532">
        <f t="shared" ca="1" si="447"/>
        <v>0</v>
      </c>
      <c r="AW588" s="532">
        <f t="shared" ca="1" si="436"/>
        <v>0</v>
      </c>
      <c r="AX588" s="532">
        <f t="shared" ca="1" si="437"/>
        <v>0</v>
      </c>
      <c r="BC588" s="536">
        <f t="shared" ca="1" si="438"/>
        <v>2075</v>
      </c>
      <c r="BF588" s="530">
        <v>587</v>
      </c>
      <c r="BG588" s="531">
        <f t="shared" ca="1" si="448"/>
        <v>64032</v>
      </c>
      <c r="BH588" s="532">
        <f ca="1">IF(BH587=0,SUMIFS('Key Life Events'!$L$3:$L$28,'Key Life Events'!$H$3:$H$28,'Loan Amortization'!$BL$3,'Key Life Events'!$N$3:$N$28,'Loan Amortization'!BG588),BH587-BK587)</f>
        <v>0</v>
      </c>
      <c r="BI588" s="532">
        <f t="shared" ca="1" si="449"/>
        <v>0</v>
      </c>
      <c r="BJ588" s="532">
        <f t="shared" ca="1" si="450"/>
        <v>0</v>
      </c>
      <c r="BK588" s="532">
        <f t="shared" ca="1" si="439"/>
        <v>0</v>
      </c>
      <c r="BP588" s="536">
        <f t="shared" ca="1" si="440"/>
        <v>2075</v>
      </c>
      <c r="BS588" s="530">
        <v>587</v>
      </c>
      <c r="BT588" s="531">
        <f t="shared" ca="1" si="451"/>
        <v>64032</v>
      </c>
      <c r="BU588" s="532">
        <f ca="1">IF(BU587=0,SUMIFS('Key Life Events'!$L$3:$L$28,'Key Life Events'!$H$3:$H$28,'Loan Amortization'!$BY$3,'Key Life Events'!$N$3:$N$28,'Loan Amortization'!BT588),BU587-BX587)</f>
        <v>0</v>
      </c>
      <c r="BV588" s="532">
        <f t="shared" ca="1" si="456"/>
        <v>0</v>
      </c>
      <c r="BW588" s="532">
        <f t="shared" ca="1" si="452"/>
        <v>0</v>
      </c>
      <c r="BX588" s="532">
        <f t="shared" ca="1" si="441"/>
        <v>0</v>
      </c>
      <c r="CC588" s="536">
        <f t="shared" ca="1" si="442"/>
        <v>2075</v>
      </c>
      <c r="CF588" s="530">
        <v>587</v>
      </c>
      <c r="CG588" s="531">
        <f t="shared" ca="1" si="453"/>
        <v>64032</v>
      </c>
      <c r="CH588" s="532">
        <f ca="1">IF(CH587=0,SUMIFS('Key Life Events'!$L$3:$L$28,'Key Life Events'!$H$3:$H$28,'Loan Amortization'!$CL$3,'Key Life Events'!$N$3:$N$28,'Loan Amortization'!CG588),CH587-CK587)</f>
        <v>0</v>
      </c>
      <c r="CI588" s="532">
        <f t="shared" ca="1" si="454"/>
        <v>0</v>
      </c>
      <c r="CJ588" s="532">
        <f t="shared" ca="1" si="455"/>
        <v>0</v>
      </c>
      <c r="CK588" s="532">
        <f t="shared" ca="1" si="443"/>
        <v>0</v>
      </c>
      <c r="CP588" s="536">
        <f t="shared" ca="1" si="444"/>
        <v>2075</v>
      </c>
      <c r="CS588" s="100">
        <f t="shared" si="433"/>
        <v>587</v>
      </c>
      <c r="CT588" s="102">
        <f t="shared" ca="1" si="434"/>
        <v>0</v>
      </c>
      <c r="CU588" s="102">
        <f t="shared" ca="1" si="435"/>
        <v>0</v>
      </c>
      <c r="CV588" s="511">
        <f t="shared" ca="1" si="445"/>
        <v>2075</v>
      </c>
    </row>
    <row r="589" spans="1:100" x14ac:dyDescent="0.3">
      <c r="A589" s="100">
        <v>588</v>
      </c>
      <c r="B589" s="131">
        <f t="shared" si="413"/>
        <v>17042</v>
      </c>
      <c r="C589" s="102">
        <f t="shared" si="414"/>
        <v>0</v>
      </c>
      <c r="D589" s="102">
        <f t="shared" si="415"/>
        <v>0</v>
      </c>
      <c r="E589" s="102">
        <f t="shared" si="416"/>
        <v>0</v>
      </c>
      <c r="F589" s="102">
        <f t="shared" si="417"/>
        <v>0</v>
      </c>
      <c r="L589" s="100">
        <v>588</v>
      </c>
      <c r="M589" s="131">
        <f t="shared" ca="1" si="418"/>
        <v>64062</v>
      </c>
      <c r="N589" s="102">
        <f t="shared" si="419"/>
        <v>0</v>
      </c>
      <c r="O589" s="102">
        <f t="shared" si="420"/>
        <v>0</v>
      </c>
      <c r="P589" s="102">
        <f t="shared" si="421"/>
        <v>0</v>
      </c>
      <c r="Q589" s="102">
        <f t="shared" si="422"/>
        <v>0</v>
      </c>
      <c r="W589" s="100">
        <v>588</v>
      </c>
      <c r="X589" s="131">
        <f t="shared" ca="1" si="423"/>
        <v>64062</v>
      </c>
      <c r="Y589" s="102">
        <f t="shared" si="424"/>
        <v>0</v>
      </c>
      <c r="Z589" s="102">
        <f t="shared" si="425"/>
        <v>0</v>
      </c>
      <c r="AA589" s="102">
        <f t="shared" si="426"/>
        <v>0</v>
      </c>
      <c r="AB589" s="102">
        <f t="shared" si="427"/>
        <v>0</v>
      </c>
      <c r="AH589" s="100">
        <v>588</v>
      </c>
      <c r="AI589" s="131">
        <f t="shared" ca="1" si="428"/>
        <v>64062</v>
      </c>
      <c r="AJ589" s="102">
        <f t="shared" si="429"/>
        <v>0</v>
      </c>
      <c r="AK589" s="102">
        <f t="shared" si="430"/>
        <v>0</v>
      </c>
      <c r="AL589" s="102">
        <f t="shared" si="431"/>
        <v>0</v>
      </c>
      <c r="AM589" s="102">
        <f t="shared" si="432"/>
        <v>0</v>
      </c>
      <c r="AS589" s="530">
        <v>588</v>
      </c>
      <c r="AT589" s="531">
        <f t="shared" ca="1" si="446"/>
        <v>64062</v>
      </c>
      <c r="AU589" s="532">
        <f ca="1">IF(AU588=0,SUMIFS('Key Life Events'!$L$3:$L$28,'Key Life Events'!$H$3:$H$28,'Loan Amortization'!$AY$3,'Key Life Events'!$N$3:$N$28,'Loan Amortization'!AT589),AU588-AX588)</f>
        <v>0</v>
      </c>
      <c r="AV589" s="532">
        <f t="shared" ca="1" si="447"/>
        <v>0</v>
      </c>
      <c r="AW589" s="532">
        <f t="shared" ca="1" si="436"/>
        <v>0</v>
      </c>
      <c r="AX589" s="532">
        <f t="shared" ca="1" si="437"/>
        <v>0</v>
      </c>
      <c r="BC589" s="536">
        <f t="shared" ca="1" si="438"/>
        <v>2075</v>
      </c>
      <c r="BF589" s="530">
        <v>588</v>
      </c>
      <c r="BG589" s="531">
        <f t="shared" ca="1" si="448"/>
        <v>64062</v>
      </c>
      <c r="BH589" s="532">
        <f ca="1">IF(BH588=0,SUMIFS('Key Life Events'!$L$3:$L$28,'Key Life Events'!$H$3:$H$28,'Loan Amortization'!$BL$3,'Key Life Events'!$N$3:$N$28,'Loan Amortization'!BG589),BH588-BK588)</f>
        <v>0</v>
      </c>
      <c r="BI589" s="532">
        <f t="shared" ca="1" si="449"/>
        <v>0</v>
      </c>
      <c r="BJ589" s="532">
        <f t="shared" ca="1" si="450"/>
        <v>0</v>
      </c>
      <c r="BK589" s="532">
        <f t="shared" ca="1" si="439"/>
        <v>0</v>
      </c>
      <c r="BP589" s="536">
        <f t="shared" ca="1" si="440"/>
        <v>2075</v>
      </c>
      <c r="BS589" s="530">
        <v>588</v>
      </c>
      <c r="BT589" s="531">
        <f t="shared" ca="1" si="451"/>
        <v>64062</v>
      </c>
      <c r="BU589" s="532">
        <f ca="1">IF(BU588=0,SUMIFS('Key Life Events'!$L$3:$L$28,'Key Life Events'!$H$3:$H$28,'Loan Amortization'!$BY$3,'Key Life Events'!$N$3:$N$28,'Loan Amortization'!BT589),BU588-BX588)</f>
        <v>0</v>
      </c>
      <c r="BV589" s="532">
        <f t="shared" ca="1" si="456"/>
        <v>0</v>
      </c>
      <c r="BW589" s="532">
        <f t="shared" ca="1" si="452"/>
        <v>0</v>
      </c>
      <c r="BX589" s="532">
        <f t="shared" ca="1" si="441"/>
        <v>0</v>
      </c>
      <c r="CC589" s="536">
        <f t="shared" ca="1" si="442"/>
        <v>2075</v>
      </c>
      <c r="CF589" s="530">
        <v>588</v>
      </c>
      <c r="CG589" s="531">
        <f t="shared" ca="1" si="453"/>
        <v>64062</v>
      </c>
      <c r="CH589" s="532">
        <f ca="1">IF(CH588=0,SUMIFS('Key Life Events'!$L$3:$L$28,'Key Life Events'!$H$3:$H$28,'Loan Amortization'!$CL$3,'Key Life Events'!$N$3:$N$28,'Loan Amortization'!CG589),CH588-CK588)</f>
        <v>0</v>
      </c>
      <c r="CI589" s="532">
        <f t="shared" ca="1" si="454"/>
        <v>0</v>
      </c>
      <c r="CJ589" s="532">
        <f t="shared" ca="1" si="455"/>
        <v>0</v>
      </c>
      <c r="CK589" s="532">
        <f t="shared" ca="1" si="443"/>
        <v>0</v>
      </c>
      <c r="CP589" s="536">
        <f t="shared" ca="1" si="444"/>
        <v>2075</v>
      </c>
      <c r="CS589" s="100">
        <f t="shared" si="433"/>
        <v>588</v>
      </c>
      <c r="CT589" s="102">
        <f t="shared" ca="1" si="434"/>
        <v>0</v>
      </c>
      <c r="CU589" s="102">
        <f t="shared" ca="1" si="435"/>
        <v>0</v>
      </c>
      <c r="CV589" s="511">
        <f t="shared" ca="1" si="445"/>
        <v>2075</v>
      </c>
    </row>
    <row r="590" spans="1:100" x14ac:dyDescent="0.3">
      <c r="A590" s="100">
        <v>589</v>
      </c>
      <c r="B590" s="131">
        <f t="shared" si="413"/>
        <v>17073</v>
      </c>
      <c r="C590" s="102">
        <f t="shared" si="414"/>
        <v>0</v>
      </c>
      <c r="D590" s="102">
        <f t="shared" si="415"/>
        <v>0</v>
      </c>
      <c r="E590" s="102">
        <f t="shared" si="416"/>
        <v>0</v>
      </c>
      <c r="F590" s="102">
        <f t="shared" si="417"/>
        <v>0</v>
      </c>
      <c r="L590" s="100">
        <v>589</v>
      </c>
      <c r="M590" s="131">
        <f t="shared" ca="1" si="418"/>
        <v>64093</v>
      </c>
      <c r="N590" s="102">
        <f t="shared" si="419"/>
        <v>0</v>
      </c>
      <c r="O590" s="102">
        <f t="shared" si="420"/>
        <v>0</v>
      </c>
      <c r="P590" s="102">
        <f t="shared" si="421"/>
        <v>0</v>
      </c>
      <c r="Q590" s="102">
        <f t="shared" si="422"/>
        <v>0</v>
      </c>
      <c r="W590" s="100">
        <v>589</v>
      </c>
      <c r="X590" s="131">
        <f t="shared" ca="1" si="423"/>
        <v>64093</v>
      </c>
      <c r="Y590" s="102">
        <f t="shared" si="424"/>
        <v>0</v>
      </c>
      <c r="Z590" s="102">
        <f t="shared" si="425"/>
        <v>0</v>
      </c>
      <c r="AA590" s="102">
        <f t="shared" si="426"/>
        <v>0</v>
      </c>
      <c r="AB590" s="102">
        <f t="shared" si="427"/>
        <v>0</v>
      </c>
      <c r="AH590" s="100">
        <v>589</v>
      </c>
      <c r="AI590" s="131">
        <f t="shared" ca="1" si="428"/>
        <v>64093</v>
      </c>
      <c r="AJ590" s="102">
        <f t="shared" si="429"/>
        <v>0</v>
      </c>
      <c r="AK590" s="102">
        <f t="shared" si="430"/>
        <v>0</v>
      </c>
      <c r="AL590" s="102">
        <f t="shared" si="431"/>
        <v>0</v>
      </c>
      <c r="AM590" s="102">
        <f t="shared" si="432"/>
        <v>0</v>
      </c>
      <c r="AS590" s="530">
        <v>589</v>
      </c>
      <c r="AT590" s="531">
        <f t="shared" ca="1" si="446"/>
        <v>64093</v>
      </c>
      <c r="AU590" s="532">
        <f ca="1">IF(AU589=0,SUMIFS('Key Life Events'!$L$3:$L$28,'Key Life Events'!$H$3:$H$28,'Loan Amortization'!$AY$3,'Key Life Events'!$N$3:$N$28,'Loan Amortization'!AT590),AU589-AX589)</f>
        <v>0</v>
      </c>
      <c r="AV590" s="532">
        <f t="shared" ca="1" si="447"/>
        <v>0</v>
      </c>
      <c r="AW590" s="532">
        <f t="shared" ca="1" si="436"/>
        <v>0</v>
      </c>
      <c r="AX590" s="532">
        <f t="shared" ca="1" si="437"/>
        <v>0</v>
      </c>
      <c r="BC590" s="536">
        <f t="shared" ca="1" si="438"/>
        <v>2075</v>
      </c>
      <c r="BF590" s="530">
        <v>589</v>
      </c>
      <c r="BG590" s="531">
        <f t="shared" ca="1" si="448"/>
        <v>64093</v>
      </c>
      <c r="BH590" s="532">
        <f ca="1">IF(BH589=0,SUMIFS('Key Life Events'!$L$3:$L$28,'Key Life Events'!$H$3:$H$28,'Loan Amortization'!$BL$3,'Key Life Events'!$N$3:$N$28,'Loan Amortization'!BG590),BH589-BK589)</f>
        <v>0</v>
      </c>
      <c r="BI590" s="532">
        <f t="shared" ca="1" si="449"/>
        <v>0</v>
      </c>
      <c r="BJ590" s="532">
        <f t="shared" ca="1" si="450"/>
        <v>0</v>
      </c>
      <c r="BK590" s="532">
        <f t="shared" ca="1" si="439"/>
        <v>0</v>
      </c>
      <c r="BP590" s="536">
        <f t="shared" ca="1" si="440"/>
        <v>2075</v>
      </c>
      <c r="BS590" s="530">
        <v>589</v>
      </c>
      <c r="BT590" s="531">
        <f t="shared" ca="1" si="451"/>
        <v>64093</v>
      </c>
      <c r="BU590" s="532">
        <f ca="1">IF(BU589=0,SUMIFS('Key Life Events'!$L$3:$L$28,'Key Life Events'!$H$3:$H$28,'Loan Amortization'!$BY$3,'Key Life Events'!$N$3:$N$28,'Loan Amortization'!BT590),BU589-BX589)</f>
        <v>0</v>
      </c>
      <c r="BV590" s="532">
        <f t="shared" ca="1" si="456"/>
        <v>0</v>
      </c>
      <c r="BW590" s="532">
        <f t="shared" ca="1" si="452"/>
        <v>0</v>
      </c>
      <c r="BX590" s="532">
        <f t="shared" ca="1" si="441"/>
        <v>0</v>
      </c>
      <c r="CC590" s="536">
        <f t="shared" ca="1" si="442"/>
        <v>2075</v>
      </c>
      <c r="CF590" s="530">
        <v>589</v>
      </c>
      <c r="CG590" s="531">
        <f t="shared" ca="1" si="453"/>
        <v>64093</v>
      </c>
      <c r="CH590" s="532">
        <f ca="1">IF(CH589=0,SUMIFS('Key Life Events'!$L$3:$L$28,'Key Life Events'!$H$3:$H$28,'Loan Amortization'!$CL$3,'Key Life Events'!$N$3:$N$28,'Loan Amortization'!CG590),CH589-CK589)</f>
        <v>0</v>
      </c>
      <c r="CI590" s="532">
        <f t="shared" ca="1" si="454"/>
        <v>0</v>
      </c>
      <c r="CJ590" s="532">
        <f t="shared" ca="1" si="455"/>
        <v>0</v>
      </c>
      <c r="CK590" s="532">
        <f t="shared" ca="1" si="443"/>
        <v>0</v>
      </c>
      <c r="CP590" s="536">
        <f t="shared" ca="1" si="444"/>
        <v>2075</v>
      </c>
      <c r="CS590" s="100">
        <f t="shared" si="433"/>
        <v>589</v>
      </c>
      <c r="CT590" s="102">
        <f t="shared" ca="1" si="434"/>
        <v>0</v>
      </c>
      <c r="CU590" s="102">
        <f t="shared" ca="1" si="435"/>
        <v>0</v>
      </c>
      <c r="CV590" s="511">
        <f t="shared" ca="1" si="445"/>
        <v>2075</v>
      </c>
    </row>
    <row r="591" spans="1:100" x14ac:dyDescent="0.3">
      <c r="A591" s="100">
        <v>590</v>
      </c>
      <c r="B591" s="131">
        <f t="shared" si="413"/>
        <v>17103</v>
      </c>
      <c r="C591" s="102">
        <f t="shared" si="414"/>
        <v>0</v>
      </c>
      <c r="D591" s="102">
        <f t="shared" si="415"/>
        <v>0</v>
      </c>
      <c r="E591" s="102">
        <f t="shared" si="416"/>
        <v>0</v>
      </c>
      <c r="F591" s="102">
        <f t="shared" si="417"/>
        <v>0</v>
      </c>
      <c r="L591" s="100">
        <v>590</v>
      </c>
      <c r="M591" s="131">
        <f t="shared" ca="1" si="418"/>
        <v>64123</v>
      </c>
      <c r="N591" s="102">
        <f t="shared" si="419"/>
        <v>0</v>
      </c>
      <c r="O591" s="102">
        <f t="shared" si="420"/>
        <v>0</v>
      </c>
      <c r="P591" s="102">
        <f t="shared" si="421"/>
        <v>0</v>
      </c>
      <c r="Q591" s="102">
        <f t="shared" si="422"/>
        <v>0</v>
      </c>
      <c r="W591" s="100">
        <v>590</v>
      </c>
      <c r="X591" s="131">
        <f t="shared" ca="1" si="423"/>
        <v>64123</v>
      </c>
      <c r="Y591" s="102">
        <f t="shared" si="424"/>
        <v>0</v>
      </c>
      <c r="Z591" s="102">
        <f t="shared" si="425"/>
        <v>0</v>
      </c>
      <c r="AA591" s="102">
        <f t="shared" si="426"/>
        <v>0</v>
      </c>
      <c r="AB591" s="102">
        <f t="shared" si="427"/>
        <v>0</v>
      </c>
      <c r="AH591" s="100">
        <v>590</v>
      </c>
      <c r="AI591" s="131">
        <f t="shared" ca="1" si="428"/>
        <v>64123</v>
      </c>
      <c r="AJ591" s="102">
        <f t="shared" si="429"/>
        <v>0</v>
      </c>
      <c r="AK591" s="102">
        <f t="shared" si="430"/>
        <v>0</v>
      </c>
      <c r="AL591" s="102">
        <f t="shared" si="431"/>
        <v>0</v>
      </c>
      <c r="AM591" s="102">
        <f t="shared" si="432"/>
        <v>0</v>
      </c>
      <c r="AS591" s="530">
        <v>590</v>
      </c>
      <c r="AT591" s="531">
        <f t="shared" ca="1" si="446"/>
        <v>64123</v>
      </c>
      <c r="AU591" s="532">
        <f ca="1">IF(AU590=0,SUMIFS('Key Life Events'!$L$3:$L$28,'Key Life Events'!$H$3:$H$28,'Loan Amortization'!$AY$3,'Key Life Events'!$N$3:$N$28,'Loan Amortization'!AT591),AU590-AX590)</f>
        <v>0</v>
      </c>
      <c r="AV591" s="532">
        <f t="shared" ca="1" si="447"/>
        <v>0</v>
      </c>
      <c r="AW591" s="532">
        <f t="shared" ca="1" si="436"/>
        <v>0</v>
      </c>
      <c r="AX591" s="532">
        <f t="shared" ca="1" si="437"/>
        <v>0</v>
      </c>
      <c r="BC591" s="536">
        <f t="shared" ca="1" si="438"/>
        <v>2075</v>
      </c>
      <c r="BF591" s="530">
        <v>590</v>
      </c>
      <c r="BG591" s="531">
        <f t="shared" ca="1" si="448"/>
        <v>64123</v>
      </c>
      <c r="BH591" s="532">
        <f ca="1">IF(BH590=0,SUMIFS('Key Life Events'!$L$3:$L$28,'Key Life Events'!$H$3:$H$28,'Loan Amortization'!$BL$3,'Key Life Events'!$N$3:$N$28,'Loan Amortization'!BG591),BH590-BK590)</f>
        <v>0</v>
      </c>
      <c r="BI591" s="532">
        <f t="shared" ca="1" si="449"/>
        <v>0</v>
      </c>
      <c r="BJ591" s="532">
        <f t="shared" ca="1" si="450"/>
        <v>0</v>
      </c>
      <c r="BK591" s="532">
        <f t="shared" ca="1" si="439"/>
        <v>0</v>
      </c>
      <c r="BP591" s="536">
        <f t="shared" ca="1" si="440"/>
        <v>2075</v>
      </c>
      <c r="BS591" s="530">
        <v>590</v>
      </c>
      <c r="BT591" s="531">
        <f t="shared" ca="1" si="451"/>
        <v>64123</v>
      </c>
      <c r="BU591" s="532">
        <f ca="1">IF(BU590=0,SUMIFS('Key Life Events'!$L$3:$L$28,'Key Life Events'!$H$3:$H$28,'Loan Amortization'!$BY$3,'Key Life Events'!$N$3:$N$28,'Loan Amortization'!BT591),BU590-BX590)</f>
        <v>0</v>
      </c>
      <c r="BV591" s="532">
        <f t="shared" ca="1" si="456"/>
        <v>0</v>
      </c>
      <c r="BW591" s="532">
        <f t="shared" ca="1" si="452"/>
        <v>0</v>
      </c>
      <c r="BX591" s="532">
        <f t="shared" ca="1" si="441"/>
        <v>0</v>
      </c>
      <c r="CC591" s="536">
        <f t="shared" ca="1" si="442"/>
        <v>2075</v>
      </c>
      <c r="CF591" s="530">
        <v>590</v>
      </c>
      <c r="CG591" s="531">
        <f t="shared" ca="1" si="453"/>
        <v>64123</v>
      </c>
      <c r="CH591" s="532">
        <f ca="1">IF(CH590=0,SUMIFS('Key Life Events'!$L$3:$L$28,'Key Life Events'!$H$3:$H$28,'Loan Amortization'!$CL$3,'Key Life Events'!$N$3:$N$28,'Loan Amortization'!CG591),CH590-CK590)</f>
        <v>0</v>
      </c>
      <c r="CI591" s="532">
        <f t="shared" ca="1" si="454"/>
        <v>0</v>
      </c>
      <c r="CJ591" s="532">
        <f t="shared" ca="1" si="455"/>
        <v>0</v>
      </c>
      <c r="CK591" s="532">
        <f t="shared" ca="1" si="443"/>
        <v>0</v>
      </c>
      <c r="CP591" s="536">
        <f t="shared" ca="1" si="444"/>
        <v>2075</v>
      </c>
      <c r="CS591" s="100">
        <f t="shared" si="433"/>
        <v>590</v>
      </c>
      <c r="CT591" s="102">
        <f t="shared" ca="1" si="434"/>
        <v>0</v>
      </c>
      <c r="CU591" s="102">
        <f t="shared" ca="1" si="435"/>
        <v>0</v>
      </c>
      <c r="CV591" s="511">
        <f t="shared" ca="1" si="445"/>
        <v>2075</v>
      </c>
    </row>
    <row r="592" spans="1:100" x14ac:dyDescent="0.3">
      <c r="A592" s="100">
        <v>591</v>
      </c>
      <c r="B592" s="131">
        <f t="shared" si="413"/>
        <v>17134</v>
      </c>
      <c r="C592" s="102">
        <f t="shared" si="414"/>
        <v>0</v>
      </c>
      <c r="D592" s="102">
        <f t="shared" si="415"/>
        <v>0</v>
      </c>
      <c r="E592" s="102">
        <f t="shared" si="416"/>
        <v>0</v>
      </c>
      <c r="F592" s="102">
        <f t="shared" si="417"/>
        <v>0</v>
      </c>
      <c r="L592" s="100">
        <v>591</v>
      </c>
      <c r="M592" s="131">
        <f t="shared" ca="1" si="418"/>
        <v>64154</v>
      </c>
      <c r="N592" s="102">
        <f t="shared" si="419"/>
        <v>0</v>
      </c>
      <c r="O592" s="102">
        <f t="shared" si="420"/>
        <v>0</v>
      </c>
      <c r="P592" s="102">
        <f t="shared" si="421"/>
        <v>0</v>
      </c>
      <c r="Q592" s="102">
        <f t="shared" si="422"/>
        <v>0</v>
      </c>
      <c r="W592" s="100">
        <v>591</v>
      </c>
      <c r="X592" s="131">
        <f t="shared" ca="1" si="423"/>
        <v>64154</v>
      </c>
      <c r="Y592" s="102">
        <f t="shared" si="424"/>
        <v>0</v>
      </c>
      <c r="Z592" s="102">
        <f t="shared" si="425"/>
        <v>0</v>
      </c>
      <c r="AA592" s="102">
        <f t="shared" si="426"/>
        <v>0</v>
      </c>
      <c r="AB592" s="102">
        <f t="shared" si="427"/>
        <v>0</v>
      </c>
      <c r="AH592" s="100">
        <v>591</v>
      </c>
      <c r="AI592" s="131">
        <f t="shared" ca="1" si="428"/>
        <v>64154</v>
      </c>
      <c r="AJ592" s="102">
        <f t="shared" si="429"/>
        <v>0</v>
      </c>
      <c r="AK592" s="102">
        <f t="shared" si="430"/>
        <v>0</v>
      </c>
      <c r="AL592" s="102">
        <f t="shared" si="431"/>
        <v>0</v>
      </c>
      <c r="AM592" s="102">
        <f t="shared" si="432"/>
        <v>0</v>
      </c>
      <c r="AS592" s="530">
        <v>591</v>
      </c>
      <c r="AT592" s="531">
        <f t="shared" ca="1" si="446"/>
        <v>64154</v>
      </c>
      <c r="AU592" s="532">
        <f ca="1">IF(AU591=0,SUMIFS('Key Life Events'!$L$3:$L$28,'Key Life Events'!$H$3:$H$28,'Loan Amortization'!$AY$3,'Key Life Events'!$N$3:$N$28,'Loan Amortization'!AT592),AU591-AX591)</f>
        <v>0</v>
      </c>
      <c r="AV592" s="532">
        <f t="shared" ca="1" si="447"/>
        <v>0</v>
      </c>
      <c r="AW592" s="532">
        <f t="shared" ca="1" si="436"/>
        <v>0</v>
      </c>
      <c r="AX592" s="532">
        <f t="shared" ca="1" si="437"/>
        <v>0</v>
      </c>
      <c r="BC592" s="536">
        <f t="shared" ca="1" si="438"/>
        <v>2075</v>
      </c>
      <c r="BF592" s="530">
        <v>591</v>
      </c>
      <c r="BG592" s="531">
        <f t="shared" ca="1" si="448"/>
        <v>64154</v>
      </c>
      <c r="BH592" s="532">
        <f ca="1">IF(BH591=0,SUMIFS('Key Life Events'!$L$3:$L$28,'Key Life Events'!$H$3:$H$28,'Loan Amortization'!$BL$3,'Key Life Events'!$N$3:$N$28,'Loan Amortization'!BG592),BH591-BK591)</f>
        <v>0</v>
      </c>
      <c r="BI592" s="532">
        <f t="shared" ca="1" si="449"/>
        <v>0</v>
      </c>
      <c r="BJ592" s="532">
        <f t="shared" ca="1" si="450"/>
        <v>0</v>
      </c>
      <c r="BK592" s="532">
        <f t="shared" ca="1" si="439"/>
        <v>0</v>
      </c>
      <c r="BP592" s="536">
        <f t="shared" ca="1" si="440"/>
        <v>2075</v>
      </c>
      <c r="BS592" s="530">
        <v>591</v>
      </c>
      <c r="BT592" s="531">
        <f t="shared" ca="1" si="451"/>
        <v>64154</v>
      </c>
      <c r="BU592" s="532">
        <f ca="1">IF(BU591=0,SUMIFS('Key Life Events'!$L$3:$L$28,'Key Life Events'!$H$3:$H$28,'Loan Amortization'!$BY$3,'Key Life Events'!$N$3:$N$28,'Loan Amortization'!BT592),BU591-BX591)</f>
        <v>0</v>
      </c>
      <c r="BV592" s="532">
        <f t="shared" ca="1" si="456"/>
        <v>0</v>
      </c>
      <c r="BW592" s="532">
        <f t="shared" ca="1" si="452"/>
        <v>0</v>
      </c>
      <c r="BX592" s="532">
        <f t="shared" ca="1" si="441"/>
        <v>0</v>
      </c>
      <c r="CC592" s="536">
        <f t="shared" ca="1" si="442"/>
        <v>2075</v>
      </c>
      <c r="CF592" s="530">
        <v>591</v>
      </c>
      <c r="CG592" s="531">
        <f t="shared" ca="1" si="453"/>
        <v>64154</v>
      </c>
      <c r="CH592" s="532">
        <f ca="1">IF(CH591=0,SUMIFS('Key Life Events'!$L$3:$L$28,'Key Life Events'!$H$3:$H$28,'Loan Amortization'!$CL$3,'Key Life Events'!$N$3:$N$28,'Loan Amortization'!CG592),CH591-CK591)</f>
        <v>0</v>
      </c>
      <c r="CI592" s="532">
        <f t="shared" ca="1" si="454"/>
        <v>0</v>
      </c>
      <c r="CJ592" s="532">
        <f t="shared" ca="1" si="455"/>
        <v>0</v>
      </c>
      <c r="CK592" s="532">
        <f t="shared" ca="1" si="443"/>
        <v>0</v>
      </c>
      <c r="CP592" s="536">
        <f t="shared" ca="1" si="444"/>
        <v>2075</v>
      </c>
      <c r="CS592" s="100">
        <f t="shared" si="433"/>
        <v>591</v>
      </c>
      <c r="CT592" s="102">
        <f t="shared" ca="1" si="434"/>
        <v>0</v>
      </c>
      <c r="CU592" s="102">
        <f t="shared" ca="1" si="435"/>
        <v>0</v>
      </c>
      <c r="CV592" s="511">
        <f t="shared" ca="1" si="445"/>
        <v>2075</v>
      </c>
    </row>
    <row r="593" spans="1:100" x14ac:dyDescent="0.3">
      <c r="A593" s="100">
        <v>592</v>
      </c>
      <c r="B593" s="131">
        <f t="shared" si="413"/>
        <v>17164</v>
      </c>
      <c r="C593" s="102">
        <f t="shared" si="414"/>
        <v>0</v>
      </c>
      <c r="D593" s="102">
        <f t="shared" si="415"/>
        <v>0</v>
      </c>
      <c r="E593" s="102">
        <f t="shared" si="416"/>
        <v>0</v>
      </c>
      <c r="F593" s="102">
        <f t="shared" si="417"/>
        <v>0</v>
      </c>
      <c r="L593" s="100">
        <v>592</v>
      </c>
      <c r="M593" s="131">
        <f t="shared" ca="1" si="418"/>
        <v>64185</v>
      </c>
      <c r="N593" s="102">
        <f t="shared" si="419"/>
        <v>0</v>
      </c>
      <c r="O593" s="102">
        <f t="shared" si="420"/>
        <v>0</v>
      </c>
      <c r="P593" s="102">
        <f t="shared" si="421"/>
        <v>0</v>
      </c>
      <c r="Q593" s="102">
        <f t="shared" si="422"/>
        <v>0</v>
      </c>
      <c r="W593" s="100">
        <v>592</v>
      </c>
      <c r="X593" s="131">
        <f t="shared" ca="1" si="423"/>
        <v>64185</v>
      </c>
      <c r="Y593" s="102">
        <f t="shared" si="424"/>
        <v>0</v>
      </c>
      <c r="Z593" s="102">
        <f t="shared" si="425"/>
        <v>0</v>
      </c>
      <c r="AA593" s="102">
        <f t="shared" si="426"/>
        <v>0</v>
      </c>
      <c r="AB593" s="102">
        <f t="shared" si="427"/>
        <v>0</v>
      </c>
      <c r="AH593" s="100">
        <v>592</v>
      </c>
      <c r="AI593" s="131">
        <f t="shared" ca="1" si="428"/>
        <v>64185</v>
      </c>
      <c r="AJ593" s="102">
        <f t="shared" si="429"/>
        <v>0</v>
      </c>
      <c r="AK593" s="102">
        <f t="shared" si="430"/>
        <v>0</v>
      </c>
      <c r="AL593" s="102">
        <f t="shared" si="431"/>
        <v>0</v>
      </c>
      <c r="AM593" s="102">
        <f t="shared" si="432"/>
        <v>0</v>
      </c>
      <c r="AS593" s="530">
        <v>592</v>
      </c>
      <c r="AT593" s="531">
        <f t="shared" ca="1" si="446"/>
        <v>64185</v>
      </c>
      <c r="AU593" s="532">
        <f ca="1">IF(AU592=0,SUMIFS('Key Life Events'!$L$3:$L$28,'Key Life Events'!$H$3:$H$28,'Loan Amortization'!$AY$3,'Key Life Events'!$N$3:$N$28,'Loan Amortization'!AT593),AU592-AX592)</f>
        <v>0</v>
      </c>
      <c r="AV593" s="532">
        <f t="shared" ca="1" si="447"/>
        <v>0</v>
      </c>
      <c r="AW593" s="532">
        <f t="shared" ca="1" si="436"/>
        <v>0</v>
      </c>
      <c r="AX593" s="532">
        <f t="shared" ca="1" si="437"/>
        <v>0</v>
      </c>
      <c r="BC593" s="536">
        <f t="shared" ca="1" si="438"/>
        <v>2075</v>
      </c>
      <c r="BF593" s="530">
        <v>592</v>
      </c>
      <c r="BG593" s="531">
        <f t="shared" ca="1" si="448"/>
        <v>64185</v>
      </c>
      <c r="BH593" s="532">
        <f ca="1">IF(BH592=0,SUMIFS('Key Life Events'!$L$3:$L$28,'Key Life Events'!$H$3:$H$28,'Loan Amortization'!$BL$3,'Key Life Events'!$N$3:$N$28,'Loan Amortization'!BG593),BH592-BK592)</f>
        <v>0</v>
      </c>
      <c r="BI593" s="532">
        <f t="shared" ca="1" si="449"/>
        <v>0</v>
      </c>
      <c r="BJ593" s="532">
        <f t="shared" ca="1" si="450"/>
        <v>0</v>
      </c>
      <c r="BK593" s="532">
        <f t="shared" ca="1" si="439"/>
        <v>0</v>
      </c>
      <c r="BP593" s="536">
        <f t="shared" ca="1" si="440"/>
        <v>2075</v>
      </c>
      <c r="BS593" s="530">
        <v>592</v>
      </c>
      <c r="BT593" s="531">
        <f t="shared" ca="1" si="451"/>
        <v>64185</v>
      </c>
      <c r="BU593" s="532">
        <f ca="1">IF(BU592=0,SUMIFS('Key Life Events'!$L$3:$L$28,'Key Life Events'!$H$3:$H$28,'Loan Amortization'!$BY$3,'Key Life Events'!$N$3:$N$28,'Loan Amortization'!BT593),BU592-BX592)</f>
        <v>0</v>
      </c>
      <c r="BV593" s="532">
        <f t="shared" ca="1" si="456"/>
        <v>0</v>
      </c>
      <c r="BW593" s="532">
        <f t="shared" ca="1" si="452"/>
        <v>0</v>
      </c>
      <c r="BX593" s="532">
        <f t="shared" ca="1" si="441"/>
        <v>0</v>
      </c>
      <c r="CC593" s="536">
        <f t="shared" ca="1" si="442"/>
        <v>2075</v>
      </c>
      <c r="CF593" s="530">
        <v>592</v>
      </c>
      <c r="CG593" s="531">
        <f t="shared" ca="1" si="453"/>
        <v>64185</v>
      </c>
      <c r="CH593" s="532">
        <f ca="1">IF(CH592=0,SUMIFS('Key Life Events'!$L$3:$L$28,'Key Life Events'!$H$3:$H$28,'Loan Amortization'!$CL$3,'Key Life Events'!$N$3:$N$28,'Loan Amortization'!CG593),CH592-CK592)</f>
        <v>0</v>
      </c>
      <c r="CI593" s="532">
        <f t="shared" ca="1" si="454"/>
        <v>0</v>
      </c>
      <c r="CJ593" s="532">
        <f t="shared" ca="1" si="455"/>
        <v>0</v>
      </c>
      <c r="CK593" s="532">
        <f t="shared" ca="1" si="443"/>
        <v>0</v>
      </c>
      <c r="CP593" s="536">
        <f t="shared" ca="1" si="444"/>
        <v>2075</v>
      </c>
      <c r="CS593" s="100">
        <f t="shared" si="433"/>
        <v>592</v>
      </c>
      <c r="CT593" s="102">
        <f t="shared" ca="1" si="434"/>
        <v>0</v>
      </c>
      <c r="CU593" s="102">
        <f t="shared" ca="1" si="435"/>
        <v>0</v>
      </c>
      <c r="CV593" s="511">
        <f t="shared" ca="1" si="445"/>
        <v>2075</v>
      </c>
    </row>
    <row r="594" spans="1:100" x14ac:dyDescent="0.3">
      <c r="A594" s="100">
        <v>593</v>
      </c>
      <c r="B594" s="131">
        <f t="shared" si="413"/>
        <v>17195</v>
      </c>
      <c r="C594" s="102">
        <f t="shared" si="414"/>
        <v>0</v>
      </c>
      <c r="D594" s="102">
        <f t="shared" si="415"/>
        <v>0</v>
      </c>
      <c r="E594" s="102">
        <f t="shared" si="416"/>
        <v>0</v>
      </c>
      <c r="F594" s="102">
        <f t="shared" si="417"/>
        <v>0</v>
      </c>
      <c r="L594" s="100">
        <v>593</v>
      </c>
      <c r="M594" s="131">
        <f t="shared" ca="1" si="418"/>
        <v>64215</v>
      </c>
      <c r="N594" s="102">
        <f t="shared" si="419"/>
        <v>0</v>
      </c>
      <c r="O594" s="102">
        <f t="shared" si="420"/>
        <v>0</v>
      </c>
      <c r="P594" s="102">
        <f t="shared" si="421"/>
        <v>0</v>
      </c>
      <c r="Q594" s="102">
        <f t="shared" si="422"/>
        <v>0</v>
      </c>
      <c r="W594" s="100">
        <v>593</v>
      </c>
      <c r="X594" s="131">
        <f t="shared" ca="1" si="423"/>
        <v>64215</v>
      </c>
      <c r="Y594" s="102">
        <f t="shared" si="424"/>
        <v>0</v>
      </c>
      <c r="Z594" s="102">
        <f t="shared" si="425"/>
        <v>0</v>
      </c>
      <c r="AA594" s="102">
        <f t="shared" si="426"/>
        <v>0</v>
      </c>
      <c r="AB594" s="102">
        <f t="shared" si="427"/>
        <v>0</v>
      </c>
      <c r="AH594" s="100">
        <v>593</v>
      </c>
      <c r="AI594" s="131">
        <f t="shared" ca="1" si="428"/>
        <v>64215</v>
      </c>
      <c r="AJ594" s="102">
        <f t="shared" si="429"/>
        <v>0</v>
      </c>
      <c r="AK594" s="102">
        <f t="shared" si="430"/>
        <v>0</v>
      </c>
      <c r="AL594" s="102">
        <f t="shared" si="431"/>
        <v>0</v>
      </c>
      <c r="AM594" s="102">
        <f t="shared" si="432"/>
        <v>0</v>
      </c>
      <c r="AS594" s="530">
        <v>593</v>
      </c>
      <c r="AT594" s="531">
        <f t="shared" ca="1" si="446"/>
        <v>64215</v>
      </c>
      <c r="AU594" s="532">
        <f ca="1">IF(AU593=0,SUMIFS('Key Life Events'!$L$3:$L$28,'Key Life Events'!$H$3:$H$28,'Loan Amortization'!$AY$3,'Key Life Events'!$N$3:$N$28,'Loan Amortization'!AT594),AU593-AX593)</f>
        <v>0</v>
      </c>
      <c r="AV594" s="532">
        <f t="shared" ca="1" si="447"/>
        <v>0</v>
      </c>
      <c r="AW594" s="532">
        <f t="shared" ca="1" si="436"/>
        <v>0</v>
      </c>
      <c r="AX594" s="532">
        <f t="shared" ca="1" si="437"/>
        <v>0</v>
      </c>
      <c r="BC594" s="536">
        <f t="shared" ca="1" si="438"/>
        <v>2075</v>
      </c>
      <c r="BF594" s="530">
        <v>593</v>
      </c>
      <c r="BG594" s="531">
        <f t="shared" ca="1" si="448"/>
        <v>64215</v>
      </c>
      <c r="BH594" s="532">
        <f ca="1">IF(BH593=0,SUMIFS('Key Life Events'!$L$3:$L$28,'Key Life Events'!$H$3:$H$28,'Loan Amortization'!$BL$3,'Key Life Events'!$N$3:$N$28,'Loan Amortization'!BG594),BH593-BK593)</f>
        <v>0</v>
      </c>
      <c r="BI594" s="532">
        <f t="shared" ca="1" si="449"/>
        <v>0</v>
      </c>
      <c r="BJ594" s="532">
        <f t="shared" ca="1" si="450"/>
        <v>0</v>
      </c>
      <c r="BK594" s="532">
        <f t="shared" ca="1" si="439"/>
        <v>0</v>
      </c>
      <c r="BP594" s="536">
        <f t="shared" ca="1" si="440"/>
        <v>2075</v>
      </c>
      <c r="BS594" s="530">
        <v>593</v>
      </c>
      <c r="BT594" s="531">
        <f t="shared" ca="1" si="451"/>
        <v>64215</v>
      </c>
      <c r="BU594" s="532">
        <f ca="1">IF(BU593=0,SUMIFS('Key Life Events'!$L$3:$L$28,'Key Life Events'!$H$3:$H$28,'Loan Amortization'!$BY$3,'Key Life Events'!$N$3:$N$28,'Loan Amortization'!BT594),BU593-BX593)</f>
        <v>0</v>
      </c>
      <c r="BV594" s="532">
        <f t="shared" ca="1" si="456"/>
        <v>0</v>
      </c>
      <c r="BW594" s="532">
        <f t="shared" ca="1" si="452"/>
        <v>0</v>
      </c>
      <c r="BX594" s="532">
        <f t="shared" ca="1" si="441"/>
        <v>0</v>
      </c>
      <c r="CC594" s="536">
        <f t="shared" ca="1" si="442"/>
        <v>2075</v>
      </c>
      <c r="CF594" s="530">
        <v>593</v>
      </c>
      <c r="CG594" s="531">
        <f t="shared" ca="1" si="453"/>
        <v>64215</v>
      </c>
      <c r="CH594" s="532">
        <f ca="1">IF(CH593=0,SUMIFS('Key Life Events'!$L$3:$L$28,'Key Life Events'!$H$3:$H$28,'Loan Amortization'!$CL$3,'Key Life Events'!$N$3:$N$28,'Loan Amortization'!CG594),CH593-CK593)</f>
        <v>0</v>
      </c>
      <c r="CI594" s="532">
        <f t="shared" ca="1" si="454"/>
        <v>0</v>
      </c>
      <c r="CJ594" s="532">
        <f t="shared" ca="1" si="455"/>
        <v>0</v>
      </c>
      <c r="CK594" s="532">
        <f t="shared" ca="1" si="443"/>
        <v>0</v>
      </c>
      <c r="CP594" s="536">
        <f t="shared" ca="1" si="444"/>
        <v>2075</v>
      </c>
      <c r="CS594" s="100">
        <f t="shared" si="433"/>
        <v>593</v>
      </c>
      <c r="CT594" s="102">
        <f t="shared" ca="1" si="434"/>
        <v>0</v>
      </c>
      <c r="CU594" s="102">
        <f t="shared" ca="1" si="435"/>
        <v>0</v>
      </c>
      <c r="CV594" s="511">
        <f t="shared" ca="1" si="445"/>
        <v>2075</v>
      </c>
    </row>
    <row r="595" spans="1:100" x14ac:dyDescent="0.3">
      <c r="A595" s="100">
        <v>594</v>
      </c>
      <c r="B595" s="131">
        <f t="shared" si="413"/>
        <v>17226</v>
      </c>
      <c r="C595" s="102">
        <f t="shared" si="414"/>
        <v>0</v>
      </c>
      <c r="D595" s="102">
        <f t="shared" si="415"/>
        <v>0</v>
      </c>
      <c r="E595" s="102">
        <f t="shared" si="416"/>
        <v>0</v>
      </c>
      <c r="F595" s="102">
        <f t="shared" si="417"/>
        <v>0</v>
      </c>
      <c r="L595" s="100">
        <v>594</v>
      </c>
      <c r="M595" s="131">
        <f t="shared" ca="1" si="418"/>
        <v>64246</v>
      </c>
      <c r="N595" s="102">
        <f t="shared" si="419"/>
        <v>0</v>
      </c>
      <c r="O595" s="102">
        <f t="shared" si="420"/>
        <v>0</v>
      </c>
      <c r="P595" s="102">
        <f t="shared" si="421"/>
        <v>0</v>
      </c>
      <c r="Q595" s="102">
        <f t="shared" si="422"/>
        <v>0</v>
      </c>
      <c r="W595" s="100">
        <v>594</v>
      </c>
      <c r="X595" s="131">
        <f t="shared" ca="1" si="423"/>
        <v>64246</v>
      </c>
      <c r="Y595" s="102">
        <f t="shared" si="424"/>
        <v>0</v>
      </c>
      <c r="Z595" s="102">
        <f t="shared" si="425"/>
        <v>0</v>
      </c>
      <c r="AA595" s="102">
        <f t="shared" si="426"/>
        <v>0</v>
      </c>
      <c r="AB595" s="102">
        <f t="shared" si="427"/>
        <v>0</v>
      </c>
      <c r="AH595" s="100">
        <v>594</v>
      </c>
      <c r="AI595" s="131">
        <f t="shared" ca="1" si="428"/>
        <v>64246</v>
      </c>
      <c r="AJ595" s="102">
        <f t="shared" si="429"/>
        <v>0</v>
      </c>
      <c r="AK595" s="102">
        <f t="shared" si="430"/>
        <v>0</v>
      </c>
      <c r="AL595" s="102">
        <f t="shared" si="431"/>
        <v>0</v>
      </c>
      <c r="AM595" s="102">
        <f t="shared" si="432"/>
        <v>0</v>
      </c>
      <c r="AS595" s="530">
        <v>594</v>
      </c>
      <c r="AT595" s="531">
        <f t="shared" ca="1" si="446"/>
        <v>64246</v>
      </c>
      <c r="AU595" s="532">
        <f ca="1">IF(AU594=0,SUMIFS('Key Life Events'!$L$3:$L$28,'Key Life Events'!$H$3:$H$28,'Loan Amortization'!$AY$3,'Key Life Events'!$N$3:$N$28,'Loan Amortization'!AT595),AU594-AX594)</f>
        <v>0</v>
      </c>
      <c r="AV595" s="532">
        <f t="shared" ca="1" si="447"/>
        <v>0</v>
      </c>
      <c r="AW595" s="532">
        <f t="shared" ca="1" si="436"/>
        <v>0</v>
      </c>
      <c r="AX595" s="532">
        <f t="shared" ca="1" si="437"/>
        <v>0</v>
      </c>
      <c r="BC595" s="536">
        <f t="shared" ca="1" si="438"/>
        <v>2075</v>
      </c>
      <c r="BF595" s="530">
        <v>594</v>
      </c>
      <c r="BG595" s="531">
        <f t="shared" ca="1" si="448"/>
        <v>64246</v>
      </c>
      <c r="BH595" s="532">
        <f ca="1">IF(BH594=0,SUMIFS('Key Life Events'!$L$3:$L$28,'Key Life Events'!$H$3:$H$28,'Loan Amortization'!$BL$3,'Key Life Events'!$N$3:$N$28,'Loan Amortization'!BG595),BH594-BK594)</f>
        <v>0</v>
      </c>
      <c r="BI595" s="532">
        <f t="shared" ca="1" si="449"/>
        <v>0</v>
      </c>
      <c r="BJ595" s="532">
        <f t="shared" ca="1" si="450"/>
        <v>0</v>
      </c>
      <c r="BK595" s="532">
        <f t="shared" ca="1" si="439"/>
        <v>0</v>
      </c>
      <c r="BP595" s="536">
        <f t="shared" ca="1" si="440"/>
        <v>2075</v>
      </c>
      <c r="BS595" s="530">
        <v>594</v>
      </c>
      <c r="BT595" s="531">
        <f t="shared" ca="1" si="451"/>
        <v>64246</v>
      </c>
      <c r="BU595" s="532">
        <f ca="1">IF(BU594=0,SUMIFS('Key Life Events'!$L$3:$L$28,'Key Life Events'!$H$3:$H$28,'Loan Amortization'!$BY$3,'Key Life Events'!$N$3:$N$28,'Loan Amortization'!BT595),BU594-BX594)</f>
        <v>0</v>
      </c>
      <c r="BV595" s="532">
        <f t="shared" ca="1" si="456"/>
        <v>0</v>
      </c>
      <c r="BW595" s="532">
        <f t="shared" ca="1" si="452"/>
        <v>0</v>
      </c>
      <c r="BX595" s="532">
        <f t="shared" ca="1" si="441"/>
        <v>0</v>
      </c>
      <c r="CC595" s="536">
        <f t="shared" ca="1" si="442"/>
        <v>2075</v>
      </c>
      <c r="CF595" s="530">
        <v>594</v>
      </c>
      <c r="CG595" s="531">
        <f t="shared" ca="1" si="453"/>
        <v>64246</v>
      </c>
      <c r="CH595" s="532">
        <f ca="1">IF(CH594=0,SUMIFS('Key Life Events'!$L$3:$L$28,'Key Life Events'!$H$3:$H$28,'Loan Amortization'!$CL$3,'Key Life Events'!$N$3:$N$28,'Loan Amortization'!CG595),CH594-CK594)</f>
        <v>0</v>
      </c>
      <c r="CI595" s="532">
        <f t="shared" ca="1" si="454"/>
        <v>0</v>
      </c>
      <c r="CJ595" s="532">
        <f t="shared" ca="1" si="455"/>
        <v>0</v>
      </c>
      <c r="CK595" s="532">
        <f t="shared" ca="1" si="443"/>
        <v>0</v>
      </c>
      <c r="CP595" s="536">
        <f t="shared" ca="1" si="444"/>
        <v>2075</v>
      </c>
      <c r="CS595" s="100">
        <f t="shared" si="433"/>
        <v>594</v>
      </c>
      <c r="CT595" s="102">
        <f t="shared" ca="1" si="434"/>
        <v>0</v>
      </c>
      <c r="CU595" s="102">
        <f t="shared" ca="1" si="435"/>
        <v>0</v>
      </c>
      <c r="CV595" s="511">
        <f t="shared" ca="1" si="445"/>
        <v>2075</v>
      </c>
    </row>
    <row r="596" spans="1:100" x14ac:dyDescent="0.3">
      <c r="A596" s="100">
        <v>595</v>
      </c>
      <c r="B596" s="131">
        <f t="shared" si="413"/>
        <v>17254</v>
      </c>
      <c r="C596" s="102">
        <f t="shared" si="414"/>
        <v>0</v>
      </c>
      <c r="D596" s="102">
        <f t="shared" si="415"/>
        <v>0</v>
      </c>
      <c r="E596" s="102">
        <f t="shared" si="416"/>
        <v>0</v>
      </c>
      <c r="F596" s="102">
        <f t="shared" si="417"/>
        <v>0</v>
      </c>
      <c r="L596" s="100">
        <v>595</v>
      </c>
      <c r="M596" s="131">
        <f t="shared" ca="1" si="418"/>
        <v>64276</v>
      </c>
      <c r="N596" s="102">
        <f t="shared" si="419"/>
        <v>0</v>
      </c>
      <c r="O596" s="102">
        <f t="shared" si="420"/>
        <v>0</v>
      </c>
      <c r="P596" s="102">
        <f t="shared" si="421"/>
        <v>0</v>
      </c>
      <c r="Q596" s="102">
        <f t="shared" si="422"/>
        <v>0</v>
      </c>
      <c r="W596" s="100">
        <v>595</v>
      </c>
      <c r="X596" s="131">
        <f t="shared" ca="1" si="423"/>
        <v>64276</v>
      </c>
      <c r="Y596" s="102">
        <f t="shared" si="424"/>
        <v>0</v>
      </c>
      <c r="Z596" s="102">
        <f t="shared" si="425"/>
        <v>0</v>
      </c>
      <c r="AA596" s="102">
        <f t="shared" si="426"/>
        <v>0</v>
      </c>
      <c r="AB596" s="102">
        <f t="shared" si="427"/>
        <v>0</v>
      </c>
      <c r="AH596" s="100">
        <v>595</v>
      </c>
      <c r="AI596" s="131">
        <f t="shared" ca="1" si="428"/>
        <v>64276</v>
      </c>
      <c r="AJ596" s="102">
        <f t="shared" si="429"/>
        <v>0</v>
      </c>
      <c r="AK596" s="102">
        <f t="shared" si="430"/>
        <v>0</v>
      </c>
      <c r="AL596" s="102">
        <f t="shared" si="431"/>
        <v>0</v>
      </c>
      <c r="AM596" s="102">
        <f t="shared" si="432"/>
        <v>0</v>
      </c>
      <c r="AS596" s="530">
        <v>595</v>
      </c>
      <c r="AT596" s="531">
        <f t="shared" ca="1" si="446"/>
        <v>64276</v>
      </c>
      <c r="AU596" s="532">
        <f ca="1">IF(AU595=0,SUMIFS('Key Life Events'!$L$3:$L$28,'Key Life Events'!$H$3:$H$28,'Loan Amortization'!$AY$3,'Key Life Events'!$N$3:$N$28,'Loan Amortization'!AT596),AU595-AX595)</f>
        <v>0</v>
      </c>
      <c r="AV596" s="532">
        <f t="shared" ca="1" si="447"/>
        <v>0</v>
      </c>
      <c r="AW596" s="532">
        <f t="shared" ca="1" si="436"/>
        <v>0</v>
      </c>
      <c r="AX596" s="532">
        <f t="shared" ca="1" si="437"/>
        <v>0</v>
      </c>
      <c r="BC596" s="536">
        <f t="shared" ca="1" si="438"/>
        <v>2075</v>
      </c>
      <c r="BF596" s="530">
        <v>595</v>
      </c>
      <c r="BG596" s="531">
        <f t="shared" ca="1" si="448"/>
        <v>64276</v>
      </c>
      <c r="BH596" s="532">
        <f ca="1">IF(BH595=0,SUMIFS('Key Life Events'!$L$3:$L$28,'Key Life Events'!$H$3:$H$28,'Loan Amortization'!$BL$3,'Key Life Events'!$N$3:$N$28,'Loan Amortization'!BG596),BH595-BK595)</f>
        <v>0</v>
      </c>
      <c r="BI596" s="532">
        <f t="shared" ca="1" si="449"/>
        <v>0</v>
      </c>
      <c r="BJ596" s="532">
        <f t="shared" ca="1" si="450"/>
        <v>0</v>
      </c>
      <c r="BK596" s="532">
        <f t="shared" ca="1" si="439"/>
        <v>0</v>
      </c>
      <c r="BP596" s="536">
        <f t="shared" ca="1" si="440"/>
        <v>2075</v>
      </c>
      <c r="BS596" s="530">
        <v>595</v>
      </c>
      <c r="BT596" s="531">
        <f t="shared" ca="1" si="451"/>
        <v>64276</v>
      </c>
      <c r="BU596" s="532">
        <f ca="1">IF(BU595=0,SUMIFS('Key Life Events'!$L$3:$L$28,'Key Life Events'!$H$3:$H$28,'Loan Amortization'!$BY$3,'Key Life Events'!$N$3:$N$28,'Loan Amortization'!BT596),BU595-BX595)</f>
        <v>0</v>
      </c>
      <c r="BV596" s="532">
        <f t="shared" ca="1" si="456"/>
        <v>0</v>
      </c>
      <c r="BW596" s="532">
        <f t="shared" ca="1" si="452"/>
        <v>0</v>
      </c>
      <c r="BX596" s="532">
        <f t="shared" ca="1" si="441"/>
        <v>0</v>
      </c>
      <c r="CC596" s="536">
        <f t="shared" ca="1" si="442"/>
        <v>2075</v>
      </c>
      <c r="CF596" s="530">
        <v>595</v>
      </c>
      <c r="CG596" s="531">
        <f t="shared" ca="1" si="453"/>
        <v>64276</v>
      </c>
      <c r="CH596" s="532">
        <f ca="1">IF(CH595=0,SUMIFS('Key Life Events'!$L$3:$L$28,'Key Life Events'!$H$3:$H$28,'Loan Amortization'!$CL$3,'Key Life Events'!$N$3:$N$28,'Loan Amortization'!CG596),CH595-CK595)</f>
        <v>0</v>
      </c>
      <c r="CI596" s="532">
        <f t="shared" ca="1" si="454"/>
        <v>0</v>
      </c>
      <c r="CJ596" s="532">
        <f t="shared" ca="1" si="455"/>
        <v>0</v>
      </c>
      <c r="CK596" s="532">
        <f t="shared" ca="1" si="443"/>
        <v>0</v>
      </c>
      <c r="CP596" s="536">
        <f t="shared" ca="1" si="444"/>
        <v>2075</v>
      </c>
      <c r="CS596" s="100">
        <f t="shared" si="433"/>
        <v>595</v>
      </c>
      <c r="CT596" s="102">
        <f t="shared" ca="1" si="434"/>
        <v>0</v>
      </c>
      <c r="CU596" s="102">
        <f t="shared" ca="1" si="435"/>
        <v>0</v>
      </c>
      <c r="CV596" s="511">
        <f t="shared" ca="1" si="445"/>
        <v>2075</v>
      </c>
    </row>
    <row r="597" spans="1:100" x14ac:dyDescent="0.3">
      <c r="A597" s="100">
        <v>596</v>
      </c>
      <c r="B597" s="131">
        <f t="shared" si="413"/>
        <v>17285</v>
      </c>
      <c r="C597" s="102">
        <f t="shared" si="414"/>
        <v>0</v>
      </c>
      <c r="D597" s="102">
        <f t="shared" si="415"/>
        <v>0</v>
      </c>
      <c r="E597" s="102">
        <f t="shared" si="416"/>
        <v>0</v>
      </c>
      <c r="F597" s="102">
        <f t="shared" si="417"/>
        <v>0</v>
      </c>
      <c r="L597" s="100">
        <v>596</v>
      </c>
      <c r="M597" s="131">
        <f t="shared" ca="1" si="418"/>
        <v>64307</v>
      </c>
      <c r="N597" s="102">
        <f t="shared" si="419"/>
        <v>0</v>
      </c>
      <c r="O597" s="102">
        <f t="shared" si="420"/>
        <v>0</v>
      </c>
      <c r="P597" s="102">
        <f t="shared" si="421"/>
        <v>0</v>
      </c>
      <c r="Q597" s="102">
        <f t="shared" si="422"/>
        <v>0</v>
      </c>
      <c r="W597" s="100">
        <v>596</v>
      </c>
      <c r="X597" s="131">
        <f t="shared" ca="1" si="423"/>
        <v>64307</v>
      </c>
      <c r="Y597" s="102">
        <f t="shared" si="424"/>
        <v>0</v>
      </c>
      <c r="Z597" s="102">
        <f t="shared" si="425"/>
        <v>0</v>
      </c>
      <c r="AA597" s="102">
        <f t="shared" si="426"/>
        <v>0</v>
      </c>
      <c r="AB597" s="102">
        <f t="shared" si="427"/>
        <v>0</v>
      </c>
      <c r="AH597" s="100">
        <v>596</v>
      </c>
      <c r="AI597" s="131">
        <f t="shared" ca="1" si="428"/>
        <v>64307</v>
      </c>
      <c r="AJ597" s="102">
        <f t="shared" si="429"/>
        <v>0</v>
      </c>
      <c r="AK597" s="102">
        <f t="shared" si="430"/>
        <v>0</v>
      </c>
      <c r="AL597" s="102">
        <f t="shared" si="431"/>
        <v>0</v>
      </c>
      <c r="AM597" s="102">
        <f t="shared" si="432"/>
        <v>0</v>
      </c>
      <c r="AS597" s="530">
        <v>596</v>
      </c>
      <c r="AT597" s="531">
        <f t="shared" ca="1" si="446"/>
        <v>64307</v>
      </c>
      <c r="AU597" s="532">
        <f ca="1">IF(AU596=0,SUMIFS('Key Life Events'!$L$3:$L$28,'Key Life Events'!$H$3:$H$28,'Loan Amortization'!$AY$3,'Key Life Events'!$N$3:$N$28,'Loan Amortization'!AT597),AU596-AX596)</f>
        <v>0</v>
      </c>
      <c r="AV597" s="532">
        <f t="shared" ca="1" si="447"/>
        <v>0</v>
      </c>
      <c r="AW597" s="532">
        <f t="shared" ca="1" si="436"/>
        <v>0</v>
      </c>
      <c r="AX597" s="532">
        <f t="shared" ca="1" si="437"/>
        <v>0</v>
      </c>
      <c r="BC597" s="536">
        <f t="shared" ca="1" si="438"/>
        <v>2076</v>
      </c>
      <c r="BF597" s="530">
        <v>596</v>
      </c>
      <c r="BG597" s="531">
        <f t="shared" ca="1" si="448"/>
        <v>64307</v>
      </c>
      <c r="BH597" s="532">
        <f ca="1">IF(BH596=0,SUMIFS('Key Life Events'!$L$3:$L$28,'Key Life Events'!$H$3:$H$28,'Loan Amortization'!$BL$3,'Key Life Events'!$N$3:$N$28,'Loan Amortization'!BG597),BH596-BK596)</f>
        <v>0</v>
      </c>
      <c r="BI597" s="532">
        <f t="shared" ca="1" si="449"/>
        <v>0</v>
      </c>
      <c r="BJ597" s="532">
        <f t="shared" ca="1" si="450"/>
        <v>0</v>
      </c>
      <c r="BK597" s="532">
        <f t="shared" ca="1" si="439"/>
        <v>0</v>
      </c>
      <c r="BP597" s="536">
        <f t="shared" ca="1" si="440"/>
        <v>2076</v>
      </c>
      <c r="BS597" s="530">
        <v>596</v>
      </c>
      <c r="BT597" s="531">
        <f t="shared" ca="1" si="451"/>
        <v>64307</v>
      </c>
      <c r="BU597" s="532">
        <f ca="1">IF(BU596=0,SUMIFS('Key Life Events'!$L$3:$L$28,'Key Life Events'!$H$3:$H$28,'Loan Amortization'!$BY$3,'Key Life Events'!$N$3:$N$28,'Loan Amortization'!BT597),BU596-BX596)</f>
        <v>0</v>
      </c>
      <c r="BV597" s="532">
        <f t="shared" ca="1" si="456"/>
        <v>0</v>
      </c>
      <c r="BW597" s="532">
        <f t="shared" ca="1" si="452"/>
        <v>0</v>
      </c>
      <c r="BX597" s="532">
        <f t="shared" ca="1" si="441"/>
        <v>0</v>
      </c>
      <c r="CC597" s="536">
        <f t="shared" ca="1" si="442"/>
        <v>2076</v>
      </c>
      <c r="CF597" s="530">
        <v>596</v>
      </c>
      <c r="CG597" s="531">
        <f t="shared" ca="1" si="453"/>
        <v>64307</v>
      </c>
      <c r="CH597" s="532">
        <f ca="1">IF(CH596=0,SUMIFS('Key Life Events'!$L$3:$L$28,'Key Life Events'!$H$3:$H$28,'Loan Amortization'!$CL$3,'Key Life Events'!$N$3:$N$28,'Loan Amortization'!CG597),CH596-CK596)</f>
        <v>0</v>
      </c>
      <c r="CI597" s="532">
        <f t="shared" ca="1" si="454"/>
        <v>0</v>
      </c>
      <c r="CJ597" s="532">
        <f t="shared" ca="1" si="455"/>
        <v>0</v>
      </c>
      <c r="CK597" s="532">
        <f t="shared" ca="1" si="443"/>
        <v>0</v>
      </c>
      <c r="CP597" s="536">
        <f t="shared" ca="1" si="444"/>
        <v>2076</v>
      </c>
      <c r="CS597" s="100">
        <f t="shared" si="433"/>
        <v>596</v>
      </c>
      <c r="CT597" s="102">
        <f t="shared" ca="1" si="434"/>
        <v>0</v>
      </c>
      <c r="CU597" s="102">
        <f t="shared" ca="1" si="435"/>
        <v>0</v>
      </c>
      <c r="CV597" s="511">
        <f t="shared" ca="1" si="445"/>
        <v>2076</v>
      </c>
    </row>
    <row r="598" spans="1:100" x14ac:dyDescent="0.3">
      <c r="A598" s="100">
        <v>597</v>
      </c>
      <c r="B598" s="131">
        <f t="shared" si="413"/>
        <v>17315</v>
      </c>
      <c r="C598" s="102">
        <f t="shared" si="414"/>
        <v>0</v>
      </c>
      <c r="D598" s="102">
        <f t="shared" si="415"/>
        <v>0</v>
      </c>
      <c r="E598" s="102">
        <f t="shared" si="416"/>
        <v>0</v>
      </c>
      <c r="F598" s="102">
        <f t="shared" si="417"/>
        <v>0</v>
      </c>
      <c r="L598" s="100">
        <v>597</v>
      </c>
      <c r="M598" s="131">
        <f t="shared" ca="1" si="418"/>
        <v>64338</v>
      </c>
      <c r="N598" s="102">
        <f t="shared" si="419"/>
        <v>0</v>
      </c>
      <c r="O598" s="102">
        <f t="shared" si="420"/>
        <v>0</v>
      </c>
      <c r="P598" s="102">
        <f t="shared" si="421"/>
        <v>0</v>
      </c>
      <c r="Q598" s="102">
        <f t="shared" si="422"/>
        <v>0</v>
      </c>
      <c r="W598" s="100">
        <v>597</v>
      </c>
      <c r="X598" s="131">
        <f t="shared" ca="1" si="423"/>
        <v>64338</v>
      </c>
      <c r="Y598" s="102">
        <f t="shared" si="424"/>
        <v>0</v>
      </c>
      <c r="Z598" s="102">
        <f t="shared" si="425"/>
        <v>0</v>
      </c>
      <c r="AA598" s="102">
        <f t="shared" si="426"/>
        <v>0</v>
      </c>
      <c r="AB598" s="102">
        <f t="shared" si="427"/>
        <v>0</v>
      </c>
      <c r="AH598" s="100">
        <v>597</v>
      </c>
      <c r="AI598" s="131">
        <f t="shared" ca="1" si="428"/>
        <v>64338</v>
      </c>
      <c r="AJ598" s="102">
        <f t="shared" si="429"/>
        <v>0</v>
      </c>
      <c r="AK598" s="102">
        <f t="shared" si="430"/>
        <v>0</v>
      </c>
      <c r="AL598" s="102">
        <f t="shared" si="431"/>
        <v>0</v>
      </c>
      <c r="AM598" s="102">
        <f t="shared" si="432"/>
        <v>0</v>
      </c>
      <c r="AS598" s="530">
        <v>597</v>
      </c>
      <c r="AT598" s="531">
        <f t="shared" ca="1" si="446"/>
        <v>64338</v>
      </c>
      <c r="AU598" s="532">
        <f ca="1">IF(AU597=0,SUMIFS('Key Life Events'!$L$3:$L$28,'Key Life Events'!$H$3:$H$28,'Loan Amortization'!$AY$3,'Key Life Events'!$N$3:$N$28,'Loan Amortization'!AT598),AU597-AX597)</f>
        <v>0</v>
      </c>
      <c r="AV598" s="532">
        <f t="shared" ca="1" si="447"/>
        <v>0</v>
      </c>
      <c r="AW598" s="532">
        <f t="shared" ca="1" si="436"/>
        <v>0</v>
      </c>
      <c r="AX598" s="532">
        <f t="shared" ca="1" si="437"/>
        <v>0</v>
      </c>
      <c r="BC598" s="536">
        <f t="shared" ca="1" si="438"/>
        <v>2076</v>
      </c>
      <c r="BF598" s="530">
        <v>597</v>
      </c>
      <c r="BG598" s="531">
        <f t="shared" ca="1" si="448"/>
        <v>64338</v>
      </c>
      <c r="BH598" s="532">
        <f ca="1">IF(BH597=0,SUMIFS('Key Life Events'!$L$3:$L$28,'Key Life Events'!$H$3:$H$28,'Loan Amortization'!$BL$3,'Key Life Events'!$N$3:$N$28,'Loan Amortization'!BG598),BH597-BK597)</f>
        <v>0</v>
      </c>
      <c r="BI598" s="532">
        <f t="shared" ca="1" si="449"/>
        <v>0</v>
      </c>
      <c r="BJ598" s="532">
        <f t="shared" ca="1" si="450"/>
        <v>0</v>
      </c>
      <c r="BK598" s="532">
        <f t="shared" ca="1" si="439"/>
        <v>0</v>
      </c>
      <c r="BP598" s="536">
        <f t="shared" ca="1" si="440"/>
        <v>2076</v>
      </c>
      <c r="BS598" s="530">
        <v>597</v>
      </c>
      <c r="BT598" s="531">
        <f t="shared" ca="1" si="451"/>
        <v>64338</v>
      </c>
      <c r="BU598" s="532">
        <f ca="1">IF(BU597=0,SUMIFS('Key Life Events'!$L$3:$L$28,'Key Life Events'!$H$3:$H$28,'Loan Amortization'!$BY$3,'Key Life Events'!$N$3:$N$28,'Loan Amortization'!BT598),BU597-BX597)</f>
        <v>0</v>
      </c>
      <c r="BV598" s="532">
        <f t="shared" ca="1" si="456"/>
        <v>0</v>
      </c>
      <c r="BW598" s="532">
        <f t="shared" ca="1" si="452"/>
        <v>0</v>
      </c>
      <c r="BX598" s="532">
        <f t="shared" ca="1" si="441"/>
        <v>0</v>
      </c>
      <c r="CC598" s="536">
        <f t="shared" ca="1" si="442"/>
        <v>2076</v>
      </c>
      <c r="CF598" s="530">
        <v>597</v>
      </c>
      <c r="CG598" s="531">
        <f t="shared" ca="1" si="453"/>
        <v>64338</v>
      </c>
      <c r="CH598" s="532">
        <f ca="1">IF(CH597=0,SUMIFS('Key Life Events'!$L$3:$L$28,'Key Life Events'!$H$3:$H$28,'Loan Amortization'!$CL$3,'Key Life Events'!$N$3:$N$28,'Loan Amortization'!CG598),CH597-CK597)</f>
        <v>0</v>
      </c>
      <c r="CI598" s="532">
        <f t="shared" ca="1" si="454"/>
        <v>0</v>
      </c>
      <c r="CJ598" s="532">
        <f t="shared" ca="1" si="455"/>
        <v>0</v>
      </c>
      <c r="CK598" s="532">
        <f t="shared" ca="1" si="443"/>
        <v>0</v>
      </c>
      <c r="CP598" s="536">
        <f t="shared" ca="1" si="444"/>
        <v>2076</v>
      </c>
      <c r="CS598" s="100">
        <f t="shared" si="433"/>
        <v>597</v>
      </c>
      <c r="CT598" s="102">
        <f t="shared" ca="1" si="434"/>
        <v>0</v>
      </c>
      <c r="CU598" s="102">
        <f t="shared" ca="1" si="435"/>
        <v>0</v>
      </c>
      <c r="CV598" s="511">
        <f t="shared" ca="1" si="445"/>
        <v>2076</v>
      </c>
    </row>
    <row r="599" spans="1:100" x14ac:dyDescent="0.3">
      <c r="A599" s="100">
        <v>598</v>
      </c>
      <c r="B599" s="131">
        <f t="shared" si="413"/>
        <v>17346</v>
      </c>
      <c r="C599" s="102">
        <f t="shared" si="414"/>
        <v>0</v>
      </c>
      <c r="D599" s="102">
        <f t="shared" si="415"/>
        <v>0</v>
      </c>
      <c r="E599" s="102">
        <f t="shared" si="416"/>
        <v>0</v>
      </c>
      <c r="F599" s="102">
        <f t="shared" si="417"/>
        <v>0</v>
      </c>
      <c r="L599" s="100">
        <v>598</v>
      </c>
      <c r="M599" s="131">
        <f t="shared" ca="1" si="418"/>
        <v>64367</v>
      </c>
      <c r="N599" s="102">
        <f t="shared" si="419"/>
        <v>0</v>
      </c>
      <c r="O599" s="102">
        <f t="shared" si="420"/>
        <v>0</v>
      </c>
      <c r="P599" s="102">
        <f t="shared" si="421"/>
        <v>0</v>
      </c>
      <c r="Q599" s="102">
        <f t="shared" si="422"/>
        <v>0</v>
      </c>
      <c r="W599" s="100">
        <v>598</v>
      </c>
      <c r="X599" s="131">
        <f t="shared" ca="1" si="423"/>
        <v>64367</v>
      </c>
      <c r="Y599" s="102">
        <f t="shared" si="424"/>
        <v>0</v>
      </c>
      <c r="Z599" s="102">
        <f t="shared" si="425"/>
        <v>0</v>
      </c>
      <c r="AA599" s="102">
        <f t="shared" si="426"/>
        <v>0</v>
      </c>
      <c r="AB599" s="102">
        <f t="shared" si="427"/>
        <v>0</v>
      </c>
      <c r="AH599" s="100">
        <v>598</v>
      </c>
      <c r="AI599" s="131">
        <f t="shared" ca="1" si="428"/>
        <v>64367</v>
      </c>
      <c r="AJ599" s="102">
        <f t="shared" si="429"/>
        <v>0</v>
      </c>
      <c r="AK599" s="102">
        <f t="shared" si="430"/>
        <v>0</v>
      </c>
      <c r="AL599" s="102">
        <f t="shared" si="431"/>
        <v>0</v>
      </c>
      <c r="AM599" s="102">
        <f t="shared" si="432"/>
        <v>0</v>
      </c>
      <c r="AS599" s="530">
        <v>598</v>
      </c>
      <c r="AT599" s="531">
        <f t="shared" ca="1" si="446"/>
        <v>64367</v>
      </c>
      <c r="AU599" s="532">
        <f ca="1">IF(AU598=0,SUMIFS('Key Life Events'!$L$3:$L$28,'Key Life Events'!$H$3:$H$28,'Loan Amortization'!$AY$3,'Key Life Events'!$N$3:$N$28,'Loan Amortization'!AT599),AU598-AX598)</f>
        <v>0</v>
      </c>
      <c r="AV599" s="532">
        <f t="shared" ca="1" si="447"/>
        <v>0</v>
      </c>
      <c r="AW599" s="532">
        <f t="shared" ca="1" si="436"/>
        <v>0</v>
      </c>
      <c r="AX599" s="532">
        <f t="shared" ca="1" si="437"/>
        <v>0</v>
      </c>
      <c r="BC599" s="536">
        <f t="shared" ca="1" si="438"/>
        <v>2076</v>
      </c>
      <c r="BF599" s="530">
        <v>598</v>
      </c>
      <c r="BG599" s="531">
        <f t="shared" ca="1" si="448"/>
        <v>64367</v>
      </c>
      <c r="BH599" s="532">
        <f ca="1">IF(BH598=0,SUMIFS('Key Life Events'!$L$3:$L$28,'Key Life Events'!$H$3:$H$28,'Loan Amortization'!$BL$3,'Key Life Events'!$N$3:$N$28,'Loan Amortization'!BG599),BH598-BK598)</f>
        <v>0</v>
      </c>
      <c r="BI599" s="532">
        <f t="shared" ca="1" si="449"/>
        <v>0</v>
      </c>
      <c r="BJ599" s="532">
        <f t="shared" ca="1" si="450"/>
        <v>0</v>
      </c>
      <c r="BK599" s="532">
        <f t="shared" ca="1" si="439"/>
        <v>0</v>
      </c>
      <c r="BP599" s="536">
        <f t="shared" ca="1" si="440"/>
        <v>2076</v>
      </c>
      <c r="BS599" s="530">
        <v>598</v>
      </c>
      <c r="BT599" s="531">
        <f t="shared" ca="1" si="451"/>
        <v>64367</v>
      </c>
      <c r="BU599" s="532">
        <f ca="1">IF(BU598=0,SUMIFS('Key Life Events'!$L$3:$L$28,'Key Life Events'!$H$3:$H$28,'Loan Amortization'!$BY$3,'Key Life Events'!$N$3:$N$28,'Loan Amortization'!BT599),BU598-BX598)</f>
        <v>0</v>
      </c>
      <c r="BV599" s="532">
        <f t="shared" ca="1" si="456"/>
        <v>0</v>
      </c>
      <c r="BW599" s="532">
        <f t="shared" ca="1" si="452"/>
        <v>0</v>
      </c>
      <c r="BX599" s="532">
        <f t="shared" ca="1" si="441"/>
        <v>0</v>
      </c>
      <c r="CC599" s="536">
        <f t="shared" ca="1" si="442"/>
        <v>2076</v>
      </c>
      <c r="CF599" s="530">
        <v>598</v>
      </c>
      <c r="CG599" s="531">
        <f t="shared" ca="1" si="453"/>
        <v>64367</v>
      </c>
      <c r="CH599" s="532">
        <f ca="1">IF(CH598=0,SUMIFS('Key Life Events'!$L$3:$L$28,'Key Life Events'!$H$3:$H$28,'Loan Amortization'!$CL$3,'Key Life Events'!$N$3:$N$28,'Loan Amortization'!CG599),CH598-CK598)</f>
        <v>0</v>
      </c>
      <c r="CI599" s="532">
        <f t="shared" ca="1" si="454"/>
        <v>0</v>
      </c>
      <c r="CJ599" s="532">
        <f t="shared" ca="1" si="455"/>
        <v>0</v>
      </c>
      <c r="CK599" s="532">
        <f t="shared" ca="1" si="443"/>
        <v>0</v>
      </c>
      <c r="CP599" s="536">
        <f t="shared" ca="1" si="444"/>
        <v>2076</v>
      </c>
      <c r="CS599" s="100">
        <f t="shared" si="433"/>
        <v>598</v>
      </c>
      <c r="CT599" s="102">
        <f t="shared" ca="1" si="434"/>
        <v>0</v>
      </c>
      <c r="CU599" s="102">
        <f t="shared" ca="1" si="435"/>
        <v>0</v>
      </c>
      <c r="CV599" s="511">
        <f t="shared" ca="1" si="445"/>
        <v>2076</v>
      </c>
    </row>
    <row r="600" spans="1:100" x14ac:dyDescent="0.3">
      <c r="A600" s="100">
        <v>599</v>
      </c>
      <c r="B600" s="131">
        <f t="shared" si="413"/>
        <v>17376</v>
      </c>
      <c r="C600" s="102">
        <f t="shared" si="414"/>
        <v>0</v>
      </c>
      <c r="D600" s="102">
        <f t="shared" si="415"/>
        <v>0</v>
      </c>
      <c r="E600" s="102">
        <f t="shared" si="416"/>
        <v>0</v>
      </c>
      <c r="F600" s="102">
        <f t="shared" si="417"/>
        <v>0</v>
      </c>
      <c r="L600" s="100">
        <v>599</v>
      </c>
      <c r="M600" s="131">
        <f t="shared" ca="1" si="418"/>
        <v>64398</v>
      </c>
      <c r="N600" s="102">
        <f t="shared" si="419"/>
        <v>0</v>
      </c>
      <c r="O600" s="102">
        <f t="shared" si="420"/>
        <v>0</v>
      </c>
      <c r="P600" s="102">
        <f t="shared" si="421"/>
        <v>0</v>
      </c>
      <c r="Q600" s="102">
        <f t="shared" si="422"/>
        <v>0</v>
      </c>
      <c r="W600" s="100">
        <v>599</v>
      </c>
      <c r="X600" s="131">
        <f t="shared" ca="1" si="423"/>
        <v>64398</v>
      </c>
      <c r="Y600" s="102">
        <f t="shared" si="424"/>
        <v>0</v>
      </c>
      <c r="Z600" s="102">
        <f t="shared" si="425"/>
        <v>0</v>
      </c>
      <c r="AA600" s="102">
        <f t="shared" si="426"/>
        <v>0</v>
      </c>
      <c r="AB600" s="102">
        <f t="shared" si="427"/>
        <v>0</v>
      </c>
      <c r="AH600" s="100">
        <v>599</v>
      </c>
      <c r="AI600" s="131">
        <f t="shared" ca="1" si="428"/>
        <v>64398</v>
      </c>
      <c r="AJ600" s="102">
        <f t="shared" si="429"/>
        <v>0</v>
      </c>
      <c r="AK600" s="102">
        <f t="shared" si="430"/>
        <v>0</v>
      </c>
      <c r="AL600" s="102">
        <f t="shared" si="431"/>
        <v>0</v>
      </c>
      <c r="AM600" s="102">
        <f t="shared" si="432"/>
        <v>0</v>
      </c>
      <c r="AS600" s="530">
        <v>599</v>
      </c>
      <c r="AT600" s="531">
        <f t="shared" ca="1" si="446"/>
        <v>64398</v>
      </c>
      <c r="AU600" s="532">
        <f ca="1">IF(AU599=0,SUMIFS('Key Life Events'!$L$3:$L$28,'Key Life Events'!$H$3:$H$28,'Loan Amortization'!$AY$3,'Key Life Events'!$N$3:$N$28,'Loan Amortization'!AT600),AU599-AX599)</f>
        <v>0</v>
      </c>
      <c r="AV600" s="532">
        <f t="shared" ca="1" si="447"/>
        <v>0</v>
      </c>
      <c r="AW600" s="532">
        <f t="shared" ca="1" si="436"/>
        <v>0</v>
      </c>
      <c r="AX600" s="532">
        <f t="shared" ca="1" si="437"/>
        <v>0</v>
      </c>
      <c r="BC600" s="536">
        <f t="shared" ca="1" si="438"/>
        <v>2076</v>
      </c>
      <c r="BF600" s="530">
        <v>599</v>
      </c>
      <c r="BG600" s="531">
        <f t="shared" ca="1" si="448"/>
        <v>64398</v>
      </c>
      <c r="BH600" s="532">
        <f ca="1">IF(BH599=0,SUMIFS('Key Life Events'!$L$3:$L$28,'Key Life Events'!$H$3:$H$28,'Loan Amortization'!$BL$3,'Key Life Events'!$N$3:$N$28,'Loan Amortization'!BG600),BH599-BK599)</f>
        <v>0</v>
      </c>
      <c r="BI600" s="532">
        <f t="shared" ca="1" si="449"/>
        <v>0</v>
      </c>
      <c r="BJ600" s="532">
        <f t="shared" ca="1" si="450"/>
        <v>0</v>
      </c>
      <c r="BK600" s="532">
        <f t="shared" ca="1" si="439"/>
        <v>0</v>
      </c>
      <c r="BP600" s="536">
        <f t="shared" ca="1" si="440"/>
        <v>2076</v>
      </c>
      <c r="BS600" s="530">
        <v>599</v>
      </c>
      <c r="BT600" s="531">
        <f t="shared" ca="1" si="451"/>
        <v>64398</v>
      </c>
      <c r="BU600" s="532">
        <f ca="1">IF(BU599=0,SUMIFS('Key Life Events'!$L$3:$L$28,'Key Life Events'!$H$3:$H$28,'Loan Amortization'!$BY$3,'Key Life Events'!$N$3:$N$28,'Loan Amortization'!BT600),BU599-BX599)</f>
        <v>0</v>
      </c>
      <c r="BV600" s="532">
        <f t="shared" ca="1" si="456"/>
        <v>0</v>
      </c>
      <c r="BW600" s="532">
        <f t="shared" ca="1" si="452"/>
        <v>0</v>
      </c>
      <c r="BX600" s="532">
        <f t="shared" ca="1" si="441"/>
        <v>0</v>
      </c>
      <c r="CC600" s="536">
        <f t="shared" ca="1" si="442"/>
        <v>2076</v>
      </c>
      <c r="CF600" s="530">
        <v>599</v>
      </c>
      <c r="CG600" s="531">
        <f t="shared" ca="1" si="453"/>
        <v>64398</v>
      </c>
      <c r="CH600" s="532">
        <f ca="1">IF(CH599=0,SUMIFS('Key Life Events'!$L$3:$L$28,'Key Life Events'!$H$3:$H$28,'Loan Amortization'!$CL$3,'Key Life Events'!$N$3:$N$28,'Loan Amortization'!CG600),CH599-CK599)</f>
        <v>0</v>
      </c>
      <c r="CI600" s="532">
        <f t="shared" ca="1" si="454"/>
        <v>0</v>
      </c>
      <c r="CJ600" s="532">
        <f t="shared" ca="1" si="455"/>
        <v>0</v>
      </c>
      <c r="CK600" s="532">
        <f t="shared" ca="1" si="443"/>
        <v>0</v>
      </c>
      <c r="CP600" s="536">
        <f t="shared" ca="1" si="444"/>
        <v>2076</v>
      </c>
      <c r="CS600" s="100">
        <f t="shared" si="433"/>
        <v>599</v>
      </c>
      <c r="CT600" s="102">
        <f t="shared" ca="1" si="434"/>
        <v>0</v>
      </c>
      <c r="CU600" s="102">
        <f t="shared" ca="1" si="435"/>
        <v>0</v>
      </c>
      <c r="CV600" s="511">
        <f t="shared" ca="1" si="445"/>
        <v>2076</v>
      </c>
    </row>
    <row r="601" spans="1:100" x14ac:dyDescent="0.3">
      <c r="A601" s="100">
        <v>600</v>
      </c>
      <c r="B601" s="131">
        <f t="shared" si="413"/>
        <v>17407</v>
      </c>
      <c r="C601" s="102">
        <f t="shared" si="414"/>
        <v>0</v>
      </c>
      <c r="D601" s="102">
        <f t="shared" si="415"/>
        <v>0</v>
      </c>
      <c r="E601" s="102">
        <f t="shared" si="416"/>
        <v>0</v>
      </c>
      <c r="F601" s="102">
        <f t="shared" si="417"/>
        <v>0</v>
      </c>
      <c r="L601" s="100">
        <v>600</v>
      </c>
      <c r="M601" s="131">
        <f t="shared" ca="1" si="418"/>
        <v>64428</v>
      </c>
      <c r="N601" s="102">
        <f t="shared" si="419"/>
        <v>0</v>
      </c>
      <c r="O601" s="102">
        <f t="shared" si="420"/>
        <v>0</v>
      </c>
      <c r="P601" s="102">
        <f t="shared" si="421"/>
        <v>0</v>
      </c>
      <c r="Q601" s="102">
        <f t="shared" si="422"/>
        <v>0</v>
      </c>
      <c r="W601" s="100">
        <v>600</v>
      </c>
      <c r="X601" s="131">
        <f t="shared" ca="1" si="423"/>
        <v>64428</v>
      </c>
      <c r="Y601" s="102">
        <f t="shared" si="424"/>
        <v>0</v>
      </c>
      <c r="Z601" s="102">
        <f t="shared" si="425"/>
        <v>0</v>
      </c>
      <c r="AA601" s="102">
        <f t="shared" si="426"/>
        <v>0</v>
      </c>
      <c r="AB601" s="102">
        <f t="shared" si="427"/>
        <v>0</v>
      </c>
      <c r="AH601" s="100">
        <v>600</v>
      </c>
      <c r="AI601" s="131">
        <f t="shared" ca="1" si="428"/>
        <v>64428</v>
      </c>
      <c r="AJ601" s="102">
        <f t="shared" si="429"/>
        <v>0</v>
      </c>
      <c r="AK601" s="102">
        <f t="shared" si="430"/>
        <v>0</v>
      </c>
      <c r="AL601" s="102">
        <f t="shared" si="431"/>
        <v>0</v>
      </c>
      <c r="AM601" s="102">
        <f t="shared" si="432"/>
        <v>0</v>
      </c>
      <c r="AS601" s="530">
        <v>600</v>
      </c>
      <c r="AT601" s="531">
        <f t="shared" ca="1" si="446"/>
        <v>64428</v>
      </c>
      <c r="AU601" s="532">
        <f ca="1">IF(AU600=0,SUMIFS('Key Life Events'!$L$3:$L$28,'Key Life Events'!$H$3:$H$28,'Loan Amortization'!$AY$3,'Key Life Events'!$N$3:$N$28,'Loan Amortization'!AT601),AU600-AX600)</f>
        <v>0</v>
      </c>
      <c r="AV601" s="532">
        <f t="shared" ca="1" si="447"/>
        <v>0</v>
      </c>
      <c r="AW601" s="532">
        <f t="shared" ca="1" si="436"/>
        <v>0</v>
      </c>
      <c r="AX601" s="532">
        <f t="shared" ca="1" si="437"/>
        <v>0</v>
      </c>
      <c r="BC601" s="536">
        <f t="shared" ca="1" si="438"/>
        <v>2076</v>
      </c>
      <c r="BF601" s="530">
        <v>600</v>
      </c>
      <c r="BG601" s="531">
        <f t="shared" ca="1" si="448"/>
        <v>64428</v>
      </c>
      <c r="BH601" s="532">
        <f ca="1">IF(BH600=0,SUMIFS('Key Life Events'!$L$3:$L$28,'Key Life Events'!$H$3:$H$28,'Loan Amortization'!$BL$3,'Key Life Events'!$N$3:$N$28,'Loan Amortization'!BG601),BH600-BK600)</f>
        <v>0</v>
      </c>
      <c r="BI601" s="532">
        <f t="shared" ca="1" si="449"/>
        <v>0</v>
      </c>
      <c r="BJ601" s="532">
        <f t="shared" ca="1" si="450"/>
        <v>0</v>
      </c>
      <c r="BK601" s="532">
        <f t="shared" ca="1" si="439"/>
        <v>0</v>
      </c>
      <c r="BP601" s="536">
        <f t="shared" ca="1" si="440"/>
        <v>2076</v>
      </c>
      <c r="BS601" s="530">
        <v>600</v>
      </c>
      <c r="BT601" s="531">
        <f t="shared" ca="1" si="451"/>
        <v>64428</v>
      </c>
      <c r="BU601" s="532">
        <f ca="1">IF(BU600=0,SUMIFS('Key Life Events'!$L$3:$L$28,'Key Life Events'!$H$3:$H$28,'Loan Amortization'!$BY$3,'Key Life Events'!$N$3:$N$28,'Loan Amortization'!BT601),BU600-BX600)</f>
        <v>0</v>
      </c>
      <c r="BV601" s="532">
        <f t="shared" ca="1" si="456"/>
        <v>0</v>
      </c>
      <c r="BW601" s="532">
        <f t="shared" ca="1" si="452"/>
        <v>0</v>
      </c>
      <c r="BX601" s="532">
        <f t="shared" ca="1" si="441"/>
        <v>0</v>
      </c>
      <c r="CC601" s="536">
        <f t="shared" ca="1" si="442"/>
        <v>2076</v>
      </c>
      <c r="CF601" s="530">
        <v>600</v>
      </c>
      <c r="CG601" s="531">
        <f t="shared" ca="1" si="453"/>
        <v>64428</v>
      </c>
      <c r="CH601" s="532">
        <f ca="1">IF(CH600=0,SUMIFS('Key Life Events'!$L$3:$L$28,'Key Life Events'!$H$3:$H$28,'Loan Amortization'!$CL$3,'Key Life Events'!$N$3:$N$28,'Loan Amortization'!CG601),CH600-CK600)</f>
        <v>0</v>
      </c>
      <c r="CI601" s="532">
        <f t="shared" ca="1" si="454"/>
        <v>0</v>
      </c>
      <c r="CJ601" s="532">
        <f t="shared" ca="1" si="455"/>
        <v>0</v>
      </c>
      <c r="CK601" s="532">
        <f t="shared" ca="1" si="443"/>
        <v>0</v>
      </c>
      <c r="CP601" s="536">
        <f t="shared" ca="1" si="444"/>
        <v>2076</v>
      </c>
      <c r="CS601" s="100">
        <f t="shared" si="433"/>
        <v>600</v>
      </c>
      <c r="CT601" s="102">
        <f t="shared" ca="1" si="434"/>
        <v>0</v>
      </c>
      <c r="CU601" s="102">
        <f t="shared" ca="1" si="435"/>
        <v>0</v>
      </c>
      <c r="CV601" s="511">
        <f t="shared" ca="1" si="445"/>
        <v>2076</v>
      </c>
    </row>
    <row r="602" spans="1:100" x14ac:dyDescent="0.3">
      <c r="A602" s="100">
        <v>601</v>
      </c>
      <c r="B602" s="131">
        <f t="shared" si="413"/>
        <v>17438</v>
      </c>
      <c r="C602" s="102">
        <f t="shared" si="414"/>
        <v>0</v>
      </c>
      <c r="D602" s="102">
        <f t="shared" si="415"/>
        <v>0</v>
      </c>
      <c r="E602" s="102">
        <f t="shared" si="416"/>
        <v>0</v>
      </c>
      <c r="F602" s="102">
        <f t="shared" si="417"/>
        <v>0</v>
      </c>
      <c r="L602" s="100">
        <v>601</v>
      </c>
      <c r="M602" s="131">
        <f t="shared" ca="1" si="418"/>
        <v>64459</v>
      </c>
      <c r="N602" s="102">
        <f t="shared" si="419"/>
        <v>0</v>
      </c>
      <c r="O602" s="102">
        <f t="shared" si="420"/>
        <v>0</v>
      </c>
      <c r="P602" s="102">
        <f t="shared" si="421"/>
        <v>0</v>
      </c>
      <c r="Q602" s="102">
        <f t="shared" si="422"/>
        <v>0</v>
      </c>
      <c r="W602" s="100">
        <v>601</v>
      </c>
      <c r="X602" s="131">
        <f t="shared" ca="1" si="423"/>
        <v>64459</v>
      </c>
      <c r="Y602" s="102">
        <f t="shared" si="424"/>
        <v>0</v>
      </c>
      <c r="Z602" s="102">
        <f t="shared" si="425"/>
        <v>0</v>
      </c>
      <c r="AA602" s="102">
        <f t="shared" si="426"/>
        <v>0</v>
      </c>
      <c r="AB602" s="102">
        <f t="shared" si="427"/>
        <v>0</v>
      </c>
      <c r="AH602" s="100">
        <v>601</v>
      </c>
      <c r="AI602" s="131">
        <f t="shared" ca="1" si="428"/>
        <v>64459</v>
      </c>
      <c r="AJ602" s="102">
        <f t="shared" si="429"/>
        <v>0</v>
      </c>
      <c r="AK602" s="102">
        <f t="shared" si="430"/>
        <v>0</v>
      </c>
      <c r="AL602" s="102">
        <f t="shared" si="431"/>
        <v>0</v>
      </c>
      <c r="AM602" s="102">
        <f t="shared" si="432"/>
        <v>0</v>
      </c>
      <c r="AS602" s="530">
        <v>601</v>
      </c>
      <c r="AT602" s="531">
        <f t="shared" ca="1" si="446"/>
        <v>64459</v>
      </c>
      <c r="AU602" s="532">
        <f ca="1">IF(AU601=0,SUMIFS('Key Life Events'!$L$3:$L$28,'Key Life Events'!$H$3:$H$28,'Loan Amortization'!$AY$3,'Key Life Events'!$N$3:$N$28,'Loan Amortization'!AT602),AU601-AX601)</f>
        <v>0</v>
      </c>
      <c r="AV602" s="532">
        <f t="shared" ca="1" si="447"/>
        <v>0</v>
      </c>
      <c r="AW602" s="532">
        <f t="shared" ca="1" si="436"/>
        <v>0</v>
      </c>
      <c r="AX602" s="532">
        <f t="shared" ca="1" si="437"/>
        <v>0</v>
      </c>
      <c r="BC602" s="536">
        <f t="shared" ca="1" si="438"/>
        <v>2076</v>
      </c>
      <c r="BF602" s="530">
        <v>601</v>
      </c>
      <c r="BG602" s="531">
        <f t="shared" ca="1" si="448"/>
        <v>64459</v>
      </c>
      <c r="BH602" s="532">
        <f ca="1">IF(BH601=0,SUMIFS('Key Life Events'!$L$3:$L$28,'Key Life Events'!$H$3:$H$28,'Loan Amortization'!$BL$3,'Key Life Events'!$N$3:$N$28,'Loan Amortization'!BG602),BH601-BK601)</f>
        <v>0</v>
      </c>
      <c r="BI602" s="532">
        <f t="shared" ca="1" si="449"/>
        <v>0</v>
      </c>
      <c r="BJ602" s="532">
        <f t="shared" ca="1" si="450"/>
        <v>0</v>
      </c>
      <c r="BK602" s="532">
        <f t="shared" ca="1" si="439"/>
        <v>0</v>
      </c>
      <c r="BP602" s="536">
        <f t="shared" ca="1" si="440"/>
        <v>2076</v>
      </c>
      <c r="BS602" s="530">
        <v>601</v>
      </c>
      <c r="BT602" s="531">
        <f t="shared" ca="1" si="451"/>
        <v>64459</v>
      </c>
      <c r="BU602" s="532">
        <f ca="1">IF(BU601=0,SUMIFS('Key Life Events'!$L$3:$L$28,'Key Life Events'!$H$3:$H$28,'Loan Amortization'!$BY$3,'Key Life Events'!$N$3:$N$28,'Loan Amortization'!BT602),BU601-BX601)</f>
        <v>0</v>
      </c>
      <c r="BV602" s="532">
        <f t="shared" ca="1" si="456"/>
        <v>0</v>
      </c>
      <c r="BW602" s="532">
        <f t="shared" ca="1" si="452"/>
        <v>0</v>
      </c>
      <c r="BX602" s="532">
        <f t="shared" ca="1" si="441"/>
        <v>0</v>
      </c>
      <c r="CC602" s="536">
        <f t="shared" ca="1" si="442"/>
        <v>2076</v>
      </c>
      <c r="CF602" s="530">
        <v>601</v>
      </c>
      <c r="CG602" s="531">
        <f t="shared" ca="1" si="453"/>
        <v>64459</v>
      </c>
      <c r="CH602" s="532">
        <f ca="1">IF(CH601=0,SUMIFS('Key Life Events'!$L$3:$L$28,'Key Life Events'!$H$3:$H$28,'Loan Amortization'!$CL$3,'Key Life Events'!$N$3:$N$28,'Loan Amortization'!CG602),CH601-CK601)</f>
        <v>0</v>
      </c>
      <c r="CI602" s="532">
        <f t="shared" ca="1" si="454"/>
        <v>0</v>
      </c>
      <c r="CJ602" s="532">
        <f t="shared" ca="1" si="455"/>
        <v>0</v>
      </c>
      <c r="CK602" s="532">
        <f t="shared" ca="1" si="443"/>
        <v>0</v>
      </c>
      <c r="CP602" s="536">
        <f t="shared" ca="1" si="444"/>
        <v>2076</v>
      </c>
      <c r="CS602" s="100">
        <f t="shared" si="433"/>
        <v>601</v>
      </c>
      <c r="CT602" s="102">
        <f t="shared" ca="1" si="434"/>
        <v>0</v>
      </c>
      <c r="CU602" s="102">
        <f t="shared" ca="1" si="435"/>
        <v>0</v>
      </c>
      <c r="CV602" s="511">
        <f t="shared" ca="1" si="445"/>
        <v>2076</v>
      </c>
    </row>
    <row r="603" spans="1:100" x14ac:dyDescent="0.3">
      <c r="A603" s="100">
        <v>602</v>
      </c>
      <c r="B603" s="131">
        <f t="shared" si="413"/>
        <v>17468</v>
      </c>
      <c r="C603" s="102">
        <f t="shared" si="414"/>
        <v>0</v>
      </c>
      <c r="D603" s="102">
        <f t="shared" si="415"/>
        <v>0</v>
      </c>
      <c r="E603" s="102">
        <f t="shared" si="416"/>
        <v>0</v>
      </c>
      <c r="F603" s="102">
        <f t="shared" si="417"/>
        <v>0</v>
      </c>
      <c r="L603" s="100">
        <v>602</v>
      </c>
      <c r="M603" s="131">
        <f t="shared" ca="1" si="418"/>
        <v>64489</v>
      </c>
      <c r="N603" s="102">
        <f t="shared" si="419"/>
        <v>0</v>
      </c>
      <c r="O603" s="102">
        <f t="shared" si="420"/>
        <v>0</v>
      </c>
      <c r="P603" s="102">
        <f t="shared" si="421"/>
        <v>0</v>
      </c>
      <c r="Q603" s="102">
        <f t="shared" si="422"/>
        <v>0</v>
      </c>
      <c r="W603" s="100">
        <v>602</v>
      </c>
      <c r="X603" s="131">
        <f t="shared" ca="1" si="423"/>
        <v>64489</v>
      </c>
      <c r="Y603" s="102">
        <f t="shared" si="424"/>
        <v>0</v>
      </c>
      <c r="Z603" s="102">
        <f t="shared" si="425"/>
        <v>0</v>
      </c>
      <c r="AA603" s="102">
        <f t="shared" si="426"/>
        <v>0</v>
      </c>
      <c r="AB603" s="102">
        <f t="shared" si="427"/>
        <v>0</v>
      </c>
      <c r="AH603" s="100">
        <v>602</v>
      </c>
      <c r="AI603" s="131">
        <f t="shared" ca="1" si="428"/>
        <v>64489</v>
      </c>
      <c r="AJ603" s="102">
        <f t="shared" si="429"/>
        <v>0</v>
      </c>
      <c r="AK603" s="102">
        <f t="shared" si="430"/>
        <v>0</v>
      </c>
      <c r="AL603" s="102">
        <f t="shared" si="431"/>
        <v>0</v>
      </c>
      <c r="AM603" s="102">
        <f t="shared" si="432"/>
        <v>0</v>
      </c>
      <c r="AS603" s="530">
        <v>602</v>
      </c>
      <c r="AT603" s="531">
        <f t="shared" ca="1" si="446"/>
        <v>64489</v>
      </c>
      <c r="AU603" s="532">
        <f ca="1">IF(AU602=0,SUMIFS('Key Life Events'!$L$3:$L$28,'Key Life Events'!$H$3:$H$28,'Loan Amortization'!$AY$3,'Key Life Events'!$N$3:$N$28,'Loan Amortization'!AT603),AU602-AX602)</f>
        <v>0</v>
      </c>
      <c r="AV603" s="532">
        <f t="shared" ca="1" si="447"/>
        <v>0</v>
      </c>
      <c r="AW603" s="532">
        <f t="shared" ca="1" si="436"/>
        <v>0</v>
      </c>
      <c r="AX603" s="532">
        <f t="shared" ca="1" si="437"/>
        <v>0</v>
      </c>
      <c r="BC603" s="536">
        <f t="shared" ca="1" si="438"/>
        <v>2076</v>
      </c>
      <c r="BF603" s="530">
        <v>602</v>
      </c>
      <c r="BG603" s="531">
        <f t="shared" ca="1" si="448"/>
        <v>64489</v>
      </c>
      <c r="BH603" s="532">
        <f ca="1">IF(BH602=0,SUMIFS('Key Life Events'!$L$3:$L$28,'Key Life Events'!$H$3:$H$28,'Loan Amortization'!$BL$3,'Key Life Events'!$N$3:$N$28,'Loan Amortization'!BG603),BH602-BK602)</f>
        <v>0</v>
      </c>
      <c r="BI603" s="532">
        <f t="shared" ca="1" si="449"/>
        <v>0</v>
      </c>
      <c r="BJ603" s="532">
        <f t="shared" ca="1" si="450"/>
        <v>0</v>
      </c>
      <c r="BK603" s="532">
        <f t="shared" ca="1" si="439"/>
        <v>0</v>
      </c>
      <c r="BP603" s="536">
        <f t="shared" ca="1" si="440"/>
        <v>2076</v>
      </c>
      <c r="BS603" s="530">
        <v>602</v>
      </c>
      <c r="BT603" s="531">
        <f t="shared" ca="1" si="451"/>
        <v>64489</v>
      </c>
      <c r="BU603" s="532">
        <f ca="1">IF(BU602=0,SUMIFS('Key Life Events'!$L$3:$L$28,'Key Life Events'!$H$3:$H$28,'Loan Amortization'!$BY$3,'Key Life Events'!$N$3:$N$28,'Loan Amortization'!BT603),BU602-BX602)</f>
        <v>0</v>
      </c>
      <c r="BV603" s="532">
        <f t="shared" ca="1" si="456"/>
        <v>0</v>
      </c>
      <c r="BW603" s="532">
        <f t="shared" ca="1" si="452"/>
        <v>0</v>
      </c>
      <c r="BX603" s="532">
        <f t="shared" ca="1" si="441"/>
        <v>0</v>
      </c>
      <c r="CC603" s="536">
        <f t="shared" ca="1" si="442"/>
        <v>2076</v>
      </c>
      <c r="CF603" s="530">
        <v>602</v>
      </c>
      <c r="CG603" s="531">
        <f t="shared" ca="1" si="453"/>
        <v>64489</v>
      </c>
      <c r="CH603" s="532">
        <f ca="1">IF(CH602=0,SUMIFS('Key Life Events'!$L$3:$L$28,'Key Life Events'!$H$3:$H$28,'Loan Amortization'!$CL$3,'Key Life Events'!$N$3:$N$28,'Loan Amortization'!CG603),CH602-CK602)</f>
        <v>0</v>
      </c>
      <c r="CI603" s="532">
        <f t="shared" ca="1" si="454"/>
        <v>0</v>
      </c>
      <c r="CJ603" s="532">
        <f t="shared" ca="1" si="455"/>
        <v>0</v>
      </c>
      <c r="CK603" s="532">
        <f t="shared" ca="1" si="443"/>
        <v>0</v>
      </c>
      <c r="CP603" s="536">
        <f t="shared" ca="1" si="444"/>
        <v>2076</v>
      </c>
      <c r="CS603" s="100">
        <f t="shared" si="433"/>
        <v>602</v>
      </c>
      <c r="CT603" s="102">
        <f t="shared" ca="1" si="434"/>
        <v>0</v>
      </c>
      <c r="CU603" s="102">
        <f t="shared" ca="1" si="435"/>
        <v>0</v>
      </c>
      <c r="CV603" s="511">
        <f t="shared" ca="1" si="445"/>
        <v>2076</v>
      </c>
    </row>
    <row r="604" spans="1:100" x14ac:dyDescent="0.3">
      <c r="A604" s="100">
        <v>603</v>
      </c>
      <c r="B604" s="131">
        <f t="shared" si="413"/>
        <v>17499</v>
      </c>
      <c r="C604" s="102">
        <f t="shared" si="414"/>
        <v>0</v>
      </c>
      <c r="D604" s="102">
        <f t="shared" si="415"/>
        <v>0</v>
      </c>
      <c r="E604" s="102">
        <f t="shared" si="416"/>
        <v>0</v>
      </c>
      <c r="F604" s="102">
        <f t="shared" si="417"/>
        <v>0</v>
      </c>
      <c r="L604" s="100">
        <v>603</v>
      </c>
      <c r="M604" s="131">
        <f t="shared" ca="1" si="418"/>
        <v>64520</v>
      </c>
      <c r="N604" s="102">
        <f t="shared" si="419"/>
        <v>0</v>
      </c>
      <c r="O604" s="102">
        <f t="shared" si="420"/>
        <v>0</v>
      </c>
      <c r="P604" s="102">
        <f t="shared" si="421"/>
        <v>0</v>
      </c>
      <c r="Q604" s="102">
        <f t="shared" si="422"/>
        <v>0</v>
      </c>
      <c r="W604" s="100">
        <v>603</v>
      </c>
      <c r="X604" s="131">
        <f t="shared" ca="1" si="423"/>
        <v>64520</v>
      </c>
      <c r="Y604" s="102">
        <f t="shared" si="424"/>
        <v>0</v>
      </c>
      <c r="Z604" s="102">
        <f t="shared" si="425"/>
        <v>0</v>
      </c>
      <c r="AA604" s="102">
        <f t="shared" si="426"/>
        <v>0</v>
      </c>
      <c r="AB604" s="102">
        <f t="shared" si="427"/>
        <v>0</v>
      </c>
      <c r="AH604" s="100">
        <v>603</v>
      </c>
      <c r="AI604" s="131">
        <f t="shared" ca="1" si="428"/>
        <v>64520</v>
      </c>
      <c r="AJ604" s="102">
        <f t="shared" si="429"/>
        <v>0</v>
      </c>
      <c r="AK604" s="102">
        <f t="shared" si="430"/>
        <v>0</v>
      </c>
      <c r="AL604" s="102">
        <f t="shared" si="431"/>
        <v>0</v>
      </c>
      <c r="AM604" s="102">
        <f t="shared" si="432"/>
        <v>0</v>
      </c>
      <c r="AS604" s="530">
        <v>603</v>
      </c>
      <c r="AT604" s="531">
        <f t="shared" ca="1" si="446"/>
        <v>64520</v>
      </c>
      <c r="AU604" s="532">
        <f ca="1">IF(AU603=0,SUMIFS('Key Life Events'!$L$3:$L$28,'Key Life Events'!$H$3:$H$28,'Loan Amortization'!$AY$3,'Key Life Events'!$N$3:$N$28,'Loan Amortization'!AT604),AU603-AX603)</f>
        <v>0</v>
      </c>
      <c r="AV604" s="532">
        <f t="shared" ca="1" si="447"/>
        <v>0</v>
      </c>
      <c r="AW604" s="532">
        <f t="shared" ca="1" si="436"/>
        <v>0</v>
      </c>
      <c r="AX604" s="532">
        <f t="shared" ca="1" si="437"/>
        <v>0</v>
      </c>
      <c r="BC604" s="536">
        <f t="shared" ca="1" si="438"/>
        <v>2076</v>
      </c>
      <c r="BF604" s="530">
        <v>603</v>
      </c>
      <c r="BG604" s="531">
        <f t="shared" ca="1" si="448"/>
        <v>64520</v>
      </c>
      <c r="BH604" s="532">
        <f ca="1">IF(BH603=0,SUMIFS('Key Life Events'!$L$3:$L$28,'Key Life Events'!$H$3:$H$28,'Loan Amortization'!$BL$3,'Key Life Events'!$N$3:$N$28,'Loan Amortization'!BG604),BH603-BK603)</f>
        <v>0</v>
      </c>
      <c r="BI604" s="532">
        <f t="shared" ca="1" si="449"/>
        <v>0</v>
      </c>
      <c r="BJ604" s="532">
        <f t="shared" ca="1" si="450"/>
        <v>0</v>
      </c>
      <c r="BK604" s="532">
        <f t="shared" ca="1" si="439"/>
        <v>0</v>
      </c>
      <c r="BP604" s="536">
        <f t="shared" ca="1" si="440"/>
        <v>2076</v>
      </c>
      <c r="BS604" s="530">
        <v>603</v>
      </c>
      <c r="BT604" s="531">
        <f t="shared" ca="1" si="451"/>
        <v>64520</v>
      </c>
      <c r="BU604" s="532">
        <f ca="1">IF(BU603=0,SUMIFS('Key Life Events'!$L$3:$L$28,'Key Life Events'!$H$3:$H$28,'Loan Amortization'!$BY$3,'Key Life Events'!$N$3:$N$28,'Loan Amortization'!BT604),BU603-BX603)</f>
        <v>0</v>
      </c>
      <c r="BV604" s="532">
        <f t="shared" ca="1" si="456"/>
        <v>0</v>
      </c>
      <c r="BW604" s="532">
        <f t="shared" ca="1" si="452"/>
        <v>0</v>
      </c>
      <c r="BX604" s="532">
        <f t="shared" ca="1" si="441"/>
        <v>0</v>
      </c>
      <c r="CC604" s="536">
        <f t="shared" ca="1" si="442"/>
        <v>2076</v>
      </c>
      <c r="CF604" s="530">
        <v>603</v>
      </c>
      <c r="CG604" s="531">
        <f t="shared" ca="1" si="453"/>
        <v>64520</v>
      </c>
      <c r="CH604" s="532">
        <f ca="1">IF(CH603=0,SUMIFS('Key Life Events'!$L$3:$L$28,'Key Life Events'!$H$3:$H$28,'Loan Amortization'!$CL$3,'Key Life Events'!$N$3:$N$28,'Loan Amortization'!CG604),CH603-CK603)</f>
        <v>0</v>
      </c>
      <c r="CI604" s="532">
        <f t="shared" ca="1" si="454"/>
        <v>0</v>
      </c>
      <c r="CJ604" s="532">
        <f t="shared" ca="1" si="455"/>
        <v>0</v>
      </c>
      <c r="CK604" s="532">
        <f t="shared" ca="1" si="443"/>
        <v>0</v>
      </c>
      <c r="CP604" s="536">
        <f t="shared" ca="1" si="444"/>
        <v>2076</v>
      </c>
      <c r="CS604" s="100">
        <f t="shared" si="433"/>
        <v>603</v>
      </c>
      <c r="CT604" s="102">
        <f t="shared" ca="1" si="434"/>
        <v>0</v>
      </c>
      <c r="CU604" s="102">
        <f t="shared" ca="1" si="435"/>
        <v>0</v>
      </c>
      <c r="CV604" s="511">
        <f t="shared" ca="1" si="445"/>
        <v>2076</v>
      </c>
    </row>
    <row r="605" spans="1:100" x14ac:dyDescent="0.3">
      <c r="A605" s="100">
        <v>604</v>
      </c>
      <c r="B605" s="131">
        <f t="shared" si="413"/>
        <v>17529</v>
      </c>
      <c r="C605" s="102">
        <f t="shared" si="414"/>
        <v>0</v>
      </c>
      <c r="D605" s="102">
        <f t="shared" si="415"/>
        <v>0</v>
      </c>
      <c r="E605" s="102">
        <f t="shared" si="416"/>
        <v>0</v>
      </c>
      <c r="F605" s="102">
        <f t="shared" si="417"/>
        <v>0</v>
      </c>
      <c r="L605" s="100">
        <v>604</v>
      </c>
      <c r="M605" s="131">
        <f t="shared" ca="1" si="418"/>
        <v>64551</v>
      </c>
      <c r="N605" s="102">
        <f t="shared" si="419"/>
        <v>0</v>
      </c>
      <c r="O605" s="102">
        <f t="shared" si="420"/>
        <v>0</v>
      </c>
      <c r="P605" s="102">
        <f t="shared" si="421"/>
        <v>0</v>
      </c>
      <c r="Q605" s="102">
        <f t="shared" si="422"/>
        <v>0</v>
      </c>
      <c r="W605" s="100">
        <v>604</v>
      </c>
      <c r="X605" s="131">
        <f t="shared" ca="1" si="423"/>
        <v>64551</v>
      </c>
      <c r="Y605" s="102">
        <f t="shared" si="424"/>
        <v>0</v>
      </c>
      <c r="Z605" s="102">
        <f t="shared" si="425"/>
        <v>0</v>
      </c>
      <c r="AA605" s="102">
        <f t="shared" si="426"/>
        <v>0</v>
      </c>
      <c r="AB605" s="102">
        <f t="shared" si="427"/>
        <v>0</v>
      </c>
      <c r="AH605" s="100">
        <v>604</v>
      </c>
      <c r="AI605" s="131">
        <f t="shared" ca="1" si="428"/>
        <v>64551</v>
      </c>
      <c r="AJ605" s="102">
        <f t="shared" si="429"/>
        <v>0</v>
      </c>
      <c r="AK605" s="102">
        <f t="shared" si="430"/>
        <v>0</v>
      </c>
      <c r="AL605" s="102">
        <f t="shared" si="431"/>
        <v>0</v>
      </c>
      <c r="AM605" s="102">
        <f t="shared" si="432"/>
        <v>0</v>
      </c>
      <c r="AS605" s="530">
        <v>604</v>
      </c>
      <c r="AT605" s="531">
        <f t="shared" ca="1" si="446"/>
        <v>64551</v>
      </c>
      <c r="AU605" s="532">
        <f ca="1">IF(AU604=0,SUMIFS('Key Life Events'!$L$3:$L$28,'Key Life Events'!$H$3:$H$28,'Loan Amortization'!$AY$3,'Key Life Events'!$N$3:$N$28,'Loan Amortization'!AT605),AU604-AX604)</f>
        <v>0</v>
      </c>
      <c r="AV605" s="532">
        <f t="shared" ca="1" si="447"/>
        <v>0</v>
      </c>
      <c r="AW605" s="532">
        <f t="shared" ca="1" si="436"/>
        <v>0</v>
      </c>
      <c r="AX605" s="532">
        <f t="shared" ca="1" si="437"/>
        <v>0</v>
      </c>
      <c r="BC605" s="536">
        <f t="shared" ca="1" si="438"/>
        <v>2076</v>
      </c>
      <c r="BF605" s="530">
        <v>604</v>
      </c>
      <c r="BG605" s="531">
        <f t="shared" ca="1" si="448"/>
        <v>64551</v>
      </c>
      <c r="BH605" s="532">
        <f ca="1">IF(BH604=0,SUMIFS('Key Life Events'!$L$3:$L$28,'Key Life Events'!$H$3:$H$28,'Loan Amortization'!$BL$3,'Key Life Events'!$N$3:$N$28,'Loan Amortization'!BG605),BH604-BK604)</f>
        <v>0</v>
      </c>
      <c r="BI605" s="532">
        <f t="shared" ca="1" si="449"/>
        <v>0</v>
      </c>
      <c r="BJ605" s="532">
        <f t="shared" ca="1" si="450"/>
        <v>0</v>
      </c>
      <c r="BK605" s="532">
        <f t="shared" ca="1" si="439"/>
        <v>0</v>
      </c>
      <c r="BP605" s="536">
        <f t="shared" ca="1" si="440"/>
        <v>2076</v>
      </c>
      <c r="BS605" s="530">
        <v>604</v>
      </c>
      <c r="BT605" s="531">
        <f t="shared" ca="1" si="451"/>
        <v>64551</v>
      </c>
      <c r="BU605" s="532">
        <f ca="1">IF(BU604=0,SUMIFS('Key Life Events'!$L$3:$L$28,'Key Life Events'!$H$3:$H$28,'Loan Amortization'!$BY$3,'Key Life Events'!$N$3:$N$28,'Loan Amortization'!BT605),BU604-BX604)</f>
        <v>0</v>
      </c>
      <c r="BV605" s="532">
        <f t="shared" ca="1" si="456"/>
        <v>0</v>
      </c>
      <c r="BW605" s="532">
        <f t="shared" ca="1" si="452"/>
        <v>0</v>
      </c>
      <c r="BX605" s="532">
        <f t="shared" ca="1" si="441"/>
        <v>0</v>
      </c>
      <c r="CC605" s="536">
        <f t="shared" ca="1" si="442"/>
        <v>2076</v>
      </c>
      <c r="CF605" s="530">
        <v>604</v>
      </c>
      <c r="CG605" s="531">
        <f t="shared" ca="1" si="453"/>
        <v>64551</v>
      </c>
      <c r="CH605" s="532">
        <f ca="1">IF(CH604=0,SUMIFS('Key Life Events'!$L$3:$L$28,'Key Life Events'!$H$3:$H$28,'Loan Amortization'!$CL$3,'Key Life Events'!$N$3:$N$28,'Loan Amortization'!CG605),CH604-CK604)</f>
        <v>0</v>
      </c>
      <c r="CI605" s="532">
        <f t="shared" ca="1" si="454"/>
        <v>0</v>
      </c>
      <c r="CJ605" s="532">
        <f t="shared" ca="1" si="455"/>
        <v>0</v>
      </c>
      <c r="CK605" s="532">
        <f t="shared" ca="1" si="443"/>
        <v>0</v>
      </c>
      <c r="CP605" s="536">
        <f t="shared" ca="1" si="444"/>
        <v>2076</v>
      </c>
      <c r="CS605" s="100">
        <f t="shared" si="433"/>
        <v>604</v>
      </c>
      <c r="CT605" s="102">
        <f t="shared" ca="1" si="434"/>
        <v>0</v>
      </c>
      <c r="CU605" s="102">
        <f t="shared" ca="1" si="435"/>
        <v>0</v>
      </c>
      <c r="CV605" s="511">
        <f t="shared" ca="1" si="445"/>
        <v>2076</v>
      </c>
    </row>
    <row r="606" spans="1:100" x14ac:dyDescent="0.3">
      <c r="A606" s="100">
        <v>605</v>
      </c>
      <c r="B606" s="131">
        <f t="shared" si="413"/>
        <v>17560</v>
      </c>
      <c r="C606" s="102">
        <f t="shared" si="414"/>
        <v>0</v>
      </c>
      <c r="D606" s="102">
        <f t="shared" si="415"/>
        <v>0</v>
      </c>
      <c r="E606" s="102">
        <f t="shared" si="416"/>
        <v>0</v>
      </c>
      <c r="F606" s="102">
        <f t="shared" si="417"/>
        <v>0</v>
      </c>
      <c r="L606" s="100">
        <v>605</v>
      </c>
      <c r="M606" s="131">
        <f t="shared" ca="1" si="418"/>
        <v>64581</v>
      </c>
      <c r="N606" s="102">
        <f t="shared" si="419"/>
        <v>0</v>
      </c>
      <c r="O606" s="102">
        <f t="shared" si="420"/>
        <v>0</v>
      </c>
      <c r="P606" s="102">
        <f t="shared" si="421"/>
        <v>0</v>
      </c>
      <c r="Q606" s="102">
        <f t="shared" si="422"/>
        <v>0</v>
      </c>
      <c r="W606" s="100">
        <v>605</v>
      </c>
      <c r="X606" s="131">
        <f t="shared" ca="1" si="423"/>
        <v>64581</v>
      </c>
      <c r="Y606" s="102">
        <f t="shared" si="424"/>
        <v>0</v>
      </c>
      <c r="Z606" s="102">
        <f t="shared" si="425"/>
        <v>0</v>
      </c>
      <c r="AA606" s="102">
        <f t="shared" si="426"/>
        <v>0</v>
      </c>
      <c r="AB606" s="102">
        <f t="shared" si="427"/>
        <v>0</v>
      </c>
      <c r="AH606" s="100">
        <v>605</v>
      </c>
      <c r="AI606" s="131">
        <f t="shared" ca="1" si="428"/>
        <v>64581</v>
      </c>
      <c r="AJ606" s="102">
        <f t="shared" si="429"/>
        <v>0</v>
      </c>
      <c r="AK606" s="102">
        <f t="shared" si="430"/>
        <v>0</v>
      </c>
      <c r="AL606" s="102">
        <f t="shared" si="431"/>
        <v>0</v>
      </c>
      <c r="AM606" s="102">
        <f t="shared" si="432"/>
        <v>0</v>
      </c>
      <c r="AS606" s="530">
        <v>605</v>
      </c>
      <c r="AT606" s="531">
        <f t="shared" ca="1" si="446"/>
        <v>64581</v>
      </c>
      <c r="AU606" s="532">
        <f ca="1">IF(AU605=0,SUMIFS('Key Life Events'!$L$3:$L$28,'Key Life Events'!$H$3:$H$28,'Loan Amortization'!$AY$3,'Key Life Events'!$N$3:$N$28,'Loan Amortization'!AT606),AU605-AX605)</f>
        <v>0</v>
      </c>
      <c r="AV606" s="532">
        <f t="shared" ca="1" si="447"/>
        <v>0</v>
      </c>
      <c r="AW606" s="532">
        <f t="shared" ca="1" si="436"/>
        <v>0</v>
      </c>
      <c r="AX606" s="532">
        <f t="shared" ca="1" si="437"/>
        <v>0</v>
      </c>
      <c r="BC606" s="536">
        <f t="shared" ca="1" si="438"/>
        <v>2076</v>
      </c>
      <c r="BF606" s="530">
        <v>605</v>
      </c>
      <c r="BG606" s="531">
        <f t="shared" ca="1" si="448"/>
        <v>64581</v>
      </c>
      <c r="BH606" s="532">
        <f ca="1">IF(BH605=0,SUMIFS('Key Life Events'!$L$3:$L$28,'Key Life Events'!$H$3:$H$28,'Loan Amortization'!$BL$3,'Key Life Events'!$N$3:$N$28,'Loan Amortization'!BG606),BH605-BK605)</f>
        <v>0</v>
      </c>
      <c r="BI606" s="532">
        <f t="shared" ca="1" si="449"/>
        <v>0</v>
      </c>
      <c r="BJ606" s="532">
        <f t="shared" ca="1" si="450"/>
        <v>0</v>
      </c>
      <c r="BK606" s="532">
        <f t="shared" ca="1" si="439"/>
        <v>0</v>
      </c>
      <c r="BP606" s="536">
        <f t="shared" ca="1" si="440"/>
        <v>2076</v>
      </c>
      <c r="BS606" s="530">
        <v>605</v>
      </c>
      <c r="BT606" s="531">
        <f t="shared" ca="1" si="451"/>
        <v>64581</v>
      </c>
      <c r="BU606" s="532">
        <f ca="1">IF(BU605=0,SUMIFS('Key Life Events'!$L$3:$L$28,'Key Life Events'!$H$3:$H$28,'Loan Amortization'!$BY$3,'Key Life Events'!$N$3:$N$28,'Loan Amortization'!BT606),BU605-BX605)</f>
        <v>0</v>
      </c>
      <c r="BV606" s="532">
        <f t="shared" ca="1" si="456"/>
        <v>0</v>
      </c>
      <c r="BW606" s="532">
        <f t="shared" ca="1" si="452"/>
        <v>0</v>
      </c>
      <c r="BX606" s="532">
        <f t="shared" ca="1" si="441"/>
        <v>0</v>
      </c>
      <c r="CC606" s="536">
        <f t="shared" ca="1" si="442"/>
        <v>2076</v>
      </c>
      <c r="CF606" s="530">
        <v>605</v>
      </c>
      <c r="CG606" s="531">
        <f t="shared" ca="1" si="453"/>
        <v>64581</v>
      </c>
      <c r="CH606" s="532">
        <f ca="1">IF(CH605=0,SUMIFS('Key Life Events'!$L$3:$L$28,'Key Life Events'!$H$3:$H$28,'Loan Amortization'!$CL$3,'Key Life Events'!$N$3:$N$28,'Loan Amortization'!CG606),CH605-CK605)</f>
        <v>0</v>
      </c>
      <c r="CI606" s="532">
        <f t="shared" ca="1" si="454"/>
        <v>0</v>
      </c>
      <c r="CJ606" s="532">
        <f t="shared" ca="1" si="455"/>
        <v>0</v>
      </c>
      <c r="CK606" s="532">
        <f t="shared" ca="1" si="443"/>
        <v>0</v>
      </c>
      <c r="CP606" s="536">
        <f t="shared" ca="1" si="444"/>
        <v>2076</v>
      </c>
      <c r="CS606" s="100">
        <f t="shared" si="433"/>
        <v>605</v>
      </c>
      <c r="CT606" s="102">
        <f t="shared" ca="1" si="434"/>
        <v>0</v>
      </c>
      <c r="CU606" s="102">
        <f t="shared" ca="1" si="435"/>
        <v>0</v>
      </c>
      <c r="CV606" s="511">
        <f t="shared" ca="1" si="445"/>
        <v>2076</v>
      </c>
    </row>
    <row r="607" spans="1:100" x14ac:dyDescent="0.3">
      <c r="A607" s="100">
        <v>606</v>
      </c>
      <c r="B607" s="131">
        <f t="shared" si="413"/>
        <v>17591</v>
      </c>
      <c r="C607" s="102">
        <f t="shared" si="414"/>
        <v>0</v>
      </c>
      <c r="D607" s="102">
        <f t="shared" si="415"/>
        <v>0</v>
      </c>
      <c r="E607" s="102">
        <f t="shared" si="416"/>
        <v>0</v>
      </c>
      <c r="F607" s="102">
        <f t="shared" si="417"/>
        <v>0</v>
      </c>
      <c r="L607" s="100">
        <v>606</v>
      </c>
      <c r="M607" s="131">
        <f t="shared" ca="1" si="418"/>
        <v>64612</v>
      </c>
      <c r="N607" s="102">
        <f t="shared" si="419"/>
        <v>0</v>
      </c>
      <c r="O607" s="102">
        <f t="shared" si="420"/>
        <v>0</v>
      </c>
      <c r="P607" s="102">
        <f t="shared" si="421"/>
        <v>0</v>
      </c>
      <c r="Q607" s="102">
        <f t="shared" si="422"/>
        <v>0</v>
      </c>
      <c r="W607" s="100">
        <v>606</v>
      </c>
      <c r="X607" s="131">
        <f t="shared" ca="1" si="423"/>
        <v>64612</v>
      </c>
      <c r="Y607" s="102">
        <f t="shared" si="424"/>
        <v>0</v>
      </c>
      <c r="Z607" s="102">
        <f t="shared" si="425"/>
        <v>0</v>
      </c>
      <c r="AA607" s="102">
        <f t="shared" si="426"/>
        <v>0</v>
      </c>
      <c r="AB607" s="102">
        <f t="shared" si="427"/>
        <v>0</v>
      </c>
      <c r="AH607" s="100">
        <v>606</v>
      </c>
      <c r="AI607" s="131">
        <f t="shared" ca="1" si="428"/>
        <v>64612</v>
      </c>
      <c r="AJ607" s="102">
        <f t="shared" si="429"/>
        <v>0</v>
      </c>
      <c r="AK607" s="102">
        <f t="shared" si="430"/>
        <v>0</v>
      </c>
      <c r="AL607" s="102">
        <f t="shared" si="431"/>
        <v>0</v>
      </c>
      <c r="AM607" s="102">
        <f t="shared" si="432"/>
        <v>0</v>
      </c>
      <c r="AS607" s="530">
        <v>606</v>
      </c>
      <c r="AT607" s="531">
        <f t="shared" ca="1" si="446"/>
        <v>64612</v>
      </c>
      <c r="AU607" s="532">
        <f ca="1">IF(AU606=0,SUMIFS('Key Life Events'!$L$3:$L$28,'Key Life Events'!$H$3:$H$28,'Loan Amortization'!$AY$3,'Key Life Events'!$N$3:$N$28,'Loan Amortization'!AT607),AU606-AX606)</f>
        <v>0</v>
      </c>
      <c r="AV607" s="532">
        <f t="shared" ca="1" si="447"/>
        <v>0</v>
      </c>
      <c r="AW607" s="532">
        <f t="shared" ca="1" si="436"/>
        <v>0</v>
      </c>
      <c r="AX607" s="532">
        <f t="shared" ca="1" si="437"/>
        <v>0</v>
      </c>
      <c r="BC607" s="536">
        <f t="shared" ca="1" si="438"/>
        <v>2076</v>
      </c>
      <c r="BF607" s="530">
        <v>606</v>
      </c>
      <c r="BG607" s="531">
        <f t="shared" ca="1" si="448"/>
        <v>64612</v>
      </c>
      <c r="BH607" s="532">
        <f ca="1">IF(BH606=0,SUMIFS('Key Life Events'!$L$3:$L$28,'Key Life Events'!$H$3:$H$28,'Loan Amortization'!$BL$3,'Key Life Events'!$N$3:$N$28,'Loan Amortization'!BG607),BH606-BK606)</f>
        <v>0</v>
      </c>
      <c r="BI607" s="532">
        <f t="shared" ca="1" si="449"/>
        <v>0</v>
      </c>
      <c r="BJ607" s="532">
        <f t="shared" ca="1" si="450"/>
        <v>0</v>
      </c>
      <c r="BK607" s="532">
        <f t="shared" ca="1" si="439"/>
        <v>0</v>
      </c>
      <c r="BP607" s="536">
        <f t="shared" ca="1" si="440"/>
        <v>2076</v>
      </c>
      <c r="BS607" s="530">
        <v>606</v>
      </c>
      <c r="BT607" s="531">
        <f t="shared" ca="1" si="451"/>
        <v>64612</v>
      </c>
      <c r="BU607" s="532">
        <f ca="1">IF(BU606=0,SUMIFS('Key Life Events'!$L$3:$L$28,'Key Life Events'!$H$3:$H$28,'Loan Amortization'!$BY$3,'Key Life Events'!$N$3:$N$28,'Loan Amortization'!BT607),BU606-BX606)</f>
        <v>0</v>
      </c>
      <c r="BV607" s="532">
        <f t="shared" ca="1" si="456"/>
        <v>0</v>
      </c>
      <c r="BW607" s="532">
        <f t="shared" ca="1" si="452"/>
        <v>0</v>
      </c>
      <c r="BX607" s="532">
        <f t="shared" ca="1" si="441"/>
        <v>0</v>
      </c>
      <c r="CC607" s="536">
        <f t="shared" ca="1" si="442"/>
        <v>2076</v>
      </c>
      <c r="CF607" s="530">
        <v>606</v>
      </c>
      <c r="CG607" s="531">
        <f t="shared" ca="1" si="453"/>
        <v>64612</v>
      </c>
      <c r="CH607" s="532">
        <f ca="1">IF(CH606=0,SUMIFS('Key Life Events'!$L$3:$L$28,'Key Life Events'!$H$3:$H$28,'Loan Amortization'!$CL$3,'Key Life Events'!$N$3:$N$28,'Loan Amortization'!CG607),CH606-CK606)</f>
        <v>0</v>
      </c>
      <c r="CI607" s="532">
        <f t="shared" ca="1" si="454"/>
        <v>0</v>
      </c>
      <c r="CJ607" s="532">
        <f t="shared" ca="1" si="455"/>
        <v>0</v>
      </c>
      <c r="CK607" s="532">
        <f t="shared" ca="1" si="443"/>
        <v>0</v>
      </c>
      <c r="CP607" s="536">
        <f t="shared" ca="1" si="444"/>
        <v>2076</v>
      </c>
      <c r="CS607" s="100">
        <f t="shared" si="433"/>
        <v>606</v>
      </c>
      <c r="CT607" s="102">
        <f t="shared" ca="1" si="434"/>
        <v>0</v>
      </c>
      <c r="CU607" s="102">
        <f t="shared" ca="1" si="435"/>
        <v>0</v>
      </c>
      <c r="CV607" s="511">
        <f t="shared" ca="1" si="445"/>
        <v>2076</v>
      </c>
    </row>
    <row r="608" spans="1:100" x14ac:dyDescent="0.3">
      <c r="A608" s="100">
        <v>607</v>
      </c>
      <c r="B608" s="131">
        <f t="shared" si="413"/>
        <v>17620</v>
      </c>
      <c r="C608" s="102">
        <f t="shared" si="414"/>
        <v>0</v>
      </c>
      <c r="D608" s="102">
        <f t="shared" si="415"/>
        <v>0</v>
      </c>
      <c r="E608" s="102">
        <f t="shared" si="416"/>
        <v>0</v>
      </c>
      <c r="F608" s="102">
        <f t="shared" si="417"/>
        <v>0</v>
      </c>
      <c r="L608" s="100">
        <v>607</v>
      </c>
      <c r="M608" s="131">
        <f t="shared" ca="1" si="418"/>
        <v>64642</v>
      </c>
      <c r="N608" s="102">
        <f t="shared" si="419"/>
        <v>0</v>
      </c>
      <c r="O608" s="102">
        <f t="shared" si="420"/>
        <v>0</v>
      </c>
      <c r="P608" s="102">
        <f t="shared" si="421"/>
        <v>0</v>
      </c>
      <c r="Q608" s="102">
        <f t="shared" si="422"/>
        <v>0</v>
      </c>
      <c r="W608" s="100">
        <v>607</v>
      </c>
      <c r="X608" s="131">
        <f t="shared" ca="1" si="423"/>
        <v>64642</v>
      </c>
      <c r="Y608" s="102">
        <f t="shared" si="424"/>
        <v>0</v>
      </c>
      <c r="Z608" s="102">
        <f t="shared" si="425"/>
        <v>0</v>
      </c>
      <c r="AA608" s="102">
        <f t="shared" si="426"/>
        <v>0</v>
      </c>
      <c r="AB608" s="102">
        <f t="shared" si="427"/>
        <v>0</v>
      </c>
      <c r="AH608" s="100">
        <v>607</v>
      </c>
      <c r="AI608" s="131">
        <f t="shared" ca="1" si="428"/>
        <v>64642</v>
      </c>
      <c r="AJ608" s="102">
        <f t="shared" si="429"/>
        <v>0</v>
      </c>
      <c r="AK608" s="102">
        <f t="shared" si="430"/>
        <v>0</v>
      </c>
      <c r="AL608" s="102">
        <f t="shared" si="431"/>
        <v>0</v>
      </c>
      <c r="AM608" s="102">
        <f t="shared" si="432"/>
        <v>0</v>
      </c>
      <c r="AS608" s="530">
        <v>607</v>
      </c>
      <c r="AT608" s="531">
        <f t="shared" ca="1" si="446"/>
        <v>64642</v>
      </c>
      <c r="AU608" s="532">
        <f ca="1">IF(AU607=0,SUMIFS('Key Life Events'!$L$3:$L$28,'Key Life Events'!$H$3:$H$28,'Loan Amortization'!$AY$3,'Key Life Events'!$N$3:$N$28,'Loan Amortization'!AT608),AU607-AX607)</f>
        <v>0</v>
      </c>
      <c r="AV608" s="532">
        <f t="shared" ca="1" si="447"/>
        <v>0</v>
      </c>
      <c r="AW608" s="532">
        <f t="shared" ca="1" si="436"/>
        <v>0</v>
      </c>
      <c r="AX608" s="532">
        <f t="shared" ca="1" si="437"/>
        <v>0</v>
      </c>
      <c r="BC608" s="536">
        <f t="shared" ca="1" si="438"/>
        <v>2076</v>
      </c>
      <c r="BF608" s="530">
        <v>607</v>
      </c>
      <c r="BG608" s="531">
        <f t="shared" ca="1" si="448"/>
        <v>64642</v>
      </c>
      <c r="BH608" s="532">
        <f ca="1">IF(BH607=0,SUMIFS('Key Life Events'!$L$3:$L$28,'Key Life Events'!$H$3:$H$28,'Loan Amortization'!$BL$3,'Key Life Events'!$N$3:$N$28,'Loan Amortization'!BG608),BH607-BK607)</f>
        <v>0</v>
      </c>
      <c r="BI608" s="532">
        <f t="shared" ca="1" si="449"/>
        <v>0</v>
      </c>
      <c r="BJ608" s="532">
        <f t="shared" ca="1" si="450"/>
        <v>0</v>
      </c>
      <c r="BK608" s="532">
        <f t="shared" ca="1" si="439"/>
        <v>0</v>
      </c>
      <c r="BP608" s="536">
        <f t="shared" ca="1" si="440"/>
        <v>2076</v>
      </c>
      <c r="BS608" s="530">
        <v>607</v>
      </c>
      <c r="BT608" s="531">
        <f t="shared" ca="1" si="451"/>
        <v>64642</v>
      </c>
      <c r="BU608" s="532">
        <f ca="1">IF(BU607=0,SUMIFS('Key Life Events'!$L$3:$L$28,'Key Life Events'!$H$3:$H$28,'Loan Amortization'!$BY$3,'Key Life Events'!$N$3:$N$28,'Loan Amortization'!BT608),BU607-BX607)</f>
        <v>0</v>
      </c>
      <c r="BV608" s="532">
        <f t="shared" ca="1" si="456"/>
        <v>0</v>
      </c>
      <c r="BW608" s="532">
        <f t="shared" ca="1" si="452"/>
        <v>0</v>
      </c>
      <c r="BX608" s="532">
        <f t="shared" ca="1" si="441"/>
        <v>0</v>
      </c>
      <c r="CC608" s="536">
        <f t="shared" ca="1" si="442"/>
        <v>2076</v>
      </c>
      <c r="CF608" s="530">
        <v>607</v>
      </c>
      <c r="CG608" s="531">
        <f t="shared" ca="1" si="453"/>
        <v>64642</v>
      </c>
      <c r="CH608" s="532">
        <f ca="1">IF(CH607=0,SUMIFS('Key Life Events'!$L$3:$L$28,'Key Life Events'!$H$3:$H$28,'Loan Amortization'!$CL$3,'Key Life Events'!$N$3:$N$28,'Loan Amortization'!CG608),CH607-CK607)</f>
        <v>0</v>
      </c>
      <c r="CI608" s="532">
        <f t="shared" ca="1" si="454"/>
        <v>0</v>
      </c>
      <c r="CJ608" s="532">
        <f t="shared" ca="1" si="455"/>
        <v>0</v>
      </c>
      <c r="CK608" s="532">
        <f t="shared" ca="1" si="443"/>
        <v>0</v>
      </c>
      <c r="CP608" s="536">
        <f t="shared" ca="1" si="444"/>
        <v>2076</v>
      </c>
      <c r="CS608" s="100">
        <f t="shared" si="433"/>
        <v>607</v>
      </c>
      <c r="CT608" s="102">
        <f t="shared" ca="1" si="434"/>
        <v>0</v>
      </c>
      <c r="CU608" s="102">
        <f t="shared" ca="1" si="435"/>
        <v>0</v>
      </c>
      <c r="CV608" s="511">
        <f t="shared" ca="1" si="445"/>
        <v>2076</v>
      </c>
    </row>
    <row r="609" spans="1:100" x14ac:dyDescent="0.3">
      <c r="A609" s="100">
        <v>608</v>
      </c>
      <c r="B609" s="131">
        <f t="shared" ref="B609:B672" si="457">IF(C608&lt;D608,,EDATE(B608,1))</f>
        <v>17651</v>
      </c>
      <c r="C609" s="102">
        <f t="shared" ref="C609:C672" si="458">IF(C608&lt;D608,0,C608-F608)</f>
        <v>0</v>
      </c>
      <c r="D609" s="102">
        <f t="shared" ref="D609:D672" si="459">IF(C609&lt;=D608,C609+E609,D$2)</f>
        <v>0</v>
      </c>
      <c r="E609" s="102">
        <f t="shared" ref="E609:E672" si="460">(C609*H$1)/12</f>
        <v>0</v>
      </c>
      <c r="F609" s="102">
        <f t="shared" ref="F609:F672" si="461">D609-E609</f>
        <v>0</v>
      </c>
      <c r="L609" s="100">
        <v>608</v>
      </c>
      <c r="M609" s="131">
        <f t="shared" ref="M609:M672" ca="1" si="462">IF(N608&lt;O608,,EDATE(M608,1))</f>
        <v>64673</v>
      </c>
      <c r="N609" s="102">
        <f t="shared" ref="N609:N672" si="463">IF(N608&lt;O608,0,N608-Q608)</f>
        <v>0</v>
      </c>
      <c r="O609" s="102">
        <f t="shared" ref="O609:O672" si="464">IF(N609&lt;=O608,N609+P609,O$2)</f>
        <v>0</v>
      </c>
      <c r="P609" s="102">
        <f t="shared" ref="P609:P672" si="465">(N609*S$1)/12</f>
        <v>0</v>
      </c>
      <c r="Q609" s="102">
        <f t="shared" ref="Q609:Q672" si="466">O609-P609</f>
        <v>0</v>
      </c>
      <c r="W609" s="100">
        <v>608</v>
      </c>
      <c r="X609" s="131">
        <f t="shared" ref="X609:X672" ca="1" si="467">IF(Y608&lt;Z608,,EDATE(X608,1))</f>
        <v>64673</v>
      </c>
      <c r="Y609" s="102">
        <f t="shared" ref="Y609:Y672" si="468">IF(Y608&lt;Z608,0,Y608-AB608)</f>
        <v>0</v>
      </c>
      <c r="Z609" s="102">
        <f t="shared" ref="Z609:Z672" si="469">IF(Y609&lt;=Z608,Y609+AA609,Z$2)</f>
        <v>0</v>
      </c>
      <c r="AA609" s="102">
        <f t="shared" ref="AA609:AA672" si="470">(Y609*AD$1)/12</f>
        <v>0</v>
      </c>
      <c r="AB609" s="102">
        <f t="shared" ref="AB609:AB672" si="471">Z609-AA609</f>
        <v>0</v>
      </c>
      <c r="AH609" s="100">
        <v>608</v>
      </c>
      <c r="AI609" s="131">
        <f t="shared" ref="AI609:AI672" ca="1" si="472">IF(AJ608&lt;AK608,,EDATE(AI608,1))</f>
        <v>64673</v>
      </c>
      <c r="AJ609" s="102">
        <f t="shared" ref="AJ609:AJ672" si="473">IF(AJ608&lt;AK608,0,AJ608-AM608)</f>
        <v>0</v>
      </c>
      <c r="AK609" s="102">
        <f t="shared" ref="AK609:AK672" si="474">IF(AJ609&lt;=AK608,AJ609+AL609,AK$2)</f>
        <v>0</v>
      </c>
      <c r="AL609" s="102">
        <f t="shared" ref="AL609:AL672" si="475">(AJ609*AO$1)/12</f>
        <v>0</v>
      </c>
      <c r="AM609" s="102">
        <f t="shared" ref="AM609:AM672" si="476">AK609-AL609</f>
        <v>0</v>
      </c>
      <c r="AS609" s="530">
        <v>608</v>
      </c>
      <c r="AT609" s="531">
        <f t="shared" ca="1" si="446"/>
        <v>64673</v>
      </c>
      <c r="AU609" s="532">
        <f ca="1">IF(AU608=0,SUMIFS('Key Life Events'!$L$3:$L$28,'Key Life Events'!$H$3:$H$28,'Loan Amortization'!$AY$3,'Key Life Events'!$N$3:$N$28,'Loan Amortization'!AT609),AU608-AX608)</f>
        <v>0</v>
      </c>
      <c r="AV609" s="532">
        <f t="shared" ca="1" si="447"/>
        <v>0</v>
      </c>
      <c r="AW609" s="532">
        <f t="shared" ca="1" si="436"/>
        <v>0</v>
      </c>
      <c r="AX609" s="532">
        <f t="shared" ca="1" si="437"/>
        <v>0</v>
      </c>
      <c r="BC609" s="536">
        <f t="shared" ca="1" si="438"/>
        <v>2077</v>
      </c>
      <c r="BF609" s="530">
        <v>608</v>
      </c>
      <c r="BG609" s="531">
        <f t="shared" ca="1" si="448"/>
        <v>64673</v>
      </c>
      <c r="BH609" s="532">
        <f ca="1">IF(BH608=0,SUMIFS('Key Life Events'!$L$3:$L$28,'Key Life Events'!$H$3:$H$28,'Loan Amortization'!$BL$3,'Key Life Events'!$N$3:$N$28,'Loan Amortization'!BG609),BH608-BK608)</f>
        <v>0</v>
      </c>
      <c r="BI609" s="532">
        <f t="shared" ca="1" si="449"/>
        <v>0</v>
      </c>
      <c r="BJ609" s="532">
        <f t="shared" ca="1" si="450"/>
        <v>0</v>
      </c>
      <c r="BK609" s="532">
        <f t="shared" ca="1" si="439"/>
        <v>0</v>
      </c>
      <c r="BP609" s="536">
        <f t="shared" ca="1" si="440"/>
        <v>2077</v>
      </c>
      <c r="BS609" s="530">
        <v>608</v>
      </c>
      <c r="BT609" s="531">
        <f t="shared" ca="1" si="451"/>
        <v>64673</v>
      </c>
      <c r="BU609" s="532">
        <f ca="1">IF(BU608=0,SUMIFS('Key Life Events'!$L$3:$L$28,'Key Life Events'!$H$3:$H$28,'Loan Amortization'!$BY$3,'Key Life Events'!$N$3:$N$28,'Loan Amortization'!BT609),BU608-BX608)</f>
        <v>0</v>
      </c>
      <c r="BV609" s="532">
        <f t="shared" ca="1" si="456"/>
        <v>0</v>
      </c>
      <c r="BW609" s="532">
        <f t="shared" ca="1" si="452"/>
        <v>0</v>
      </c>
      <c r="BX609" s="532">
        <f t="shared" ca="1" si="441"/>
        <v>0</v>
      </c>
      <c r="CC609" s="536">
        <f t="shared" ca="1" si="442"/>
        <v>2077</v>
      </c>
      <c r="CF609" s="530">
        <v>608</v>
      </c>
      <c r="CG609" s="531">
        <f t="shared" ca="1" si="453"/>
        <v>64673</v>
      </c>
      <c r="CH609" s="532">
        <f ca="1">IF(CH608=0,SUMIFS('Key Life Events'!$L$3:$L$28,'Key Life Events'!$H$3:$H$28,'Loan Amortization'!$CL$3,'Key Life Events'!$N$3:$N$28,'Loan Amortization'!CG609),CH608-CK608)</f>
        <v>0</v>
      </c>
      <c r="CI609" s="532">
        <f t="shared" ca="1" si="454"/>
        <v>0</v>
      </c>
      <c r="CJ609" s="532">
        <f t="shared" ca="1" si="455"/>
        <v>0</v>
      </c>
      <c r="CK609" s="532">
        <f t="shared" ca="1" si="443"/>
        <v>0</v>
      </c>
      <c r="CP609" s="536">
        <f t="shared" ca="1" si="444"/>
        <v>2077</v>
      </c>
      <c r="CS609" s="100">
        <f t="shared" si="433"/>
        <v>608</v>
      </c>
      <c r="CT609" s="102">
        <f t="shared" ca="1" si="434"/>
        <v>0</v>
      </c>
      <c r="CU609" s="102">
        <f t="shared" ca="1" si="435"/>
        <v>0</v>
      </c>
      <c r="CV609" s="511">
        <f t="shared" ca="1" si="445"/>
        <v>2077</v>
      </c>
    </row>
    <row r="610" spans="1:100" x14ac:dyDescent="0.3">
      <c r="A610" s="100">
        <v>609</v>
      </c>
      <c r="B610" s="131">
        <f t="shared" si="457"/>
        <v>17681</v>
      </c>
      <c r="C610" s="102">
        <f t="shared" si="458"/>
        <v>0</v>
      </c>
      <c r="D610" s="102">
        <f t="shared" si="459"/>
        <v>0</v>
      </c>
      <c r="E610" s="102">
        <f t="shared" si="460"/>
        <v>0</v>
      </c>
      <c r="F610" s="102">
        <f t="shared" si="461"/>
        <v>0</v>
      </c>
      <c r="L610" s="100">
        <v>609</v>
      </c>
      <c r="M610" s="131">
        <f t="shared" ca="1" si="462"/>
        <v>64704</v>
      </c>
      <c r="N610" s="102">
        <f t="shared" si="463"/>
        <v>0</v>
      </c>
      <c r="O610" s="102">
        <f t="shared" si="464"/>
        <v>0</v>
      </c>
      <c r="P610" s="102">
        <f t="shared" si="465"/>
        <v>0</v>
      </c>
      <c r="Q610" s="102">
        <f t="shared" si="466"/>
        <v>0</v>
      </c>
      <c r="W610" s="100">
        <v>609</v>
      </c>
      <c r="X610" s="131">
        <f t="shared" ca="1" si="467"/>
        <v>64704</v>
      </c>
      <c r="Y610" s="102">
        <f t="shared" si="468"/>
        <v>0</v>
      </c>
      <c r="Z610" s="102">
        <f t="shared" si="469"/>
        <v>0</v>
      </c>
      <c r="AA610" s="102">
        <f t="shared" si="470"/>
        <v>0</v>
      </c>
      <c r="AB610" s="102">
        <f t="shared" si="471"/>
        <v>0</v>
      </c>
      <c r="AH610" s="100">
        <v>609</v>
      </c>
      <c r="AI610" s="131">
        <f t="shared" ca="1" si="472"/>
        <v>64704</v>
      </c>
      <c r="AJ610" s="102">
        <f t="shared" si="473"/>
        <v>0</v>
      </c>
      <c r="AK610" s="102">
        <f t="shared" si="474"/>
        <v>0</v>
      </c>
      <c r="AL610" s="102">
        <f t="shared" si="475"/>
        <v>0</v>
      </c>
      <c r="AM610" s="102">
        <f t="shared" si="476"/>
        <v>0</v>
      </c>
      <c r="AS610" s="530">
        <v>609</v>
      </c>
      <c r="AT610" s="531">
        <f t="shared" ca="1" si="446"/>
        <v>64704</v>
      </c>
      <c r="AU610" s="532">
        <f ca="1">IF(AU609=0,SUMIFS('Key Life Events'!$L$3:$L$28,'Key Life Events'!$H$3:$H$28,'Loan Amortization'!$AY$3,'Key Life Events'!$N$3:$N$28,'Loan Amortization'!AT610),AU609-AX609)</f>
        <v>0</v>
      </c>
      <c r="AV610" s="532">
        <f t="shared" ca="1" si="447"/>
        <v>0</v>
      </c>
      <c r="AW610" s="532">
        <f t="shared" ca="1" si="436"/>
        <v>0</v>
      </c>
      <c r="AX610" s="532">
        <f t="shared" ca="1" si="437"/>
        <v>0</v>
      </c>
      <c r="BC610" s="536">
        <f t="shared" ca="1" si="438"/>
        <v>2077</v>
      </c>
      <c r="BF610" s="530">
        <v>609</v>
      </c>
      <c r="BG610" s="531">
        <f t="shared" ca="1" si="448"/>
        <v>64704</v>
      </c>
      <c r="BH610" s="532">
        <f ca="1">IF(BH609=0,SUMIFS('Key Life Events'!$L$3:$L$28,'Key Life Events'!$H$3:$H$28,'Loan Amortization'!$BL$3,'Key Life Events'!$N$3:$N$28,'Loan Amortization'!BG610),BH609-BK609)</f>
        <v>0</v>
      </c>
      <c r="BI610" s="532">
        <f t="shared" ca="1" si="449"/>
        <v>0</v>
      </c>
      <c r="BJ610" s="532">
        <f t="shared" ca="1" si="450"/>
        <v>0</v>
      </c>
      <c r="BK610" s="532">
        <f t="shared" ca="1" si="439"/>
        <v>0</v>
      </c>
      <c r="BP610" s="536">
        <f t="shared" ca="1" si="440"/>
        <v>2077</v>
      </c>
      <c r="BS610" s="530">
        <v>609</v>
      </c>
      <c r="BT610" s="531">
        <f t="shared" ca="1" si="451"/>
        <v>64704</v>
      </c>
      <c r="BU610" s="532">
        <f ca="1">IF(BU609=0,SUMIFS('Key Life Events'!$L$3:$L$28,'Key Life Events'!$H$3:$H$28,'Loan Amortization'!$BY$3,'Key Life Events'!$N$3:$N$28,'Loan Amortization'!BT610),BU609-BX609)</f>
        <v>0</v>
      </c>
      <c r="BV610" s="532">
        <f t="shared" ca="1" si="456"/>
        <v>0</v>
      </c>
      <c r="BW610" s="532">
        <f t="shared" ca="1" si="452"/>
        <v>0</v>
      </c>
      <c r="BX610" s="532">
        <f t="shared" ca="1" si="441"/>
        <v>0</v>
      </c>
      <c r="CC610" s="536">
        <f t="shared" ca="1" si="442"/>
        <v>2077</v>
      </c>
      <c r="CF610" s="530">
        <v>609</v>
      </c>
      <c r="CG610" s="531">
        <f t="shared" ca="1" si="453"/>
        <v>64704</v>
      </c>
      <c r="CH610" s="532">
        <f ca="1">IF(CH609=0,SUMIFS('Key Life Events'!$L$3:$L$28,'Key Life Events'!$H$3:$H$28,'Loan Amortization'!$CL$3,'Key Life Events'!$N$3:$N$28,'Loan Amortization'!CG610),CH609-CK609)</f>
        <v>0</v>
      </c>
      <c r="CI610" s="532">
        <f t="shared" ca="1" si="454"/>
        <v>0</v>
      </c>
      <c r="CJ610" s="532">
        <f t="shared" ca="1" si="455"/>
        <v>0</v>
      </c>
      <c r="CK610" s="532">
        <f t="shared" ca="1" si="443"/>
        <v>0</v>
      </c>
      <c r="CP610" s="536">
        <f t="shared" ca="1" si="444"/>
        <v>2077</v>
      </c>
      <c r="CS610" s="100">
        <f t="shared" si="433"/>
        <v>609</v>
      </c>
      <c r="CT610" s="102">
        <f t="shared" ca="1" si="434"/>
        <v>0</v>
      </c>
      <c r="CU610" s="102">
        <f t="shared" ca="1" si="435"/>
        <v>0</v>
      </c>
      <c r="CV610" s="511">
        <f t="shared" ca="1" si="445"/>
        <v>2077</v>
      </c>
    </row>
    <row r="611" spans="1:100" x14ac:dyDescent="0.3">
      <c r="A611" s="100">
        <v>610</v>
      </c>
      <c r="B611" s="131">
        <f t="shared" si="457"/>
        <v>17712</v>
      </c>
      <c r="C611" s="102">
        <f t="shared" si="458"/>
        <v>0</v>
      </c>
      <c r="D611" s="102">
        <f t="shared" si="459"/>
        <v>0</v>
      </c>
      <c r="E611" s="102">
        <f t="shared" si="460"/>
        <v>0</v>
      </c>
      <c r="F611" s="102">
        <f t="shared" si="461"/>
        <v>0</v>
      </c>
      <c r="L611" s="100">
        <v>610</v>
      </c>
      <c r="M611" s="131">
        <f t="shared" ca="1" si="462"/>
        <v>64732</v>
      </c>
      <c r="N611" s="102">
        <f t="shared" si="463"/>
        <v>0</v>
      </c>
      <c r="O611" s="102">
        <f t="shared" si="464"/>
        <v>0</v>
      </c>
      <c r="P611" s="102">
        <f t="shared" si="465"/>
        <v>0</v>
      </c>
      <c r="Q611" s="102">
        <f t="shared" si="466"/>
        <v>0</v>
      </c>
      <c r="W611" s="100">
        <v>610</v>
      </c>
      <c r="X611" s="131">
        <f t="shared" ca="1" si="467"/>
        <v>64732</v>
      </c>
      <c r="Y611" s="102">
        <f t="shared" si="468"/>
        <v>0</v>
      </c>
      <c r="Z611" s="102">
        <f t="shared" si="469"/>
        <v>0</v>
      </c>
      <c r="AA611" s="102">
        <f t="shared" si="470"/>
        <v>0</v>
      </c>
      <c r="AB611" s="102">
        <f t="shared" si="471"/>
        <v>0</v>
      </c>
      <c r="AH611" s="100">
        <v>610</v>
      </c>
      <c r="AI611" s="131">
        <f t="shared" ca="1" si="472"/>
        <v>64732</v>
      </c>
      <c r="AJ611" s="102">
        <f t="shared" si="473"/>
        <v>0</v>
      </c>
      <c r="AK611" s="102">
        <f t="shared" si="474"/>
        <v>0</v>
      </c>
      <c r="AL611" s="102">
        <f t="shared" si="475"/>
        <v>0</v>
      </c>
      <c r="AM611" s="102">
        <f t="shared" si="476"/>
        <v>0</v>
      </c>
      <c r="AS611" s="530">
        <v>610</v>
      </c>
      <c r="AT611" s="531">
        <f t="shared" ca="1" si="446"/>
        <v>64732</v>
      </c>
      <c r="AU611" s="532">
        <f ca="1">IF(AU610=0,SUMIFS('Key Life Events'!$L$3:$L$28,'Key Life Events'!$H$3:$H$28,'Loan Amortization'!$AY$3,'Key Life Events'!$N$3:$N$28,'Loan Amortization'!AT611),AU610-AX610)</f>
        <v>0</v>
      </c>
      <c r="AV611" s="532">
        <f t="shared" ca="1" si="447"/>
        <v>0</v>
      </c>
      <c r="AW611" s="532">
        <f t="shared" ca="1" si="436"/>
        <v>0</v>
      </c>
      <c r="AX611" s="532">
        <f t="shared" ca="1" si="437"/>
        <v>0</v>
      </c>
      <c r="BC611" s="536">
        <f t="shared" ca="1" si="438"/>
        <v>2077</v>
      </c>
      <c r="BF611" s="530">
        <v>610</v>
      </c>
      <c r="BG611" s="531">
        <f t="shared" ca="1" si="448"/>
        <v>64732</v>
      </c>
      <c r="BH611" s="532">
        <f ca="1">IF(BH610=0,SUMIFS('Key Life Events'!$L$3:$L$28,'Key Life Events'!$H$3:$H$28,'Loan Amortization'!$BL$3,'Key Life Events'!$N$3:$N$28,'Loan Amortization'!BG611),BH610-BK610)</f>
        <v>0</v>
      </c>
      <c r="BI611" s="532">
        <f t="shared" ca="1" si="449"/>
        <v>0</v>
      </c>
      <c r="BJ611" s="532">
        <f t="shared" ca="1" si="450"/>
        <v>0</v>
      </c>
      <c r="BK611" s="532">
        <f t="shared" ca="1" si="439"/>
        <v>0</v>
      </c>
      <c r="BP611" s="536">
        <f t="shared" ca="1" si="440"/>
        <v>2077</v>
      </c>
      <c r="BS611" s="530">
        <v>610</v>
      </c>
      <c r="BT611" s="531">
        <f t="shared" ca="1" si="451"/>
        <v>64732</v>
      </c>
      <c r="BU611" s="532">
        <f ca="1">IF(BU610=0,SUMIFS('Key Life Events'!$L$3:$L$28,'Key Life Events'!$H$3:$H$28,'Loan Amortization'!$BY$3,'Key Life Events'!$N$3:$N$28,'Loan Amortization'!BT611),BU610-BX610)</f>
        <v>0</v>
      </c>
      <c r="BV611" s="532">
        <f t="shared" ca="1" si="456"/>
        <v>0</v>
      </c>
      <c r="BW611" s="532">
        <f t="shared" ca="1" si="452"/>
        <v>0</v>
      </c>
      <c r="BX611" s="532">
        <f t="shared" ca="1" si="441"/>
        <v>0</v>
      </c>
      <c r="CC611" s="536">
        <f t="shared" ca="1" si="442"/>
        <v>2077</v>
      </c>
      <c r="CF611" s="530">
        <v>610</v>
      </c>
      <c r="CG611" s="531">
        <f t="shared" ca="1" si="453"/>
        <v>64732</v>
      </c>
      <c r="CH611" s="532">
        <f ca="1">IF(CH610=0,SUMIFS('Key Life Events'!$L$3:$L$28,'Key Life Events'!$H$3:$H$28,'Loan Amortization'!$CL$3,'Key Life Events'!$N$3:$N$28,'Loan Amortization'!CG611),CH610-CK610)</f>
        <v>0</v>
      </c>
      <c r="CI611" s="532">
        <f t="shared" ca="1" si="454"/>
        <v>0</v>
      </c>
      <c r="CJ611" s="532">
        <f t="shared" ca="1" si="455"/>
        <v>0</v>
      </c>
      <c r="CK611" s="532">
        <f t="shared" ca="1" si="443"/>
        <v>0</v>
      </c>
      <c r="CP611" s="536">
        <f t="shared" ca="1" si="444"/>
        <v>2077</v>
      </c>
      <c r="CS611" s="100">
        <f t="shared" si="433"/>
        <v>610</v>
      </c>
      <c r="CT611" s="102">
        <f t="shared" ca="1" si="434"/>
        <v>0</v>
      </c>
      <c r="CU611" s="102">
        <f t="shared" ca="1" si="435"/>
        <v>0</v>
      </c>
      <c r="CV611" s="511">
        <f t="shared" ca="1" si="445"/>
        <v>2077</v>
      </c>
    </row>
    <row r="612" spans="1:100" x14ac:dyDescent="0.3">
      <c r="A612" s="100">
        <v>611</v>
      </c>
      <c r="B612" s="131">
        <f t="shared" si="457"/>
        <v>17742</v>
      </c>
      <c r="C612" s="102">
        <f t="shared" si="458"/>
        <v>0</v>
      </c>
      <c r="D612" s="102">
        <f t="shared" si="459"/>
        <v>0</v>
      </c>
      <c r="E612" s="102">
        <f t="shared" si="460"/>
        <v>0</v>
      </c>
      <c r="F612" s="102">
        <f t="shared" si="461"/>
        <v>0</v>
      </c>
      <c r="L612" s="100">
        <v>611</v>
      </c>
      <c r="M612" s="131">
        <f t="shared" ca="1" si="462"/>
        <v>64763</v>
      </c>
      <c r="N612" s="102">
        <f t="shared" si="463"/>
        <v>0</v>
      </c>
      <c r="O612" s="102">
        <f t="shared" si="464"/>
        <v>0</v>
      </c>
      <c r="P612" s="102">
        <f t="shared" si="465"/>
        <v>0</v>
      </c>
      <c r="Q612" s="102">
        <f t="shared" si="466"/>
        <v>0</v>
      </c>
      <c r="W612" s="100">
        <v>611</v>
      </c>
      <c r="X612" s="131">
        <f t="shared" ca="1" si="467"/>
        <v>64763</v>
      </c>
      <c r="Y612" s="102">
        <f t="shared" si="468"/>
        <v>0</v>
      </c>
      <c r="Z612" s="102">
        <f t="shared" si="469"/>
        <v>0</v>
      </c>
      <c r="AA612" s="102">
        <f t="shared" si="470"/>
        <v>0</v>
      </c>
      <c r="AB612" s="102">
        <f t="shared" si="471"/>
        <v>0</v>
      </c>
      <c r="AH612" s="100">
        <v>611</v>
      </c>
      <c r="AI612" s="131">
        <f t="shared" ca="1" si="472"/>
        <v>64763</v>
      </c>
      <c r="AJ612" s="102">
        <f t="shared" si="473"/>
        <v>0</v>
      </c>
      <c r="AK612" s="102">
        <f t="shared" si="474"/>
        <v>0</v>
      </c>
      <c r="AL612" s="102">
        <f t="shared" si="475"/>
        <v>0</v>
      </c>
      <c r="AM612" s="102">
        <f t="shared" si="476"/>
        <v>0</v>
      </c>
      <c r="AS612" s="530">
        <v>611</v>
      </c>
      <c r="AT612" s="531">
        <f t="shared" ca="1" si="446"/>
        <v>64763</v>
      </c>
      <c r="AU612" s="532">
        <f ca="1">IF(AU611=0,SUMIFS('Key Life Events'!$L$3:$L$28,'Key Life Events'!$H$3:$H$28,'Loan Amortization'!$AY$3,'Key Life Events'!$N$3:$N$28,'Loan Amortization'!AT612),AU611-AX611)</f>
        <v>0</v>
      </c>
      <c r="AV612" s="532">
        <f t="shared" ca="1" si="447"/>
        <v>0</v>
      </c>
      <c r="AW612" s="532">
        <f t="shared" ca="1" si="436"/>
        <v>0</v>
      </c>
      <c r="AX612" s="532">
        <f t="shared" ca="1" si="437"/>
        <v>0</v>
      </c>
      <c r="BC612" s="536">
        <f t="shared" ca="1" si="438"/>
        <v>2077</v>
      </c>
      <c r="BF612" s="530">
        <v>611</v>
      </c>
      <c r="BG612" s="531">
        <f t="shared" ca="1" si="448"/>
        <v>64763</v>
      </c>
      <c r="BH612" s="532">
        <f ca="1">IF(BH611=0,SUMIFS('Key Life Events'!$L$3:$L$28,'Key Life Events'!$H$3:$H$28,'Loan Amortization'!$BL$3,'Key Life Events'!$N$3:$N$28,'Loan Amortization'!BG612),BH611-BK611)</f>
        <v>0</v>
      </c>
      <c r="BI612" s="532">
        <f t="shared" ca="1" si="449"/>
        <v>0</v>
      </c>
      <c r="BJ612" s="532">
        <f t="shared" ca="1" si="450"/>
        <v>0</v>
      </c>
      <c r="BK612" s="532">
        <f t="shared" ca="1" si="439"/>
        <v>0</v>
      </c>
      <c r="BP612" s="536">
        <f t="shared" ca="1" si="440"/>
        <v>2077</v>
      </c>
      <c r="BS612" s="530">
        <v>611</v>
      </c>
      <c r="BT612" s="531">
        <f t="shared" ca="1" si="451"/>
        <v>64763</v>
      </c>
      <c r="BU612" s="532">
        <f ca="1">IF(BU611=0,SUMIFS('Key Life Events'!$L$3:$L$28,'Key Life Events'!$H$3:$H$28,'Loan Amortization'!$BY$3,'Key Life Events'!$N$3:$N$28,'Loan Amortization'!BT612),BU611-BX611)</f>
        <v>0</v>
      </c>
      <c r="BV612" s="532">
        <f t="shared" ca="1" si="456"/>
        <v>0</v>
      </c>
      <c r="BW612" s="532">
        <f t="shared" ca="1" si="452"/>
        <v>0</v>
      </c>
      <c r="BX612" s="532">
        <f t="shared" ca="1" si="441"/>
        <v>0</v>
      </c>
      <c r="CC612" s="536">
        <f t="shared" ca="1" si="442"/>
        <v>2077</v>
      </c>
      <c r="CF612" s="530">
        <v>611</v>
      </c>
      <c r="CG612" s="531">
        <f t="shared" ca="1" si="453"/>
        <v>64763</v>
      </c>
      <c r="CH612" s="532">
        <f ca="1">IF(CH611=0,SUMIFS('Key Life Events'!$L$3:$L$28,'Key Life Events'!$H$3:$H$28,'Loan Amortization'!$CL$3,'Key Life Events'!$N$3:$N$28,'Loan Amortization'!CG612),CH611-CK611)</f>
        <v>0</v>
      </c>
      <c r="CI612" s="532">
        <f t="shared" ca="1" si="454"/>
        <v>0</v>
      </c>
      <c r="CJ612" s="532">
        <f t="shared" ca="1" si="455"/>
        <v>0</v>
      </c>
      <c r="CK612" s="532">
        <f t="shared" ca="1" si="443"/>
        <v>0</v>
      </c>
      <c r="CP612" s="536">
        <f t="shared" ca="1" si="444"/>
        <v>2077</v>
      </c>
      <c r="CS612" s="100">
        <f t="shared" si="433"/>
        <v>611</v>
      </c>
      <c r="CT612" s="102">
        <f t="shared" ca="1" si="434"/>
        <v>0</v>
      </c>
      <c r="CU612" s="102">
        <f t="shared" ca="1" si="435"/>
        <v>0</v>
      </c>
      <c r="CV612" s="511">
        <f t="shared" ca="1" si="445"/>
        <v>2077</v>
      </c>
    </row>
    <row r="613" spans="1:100" x14ac:dyDescent="0.3">
      <c r="A613" s="100">
        <v>612</v>
      </c>
      <c r="B613" s="131">
        <f t="shared" si="457"/>
        <v>17773</v>
      </c>
      <c r="C613" s="102">
        <f t="shared" si="458"/>
        <v>0</v>
      </c>
      <c r="D613" s="102">
        <f t="shared" si="459"/>
        <v>0</v>
      </c>
      <c r="E613" s="102">
        <f t="shared" si="460"/>
        <v>0</v>
      </c>
      <c r="F613" s="102">
        <f t="shared" si="461"/>
        <v>0</v>
      </c>
      <c r="L613" s="100">
        <v>612</v>
      </c>
      <c r="M613" s="131">
        <f t="shared" ca="1" si="462"/>
        <v>64793</v>
      </c>
      <c r="N613" s="102">
        <f t="shared" si="463"/>
        <v>0</v>
      </c>
      <c r="O613" s="102">
        <f t="shared" si="464"/>
        <v>0</v>
      </c>
      <c r="P613" s="102">
        <f t="shared" si="465"/>
        <v>0</v>
      </c>
      <c r="Q613" s="102">
        <f t="shared" si="466"/>
        <v>0</v>
      </c>
      <c r="W613" s="100">
        <v>612</v>
      </c>
      <c r="X613" s="131">
        <f t="shared" ca="1" si="467"/>
        <v>64793</v>
      </c>
      <c r="Y613" s="102">
        <f t="shared" si="468"/>
        <v>0</v>
      </c>
      <c r="Z613" s="102">
        <f t="shared" si="469"/>
        <v>0</v>
      </c>
      <c r="AA613" s="102">
        <f t="shared" si="470"/>
        <v>0</v>
      </c>
      <c r="AB613" s="102">
        <f t="shared" si="471"/>
        <v>0</v>
      </c>
      <c r="AH613" s="100">
        <v>612</v>
      </c>
      <c r="AI613" s="131">
        <f t="shared" ca="1" si="472"/>
        <v>64793</v>
      </c>
      <c r="AJ613" s="102">
        <f t="shared" si="473"/>
        <v>0</v>
      </c>
      <c r="AK613" s="102">
        <f t="shared" si="474"/>
        <v>0</v>
      </c>
      <c r="AL613" s="102">
        <f t="shared" si="475"/>
        <v>0</v>
      </c>
      <c r="AM613" s="102">
        <f t="shared" si="476"/>
        <v>0</v>
      </c>
      <c r="AS613" s="530">
        <v>612</v>
      </c>
      <c r="AT613" s="531">
        <f t="shared" ca="1" si="446"/>
        <v>64793</v>
      </c>
      <c r="AU613" s="532">
        <f ca="1">IF(AU612=0,SUMIFS('Key Life Events'!$L$3:$L$28,'Key Life Events'!$H$3:$H$28,'Loan Amortization'!$AY$3,'Key Life Events'!$N$3:$N$28,'Loan Amortization'!AT613),AU612-AX612)</f>
        <v>0</v>
      </c>
      <c r="AV613" s="532">
        <f t="shared" ca="1" si="447"/>
        <v>0</v>
      </c>
      <c r="AW613" s="532">
        <f t="shared" ca="1" si="436"/>
        <v>0</v>
      </c>
      <c r="AX613" s="532">
        <f t="shared" ca="1" si="437"/>
        <v>0</v>
      </c>
      <c r="BC613" s="536">
        <f t="shared" ca="1" si="438"/>
        <v>2077</v>
      </c>
      <c r="BF613" s="530">
        <v>612</v>
      </c>
      <c r="BG613" s="531">
        <f t="shared" ca="1" si="448"/>
        <v>64793</v>
      </c>
      <c r="BH613" s="532">
        <f ca="1">IF(BH612=0,SUMIFS('Key Life Events'!$L$3:$L$28,'Key Life Events'!$H$3:$H$28,'Loan Amortization'!$BL$3,'Key Life Events'!$N$3:$N$28,'Loan Amortization'!BG613),BH612-BK612)</f>
        <v>0</v>
      </c>
      <c r="BI613" s="532">
        <f t="shared" ca="1" si="449"/>
        <v>0</v>
      </c>
      <c r="BJ613" s="532">
        <f t="shared" ca="1" si="450"/>
        <v>0</v>
      </c>
      <c r="BK613" s="532">
        <f t="shared" ca="1" si="439"/>
        <v>0</v>
      </c>
      <c r="BP613" s="536">
        <f t="shared" ca="1" si="440"/>
        <v>2077</v>
      </c>
      <c r="BS613" s="530">
        <v>612</v>
      </c>
      <c r="BT613" s="531">
        <f t="shared" ca="1" si="451"/>
        <v>64793</v>
      </c>
      <c r="BU613" s="532">
        <f ca="1">IF(BU612=0,SUMIFS('Key Life Events'!$L$3:$L$28,'Key Life Events'!$H$3:$H$28,'Loan Amortization'!$BY$3,'Key Life Events'!$N$3:$N$28,'Loan Amortization'!BT613),BU612-BX612)</f>
        <v>0</v>
      </c>
      <c r="BV613" s="532">
        <f t="shared" ca="1" si="456"/>
        <v>0</v>
      </c>
      <c r="BW613" s="532">
        <f t="shared" ca="1" si="452"/>
        <v>0</v>
      </c>
      <c r="BX613" s="532">
        <f t="shared" ca="1" si="441"/>
        <v>0</v>
      </c>
      <c r="CC613" s="536">
        <f t="shared" ca="1" si="442"/>
        <v>2077</v>
      </c>
      <c r="CF613" s="530">
        <v>612</v>
      </c>
      <c r="CG613" s="531">
        <f t="shared" ca="1" si="453"/>
        <v>64793</v>
      </c>
      <c r="CH613" s="532">
        <f ca="1">IF(CH612=0,SUMIFS('Key Life Events'!$L$3:$L$28,'Key Life Events'!$H$3:$H$28,'Loan Amortization'!$CL$3,'Key Life Events'!$N$3:$N$28,'Loan Amortization'!CG613),CH612-CK612)</f>
        <v>0</v>
      </c>
      <c r="CI613" s="532">
        <f t="shared" ca="1" si="454"/>
        <v>0</v>
      </c>
      <c r="CJ613" s="532">
        <f t="shared" ca="1" si="455"/>
        <v>0</v>
      </c>
      <c r="CK613" s="532">
        <f t="shared" ca="1" si="443"/>
        <v>0</v>
      </c>
      <c r="CP613" s="536">
        <f t="shared" ca="1" si="444"/>
        <v>2077</v>
      </c>
      <c r="CS613" s="100">
        <f t="shared" si="433"/>
        <v>612</v>
      </c>
      <c r="CT613" s="102">
        <f t="shared" ca="1" si="434"/>
        <v>0</v>
      </c>
      <c r="CU613" s="102">
        <f t="shared" ca="1" si="435"/>
        <v>0</v>
      </c>
      <c r="CV613" s="511">
        <f t="shared" ca="1" si="445"/>
        <v>2077</v>
      </c>
    </row>
    <row r="614" spans="1:100" x14ac:dyDescent="0.3">
      <c r="A614" s="100">
        <v>613</v>
      </c>
      <c r="B614" s="131">
        <f t="shared" si="457"/>
        <v>17804</v>
      </c>
      <c r="C614" s="102">
        <f t="shared" si="458"/>
        <v>0</v>
      </c>
      <c r="D614" s="102">
        <f t="shared" si="459"/>
        <v>0</v>
      </c>
      <c r="E614" s="102">
        <f t="shared" si="460"/>
        <v>0</v>
      </c>
      <c r="F614" s="102">
        <f t="shared" si="461"/>
        <v>0</v>
      </c>
      <c r="L614" s="100">
        <v>613</v>
      </c>
      <c r="M614" s="131">
        <f t="shared" ca="1" si="462"/>
        <v>64824</v>
      </c>
      <c r="N614" s="102">
        <f t="shared" si="463"/>
        <v>0</v>
      </c>
      <c r="O614" s="102">
        <f t="shared" si="464"/>
        <v>0</v>
      </c>
      <c r="P614" s="102">
        <f t="shared" si="465"/>
        <v>0</v>
      </c>
      <c r="Q614" s="102">
        <f t="shared" si="466"/>
        <v>0</v>
      </c>
      <c r="W614" s="100">
        <v>613</v>
      </c>
      <c r="X614" s="131">
        <f t="shared" ca="1" si="467"/>
        <v>64824</v>
      </c>
      <c r="Y614" s="102">
        <f t="shared" si="468"/>
        <v>0</v>
      </c>
      <c r="Z614" s="102">
        <f t="shared" si="469"/>
        <v>0</v>
      </c>
      <c r="AA614" s="102">
        <f t="shared" si="470"/>
        <v>0</v>
      </c>
      <c r="AB614" s="102">
        <f t="shared" si="471"/>
        <v>0</v>
      </c>
      <c r="AH614" s="100">
        <v>613</v>
      </c>
      <c r="AI614" s="131">
        <f t="shared" ca="1" si="472"/>
        <v>64824</v>
      </c>
      <c r="AJ614" s="102">
        <f t="shared" si="473"/>
        <v>0</v>
      </c>
      <c r="AK614" s="102">
        <f t="shared" si="474"/>
        <v>0</v>
      </c>
      <c r="AL614" s="102">
        <f t="shared" si="475"/>
        <v>0</v>
      </c>
      <c r="AM614" s="102">
        <f t="shared" si="476"/>
        <v>0</v>
      </c>
      <c r="AS614" s="530">
        <v>613</v>
      </c>
      <c r="AT614" s="531">
        <f t="shared" ca="1" si="446"/>
        <v>64824</v>
      </c>
      <c r="AU614" s="532">
        <f ca="1">IF(AU613=0,SUMIFS('Key Life Events'!$L$3:$L$28,'Key Life Events'!$H$3:$H$28,'Loan Amortization'!$AY$3,'Key Life Events'!$N$3:$N$28,'Loan Amortization'!AT614),AU613-AX613)</f>
        <v>0</v>
      </c>
      <c r="AV614" s="532">
        <f t="shared" ca="1" si="447"/>
        <v>0</v>
      </c>
      <c r="AW614" s="532">
        <f t="shared" ca="1" si="436"/>
        <v>0</v>
      </c>
      <c r="AX614" s="532">
        <f t="shared" ca="1" si="437"/>
        <v>0</v>
      </c>
      <c r="BC614" s="536">
        <f t="shared" ca="1" si="438"/>
        <v>2077</v>
      </c>
      <c r="BF614" s="530">
        <v>613</v>
      </c>
      <c r="BG614" s="531">
        <f t="shared" ca="1" si="448"/>
        <v>64824</v>
      </c>
      <c r="BH614" s="532">
        <f ca="1">IF(BH613=0,SUMIFS('Key Life Events'!$L$3:$L$28,'Key Life Events'!$H$3:$H$28,'Loan Amortization'!$BL$3,'Key Life Events'!$N$3:$N$28,'Loan Amortization'!BG614),BH613-BK613)</f>
        <v>0</v>
      </c>
      <c r="BI614" s="532">
        <f t="shared" ca="1" si="449"/>
        <v>0</v>
      </c>
      <c r="BJ614" s="532">
        <f t="shared" ca="1" si="450"/>
        <v>0</v>
      </c>
      <c r="BK614" s="532">
        <f t="shared" ca="1" si="439"/>
        <v>0</v>
      </c>
      <c r="BP614" s="536">
        <f t="shared" ca="1" si="440"/>
        <v>2077</v>
      </c>
      <c r="BS614" s="530">
        <v>613</v>
      </c>
      <c r="BT614" s="531">
        <f t="shared" ca="1" si="451"/>
        <v>64824</v>
      </c>
      <c r="BU614" s="532">
        <f ca="1">IF(BU613=0,SUMIFS('Key Life Events'!$L$3:$L$28,'Key Life Events'!$H$3:$H$28,'Loan Amortization'!$BY$3,'Key Life Events'!$N$3:$N$28,'Loan Amortization'!BT614),BU613-BX613)</f>
        <v>0</v>
      </c>
      <c r="BV614" s="532">
        <f t="shared" ca="1" si="456"/>
        <v>0</v>
      </c>
      <c r="BW614" s="532">
        <f t="shared" ca="1" si="452"/>
        <v>0</v>
      </c>
      <c r="BX614" s="532">
        <f t="shared" ca="1" si="441"/>
        <v>0</v>
      </c>
      <c r="CC614" s="536">
        <f t="shared" ca="1" si="442"/>
        <v>2077</v>
      </c>
      <c r="CF614" s="530">
        <v>613</v>
      </c>
      <c r="CG614" s="531">
        <f t="shared" ca="1" si="453"/>
        <v>64824</v>
      </c>
      <c r="CH614" s="532">
        <f ca="1">IF(CH613=0,SUMIFS('Key Life Events'!$L$3:$L$28,'Key Life Events'!$H$3:$H$28,'Loan Amortization'!$CL$3,'Key Life Events'!$N$3:$N$28,'Loan Amortization'!CG614),CH613-CK613)</f>
        <v>0</v>
      </c>
      <c r="CI614" s="532">
        <f t="shared" ca="1" si="454"/>
        <v>0</v>
      </c>
      <c r="CJ614" s="532">
        <f t="shared" ca="1" si="455"/>
        <v>0</v>
      </c>
      <c r="CK614" s="532">
        <f t="shared" ca="1" si="443"/>
        <v>0</v>
      </c>
      <c r="CP614" s="536">
        <f t="shared" ca="1" si="444"/>
        <v>2077</v>
      </c>
      <c r="CS614" s="100">
        <f t="shared" si="433"/>
        <v>613</v>
      </c>
      <c r="CT614" s="102">
        <f t="shared" ca="1" si="434"/>
        <v>0</v>
      </c>
      <c r="CU614" s="102">
        <f t="shared" ca="1" si="435"/>
        <v>0</v>
      </c>
      <c r="CV614" s="511">
        <f t="shared" ca="1" si="445"/>
        <v>2077</v>
      </c>
    </row>
    <row r="615" spans="1:100" x14ac:dyDescent="0.3">
      <c r="A615" s="100">
        <v>614</v>
      </c>
      <c r="B615" s="131">
        <f t="shared" si="457"/>
        <v>17834</v>
      </c>
      <c r="C615" s="102">
        <f t="shared" si="458"/>
        <v>0</v>
      </c>
      <c r="D615" s="102">
        <f t="shared" si="459"/>
        <v>0</v>
      </c>
      <c r="E615" s="102">
        <f t="shared" si="460"/>
        <v>0</v>
      </c>
      <c r="F615" s="102">
        <f t="shared" si="461"/>
        <v>0</v>
      </c>
      <c r="L615" s="100">
        <v>614</v>
      </c>
      <c r="M615" s="131">
        <f t="shared" ca="1" si="462"/>
        <v>64854</v>
      </c>
      <c r="N615" s="102">
        <f t="shared" si="463"/>
        <v>0</v>
      </c>
      <c r="O615" s="102">
        <f t="shared" si="464"/>
        <v>0</v>
      </c>
      <c r="P615" s="102">
        <f t="shared" si="465"/>
        <v>0</v>
      </c>
      <c r="Q615" s="102">
        <f t="shared" si="466"/>
        <v>0</v>
      </c>
      <c r="W615" s="100">
        <v>614</v>
      </c>
      <c r="X615" s="131">
        <f t="shared" ca="1" si="467"/>
        <v>64854</v>
      </c>
      <c r="Y615" s="102">
        <f t="shared" si="468"/>
        <v>0</v>
      </c>
      <c r="Z615" s="102">
        <f t="shared" si="469"/>
        <v>0</v>
      </c>
      <c r="AA615" s="102">
        <f t="shared" si="470"/>
        <v>0</v>
      </c>
      <c r="AB615" s="102">
        <f t="shared" si="471"/>
        <v>0</v>
      </c>
      <c r="AH615" s="100">
        <v>614</v>
      </c>
      <c r="AI615" s="131">
        <f t="shared" ca="1" si="472"/>
        <v>64854</v>
      </c>
      <c r="AJ615" s="102">
        <f t="shared" si="473"/>
        <v>0</v>
      </c>
      <c r="AK615" s="102">
        <f t="shared" si="474"/>
        <v>0</v>
      </c>
      <c r="AL615" s="102">
        <f t="shared" si="475"/>
        <v>0</v>
      </c>
      <c r="AM615" s="102">
        <f t="shared" si="476"/>
        <v>0</v>
      </c>
      <c r="AS615" s="530">
        <v>614</v>
      </c>
      <c r="AT615" s="531">
        <f t="shared" ca="1" si="446"/>
        <v>64854</v>
      </c>
      <c r="AU615" s="532">
        <f ca="1">IF(AU614=0,SUMIFS('Key Life Events'!$L$3:$L$28,'Key Life Events'!$H$3:$H$28,'Loan Amortization'!$AY$3,'Key Life Events'!$N$3:$N$28,'Loan Amortization'!AT615),AU614-AX614)</f>
        <v>0</v>
      </c>
      <c r="AV615" s="532">
        <f t="shared" ca="1" si="447"/>
        <v>0</v>
      </c>
      <c r="AW615" s="532">
        <f t="shared" ca="1" si="436"/>
        <v>0</v>
      </c>
      <c r="AX615" s="532">
        <f t="shared" ca="1" si="437"/>
        <v>0</v>
      </c>
      <c r="BC615" s="536">
        <f t="shared" ca="1" si="438"/>
        <v>2077</v>
      </c>
      <c r="BF615" s="530">
        <v>614</v>
      </c>
      <c r="BG615" s="531">
        <f t="shared" ca="1" si="448"/>
        <v>64854</v>
      </c>
      <c r="BH615" s="532">
        <f ca="1">IF(BH614=0,SUMIFS('Key Life Events'!$L$3:$L$28,'Key Life Events'!$H$3:$H$28,'Loan Amortization'!$BL$3,'Key Life Events'!$N$3:$N$28,'Loan Amortization'!BG615),BH614-BK614)</f>
        <v>0</v>
      </c>
      <c r="BI615" s="532">
        <f t="shared" ca="1" si="449"/>
        <v>0</v>
      </c>
      <c r="BJ615" s="532">
        <f t="shared" ca="1" si="450"/>
        <v>0</v>
      </c>
      <c r="BK615" s="532">
        <f t="shared" ca="1" si="439"/>
        <v>0</v>
      </c>
      <c r="BP615" s="536">
        <f t="shared" ca="1" si="440"/>
        <v>2077</v>
      </c>
      <c r="BS615" s="530">
        <v>614</v>
      </c>
      <c r="BT615" s="531">
        <f t="shared" ca="1" si="451"/>
        <v>64854</v>
      </c>
      <c r="BU615" s="532">
        <f ca="1">IF(BU614=0,SUMIFS('Key Life Events'!$L$3:$L$28,'Key Life Events'!$H$3:$H$28,'Loan Amortization'!$BY$3,'Key Life Events'!$N$3:$N$28,'Loan Amortization'!BT615),BU614-BX614)</f>
        <v>0</v>
      </c>
      <c r="BV615" s="532">
        <f t="shared" ca="1" si="456"/>
        <v>0</v>
      </c>
      <c r="BW615" s="532">
        <f t="shared" ca="1" si="452"/>
        <v>0</v>
      </c>
      <c r="BX615" s="532">
        <f t="shared" ca="1" si="441"/>
        <v>0</v>
      </c>
      <c r="CC615" s="536">
        <f t="shared" ca="1" si="442"/>
        <v>2077</v>
      </c>
      <c r="CF615" s="530">
        <v>614</v>
      </c>
      <c r="CG615" s="531">
        <f t="shared" ca="1" si="453"/>
        <v>64854</v>
      </c>
      <c r="CH615" s="532">
        <f ca="1">IF(CH614=0,SUMIFS('Key Life Events'!$L$3:$L$28,'Key Life Events'!$H$3:$H$28,'Loan Amortization'!$CL$3,'Key Life Events'!$N$3:$N$28,'Loan Amortization'!CG615),CH614-CK614)</f>
        <v>0</v>
      </c>
      <c r="CI615" s="532">
        <f t="shared" ca="1" si="454"/>
        <v>0</v>
      </c>
      <c r="CJ615" s="532">
        <f t="shared" ca="1" si="455"/>
        <v>0</v>
      </c>
      <c r="CK615" s="532">
        <f t="shared" ca="1" si="443"/>
        <v>0</v>
      </c>
      <c r="CP615" s="536">
        <f t="shared" ca="1" si="444"/>
        <v>2077</v>
      </c>
      <c r="CS615" s="100">
        <f t="shared" si="433"/>
        <v>614</v>
      </c>
      <c r="CT615" s="102">
        <f t="shared" ca="1" si="434"/>
        <v>0</v>
      </c>
      <c r="CU615" s="102">
        <f t="shared" ca="1" si="435"/>
        <v>0</v>
      </c>
      <c r="CV615" s="511">
        <f t="shared" ca="1" si="445"/>
        <v>2077</v>
      </c>
    </row>
    <row r="616" spans="1:100" x14ac:dyDescent="0.3">
      <c r="A616" s="100">
        <v>615</v>
      </c>
      <c r="B616" s="131">
        <f t="shared" si="457"/>
        <v>17865</v>
      </c>
      <c r="C616" s="102">
        <f t="shared" si="458"/>
        <v>0</v>
      </c>
      <c r="D616" s="102">
        <f t="shared" si="459"/>
        <v>0</v>
      </c>
      <c r="E616" s="102">
        <f t="shared" si="460"/>
        <v>0</v>
      </c>
      <c r="F616" s="102">
        <f t="shared" si="461"/>
        <v>0</v>
      </c>
      <c r="L616" s="100">
        <v>615</v>
      </c>
      <c r="M616" s="131">
        <f t="shared" ca="1" si="462"/>
        <v>64885</v>
      </c>
      <c r="N616" s="102">
        <f t="shared" si="463"/>
        <v>0</v>
      </c>
      <c r="O616" s="102">
        <f t="shared" si="464"/>
        <v>0</v>
      </c>
      <c r="P616" s="102">
        <f t="shared" si="465"/>
        <v>0</v>
      </c>
      <c r="Q616" s="102">
        <f t="shared" si="466"/>
        <v>0</v>
      </c>
      <c r="W616" s="100">
        <v>615</v>
      </c>
      <c r="X616" s="131">
        <f t="shared" ca="1" si="467"/>
        <v>64885</v>
      </c>
      <c r="Y616" s="102">
        <f t="shared" si="468"/>
        <v>0</v>
      </c>
      <c r="Z616" s="102">
        <f t="shared" si="469"/>
        <v>0</v>
      </c>
      <c r="AA616" s="102">
        <f t="shared" si="470"/>
        <v>0</v>
      </c>
      <c r="AB616" s="102">
        <f t="shared" si="471"/>
        <v>0</v>
      </c>
      <c r="AH616" s="100">
        <v>615</v>
      </c>
      <c r="AI616" s="131">
        <f t="shared" ca="1" si="472"/>
        <v>64885</v>
      </c>
      <c r="AJ616" s="102">
        <f t="shared" si="473"/>
        <v>0</v>
      </c>
      <c r="AK616" s="102">
        <f t="shared" si="474"/>
        <v>0</v>
      </c>
      <c r="AL616" s="102">
        <f t="shared" si="475"/>
        <v>0</v>
      </c>
      <c r="AM616" s="102">
        <f t="shared" si="476"/>
        <v>0</v>
      </c>
      <c r="AS616" s="530">
        <v>615</v>
      </c>
      <c r="AT616" s="531">
        <f t="shared" ca="1" si="446"/>
        <v>64885</v>
      </c>
      <c r="AU616" s="532">
        <f ca="1">IF(AU615=0,SUMIFS('Key Life Events'!$L$3:$L$28,'Key Life Events'!$H$3:$H$28,'Loan Amortization'!$AY$3,'Key Life Events'!$N$3:$N$28,'Loan Amortization'!AT616),AU615-AX615)</f>
        <v>0</v>
      </c>
      <c r="AV616" s="532">
        <f t="shared" ca="1" si="447"/>
        <v>0</v>
      </c>
      <c r="AW616" s="532">
        <f t="shared" ca="1" si="436"/>
        <v>0</v>
      </c>
      <c r="AX616" s="532">
        <f t="shared" ca="1" si="437"/>
        <v>0</v>
      </c>
      <c r="BC616" s="536">
        <f t="shared" ca="1" si="438"/>
        <v>2077</v>
      </c>
      <c r="BF616" s="530">
        <v>615</v>
      </c>
      <c r="BG616" s="531">
        <f t="shared" ca="1" si="448"/>
        <v>64885</v>
      </c>
      <c r="BH616" s="532">
        <f ca="1">IF(BH615=0,SUMIFS('Key Life Events'!$L$3:$L$28,'Key Life Events'!$H$3:$H$28,'Loan Amortization'!$BL$3,'Key Life Events'!$N$3:$N$28,'Loan Amortization'!BG616),BH615-BK615)</f>
        <v>0</v>
      </c>
      <c r="BI616" s="532">
        <f t="shared" ca="1" si="449"/>
        <v>0</v>
      </c>
      <c r="BJ616" s="532">
        <f t="shared" ca="1" si="450"/>
        <v>0</v>
      </c>
      <c r="BK616" s="532">
        <f t="shared" ca="1" si="439"/>
        <v>0</v>
      </c>
      <c r="BP616" s="536">
        <f t="shared" ca="1" si="440"/>
        <v>2077</v>
      </c>
      <c r="BS616" s="530">
        <v>615</v>
      </c>
      <c r="BT616" s="531">
        <f t="shared" ca="1" si="451"/>
        <v>64885</v>
      </c>
      <c r="BU616" s="532">
        <f ca="1">IF(BU615=0,SUMIFS('Key Life Events'!$L$3:$L$28,'Key Life Events'!$H$3:$H$28,'Loan Amortization'!$BY$3,'Key Life Events'!$N$3:$N$28,'Loan Amortization'!BT616),BU615-BX615)</f>
        <v>0</v>
      </c>
      <c r="BV616" s="532">
        <f t="shared" ca="1" si="456"/>
        <v>0</v>
      </c>
      <c r="BW616" s="532">
        <f t="shared" ca="1" si="452"/>
        <v>0</v>
      </c>
      <c r="BX616" s="532">
        <f t="shared" ca="1" si="441"/>
        <v>0</v>
      </c>
      <c r="CC616" s="536">
        <f t="shared" ca="1" si="442"/>
        <v>2077</v>
      </c>
      <c r="CF616" s="530">
        <v>615</v>
      </c>
      <c r="CG616" s="531">
        <f t="shared" ca="1" si="453"/>
        <v>64885</v>
      </c>
      <c r="CH616" s="532">
        <f ca="1">IF(CH615=0,SUMIFS('Key Life Events'!$L$3:$L$28,'Key Life Events'!$H$3:$H$28,'Loan Amortization'!$CL$3,'Key Life Events'!$N$3:$N$28,'Loan Amortization'!CG616),CH615-CK615)</f>
        <v>0</v>
      </c>
      <c r="CI616" s="532">
        <f t="shared" ca="1" si="454"/>
        <v>0</v>
      </c>
      <c r="CJ616" s="532">
        <f t="shared" ca="1" si="455"/>
        <v>0</v>
      </c>
      <c r="CK616" s="532">
        <f t="shared" ca="1" si="443"/>
        <v>0</v>
      </c>
      <c r="CP616" s="536">
        <f t="shared" ca="1" si="444"/>
        <v>2077</v>
      </c>
      <c r="CS616" s="100">
        <f t="shared" si="433"/>
        <v>615</v>
      </c>
      <c r="CT616" s="102">
        <f t="shared" ca="1" si="434"/>
        <v>0</v>
      </c>
      <c r="CU616" s="102">
        <f t="shared" ca="1" si="435"/>
        <v>0</v>
      </c>
      <c r="CV616" s="511">
        <f t="shared" ca="1" si="445"/>
        <v>2077</v>
      </c>
    </row>
    <row r="617" spans="1:100" x14ac:dyDescent="0.3">
      <c r="A617" s="100">
        <v>616</v>
      </c>
      <c r="B617" s="131">
        <f t="shared" si="457"/>
        <v>17895</v>
      </c>
      <c r="C617" s="102">
        <f t="shared" si="458"/>
        <v>0</v>
      </c>
      <c r="D617" s="102">
        <f t="shared" si="459"/>
        <v>0</v>
      </c>
      <c r="E617" s="102">
        <f t="shared" si="460"/>
        <v>0</v>
      </c>
      <c r="F617" s="102">
        <f t="shared" si="461"/>
        <v>0</v>
      </c>
      <c r="L617" s="100">
        <v>616</v>
      </c>
      <c r="M617" s="131">
        <f t="shared" ca="1" si="462"/>
        <v>64916</v>
      </c>
      <c r="N617" s="102">
        <f t="shared" si="463"/>
        <v>0</v>
      </c>
      <c r="O617" s="102">
        <f t="shared" si="464"/>
        <v>0</v>
      </c>
      <c r="P617" s="102">
        <f t="shared" si="465"/>
        <v>0</v>
      </c>
      <c r="Q617" s="102">
        <f t="shared" si="466"/>
        <v>0</v>
      </c>
      <c r="W617" s="100">
        <v>616</v>
      </c>
      <c r="X617" s="131">
        <f t="shared" ca="1" si="467"/>
        <v>64916</v>
      </c>
      <c r="Y617" s="102">
        <f t="shared" si="468"/>
        <v>0</v>
      </c>
      <c r="Z617" s="102">
        <f t="shared" si="469"/>
        <v>0</v>
      </c>
      <c r="AA617" s="102">
        <f t="shared" si="470"/>
        <v>0</v>
      </c>
      <c r="AB617" s="102">
        <f t="shared" si="471"/>
        <v>0</v>
      </c>
      <c r="AH617" s="100">
        <v>616</v>
      </c>
      <c r="AI617" s="131">
        <f t="shared" ca="1" si="472"/>
        <v>64916</v>
      </c>
      <c r="AJ617" s="102">
        <f t="shared" si="473"/>
        <v>0</v>
      </c>
      <c r="AK617" s="102">
        <f t="shared" si="474"/>
        <v>0</v>
      </c>
      <c r="AL617" s="102">
        <f t="shared" si="475"/>
        <v>0</v>
      </c>
      <c r="AM617" s="102">
        <f t="shared" si="476"/>
        <v>0</v>
      </c>
      <c r="AS617" s="530">
        <v>616</v>
      </c>
      <c r="AT617" s="531">
        <f t="shared" ca="1" si="446"/>
        <v>64916</v>
      </c>
      <c r="AU617" s="532">
        <f ca="1">IF(AU616=0,SUMIFS('Key Life Events'!$L$3:$L$28,'Key Life Events'!$H$3:$H$28,'Loan Amortization'!$AY$3,'Key Life Events'!$N$3:$N$28,'Loan Amortization'!AT617),AU616-AX616)</f>
        <v>0</v>
      </c>
      <c r="AV617" s="532">
        <f t="shared" ca="1" si="447"/>
        <v>0</v>
      </c>
      <c r="AW617" s="532">
        <f t="shared" ca="1" si="436"/>
        <v>0</v>
      </c>
      <c r="AX617" s="532">
        <f t="shared" ca="1" si="437"/>
        <v>0</v>
      </c>
      <c r="BC617" s="536">
        <f t="shared" ca="1" si="438"/>
        <v>2077</v>
      </c>
      <c r="BF617" s="530">
        <v>616</v>
      </c>
      <c r="BG617" s="531">
        <f t="shared" ca="1" si="448"/>
        <v>64916</v>
      </c>
      <c r="BH617" s="532">
        <f ca="1">IF(BH616=0,SUMIFS('Key Life Events'!$L$3:$L$28,'Key Life Events'!$H$3:$H$28,'Loan Amortization'!$BL$3,'Key Life Events'!$N$3:$N$28,'Loan Amortization'!BG617),BH616-BK616)</f>
        <v>0</v>
      </c>
      <c r="BI617" s="532">
        <f t="shared" ca="1" si="449"/>
        <v>0</v>
      </c>
      <c r="BJ617" s="532">
        <f t="shared" ca="1" si="450"/>
        <v>0</v>
      </c>
      <c r="BK617" s="532">
        <f t="shared" ca="1" si="439"/>
        <v>0</v>
      </c>
      <c r="BP617" s="536">
        <f t="shared" ca="1" si="440"/>
        <v>2077</v>
      </c>
      <c r="BS617" s="530">
        <v>616</v>
      </c>
      <c r="BT617" s="531">
        <f t="shared" ca="1" si="451"/>
        <v>64916</v>
      </c>
      <c r="BU617" s="532">
        <f ca="1">IF(BU616=0,SUMIFS('Key Life Events'!$L$3:$L$28,'Key Life Events'!$H$3:$H$28,'Loan Amortization'!$BY$3,'Key Life Events'!$N$3:$N$28,'Loan Amortization'!BT617),BU616-BX616)</f>
        <v>0</v>
      </c>
      <c r="BV617" s="532">
        <f t="shared" ca="1" si="456"/>
        <v>0</v>
      </c>
      <c r="BW617" s="532">
        <f t="shared" ca="1" si="452"/>
        <v>0</v>
      </c>
      <c r="BX617" s="532">
        <f t="shared" ca="1" si="441"/>
        <v>0</v>
      </c>
      <c r="CC617" s="536">
        <f t="shared" ca="1" si="442"/>
        <v>2077</v>
      </c>
      <c r="CF617" s="530">
        <v>616</v>
      </c>
      <c r="CG617" s="531">
        <f t="shared" ca="1" si="453"/>
        <v>64916</v>
      </c>
      <c r="CH617" s="532">
        <f ca="1">IF(CH616=0,SUMIFS('Key Life Events'!$L$3:$L$28,'Key Life Events'!$H$3:$H$28,'Loan Amortization'!$CL$3,'Key Life Events'!$N$3:$N$28,'Loan Amortization'!CG617),CH616-CK616)</f>
        <v>0</v>
      </c>
      <c r="CI617" s="532">
        <f t="shared" ca="1" si="454"/>
        <v>0</v>
      </c>
      <c r="CJ617" s="532">
        <f t="shared" ca="1" si="455"/>
        <v>0</v>
      </c>
      <c r="CK617" s="532">
        <f t="shared" ca="1" si="443"/>
        <v>0</v>
      </c>
      <c r="CP617" s="536">
        <f t="shared" ca="1" si="444"/>
        <v>2077</v>
      </c>
      <c r="CS617" s="100">
        <f t="shared" si="433"/>
        <v>616</v>
      </c>
      <c r="CT617" s="102">
        <f t="shared" ca="1" si="434"/>
        <v>0</v>
      </c>
      <c r="CU617" s="102">
        <f t="shared" ca="1" si="435"/>
        <v>0</v>
      </c>
      <c r="CV617" s="511">
        <f t="shared" ca="1" si="445"/>
        <v>2077</v>
      </c>
    </row>
    <row r="618" spans="1:100" x14ac:dyDescent="0.3">
      <c r="A618" s="100">
        <v>617</v>
      </c>
      <c r="B618" s="131">
        <f t="shared" si="457"/>
        <v>17926</v>
      </c>
      <c r="C618" s="102">
        <f t="shared" si="458"/>
        <v>0</v>
      </c>
      <c r="D618" s="102">
        <f t="shared" si="459"/>
        <v>0</v>
      </c>
      <c r="E618" s="102">
        <f t="shared" si="460"/>
        <v>0</v>
      </c>
      <c r="F618" s="102">
        <f t="shared" si="461"/>
        <v>0</v>
      </c>
      <c r="L618" s="100">
        <v>617</v>
      </c>
      <c r="M618" s="131">
        <f t="shared" ca="1" si="462"/>
        <v>64946</v>
      </c>
      <c r="N618" s="102">
        <f t="shared" si="463"/>
        <v>0</v>
      </c>
      <c r="O618" s="102">
        <f t="shared" si="464"/>
        <v>0</v>
      </c>
      <c r="P618" s="102">
        <f t="shared" si="465"/>
        <v>0</v>
      </c>
      <c r="Q618" s="102">
        <f t="shared" si="466"/>
        <v>0</v>
      </c>
      <c r="W618" s="100">
        <v>617</v>
      </c>
      <c r="X618" s="131">
        <f t="shared" ca="1" si="467"/>
        <v>64946</v>
      </c>
      <c r="Y618" s="102">
        <f t="shared" si="468"/>
        <v>0</v>
      </c>
      <c r="Z618" s="102">
        <f t="shared" si="469"/>
        <v>0</v>
      </c>
      <c r="AA618" s="102">
        <f t="shared" si="470"/>
        <v>0</v>
      </c>
      <c r="AB618" s="102">
        <f t="shared" si="471"/>
        <v>0</v>
      </c>
      <c r="AH618" s="100">
        <v>617</v>
      </c>
      <c r="AI618" s="131">
        <f t="shared" ca="1" si="472"/>
        <v>64946</v>
      </c>
      <c r="AJ618" s="102">
        <f t="shared" si="473"/>
        <v>0</v>
      </c>
      <c r="AK618" s="102">
        <f t="shared" si="474"/>
        <v>0</v>
      </c>
      <c r="AL618" s="102">
        <f t="shared" si="475"/>
        <v>0</v>
      </c>
      <c r="AM618" s="102">
        <f t="shared" si="476"/>
        <v>0</v>
      </c>
      <c r="AS618" s="530">
        <v>617</v>
      </c>
      <c r="AT618" s="531">
        <f t="shared" ca="1" si="446"/>
        <v>64946</v>
      </c>
      <c r="AU618" s="532">
        <f ca="1">IF(AU617=0,SUMIFS('Key Life Events'!$L$3:$L$28,'Key Life Events'!$H$3:$H$28,'Loan Amortization'!$AY$3,'Key Life Events'!$N$3:$N$28,'Loan Amortization'!AT618),AU617-AX617)</f>
        <v>0</v>
      </c>
      <c r="AV618" s="532">
        <f t="shared" ca="1" si="447"/>
        <v>0</v>
      </c>
      <c r="AW618" s="532">
        <f t="shared" ca="1" si="436"/>
        <v>0</v>
      </c>
      <c r="AX618" s="532">
        <f t="shared" ca="1" si="437"/>
        <v>0</v>
      </c>
      <c r="BC618" s="536">
        <f t="shared" ca="1" si="438"/>
        <v>2077</v>
      </c>
      <c r="BF618" s="530">
        <v>617</v>
      </c>
      <c r="BG618" s="531">
        <f t="shared" ca="1" si="448"/>
        <v>64946</v>
      </c>
      <c r="BH618" s="532">
        <f ca="1">IF(BH617=0,SUMIFS('Key Life Events'!$L$3:$L$28,'Key Life Events'!$H$3:$H$28,'Loan Amortization'!$BL$3,'Key Life Events'!$N$3:$N$28,'Loan Amortization'!BG618),BH617-BK617)</f>
        <v>0</v>
      </c>
      <c r="BI618" s="532">
        <f t="shared" ca="1" si="449"/>
        <v>0</v>
      </c>
      <c r="BJ618" s="532">
        <f t="shared" ca="1" si="450"/>
        <v>0</v>
      </c>
      <c r="BK618" s="532">
        <f t="shared" ca="1" si="439"/>
        <v>0</v>
      </c>
      <c r="BP618" s="536">
        <f t="shared" ca="1" si="440"/>
        <v>2077</v>
      </c>
      <c r="BS618" s="530">
        <v>617</v>
      </c>
      <c r="BT618" s="531">
        <f t="shared" ca="1" si="451"/>
        <v>64946</v>
      </c>
      <c r="BU618" s="532">
        <f ca="1">IF(BU617=0,SUMIFS('Key Life Events'!$L$3:$L$28,'Key Life Events'!$H$3:$H$28,'Loan Amortization'!$BY$3,'Key Life Events'!$N$3:$N$28,'Loan Amortization'!BT618),BU617-BX617)</f>
        <v>0</v>
      </c>
      <c r="BV618" s="532">
        <f t="shared" ca="1" si="456"/>
        <v>0</v>
      </c>
      <c r="BW618" s="532">
        <f t="shared" ca="1" si="452"/>
        <v>0</v>
      </c>
      <c r="BX618" s="532">
        <f t="shared" ca="1" si="441"/>
        <v>0</v>
      </c>
      <c r="CC618" s="536">
        <f t="shared" ca="1" si="442"/>
        <v>2077</v>
      </c>
      <c r="CF618" s="530">
        <v>617</v>
      </c>
      <c r="CG618" s="531">
        <f t="shared" ca="1" si="453"/>
        <v>64946</v>
      </c>
      <c r="CH618" s="532">
        <f ca="1">IF(CH617=0,SUMIFS('Key Life Events'!$L$3:$L$28,'Key Life Events'!$H$3:$H$28,'Loan Amortization'!$CL$3,'Key Life Events'!$N$3:$N$28,'Loan Amortization'!CG618),CH617-CK617)</f>
        <v>0</v>
      </c>
      <c r="CI618" s="532">
        <f t="shared" ca="1" si="454"/>
        <v>0</v>
      </c>
      <c r="CJ618" s="532">
        <f t="shared" ca="1" si="455"/>
        <v>0</v>
      </c>
      <c r="CK618" s="532">
        <f t="shared" ca="1" si="443"/>
        <v>0</v>
      </c>
      <c r="CP618" s="536">
        <f t="shared" ca="1" si="444"/>
        <v>2077</v>
      </c>
      <c r="CS618" s="100">
        <f t="shared" si="433"/>
        <v>617</v>
      </c>
      <c r="CT618" s="102">
        <f t="shared" ca="1" si="434"/>
        <v>0</v>
      </c>
      <c r="CU618" s="102">
        <f t="shared" ca="1" si="435"/>
        <v>0</v>
      </c>
      <c r="CV618" s="511">
        <f t="shared" ca="1" si="445"/>
        <v>2077</v>
      </c>
    </row>
    <row r="619" spans="1:100" x14ac:dyDescent="0.3">
      <c r="A619" s="100">
        <v>618</v>
      </c>
      <c r="B619" s="131">
        <f t="shared" si="457"/>
        <v>17957</v>
      </c>
      <c r="C619" s="102">
        <f t="shared" si="458"/>
        <v>0</v>
      </c>
      <c r="D619" s="102">
        <f t="shared" si="459"/>
        <v>0</v>
      </c>
      <c r="E619" s="102">
        <f t="shared" si="460"/>
        <v>0</v>
      </c>
      <c r="F619" s="102">
        <f t="shared" si="461"/>
        <v>0</v>
      </c>
      <c r="L619" s="100">
        <v>618</v>
      </c>
      <c r="M619" s="131">
        <f t="shared" ca="1" si="462"/>
        <v>64977</v>
      </c>
      <c r="N619" s="102">
        <f t="shared" si="463"/>
        <v>0</v>
      </c>
      <c r="O619" s="102">
        <f t="shared" si="464"/>
        <v>0</v>
      </c>
      <c r="P619" s="102">
        <f t="shared" si="465"/>
        <v>0</v>
      </c>
      <c r="Q619" s="102">
        <f t="shared" si="466"/>
        <v>0</v>
      </c>
      <c r="W619" s="100">
        <v>618</v>
      </c>
      <c r="X619" s="131">
        <f t="shared" ca="1" si="467"/>
        <v>64977</v>
      </c>
      <c r="Y619" s="102">
        <f t="shared" si="468"/>
        <v>0</v>
      </c>
      <c r="Z619" s="102">
        <f t="shared" si="469"/>
        <v>0</v>
      </c>
      <c r="AA619" s="102">
        <f t="shared" si="470"/>
        <v>0</v>
      </c>
      <c r="AB619" s="102">
        <f t="shared" si="471"/>
        <v>0</v>
      </c>
      <c r="AH619" s="100">
        <v>618</v>
      </c>
      <c r="AI619" s="131">
        <f t="shared" ca="1" si="472"/>
        <v>64977</v>
      </c>
      <c r="AJ619" s="102">
        <f t="shared" si="473"/>
        <v>0</v>
      </c>
      <c r="AK619" s="102">
        <f t="shared" si="474"/>
        <v>0</v>
      </c>
      <c r="AL619" s="102">
        <f t="shared" si="475"/>
        <v>0</v>
      </c>
      <c r="AM619" s="102">
        <f t="shared" si="476"/>
        <v>0</v>
      </c>
      <c r="AS619" s="530">
        <v>618</v>
      </c>
      <c r="AT619" s="531">
        <f t="shared" ca="1" si="446"/>
        <v>64977</v>
      </c>
      <c r="AU619" s="532">
        <f ca="1">IF(AU618=0,SUMIFS('Key Life Events'!$L$3:$L$28,'Key Life Events'!$H$3:$H$28,'Loan Amortization'!$AY$3,'Key Life Events'!$N$3:$N$28,'Loan Amortization'!AT619),AU618-AX618)</f>
        <v>0</v>
      </c>
      <c r="AV619" s="532">
        <f t="shared" ca="1" si="447"/>
        <v>0</v>
      </c>
      <c r="AW619" s="532">
        <f t="shared" ca="1" si="436"/>
        <v>0</v>
      </c>
      <c r="AX619" s="532">
        <f t="shared" ca="1" si="437"/>
        <v>0</v>
      </c>
      <c r="BC619" s="536">
        <f t="shared" ca="1" si="438"/>
        <v>2077</v>
      </c>
      <c r="BF619" s="530">
        <v>618</v>
      </c>
      <c r="BG619" s="531">
        <f t="shared" ca="1" si="448"/>
        <v>64977</v>
      </c>
      <c r="BH619" s="532">
        <f ca="1">IF(BH618=0,SUMIFS('Key Life Events'!$L$3:$L$28,'Key Life Events'!$H$3:$H$28,'Loan Amortization'!$BL$3,'Key Life Events'!$N$3:$N$28,'Loan Amortization'!BG619),BH618-BK618)</f>
        <v>0</v>
      </c>
      <c r="BI619" s="532">
        <f t="shared" ca="1" si="449"/>
        <v>0</v>
      </c>
      <c r="BJ619" s="532">
        <f t="shared" ca="1" si="450"/>
        <v>0</v>
      </c>
      <c r="BK619" s="532">
        <f t="shared" ca="1" si="439"/>
        <v>0</v>
      </c>
      <c r="BP619" s="536">
        <f t="shared" ca="1" si="440"/>
        <v>2077</v>
      </c>
      <c r="BS619" s="530">
        <v>618</v>
      </c>
      <c r="BT619" s="531">
        <f t="shared" ca="1" si="451"/>
        <v>64977</v>
      </c>
      <c r="BU619" s="532">
        <f ca="1">IF(BU618=0,SUMIFS('Key Life Events'!$L$3:$L$28,'Key Life Events'!$H$3:$H$28,'Loan Amortization'!$BY$3,'Key Life Events'!$N$3:$N$28,'Loan Amortization'!BT619),BU618-BX618)</f>
        <v>0</v>
      </c>
      <c r="BV619" s="532">
        <f t="shared" ca="1" si="456"/>
        <v>0</v>
      </c>
      <c r="BW619" s="532">
        <f t="shared" ca="1" si="452"/>
        <v>0</v>
      </c>
      <c r="BX619" s="532">
        <f t="shared" ca="1" si="441"/>
        <v>0</v>
      </c>
      <c r="CC619" s="536">
        <f t="shared" ca="1" si="442"/>
        <v>2077</v>
      </c>
      <c r="CF619" s="530">
        <v>618</v>
      </c>
      <c r="CG619" s="531">
        <f t="shared" ca="1" si="453"/>
        <v>64977</v>
      </c>
      <c r="CH619" s="532">
        <f ca="1">IF(CH618=0,SUMIFS('Key Life Events'!$L$3:$L$28,'Key Life Events'!$H$3:$H$28,'Loan Amortization'!$CL$3,'Key Life Events'!$N$3:$N$28,'Loan Amortization'!CG619),CH618-CK618)</f>
        <v>0</v>
      </c>
      <c r="CI619" s="532">
        <f t="shared" ca="1" si="454"/>
        <v>0</v>
      </c>
      <c r="CJ619" s="532">
        <f t="shared" ca="1" si="455"/>
        <v>0</v>
      </c>
      <c r="CK619" s="532">
        <f t="shared" ca="1" si="443"/>
        <v>0</v>
      </c>
      <c r="CP619" s="536">
        <f t="shared" ca="1" si="444"/>
        <v>2077</v>
      </c>
      <c r="CS619" s="100">
        <f t="shared" si="433"/>
        <v>618</v>
      </c>
      <c r="CT619" s="102">
        <f t="shared" ca="1" si="434"/>
        <v>0</v>
      </c>
      <c r="CU619" s="102">
        <f t="shared" ca="1" si="435"/>
        <v>0</v>
      </c>
      <c r="CV619" s="511">
        <f t="shared" ca="1" si="445"/>
        <v>2077</v>
      </c>
    </row>
    <row r="620" spans="1:100" x14ac:dyDescent="0.3">
      <c r="A620" s="100">
        <v>619</v>
      </c>
      <c r="B620" s="131">
        <f t="shared" si="457"/>
        <v>17985</v>
      </c>
      <c r="C620" s="102">
        <f t="shared" si="458"/>
        <v>0</v>
      </c>
      <c r="D620" s="102">
        <f t="shared" si="459"/>
        <v>0</v>
      </c>
      <c r="E620" s="102">
        <f t="shared" si="460"/>
        <v>0</v>
      </c>
      <c r="F620" s="102">
        <f t="shared" si="461"/>
        <v>0</v>
      </c>
      <c r="L620" s="100">
        <v>619</v>
      </c>
      <c r="M620" s="131">
        <f t="shared" ca="1" si="462"/>
        <v>65007</v>
      </c>
      <c r="N620" s="102">
        <f t="shared" si="463"/>
        <v>0</v>
      </c>
      <c r="O620" s="102">
        <f t="shared" si="464"/>
        <v>0</v>
      </c>
      <c r="P620" s="102">
        <f t="shared" si="465"/>
        <v>0</v>
      </c>
      <c r="Q620" s="102">
        <f t="shared" si="466"/>
        <v>0</v>
      </c>
      <c r="W620" s="100">
        <v>619</v>
      </c>
      <c r="X620" s="131">
        <f t="shared" ca="1" si="467"/>
        <v>65007</v>
      </c>
      <c r="Y620" s="102">
        <f t="shared" si="468"/>
        <v>0</v>
      </c>
      <c r="Z620" s="102">
        <f t="shared" si="469"/>
        <v>0</v>
      </c>
      <c r="AA620" s="102">
        <f t="shared" si="470"/>
        <v>0</v>
      </c>
      <c r="AB620" s="102">
        <f t="shared" si="471"/>
        <v>0</v>
      </c>
      <c r="AH620" s="100">
        <v>619</v>
      </c>
      <c r="AI620" s="131">
        <f t="shared" ca="1" si="472"/>
        <v>65007</v>
      </c>
      <c r="AJ620" s="102">
        <f t="shared" si="473"/>
        <v>0</v>
      </c>
      <c r="AK620" s="102">
        <f t="shared" si="474"/>
        <v>0</v>
      </c>
      <c r="AL620" s="102">
        <f t="shared" si="475"/>
        <v>0</v>
      </c>
      <c r="AM620" s="102">
        <f t="shared" si="476"/>
        <v>0</v>
      </c>
      <c r="AS620" s="530">
        <v>619</v>
      </c>
      <c r="AT620" s="531">
        <f t="shared" ca="1" si="446"/>
        <v>65007</v>
      </c>
      <c r="AU620" s="532">
        <f ca="1">IF(AU619=0,SUMIFS('Key Life Events'!$L$3:$L$28,'Key Life Events'!$H$3:$H$28,'Loan Amortization'!$AY$3,'Key Life Events'!$N$3:$N$28,'Loan Amortization'!AT620),AU619-AX619)</f>
        <v>0</v>
      </c>
      <c r="AV620" s="532">
        <f t="shared" ca="1" si="447"/>
        <v>0</v>
      </c>
      <c r="AW620" s="532">
        <f t="shared" ca="1" si="436"/>
        <v>0</v>
      </c>
      <c r="AX620" s="532">
        <f t="shared" ca="1" si="437"/>
        <v>0</v>
      </c>
      <c r="BC620" s="536">
        <f t="shared" ca="1" si="438"/>
        <v>2077</v>
      </c>
      <c r="BF620" s="530">
        <v>619</v>
      </c>
      <c r="BG620" s="531">
        <f t="shared" ca="1" si="448"/>
        <v>65007</v>
      </c>
      <c r="BH620" s="532">
        <f ca="1">IF(BH619=0,SUMIFS('Key Life Events'!$L$3:$L$28,'Key Life Events'!$H$3:$H$28,'Loan Amortization'!$BL$3,'Key Life Events'!$N$3:$N$28,'Loan Amortization'!BG620),BH619-BK619)</f>
        <v>0</v>
      </c>
      <c r="BI620" s="532">
        <f t="shared" ca="1" si="449"/>
        <v>0</v>
      </c>
      <c r="BJ620" s="532">
        <f t="shared" ca="1" si="450"/>
        <v>0</v>
      </c>
      <c r="BK620" s="532">
        <f t="shared" ca="1" si="439"/>
        <v>0</v>
      </c>
      <c r="BP620" s="536">
        <f t="shared" ca="1" si="440"/>
        <v>2077</v>
      </c>
      <c r="BS620" s="530">
        <v>619</v>
      </c>
      <c r="BT620" s="531">
        <f t="shared" ca="1" si="451"/>
        <v>65007</v>
      </c>
      <c r="BU620" s="532">
        <f ca="1">IF(BU619=0,SUMIFS('Key Life Events'!$L$3:$L$28,'Key Life Events'!$H$3:$H$28,'Loan Amortization'!$BY$3,'Key Life Events'!$N$3:$N$28,'Loan Amortization'!BT620),BU619-BX619)</f>
        <v>0</v>
      </c>
      <c r="BV620" s="532">
        <f t="shared" ca="1" si="456"/>
        <v>0</v>
      </c>
      <c r="BW620" s="532">
        <f t="shared" ca="1" si="452"/>
        <v>0</v>
      </c>
      <c r="BX620" s="532">
        <f t="shared" ca="1" si="441"/>
        <v>0</v>
      </c>
      <c r="CC620" s="536">
        <f t="shared" ca="1" si="442"/>
        <v>2077</v>
      </c>
      <c r="CF620" s="530">
        <v>619</v>
      </c>
      <c r="CG620" s="531">
        <f t="shared" ca="1" si="453"/>
        <v>65007</v>
      </c>
      <c r="CH620" s="532">
        <f ca="1">IF(CH619=0,SUMIFS('Key Life Events'!$L$3:$L$28,'Key Life Events'!$H$3:$H$28,'Loan Amortization'!$CL$3,'Key Life Events'!$N$3:$N$28,'Loan Amortization'!CG620),CH619-CK619)</f>
        <v>0</v>
      </c>
      <c r="CI620" s="532">
        <f t="shared" ca="1" si="454"/>
        <v>0</v>
      </c>
      <c r="CJ620" s="532">
        <f t="shared" ca="1" si="455"/>
        <v>0</v>
      </c>
      <c r="CK620" s="532">
        <f t="shared" ca="1" si="443"/>
        <v>0</v>
      </c>
      <c r="CP620" s="536">
        <f t="shared" ca="1" si="444"/>
        <v>2077</v>
      </c>
      <c r="CS620" s="100">
        <f t="shared" si="433"/>
        <v>619</v>
      </c>
      <c r="CT620" s="102">
        <f t="shared" ca="1" si="434"/>
        <v>0</v>
      </c>
      <c r="CU620" s="102">
        <f t="shared" ca="1" si="435"/>
        <v>0</v>
      </c>
      <c r="CV620" s="511">
        <f t="shared" ca="1" si="445"/>
        <v>2077</v>
      </c>
    </row>
    <row r="621" spans="1:100" x14ac:dyDescent="0.3">
      <c r="A621" s="100">
        <v>620</v>
      </c>
      <c r="B621" s="131">
        <f t="shared" si="457"/>
        <v>18016</v>
      </c>
      <c r="C621" s="102">
        <f t="shared" si="458"/>
        <v>0</v>
      </c>
      <c r="D621" s="102">
        <f t="shared" si="459"/>
        <v>0</v>
      </c>
      <c r="E621" s="102">
        <f t="shared" si="460"/>
        <v>0</v>
      </c>
      <c r="F621" s="102">
        <f t="shared" si="461"/>
        <v>0</v>
      </c>
      <c r="L621" s="100">
        <v>620</v>
      </c>
      <c r="M621" s="131">
        <f t="shared" ca="1" si="462"/>
        <v>65038</v>
      </c>
      <c r="N621" s="102">
        <f t="shared" si="463"/>
        <v>0</v>
      </c>
      <c r="O621" s="102">
        <f t="shared" si="464"/>
        <v>0</v>
      </c>
      <c r="P621" s="102">
        <f t="shared" si="465"/>
        <v>0</v>
      </c>
      <c r="Q621" s="102">
        <f t="shared" si="466"/>
        <v>0</v>
      </c>
      <c r="W621" s="100">
        <v>620</v>
      </c>
      <c r="X621" s="131">
        <f t="shared" ca="1" si="467"/>
        <v>65038</v>
      </c>
      <c r="Y621" s="102">
        <f t="shared" si="468"/>
        <v>0</v>
      </c>
      <c r="Z621" s="102">
        <f t="shared" si="469"/>
        <v>0</v>
      </c>
      <c r="AA621" s="102">
        <f t="shared" si="470"/>
        <v>0</v>
      </c>
      <c r="AB621" s="102">
        <f t="shared" si="471"/>
        <v>0</v>
      </c>
      <c r="AH621" s="100">
        <v>620</v>
      </c>
      <c r="AI621" s="131">
        <f t="shared" ca="1" si="472"/>
        <v>65038</v>
      </c>
      <c r="AJ621" s="102">
        <f t="shared" si="473"/>
        <v>0</v>
      </c>
      <c r="AK621" s="102">
        <f t="shared" si="474"/>
        <v>0</v>
      </c>
      <c r="AL621" s="102">
        <f t="shared" si="475"/>
        <v>0</v>
      </c>
      <c r="AM621" s="102">
        <f t="shared" si="476"/>
        <v>0</v>
      </c>
      <c r="AS621" s="530">
        <v>620</v>
      </c>
      <c r="AT621" s="531">
        <f t="shared" ca="1" si="446"/>
        <v>65038</v>
      </c>
      <c r="AU621" s="532">
        <f ca="1">IF(AU620=0,SUMIFS('Key Life Events'!$L$3:$L$28,'Key Life Events'!$H$3:$H$28,'Loan Amortization'!$AY$3,'Key Life Events'!$N$3:$N$28,'Loan Amortization'!AT621),AU620-AX620)</f>
        <v>0</v>
      </c>
      <c r="AV621" s="532">
        <f t="shared" ca="1" si="447"/>
        <v>0</v>
      </c>
      <c r="AW621" s="532">
        <f t="shared" ca="1" si="436"/>
        <v>0</v>
      </c>
      <c r="AX621" s="532">
        <f t="shared" ca="1" si="437"/>
        <v>0</v>
      </c>
      <c r="BC621" s="536">
        <f t="shared" ca="1" si="438"/>
        <v>2078</v>
      </c>
      <c r="BF621" s="530">
        <v>620</v>
      </c>
      <c r="BG621" s="531">
        <f t="shared" ca="1" si="448"/>
        <v>65038</v>
      </c>
      <c r="BH621" s="532">
        <f ca="1">IF(BH620=0,SUMIFS('Key Life Events'!$L$3:$L$28,'Key Life Events'!$H$3:$H$28,'Loan Amortization'!$BL$3,'Key Life Events'!$N$3:$N$28,'Loan Amortization'!BG621),BH620-BK620)</f>
        <v>0</v>
      </c>
      <c r="BI621" s="532">
        <f t="shared" ca="1" si="449"/>
        <v>0</v>
      </c>
      <c r="BJ621" s="532">
        <f t="shared" ca="1" si="450"/>
        <v>0</v>
      </c>
      <c r="BK621" s="532">
        <f t="shared" ca="1" si="439"/>
        <v>0</v>
      </c>
      <c r="BP621" s="536">
        <f t="shared" ca="1" si="440"/>
        <v>2078</v>
      </c>
      <c r="BS621" s="530">
        <v>620</v>
      </c>
      <c r="BT621" s="531">
        <f t="shared" ca="1" si="451"/>
        <v>65038</v>
      </c>
      <c r="BU621" s="532">
        <f ca="1">IF(BU620=0,SUMIFS('Key Life Events'!$L$3:$L$28,'Key Life Events'!$H$3:$H$28,'Loan Amortization'!$BY$3,'Key Life Events'!$N$3:$N$28,'Loan Amortization'!BT621),BU620-BX620)</f>
        <v>0</v>
      </c>
      <c r="BV621" s="532">
        <f t="shared" ca="1" si="456"/>
        <v>0</v>
      </c>
      <c r="BW621" s="532">
        <f t="shared" ca="1" si="452"/>
        <v>0</v>
      </c>
      <c r="BX621" s="532">
        <f t="shared" ca="1" si="441"/>
        <v>0</v>
      </c>
      <c r="CC621" s="536">
        <f t="shared" ca="1" si="442"/>
        <v>2078</v>
      </c>
      <c r="CF621" s="530">
        <v>620</v>
      </c>
      <c r="CG621" s="531">
        <f t="shared" ca="1" si="453"/>
        <v>65038</v>
      </c>
      <c r="CH621" s="532">
        <f ca="1">IF(CH620=0,SUMIFS('Key Life Events'!$L$3:$L$28,'Key Life Events'!$H$3:$H$28,'Loan Amortization'!$CL$3,'Key Life Events'!$N$3:$N$28,'Loan Amortization'!CG621),CH620-CK620)</f>
        <v>0</v>
      </c>
      <c r="CI621" s="532">
        <f t="shared" ca="1" si="454"/>
        <v>0</v>
      </c>
      <c r="CJ621" s="532">
        <f t="shared" ca="1" si="455"/>
        <v>0</v>
      </c>
      <c r="CK621" s="532">
        <f t="shared" ca="1" si="443"/>
        <v>0</v>
      </c>
      <c r="CP621" s="536">
        <f t="shared" ca="1" si="444"/>
        <v>2078</v>
      </c>
      <c r="CS621" s="100">
        <f t="shared" si="433"/>
        <v>620</v>
      </c>
      <c r="CT621" s="102">
        <f t="shared" ca="1" si="434"/>
        <v>0</v>
      </c>
      <c r="CU621" s="102">
        <f t="shared" ca="1" si="435"/>
        <v>0</v>
      </c>
      <c r="CV621" s="511">
        <f t="shared" ca="1" si="445"/>
        <v>2078</v>
      </c>
    </row>
    <row r="622" spans="1:100" x14ac:dyDescent="0.3">
      <c r="A622" s="100">
        <v>621</v>
      </c>
      <c r="B622" s="131">
        <f t="shared" si="457"/>
        <v>18046</v>
      </c>
      <c r="C622" s="102">
        <f t="shared" si="458"/>
        <v>0</v>
      </c>
      <c r="D622" s="102">
        <f t="shared" si="459"/>
        <v>0</v>
      </c>
      <c r="E622" s="102">
        <f t="shared" si="460"/>
        <v>0</v>
      </c>
      <c r="F622" s="102">
        <f t="shared" si="461"/>
        <v>0</v>
      </c>
      <c r="L622" s="100">
        <v>621</v>
      </c>
      <c r="M622" s="131">
        <f t="shared" ca="1" si="462"/>
        <v>65069</v>
      </c>
      <c r="N622" s="102">
        <f t="shared" si="463"/>
        <v>0</v>
      </c>
      <c r="O622" s="102">
        <f t="shared" si="464"/>
        <v>0</v>
      </c>
      <c r="P622" s="102">
        <f t="shared" si="465"/>
        <v>0</v>
      </c>
      <c r="Q622" s="102">
        <f t="shared" si="466"/>
        <v>0</v>
      </c>
      <c r="W622" s="100">
        <v>621</v>
      </c>
      <c r="X622" s="131">
        <f t="shared" ca="1" si="467"/>
        <v>65069</v>
      </c>
      <c r="Y622" s="102">
        <f t="shared" si="468"/>
        <v>0</v>
      </c>
      <c r="Z622" s="102">
        <f t="shared" si="469"/>
        <v>0</v>
      </c>
      <c r="AA622" s="102">
        <f t="shared" si="470"/>
        <v>0</v>
      </c>
      <c r="AB622" s="102">
        <f t="shared" si="471"/>
        <v>0</v>
      </c>
      <c r="AH622" s="100">
        <v>621</v>
      </c>
      <c r="AI622" s="131">
        <f t="shared" ca="1" si="472"/>
        <v>65069</v>
      </c>
      <c r="AJ622" s="102">
        <f t="shared" si="473"/>
        <v>0</v>
      </c>
      <c r="AK622" s="102">
        <f t="shared" si="474"/>
        <v>0</v>
      </c>
      <c r="AL622" s="102">
        <f t="shared" si="475"/>
        <v>0</v>
      </c>
      <c r="AM622" s="102">
        <f t="shared" si="476"/>
        <v>0</v>
      </c>
      <c r="AS622" s="530">
        <v>621</v>
      </c>
      <c r="AT622" s="531">
        <f t="shared" ca="1" si="446"/>
        <v>65069</v>
      </c>
      <c r="AU622" s="532">
        <f ca="1">IF(AU621=0,SUMIFS('Key Life Events'!$L$3:$L$28,'Key Life Events'!$H$3:$H$28,'Loan Amortization'!$AY$3,'Key Life Events'!$N$3:$N$28,'Loan Amortization'!AT622),AU621-AX621)</f>
        <v>0</v>
      </c>
      <c r="AV622" s="532">
        <f t="shared" ca="1" si="447"/>
        <v>0</v>
      </c>
      <c r="AW622" s="532">
        <f t="shared" ca="1" si="436"/>
        <v>0</v>
      </c>
      <c r="AX622" s="532">
        <f t="shared" ca="1" si="437"/>
        <v>0</v>
      </c>
      <c r="BC622" s="536">
        <f t="shared" ca="1" si="438"/>
        <v>2078</v>
      </c>
      <c r="BF622" s="530">
        <v>621</v>
      </c>
      <c r="BG622" s="531">
        <f t="shared" ca="1" si="448"/>
        <v>65069</v>
      </c>
      <c r="BH622" s="532">
        <f ca="1">IF(BH621=0,SUMIFS('Key Life Events'!$L$3:$L$28,'Key Life Events'!$H$3:$H$28,'Loan Amortization'!$BL$3,'Key Life Events'!$N$3:$N$28,'Loan Amortization'!BG622),BH621-BK621)</f>
        <v>0</v>
      </c>
      <c r="BI622" s="532">
        <f t="shared" ca="1" si="449"/>
        <v>0</v>
      </c>
      <c r="BJ622" s="532">
        <f t="shared" ca="1" si="450"/>
        <v>0</v>
      </c>
      <c r="BK622" s="532">
        <f t="shared" ca="1" si="439"/>
        <v>0</v>
      </c>
      <c r="BP622" s="536">
        <f t="shared" ca="1" si="440"/>
        <v>2078</v>
      </c>
      <c r="BS622" s="530">
        <v>621</v>
      </c>
      <c r="BT622" s="531">
        <f t="shared" ca="1" si="451"/>
        <v>65069</v>
      </c>
      <c r="BU622" s="532">
        <f ca="1">IF(BU621=0,SUMIFS('Key Life Events'!$L$3:$L$28,'Key Life Events'!$H$3:$H$28,'Loan Amortization'!$BY$3,'Key Life Events'!$N$3:$N$28,'Loan Amortization'!BT622),BU621-BX621)</f>
        <v>0</v>
      </c>
      <c r="BV622" s="532">
        <f t="shared" ca="1" si="456"/>
        <v>0</v>
      </c>
      <c r="BW622" s="532">
        <f t="shared" ca="1" si="452"/>
        <v>0</v>
      </c>
      <c r="BX622" s="532">
        <f t="shared" ca="1" si="441"/>
        <v>0</v>
      </c>
      <c r="CC622" s="536">
        <f t="shared" ca="1" si="442"/>
        <v>2078</v>
      </c>
      <c r="CF622" s="530">
        <v>621</v>
      </c>
      <c r="CG622" s="531">
        <f t="shared" ca="1" si="453"/>
        <v>65069</v>
      </c>
      <c r="CH622" s="532">
        <f ca="1">IF(CH621=0,SUMIFS('Key Life Events'!$L$3:$L$28,'Key Life Events'!$H$3:$H$28,'Loan Amortization'!$CL$3,'Key Life Events'!$N$3:$N$28,'Loan Amortization'!CG622),CH621-CK621)</f>
        <v>0</v>
      </c>
      <c r="CI622" s="532">
        <f t="shared" ca="1" si="454"/>
        <v>0</v>
      </c>
      <c r="CJ622" s="532">
        <f t="shared" ca="1" si="455"/>
        <v>0</v>
      </c>
      <c r="CK622" s="532">
        <f t="shared" ca="1" si="443"/>
        <v>0</v>
      </c>
      <c r="CP622" s="536">
        <f t="shared" ca="1" si="444"/>
        <v>2078</v>
      </c>
      <c r="CS622" s="100">
        <f t="shared" si="433"/>
        <v>621</v>
      </c>
      <c r="CT622" s="102">
        <f t="shared" ca="1" si="434"/>
        <v>0</v>
      </c>
      <c r="CU622" s="102">
        <f t="shared" ca="1" si="435"/>
        <v>0</v>
      </c>
      <c r="CV622" s="511">
        <f t="shared" ca="1" si="445"/>
        <v>2078</v>
      </c>
    </row>
    <row r="623" spans="1:100" x14ac:dyDescent="0.3">
      <c r="A623" s="100">
        <v>622</v>
      </c>
      <c r="B623" s="131">
        <f t="shared" si="457"/>
        <v>18077</v>
      </c>
      <c r="C623" s="102">
        <f t="shared" si="458"/>
        <v>0</v>
      </c>
      <c r="D623" s="102">
        <f t="shared" si="459"/>
        <v>0</v>
      </c>
      <c r="E623" s="102">
        <f t="shared" si="460"/>
        <v>0</v>
      </c>
      <c r="F623" s="102">
        <f t="shared" si="461"/>
        <v>0</v>
      </c>
      <c r="L623" s="100">
        <v>622</v>
      </c>
      <c r="M623" s="131">
        <f t="shared" ca="1" si="462"/>
        <v>65097</v>
      </c>
      <c r="N623" s="102">
        <f t="shared" si="463"/>
        <v>0</v>
      </c>
      <c r="O623" s="102">
        <f t="shared" si="464"/>
        <v>0</v>
      </c>
      <c r="P623" s="102">
        <f t="shared" si="465"/>
        <v>0</v>
      </c>
      <c r="Q623" s="102">
        <f t="shared" si="466"/>
        <v>0</v>
      </c>
      <c r="W623" s="100">
        <v>622</v>
      </c>
      <c r="X623" s="131">
        <f t="shared" ca="1" si="467"/>
        <v>65097</v>
      </c>
      <c r="Y623" s="102">
        <f t="shared" si="468"/>
        <v>0</v>
      </c>
      <c r="Z623" s="102">
        <f t="shared" si="469"/>
        <v>0</v>
      </c>
      <c r="AA623" s="102">
        <f t="shared" si="470"/>
        <v>0</v>
      </c>
      <c r="AB623" s="102">
        <f t="shared" si="471"/>
        <v>0</v>
      </c>
      <c r="AH623" s="100">
        <v>622</v>
      </c>
      <c r="AI623" s="131">
        <f t="shared" ca="1" si="472"/>
        <v>65097</v>
      </c>
      <c r="AJ623" s="102">
        <f t="shared" si="473"/>
        <v>0</v>
      </c>
      <c r="AK623" s="102">
        <f t="shared" si="474"/>
        <v>0</v>
      </c>
      <c r="AL623" s="102">
        <f t="shared" si="475"/>
        <v>0</v>
      </c>
      <c r="AM623" s="102">
        <f t="shared" si="476"/>
        <v>0</v>
      </c>
      <c r="AS623" s="530">
        <v>622</v>
      </c>
      <c r="AT623" s="531">
        <f t="shared" ca="1" si="446"/>
        <v>65097</v>
      </c>
      <c r="AU623" s="532">
        <f ca="1">IF(AU622=0,SUMIFS('Key Life Events'!$L$3:$L$28,'Key Life Events'!$H$3:$H$28,'Loan Amortization'!$AY$3,'Key Life Events'!$N$3:$N$28,'Loan Amortization'!AT623),AU622-AX622)</f>
        <v>0</v>
      </c>
      <c r="AV623" s="532">
        <f t="shared" ca="1" si="447"/>
        <v>0</v>
      </c>
      <c r="AW623" s="532">
        <f t="shared" ca="1" si="436"/>
        <v>0</v>
      </c>
      <c r="AX623" s="532">
        <f t="shared" ca="1" si="437"/>
        <v>0</v>
      </c>
      <c r="BC623" s="536">
        <f t="shared" ca="1" si="438"/>
        <v>2078</v>
      </c>
      <c r="BF623" s="530">
        <v>622</v>
      </c>
      <c r="BG623" s="531">
        <f t="shared" ca="1" si="448"/>
        <v>65097</v>
      </c>
      <c r="BH623" s="532">
        <f ca="1">IF(BH622=0,SUMIFS('Key Life Events'!$L$3:$L$28,'Key Life Events'!$H$3:$H$28,'Loan Amortization'!$BL$3,'Key Life Events'!$N$3:$N$28,'Loan Amortization'!BG623),BH622-BK622)</f>
        <v>0</v>
      </c>
      <c r="BI623" s="532">
        <f t="shared" ca="1" si="449"/>
        <v>0</v>
      </c>
      <c r="BJ623" s="532">
        <f t="shared" ca="1" si="450"/>
        <v>0</v>
      </c>
      <c r="BK623" s="532">
        <f t="shared" ca="1" si="439"/>
        <v>0</v>
      </c>
      <c r="BP623" s="536">
        <f t="shared" ca="1" si="440"/>
        <v>2078</v>
      </c>
      <c r="BS623" s="530">
        <v>622</v>
      </c>
      <c r="BT623" s="531">
        <f t="shared" ca="1" si="451"/>
        <v>65097</v>
      </c>
      <c r="BU623" s="532">
        <f ca="1">IF(BU622=0,SUMIFS('Key Life Events'!$L$3:$L$28,'Key Life Events'!$H$3:$H$28,'Loan Amortization'!$BY$3,'Key Life Events'!$N$3:$N$28,'Loan Amortization'!BT623),BU622-BX622)</f>
        <v>0</v>
      </c>
      <c r="BV623" s="532">
        <f t="shared" ca="1" si="456"/>
        <v>0</v>
      </c>
      <c r="BW623" s="532">
        <f t="shared" ca="1" si="452"/>
        <v>0</v>
      </c>
      <c r="BX623" s="532">
        <f t="shared" ca="1" si="441"/>
        <v>0</v>
      </c>
      <c r="CC623" s="536">
        <f t="shared" ca="1" si="442"/>
        <v>2078</v>
      </c>
      <c r="CF623" s="530">
        <v>622</v>
      </c>
      <c r="CG623" s="531">
        <f t="shared" ca="1" si="453"/>
        <v>65097</v>
      </c>
      <c r="CH623" s="532">
        <f ca="1">IF(CH622=0,SUMIFS('Key Life Events'!$L$3:$L$28,'Key Life Events'!$H$3:$H$28,'Loan Amortization'!$CL$3,'Key Life Events'!$N$3:$N$28,'Loan Amortization'!CG623),CH622-CK622)</f>
        <v>0</v>
      </c>
      <c r="CI623" s="532">
        <f t="shared" ca="1" si="454"/>
        <v>0</v>
      </c>
      <c r="CJ623" s="532">
        <f t="shared" ca="1" si="455"/>
        <v>0</v>
      </c>
      <c r="CK623" s="532">
        <f t="shared" ca="1" si="443"/>
        <v>0</v>
      </c>
      <c r="CP623" s="536">
        <f t="shared" ca="1" si="444"/>
        <v>2078</v>
      </c>
      <c r="CS623" s="100">
        <f t="shared" si="433"/>
        <v>622</v>
      </c>
      <c r="CT623" s="102">
        <f t="shared" ca="1" si="434"/>
        <v>0</v>
      </c>
      <c r="CU623" s="102">
        <f t="shared" ca="1" si="435"/>
        <v>0</v>
      </c>
      <c r="CV623" s="511">
        <f t="shared" ca="1" si="445"/>
        <v>2078</v>
      </c>
    </row>
    <row r="624" spans="1:100" x14ac:dyDescent="0.3">
      <c r="A624" s="100">
        <v>623</v>
      </c>
      <c r="B624" s="131">
        <f t="shared" si="457"/>
        <v>18107</v>
      </c>
      <c r="C624" s="102">
        <f t="shared" si="458"/>
        <v>0</v>
      </c>
      <c r="D624" s="102">
        <f t="shared" si="459"/>
        <v>0</v>
      </c>
      <c r="E624" s="102">
        <f t="shared" si="460"/>
        <v>0</v>
      </c>
      <c r="F624" s="102">
        <f t="shared" si="461"/>
        <v>0</v>
      </c>
      <c r="L624" s="100">
        <v>623</v>
      </c>
      <c r="M624" s="131">
        <f t="shared" ca="1" si="462"/>
        <v>65128</v>
      </c>
      <c r="N624" s="102">
        <f t="shared" si="463"/>
        <v>0</v>
      </c>
      <c r="O624" s="102">
        <f t="shared" si="464"/>
        <v>0</v>
      </c>
      <c r="P624" s="102">
        <f t="shared" si="465"/>
        <v>0</v>
      </c>
      <c r="Q624" s="102">
        <f t="shared" si="466"/>
        <v>0</v>
      </c>
      <c r="W624" s="100">
        <v>623</v>
      </c>
      <c r="X624" s="131">
        <f t="shared" ca="1" si="467"/>
        <v>65128</v>
      </c>
      <c r="Y624" s="102">
        <f t="shared" si="468"/>
        <v>0</v>
      </c>
      <c r="Z624" s="102">
        <f t="shared" si="469"/>
        <v>0</v>
      </c>
      <c r="AA624" s="102">
        <f t="shared" si="470"/>
        <v>0</v>
      </c>
      <c r="AB624" s="102">
        <f t="shared" si="471"/>
        <v>0</v>
      </c>
      <c r="AH624" s="100">
        <v>623</v>
      </c>
      <c r="AI624" s="131">
        <f t="shared" ca="1" si="472"/>
        <v>65128</v>
      </c>
      <c r="AJ624" s="102">
        <f t="shared" si="473"/>
        <v>0</v>
      </c>
      <c r="AK624" s="102">
        <f t="shared" si="474"/>
        <v>0</v>
      </c>
      <c r="AL624" s="102">
        <f t="shared" si="475"/>
        <v>0</v>
      </c>
      <c r="AM624" s="102">
        <f t="shared" si="476"/>
        <v>0</v>
      </c>
      <c r="AS624" s="530">
        <v>623</v>
      </c>
      <c r="AT624" s="531">
        <f t="shared" ca="1" si="446"/>
        <v>65128</v>
      </c>
      <c r="AU624" s="532">
        <f ca="1">IF(AU623=0,SUMIFS('Key Life Events'!$L$3:$L$28,'Key Life Events'!$H$3:$H$28,'Loan Amortization'!$AY$3,'Key Life Events'!$N$3:$N$28,'Loan Amortization'!AT624),AU623-AX623)</f>
        <v>0</v>
      </c>
      <c r="AV624" s="532">
        <f t="shared" ca="1" si="447"/>
        <v>0</v>
      </c>
      <c r="AW624" s="532">
        <f t="shared" ca="1" si="436"/>
        <v>0</v>
      </c>
      <c r="AX624" s="532">
        <f t="shared" ca="1" si="437"/>
        <v>0</v>
      </c>
      <c r="BC624" s="536">
        <f t="shared" ca="1" si="438"/>
        <v>2078</v>
      </c>
      <c r="BF624" s="530">
        <v>623</v>
      </c>
      <c r="BG624" s="531">
        <f t="shared" ca="1" si="448"/>
        <v>65128</v>
      </c>
      <c r="BH624" s="532">
        <f ca="1">IF(BH623=0,SUMIFS('Key Life Events'!$L$3:$L$28,'Key Life Events'!$H$3:$H$28,'Loan Amortization'!$BL$3,'Key Life Events'!$N$3:$N$28,'Loan Amortization'!BG624),BH623-BK623)</f>
        <v>0</v>
      </c>
      <c r="BI624" s="532">
        <f t="shared" ca="1" si="449"/>
        <v>0</v>
      </c>
      <c r="BJ624" s="532">
        <f t="shared" ca="1" si="450"/>
        <v>0</v>
      </c>
      <c r="BK624" s="532">
        <f t="shared" ca="1" si="439"/>
        <v>0</v>
      </c>
      <c r="BP624" s="536">
        <f t="shared" ca="1" si="440"/>
        <v>2078</v>
      </c>
      <c r="BS624" s="530">
        <v>623</v>
      </c>
      <c r="BT624" s="531">
        <f t="shared" ca="1" si="451"/>
        <v>65128</v>
      </c>
      <c r="BU624" s="532">
        <f ca="1">IF(BU623=0,SUMIFS('Key Life Events'!$L$3:$L$28,'Key Life Events'!$H$3:$H$28,'Loan Amortization'!$BY$3,'Key Life Events'!$N$3:$N$28,'Loan Amortization'!BT624),BU623-BX623)</f>
        <v>0</v>
      </c>
      <c r="BV624" s="532">
        <f t="shared" ca="1" si="456"/>
        <v>0</v>
      </c>
      <c r="BW624" s="532">
        <f t="shared" ca="1" si="452"/>
        <v>0</v>
      </c>
      <c r="BX624" s="532">
        <f t="shared" ca="1" si="441"/>
        <v>0</v>
      </c>
      <c r="CC624" s="536">
        <f t="shared" ca="1" si="442"/>
        <v>2078</v>
      </c>
      <c r="CF624" s="530">
        <v>623</v>
      </c>
      <c r="CG624" s="531">
        <f t="shared" ca="1" si="453"/>
        <v>65128</v>
      </c>
      <c r="CH624" s="532">
        <f ca="1">IF(CH623=0,SUMIFS('Key Life Events'!$L$3:$L$28,'Key Life Events'!$H$3:$H$28,'Loan Amortization'!$CL$3,'Key Life Events'!$N$3:$N$28,'Loan Amortization'!CG624),CH623-CK623)</f>
        <v>0</v>
      </c>
      <c r="CI624" s="532">
        <f t="shared" ca="1" si="454"/>
        <v>0</v>
      </c>
      <c r="CJ624" s="532">
        <f t="shared" ca="1" si="455"/>
        <v>0</v>
      </c>
      <c r="CK624" s="532">
        <f t="shared" ca="1" si="443"/>
        <v>0</v>
      </c>
      <c r="CP624" s="536">
        <f t="shared" ca="1" si="444"/>
        <v>2078</v>
      </c>
      <c r="CS624" s="100">
        <f t="shared" si="433"/>
        <v>623</v>
      </c>
      <c r="CT624" s="102">
        <f t="shared" ca="1" si="434"/>
        <v>0</v>
      </c>
      <c r="CU624" s="102">
        <f t="shared" ca="1" si="435"/>
        <v>0</v>
      </c>
      <c r="CV624" s="511">
        <f t="shared" ca="1" si="445"/>
        <v>2078</v>
      </c>
    </row>
    <row r="625" spans="1:100" x14ac:dyDescent="0.3">
      <c r="A625" s="100">
        <v>624</v>
      </c>
      <c r="B625" s="131">
        <f t="shared" si="457"/>
        <v>18138</v>
      </c>
      <c r="C625" s="102">
        <f t="shared" si="458"/>
        <v>0</v>
      </c>
      <c r="D625" s="102">
        <f t="shared" si="459"/>
        <v>0</v>
      </c>
      <c r="E625" s="102">
        <f t="shared" si="460"/>
        <v>0</v>
      </c>
      <c r="F625" s="102">
        <f t="shared" si="461"/>
        <v>0</v>
      </c>
      <c r="L625" s="100">
        <v>624</v>
      </c>
      <c r="M625" s="131">
        <f t="shared" ca="1" si="462"/>
        <v>65158</v>
      </c>
      <c r="N625" s="102">
        <f t="shared" si="463"/>
        <v>0</v>
      </c>
      <c r="O625" s="102">
        <f t="shared" si="464"/>
        <v>0</v>
      </c>
      <c r="P625" s="102">
        <f t="shared" si="465"/>
        <v>0</v>
      </c>
      <c r="Q625" s="102">
        <f t="shared" si="466"/>
        <v>0</v>
      </c>
      <c r="W625" s="100">
        <v>624</v>
      </c>
      <c r="X625" s="131">
        <f t="shared" ca="1" si="467"/>
        <v>65158</v>
      </c>
      <c r="Y625" s="102">
        <f t="shared" si="468"/>
        <v>0</v>
      </c>
      <c r="Z625" s="102">
        <f t="shared" si="469"/>
        <v>0</v>
      </c>
      <c r="AA625" s="102">
        <f t="shared" si="470"/>
        <v>0</v>
      </c>
      <c r="AB625" s="102">
        <f t="shared" si="471"/>
        <v>0</v>
      </c>
      <c r="AH625" s="100">
        <v>624</v>
      </c>
      <c r="AI625" s="131">
        <f t="shared" ca="1" si="472"/>
        <v>65158</v>
      </c>
      <c r="AJ625" s="102">
        <f t="shared" si="473"/>
        <v>0</v>
      </c>
      <c r="AK625" s="102">
        <f t="shared" si="474"/>
        <v>0</v>
      </c>
      <c r="AL625" s="102">
        <f t="shared" si="475"/>
        <v>0</v>
      </c>
      <c r="AM625" s="102">
        <f t="shared" si="476"/>
        <v>0</v>
      </c>
      <c r="AS625" s="530">
        <v>624</v>
      </c>
      <c r="AT625" s="531">
        <f t="shared" ca="1" si="446"/>
        <v>65158</v>
      </c>
      <c r="AU625" s="532">
        <f ca="1">IF(AU624=0,SUMIFS('Key Life Events'!$L$3:$L$28,'Key Life Events'!$H$3:$H$28,'Loan Amortization'!$AY$3,'Key Life Events'!$N$3:$N$28,'Loan Amortization'!AT625),AU624-AX624)</f>
        <v>0</v>
      </c>
      <c r="AV625" s="532">
        <f t="shared" ca="1" si="447"/>
        <v>0</v>
      </c>
      <c r="AW625" s="532">
        <f t="shared" ca="1" si="436"/>
        <v>0</v>
      </c>
      <c r="AX625" s="532">
        <f t="shared" ca="1" si="437"/>
        <v>0</v>
      </c>
      <c r="BC625" s="536">
        <f t="shared" ca="1" si="438"/>
        <v>2078</v>
      </c>
      <c r="BF625" s="530">
        <v>624</v>
      </c>
      <c r="BG625" s="531">
        <f t="shared" ca="1" si="448"/>
        <v>65158</v>
      </c>
      <c r="BH625" s="532">
        <f ca="1">IF(BH624=0,SUMIFS('Key Life Events'!$L$3:$L$28,'Key Life Events'!$H$3:$H$28,'Loan Amortization'!$BL$3,'Key Life Events'!$N$3:$N$28,'Loan Amortization'!BG625),BH624-BK624)</f>
        <v>0</v>
      </c>
      <c r="BI625" s="532">
        <f t="shared" ca="1" si="449"/>
        <v>0</v>
      </c>
      <c r="BJ625" s="532">
        <f t="shared" ca="1" si="450"/>
        <v>0</v>
      </c>
      <c r="BK625" s="532">
        <f t="shared" ca="1" si="439"/>
        <v>0</v>
      </c>
      <c r="BP625" s="536">
        <f t="shared" ca="1" si="440"/>
        <v>2078</v>
      </c>
      <c r="BS625" s="530">
        <v>624</v>
      </c>
      <c r="BT625" s="531">
        <f t="shared" ca="1" si="451"/>
        <v>65158</v>
      </c>
      <c r="BU625" s="532">
        <f ca="1">IF(BU624=0,SUMIFS('Key Life Events'!$L$3:$L$28,'Key Life Events'!$H$3:$H$28,'Loan Amortization'!$BY$3,'Key Life Events'!$N$3:$N$28,'Loan Amortization'!BT625),BU624-BX624)</f>
        <v>0</v>
      </c>
      <c r="BV625" s="532">
        <f t="shared" ca="1" si="456"/>
        <v>0</v>
      </c>
      <c r="BW625" s="532">
        <f t="shared" ca="1" si="452"/>
        <v>0</v>
      </c>
      <c r="BX625" s="532">
        <f t="shared" ca="1" si="441"/>
        <v>0</v>
      </c>
      <c r="CC625" s="536">
        <f t="shared" ca="1" si="442"/>
        <v>2078</v>
      </c>
      <c r="CF625" s="530">
        <v>624</v>
      </c>
      <c r="CG625" s="531">
        <f t="shared" ca="1" si="453"/>
        <v>65158</v>
      </c>
      <c r="CH625" s="532">
        <f ca="1">IF(CH624=0,SUMIFS('Key Life Events'!$L$3:$L$28,'Key Life Events'!$H$3:$H$28,'Loan Amortization'!$CL$3,'Key Life Events'!$N$3:$N$28,'Loan Amortization'!CG625),CH624-CK624)</f>
        <v>0</v>
      </c>
      <c r="CI625" s="532">
        <f t="shared" ca="1" si="454"/>
        <v>0</v>
      </c>
      <c r="CJ625" s="532">
        <f t="shared" ca="1" si="455"/>
        <v>0</v>
      </c>
      <c r="CK625" s="532">
        <f t="shared" ca="1" si="443"/>
        <v>0</v>
      </c>
      <c r="CP625" s="536">
        <f t="shared" ca="1" si="444"/>
        <v>2078</v>
      </c>
      <c r="CS625" s="100">
        <f t="shared" si="433"/>
        <v>624</v>
      </c>
      <c r="CT625" s="102">
        <f t="shared" ca="1" si="434"/>
        <v>0</v>
      </c>
      <c r="CU625" s="102">
        <f t="shared" ca="1" si="435"/>
        <v>0</v>
      </c>
      <c r="CV625" s="511">
        <f t="shared" ca="1" si="445"/>
        <v>2078</v>
      </c>
    </row>
    <row r="626" spans="1:100" x14ac:dyDescent="0.3">
      <c r="A626" s="100">
        <v>625</v>
      </c>
      <c r="B626" s="131">
        <f t="shared" si="457"/>
        <v>18169</v>
      </c>
      <c r="C626" s="102">
        <f t="shared" si="458"/>
        <v>0</v>
      </c>
      <c r="D626" s="102">
        <f t="shared" si="459"/>
        <v>0</v>
      </c>
      <c r="E626" s="102">
        <f t="shared" si="460"/>
        <v>0</v>
      </c>
      <c r="F626" s="102">
        <f t="shared" si="461"/>
        <v>0</v>
      </c>
      <c r="L626" s="100">
        <v>625</v>
      </c>
      <c r="M626" s="131">
        <f t="shared" ca="1" si="462"/>
        <v>65189</v>
      </c>
      <c r="N626" s="102">
        <f t="shared" si="463"/>
        <v>0</v>
      </c>
      <c r="O626" s="102">
        <f t="shared" si="464"/>
        <v>0</v>
      </c>
      <c r="P626" s="102">
        <f t="shared" si="465"/>
        <v>0</v>
      </c>
      <c r="Q626" s="102">
        <f t="shared" si="466"/>
        <v>0</v>
      </c>
      <c r="W626" s="100">
        <v>625</v>
      </c>
      <c r="X626" s="131">
        <f t="shared" ca="1" si="467"/>
        <v>65189</v>
      </c>
      <c r="Y626" s="102">
        <f t="shared" si="468"/>
        <v>0</v>
      </c>
      <c r="Z626" s="102">
        <f t="shared" si="469"/>
        <v>0</v>
      </c>
      <c r="AA626" s="102">
        <f t="shared" si="470"/>
        <v>0</v>
      </c>
      <c r="AB626" s="102">
        <f t="shared" si="471"/>
        <v>0</v>
      </c>
      <c r="AH626" s="100">
        <v>625</v>
      </c>
      <c r="AI626" s="131">
        <f t="shared" ca="1" si="472"/>
        <v>65189</v>
      </c>
      <c r="AJ626" s="102">
        <f t="shared" si="473"/>
        <v>0</v>
      </c>
      <c r="AK626" s="102">
        <f t="shared" si="474"/>
        <v>0</v>
      </c>
      <c r="AL626" s="102">
        <f t="shared" si="475"/>
        <v>0</v>
      </c>
      <c r="AM626" s="102">
        <f t="shared" si="476"/>
        <v>0</v>
      </c>
      <c r="AS626" s="530">
        <v>625</v>
      </c>
      <c r="AT626" s="531">
        <f t="shared" ca="1" si="446"/>
        <v>65189</v>
      </c>
      <c r="AU626" s="532">
        <f ca="1">IF(AU625=0,SUMIFS('Key Life Events'!$L$3:$L$28,'Key Life Events'!$H$3:$H$28,'Loan Amortization'!$AY$3,'Key Life Events'!$N$3:$N$28,'Loan Amortization'!AT626),AU625-AX625)</f>
        <v>0</v>
      </c>
      <c r="AV626" s="532">
        <f t="shared" ca="1" si="447"/>
        <v>0</v>
      </c>
      <c r="AW626" s="532">
        <f t="shared" ca="1" si="436"/>
        <v>0</v>
      </c>
      <c r="AX626" s="532">
        <f t="shared" ca="1" si="437"/>
        <v>0</v>
      </c>
      <c r="BC626" s="536">
        <f t="shared" ca="1" si="438"/>
        <v>2078</v>
      </c>
      <c r="BF626" s="530">
        <v>625</v>
      </c>
      <c r="BG626" s="531">
        <f t="shared" ca="1" si="448"/>
        <v>65189</v>
      </c>
      <c r="BH626" s="532">
        <f ca="1">IF(BH625=0,SUMIFS('Key Life Events'!$L$3:$L$28,'Key Life Events'!$H$3:$H$28,'Loan Amortization'!$BL$3,'Key Life Events'!$N$3:$N$28,'Loan Amortization'!BG626),BH625-BK625)</f>
        <v>0</v>
      </c>
      <c r="BI626" s="532">
        <f t="shared" ca="1" si="449"/>
        <v>0</v>
      </c>
      <c r="BJ626" s="532">
        <f t="shared" ca="1" si="450"/>
        <v>0</v>
      </c>
      <c r="BK626" s="532">
        <f t="shared" ca="1" si="439"/>
        <v>0</v>
      </c>
      <c r="BP626" s="536">
        <f t="shared" ca="1" si="440"/>
        <v>2078</v>
      </c>
      <c r="BS626" s="530">
        <v>625</v>
      </c>
      <c r="BT626" s="531">
        <f t="shared" ca="1" si="451"/>
        <v>65189</v>
      </c>
      <c r="BU626" s="532">
        <f ca="1">IF(BU625=0,SUMIFS('Key Life Events'!$L$3:$L$28,'Key Life Events'!$H$3:$H$28,'Loan Amortization'!$BY$3,'Key Life Events'!$N$3:$N$28,'Loan Amortization'!BT626),BU625-BX625)</f>
        <v>0</v>
      </c>
      <c r="BV626" s="532">
        <f t="shared" ca="1" si="456"/>
        <v>0</v>
      </c>
      <c r="BW626" s="532">
        <f t="shared" ca="1" si="452"/>
        <v>0</v>
      </c>
      <c r="BX626" s="532">
        <f t="shared" ca="1" si="441"/>
        <v>0</v>
      </c>
      <c r="CC626" s="536">
        <f t="shared" ca="1" si="442"/>
        <v>2078</v>
      </c>
      <c r="CF626" s="530">
        <v>625</v>
      </c>
      <c r="CG626" s="531">
        <f t="shared" ca="1" si="453"/>
        <v>65189</v>
      </c>
      <c r="CH626" s="532">
        <f ca="1">IF(CH625=0,SUMIFS('Key Life Events'!$L$3:$L$28,'Key Life Events'!$H$3:$H$28,'Loan Amortization'!$CL$3,'Key Life Events'!$N$3:$N$28,'Loan Amortization'!CG626),CH625-CK625)</f>
        <v>0</v>
      </c>
      <c r="CI626" s="532">
        <f t="shared" ca="1" si="454"/>
        <v>0</v>
      </c>
      <c r="CJ626" s="532">
        <f t="shared" ca="1" si="455"/>
        <v>0</v>
      </c>
      <c r="CK626" s="532">
        <f t="shared" ca="1" si="443"/>
        <v>0</v>
      </c>
      <c r="CP626" s="536">
        <f t="shared" ca="1" si="444"/>
        <v>2078</v>
      </c>
      <c r="CS626" s="100">
        <f t="shared" si="433"/>
        <v>625</v>
      </c>
      <c r="CT626" s="102">
        <f t="shared" ca="1" si="434"/>
        <v>0</v>
      </c>
      <c r="CU626" s="102">
        <f t="shared" ca="1" si="435"/>
        <v>0</v>
      </c>
      <c r="CV626" s="511">
        <f t="shared" ca="1" si="445"/>
        <v>2078</v>
      </c>
    </row>
    <row r="627" spans="1:100" x14ac:dyDescent="0.3">
      <c r="A627" s="100">
        <v>626</v>
      </c>
      <c r="B627" s="131">
        <f t="shared" si="457"/>
        <v>18199</v>
      </c>
      <c r="C627" s="102">
        <f t="shared" si="458"/>
        <v>0</v>
      </c>
      <c r="D627" s="102">
        <f t="shared" si="459"/>
        <v>0</v>
      </c>
      <c r="E627" s="102">
        <f t="shared" si="460"/>
        <v>0</v>
      </c>
      <c r="F627" s="102">
        <f t="shared" si="461"/>
        <v>0</v>
      </c>
      <c r="L627" s="100">
        <v>626</v>
      </c>
      <c r="M627" s="131">
        <f t="shared" ca="1" si="462"/>
        <v>65219</v>
      </c>
      <c r="N627" s="102">
        <f t="shared" si="463"/>
        <v>0</v>
      </c>
      <c r="O627" s="102">
        <f t="shared" si="464"/>
        <v>0</v>
      </c>
      <c r="P627" s="102">
        <f t="shared" si="465"/>
        <v>0</v>
      </c>
      <c r="Q627" s="102">
        <f t="shared" si="466"/>
        <v>0</v>
      </c>
      <c r="W627" s="100">
        <v>626</v>
      </c>
      <c r="X627" s="131">
        <f t="shared" ca="1" si="467"/>
        <v>65219</v>
      </c>
      <c r="Y627" s="102">
        <f t="shared" si="468"/>
        <v>0</v>
      </c>
      <c r="Z627" s="102">
        <f t="shared" si="469"/>
        <v>0</v>
      </c>
      <c r="AA627" s="102">
        <f t="shared" si="470"/>
        <v>0</v>
      </c>
      <c r="AB627" s="102">
        <f t="shared" si="471"/>
        <v>0</v>
      </c>
      <c r="AH627" s="100">
        <v>626</v>
      </c>
      <c r="AI627" s="131">
        <f t="shared" ca="1" si="472"/>
        <v>65219</v>
      </c>
      <c r="AJ627" s="102">
        <f t="shared" si="473"/>
        <v>0</v>
      </c>
      <c r="AK627" s="102">
        <f t="shared" si="474"/>
        <v>0</v>
      </c>
      <c r="AL627" s="102">
        <f t="shared" si="475"/>
        <v>0</v>
      </c>
      <c r="AM627" s="102">
        <f t="shared" si="476"/>
        <v>0</v>
      </c>
      <c r="AS627" s="530">
        <v>626</v>
      </c>
      <c r="AT627" s="531">
        <f t="shared" ca="1" si="446"/>
        <v>65219</v>
      </c>
      <c r="AU627" s="532">
        <f ca="1">IF(AU626=0,SUMIFS('Key Life Events'!$L$3:$L$28,'Key Life Events'!$H$3:$H$28,'Loan Amortization'!$AY$3,'Key Life Events'!$N$3:$N$28,'Loan Amortization'!AT627),AU626-AX626)</f>
        <v>0</v>
      </c>
      <c r="AV627" s="532">
        <f t="shared" ca="1" si="447"/>
        <v>0</v>
      </c>
      <c r="AW627" s="532">
        <f t="shared" ca="1" si="436"/>
        <v>0</v>
      </c>
      <c r="AX627" s="532">
        <f t="shared" ca="1" si="437"/>
        <v>0</v>
      </c>
      <c r="BC627" s="536">
        <f t="shared" ca="1" si="438"/>
        <v>2078</v>
      </c>
      <c r="BF627" s="530">
        <v>626</v>
      </c>
      <c r="BG627" s="531">
        <f t="shared" ca="1" si="448"/>
        <v>65219</v>
      </c>
      <c r="BH627" s="532">
        <f ca="1">IF(BH626=0,SUMIFS('Key Life Events'!$L$3:$L$28,'Key Life Events'!$H$3:$H$28,'Loan Amortization'!$BL$3,'Key Life Events'!$N$3:$N$28,'Loan Amortization'!BG627),BH626-BK626)</f>
        <v>0</v>
      </c>
      <c r="BI627" s="532">
        <f t="shared" ca="1" si="449"/>
        <v>0</v>
      </c>
      <c r="BJ627" s="532">
        <f t="shared" ca="1" si="450"/>
        <v>0</v>
      </c>
      <c r="BK627" s="532">
        <f t="shared" ca="1" si="439"/>
        <v>0</v>
      </c>
      <c r="BP627" s="536">
        <f t="shared" ca="1" si="440"/>
        <v>2078</v>
      </c>
      <c r="BS627" s="530">
        <v>626</v>
      </c>
      <c r="BT627" s="531">
        <f t="shared" ca="1" si="451"/>
        <v>65219</v>
      </c>
      <c r="BU627" s="532">
        <f ca="1">IF(BU626=0,SUMIFS('Key Life Events'!$L$3:$L$28,'Key Life Events'!$H$3:$H$28,'Loan Amortization'!$BY$3,'Key Life Events'!$N$3:$N$28,'Loan Amortization'!BT627),BU626-BX626)</f>
        <v>0</v>
      </c>
      <c r="BV627" s="532">
        <f t="shared" ca="1" si="456"/>
        <v>0</v>
      </c>
      <c r="BW627" s="532">
        <f t="shared" ca="1" si="452"/>
        <v>0</v>
      </c>
      <c r="BX627" s="532">
        <f t="shared" ca="1" si="441"/>
        <v>0</v>
      </c>
      <c r="CC627" s="536">
        <f t="shared" ca="1" si="442"/>
        <v>2078</v>
      </c>
      <c r="CF627" s="530">
        <v>626</v>
      </c>
      <c r="CG627" s="531">
        <f t="shared" ca="1" si="453"/>
        <v>65219</v>
      </c>
      <c r="CH627" s="532">
        <f ca="1">IF(CH626=0,SUMIFS('Key Life Events'!$L$3:$L$28,'Key Life Events'!$H$3:$H$28,'Loan Amortization'!$CL$3,'Key Life Events'!$N$3:$N$28,'Loan Amortization'!CG627),CH626-CK626)</f>
        <v>0</v>
      </c>
      <c r="CI627" s="532">
        <f t="shared" ca="1" si="454"/>
        <v>0</v>
      </c>
      <c r="CJ627" s="532">
        <f t="shared" ca="1" si="455"/>
        <v>0</v>
      </c>
      <c r="CK627" s="532">
        <f t="shared" ca="1" si="443"/>
        <v>0</v>
      </c>
      <c r="CP627" s="536">
        <f t="shared" ca="1" si="444"/>
        <v>2078</v>
      </c>
      <c r="CS627" s="100">
        <f t="shared" si="433"/>
        <v>626</v>
      </c>
      <c r="CT627" s="102">
        <f t="shared" ca="1" si="434"/>
        <v>0</v>
      </c>
      <c r="CU627" s="102">
        <f t="shared" ca="1" si="435"/>
        <v>0</v>
      </c>
      <c r="CV627" s="511">
        <f t="shared" ca="1" si="445"/>
        <v>2078</v>
      </c>
    </row>
    <row r="628" spans="1:100" x14ac:dyDescent="0.3">
      <c r="A628" s="100">
        <v>627</v>
      </c>
      <c r="B628" s="131">
        <f t="shared" si="457"/>
        <v>18230</v>
      </c>
      <c r="C628" s="102">
        <f t="shared" si="458"/>
        <v>0</v>
      </c>
      <c r="D628" s="102">
        <f t="shared" si="459"/>
        <v>0</v>
      </c>
      <c r="E628" s="102">
        <f t="shared" si="460"/>
        <v>0</v>
      </c>
      <c r="F628" s="102">
        <f t="shared" si="461"/>
        <v>0</v>
      </c>
      <c r="L628" s="100">
        <v>627</v>
      </c>
      <c r="M628" s="131">
        <f t="shared" ca="1" si="462"/>
        <v>65250</v>
      </c>
      <c r="N628" s="102">
        <f t="shared" si="463"/>
        <v>0</v>
      </c>
      <c r="O628" s="102">
        <f t="shared" si="464"/>
        <v>0</v>
      </c>
      <c r="P628" s="102">
        <f t="shared" si="465"/>
        <v>0</v>
      </c>
      <c r="Q628" s="102">
        <f t="shared" si="466"/>
        <v>0</v>
      </c>
      <c r="W628" s="100">
        <v>627</v>
      </c>
      <c r="X628" s="131">
        <f t="shared" ca="1" si="467"/>
        <v>65250</v>
      </c>
      <c r="Y628" s="102">
        <f t="shared" si="468"/>
        <v>0</v>
      </c>
      <c r="Z628" s="102">
        <f t="shared" si="469"/>
        <v>0</v>
      </c>
      <c r="AA628" s="102">
        <f t="shared" si="470"/>
        <v>0</v>
      </c>
      <c r="AB628" s="102">
        <f t="shared" si="471"/>
        <v>0</v>
      </c>
      <c r="AH628" s="100">
        <v>627</v>
      </c>
      <c r="AI628" s="131">
        <f t="shared" ca="1" si="472"/>
        <v>65250</v>
      </c>
      <c r="AJ628" s="102">
        <f t="shared" si="473"/>
        <v>0</v>
      </c>
      <c r="AK628" s="102">
        <f t="shared" si="474"/>
        <v>0</v>
      </c>
      <c r="AL628" s="102">
        <f t="shared" si="475"/>
        <v>0</v>
      </c>
      <c r="AM628" s="102">
        <f t="shared" si="476"/>
        <v>0</v>
      </c>
      <c r="AS628" s="530">
        <v>627</v>
      </c>
      <c r="AT628" s="531">
        <f t="shared" ca="1" si="446"/>
        <v>65250</v>
      </c>
      <c r="AU628" s="532">
        <f ca="1">IF(AU627=0,SUMIFS('Key Life Events'!$L$3:$L$28,'Key Life Events'!$H$3:$H$28,'Loan Amortization'!$AY$3,'Key Life Events'!$N$3:$N$28,'Loan Amortization'!AT628),AU627-AX627)</f>
        <v>0</v>
      </c>
      <c r="AV628" s="532">
        <f t="shared" ca="1" si="447"/>
        <v>0</v>
      </c>
      <c r="AW628" s="532">
        <f t="shared" ca="1" si="436"/>
        <v>0</v>
      </c>
      <c r="AX628" s="532">
        <f t="shared" ca="1" si="437"/>
        <v>0</v>
      </c>
      <c r="BC628" s="536">
        <f t="shared" ca="1" si="438"/>
        <v>2078</v>
      </c>
      <c r="BF628" s="530">
        <v>627</v>
      </c>
      <c r="BG628" s="531">
        <f t="shared" ca="1" si="448"/>
        <v>65250</v>
      </c>
      <c r="BH628" s="532">
        <f ca="1">IF(BH627=0,SUMIFS('Key Life Events'!$L$3:$L$28,'Key Life Events'!$H$3:$H$28,'Loan Amortization'!$BL$3,'Key Life Events'!$N$3:$N$28,'Loan Amortization'!BG628),BH627-BK627)</f>
        <v>0</v>
      </c>
      <c r="BI628" s="532">
        <f t="shared" ca="1" si="449"/>
        <v>0</v>
      </c>
      <c r="BJ628" s="532">
        <f t="shared" ca="1" si="450"/>
        <v>0</v>
      </c>
      <c r="BK628" s="532">
        <f t="shared" ca="1" si="439"/>
        <v>0</v>
      </c>
      <c r="BP628" s="536">
        <f t="shared" ca="1" si="440"/>
        <v>2078</v>
      </c>
      <c r="BS628" s="530">
        <v>627</v>
      </c>
      <c r="BT628" s="531">
        <f t="shared" ca="1" si="451"/>
        <v>65250</v>
      </c>
      <c r="BU628" s="532">
        <f ca="1">IF(BU627=0,SUMIFS('Key Life Events'!$L$3:$L$28,'Key Life Events'!$H$3:$H$28,'Loan Amortization'!$BY$3,'Key Life Events'!$N$3:$N$28,'Loan Amortization'!BT628),BU627-BX627)</f>
        <v>0</v>
      </c>
      <c r="BV628" s="532">
        <f t="shared" ca="1" si="456"/>
        <v>0</v>
      </c>
      <c r="BW628" s="532">
        <f t="shared" ca="1" si="452"/>
        <v>0</v>
      </c>
      <c r="BX628" s="532">
        <f t="shared" ca="1" si="441"/>
        <v>0</v>
      </c>
      <c r="CC628" s="536">
        <f t="shared" ca="1" si="442"/>
        <v>2078</v>
      </c>
      <c r="CF628" s="530">
        <v>627</v>
      </c>
      <c r="CG628" s="531">
        <f t="shared" ca="1" si="453"/>
        <v>65250</v>
      </c>
      <c r="CH628" s="532">
        <f ca="1">IF(CH627=0,SUMIFS('Key Life Events'!$L$3:$L$28,'Key Life Events'!$H$3:$H$28,'Loan Amortization'!$CL$3,'Key Life Events'!$N$3:$N$28,'Loan Amortization'!CG628),CH627-CK627)</f>
        <v>0</v>
      </c>
      <c r="CI628" s="532">
        <f t="shared" ca="1" si="454"/>
        <v>0</v>
      </c>
      <c r="CJ628" s="532">
        <f t="shared" ca="1" si="455"/>
        <v>0</v>
      </c>
      <c r="CK628" s="532">
        <f t="shared" ca="1" si="443"/>
        <v>0</v>
      </c>
      <c r="CP628" s="536">
        <f t="shared" ca="1" si="444"/>
        <v>2078</v>
      </c>
      <c r="CS628" s="100">
        <f t="shared" ref="CS628:CS674" si="477">AH628</f>
        <v>627</v>
      </c>
      <c r="CT628" s="102">
        <f t="shared" ref="CT628:CT674" ca="1" si="478">C628+Y628+AJ628+N628+AU628+BH628+BU628+CH628</f>
        <v>0</v>
      </c>
      <c r="CU628" s="102">
        <f t="shared" ref="CU628:CU674" ca="1" si="479">D628+Z628+AK628+O628+AV628+BI628+BV628+CI628</f>
        <v>0</v>
      </c>
      <c r="CV628" s="511">
        <f t="shared" ca="1" si="445"/>
        <v>2078</v>
      </c>
    </row>
    <row r="629" spans="1:100" x14ac:dyDescent="0.3">
      <c r="A629" s="100">
        <v>628</v>
      </c>
      <c r="B629" s="131">
        <f t="shared" si="457"/>
        <v>18260</v>
      </c>
      <c r="C629" s="102">
        <f t="shared" si="458"/>
        <v>0</v>
      </c>
      <c r="D629" s="102">
        <f t="shared" si="459"/>
        <v>0</v>
      </c>
      <c r="E629" s="102">
        <f t="shared" si="460"/>
        <v>0</v>
      </c>
      <c r="F629" s="102">
        <f t="shared" si="461"/>
        <v>0</v>
      </c>
      <c r="L629" s="100">
        <v>628</v>
      </c>
      <c r="M629" s="131">
        <f t="shared" ca="1" si="462"/>
        <v>65281</v>
      </c>
      <c r="N629" s="102">
        <f t="shared" si="463"/>
        <v>0</v>
      </c>
      <c r="O629" s="102">
        <f t="shared" si="464"/>
        <v>0</v>
      </c>
      <c r="P629" s="102">
        <f t="shared" si="465"/>
        <v>0</v>
      </c>
      <c r="Q629" s="102">
        <f t="shared" si="466"/>
        <v>0</v>
      </c>
      <c r="W629" s="100">
        <v>628</v>
      </c>
      <c r="X629" s="131">
        <f t="shared" ca="1" si="467"/>
        <v>65281</v>
      </c>
      <c r="Y629" s="102">
        <f t="shared" si="468"/>
        <v>0</v>
      </c>
      <c r="Z629" s="102">
        <f t="shared" si="469"/>
        <v>0</v>
      </c>
      <c r="AA629" s="102">
        <f t="shared" si="470"/>
        <v>0</v>
      </c>
      <c r="AB629" s="102">
        <f t="shared" si="471"/>
        <v>0</v>
      </c>
      <c r="AH629" s="100">
        <v>628</v>
      </c>
      <c r="AI629" s="131">
        <f t="shared" ca="1" si="472"/>
        <v>65281</v>
      </c>
      <c r="AJ629" s="102">
        <f t="shared" si="473"/>
        <v>0</v>
      </c>
      <c r="AK629" s="102">
        <f t="shared" si="474"/>
        <v>0</v>
      </c>
      <c r="AL629" s="102">
        <f t="shared" si="475"/>
        <v>0</v>
      </c>
      <c r="AM629" s="102">
        <f t="shared" si="476"/>
        <v>0</v>
      </c>
      <c r="AS629" s="530">
        <v>628</v>
      </c>
      <c r="AT629" s="531">
        <f t="shared" ca="1" si="446"/>
        <v>65281</v>
      </c>
      <c r="AU629" s="532">
        <f ca="1">IF(AU628=0,SUMIFS('Key Life Events'!$L$3:$L$28,'Key Life Events'!$H$3:$H$28,'Loan Amortization'!$AY$3,'Key Life Events'!$N$3:$N$28,'Loan Amortization'!AT629),AU628-AX628)</f>
        <v>0</v>
      </c>
      <c r="AV629" s="532">
        <f t="shared" ca="1" si="447"/>
        <v>0</v>
      </c>
      <c r="AW629" s="532">
        <f t="shared" ca="1" si="436"/>
        <v>0</v>
      </c>
      <c r="AX629" s="532">
        <f t="shared" ca="1" si="437"/>
        <v>0</v>
      </c>
      <c r="BC629" s="536">
        <f t="shared" ca="1" si="438"/>
        <v>2078</v>
      </c>
      <c r="BF629" s="530">
        <v>628</v>
      </c>
      <c r="BG629" s="531">
        <f t="shared" ca="1" si="448"/>
        <v>65281</v>
      </c>
      <c r="BH629" s="532">
        <f ca="1">IF(BH628=0,SUMIFS('Key Life Events'!$L$3:$L$28,'Key Life Events'!$H$3:$H$28,'Loan Amortization'!$BL$3,'Key Life Events'!$N$3:$N$28,'Loan Amortization'!BG629),BH628-BK628)</f>
        <v>0</v>
      </c>
      <c r="BI629" s="532">
        <f t="shared" ca="1" si="449"/>
        <v>0</v>
      </c>
      <c r="BJ629" s="532">
        <f t="shared" ca="1" si="450"/>
        <v>0</v>
      </c>
      <c r="BK629" s="532">
        <f t="shared" ca="1" si="439"/>
        <v>0</v>
      </c>
      <c r="BP629" s="536">
        <f t="shared" ca="1" si="440"/>
        <v>2078</v>
      </c>
      <c r="BS629" s="530">
        <v>628</v>
      </c>
      <c r="BT629" s="531">
        <f t="shared" ca="1" si="451"/>
        <v>65281</v>
      </c>
      <c r="BU629" s="532">
        <f ca="1">IF(BU628=0,SUMIFS('Key Life Events'!$L$3:$L$28,'Key Life Events'!$H$3:$H$28,'Loan Amortization'!$BY$3,'Key Life Events'!$N$3:$N$28,'Loan Amortization'!BT629),BU628-BX628)</f>
        <v>0</v>
      </c>
      <c r="BV629" s="532">
        <f t="shared" ca="1" si="456"/>
        <v>0</v>
      </c>
      <c r="BW629" s="532">
        <f t="shared" ca="1" si="452"/>
        <v>0</v>
      </c>
      <c r="BX629" s="532">
        <f t="shared" ca="1" si="441"/>
        <v>0</v>
      </c>
      <c r="CC629" s="536">
        <f t="shared" ca="1" si="442"/>
        <v>2078</v>
      </c>
      <c r="CF629" s="530">
        <v>628</v>
      </c>
      <c r="CG629" s="531">
        <f t="shared" ca="1" si="453"/>
        <v>65281</v>
      </c>
      <c r="CH629" s="532">
        <f ca="1">IF(CH628=0,SUMIFS('Key Life Events'!$L$3:$L$28,'Key Life Events'!$H$3:$H$28,'Loan Amortization'!$CL$3,'Key Life Events'!$N$3:$N$28,'Loan Amortization'!CG629),CH628-CK628)</f>
        <v>0</v>
      </c>
      <c r="CI629" s="532">
        <f t="shared" ca="1" si="454"/>
        <v>0</v>
      </c>
      <c r="CJ629" s="532">
        <f t="shared" ca="1" si="455"/>
        <v>0</v>
      </c>
      <c r="CK629" s="532">
        <f t="shared" ca="1" si="443"/>
        <v>0</v>
      </c>
      <c r="CP629" s="536">
        <f t="shared" ca="1" si="444"/>
        <v>2078</v>
      </c>
      <c r="CS629" s="100">
        <f t="shared" si="477"/>
        <v>628</v>
      </c>
      <c r="CT629" s="102">
        <f t="shared" ca="1" si="478"/>
        <v>0</v>
      </c>
      <c r="CU629" s="102">
        <f t="shared" ca="1" si="479"/>
        <v>0</v>
      </c>
      <c r="CV629" s="511">
        <f t="shared" ca="1" si="445"/>
        <v>2078</v>
      </c>
    </row>
    <row r="630" spans="1:100" x14ac:dyDescent="0.3">
      <c r="A630" s="100">
        <v>629</v>
      </c>
      <c r="B630" s="131">
        <f t="shared" si="457"/>
        <v>18291</v>
      </c>
      <c r="C630" s="102">
        <f t="shared" si="458"/>
        <v>0</v>
      </c>
      <c r="D630" s="102">
        <f t="shared" si="459"/>
        <v>0</v>
      </c>
      <c r="E630" s="102">
        <f t="shared" si="460"/>
        <v>0</v>
      </c>
      <c r="F630" s="102">
        <f t="shared" si="461"/>
        <v>0</v>
      </c>
      <c r="L630" s="100">
        <v>629</v>
      </c>
      <c r="M630" s="131">
        <f t="shared" ca="1" si="462"/>
        <v>65311</v>
      </c>
      <c r="N630" s="102">
        <f t="shared" si="463"/>
        <v>0</v>
      </c>
      <c r="O630" s="102">
        <f t="shared" si="464"/>
        <v>0</v>
      </c>
      <c r="P630" s="102">
        <f t="shared" si="465"/>
        <v>0</v>
      </c>
      <c r="Q630" s="102">
        <f t="shared" si="466"/>
        <v>0</v>
      </c>
      <c r="W630" s="100">
        <v>629</v>
      </c>
      <c r="X630" s="131">
        <f t="shared" ca="1" si="467"/>
        <v>65311</v>
      </c>
      <c r="Y630" s="102">
        <f t="shared" si="468"/>
        <v>0</v>
      </c>
      <c r="Z630" s="102">
        <f t="shared" si="469"/>
        <v>0</v>
      </c>
      <c r="AA630" s="102">
        <f t="shared" si="470"/>
        <v>0</v>
      </c>
      <c r="AB630" s="102">
        <f t="shared" si="471"/>
        <v>0</v>
      </c>
      <c r="AH630" s="100">
        <v>629</v>
      </c>
      <c r="AI630" s="131">
        <f t="shared" ca="1" si="472"/>
        <v>65311</v>
      </c>
      <c r="AJ630" s="102">
        <f t="shared" si="473"/>
        <v>0</v>
      </c>
      <c r="AK630" s="102">
        <f t="shared" si="474"/>
        <v>0</v>
      </c>
      <c r="AL630" s="102">
        <f t="shared" si="475"/>
        <v>0</v>
      </c>
      <c r="AM630" s="102">
        <f t="shared" si="476"/>
        <v>0</v>
      </c>
      <c r="AS630" s="530">
        <v>629</v>
      </c>
      <c r="AT630" s="531">
        <f t="shared" ca="1" si="446"/>
        <v>65311</v>
      </c>
      <c r="AU630" s="532">
        <f ca="1">IF(AU629=0,SUMIFS('Key Life Events'!$L$3:$L$28,'Key Life Events'!$H$3:$H$28,'Loan Amortization'!$AY$3,'Key Life Events'!$N$3:$N$28,'Loan Amortization'!AT630),AU629-AX629)</f>
        <v>0</v>
      </c>
      <c r="AV630" s="532">
        <f t="shared" ca="1" si="447"/>
        <v>0</v>
      </c>
      <c r="AW630" s="532">
        <f t="shared" ca="1" si="436"/>
        <v>0</v>
      </c>
      <c r="AX630" s="532">
        <f t="shared" ca="1" si="437"/>
        <v>0</v>
      </c>
      <c r="BC630" s="536">
        <f t="shared" ca="1" si="438"/>
        <v>2078</v>
      </c>
      <c r="BF630" s="530">
        <v>629</v>
      </c>
      <c r="BG630" s="531">
        <f t="shared" ca="1" si="448"/>
        <v>65311</v>
      </c>
      <c r="BH630" s="532">
        <f ca="1">IF(BH629=0,SUMIFS('Key Life Events'!$L$3:$L$28,'Key Life Events'!$H$3:$H$28,'Loan Amortization'!$BL$3,'Key Life Events'!$N$3:$N$28,'Loan Amortization'!BG630),BH629-BK629)</f>
        <v>0</v>
      </c>
      <c r="BI630" s="532">
        <f t="shared" ca="1" si="449"/>
        <v>0</v>
      </c>
      <c r="BJ630" s="532">
        <f t="shared" ca="1" si="450"/>
        <v>0</v>
      </c>
      <c r="BK630" s="532">
        <f t="shared" ca="1" si="439"/>
        <v>0</v>
      </c>
      <c r="BP630" s="536">
        <f t="shared" ca="1" si="440"/>
        <v>2078</v>
      </c>
      <c r="BS630" s="530">
        <v>629</v>
      </c>
      <c r="BT630" s="531">
        <f t="shared" ca="1" si="451"/>
        <v>65311</v>
      </c>
      <c r="BU630" s="532">
        <f ca="1">IF(BU629=0,SUMIFS('Key Life Events'!$L$3:$L$28,'Key Life Events'!$H$3:$H$28,'Loan Amortization'!$BY$3,'Key Life Events'!$N$3:$N$28,'Loan Amortization'!BT630),BU629-BX629)</f>
        <v>0</v>
      </c>
      <c r="BV630" s="532">
        <f t="shared" ca="1" si="456"/>
        <v>0</v>
      </c>
      <c r="BW630" s="532">
        <f t="shared" ca="1" si="452"/>
        <v>0</v>
      </c>
      <c r="BX630" s="532">
        <f t="shared" ca="1" si="441"/>
        <v>0</v>
      </c>
      <c r="CC630" s="536">
        <f t="shared" ca="1" si="442"/>
        <v>2078</v>
      </c>
      <c r="CF630" s="530">
        <v>629</v>
      </c>
      <c r="CG630" s="531">
        <f t="shared" ca="1" si="453"/>
        <v>65311</v>
      </c>
      <c r="CH630" s="532">
        <f ca="1">IF(CH629=0,SUMIFS('Key Life Events'!$L$3:$L$28,'Key Life Events'!$H$3:$H$28,'Loan Amortization'!$CL$3,'Key Life Events'!$N$3:$N$28,'Loan Amortization'!CG630),CH629-CK629)</f>
        <v>0</v>
      </c>
      <c r="CI630" s="532">
        <f t="shared" ca="1" si="454"/>
        <v>0</v>
      </c>
      <c r="CJ630" s="532">
        <f t="shared" ca="1" si="455"/>
        <v>0</v>
      </c>
      <c r="CK630" s="532">
        <f t="shared" ca="1" si="443"/>
        <v>0</v>
      </c>
      <c r="CP630" s="536">
        <f t="shared" ca="1" si="444"/>
        <v>2078</v>
      </c>
      <c r="CS630" s="100">
        <f t="shared" si="477"/>
        <v>629</v>
      </c>
      <c r="CT630" s="102">
        <f t="shared" ca="1" si="478"/>
        <v>0</v>
      </c>
      <c r="CU630" s="102">
        <f t="shared" ca="1" si="479"/>
        <v>0</v>
      </c>
      <c r="CV630" s="511">
        <f t="shared" ca="1" si="445"/>
        <v>2078</v>
      </c>
    </row>
    <row r="631" spans="1:100" x14ac:dyDescent="0.3">
      <c r="A631" s="100">
        <v>630</v>
      </c>
      <c r="B631" s="131">
        <f t="shared" si="457"/>
        <v>18322</v>
      </c>
      <c r="C631" s="102">
        <f t="shared" si="458"/>
        <v>0</v>
      </c>
      <c r="D631" s="102">
        <f t="shared" si="459"/>
        <v>0</v>
      </c>
      <c r="E631" s="102">
        <f t="shared" si="460"/>
        <v>0</v>
      </c>
      <c r="F631" s="102">
        <f t="shared" si="461"/>
        <v>0</v>
      </c>
      <c r="L631" s="100">
        <v>630</v>
      </c>
      <c r="M631" s="131">
        <f t="shared" ca="1" si="462"/>
        <v>65342</v>
      </c>
      <c r="N631" s="102">
        <f t="shared" si="463"/>
        <v>0</v>
      </c>
      <c r="O631" s="102">
        <f t="shared" si="464"/>
        <v>0</v>
      </c>
      <c r="P631" s="102">
        <f t="shared" si="465"/>
        <v>0</v>
      </c>
      <c r="Q631" s="102">
        <f t="shared" si="466"/>
        <v>0</v>
      </c>
      <c r="W631" s="100">
        <v>630</v>
      </c>
      <c r="X631" s="131">
        <f t="shared" ca="1" si="467"/>
        <v>65342</v>
      </c>
      <c r="Y631" s="102">
        <f t="shared" si="468"/>
        <v>0</v>
      </c>
      <c r="Z631" s="102">
        <f t="shared" si="469"/>
        <v>0</v>
      </c>
      <c r="AA631" s="102">
        <f t="shared" si="470"/>
        <v>0</v>
      </c>
      <c r="AB631" s="102">
        <f t="shared" si="471"/>
        <v>0</v>
      </c>
      <c r="AH631" s="100">
        <v>630</v>
      </c>
      <c r="AI631" s="131">
        <f t="shared" ca="1" si="472"/>
        <v>65342</v>
      </c>
      <c r="AJ631" s="102">
        <f t="shared" si="473"/>
        <v>0</v>
      </c>
      <c r="AK631" s="102">
        <f t="shared" si="474"/>
        <v>0</v>
      </c>
      <c r="AL631" s="102">
        <f t="shared" si="475"/>
        <v>0</v>
      </c>
      <c r="AM631" s="102">
        <f t="shared" si="476"/>
        <v>0</v>
      </c>
      <c r="AS631" s="530">
        <v>630</v>
      </c>
      <c r="AT631" s="531">
        <f t="shared" ca="1" si="446"/>
        <v>65342</v>
      </c>
      <c r="AU631" s="532">
        <f ca="1">IF(AU630=0,SUMIFS('Key Life Events'!$L$3:$L$28,'Key Life Events'!$H$3:$H$28,'Loan Amortization'!$AY$3,'Key Life Events'!$N$3:$N$28,'Loan Amortization'!AT631),AU630-AX630)</f>
        <v>0</v>
      </c>
      <c r="AV631" s="532">
        <f t="shared" ca="1" si="447"/>
        <v>0</v>
      </c>
      <c r="AW631" s="532">
        <f t="shared" ca="1" si="436"/>
        <v>0</v>
      </c>
      <c r="AX631" s="532">
        <f t="shared" ca="1" si="437"/>
        <v>0</v>
      </c>
      <c r="BC631" s="536">
        <f t="shared" ca="1" si="438"/>
        <v>2078</v>
      </c>
      <c r="BF631" s="530">
        <v>630</v>
      </c>
      <c r="BG631" s="531">
        <f t="shared" ca="1" si="448"/>
        <v>65342</v>
      </c>
      <c r="BH631" s="532">
        <f ca="1">IF(BH630=0,SUMIFS('Key Life Events'!$L$3:$L$28,'Key Life Events'!$H$3:$H$28,'Loan Amortization'!$BL$3,'Key Life Events'!$N$3:$N$28,'Loan Amortization'!BG631),BH630-BK630)</f>
        <v>0</v>
      </c>
      <c r="BI631" s="532">
        <f t="shared" ca="1" si="449"/>
        <v>0</v>
      </c>
      <c r="BJ631" s="532">
        <f t="shared" ca="1" si="450"/>
        <v>0</v>
      </c>
      <c r="BK631" s="532">
        <f t="shared" ca="1" si="439"/>
        <v>0</v>
      </c>
      <c r="BP631" s="536">
        <f t="shared" ca="1" si="440"/>
        <v>2078</v>
      </c>
      <c r="BS631" s="530">
        <v>630</v>
      </c>
      <c r="BT631" s="531">
        <f t="shared" ca="1" si="451"/>
        <v>65342</v>
      </c>
      <c r="BU631" s="532">
        <f ca="1">IF(BU630=0,SUMIFS('Key Life Events'!$L$3:$L$28,'Key Life Events'!$H$3:$H$28,'Loan Amortization'!$BY$3,'Key Life Events'!$N$3:$N$28,'Loan Amortization'!BT631),BU630-BX630)</f>
        <v>0</v>
      </c>
      <c r="BV631" s="532">
        <f t="shared" ca="1" si="456"/>
        <v>0</v>
      </c>
      <c r="BW631" s="532">
        <f t="shared" ca="1" si="452"/>
        <v>0</v>
      </c>
      <c r="BX631" s="532">
        <f t="shared" ca="1" si="441"/>
        <v>0</v>
      </c>
      <c r="CC631" s="536">
        <f t="shared" ca="1" si="442"/>
        <v>2078</v>
      </c>
      <c r="CF631" s="530">
        <v>630</v>
      </c>
      <c r="CG631" s="531">
        <f t="shared" ca="1" si="453"/>
        <v>65342</v>
      </c>
      <c r="CH631" s="532">
        <f ca="1">IF(CH630=0,SUMIFS('Key Life Events'!$L$3:$L$28,'Key Life Events'!$H$3:$H$28,'Loan Amortization'!$CL$3,'Key Life Events'!$N$3:$N$28,'Loan Amortization'!CG631),CH630-CK630)</f>
        <v>0</v>
      </c>
      <c r="CI631" s="532">
        <f t="shared" ca="1" si="454"/>
        <v>0</v>
      </c>
      <c r="CJ631" s="532">
        <f t="shared" ca="1" si="455"/>
        <v>0</v>
      </c>
      <c r="CK631" s="532">
        <f t="shared" ca="1" si="443"/>
        <v>0</v>
      </c>
      <c r="CP631" s="536">
        <f t="shared" ca="1" si="444"/>
        <v>2078</v>
      </c>
      <c r="CS631" s="100">
        <f t="shared" si="477"/>
        <v>630</v>
      </c>
      <c r="CT631" s="102">
        <f t="shared" ca="1" si="478"/>
        <v>0</v>
      </c>
      <c r="CU631" s="102">
        <f t="shared" ca="1" si="479"/>
        <v>0</v>
      </c>
      <c r="CV631" s="511">
        <f t="shared" ca="1" si="445"/>
        <v>2078</v>
      </c>
    </row>
    <row r="632" spans="1:100" x14ac:dyDescent="0.3">
      <c r="A632" s="100">
        <v>631</v>
      </c>
      <c r="B632" s="131">
        <f t="shared" si="457"/>
        <v>18350</v>
      </c>
      <c r="C632" s="102">
        <f t="shared" si="458"/>
        <v>0</v>
      </c>
      <c r="D632" s="102">
        <f t="shared" si="459"/>
        <v>0</v>
      </c>
      <c r="E632" s="102">
        <f t="shared" si="460"/>
        <v>0</v>
      </c>
      <c r="F632" s="102">
        <f t="shared" si="461"/>
        <v>0</v>
      </c>
      <c r="L632" s="100">
        <v>631</v>
      </c>
      <c r="M632" s="131">
        <f t="shared" ca="1" si="462"/>
        <v>65372</v>
      </c>
      <c r="N632" s="102">
        <f t="shared" si="463"/>
        <v>0</v>
      </c>
      <c r="O632" s="102">
        <f t="shared" si="464"/>
        <v>0</v>
      </c>
      <c r="P632" s="102">
        <f t="shared" si="465"/>
        <v>0</v>
      </c>
      <c r="Q632" s="102">
        <f t="shared" si="466"/>
        <v>0</v>
      </c>
      <c r="W632" s="100">
        <v>631</v>
      </c>
      <c r="X632" s="131">
        <f t="shared" ca="1" si="467"/>
        <v>65372</v>
      </c>
      <c r="Y632" s="102">
        <f t="shared" si="468"/>
        <v>0</v>
      </c>
      <c r="Z632" s="102">
        <f t="shared" si="469"/>
        <v>0</v>
      </c>
      <c r="AA632" s="102">
        <f t="shared" si="470"/>
        <v>0</v>
      </c>
      <c r="AB632" s="102">
        <f t="shared" si="471"/>
        <v>0</v>
      </c>
      <c r="AH632" s="100">
        <v>631</v>
      </c>
      <c r="AI632" s="131">
        <f t="shared" ca="1" si="472"/>
        <v>65372</v>
      </c>
      <c r="AJ632" s="102">
        <f t="shared" si="473"/>
        <v>0</v>
      </c>
      <c r="AK632" s="102">
        <f t="shared" si="474"/>
        <v>0</v>
      </c>
      <c r="AL632" s="102">
        <f t="shared" si="475"/>
        <v>0</v>
      </c>
      <c r="AM632" s="102">
        <f t="shared" si="476"/>
        <v>0</v>
      </c>
      <c r="AS632" s="530">
        <v>631</v>
      </c>
      <c r="AT632" s="531">
        <f t="shared" ca="1" si="446"/>
        <v>65372</v>
      </c>
      <c r="AU632" s="532">
        <f ca="1">IF(AU631=0,SUMIFS('Key Life Events'!$L$3:$L$28,'Key Life Events'!$H$3:$H$28,'Loan Amortization'!$AY$3,'Key Life Events'!$N$3:$N$28,'Loan Amortization'!AT632),AU631-AX631)</f>
        <v>0</v>
      </c>
      <c r="AV632" s="532">
        <f t="shared" ca="1" si="447"/>
        <v>0</v>
      </c>
      <c r="AW632" s="532">
        <f t="shared" ca="1" si="436"/>
        <v>0</v>
      </c>
      <c r="AX632" s="532">
        <f t="shared" ca="1" si="437"/>
        <v>0</v>
      </c>
      <c r="BC632" s="536">
        <f t="shared" ca="1" si="438"/>
        <v>2078</v>
      </c>
      <c r="BF632" s="530">
        <v>631</v>
      </c>
      <c r="BG632" s="531">
        <f t="shared" ca="1" si="448"/>
        <v>65372</v>
      </c>
      <c r="BH632" s="532">
        <f ca="1">IF(BH631=0,SUMIFS('Key Life Events'!$L$3:$L$28,'Key Life Events'!$H$3:$H$28,'Loan Amortization'!$BL$3,'Key Life Events'!$N$3:$N$28,'Loan Amortization'!BG632),BH631-BK631)</f>
        <v>0</v>
      </c>
      <c r="BI632" s="532">
        <f t="shared" ca="1" si="449"/>
        <v>0</v>
      </c>
      <c r="BJ632" s="532">
        <f t="shared" ca="1" si="450"/>
        <v>0</v>
      </c>
      <c r="BK632" s="532">
        <f t="shared" ca="1" si="439"/>
        <v>0</v>
      </c>
      <c r="BP632" s="536">
        <f t="shared" ca="1" si="440"/>
        <v>2078</v>
      </c>
      <c r="BS632" s="530">
        <v>631</v>
      </c>
      <c r="BT632" s="531">
        <f t="shared" ca="1" si="451"/>
        <v>65372</v>
      </c>
      <c r="BU632" s="532">
        <f ca="1">IF(BU631=0,SUMIFS('Key Life Events'!$L$3:$L$28,'Key Life Events'!$H$3:$H$28,'Loan Amortization'!$BY$3,'Key Life Events'!$N$3:$N$28,'Loan Amortization'!BT632),BU631-BX631)</f>
        <v>0</v>
      </c>
      <c r="BV632" s="532">
        <f t="shared" ca="1" si="456"/>
        <v>0</v>
      </c>
      <c r="BW632" s="532">
        <f t="shared" ca="1" si="452"/>
        <v>0</v>
      </c>
      <c r="BX632" s="532">
        <f t="shared" ca="1" si="441"/>
        <v>0</v>
      </c>
      <c r="CC632" s="536">
        <f t="shared" ca="1" si="442"/>
        <v>2078</v>
      </c>
      <c r="CF632" s="530">
        <v>631</v>
      </c>
      <c r="CG632" s="531">
        <f t="shared" ca="1" si="453"/>
        <v>65372</v>
      </c>
      <c r="CH632" s="532">
        <f ca="1">IF(CH631=0,SUMIFS('Key Life Events'!$L$3:$L$28,'Key Life Events'!$H$3:$H$28,'Loan Amortization'!$CL$3,'Key Life Events'!$N$3:$N$28,'Loan Amortization'!CG632),CH631-CK631)</f>
        <v>0</v>
      </c>
      <c r="CI632" s="532">
        <f t="shared" ca="1" si="454"/>
        <v>0</v>
      </c>
      <c r="CJ632" s="532">
        <f t="shared" ca="1" si="455"/>
        <v>0</v>
      </c>
      <c r="CK632" s="532">
        <f t="shared" ca="1" si="443"/>
        <v>0</v>
      </c>
      <c r="CP632" s="536">
        <f t="shared" ca="1" si="444"/>
        <v>2078</v>
      </c>
      <c r="CS632" s="100">
        <f t="shared" si="477"/>
        <v>631</v>
      </c>
      <c r="CT632" s="102">
        <f t="shared" ca="1" si="478"/>
        <v>0</v>
      </c>
      <c r="CU632" s="102">
        <f t="shared" ca="1" si="479"/>
        <v>0</v>
      </c>
      <c r="CV632" s="511">
        <f t="shared" ca="1" si="445"/>
        <v>2078</v>
      </c>
    </row>
    <row r="633" spans="1:100" x14ac:dyDescent="0.3">
      <c r="A633" s="100">
        <v>632</v>
      </c>
      <c r="B633" s="131">
        <f t="shared" si="457"/>
        <v>18381</v>
      </c>
      <c r="C633" s="102">
        <f t="shared" si="458"/>
        <v>0</v>
      </c>
      <c r="D633" s="102">
        <f t="shared" si="459"/>
        <v>0</v>
      </c>
      <c r="E633" s="102">
        <f t="shared" si="460"/>
        <v>0</v>
      </c>
      <c r="F633" s="102">
        <f t="shared" si="461"/>
        <v>0</v>
      </c>
      <c r="L633" s="100">
        <v>632</v>
      </c>
      <c r="M633" s="131">
        <f t="shared" ca="1" si="462"/>
        <v>65403</v>
      </c>
      <c r="N633" s="102">
        <f t="shared" si="463"/>
        <v>0</v>
      </c>
      <c r="O633" s="102">
        <f t="shared" si="464"/>
        <v>0</v>
      </c>
      <c r="P633" s="102">
        <f t="shared" si="465"/>
        <v>0</v>
      </c>
      <c r="Q633" s="102">
        <f t="shared" si="466"/>
        <v>0</v>
      </c>
      <c r="W633" s="100">
        <v>632</v>
      </c>
      <c r="X633" s="131">
        <f t="shared" ca="1" si="467"/>
        <v>65403</v>
      </c>
      <c r="Y633" s="102">
        <f t="shared" si="468"/>
        <v>0</v>
      </c>
      <c r="Z633" s="102">
        <f t="shared" si="469"/>
        <v>0</v>
      </c>
      <c r="AA633" s="102">
        <f t="shared" si="470"/>
        <v>0</v>
      </c>
      <c r="AB633" s="102">
        <f t="shared" si="471"/>
        <v>0</v>
      </c>
      <c r="AH633" s="100">
        <v>632</v>
      </c>
      <c r="AI633" s="131">
        <f t="shared" ca="1" si="472"/>
        <v>65403</v>
      </c>
      <c r="AJ633" s="102">
        <f t="shared" si="473"/>
        <v>0</v>
      </c>
      <c r="AK633" s="102">
        <f t="shared" si="474"/>
        <v>0</v>
      </c>
      <c r="AL633" s="102">
        <f t="shared" si="475"/>
        <v>0</v>
      </c>
      <c r="AM633" s="102">
        <f t="shared" si="476"/>
        <v>0</v>
      </c>
      <c r="AS633" s="530">
        <v>632</v>
      </c>
      <c r="AT633" s="531">
        <f t="shared" ca="1" si="446"/>
        <v>65403</v>
      </c>
      <c r="AU633" s="532">
        <f ca="1">IF(AU632=0,SUMIFS('Key Life Events'!$L$3:$L$28,'Key Life Events'!$H$3:$H$28,'Loan Amortization'!$AY$3,'Key Life Events'!$N$3:$N$28,'Loan Amortization'!AT633),AU632-AX632)</f>
        <v>0</v>
      </c>
      <c r="AV633" s="532">
        <f t="shared" ca="1" si="447"/>
        <v>0</v>
      </c>
      <c r="AW633" s="532">
        <f t="shared" ca="1" si="436"/>
        <v>0</v>
      </c>
      <c r="AX633" s="532">
        <f t="shared" ca="1" si="437"/>
        <v>0</v>
      </c>
      <c r="BC633" s="536">
        <f t="shared" ca="1" si="438"/>
        <v>2079</v>
      </c>
      <c r="BF633" s="530">
        <v>632</v>
      </c>
      <c r="BG633" s="531">
        <f t="shared" ca="1" si="448"/>
        <v>65403</v>
      </c>
      <c r="BH633" s="532">
        <f ca="1">IF(BH632=0,SUMIFS('Key Life Events'!$L$3:$L$28,'Key Life Events'!$H$3:$H$28,'Loan Amortization'!$BL$3,'Key Life Events'!$N$3:$N$28,'Loan Amortization'!BG633),BH632-BK632)</f>
        <v>0</v>
      </c>
      <c r="BI633" s="532">
        <f t="shared" ca="1" si="449"/>
        <v>0</v>
      </c>
      <c r="BJ633" s="532">
        <f t="shared" ca="1" si="450"/>
        <v>0</v>
      </c>
      <c r="BK633" s="532">
        <f t="shared" ca="1" si="439"/>
        <v>0</v>
      </c>
      <c r="BP633" s="536">
        <f t="shared" ca="1" si="440"/>
        <v>2079</v>
      </c>
      <c r="BS633" s="530">
        <v>632</v>
      </c>
      <c r="BT633" s="531">
        <f t="shared" ca="1" si="451"/>
        <v>65403</v>
      </c>
      <c r="BU633" s="532">
        <f ca="1">IF(BU632=0,SUMIFS('Key Life Events'!$L$3:$L$28,'Key Life Events'!$H$3:$H$28,'Loan Amortization'!$BY$3,'Key Life Events'!$N$3:$N$28,'Loan Amortization'!BT633),BU632-BX632)</f>
        <v>0</v>
      </c>
      <c r="BV633" s="532">
        <f t="shared" ca="1" si="456"/>
        <v>0</v>
      </c>
      <c r="BW633" s="532">
        <f t="shared" ca="1" si="452"/>
        <v>0</v>
      </c>
      <c r="BX633" s="532">
        <f t="shared" ca="1" si="441"/>
        <v>0</v>
      </c>
      <c r="CC633" s="536">
        <f t="shared" ca="1" si="442"/>
        <v>2079</v>
      </c>
      <c r="CF633" s="530">
        <v>632</v>
      </c>
      <c r="CG633" s="531">
        <f t="shared" ca="1" si="453"/>
        <v>65403</v>
      </c>
      <c r="CH633" s="532">
        <f ca="1">IF(CH632=0,SUMIFS('Key Life Events'!$L$3:$L$28,'Key Life Events'!$H$3:$H$28,'Loan Amortization'!$CL$3,'Key Life Events'!$N$3:$N$28,'Loan Amortization'!CG633),CH632-CK632)</f>
        <v>0</v>
      </c>
      <c r="CI633" s="532">
        <f t="shared" ca="1" si="454"/>
        <v>0</v>
      </c>
      <c r="CJ633" s="532">
        <f t="shared" ca="1" si="455"/>
        <v>0</v>
      </c>
      <c r="CK633" s="532">
        <f t="shared" ca="1" si="443"/>
        <v>0</v>
      </c>
      <c r="CP633" s="536">
        <f t="shared" ca="1" si="444"/>
        <v>2079</v>
      </c>
      <c r="CS633" s="100">
        <f t="shared" si="477"/>
        <v>632</v>
      </c>
      <c r="CT633" s="102">
        <f t="shared" ca="1" si="478"/>
        <v>0</v>
      </c>
      <c r="CU633" s="102">
        <f t="shared" ca="1" si="479"/>
        <v>0</v>
      </c>
      <c r="CV633" s="511">
        <f t="shared" ca="1" si="445"/>
        <v>2079</v>
      </c>
    </row>
    <row r="634" spans="1:100" x14ac:dyDescent="0.3">
      <c r="A634" s="100">
        <v>633</v>
      </c>
      <c r="B634" s="131">
        <f t="shared" si="457"/>
        <v>18411</v>
      </c>
      <c r="C634" s="102">
        <f t="shared" si="458"/>
        <v>0</v>
      </c>
      <c r="D634" s="102">
        <f t="shared" si="459"/>
        <v>0</v>
      </c>
      <c r="E634" s="102">
        <f t="shared" si="460"/>
        <v>0</v>
      </c>
      <c r="F634" s="102">
        <f t="shared" si="461"/>
        <v>0</v>
      </c>
      <c r="L634" s="100">
        <v>633</v>
      </c>
      <c r="M634" s="131">
        <f t="shared" ca="1" si="462"/>
        <v>65434</v>
      </c>
      <c r="N634" s="102">
        <f t="shared" si="463"/>
        <v>0</v>
      </c>
      <c r="O634" s="102">
        <f t="shared" si="464"/>
        <v>0</v>
      </c>
      <c r="P634" s="102">
        <f t="shared" si="465"/>
        <v>0</v>
      </c>
      <c r="Q634" s="102">
        <f t="shared" si="466"/>
        <v>0</v>
      </c>
      <c r="W634" s="100">
        <v>633</v>
      </c>
      <c r="X634" s="131">
        <f t="shared" ca="1" si="467"/>
        <v>65434</v>
      </c>
      <c r="Y634" s="102">
        <f t="shared" si="468"/>
        <v>0</v>
      </c>
      <c r="Z634" s="102">
        <f t="shared" si="469"/>
        <v>0</v>
      </c>
      <c r="AA634" s="102">
        <f t="shared" si="470"/>
        <v>0</v>
      </c>
      <c r="AB634" s="102">
        <f t="shared" si="471"/>
        <v>0</v>
      </c>
      <c r="AH634" s="100">
        <v>633</v>
      </c>
      <c r="AI634" s="131">
        <f t="shared" ca="1" si="472"/>
        <v>65434</v>
      </c>
      <c r="AJ634" s="102">
        <f t="shared" si="473"/>
        <v>0</v>
      </c>
      <c r="AK634" s="102">
        <f t="shared" si="474"/>
        <v>0</v>
      </c>
      <c r="AL634" s="102">
        <f t="shared" si="475"/>
        <v>0</v>
      </c>
      <c r="AM634" s="102">
        <f t="shared" si="476"/>
        <v>0</v>
      </c>
      <c r="AS634" s="530">
        <v>633</v>
      </c>
      <c r="AT634" s="531">
        <f t="shared" ca="1" si="446"/>
        <v>65434</v>
      </c>
      <c r="AU634" s="532">
        <f ca="1">IF(AU633=0,SUMIFS('Key Life Events'!$L$3:$L$28,'Key Life Events'!$H$3:$H$28,'Loan Amortization'!$AY$3,'Key Life Events'!$N$3:$N$28,'Loan Amortization'!AT634),AU633-AX633)</f>
        <v>0</v>
      </c>
      <c r="AV634" s="532">
        <f t="shared" ca="1" si="447"/>
        <v>0</v>
      </c>
      <c r="AW634" s="532">
        <f t="shared" ca="1" si="436"/>
        <v>0</v>
      </c>
      <c r="AX634" s="532">
        <f t="shared" ca="1" si="437"/>
        <v>0</v>
      </c>
      <c r="BC634" s="536">
        <f t="shared" ca="1" si="438"/>
        <v>2079</v>
      </c>
      <c r="BF634" s="530">
        <v>633</v>
      </c>
      <c r="BG634" s="531">
        <f t="shared" ca="1" si="448"/>
        <v>65434</v>
      </c>
      <c r="BH634" s="532">
        <f ca="1">IF(BH633=0,SUMIFS('Key Life Events'!$L$3:$L$28,'Key Life Events'!$H$3:$H$28,'Loan Amortization'!$BL$3,'Key Life Events'!$N$3:$N$28,'Loan Amortization'!BG634),BH633-BK633)</f>
        <v>0</v>
      </c>
      <c r="BI634" s="532">
        <f t="shared" ca="1" si="449"/>
        <v>0</v>
      </c>
      <c r="BJ634" s="532">
        <f t="shared" ca="1" si="450"/>
        <v>0</v>
      </c>
      <c r="BK634" s="532">
        <f t="shared" ca="1" si="439"/>
        <v>0</v>
      </c>
      <c r="BP634" s="536">
        <f t="shared" ca="1" si="440"/>
        <v>2079</v>
      </c>
      <c r="BS634" s="530">
        <v>633</v>
      </c>
      <c r="BT634" s="531">
        <f t="shared" ca="1" si="451"/>
        <v>65434</v>
      </c>
      <c r="BU634" s="532">
        <f ca="1">IF(BU633=0,SUMIFS('Key Life Events'!$L$3:$L$28,'Key Life Events'!$H$3:$H$28,'Loan Amortization'!$BY$3,'Key Life Events'!$N$3:$N$28,'Loan Amortization'!BT634),BU633-BX633)</f>
        <v>0</v>
      </c>
      <c r="BV634" s="532">
        <f t="shared" ca="1" si="456"/>
        <v>0</v>
      </c>
      <c r="BW634" s="532">
        <f t="shared" ca="1" si="452"/>
        <v>0</v>
      </c>
      <c r="BX634" s="532">
        <f t="shared" ca="1" si="441"/>
        <v>0</v>
      </c>
      <c r="CC634" s="536">
        <f t="shared" ca="1" si="442"/>
        <v>2079</v>
      </c>
      <c r="CF634" s="530">
        <v>633</v>
      </c>
      <c r="CG634" s="531">
        <f t="shared" ca="1" si="453"/>
        <v>65434</v>
      </c>
      <c r="CH634" s="532">
        <f ca="1">IF(CH633=0,SUMIFS('Key Life Events'!$L$3:$L$28,'Key Life Events'!$H$3:$H$28,'Loan Amortization'!$CL$3,'Key Life Events'!$N$3:$N$28,'Loan Amortization'!CG634),CH633-CK633)</f>
        <v>0</v>
      </c>
      <c r="CI634" s="532">
        <f t="shared" ca="1" si="454"/>
        <v>0</v>
      </c>
      <c r="CJ634" s="532">
        <f t="shared" ca="1" si="455"/>
        <v>0</v>
      </c>
      <c r="CK634" s="532">
        <f t="shared" ca="1" si="443"/>
        <v>0</v>
      </c>
      <c r="CP634" s="536">
        <f t="shared" ca="1" si="444"/>
        <v>2079</v>
      </c>
      <c r="CS634" s="100">
        <f t="shared" si="477"/>
        <v>633</v>
      </c>
      <c r="CT634" s="102">
        <f t="shared" ca="1" si="478"/>
        <v>0</v>
      </c>
      <c r="CU634" s="102">
        <f t="shared" ca="1" si="479"/>
        <v>0</v>
      </c>
      <c r="CV634" s="511">
        <f t="shared" ca="1" si="445"/>
        <v>2079</v>
      </c>
    </row>
    <row r="635" spans="1:100" x14ac:dyDescent="0.3">
      <c r="A635" s="100">
        <v>634</v>
      </c>
      <c r="B635" s="131">
        <f t="shared" si="457"/>
        <v>18442</v>
      </c>
      <c r="C635" s="102">
        <f t="shared" si="458"/>
        <v>0</v>
      </c>
      <c r="D635" s="102">
        <f t="shared" si="459"/>
        <v>0</v>
      </c>
      <c r="E635" s="102">
        <f t="shared" si="460"/>
        <v>0</v>
      </c>
      <c r="F635" s="102">
        <f t="shared" si="461"/>
        <v>0</v>
      </c>
      <c r="L635" s="100">
        <v>634</v>
      </c>
      <c r="M635" s="131">
        <f t="shared" ca="1" si="462"/>
        <v>65462</v>
      </c>
      <c r="N635" s="102">
        <f t="shared" si="463"/>
        <v>0</v>
      </c>
      <c r="O635" s="102">
        <f t="shared" si="464"/>
        <v>0</v>
      </c>
      <c r="P635" s="102">
        <f t="shared" si="465"/>
        <v>0</v>
      </c>
      <c r="Q635" s="102">
        <f t="shared" si="466"/>
        <v>0</v>
      </c>
      <c r="W635" s="100">
        <v>634</v>
      </c>
      <c r="X635" s="131">
        <f t="shared" ca="1" si="467"/>
        <v>65462</v>
      </c>
      <c r="Y635" s="102">
        <f t="shared" si="468"/>
        <v>0</v>
      </c>
      <c r="Z635" s="102">
        <f t="shared" si="469"/>
        <v>0</v>
      </c>
      <c r="AA635" s="102">
        <f t="shared" si="470"/>
        <v>0</v>
      </c>
      <c r="AB635" s="102">
        <f t="shared" si="471"/>
        <v>0</v>
      </c>
      <c r="AH635" s="100">
        <v>634</v>
      </c>
      <c r="AI635" s="131">
        <f t="shared" ca="1" si="472"/>
        <v>65462</v>
      </c>
      <c r="AJ635" s="102">
        <f t="shared" si="473"/>
        <v>0</v>
      </c>
      <c r="AK635" s="102">
        <f t="shared" si="474"/>
        <v>0</v>
      </c>
      <c r="AL635" s="102">
        <f t="shared" si="475"/>
        <v>0</v>
      </c>
      <c r="AM635" s="102">
        <f t="shared" si="476"/>
        <v>0</v>
      </c>
      <c r="AS635" s="530">
        <v>634</v>
      </c>
      <c r="AT635" s="531">
        <f t="shared" ca="1" si="446"/>
        <v>65462</v>
      </c>
      <c r="AU635" s="532">
        <f ca="1">IF(AU634=0,SUMIFS('Key Life Events'!$L$3:$L$28,'Key Life Events'!$H$3:$H$28,'Loan Amortization'!$AY$3,'Key Life Events'!$N$3:$N$28,'Loan Amortization'!AT635),AU634-AX634)</f>
        <v>0</v>
      </c>
      <c r="AV635" s="532">
        <f t="shared" ca="1" si="447"/>
        <v>0</v>
      </c>
      <c r="AW635" s="532">
        <f t="shared" ca="1" si="436"/>
        <v>0</v>
      </c>
      <c r="AX635" s="532">
        <f t="shared" ca="1" si="437"/>
        <v>0</v>
      </c>
      <c r="BC635" s="536">
        <f t="shared" ca="1" si="438"/>
        <v>2079</v>
      </c>
      <c r="BF635" s="530">
        <v>634</v>
      </c>
      <c r="BG635" s="531">
        <f t="shared" ca="1" si="448"/>
        <v>65462</v>
      </c>
      <c r="BH635" s="532">
        <f ca="1">IF(BH634=0,SUMIFS('Key Life Events'!$L$3:$L$28,'Key Life Events'!$H$3:$H$28,'Loan Amortization'!$BL$3,'Key Life Events'!$N$3:$N$28,'Loan Amortization'!BG635),BH634-BK634)</f>
        <v>0</v>
      </c>
      <c r="BI635" s="532">
        <f t="shared" ca="1" si="449"/>
        <v>0</v>
      </c>
      <c r="BJ635" s="532">
        <f t="shared" ca="1" si="450"/>
        <v>0</v>
      </c>
      <c r="BK635" s="532">
        <f t="shared" ca="1" si="439"/>
        <v>0</v>
      </c>
      <c r="BP635" s="536">
        <f t="shared" ca="1" si="440"/>
        <v>2079</v>
      </c>
      <c r="BS635" s="530">
        <v>634</v>
      </c>
      <c r="BT635" s="531">
        <f t="shared" ca="1" si="451"/>
        <v>65462</v>
      </c>
      <c r="BU635" s="532">
        <f ca="1">IF(BU634=0,SUMIFS('Key Life Events'!$L$3:$L$28,'Key Life Events'!$H$3:$H$28,'Loan Amortization'!$BY$3,'Key Life Events'!$N$3:$N$28,'Loan Amortization'!BT635),BU634-BX634)</f>
        <v>0</v>
      </c>
      <c r="BV635" s="532">
        <f t="shared" ca="1" si="456"/>
        <v>0</v>
      </c>
      <c r="BW635" s="532">
        <f t="shared" ca="1" si="452"/>
        <v>0</v>
      </c>
      <c r="BX635" s="532">
        <f t="shared" ca="1" si="441"/>
        <v>0</v>
      </c>
      <c r="CC635" s="536">
        <f t="shared" ca="1" si="442"/>
        <v>2079</v>
      </c>
      <c r="CF635" s="530">
        <v>634</v>
      </c>
      <c r="CG635" s="531">
        <f t="shared" ca="1" si="453"/>
        <v>65462</v>
      </c>
      <c r="CH635" s="532">
        <f ca="1">IF(CH634=0,SUMIFS('Key Life Events'!$L$3:$L$28,'Key Life Events'!$H$3:$H$28,'Loan Amortization'!$CL$3,'Key Life Events'!$N$3:$N$28,'Loan Amortization'!CG635),CH634-CK634)</f>
        <v>0</v>
      </c>
      <c r="CI635" s="532">
        <f t="shared" ca="1" si="454"/>
        <v>0</v>
      </c>
      <c r="CJ635" s="532">
        <f t="shared" ca="1" si="455"/>
        <v>0</v>
      </c>
      <c r="CK635" s="532">
        <f t="shared" ca="1" si="443"/>
        <v>0</v>
      </c>
      <c r="CP635" s="536">
        <f t="shared" ca="1" si="444"/>
        <v>2079</v>
      </c>
      <c r="CS635" s="100">
        <f t="shared" si="477"/>
        <v>634</v>
      </c>
      <c r="CT635" s="102">
        <f t="shared" ca="1" si="478"/>
        <v>0</v>
      </c>
      <c r="CU635" s="102">
        <f t="shared" ca="1" si="479"/>
        <v>0</v>
      </c>
      <c r="CV635" s="511">
        <f t="shared" ca="1" si="445"/>
        <v>2079</v>
      </c>
    </row>
    <row r="636" spans="1:100" x14ac:dyDescent="0.3">
      <c r="A636" s="100">
        <v>635</v>
      </c>
      <c r="B636" s="131">
        <f t="shared" si="457"/>
        <v>18472</v>
      </c>
      <c r="C636" s="102">
        <f t="shared" si="458"/>
        <v>0</v>
      </c>
      <c r="D636" s="102">
        <f t="shared" si="459"/>
        <v>0</v>
      </c>
      <c r="E636" s="102">
        <f t="shared" si="460"/>
        <v>0</v>
      </c>
      <c r="F636" s="102">
        <f t="shared" si="461"/>
        <v>0</v>
      </c>
      <c r="L636" s="100">
        <v>635</v>
      </c>
      <c r="M636" s="131">
        <f t="shared" ca="1" si="462"/>
        <v>65493</v>
      </c>
      <c r="N636" s="102">
        <f t="shared" si="463"/>
        <v>0</v>
      </c>
      <c r="O636" s="102">
        <f t="shared" si="464"/>
        <v>0</v>
      </c>
      <c r="P636" s="102">
        <f t="shared" si="465"/>
        <v>0</v>
      </c>
      <c r="Q636" s="102">
        <f t="shared" si="466"/>
        <v>0</v>
      </c>
      <c r="W636" s="100">
        <v>635</v>
      </c>
      <c r="X636" s="131">
        <f t="shared" ca="1" si="467"/>
        <v>65493</v>
      </c>
      <c r="Y636" s="102">
        <f t="shared" si="468"/>
        <v>0</v>
      </c>
      <c r="Z636" s="102">
        <f t="shared" si="469"/>
        <v>0</v>
      </c>
      <c r="AA636" s="102">
        <f t="shared" si="470"/>
        <v>0</v>
      </c>
      <c r="AB636" s="102">
        <f t="shared" si="471"/>
        <v>0</v>
      </c>
      <c r="AH636" s="100">
        <v>635</v>
      </c>
      <c r="AI636" s="131">
        <f t="shared" ca="1" si="472"/>
        <v>65493</v>
      </c>
      <c r="AJ636" s="102">
        <f t="shared" si="473"/>
        <v>0</v>
      </c>
      <c r="AK636" s="102">
        <f t="shared" si="474"/>
        <v>0</v>
      </c>
      <c r="AL636" s="102">
        <f t="shared" si="475"/>
        <v>0</v>
      </c>
      <c r="AM636" s="102">
        <f t="shared" si="476"/>
        <v>0</v>
      </c>
      <c r="AS636" s="530">
        <v>635</v>
      </c>
      <c r="AT636" s="531">
        <f t="shared" ca="1" si="446"/>
        <v>65493</v>
      </c>
      <c r="AU636" s="532">
        <f ca="1">IF(AU635=0,SUMIFS('Key Life Events'!$L$3:$L$28,'Key Life Events'!$H$3:$H$28,'Loan Amortization'!$AY$3,'Key Life Events'!$N$3:$N$28,'Loan Amortization'!AT636),AU635-AX635)</f>
        <v>0</v>
      </c>
      <c r="AV636" s="532">
        <f t="shared" ca="1" si="447"/>
        <v>0</v>
      </c>
      <c r="AW636" s="532">
        <f t="shared" ca="1" si="436"/>
        <v>0</v>
      </c>
      <c r="AX636" s="532">
        <f t="shared" ca="1" si="437"/>
        <v>0</v>
      </c>
      <c r="BC636" s="536">
        <f t="shared" ca="1" si="438"/>
        <v>2079</v>
      </c>
      <c r="BF636" s="530">
        <v>635</v>
      </c>
      <c r="BG636" s="531">
        <f t="shared" ca="1" si="448"/>
        <v>65493</v>
      </c>
      <c r="BH636" s="532">
        <f ca="1">IF(BH635=0,SUMIFS('Key Life Events'!$L$3:$L$28,'Key Life Events'!$H$3:$H$28,'Loan Amortization'!$BL$3,'Key Life Events'!$N$3:$N$28,'Loan Amortization'!BG636),BH635-BK635)</f>
        <v>0</v>
      </c>
      <c r="BI636" s="532">
        <f t="shared" ca="1" si="449"/>
        <v>0</v>
      </c>
      <c r="BJ636" s="532">
        <f t="shared" ca="1" si="450"/>
        <v>0</v>
      </c>
      <c r="BK636" s="532">
        <f t="shared" ca="1" si="439"/>
        <v>0</v>
      </c>
      <c r="BP636" s="536">
        <f t="shared" ca="1" si="440"/>
        <v>2079</v>
      </c>
      <c r="BS636" s="530">
        <v>635</v>
      </c>
      <c r="BT636" s="531">
        <f t="shared" ca="1" si="451"/>
        <v>65493</v>
      </c>
      <c r="BU636" s="532">
        <f ca="1">IF(BU635=0,SUMIFS('Key Life Events'!$L$3:$L$28,'Key Life Events'!$H$3:$H$28,'Loan Amortization'!$BY$3,'Key Life Events'!$N$3:$N$28,'Loan Amortization'!BT636),BU635-BX635)</f>
        <v>0</v>
      </c>
      <c r="BV636" s="532">
        <f t="shared" ca="1" si="456"/>
        <v>0</v>
      </c>
      <c r="BW636" s="532">
        <f t="shared" ca="1" si="452"/>
        <v>0</v>
      </c>
      <c r="BX636" s="532">
        <f t="shared" ca="1" si="441"/>
        <v>0</v>
      </c>
      <c r="CC636" s="536">
        <f t="shared" ca="1" si="442"/>
        <v>2079</v>
      </c>
      <c r="CF636" s="530">
        <v>635</v>
      </c>
      <c r="CG636" s="531">
        <f t="shared" ca="1" si="453"/>
        <v>65493</v>
      </c>
      <c r="CH636" s="532">
        <f ca="1">IF(CH635=0,SUMIFS('Key Life Events'!$L$3:$L$28,'Key Life Events'!$H$3:$H$28,'Loan Amortization'!$CL$3,'Key Life Events'!$N$3:$N$28,'Loan Amortization'!CG636),CH635-CK635)</f>
        <v>0</v>
      </c>
      <c r="CI636" s="532">
        <f t="shared" ca="1" si="454"/>
        <v>0</v>
      </c>
      <c r="CJ636" s="532">
        <f t="shared" ca="1" si="455"/>
        <v>0</v>
      </c>
      <c r="CK636" s="532">
        <f t="shared" ca="1" si="443"/>
        <v>0</v>
      </c>
      <c r="CP636" s="536">
        <f t="shared" ca="1" si="444"/>
        <v>2079</v>
      </c>
      <c r="CS636" s="100">
        <f t="shared" si="477"/>
        <v>635</v>
      </c>
      <c r="CT636" s="102">
        <f t="shared" ca="1" si="478"/>
        <v>0</v>
      </c>
      <c r="CU636" s="102">
        <f t="shared" ca="1" si="479"/>
        <v>0</v>
      </c>
      <c r="CV636" s="511">
        <f t="shared" ca="1" si="445"/>
        <v>2079</v>
      </c>
    </row>
    <row r="637" spans="1:100" x14ac:dyDescent="0.3">
      <c r="A637" s="100">
        <v>636</v>
      </c>
      <c r="B637" s="131">
        <f t="shared" si="457"/>
        <v>18503</v>
      </c>
      <c r="C637" s="102">
        <f t="shared" si="458"/>
        <v>0</v>
      </c>
      <c r="D637" s="102">
        <f t="shared" si="459"/>
        <v>0</v>
      </c>
      <c r="E637" s="102">
        <f t="shared" si="460"/>
        <v>0</v>
      </c>
      <c r="F637" s="102">
        <f t="shared" si="461"/>
        <v>0</v>
      </c>
      <c r="L637" s="100">
        <v>636</v>
      </c>
      <c r="M637" s="131">
        <f t="shared" ca="1" si="462"/>
        <v>65523</v>
      </c>
      <c r="N637" s="102">
        <f t="shared" si="463"/>
        <v>0</v>
      </c>
      <c r="O637" s="102">
        <f t="shared" si="464"/>
        <v>0</v>
      </c>
      <c r="P637" s="102">
        <f t="shared" si="465"/>
        <v>0</v>
      </c>
      <c r="Q637" s="102">
        <f t="shared" si="466"/>
        <v>0</v>
      </c>
      <c r="W637" s="100">
        <v>636</v>
      </c>
      <c r="X637" s="131">
        <f t="shared" ca="1" si="467"/>
        <v>65523</v>
      </c>
      <c r="Y637" s="102">
        <f t="shared" si="468"/>
        <v>0</v>
      </c>
      <c r="Z637" s="102">
        <f t="shared" si="469"/>
        <v>0</v>
      </c>
      <c r="AA637" s="102">
        <f t="shared" si="470"/>
        <v>0</v>
      </c>
      <c r="AB637" s="102">
        <f t="shared" si="471"/>
        <v>0</v>
      </c>
      <c r="AH637" s="100">
        <v>636</v>
      </c>
      <c r="AI637" s="131">
        <f t="shared" ca="1" si="472"/>
        <v>65523</v>
      </c>
      <c r="AJ637" s="102">
        <f t="shared" si="473"/>
        <v>0</v>
      </c>
      <c r="AK637" s="102">
        <f t="shared" si="474"/>
        <v>0</v>
      </c>
      <c r="AL637" s="102">
        <f t="shared" si="475"/>
        <v>0</v>
      </c>
      <c r="AM637" s="102">
        <f t="shared" si="476"/>
        <v>0</v>
      </c>
      <c r="AS637" s="530">
        <v>636</v>
      </c>
      <c r="AT637" s="531">
        <f t="shared" ca="1" si="446"/>
        <v>65523</v>
      </c>
      <c r="AU637" s="532">
        <f ca="1">IF(AU636=0,SUMIFS('Key Life Events'!$L$3:$L$28,'Key Life Events'!$H$3:$H$28,'Loan Amortization'!$AY$3,'Key Life Events'!$N$3:$N$28,'Loan Amortization'!AT637),AU636-AX636)</f>
        <v>0</v>
      </c>
      <c r="AV637" s="532">
        <f t="shared" ca="1" si="447"/>
        <v>0</v>
      </c>
      <c r="AW637" s="532">
        <f t="shared" ca="1" si="436"/>
        <v>0</v>
      </c>
      <c r="AX637" s="532">
        <f t="shared" ca="1" si="437"/>
        <v>0</v>
      </c>
      <c r="BC637" s="536">
        <f t="shared" ca="1" si="438"/>
        <v>2079</v>
      </c>
      <c r="BF637" s="530">
        <v>636</v>
      </c>
      <c r="BG637" s="531">
        <f t="shared" ca="1" si="448"/>
        <v>65523</v>
      </c>
      <c r="BH637" s="532">
        <f ca="1">IF(BH636=0,SUMIFS('Key Life Events'!$L$3:$L$28,'Key Life Events'!$H$3:$H$28,'Loan Amortization'!$BL$3,'Key Life Events'!$N$3:$N$28,'Loan Amortization'!BG637),BH636-BK636)</f>
        <v>0</v>
      </c>
      <c r="BI637" s="532">
        <f t="shared" ca="1" si="449"/>
        <v>0</v>
      </c>
      <c r="BJ637" s="532">
        <f t="shared" ca="1" si="450"/>
        <v>0</v>
      </c>
      <c r="BK637" s="532">
        <f t="shared" ca="1" si="439"/>
        <v>0</v>
      </c>
      <c r="BP637" s="536">
        <f t="shared" ca="1" si="440"/>
        <v>2079</v>
      </c>
      <c r="BS637" s="530">
        <v>636</v>
      </c>
      <c r="BT637" s="531">
        <f t="shared" ca="1" si="451"/>
        <v>65523</v>
      </c>
      <c r="BU637" s="532">
        <f ca="1">IF(BU636=0,SUMIFS('Key Life Events'!$L$3:$L$28,'Key Life Events'!$H$3:$H$28,'Loan Amortization'!$BY$3,'Key Life Events'!$N$3:$N$28,'Loan Amortization'!BT637),BU636-BX636)</f>
        <v>0</v>
      </c>
      <c r="BV637" s="532">
        <f t="shared" ca="1" si="456"/>
        <v>0</v>
      </c>
      <c r="BW637" s="532">
        <f t="shared" ca="1" si="452"/>
        <v>0</v>
      </c>
      <c r="BX637" s="532">
        <f t="shared" ca="1" si="441"/>
        <v>0</v>
      </c>
      <c r="CC637" s="536">
        <f t="shared" ca="1" si="442"/>
        <v>2079</v>
      </c>
      <c r="CF637" s="530">
        <v>636</v>
      </c>
      <c r="CG637" s="531">
        <f t="shared" ca="1" si="453"/>
        <v>65523</v>
      </c>
      <c r="CH637" s="532">
        <f ca="1">IF(CH636=0,SUMIFS('Key Life Events'!$L$3:$L$28,'Key Life Events'!$H$3:$H$28,'Loan Amortization'!$CL$3,'Key Life Events'!$N$3:$N$28,'Loan Amortization'!CG637),CH636-CK636)</f>
        <v>0</v>
      </c>
      <c r="CI637" s="532">
        <f t="shared" ca="1" si="454"/>
        <v>0</v>
      </c>
      <c r="CJ637" s="532">
        <f t="shared" ca="1" si="455"/>
        <v>0</v>
      </c>
      <c r="CK637" s="532">
        <f t="shared" ca="1" si="443"/>
        <v>0</v>
      </c>
      <c r="CP637" s="536">
        <f t="shared" ca="1" si="444"/>
        <v>2079</v>
      </c>
      <c r="CS637" s="100">
        <f t="shared" si="477"/>
        <v>636</v>
      </c>
      <c r="CT637" s="102">
        <f t="shared" ca="1" si="478"/>
        <v>0</v>
      </c>
      <c r="CU637" s="102">
        <f t="shared" ca="1" si="479"/>
        <v>0</v>
      </c>
      <c r="CV637" s="511">
        <f t="shared" ca="1" si="445"/>
        <v>2079</v>
      </c>
    </row>
    <row r="638" spans="1:100" x14ac:dyDescent="0.3">
      <c r="A638" s="100">
        <v>637</v>
      </c>
      <c r="B638" s="131">
        <f t="shared" si="457"/>
        <v>18534</v>
      </c>
      <c r="C638" s="102">
        <f t="shared" si="458"/>
        <v>0</v>
      </c>
      <c r="D638" s="102">
        <f t="shared" si="459"/>
        <v>0</v>
      </c>
      <c r="E638" s="102">
        <f t="shared" si="460"/>
        <v>0</v>
      </c>
      <c r="F638" s="102">
        <f t="shared" si="461"/>
        <v>0</v>
      </c>
      <c r="L638" s="100">
        <v>637</v>
      </c>
      <c r="M638" s="131">
        <f t="shared" ca="1" si="462"/>
        <v>65554</v>
      </c>
      <c r="N638" s="102">
        <f t="shared" si="463"/>
        <v>0</v>
      </c>
      <c r="O638" s="102">
        <f t="shared" si="464"/>
        <v>0</v>
      </c>
      <c r="P638" s="102">
        <f t="shared" si="465"/>
        <v>0</v>
      </c>
      <c r="Q638" s="102">
        <f t="shared" si="466"/>
        <v>0</v>
      </c>
      <c r="W638" s="100">
        <v>637</v>
      </c>
      <c r="X638" s="131">
        <f t="shared" ca="1" si="467"/>
        <v>65554</v>
      </c>
      <c r="Y638" s="102">
        <f t="shared" si="468"/>
        <v>0</v>
      </c>
      <c r="Z638" s="102">
        <f t="shared" si="469"/>
        <v>0</v>
      </c>
      <c r="AA638" s="102">
        <f t="shared" si="470"/>
        <v>0</v>
      </c>
      <c r="AB638" s="102">
        <f t="shared" si="471"/>
        <v>0</v>
      </c>
      <c r="AH638" s="100">
        <v>637</v>
      </c>
      <c r="AI638" s="131">
        <f t="shared" ca="1" si="472"/>
        <v>65554</v>
      </c>
      <c r="AJ638" s="102">
        <f t="shared" si="473"/>
        <v>0</v>
      </c>
      <c r="AK638" s="102">
        <f t="shared" si="474"/>
        <v>0</v>
      </c>
      <c r="AL638" s="102">
        <f t="shared" si="475"/>
        <v>0</v>
      </c>
      <c r="AM638" s="102">
        <f t="shared" si="476"/>
        <v>0</v>
      </c>
      <c r="AS638" s="530">
        <v>637</v>
      </c>
      <c r="AT638" s="531">
        <f t="shared" ca="1" si="446"/>
        <v>65554</v>
      </c>
      <c r="AU638" s="532">
        <f ca="1">IF(AU637=0,SUMIFS('Key Life Events'!$L$3:$L$28,'Key Life Events'!$H$3:$H$28,'Loan Amortization'!$AY$3,'Key Life Events'!$N$3:$N$28,'Loan Amortization'!AT638),AU637-AX637)</f>
        <v>0</v>
      </c>
      <c r="AV638" s="532">
        <f t="shared" ca="1" si="447"/>
        <v>0</v>
      </c>
      <c r="AW638" s="532">
        <f t="shared" ca="1" si="436"/>
        <v>0</v>
      </c>
      <c r="AX638" s="532">
        <f t="shared" ca="1" si="437"/>
        <v>0</v>
      </c>
      <c r="BC638" s="536">
        <f t="shared" ca="1" si="438"/>
        <v>2079</v>
      </c>
      <c r="BF638" s="530">
        <v>637</v>
      </c>
      <c r="BG638" s="531">
        <f t="shared" ca="1" si="448"/>
        <v>65554</v>
      </c>
      <c r="BH638" s="532">
        <f ca="1">IF(BH637=0,SUMIFS('Key Life Events'!$L$3:$L$28,'Key Life Events'!$H$3:$H$28,'Loan Amortization'!$BL$3,'Key Life Events'!$N$3:$N$28,'Loan Amortization'!BG638),BH637-BK637)</f>
        <v>0</v>
      </c>
      <c r="BI638" s="532">
        <f t="shared" ca="1" si="449"/>
        <v>0</v>
      </c>
      <c r="BJ638" s="532">
        <f t="shared" ca="1" si="450"/>
        <v>0</v>
      </c>
      <c r="BK638" s="532">
        <f t="shared" ca="1" si="439"/>
        <v>0</v>
      </c>
      <c r="BP638" s="536">
        <f t="shared" ca="1" si="440"/>
        <v>2079</v>
      </c>
      <c r="BS638" s="530">
        <v>637</v>
      </c>
      <c r="BT638" s="531">
        <f t="shared" ca="1" si="451"/>
        <v>65554</v>
      </c>
      <c r="BU638" s="532">
        <f ca="1">IF(BU637=0,SUMIFS('Key Life Events'!$L$3:$L$28,'Key Life Events'!$H$3:$H$28,'Loan Amortization'!$BY$3,'Key Life Events'!$N$3:$N$28,'Loan Amortization'!BT638),BU637-BX637)</f>
        <v>0</v>
      </c>
      <c r="BV638" s="532">
        <f t="shared" ca="1" si="456"/>
        <v>0</v>
      </c>
      <c r="BW638" s="532">
        <f t="shared" ca="1" si="452"/>
        <v>0</v>
      </c>
      <c r="BX638" s="532">
        <f t="shared" ca="1" si="441"/>
        <v>0</v>
      </c>
      <c r="CC638" s="536">
        <f t="shared" ca="1" si="442"/>
        <v>2079</v>
      </c>
      <c r="CF638" s="530">
        <v>637</v>
      </c>
      <c r="CG638" s="531">
        <f t="shared" ca="1" si="453"/>
        <v>65554</v>
      </c>
      <c r="CH638" s="532">
        <f ca="1">IF(CH637=0,SUMIFS('Key Life Events'!$L$3:$L$28,'Key Life Events'!$H$3:$H$28,'Loan Amortization'!$CL$3,'Key Life Events'!$N$3:$N$28,'Loan Amortization'!CG638),CH637-CK637)</f>
        <v>0</v>
      </c>
      <c r="CI638" s="532">
        <f t="shared" ca="1" si="454"/>
        <v>0</v>
      </c>
      <c r="CJ638" s="532">
        <f t="shared" ca="1" si="455"/>
        <v>0</v>
      </c>
      <c r="CK638" s="532">
        <f t="shared" ca="1" si="443"/>
        <v>0</v>
      </c>
      <c r="CP638" s="536">
        <f t="shared" ca="1" si="444"/>
        <v>2079</v>
      </c>
      <c r="CS638" s="100">
        <f t="shared" si="477"/>
        <v>637</v>
      </c>
      <c r="CT638" s="102">
        <f t="shared" ca="1" si="478"/>
        <v>0</v>
      </c>
      <c r="CU638" s="102">
        <f t="shared" ca="1" si="479"/>
        <v>0</v>
      </c>
      <c r="CV638" s="511">
        <f t="shared" ca="1" si="445"/>
        <v>2079</v>
      </c>
    </row>
    <row r="639" spans="1:100" x14ac:dyDescent="0.3">
      <c r="A639" s="100">
        <v>638</v>
      </c>
      <c r="B639" s="131">
        <f t="shared" si="457"/>
        <v>18564</v>
      </c>
      <c r="C639" s="102">
        <f t="shared" si="458"/>
        <v>0</v>
      </c>
      <c r="D639" s="102">
        <f t="shared" si="459"/>
        <v>0</v>
      </c>
      <c r="E639" s="102">
        <f t="shared" si="460"/>
        <v>0</v>
      </c>
      <c r="F639" s="102">
        <f t="shared" si="461"/>
        <v>0</v>
      </c>
      <c r="L639" s="100">
        <v>638</v>
      </c>
      <c r="M639" s="131">
        <f t="shared" ca="1" si="462"/>
        <v>65584</v>
      </c>
      <c r="N639" s="102">
        <f t="shared" si="463"/>
        <v>0</v>
      </c>
      <c r="O639" s="102">
        <f t="shared" si="464"/>
        <v>0</v>
      </c>
      <c r="P639" s="102">
        <f t="shared" si="465"/>
        <v>0</v>
      </c>
      <c r="Q639" s="102">
        <f t="shared" si="466"/>
        <v>0</v>
      </c>
      <c r="W639" s="100">
        <v>638</v>
      </c>
      <c r="X639" s="131">
        <f t="shared" ca="1" si="467"/>
        <v>65584</v>
      </c>
      <c r="Y639" s="102">
        <f t="shared" si="468"/>
        <v>0</v>
      </c>
      <c r="Z639" s="102">
        <f t="shared" si="469"/>
        <v>0</v>
      </c>
      <c r="AA639" s="102">
        <f t="shared" si="470"/>
        <v>0</v>
      </c>
      <c r="AB639" s="102">
        <f t="shared" si="471"/>
        <v>0</v>
      </c>
      <c r="AH639" s="100">
        <v>638</v>
      </c>
      <c r="AI639" s="131">
        <f t="shared" ca="1" si="472"/>
        <v>65584</v>
      </c>
      <c r="AJ639" s="102">
        <f t="shared" si="473"/>
        <v>0</v>
      </c>
      <c r="AK639" s="102">
        <f t="shared" si="474"/>
        <v>0</v>
      </c>
      <c r="AL639" s="102">
        <f t="shared" si="475"/>
        <v>0</v>
      </c>
      <c r="AM639" s="102">
        <f t="shared" si="476"/>
        <v>0</v>
      </c>
      <c r="AS639" s="530">
        <v>638</v>
      </c>
      <c r="AT639" s="531">
        <f t="shared" ca="1" si="446"/>
        <v>65584</v>
      </c>
      <c r="AU639" s="532">
        <f ca="1">IF(AU638=0,SUMIFS('Key Life Events'!$L$3:$L$28,'Key Life Events'!$H$3:$H$28,'Loan Amortization'!$AY$3,'Key Life Events'!$N$3:$N$28,'Loan Amortization'!AT639),AU638-AX638)</f>
        <v>0</v>
      </c>
      <c r="AV639" s="532">
        <f t="shared" ca="1" si="447"/>
        <v>0</v>
      </c>
      <c r="AW639" s="532">
        <f t="shared" ca="1" si="436"/>
        <v>0</v>
      </c>
      <c r="AX639" s="532">
        <f t="shared" ca="1" si="437"/>
        <v>0</v>
      </c>
      <c r="BC639" s="536">
        <f t="shared" ca="1" si="438"/>
        <v>2079</v>
      </c>
      <c r="BF639" s="530">
        <v>638</v>
      </c>
      <c r="BG639" s="531">
        <f t="shared" ca="1" si="448"/>
        <v>65584</v>
      </c>
      <c r="BH639" s="532">
        <f ca="1">IF(BH638=0,SUMIFS('Key Life Events'!$L$3:$L$28,'Key Life Events'!$H$3:$H$28,'Loan Amortization'!$BL$3,'Key Life Events'!$N$3:$N$28,'Loan Amortization'!BG639),BH638-BK638)</f>
        <v>0</v>
      </c>
      <c r="BI639" s="532">
        <f t="shared" ca="1" si="449"/>
        <v>0</v>
      </c>
      <c r="BJ639" s="532">
        <f t="shared" ca="1" si="450"/>
        <v>0</v>
      </c>
      <c r="BK639" s="532">
        <f t="shared" ca="1" si="439"/>
        <v>0</v>
      </c>
      <c r="BP639" s="536">
        <f t="shared" ca="1" si="440"/>
        <v>2079</v>
      </c>
      <c r="BS639" s="530">
        <v>638</v>
      </c>
      <c r="BT639" s="531">
        <f t="shared" ca="1" si="451"/>
        <v>65584</v>
      </c>
      <c r="BU639" s="532">
        <f ca="1">IF(BU638=0,SUMIFS('Key Life Events'!$L$3:$L$28,'Key Life Events'!$H$3:$H$28,'Loan Amortization'!$BY$3,'Key Life Events'!$N$3:$N$28,'Loan Amortization'!BT639),BU638-BX638)</f>
        <v>0</v>
      </c>
      <c r="BV639" s="532">
        <f t="shared" ca="1" si="456"/>
        <v>0</v>
      </c>
      <c r="BW639" s="532">
        <f t="shared" ca="1" si="452"/>
        <v>0</v>
      </c>
      <c r="BX639" s="532">
        <f t="shared" ca="1" si="441"/>
        <v>0</v>
      </c>
      <c r="CC639" s="536">
        <f t="shared" ca="1" si="442"/>
        <v>2079</v>
      </c>
      <c r="CF639" s="530">
        <v>638</v>
      </c>
      <c r="CG639" s="531">
        <f t="shared" ca="1" si="453"/>
        <v>65584</v>
      </c>
      <c r="CH639" s="532">
        <f ca="1">IF(CH638=0,SUMIFS('Key Life Events'!$L$3:$L$28,'Key Life Events'!$H$3:$H$28,'Loan Amortization'!$CL$3,'Key Life Events'!$N$3:$N$28,'Loan Amortization'!CG639),CH638-CK638)</f>
        <v>0</v>
      </c>
      <c r="CI639" s="532">
        <f t="shared" ca="1" si="454"/>
        <v>0</v>
      </c>
      <c r="CJ639" s="532">
        <f t="shared" ca="1" si="455"/>
        <v>0</v>
      </c>
      <c r="CK639" s="532">
        <f t="shared" ca="1" si="443"/>
        <v>0</v>
      </c>
      <c r="CP639" s="536">
        <f t="shared" ca="1" si="444"/>
        <v>2079</v>
      </c>
      <c r="CS639" s="100">
        <f t="shared" si="477"/>
        <v>638</v>
      </c>
      <c r="CT639" s="102">
        <f t="shared" ca="1" si="478"/>
        <v>0</v>
      </c>
      <c r="CU639" s="102">
        <f t="shared" ca="1" si="479"/>
        <v>0</v>
      </c>
      <c r="CV639" s="511">
        <f t="shared" ca="1" si="445"/>
        <v>2079</v>
      </c>
    </row>
    <row r="640" spans="1:100" x14ac:dyDescent="0.3">
      <c r="A640" s="100">
        <v>639</v>
      </c>
      <c r="B640" s="131">
        <f t="shared" si="457"/>
        <v>18595</v>
      </c>
      <c r="C640" s="102">
        <f t="shared" si="458"/>
        <v>0</v>
      </c>
      <c r="D640" s="102">
        <f t="shared" si="459"/>
        <v>0</v>
      </c>
      <c r="E640" s="102">
        <f t="shared" si="460"/>
        <v>0</v>
      </c>
      <c r="F640" s="102">
        <f t="shared" si="461"/>
        <v>0</v>
      </c>
      <c r="L640" s="100">
        <v>639</v>
      </c>
      <c r="M640" s="131">
        <f t="shared" ca="1" si="462"/>
        <v>65615</v>
      </c>
      <c r="N640" s="102">
        <f t="shared" si="463"/>
        <v>0</v>
      </c>
      <c r="O640" s="102">
        <f t="shared" si="464"/>
        <v>0</v>
      </c>
      <c r="P640" s="102">
        <f t="shared" si="465"/>
        <v>0</v>
      </c>
      <c r="Q640" s="102">
        <f t="shared" si="466"/>
        <v>0</v>
      </c>
      <c r="W640" s="100">
        <v>639</v>
      </c>
      <c r="X640" s="131">
        <f t="shared" ca="1" si="467"/>
        <v>65615</v>
      </c>
      <c r="Y640" s="102">
        <f t="shared" si="468"/>
        <v>0</v>
      </c>
      <c r="Z640" s="102">
        <f t="shared" si="469"/>
        <v>0</v>
      </c>
      <c r="AA640" s="102">
        <f t="shared" si="470"/>
        <v>0</v>
      </c>
      <c r="AB640" s="102">
        <f t="shared" si="471"/>
        <v>0</v>
      </c>
      <c r="AH640" s="100">
        <v>639</v>
      </c>
      <c r="AI640" s="131">
        <f t="shared" ca="1" si="472"/>
        <v>65615</v>
      </c>
      <c r="AJ640" s="102">
        <f t="shared" si="473"/>
        <v>0</v>
      </c>
      <c r="AK640" s="102">
        <f t="shared" si="474"/>
        <v>0</v>
      </c>
      <c r="AL640" s="102">
        <f t="shared" si="475"/>
        <v>0</v>
      </c>
      <c r="AM640" s="102">
        <f t="shared" si="476"/>
        <v>0</v>
      </c>
      <c r="AS640" s="530">
        <v>639</v>
      </c>
      <c r="AT640" s="531">
        <f t="shared" ca="1" si="446"/>
        <v>65615</v>
      </c>
      <c r="AU640" s="532">
        <f ca="1">IF(AU639=0,SUMIFS('Key Life Events'!$L$3:$L$28,'Key Life Events'!$H$3:$H$28,'Loan Amortization'!$AY$3,'Key Life Events'!$N$3:$N$28,'Loan Amortization'!AT640),AU639-AX639)</f>
        <v>0</v>
      </c>
      <c r="AV640" s="532">
        <f t="shared" ca="1" si="447"/>
        <v>0</v>
      </c>
      <c r="AW640" s="532">
        <f t="shared" ca="1" si="436"/>
        <v>0</v>
      </c>
      <c r="AX640" s="532">
        <f t="shared" ca="1" si="437"/>
        <v>0</v>
      </c>
      <c r="BC640" s="536">
        <f t="shared" ca="1" si="438"/>
        <v>2079</v>
      </c>
      <c r="BF640" s="530">
        <v>639</v>
      </c>
      <c r="BG640" s="531">
        <f t="shared" ca="1" si="448"/>
        <v>65615</v>
      </c>
      <c r="BH640" s="532">
        <f ca="1">IF(BH639=0,SUMIFS('Key Life Events'!$L$3:$L$28,'Key Life Events'!$H$3:$H$28,'Loan Amortization'!$BL$3,'Key Life Events'!$N$3:$N$28,'Loan Amortization'!BG640),BH639-BK639)</f>
        <v>0</v>
      </c>
      <c r="BI640" s="532">
        <f t="shared" ca="1" si="449"/>
        <v>0</v>
      </c>
      <c r="BJ640" s="532">
        <f t="shared" ca="1" si="450"/>
        <v>0</v>
      </c>
      <c r="BK640" s="532">
        <f t="shared" ca="1" si="439"/>
        <v>0</v>
      </c>
      <c r="BP640" s="536">
        <f t="shared" ca="1" si="440"/>
        <v>2079</v>
      </c>
      <c r="BS640" s="530">
        <v>639</v>
      </c>
      <c r="BT640" s="531">
        <f t="shared" ca="1" si="451"/>
        <v>65615</v>
      </c>
      <c r="BU640" s="532">
        <f ca="1">IF(BU639=0,SUMIFS('Key Life Events'!$L$3:$L$28,'Key Life Events'!$H$3:$H$28,'Loan Amortization'!$BY$3,'Key Life Events'!$N$3:$N$28,'Loan Amortization'!BT640),BU639-BX639)</f>
        <v>0</v>
      </c>
      <c r="BV640" s="532">
        <f t="shared" ca="1" si="456"/>
        <v>0</v>
      </c>
      <c r="BW640" s="532">
        <f t="shared" ca="1" si="452"/>
        <v>0</v>
      </c>
      <c r="BX640" s="532">
        <f t="shared" ca="1" si="441"/>
        <v>0</v>
      </c>
      <c r="CC640" s="536">
        <f t="shared" ca="1" si="442"/>
        <v>2079</v>
      </c>
      <c r="CF640" s="530">
        <v>639</v>
      </c>
      <c r="CG640" s="531">
        <f t="shared" ca="1" si="453"/>
        <v>65615</v>
      </c>
      <c r="CH640" s="532">
        <f ca="1">IF(CH639=0,SUMIFS('Key Life Events'!$L$3:$L$28,'Key Life Events'!$H$3:$H$28,'Loan Amortization'!$CL$3,'Key Life Events'!$N$3:$N$28,'Loan Amortization'!CG640),CH639-CK639)</f>
        <v>0</v>
      </c>
      <c r="CI640" s="532">
        <f t="shared" ca="1" si="454"/>
        <v>0</v>
      </c>
      <c r="CJ640" s="532">
        <f t="shared" ca="1" si="455"/>
        <v>0</v>
      </c>
      <c r="CK640" s="532">
        <f t="shared" ca="1" si="443"/>
        <v>0</v>
      </c>
      <c r="CP640" s="536">
        <f t="shared" ca="1" si="444"/>
        <v>2079</v>
      </c>
      <c r="CS640" s="100">
        <f t="shared" si="477"/>
        <v>639</v>
      </c>
      <c r="CT640" s="102">
        <f t="shared" ca="1" si="478"/>
        <v>0</v>
      </c>
      <c r="CU640" s="102">
        <f t="shared" ca="1" si="479"/>
        <v>0</v>
      </c>
      <c r="CV640" s="511">
        <f t="shared" ca="1" si="445"/>
        <v>2079</v>
      </c>
    </row>
    <row r="641" spans="1:100" x14ac:dyDescent="0.3">
      <c r="A641" s="100">
        <v>640</v>
      </c>
      <c r="B641" s="131">
        <f t="shared" si="457"/>
        <v>18625</v>
      </c>
      <c r="C641" s="102">
        <f t="shared" si="458"/>
        <v>0</v>
      </c>
      <c r="D641" s="102">
        <f t="shared" si="459"/>
        <v>0</v>
      </c>
      <c r="E641" s="102">
        <f t="shared" si="460"/>
        <v>0</v>
      </c>
      <c r="F641" s="102">
        <f t="shared" si="461"/>
        <v>0</v>
      </c>
      <c r="L641" s="100">
        <v>640</v>
      </c>
      <c r="M641" s="131">
        <f t="shared" ca="1" si="462"/>
        <v>65646</v>
      </c>
      <c r="N641" s="102">
        <f t="shared" si="463"/>
        <v>0</v>
      </c>
      <c r="O641" s="102">
        <f t="shared" si="464"/>
        <v>0</v>
      </c>
      <c r="P641" s="102">
        <f t="shared" si="465"/>
        <v>0</v>
      </c>
      <c r="Q641" s="102">
        <f t="shared" si="466"/>
        <v>0</v>
      </c>
      <c r="W641" s="100">
        <v>640</v>
      </c>
      <c r="X641" s="131">
        <f t="shared" ca="1" si="467"/>
        <v>65646</v>
      </c>
      <c r="Y641" s="102">
        <f t="shared" si="468"/>
        <v>0</v>
      </c>
      <c r="Z641" s="102">
        <f t="shared" si="469"/>
        <v>0</v>
      </c>
      <c r="AA641" s="102">
        <f t="shared" si="470"/>
        <v>0</v>
      </c>
      <c r="AB641" s="102">
        <f t="shared" si="471"/>
        <v>0</v>
      </c>
      <c r="AH641" s="100">
        <v>640</v>
      </c>
      <c r="AI641" s="131">
        <f t="shared" ca="1" si="472"/>
        <v>65646</v>
      </c>
      <c r="AJ641" s="102">
        <f t="shared" si="473"/>
        <v>0</v>
      </c>
      <c r="AK641" s="102">
        <f t="shared" si="474"/>
        <v>0</v>
      </c>
      <c r="AL641" s="102">
        <f t="shared" si="475"/>
        <v>0</v>
      </c>
      <c r="AM641" s="102">
        <f t="shared" si="476"/>
        <v>0</v>
      </c>
      <c r="AS641" s="530">
        <v>640</v>
      </c>
      <c r="AT641" s="531">
        <f t="shared" ca="1" si="446"/>
        <v>65646</v>
      </c>
      <c r="AU641" s="532">
        <f ca="1">IF(AU640=0,SUMIFS('Key Life Events'!$L$3:$L$28,'Key Life Events'!$H$3:$H$28,'Loan Amortization'!$AY$3,'Key Life Events'!$N$3:$N$28,'Loan Amortization'!AT641),AU640-AX640)</f>
        <v>0</v>
      </c>
      <c r="AV641" s="532">
        <f t="shared" ca="1" si="447"/>
        <v>0</v>
      </c>
      <c r="AW641" s="532">
        <f t="shared" ca="1" si="436"/>
        <v>0</v>
      </c>
      <c r="AX641" s="532">
        <f t="shared" ca="1" si="437"/>
        <v>0</v>
      </c>
      <c r="BC641" s="536">
        <f t="shared" ca="1" si="438"/>
        <v>2079</v>
      </c>
      <c r="BF641" s="530">
        <v>640</v>
      </c>
      <c r="BG641" s="531">
        <f t="shared" ca="1" si="448"/>
        <v>65646</v>
      </c>
      <c r="BH641" s="532">
        <f ca="1">IF(BH640=0,SUMIFS('Key Life Events'!$L$3:$L$28,'Key Life Events'!$H$3:$H$28,'Loan Amortization'!$BL$3,'Key Life Events'!$N$3:$N$28,'Loan Amortization'!BG641),BH640-BK640)</f>
        <v>0</v>
      </c>
      <c r="BI641" s="532">
        <f t="shared" ca="1" si="449"/>
        <v>0</v>
      </c>
      <c r="BJ641" s="532">
        <f t="shared" ca="1" si="450"/>
        <v>0</v>
      </c>
      <c r="BK641" s="532">
        <f t="shared" ca="1" si="439"/>
        <v>0</v>
      </c>
      <c r="BP641" s="536">
        <f t="shared" ca="1" si="440"/>
        <v>2079</v>
      </c>
      <c r="BS641" s="530">
        <v>640</v>
      </c>
      <c r="BT641" s="531">
        <f t="shared" ca="1" si="451"/>
        <v>65646</v>
      </c>
      <c r="BU641" s="532">
        <f ca="1">IF(BU640=0,SUMIFS('Key Life Events'!$L$3:$L$28,'Key Life Events'!$H$3:$H$28,'Loan Amortization'!$BY$3,'Key Life Events'!$N$3:$N$28,'Loan Amortization'!BT641),BU640-BX640)</f>
        <v>0</v>
      </c>
      <c r="BV641" s="532">
        <f t="shared" ca="1" si="456"/>
        <v>0</v>
      </c>
      <c r="BW641" s="532">
        <f t="shared" ca="1" si="452"/>
        <v>0</v>
      </c>
      <c r="BX641" s="532">
        <f t="shared" ca="1" si="441"/>
        <v>0</v>
      </c>
      <c r="CC641" s="536">
        <f t="shared" ca="1" si="442"/>
        <v>2079</v>
      </c>
      <c r="CF641" s="530">
        <v>640</v>
      </c>
      <c r="CG641" s="531">
        <f t="shared" ca="1" si="453"/>
        <v>65646</v>
      </c>
      <c r="CH641" s="532">
        <f ca="1">IF(CH640=0,SUMIFS('Key Life Events'!$L$3:$L$28,'Key Life Events'!$H$3:$H$28,'Loan Amortization'!$CL$3,'Key Life Events'!$N$3:$N$28,'Loan Amortization'!CG641),CH640-CK640)</f>
        <v>0</v>
      </c>
      <c r="CI641" s="532">
        <f t="shared" ca="1" si="454"/>
        <v>0</v>
      </c>
      <c r="CJ641" s="532">
        <f t="shared" ca="1" si="455"/>
        <v>0</v>
      </c>
      <c r="CK641" s="532">
        <f t="shared" ca="1" si="443"/>
        <v>0</v>
      </c>
      <c r="CP641" s="536">
        <f t="shared" ca="1" si="444"/>
        <v>2079</v>
      </c>
      <c r="CS641" s="100">
        <f t="shared" si="477"/>
        <v>640</v>
      </c>
      <c r="CT641" s="102">
        <f t="shared" ca="1" si="478"/>
        <v>0</v>
      </c>
      <c r="CU641" s="102">
        <f t="shared" ca="1" si="479"/>
        <v>0</v>
      </c>
      <c r="CV641" s="511">
        <f t="shared" ca="1" si="445"/>
        <v>2079</v>
      </c>
    </row>
    <row r="642" spans="1:100" x14ac:dyDescent="0.3">
      <c r="A642" s="100">
        <v>641</v>
      </c>
      <c r="B642" s="131">
        <f t="shared" si="457"/>
        <v>18656</v>
      </c>
      <c r="C642" s="102">
        <f t="shared" si="458"/>
        <v>0</v>
      </c>
      <c r="D642" s="102">
        <f t="shared" si="459"/>
        <v>0</v>
      </c>
      <c r="E642" s="102">
        <f t="shared" si="460"/>
        <v>0</v>
      </c>
      <c r="F642" s="102">
        <f t="shared" si="461"/>
        <v>0</v>
      </c>
      <c r="L642" s="100">
        <v>641</v>
      </c>
      <c r="M642" s="131">
        <f t="shared" ca="1" si="462"/>
        <v>65676</v>
      </c>
      <c r="N642" s="102">
        <f t="shared" si="463"/>
        <v>0</v>
      </c>
      <c r="O642" s="102">
        <f t="shared" si="464"/>
        <v>0</v>
      </c>
      <c r="P642" s="102">
        <f t="shared" si="465"/>
        <v>0</v>
      </c>
      <c r="Q642" s="102">
        <f t="shared" si="466"/>
        <v>0</v>
      </c>
      <c r="W642" s="100">
        <v>641</v>
      </c>
      <c r="X642" s="131">
        <f t="shared" ca="1" si="467"/>
        <v>65676</v>
      </c>
      <c r="Y642" s="102">
        <f t="shared" si="468"/>
        <v>0</v>
      </c>
      <c r="Z642" s="102">
        <f t="shared" si="469"/>
        <v>0</v>
      </c>
      <c r="AA642" s="102">
        <f t="shared" si="470"/>
        <v>0</v>
      </c>
      <c r="AB642" s="102">
        <f t="shared" si="471"/>
        <v>0</v>
      </c>
      <c r="AH642" s="100">
        <v>641</v>
      </c>
      <c r="AI642" s="131">
        <f t="shared" ca="1" si="472"/>
        <v>65676</v>
      </c>
      <c r="AJ642" s="102">
        <f t="shared" si="473"/>
        <v>0</v>
      </c>
      <c r="AK642" s="102">
        <f t="shared" si="474"/>
        <v>0</v>
      </c>
      <c r="AL642" s="102">
        <f t="shared" si="475"/>
        <v>0</v>
      </c>
      <c r="AM642" s="102">
        <f t="shared" si="476"/>
        <v>0</v>
      </c>
      <c r="AS642" s="530">
        <v>641</v>
      </c>
      <c r="AT642" s="531">
        <f t="shared" ca="1" si="446"/>
        <v>65676</v>
      </c>
      <c r="AU642" s="532">
        <f ca="1">IF(AU641=0,SUMIFS('Key Life Events'!$L$3:$L$28,'Key Life Events'!$H$3:$H$28,'Loan Amortization'!$AY$3,'Key Life Events'!$N$3:$N$28,'Loan Amortization'!AT642),AU641-AX641)</f>
        <v>0</v>
      </c>
      <c r="AV642" s="532">
        <f t="shared" ca="1" si="447"/>
        <v>0</v>
      </c>
      <c r="AW642" s="532">
        <f t="shared" ref="AW642:AW674" ca="1" si="480">(AU642*AZ$1)/12</f>
        <v>0</v>
      </c>
      <c r="AX642" s="532">
        <f t="shared" ca="1" si="437"/>
        <v>0</v>
      </c>
      <c r="BC642" s="536">
        <f t="shared" ca="1" si="438"/>
        <v>2079</v>
      </c>
      <c r="BF642" s="530">
        <v>641</v>
      </c>
      <c r="BG642" s="531">
        <f t="shared" ca="1" si="448"/>
        <v>65676</v>
      </c>
      <c r="BH642" s="532">
        <f ca="1">IF(BH641=0,SUMIFS('Key Life Events'!$L$3:$L$28,'Key Life Events'!$H$3:$H$28,'Loan Amortization'!$BL$3,'Key Life Events'!$N$3:$N$28,'Loan Amortization'!BG642),BH641-BK641)</f>
        <v>0</v>
      </c>
      <c r="BI642" s="532">
        <f t="shared" ca="1" si="449"/>
        <v>0</v>
      </c>
      <c r="BJ642" s="532">
        <f t="shared" ca="1" si="450"/>
        <v>0</v>
      </c>
      <c r="BK642" s="532">
        <f t="shared" ca="1" si="439"/>
        <v>0</v>
      </c>
      <c r="BP642" s="536">
        <f t="shared" ca="1" si="440"/>
        <v>2079</v>
      </c>
      <c r="BS642" s="530">
        <v>641</v>
      </c>
      <c r="BT642" s="531">
        <f t="shared" ca="1" si="451"/>
        <v>65676</v>
      </c>
      <c r="BU642" s="532">
        <f ca="1">IF(BU641=0,SUMIFS('Key Life Events'!$L$3:$L$28,'Key Life Events'!$H$3:$H$28,'Loan Amortization'!$BY$3,'Key Life Events'!$N$3:$N$28,'Loan Amortization'!BT642),BU641-BX641)</f>
        <v>0</v>
      </c>
      <c r="BV642" s="532">
        <f t="shared" ca="1" si="456"/>
        <v>0</v>
      </c>
      <c r="BW642" s="532">
        <f t="shared" ca="1" si="452"/>
        <v>0</v>
      </c>
      <c r="BX642" s="532">
        <f t="shared" ca="1" si="441"/>
        <v>0</v>
      </c>
      <c r="CC642" s="536">
        <f t="shared" ca="1" si="442"/>
        <v>2079</v>
      </c>
      <c r="CF642" s="530">
        <v>641</v>
      </c>
      <c r="CG642" s="531">
        <f t="shared" ca="1" si="453"/>
        <v>65676</v>
      </c>
      <c r="CH642" s="532">
        <f ca="1">IF(CH641=0,SUMIFS('Key Life Events'!$L$3:$L$28,'Key Life Events'!$H$3:$H$28,'Loan Amortization'!$CL$3,'Key Life Events'!$N$3:$N$28,'Loan Amortization'!CG642),CH641-CK641)</f>
        <v>0</v>
      </c>
      <c r="CI642" s="532">
        <f t="shared" ca="1" si="454"/>
        <v>0</v>
      </c>
      <c r="CJ642" s="532">
        <f t="shared" ca="1" si="455"/>
        <v>0</v>
      </c>
      <c r="CK642" s="532">
        <f t="shared" ca="1" si="443"/>
        <v>0</v>
      </c>
      <c r="CP642" s="536">
        <f t="shared" ca="1" si="444"/>
        <v>2079</v>
      </c>
      <c r="CS642" s="100">
        <f t="shared" si="477"/>
        <v>641</v>
      </c>
      <c r="CT642" s="102">
        <f t="shared" ca="1" si="478"/>
        <v>0</v>
      </c>
      <c r="CU642" s="102">
        <f t="shared" ca="1" si="479"/>
        <v>0</v>
      </c>
      <c r="CV642" s="511">
        <f t="shared" ca="1" si="445"/>
        <v>2079</v>
      </c>
    </row>
    <row r="643" spans="1:100" x14ac:dyDescent="0.3">
      <c r="A643" s="100">
        <v>642</v>
      </c>
      <c r="B643" s="131">
        <f t="shared" si="457"/>
        <v>18687</v>
      </c>
      <c r="C643" s="102">
        <f t="shared" si="458"/>
        <v>0</v>
      </c>
      <c r="D643" s="102">
        <f t="shared" si="459"/>
        <v>0</v>
      </c>
      <c r="E643" s="102">
        <f t="shared" si="460"/>
        <v>0</v>
      </c>
      <c r="F643" s="102">
        <f t="shared" si="461"/>
        <v>0</v>
      </c>
      <c r="L643" s="100">
        <v>642</v>
      </c>
      <c r="M643" s="131">
        <f t="shared" ca="1" si="462"/>
        <v>65707</v>
      </c>
      <c r="N643" s="102">
        <f t="shared" si="463"/>
        <v>0</v>
      </c>
      <c r="O643" s="102">
        <f t="shared" si="464"/>
        <v>0</v>
      </c>
      <c r="P643" s="102">
        <f t="shared" si="465"/>
        <v>0</v>
      </c>
      <c r="Q643" s="102">
        <f t="shared" si="466"/>
        <v>0</v>
      </c>
      <c r="W643" s="100">
        <v>642</v>
      </c>
      <c r="X643" s="131">
        <f t="shared" ca="1" si="467"/>
        <v>65707</v>
      </c>
      <c r="Y643" s="102">
        <f t="shared" si="468"/>
        <v>0</v>
      </c>
      <c r="Z643" s="102">
        <f t="shared" si="469"/>
        <v>0</v>
      </c>
      <c r="AA643" s="102">
        <f t="shared" si="470"/>
        <v>0</v>
      </c>
      <c r="AB643" s="102">
        <f t="shared" si="471"/>
        <v>0</v>
      </c>
      <c r="AH643" s="100">
        <v>642</v>
      </c>
      <c r="AI643" s="131">
        <f t="shared" ca="1" si="472"/>
        <v>65707</v>
      </c>
      <c r="AJ643" s="102">
        <f t="shared" si="473"/>
        <v>0</v>
      </c>
      <c r="AK643" s="102">
        <f t="shared" si="474"/>
        <v>0</v>
      </c>
      <c r="AL643" s="102">
        <f t="shared" si="475"/>
        <v>0</v>
      </c>
      <c r="AM643" s="102">
        <f t="shared" si="476"/>
        <v>0</v>
      </c>
      <c r="AS643" s="530">
        <v>642</v>
      </c>
      <c r="AT643" s="531">
        <f t="shared" ca="1" si="446"/>
        <v>65707</v>
      </c>
      <c r="AU643" s="532">
        <f ca="1">IF(AU642=0,SUMIFS('Key Life Events'!$L$3:$L$28,'Key Life Events'!$H$3:$H$28,'Loan Amortization'!$AY$3,'Key Life Events'!$N$3:$N$28,'Loan Amortization'!AT643),AU642-AX642)</f>
        <v>0</v>
      </c>
      <c r="AV643" s="532">
        <f t="shared" ca="1" si="447"/>
        <v>0</v>
      </c>
      <c r="AW643" s="532">
        <f t="shared" ca="1" si="480"/>
        <v>0</v>
      </c>
      <c r="AX643" s="532">
        <f t="shared" ref="AX643:AX674" ca="1" si="481">AV643-AW643</f>
        <v>0</v>
      </c>
      <c r="BC643" s="536">
        <f t="shared" ref="BC643:BC674" ca="1" si="482">YEAR(AT643)</f>
        <v>2079</v>
      </c>
      <c r="BF643" s="530">
        <v>642</v>
      </c>
      <c r="BG643" s="531">
        <f t="shared" ca="1" si="448"/>
        <v>65707</v>
      </c>
      <c r="BH643" s="532">
        <f ca="1">IF(BH642=0,SUMIFS('Key Life Events'!$L$3:$L$28,'Key Life Events'!$H$3:$H$28,'Loan Amortization'!$BL$3,'Key Life Events'!$N$3:$N$28,'Loan Amortization'!BG643),BH642-BK642)</f>
        <v>0</v>
      </c>
      <c r="BI643" s="532">
        <f t="shared" ca="1" si="449"/>
        <v>0</v>
      </c>
      <c r="BJ643" s="532">
        <f t="shared" ca="1" si="450"/>
        <v>0</v>
      </c>
      <c r="BK643" s="532">
        <f t="shared" ref="BK643:BK674" ca="1" si="483">BI643-BJ643</f>
        <v>0</v>
      </c>
      <c r="BP643" s="536">
        <f t="shared" ref="BP643:BP674" ca="1" si="484">YEAR(BG643)</f>
        <v>2079</v>
      </c>
      <c r="BS643" s="530">
        <v>642</v>
      </c>
      <c r="BT643" s="531">
        <f t="shared" ca="1" si="451"/>
        <v>65707</v>
      </c>
      <c r="BU643" s="532">
        <f ca="1">IF(BU642=0,SUMIFS('Key Life Events'!$L$3:$L$28,'Key Life Events'!$H$3:$H$28,'Loan Amortization'!$BY$3,'Key Life Events'!$N$3:$N$28,'Loan Amortization'!BT643),BU642-BX642)</f>
        <v>0</v>
      </c>
      <c r="BV643" s="532">
        <f t="shared" ca="1" si="456"/>
        <v>0</v>
      </c>
      <c r="BW643" s="532">
        <f t="shared" ca="1" si="452"/>
        <v>0</v>
      </c>
      <c r="BX643" s="532">
        <f t="shared" ref="BX643:BX674" ca="1" si="485">BV643-BW643</f>
        <v>0</v>
      </c>
      <c r="CC643" s="536">
        <f t="shared" ref="CC643:CC674" ca="1" si="486">YEAR(BT643)</f>
        <v>2079</v>
      </c>
      <c r="CF643" s="530">
        <v>642</v>
      </c>
      <c r="CG643" s="531">
        <f t="shared" ca="1" si="453"/>
        <v>65707</v>
      </c>
      <c r="CH643" s="532">
        <f ca="1">IF(CH642=0,SUMIFS('Key Life Events'!$L$3:$L$28,'Key Life Events'!$H$3:$H$28,'Loan Amortization'!$CL$3,'Key Life Events'!$N$3:$N$28,'Loan Amortization'!CG643),CH642-CK642)</f>
        <v>0</v>
      </c>
      <c r="CI643" s="532">
        <f t="shared" ca="1" si="454"/>
        <v>0</v>
      </c>
      <c r="CJ643" s="532">
        <f t="shared" ca="1" si="455"/>
        <v>0</v>
      </c>
      <c r="CK643" s="532">
        <f t="shared" ref="CK643:CK674" ca="1" si="487">CI643-CJ643</f>
        <v>0</v>
      </c>
      <c r="CP643" s="536">
        <f t="shared" ref="CP643:CP674" ca="1" si="488">YEAR(CG643)</f>
        <v>2079</v>
      </c>
      <c r="CS643" s="100">
        <f t="shared" si="477"/>
        <v>642</v>
      </c>
      <c r="CT643" s="102">
        <f t="shared" ca="1" si="478"/>
        <v>0</v>
      </c>
      <c r="CU643" s="102">
        <f t="shared" ca="1" si="479"/>
        <v>0</v>
      </c>
      <c r="CV643" s="511">
        <f t="shared" ref="CV643:CV674" ca="1" si="489">MAX(TEXT(B643,"yyyy"),TEXT(M643,"yyyy"),TEXT(X643,"yyyy"),TEXT(AT643,"yyyy"),TEXT(AI643,"yyyy"),TEXT(BG643,"yyyy"),TEXT(BT643,"yyyy"),TEXT(CG643,"yyyy"))</f>
        <v>2079</v>
      </c>
    </row>
    <row r="644" spans="1:100" x14ac:dyDescent="0.3">
      <c r="A644" s="100">
        <v>643</v>
      </c>
      <c r="B644" s="131">
        <f t="shared" si="457"/>
        <v>18715</v>
      </c>
      <c r="C644" s="102">
        <f t="shared" si="458"/>
        <v>0</v>
      </c>
      <c r="D644" s="102">
        <f t="shared" si="459"/>
        <v>0</v>
      </c>
      <c r="E644" s="102">
        <f t="shared" si="460"/>
        <v>0</v>
      </c>
      <c r="F644" s="102">
        <f t="shared" si="461"/>
        <v>0</v>
      </c>
      <c r="L644" s="100">
        <v>643</v>
      </c>
      <c r="M644" s="131">
        <f t="shared" ca="1" si="462"/>
        <v>65737</v>
      </c>
      <c r="N644" s="102">
        <f t="shared" si="463"/>
        <v>0</v>
      </c>
      <c r="O644" s="102">
        <f t="shared" si="464"/>
        <v>0</v>
      </c>
      <c r="P644" s="102">
        <f t="shared" si="465"/>
        <v>0</v>
      </c>
      <c r="Q644" s="102">
        <f t="shared" si="466"/>
        <v>0</v>
      </c>
      <c r="W644" s="100">
        <v>643</v>
      </c>
      <c r="X644" s="131">
        <f t="shared" ca="1" si="467"/>
        <v>65737</v>
      </c>
      <c r="Y644" s="102">
        <f t="shared" si="468"/>
        <v>0</v>
      </c>
      <c r="Z644" s="102">
        <f t="shared" si="469"/>
        <v>0</v>
      </c>
      <c r="AA644" s="102">
        <f t="shared" si="470"/>
        <v>0</v>
      </c>
      <c r="AB644" s="102">
        <f t="shared" si="471"/>
        <v>0</v>
      </c>
      <c r="AH644" s="100">
        <v>643</v>
      </c>
      <c r="AI644" s="131">
        <f t="shared" ca="1" si="472"/>
        <v>65737</v>
      </c>
      <c r="AJ644" s="102">
        <f t="shared" si="473"/>
        <v>0</v>
      </c>
      <c r="AK644" s="102">
        <f t="shared" si="474"/>
        <v>0</v>
      </c>
      <c r="AL644" s="102">
        <f t="shared" si="475"/>
        <v>0</v>
      </c>
      <c r="AM644" s="102">
        <f t="shared" si="476"/>
        <v>0</v>
      </c>
      <c r="AS644" s="530">
        <v>643</v>
      </c>
      <c r="AT644" s="531">
        <f t="shared" ref="AT644:AT674" ca="1" si="490">IF(AU643&lt;AV643,,EDATE(AT643,1))</f>
        <v>65737</v>
      </c>
      <c r="AU644" s="532">
        <f ca="1">IF(AU643=0,SUMIFS('Key Life Events'!$L$3:$L$28,'Key Life Events'!$H$3:$H$28,'Loan Amortization'!$AY$3,'Key Life Events'!$N$3:$N$28,'Loan Amortization'!AT644),AU643-AX643)</f>
        <v>0</v>
      </c>
      <c r="AV644" s="532">
        <f t="shared" ref="AV644:AV674" ca="1" si="491">IF(AND(AU643=0,AU644&gt;0),PMT($AZ$1/12,$BB$1*12,-AU644,0,0),IF(AU644&lt;=AV643,AU644+AW644,AV643))</f>
        <v>0</v>
      </c>
      <c r="AW644" s="532">
        <f t="shared" ca="1" si="480"/>
        <v>0</v>
      </c>
      <c r="AX644" s="532">
        <f t="shared" ca="1" si="481"/>
        <v>0</v>
      </c>
      <c r="BC644" s="536">
        <f t="shared" ca="1" si="482"/>
        <v>2079</v>
      </c>
      <c r="BF644" s="530">
        <v>643</v>
      </c>
      <c r="BG644" s="531">
        <f t="shared" ref="BG644:BG674" ca="1" si="492">IF(BH643&lt;BI643,,EDATE(BG643,1))</f>
        <v>65737</v>
      </c>
      <c r="BH644" s="532">
        <f ca="1">IF(BH643=0,SUMIFS('Key Life Events'!$L$3:$L$28,'Key Life Events'!$H$3:$H$28,'Loan Amortization'!$BL$3,'Key Life Events'!$N$3:$N$28,'Loan Amortization'!BG644),BH643-BK643)</f>
        <v>0</v>
      </c>
      <c r="BI644" s="532">
        <f t="shared" ref="BI644:BI674" ca="1" si="493">IF(AND(BH643=0,BH644&gt;0),PMT(BM$1/12,BO$1*12,-BH644,0,0),IF(BH644&lt;=BI643,BH644+BJ644,BI643))</f>
        <v>0</v>
      </c>
      <c r="BJ644" s="532">
        <f t="shared" ref="BJ644:BJ674" ca="1" si="494">(BH644*BM$1)/12</f>
        <v>0</v>
      </c>
      <c r="BK644" s="532">
        <f t="shared" ca="1" si="483"/>
        <v>0</v>
      </c>
      <c r="BP644" s="536">
        <f t="shared" ca="1" si="484"/>
        <v>2079</v>
      </c>
      <c r="BS644" s="530">
        <v>643</v>
      </c>
      <c r="BT644" s="531">
        <f t="shared" ref="BT644:BT674" ca="1" si="495">IF(BU643&lt;BV643,,EDATE(BT643,1))</f>
        <v>65737</v>
      </c>
      <c r="BU644" s="532">
        <f ca="1">IF(BU643=0,SUMIFS('Key Life Events'!$L$3:$L$28,'Key Life Events'!$H$3:$H$28,'Loan Amortization'!$BY$3,'Key Life Events'!$N$3:$N$28,'Loan Amortization'!BT644),BU643-BX643)</f>
        <v>0</v>
      </c>
      <c r="BV644" s="532">
        <f t="shared" ca="1" si="456"/>
        <v>0</v>
      </c>
      <c r="BW644" s="532">
        <f t="shared" ref="BW644:BW674" ca="1" si="496">(BU644*BZ$1)/12</f>
        <v>0</v>
      </c>
      <c r="BX644" s="532">
        <f t="shared" ca="1" si="485"/>
        <v>0</v>
      </c>
      <c r="CC644" s="536">
        <f t="shared" ca="1" si="486"/>
        <v>2079</v>
      </c>
      <c r="CF644" s="530">
        <v>643</v>
      </c>
      <c r="CG644" s="531">
        <f t="shared" ref="CG644:CG674" ca="1" si="497">IF(CH643&lt;CI643,,EDATE(CG643,1))</f>
        <v>65737</v>
      </c>
      <c r="CH644" s="532">
        <f ca="1">IF(CH643=0,SUMIFS('Key Life Events'!$L$3:$L$28,'Key Life Events'!$H$3:$H$28,'Loan Amortization'!$CL$3,'Key Life Events'!$N$3:$N$28,'Loan Amortization'!CG644),CH643-CK643)</f>
        <v>0</v>
      </c>
      <c r="CI644" s="532">
        <f t="shared" ref="CI644:CI674" ca="1" si="498">IF(AND(CH643=0,CH644&gt;0),PMT(CM$1/12,CO$1*12,-CH644,0,0),IF(CH644&lt;=CI643,CH644+CJ644,CI643))</f>
        <v>0</v>
      </c>
      <c r="CJ644" s="532">
        <f t="shared" ref="CJ644:CJ674" ca="1" si="499">(CH644*CM$1)/12</f>
        <v>0</v>
      </c>
      <c r="CK644" s="532">
        <f t="shared" ca="1" si="487"/>
        <v>0</v>
      </c>
      <c r="CP644" s="536">
        <f t="shared" ca="1" si="488"/>
        <v>2079</v>
      </c>
      <c r="CS644" s="100">
        <f t="shared" si="477"/>
        <v>643</v>
      </c>
      <c r="CT644" s="102">
        <f t="shared" ca="1" si="478"/>
        <v>0</v>
      </c>
      <c r="CU644" s="102">
        <f t="shared" ca="1" si="479"/>
        <v>0</v>
      </c>
      <c r="CV644" s="511">
        <f t="shared" ca="1" si="489"/>
        <v>2079</v>
      </c>
    </row>
    <row r="645" spans="1:100" x14ac:dyDescent="0.3">
      <c r="A645" s="100">
        <v>644</v>
      </c>
      <c r="B645" s="131">
        <f t="shared" si="457"/>
        <v>18746</v>
      </c>
      <c r="C645" s="102">
        <f t="shared" si="458"/>
        <v>0</v>
      </c>
      <c r="D645" s="102">
        <f t="shared" si="459"/>
        <v>0</v>
      </c>
      <c r="E645" s="102">
        <f t="shared" si="460"/>
        <v>0</v>
      </c>
      <c r="F645" s="102">
        <f t="shared" si="461"/>
        <v>0</v>
      </c>
      <c r="L645" s="100">
        <v>644</v>
      </c>
      <c r="M645" s="131">
        <f t="shared" ca="1" si="462"/>
        <v>65768</v>
      </c>
      <c r="N645" s="102">
        <f t="shared" si="463"/>
        <v>0</v>
      </c>
      <c r="O645" s="102">
        <f t="shared" si="464"/>
        <v>0</v>
      </c>
      <c r="P645" s="102">
        <f t="shared" si="465"/>
        <v>0</v>
      </c>
      <c r="Q645" s="102">
        <f t="shared" si="466"/>
        <v>0</v>
      </c>
      <c r="W645" s="100">
        <v>644</v>
      </c>
      <c r="X645" s="131">
        <f t="shared" ca="1" si="467"/>
        <v>65768</v>
      </c>
      <c r="Y645" s="102">
        <f t="shared" si="468"/>
        <v>0</v>
      </c>
      <c r="Z645" s="102">
        <f t="shared" si="469"/>
        <v>0</v>
      </c>
      <c r="AA645" s="102">
        <f t="shared" si="470"/>
        <v>0</v>
      </c>
      <c r="AB645" s="102">
        <f t="shared" si="471"/>
        <v>0</v>
      </c>
      <c r="AH645" s="100">
        <v>644</v>
      </c>
      <c r="AI645" s="131">
        <f t="shared" ca="1" si="472"/>
        <v>65768</v>
      </c>
      <c r="AJ645" s="102">
        <f t="shared" si="473"/>
        <v>0</v>
      </c>
      <c r="AK645" s="102">
        <f t="shared" si="474"/>
        <v>0</v>
      </c>
      <c r="AL645" s="102">
        <f t="shared" si="475"/>
        <v>0</v>
      </c>
      <c r="AM645" s="102">
        <f t="shared" si="476"/>
        <v>0</v>
      </c>
      <c r="AS645" s="530">
        <v>644</v>
      </c>
      <c r="AT645" s="531">
        <f t="shared" ca="1" si="490"/>
        <v>65768</v>
      </c>
      <c r="AU645" s="532">
        <f ca="1">IF(AU644=0,SUMIFS('Key Life Events'!$L$3:$L$28,'Key Life Events'!$H$3:$H$28,'Loan Amortization'!$AY$3,'Key Life Events'!$N$3:$N$28,'Loan Amortization'!AT645),AU644-AX644)</f>
        <v>0</v>
      </c>
      <c r="AV645" s="532">
        <f t="shared" ca="1" si="491"/>
        <v>0</v>
      </c>
      <c r="AW645" s="532">
        <f t="shared" ca="1" si="480"/>
        <v>0</v>
      </c>
      <c r="AX645" s="532">
        <f t="shared" ca="1" si="481"/>
        <v>0</v>
      </c>
      <c r="BC645" s="536">
        <f t="shared" ca="1" si="482"/>
        <v>2080</v>
      </c>
      <c r="BF645" s="530">
        <v>644</v>
      </c>
      <c r="BG645" s="531">
        <f t="shared" ca="1" si="492"/>
        <v>65768</v>
      </c>
      <c r="BH645" s="532">
        <f ca="1">IF(BH644=0,SUMIFS('Key Life Events'!$L$3:$L$28,'Key Life Events'!$H$3:$H$28,'Loan Amortization'!$BL$3,'Key Life Events'!$N$3:$N$28,'Loan Amortization'!BG645),BH644-BK644)</f>
        <v>0</v>
      </c>
      <c r="BI645" s="532">
        <f t="shared" ca="1" si="493"/>
        <v>0</v>
      </c>
      <c r="BJ645" s="532">
        <f t="shared" ca="1" si="494"/>
        <v>0</v>
      </c>
      <c r="BK645" s="532">
        <f t="shared" ca="1" si="483"/>
        <v>0</v>
      </c>
      <c r="BP645" s="536">
        <f t="shared" ca="1" si="484"/>
        <v>2080</v>
      </c>
      <c r="BS645" s="530">
        <v>644</v>
      </c>
      <c r="BT645" s="531">
        <f t="shared" ca="1" si="495"/>
        <v>65768</v>
      </c>
      <c r="BU645" s="532">
        <f ca="1">IF(BU644=0,SUMIFS('Key Life Events'!$L$3:$L$28,'Key Life Events'!$H$3:$H$28,'Loan Amortization'!$BY$3,'Key Life Events'!$N$3:$N$28,'Loan Amortization'!BT645),BU644-BX644)</f>
        <v>0</v>
      </c>
      <c r="BV645" s="532">
        <f t="shared" ca="1" si="456"/>
        <v>0</v>
      </c>
      <c r="BW645" s="532">
        <f t="shared" ca="1" si="496"/>
        <v>0</v>
      </c>
      <c r="BX645" s="532">
        <f t="shared" ca="1" si="485"/>
        <v>0</v>
      </c>
      <c r="CC645" s="536">
        <f t="shared" ca="1" si="486"/>
        <v>2080</v>
      </c>
      <c r="CF645" s="530">
        <v>644</v>
      </c>
      <c r="CG645" s="531">
        <f t="shared" ca="1" si="497"/>
        <v>65768</v>
      </c>
      <c r="CH645" s="532">
        <f ca="1">IF(CH644=0,SUMIFS('Key Life Events'!$L$3:$L$28,'Key Life Events'!$H$3:$H$28,'Loan Amortization'!$CL$3,'Key Life Events'!$N$3:$N$28,'Loan Amortization'!CG645),CH644-CK644)</f>
        <v>0</v>
      </c>
      <c r="CI645" s="532">
        <f t="shared" ca="1" si="498"/>
        <v>0</v>
      </c>
      <c r="CJ645" s="532">
        <f t="shared" ca="1" si="499"/>
        <v>0</v>
      </c>
      <c r="CK645" s="532">
        <f t="shared" ca="1" si="487"/>
        <v>0</v>
      </c>
      <c r="CP645" s="536">
        <f t="shared" ca="1" si="488"/>
        <v>2080</v>
      </c>
      <c r="CS645" s="100">
        <f t="shared" si="477"/>
        <v>644</v>
      </c>
      <c r="CT645" s="102">
        <f t="shared" ca="1" si="478"/>
        <v>0</v>
      </c>
      <c r="CU645" s="102">
        <f t="shared" ca="1" si="479"/>
        <v>0</v>
      </c>
      <c r="CV645" s="511">
        <f t="shared" ca="1" si="489"/>
        <v>2080</v>
      </c>
    </row>
    <row r="646" spans="1:100" x14ac:dyDescent="0.3">
      <c r="A646" s="100">
        <v>645</v>
      </c>
      <c r="B646" s="131">
        <f t="shared" si="457"/>
        <v>18776</v>
      </c>
      <c r="C646" s="102">
        <f t="shared" si="458"/>
        <v>0</v>
      </c>
      <c r="D646" s="102">
        <f t="shared" si="459"/>
        <v>0</v>
      </c>
      <c r="E646" s="102">
        <f t="shared" si="460"/>
        <v>0</v>
      </c>
      <c r="F646" s="102">
        <f t="shared" si="461"/>
        <v>0</v>
      </c>
      <c r="L646" s="100">
        <v>645</v>
      </c>
      <c r="M646" s="131">
        <f t="shared" ca="1" si="462"/>
        <v>65799</v>
      </c>
      <c r="N646" s="102">
        <f t="shared" si="463"/>
        <v>0</v>
      </c>
      <c r="O646" s="102">
        <f t="shared" si="464"/>
        <v>0</v>
      </c>
      <c r="P646" s="102">
        <f t="shared" si="465"/>
        <v>0</v>
      </c>
      <c r="Q646" s="102">
        <f t="shared" si="466"/>
        <v>0</v>
      </c>
      <c r="W646" s="100">
        <v>645</v>
      </c>
      <c r="X646" s="131">
        <f t="shared" ca="1" si="467"/>
        <v>65799</v>
      </c>
      <c r="Y646" s="102">
        <f t="shared" si="468"/>
        <v>0</v>
      </c>
      <c r="Z646" s="102">
        <f t="shared" si="469"/>
        <v>0</v>
      </c>
      <c r="AA646" s="102">
        <f t="shared" si="470"/>
        <v>0</v>
      </c>
      <c r="AB646" s="102">
        <f t="shared" si="471"/>
        <v>0</v>
      </c>
      <c r="AH646" s="100">
        <v>645</v>
      </c>
      <c r="AI646" s="131">
        <f t="shared" ca="1" si="472"/>
        <v>65799</v>
      </c>
      <c r="AJ646" s="102">
        <f t="shared" si="473"/>
        <v>0</v>
      </c>
      <c r="AK646" s="102">
        <f t="shared" si="474"/>
        <v>0</v>
      </c>
      <c r="AL646" s="102">
        <f t="shared" si="475"/>
        <v>0</v>
      </c>
      <c r="AM646" s="102">
        <f t="shared" si="476"/>
        <v>0</v>
      </c>
      <c r="AS646" s="530">
        <v>645</v>
      </c>
      <c r="AT646" s="531">
        <f t="shared" ca="1" si="490"/>
        <v>65799</v>
      </c>
      <c r="AU646" s="532">
        <f ca="1">IF(AU645=0,SUMIFS('Key Life Events'!$L$3:$L$28,'Key Life Events'!$H$3:$H$28,'Loan Amortization'!$AY$3,'Key Life Events'!$N$3:$N$28,'Loan Amortization'!AT646),AU645-AX645)</f>
        <v>0</v>
      </c>
      <c r="AV646" s="532">
        <f t="shared" ca="1" si="491"/>
        <v>0</v>
      </c>
      <c r="AW646" s="532">
        <f t="shared" ca="1" si="480"/>
        <v>0</v>
      </c>
      <c r="AX646" s="532">
        <f t="shared" ca="1" si="481"/>
        <v>0</v>
      </c>
      <c r="BC646" s="536">
        <f t="shared" ca="1" si="482"/>
        <v>2080</v>
      </c>
      <c r="BF646" s="530">
        <v>645</v>
      </c>
      <c r="BG646" s="531">
        <f t="shared" ca="1" si="492"/>
        <v>65799</v>
      </c>
      <c r="BH646" s="532">
        <f ca="1">IF(BH645=0,SUMIFS('Key Life Events'!$L$3:$L$28,'Key Life Events'!$H$3:$H$28,'Loan Amortization'!$BL$3,'Key Life Events'!$N$3:$N$28,'Loan Amortization'!BG646),BH645-BK645)</f>
        <v>0</v>
      </c>
      <c r="BI646" s="532">
        <f t="shared" ca="1" si="493"/>
        <v>0</v>
      </c>
      <c r="BJ646" s="532">
        <f t="shared" ca="1" si="494"/>
        <v>0</v>
      </c>
      <c r="BK646" s="532">
        <f t="shared" ca="1" si="483"/>
        <v>0</v>
      </c>
      <c r="BP646" s="536">
        <f t="shared" ca="1" si="484"/>
        <v>2080</v>
      </c>
      <c r="BS646" s="530">
        <v>645</v>
      </c>
      <c r="BT646" s="531">
        <f t="shared" ca="1" si="495"/>
        <v>65799</v>
      </c>
      <c r="BU646" s="532">
        <f ca="1">IF(BU645=0,SUMIFS('Key Life Events'!$L$3:$L$28,'Key Life Events'!$H$3:$H$28,'Loan Amortization'!$BY$3,'Key Life Events'!$N$3:$N$28,'Loan Amortization'!BT646),BU645-BX645)</f>
        <v>0</v>
      </c>
      <c r="BV646" s="532">
        <f t="shared" ref="BV646:BV674" ca="1" si="500">IF(AND(BU645=0,BU646&gt;0),PMT(BZ$1/12,CB$1*12,-BU646,0,0),IF(BU646&lt;=BV645,BU646+BW646,BV645))</f>
        <v>0</v>
      </c>
      <c r="BW646" s="532">
        <f t="shared" ca="1" si="496"/>
        <v>0</v>
      </c>
      <c r="BX646" s="532">
        <f t="shared" ca="1" si="485"/>
        <v>0</v>
      </c>
      <c r="CC646" s="536">
        <f t="shared" ca="1" si="486"/>
        <v>2080</v>
      </c>
      <c r="CF646" s="530">
        <v>645</v>
      </c>
      <c r="CG646" s="531">
        <f t="shared" ca="1" si="497"/>
        <v>65799</v>
      </c>
      <c r="CH646" s="532">
        <f ca="1">IF(CH645=0,SUMIFS('Key Life Events'!$L$3:$L$28,'Key Life Events'!$H$3:$H$28,'Loan Amortization'!$CL$3,'Key Life Events'!$N$3:$N$28,'Loan Amortization'!CG646),CH645-CK645)</f>
        <v>0</v>
      </c>
      <c r="CI646" s="532">
        <f t="shared" ca="1" si="498"/>
        <v>0</v>
      </c>
      <c r="CJ646" s="532">
        <f t="shared" ca="1" si="499"/>
        <v>0</v>
      </c>
      <c r="CK646" s="532">
        <f t="shared" ca="1" si="487"/>
        <v>0</v>
      </c>
      <c r="CP646" s="536">
        <f t="shared" ca="1" si="488"/>
        <v>2080</v>
      </c>
      <c r="CS646" s="100">
        <f t="shared" si="477"/>
        <v>645</v>
      </c>
      <c r="CT646" s="102">
        <f t="shared" ca="1" si="478"/>
        <v>0</v>
      </c>
      <c r="CU646" s="102">
        <f t="shared" ca="1" si="479"/>
        <v>0</v>
      </c>
      <c r="CV646" s="511">
        <f t="shared" ca="1" si="489"/>
        <v>2080</v>
      </c>
    </row>
    <row r="647" spans="1:100" x14ac:dyDescent="0.3">
      <c r="A647" s="100">
        <v>646</v>
      </c>
      <c r="B647" s="131">
        <f t="shared" si="457"/>
        <v>18807</v>
      </c>
      <c r="C647" s="102">
        <f t="shared" si="458"/>
        <v>0</v>
      </c>
      <c r="D647" s="102">
        <f t="shared" si="459"/>
        <v>0</v>
      </c>
      <c r="E647" s="102">
        <f t="shared" si="460"/>
        <v>0</v>
      </c>
      <c r="F647" s="102">
        <f t="shared" si="461"/>
        <v>0</v>
      </c>
      <c r="L647" s="100">
        <v>646</v>
      </c>
      <c r="M647" s="131">
        <f t="shared" ca="1" si="462"/>
        <v>65828</v>
      </c>
      <c r="N647" s="102">
        <f t="shared" si="463"/>
        <v>0</v>
      </c>
      <c r="O647" s="102">
        <f t="shared" si="464"/>
        <v>0</v>
      </c>
      <c r="P647" s="102">
        <f t="shared" si="465"/>
        <v>0</v>
      </c>
      <c r="Q647" s="102">
        <f t="shared" si="466"/>
        <v>0</v>
      </c>
      <c r="W647" s="100">
        <v>646</v>
      </c>
      <c r="X647" s="131">
        <f t="shared" ca="1" si="467"/>
        <v>65828</v>
      </c>
      <c r="Y647" s="102">
        <f t="shared" si="468"/>
        <v>0</v>
      </c>
      <c r="Z647" s="102">
        <f t="shared" si="469"/>
        <v>0</v>
      </c>
      <c r="AA647" s="102">
        <f t="shared" si="470"/>
        <v>0</v>
      </c>
      <c r="AB647" s="102">
        <f t="shared" si="471"/>
        <v>0</v>
      </c>
      <c r="AH647" s="100">
        <v>646</v>
      </c>
      <c r="AI647" s="131">
        <f t="shared" ca="1" si="472"/>
        <v>65828</v>
      </c>
      <c r="AJ647" s="102">
        <f t="shared" si="473"/>
        <v>0</v>
      </c>
      <c r="AK647" s="102">
        <f t="shared" si="474"/>
        <v>0</v>
      </c>
      <c r="AL647" s="102">
        <f t="shared" si="475"/>
        <v>0</v>
      </c>
      <c r="AM647" s="102">
        <f t="shared" si="476"/>
        <v>0</v>
      </c>
      <c r="AS647" s="530">
        <v>646</v>
      </c>
      <c r="AT647" s="531">
        <f t="shared" ca="1" si="490"/>
        <v>65828</v>
      </c>
      <c r="AU647" s="532">
        <f ca="1">IF(AU646=0,SUMIFS('Key Life Events'!$L$3:$L$28,'Key Life Events'!$H$3:$H$28,'Loan Amortization'!$AY$3,'Key Life Events'!$N$3:$N$28,'Loan Amortization'!AT647),AU646-AX646)</f>
        <v>0</v>
      </c>
      <c r="AV647" s="532">
        <f t="shared" ca="1" si="491"/>
        <v>0</v>
      </c>
      <c r="AW647" s="532">
        <f t="shared" ca="1" si="480"/>
        <v>0</v>
      </c>
      <c r="AX647" s="532">
        <f t="shared" ca="1" si="481"/>
        <v>0</v>
      </c>
      <c r="BC647" s="536">
        <f t="shared" ca="1" si="482"/>
        <v>2080</v>
      </c>
      <c r="BF647" s="530">
        <v>646</v>
      </c>
      <c r="BG647" s="531">
        <f t="shared" ca="1" si="492"/>
        <v>65828</v>
      </c>
      <c r="BH647" s="532">
        <f ca="1">IF(BH646=0,SUMIFS('Key Life Events'!$L$3:$L$28,'Key Life Events'!$H$3:$H$28,'Loan Amortization'!$BL$3,'Key Life Events'!$N$3:$N$28,'Loan Amortization'!BG647),BH646-BK646)</f>
        <v>0</v>
      </c>
      <c r="BI647" s="532">
        <f t="shared" ca="1" si="493"/>
        <v>0</v>
      </c>
      <c r="BJ647" s="532">
        <f t="shared" ca="1" si="494"/>
        <v>0</v>
      </c>
      <c r="BK647" s="532">
        <f t="shared" ca="1" si="483"/>
        <v>0</v>
      </c>
      <c r="BP647" s="536">
        <f t="shared" ca="1" si="484"/>
        <v>2080</v>
      </c>
      <c r="BS647" s="530">
        <v>646</v>
      </c>
      <c r="BT647" s="531">
        <f t="shared" ca="1" si="495"/>
        <v>65828</v>
      </c>
      <c r="BU647" s="532">
        <f ca="1">IF(BU646=0,SUMIFS('Key Life Events'!$L$3:$L$28,'Key Life Events'!$H$3:$H$28,'Loan Amortization'!$BY$3,'Key Life Events'!$N$3:$N$28,'Loan Amortization'!BT647),BU646-BX646)</f>
        <v>0</v>
      </c>
      <c r="BV647" s="532">
        <f t="shared" ca="1" si="500"/>
        <v>0</v>
      </c>
      <c r="BW647" s="532">
        <f t="shared" ca="1" si="496"/>
        <v>0</v>
      </c>
      <c r="BX647" s="532">
        <f t="shared" ca="1" si="485"/>
        <v>0</v>
      </c>
      <c r="CC647" s="536">
        <f t="shared" ca="1" si="486"/>
        <v>2080</v>
      </c>
      <c r="CF647" s="530">
        <v>646</v>
      </c>
      <c r="CG647" s="531">
        <f t="shared" ca="1" si="497"/>
        <v>65828</v>
      </c>
      <c r="CH647" s="532">
        <f ca="1">IF(CH646=0,SUMIFS('Key Life Events'!$L$3:$L$28,'Key Life Events'!$H$3:$H$28,'Loan Amortization'!$CL$3,'Key Life Events'!$N$3:$N$28,'Loan Amortization'!CG647),CH646-CK646)</f>
        <v>0</v>
      </c>
      <c r="CI647" s="532">
        <f t="shared" ca="1" si="498"/>
        <v>0</v>
      </c>
      <c r="CJ647" s="532">
        <f t="shared" ca="1" si="499"/>
        <v>0</v>
      </c>
      <c r="CK647" s="532">
        <f t="shared" ca="1" si="487"/>
        <v>0</v>
      </c>
      <c r="CP647" s="536">
        <f t="shared" ca="1" si="488"/>
        <v>2080</v>
      </c>
      <c r="CS647" s="100">
        <f t="shared" si="477"/>
        <v>646</v>
      </c>
      <c r="CT647" s="102">
        <f t="shared" ca="1" si="478"/>
        <v>0</v>
      </c>
      <c r="CU647" s="102">
        <f t="shared" ca="1" si="479"/>
        <v>0</v>
      </c>
      <c r="CV647" s="511">
        <f t="shared" ca="1" si="489"/>
        <v>2080</v>
      </c>
    </row>
    <row r="648" spans="1:100" x14ac:dyDescent="0.3">
      <c r="A648" s="100">
        <v>647</v>
      </c>
      <c r="B648" s="131">
        <f t="shared" si="457"/>
        <v>18837</v>
      </c>
      <c r="C648" s="102">
        <f t="shared" si="458"/>
        <v>0</v>
      </c>
      <c r="D648" s="102">
        <f t="shared" si="459"/>
        <v>0</v>
      </c>
      <c r="E648" s="102">
        <f t="shared" si="460"/>
        <v>0</v>
      </c>
      <c r="F648" s="102">
        <f t="shared" si="461"/>
        <v>0</v>
      </c>
      <c r="L648" s="100">
        <v>647</v>
      </c>
      <c r="M648" s="131">
        <f t="shared" ca="1" si="462"/>
        <v>65859</v>
      </c>
      <c r="N648" s="102">
        <f t="shared" si="463"/>
        <v>0</v>
      </c>
      <c r="O648" s="102">
        <f t="shared" si="464"/>
        <v>0</v>
      </c>
      <c r="P648" s="102">
        <f t="shared" si="465"/>
        <v>0</v>
      </c>
      <c r="Q648" s="102">
        <f t="shared" si="466"/>
        <v>0</v>
      </c>
      <c r="W648" s="100">
        <v>647</v>
      </c>
      <c r="X648" s="131">
        <f t="shared" ca="1" si="467"/>
        <v>65859</v>
      </c>
      <c r="Y648" s="102">
        <f t="shared" si="468"/>
        <v>0</v>
      </c>
      <c r="Z648" s="102">
        <f t="shared" si="469"/>
        <v>0</v>
      </c>
      <c r="AA648" s="102">
        <f t="shared" si="470"/>
        <v>0</v>
      </c>
      <c r="AB648" s="102">
        <f t="shared" si="471"/>
        <v>0</v>
      </c>
      <c r="AH648" s="100">
        <v>647</v>
      </c>
      <c r="AI648" s="131">
        <f t="shared" ca="1" si="472"/>
        <v>65859</v>
      </c>
      <c r="AJ648" s="102">
        <f t="shared" si="473"/>
        <v>0</v>
      </c>
      <c r="AK648" s="102">
        <f t="shared" si="474"/>
        <v>0</v>
      </c>
      <c r="AL648" s="102">
        <f t="shared" si="475"/>
        <v>0</v>
      </c>
      <c r="AM648" s="102">
        <f t="shared" si="476"/>
        <v>0</v>
      </c>
      <c r="AS648" s="530">
        <v>647</v>
      </c>
      <c r="AT648" s="531">
        <f t="shared" ca="1" si="490"/>
        <v>65859</v>
      </c>
      <c r="AU648" s="532">
        <f ca="1">IF(AU647=0,SUMIFS('Key Life Events'!$L$3:$L$28,'Key Life Events'!$H$3:$H$28,'Loan Amortization'!$AY$3,'Key Life Events'!$N$3:$N$28,'Loan Amortization'!AT648),AU647-AX647)</f>
        <v>0</v>
      </c>
      <c r="AV648" s="532">
        <f t="shared" ca="1" si="491"/>
        <v>0</v>
      </c>
      <c r="AW648" s="532">
        <f t="shared" ca="1" si="480"/>
        <v>0</v>
      </c>
      <c r="AX648" s="532">
        <f t="shared" ca="1" si="481"/>
        <v>0</v>
      </c>
      <c r="BC648" s="536">
        <f t="shared" ca="1" si="482"/>
        <v>2080</v>
      </c>
      <c r="BF648" s="530">
        <v>647</v>
      </c>
      <c r="BG648" s="531">
        <f t="shared" ca="1" si="492"/>
        <v>65859</v>
      </c>
      <c r="BH648" s="532">
        <f ca="1">IF(BH647=0,SUMIFS('Key Life Events'!$L$3:$L$28,'Key Life Events'!$H$3:$H$28,'Loan Amortization'!$BL$3,'Key Life Events'!$N$3:$N$28,'Loan Amortization'!BG648),BH647-BK647)</f>
        <v>0</v>
      </c>
      <c r="BI648" s="532">
        <f t="shared" ca="1" si="493"/>
        <v>0</v>
      </c>
      <c r="BJ648" s="532">
        <f t="shared" ca="1" si="494"/>
        <v>0</v>
      </c>
      <c r="BK648" s="532">
        <f t="shared" ca="1" si="483"/>
        <v>0</v>
      </c>
      <c r="BP648" s="536">
        <f t="shared" ca="1" si="484"/>
        <v>2080</v>
      </c>
      <c r="BS648" s="530">
        <v>647</v>
      </c>
      <c r="BT648" s="531">
        <f t="shared" ca="1" si="495"/>
        <v>65859</v>
      </c>
      <c r="BU648" s="532">
        <f ca="1">IF(BU647=0,SUMIFS('Key Life Events'!$L$3:$L$28,'Key Life Events'!$H$3:$H$28,'Loan Amortization'!$BY$3,'Key Life Events'!$N$3:$N$28,'Loan Amortization'!BT648),BU647-BX647)</f>
        <v>0</v>
      </c>
      <c r="BV648" s="532">
        <f t="shared" ca="1" si="500"/>
        <v>0</v>
      </c>
      <c r="BW648" s="532">
        <f t="shared" ca="1" si="496"/>
        <v>0</v>
      </c>
      <c r="BX648" s="532">
        <f t="shared" ca="1" si="485"/>
        <v>0</v>
      </c>
      <c r="CC648" s="536">
        <f t="shared" ca="1" si="486"/>
        <v>2080</v>
      </c>
      <c r="CF648" s="530">
        <v>647</v>
      </c>
      <c r="CG648" s="531">
        <f t="shared" ca="1" si="497"/>
        <v>65859</v>
      </c>
      <c r="CH648" s="532">
        <f ca="1">IF(CH647=0,SUMIFS('Key Life Events'!$L$3:$L$28,'Key Life Events'!$H$3:$H$28,'Loan Amortization'!$CL$3,'Key Life Events'!$N$3:$N$28,'Loan Amortization'!CG648),CH647-CK647)</f>
        <v>0</v>
      </c>
      <c r="CI648" s="532">
        <f t="shared" ca="1" si="498"/>
        <v>0</v>
      </c>
      <c r="CJ648" s="532">
        <f t="shared" ca="1" si="499"/>
        <v>0</v>
      </c>
      <c r="CK648" s="532">
        <f t="shared" ca="1" si="487"/>
        <v>0</v>
      </c>
      <c r="CP648" s="536">
        <f t="shared" ca="1" si="488"/>
        <v>2080</v>
      </c>
      <c r="CS648" s="100">
        <f t="shared" si="477"/>
        <v>647</v>
      </c>
      <c r="CT648" s="102">
        <f t="shared" ca="1" si="478"/>
        <v>0</v>
      </c>
      <c r="CU648" s="102">
        <f t="shared" ca="1" si="479"/>
        <v>0</v>
      </c>
      <c r="CV648" s="511">
        <f t="shared" ca="1" si="489"/>
        <v>2080</v>
      </c>
    </row>
    <row r="649" spans="1:100" x14ac:dyDescent="0.3">
      <c r="A649" s="100">
        <v>648</v>
      </c>
      <c r="B649" s="131">
        <f t="shared" si="457"/>
        <v>18868</v>
      </c>
      <c r="C649" s="102">
        <f t="shared" si="458"/>
        <v>0</v>
      </c>
      <c r="D649" s="102">
        <f t="shared" si="459"/>
        <v>0</v>
      </c>
      <c r="E649" s="102">
        <f t="shared" si="460"/>
        <v>0</v>
      </c>
      <c r="F649" s="102">
        <f t="shared" si="461"/>
        <v>0</v>
      </c>
      <c r="L649" s="100">
        <v>648</v>
      </c>
      <c r="M649" s="131">
        <f t="shared" ca="1" si="462"/>
        <v>65889</v>
      </c>
      <c r="N649" s="102">
        <f t="shared" si="463"/>
        <v>0</v>
      </c>
      <c r="O649" s="102">
        <f t="shared" si="464"/>
        <v>0</v>
      </c>
      <c r="P649" s="102">
        <f t="shared" si="465"/>
        <v>0</v>
      </c>
      <c r="Q649" s="102">
        <f t="shared" si="466"/>
        <v>0</v>
      </c>
      <c r="W649" s="100">
        <v>648</v>
      </c>
      <c r="X649" s="131">
        <f t="shared" ca="1" si="467"/>
        <v>65889</v>
      </c>
      <c r="Y649" s="102">
        <f t="shared" si="468"/>
        <v>0</v>
      </c>
      <c r="Z649" s="102">
        <f t="shared" si="469"/>
        <v>0</v>
      </c>
      <c r="AA649" s="102">
        <f t="shared" si="470"/>
        <v>0</v>
      </c>
      <c r="AB649" s="102">
        <f t="shared" si="471"/>
        <v>0</v>
      </c>
      <c r="AH649" s="100">
        <v>648</v>
      </c>
      <c r="AI649" s="131">
        <f t="shared" ca="1" si="472"/>
        <v>65889</v>
      </c>
      <c r="AJ649" s="102">
        <f t="shared" si="473"/>
        <v>0</v>
      </c>
      <c r="AK649" s="102">
        <f t="shared" si="474"/>
        <v>0</v>
      </c>
      <c r="AL649" s="102">
        <f t="shared" si="475"/>
        <v>0</v>
      </c>
      <c r="AM649" s="102">
        <f t="shared" si="476"/>
        <v>0</v>
      </c>
      <c r="AS649" s="530">
        <v>648</v>
      </c>
      <c r="AT649" s="531">
        <f t="shared" ca="1" si="490"/>
        <v>65889</v>
      </c>
      <c r="AU649" s="532">
        <f ca="1">IF(AU648=0,SUMIFS('Key Life Events'!$L$3:$L$28,'Key Life Events'!$H$3:$H$28,'Loan Amortization'!$AY$3,'Key Life Events'!$N$3:$N$28,'Loan Amortization'!AT649),AU648-AX648)</f>
        <v>0</v>
      </c>
      <c r="AV649" s="532">
        <f t="shared" ca="1" si="491"/>
        <v>0</v>
      </c>
      <c r="AW649" s="532">
        <f t="shared" ca="1" si="480"/>
        <v>0</v>
      </c>
      <c r="AX649" s="532">
        <f t="shared" ca="1" si="481"/>
        <v>0</v>
      </c>
      <c r="BC649" s="536">
        <f t="shared" ca="1" si="482"/>
        <v>2080</v>
      </c>
      <c r="BF649" s="530">
        <v>648</v>
      </c>
      <c r="BG649" s="531">
        <f t="shared" ca="1" si="492"/>
        <v>65889</v>
      </c>
      <c r="BH649" s="532">
        <f ca="1">IF(BH648=0,SUMIFS('Key Life Events'!$L$3:$L$28,'Key Life Events'!$H$3:$H$28,'Loan Amortization'!$BL$3,'Key Life Events'!$N$3:$N$28,'Loan Amortization'!BG649),BH648-BK648)</f>
        <v>0</v>
      </c>
      <c r="BI649" s="532">
        <f t="shared" ca="1" si="493"/>
        <v>0</v>
      </c>
      <c r="BJ649" s="532">
        <f t="shared" ca="1" si="494"/>
        <v>0</v>
      </c>
      <c r="BK649" s="532">
        <f t="shared" ca="1" si="483"/>
        <v>0</v>
      </c>
      <c r="BP649" s="536">
        <f t="shared" ca="1" si="484"/>
        <v>2080</v>
      </c>
      <c r="BS649" s="530">
        <v>648</v>
      </c>
      <c r="BT649" s="531">
        <f t="shared" ca="1" si="495"/>
        <v>65889</v>
      </c>
      <c r="BU649" s="532">
        <f ca="1">IF(BU648=0,SUMIFS('Key Life Events'!$L$3:$L$28,'Key Life Events'!$H$3:$H$28,'Loan Amortization'!$BY$3,'Key Life Events'!$N$3:$N$28,'Loan Amortization'!BT649),BU648-BX648)</f>
        <v>0</v>
      </c>
      <c r="BV649" s="532">
        <f t="shared" ca="1" si="500"/>
        <v>0</v>
      </c>
      <c r="BW649" s="532">
        <f t="shared" ca="1" si="496"/>
        <v>0</v>
      </c>
      <c r="BX649" s="532">
        <f t="shared" ca="1" si="485"/>
        <v>0</v>
      </c>
      <c r="CC649" s="536">
        <f t="shared" ca="1" si="486"/>
        <v>2080</v>
      </c>
      <c r="CF649" s="530">
        <v>648</v>
      </c>
      <c r="CG649" s="531">
        <f t="shared" ca="1" si="497"/>
        <v>65889</v>
      </c>
      <c r="CH649" s="532">
        <f ca="1">IF(CH648=0,SUMIFS('Key Life Events'!$L$3:$L$28,'Key Life Events'!$H$3:$H$28,'Loan Amortization'!$CL$3,'Key Life Events'!$N$3:$N$28,'Loan Amortization'!CG649),CH648-CK648)</f>
        <v>0</v>
      </c>
      <c r="CI649" s="532">
        <f t="shared" ca="1" si="498"/>
        <v>0</v>
      </c>
      <c r="CJ649" s="532">
        <f t="shared" ca="1" si="499"/>
        <v>0</v>
      </c>
      <c r="CK649" s="532">
        <f t="shared" ca="1" si="487"/>
        <v>0</v>
      </c>
      <c r="CP649" s="536">
        <f t="shared" ca="1" si="488"/>
        <v>2080</v>
      </c>
      <c r="CS649" s="100">
        <f t="shared" si="477"/>
        <v>648</v>
      </c>
      <c r="CT649" s="102">
        <f t="shared" ca="1" si="478"/>
        <v>0</v>
      </c>
      <c r="CU649" s="102">
        <f t="shared" ca="1" si="479"/>
        <v>0</v>
      </c>
      <c r="CV649" s="511">
        <f t="shared" ca="1" si="489"/>
        <v>2080</v>
      </c>
    </row>
    <row r="650" spans="1:100" x14ac:dyDescent="0.3">
      <c r="A650" s="100">
        <v>649</v>
      </c>
      <c r="B650" s="131">
        <f t="shared" si="457"/>
        <v>18899</v>
      </c>
      <c r="C650" s="102">
        <f t="shared" si="458"/>
        <v>0</v>
      </c>
      <c r="D650" s="102">
        <f t="shared" si="459"/>
        <v>0</v>
      </c>
      <c r="E650" s="102">
        <f t="shared" si="460"/>
        <v>0</v>
      </c>
      <c r="F650" s="102">
        <f t="shared" si="461"/>
        <v>0</v>
      </c>
      <c r="L650" s="100">
        <v>649</v>
      </c>
      <c r="M650" s="131">
        <f t="shared" ca="1" si="462"/>
        <v>65920</v>
      </c>
      <c r="N650" s="102">
        <f t="shared" si="463"/>
        <v>0</v>
      </c>
      <c r="O650" s="102">
        <f t="shared" si="464"/>
        <v>0</v>
      </c>
      <c r="P650" s="102">
        <f t="shared" si="465"/>
        <v>0</v>
      </c>
      <c r="Q650" s="102">
        <f t="shared" si="466"/>
        <v>0</v>
      </c>
      <c r="W650" s="100">
        <v>649</v>
      </c>
      <c r="X650" s="131">
        <f t="shared" ca="1" si="467"/>
        <v>65920</v>
      </c>
      <c r="Y650" s="102">
        <f t="shared" si="468"/>
        <v>0</v>
      </c>
      <c r="Z650" s="102">
        <f t="shared" si="469"/>
        <v>0</v>
      </c>
      <c r="AA650" s="102">
        <f t="shared" si="470"/>
        <v>0</v>
      </c>
      <c r="AB650" s="102">
        <f t="shared" si="471"/>
        <v>0</v>
      </c>
      <c r="AH650" s="100">
        <v>649</v>
      </c>
      <c r="AI650" s="131">
        <f t="shared" ca="1" si="472"/>
        <v>65920</v>
      </c>
      <c r="AJ650" s="102">
        <f t="shared" si="473"/>
        <v>0</v>
      </c>
      <c r="AK650" s="102">
        <f t="shared" si="474"/>
        <v>0</v>
      </c>
      <c r="AL650" s="102">
        <f t="shared" si="475"/>
        <v>0</v>
      </c>
      <c r="AM650" s="102">
        <f t="shared" si="476"/>
        <v>0</v>
      </c>
      <c r="AS650" s="530">
        <v>649</v>
      </c>
      <c r="AT650" s="531">
        <f t="shared" ca="1" si="490"/>
        <v>65920</v>
      </c>
      <c r="AU650" s="532">
        <f ca="1">IF(AU649=0,SUMIFS('Key Life Events'!$L$3:$L$28,'Key Life Events'!$H$3:$H$28,'Loan Amortization'!$AY$3,'Key Life Events'!$N$3:$N$28,'Loan Amortization'!AT650),AU649-AX649)</f>
        <v>0</v>
      </c>
      <c r="AV650" s="532">
        <f t="shared" ca="1" si="491"/>
        <v>0</v>
      </c>
      <c r="AW650" s="532">
        <f t="shared" ca="1" si="480"/>
        <v>0</v>
      </c>
      <c r="AX650" s="532">
        <f t="shared" ca="1" si="481"/>
        <v>0</v>
      </c>
      <c r="BC650" s="536">
        <f t="shared" ca="1" si="482"/>
        <v>2080</v>
      </c>
      <c r="BF650" s="530">
        <v>649</v>
      </c>
      <c r="BG650" s="531">
        <f t="shared" ca="1" si="492"/>
        <v>65920</v>
      </c>
      <c r="BH650" s="532">
        <f ca="1">IF(BH649=0,SUMIFS('Key Life Events'!$L$3:$L$28,'Key Life Events'!$H$3:$H$28,'Loan Amortization'!$BL$3,'Key Life Events'!$N$3:$N$28,'Loan Amortization'!BG650),BH649-BK649)</f>
        <v>0</v>
      </c>
      <c r="BI650" s="532">
        <f t="shared" ca="1" si="493"/>
        <v>0</v>
      </c>
      <c r="BJ650" s="532">
        <f t="shared" ca="1" si="494"/>
        <v>0</v>
      </c>
      <c r="BK650" s="532">
        <f t="shared" ca="1" si="483"/>
        <v>0</v>
      </c>
      <c r="BP650" s="536">
        <f t="shared" ca="1" si="484"/>
        <v>2080</v>
      </c>
      <c r="BS650" s="530">
        <v>649</v>
      </c>
      <c r="BT650" s="531">
        <f t="shared" ca="1" si="495"/>
        <v>65920</v>
      </c>
      <c r="BU650" s="532">
        <f ca="1">IF(BU649=0,SUMIFS('Key Life Events'!$L$3:$L$28,'Key Life Events'!$H$3:$H$28,'Loan Amortization'!$BY$3,'Key Life Events'!$N$3:$N$28,'Loan Amortization'!BT650),BU649-BX649)</f>
        <v>0</v>
      </c>
      <c r="BV650" s="532">
        <f t="shared" ca="1" si="500"/>
        <v>0</v>
      </c>
      <c r="BW650" s="532">
        <f t="shared" ca="1" si="496"/>
        <v>0</v>
      </c>
      <c r="BX650" s="532">
        <f t="shared" ca="1" si="485"/>
        <v>0</v>
      </c>
      <c r="CC650" s="536">
        <f t="shared" ca="1" si="486"/>
        <v>2080</v>
      </c>
      <c r="CF650" s="530">
        <v>649</v>
      </c>
      <c r="CG650" s="531">
        <f t="shared" ca="1" si="497"/>
        <v>65920</v>
      </c>
      <c r="CH650" s="532">
        <f ca="1">IF(CH649=0,SUMIFS('Key Life Events'!$L$3:$L$28,'Key Life Events'!$H$3:$H$28,'Loan Amortization'!$CL$3,'Key Life Events'!$N$3:$N$28,'Loan Amortization'!CG650),CH649-CK649)</f>
        <v>0</v>
      </c>
      <c r="CI650" s="532">
        <f t="shared" ca="1" si="498"/>
        <v>0</v>
      </c>
      <c r="CJ650" s="532">
        <f t="shared" ca="1" si="499"/>
        <v>0</v>
      </c>
      <c r="CK650" s="532">
        <f t="shared" ca="1" si="487"/>
        <v>0</v>
      </c>
      <c r="CP650" s="536">
        <f t="shared" ca="1" si="488"/>
        <v>2080</v>
      </c>
      <c r="CS650" s="100">
        <f t="shared" si="477"/>
        <v>649</v>
      </c>
      <c r="CT650" s="102">
        <f t="shared" ca="1" si="478"/>
        <v>0</v>
      </c>
      <c r="CU650" s="102">
        <f t="shared" ca="1" si="479"/>
        <v>0</v>
      </c>
      <c r="CV650" s="511">
        <f t="shared" ca="1" si="489"/>
        <v>2080</v>
      </c>
    </row>
    <row r="651" spans="1:100" x14ac:dyDescent="0.3">
      <c r="A651" s="100">
        <v>650</v>
      </c>
      <c r="B651" s="131">
        <f t="shared" si="457"/>
        <v>18929</v>
      </c>
      <c r="C651" s="102">
        <f t="shared" si="458"/>
        <v>0</v>
      </c>
      <c r="D651" s="102">
        <f t="shared" si="459"/>
        <v>0</v>
      </c>
      <c r="E651" s="102">
        <f t="shared" si="460"/>
        <v>0</v>
      </c>
      <c r="F651" s="102">
        <f t="shared" si="461"/>
        <v>0</v>
      </c>
      <c r="L651" s="100">
        <v>650</v>
      </c>
      <c r="M651" s="131">
        <f t="shared" ca="1" si="462"/>
        <v>65950</v>
      </c>
      <c r="N651" s="102">
        <f t="shared" si="463"/>
        <v>0</v>
      </c>
      <c r="O651" s="102">
        <f t="shared" si="464"/>
        <v>0</v>
      </c>
      <c r="P651" s="102">
        <f t="shared" si="465"/>
        <v>0</v>
      </c>
      <c r="Q651" s="102">
        <f t="shared" si="466"/>
        <v>0</v>
      </c>
      <c r="W651" s="100">
        <v>650</v>
      </c>
      <c r="X651" s="131">
        <f t="shared" ca="1" si="467"/>
        <v>65950</v>
      </c>
      <c r="Y651" s="102">
        <f t="shared" si="468"/>
        <v>0</v>
      </c>
      <c r="Z651" s="102">
        <f t="shared" si="469"/>
        <v>0</v>
      </c>
      <c r="AA651" s="102">
        <f t="shared" si="470"/>
        <v>0</v>
      </c>
      <c r="AB651" s="102">
        <f t="shared" si="471"/>
        <v>0</v>
      </c>
      <c r="AH651" s="100">
        <v>650</v>
      </c>
      <c r="AI651" s="131">
        <f t="shared" ca="1" si="472"/>
        <v>65950</v>
      </c>
      <c r="AJ651" s="102">
        <f t="shared" si="473"/>
        <v>0</v>
      </c>
      <c r="AK651" s="102">
        <f t="shared" si="474"/>
        <v>0</v>
      </c>
      <c r="AL651" s="102">
        <f t="shared" si="475"/>
        <v>0</v>
      </c>
      <c r="AM651" s="102">
        <f t="shared" si="476"/>
        <v>0</v>
      </c>
      <c r="AS651" s="530">
        <v>650</v>
      </c>
      <c r="AT651" s="531">
        <f t="shared" ca="1" si="490"/>
        <v>65950</v>
      </c>
      <c r="AU651" s="532">
        <f ca="1">IF(AU650=0,SUMIFS('Key Life Events'!$L$3:$L$28,'Key Life Events'!$H$3:$H$28,'Loan Amortization'!$AY$3,'Key Life Events'!$N$3:$N$28,'Loan Amortization'!AT651),AU650-AX650)</f>
        <v>0</v>
      </c>
      <c r="AV651" s="532">
        <f t="shared" ca="1" si="491"/>
        <v>0</v>
      </c>
      <c r="AW651" s="532">
        <f t="shared" ca="1" si="480"/>
        <v>0</v>
      </c>
      <c r="AX651" s="532">
        <f t="shared" ca="1" si="481"/>
        <v>0</v>
      </c>
      <c r="BC651" s="536">
        <f t="shared" ca="1" si="482"/>
        <v>2080</v>
      </c>
      <c r="BF651" s="530">
        <v>650</v>
      </c>
      <c r="BG651" s="531">
        <f t="shared" ca="1" si="492"/>
        <v>65950</v>
      </c>
      <c r="BH651" s="532">
        <f ca="1">IF(BH650=0,SUMIFS('Key Life Events'!$L$3:$L$28,'Key Life Events'!$H$3:$H$28,'Loan Amortization'!$BL$3,'Key Life Events'!$N$3:$N$28,'Loan Amortization'!BG651),BH650-BK650)</f>
        <v>0</v>
      </c>
      <c r="BI651" s="532">
        <f t="shared" ca="1" si="493"/>
        <v>0</v>
      </c>
      <c r="BJ651" s="532">
        <f t="shared" ca="1" si="494"/>
        <v>0</v>
      </c>
      <c r="BK651" s="532">
        <f t="shared" ca="1" si="483"/>
        <v>0</v>
      </c>
      <c r="BP651" s="536">
        <f t="shared" ca="1" si="484"/>
        <v>2080</v>
      </c>
      <c r="BS651" s="530">
        <v>650</v>
      </c>
      <c r="BT651" s="531">
        <f t="shared" ca="1" si="495"/>
        <v>65950</v>
      </c>
      <c r="BU651" s="532">
        <f ca="1">IF(BU650=0,SUMIFS('Key Life Events'!$L$3:$L$28,'Key Life Events'!$H$3:$H$28,'Loan Amortization'!$BY$3,'Key Life Events'!$N$3:$N$28,'Loan Amortization'!BT651),BU650-BX650)</f>
        <v>0</v>
      </c>
      <c r="BV651" s="532">
        <f t="shared" ca="1" si="500"/>
        <v>0</v>
      </c>
      <c r="BW651" s="532">
        <f t="shared" ca="1" si="496"/>
        <v>0</v>
      </c>
      <c r="BX651" s="532">
        <f t="shared" ca="1" si="485"/>
        <v>0</v>
      </c>
      <c r="CC651" s="536">
        <f t="shared" ca="1" si="486"/>
        <v>2080</v>
      </c>
      <c r="CF651" s="530">
        <v>650</v>
      </c>
      <c r="CG651" s="531">
        <f t="shared" ca="1" si="497"/>
        <v>65950</v>
      </c>
      <c r="CH651" s="532">
        <f ca="1">IF(CH650=0,SUMIFS('Key Life Events'!$L$3:$L$28,'Key Life Events'!$H$3:$H$28,'Loan Amortization'!$CL$3,'Key Life Events'!$N$3:$N$28,'Loan Amortization'!CG651),CH650-CK650)</f>
        <v>0</v>
      </c>
      <c r="CI651" s="532">
        <f t="shared" ca="1" si="498"/>
        <v>0</v>
      </c>
      <c r="CJ651" s="532">
        <f t="shared" ca="1" si="499"/>
        <v>0</v>
      </c>
      <c r="CK651" s="532">
        <f t="shared" ca="1" si="487"/>
        <v>0</v>
      </c>
      <c r="CP651" s="536">
        <f t="shared" ca="1" si="488"/>
        <v>2080</v>
      </c>
      <c r="CS651" s="100">
        <f t="shared" si="477"/>
        <v>650</v>
      </c>
      <c r="CT651" s="102">
        <f t="shared" ca="1" si="478"/>
        <v>0</v>
      </c>
      <c r="CU651" s="102">
        <f t="shared" ca="1" si="479"/>
        <v>0</v>
      </c>
      <c r="CV651" s="511">
        <f t="shared" ca="1" si="489"/>
        <v>2080</v>
      </c>
    </row>
    <row r="652" spans="1:100" x14ac:dyDescent="0.3">
      <c r="A652" s="100">
        <v>651</v>
      </c>
      <c r="B652" s="131">
        <f t="shared" si="457"/>
        <v>18960</v>
      </c>
      <c r="C652" s="102">
        <f t="shared" si="458"/>
        <v>0</v>
      </c>
      <c r="D652" s="102">
        <f t="shared" si="459"/>
        <v>0</v>
      </c>
      <c r="E652" s="102">
        <f t="shared" si="460"/>
        <v>0</v>
      </c>
      <c r="F652" s="102">
        <f t="shared" si="461"/>
        <v>0</v>
      </c>
      <c r="L652" s="100">
        <v>651</v>
      </c>
      <c r="M652" s="131">
        <f t="shared" ca="1" si="462"/>
        <v>65981</v>
      </c>
      <c r="N652" s="102">
        <f t="shared" si="463"/>
        <v>0</v>
      </c>
      <c r="O652" s="102">
        <f t="shared" si="464"/>
        <v>0</v>
      </c>
      <c r="P652" s="102">
        <f t="shared" si="465"/>
        <v>0</v>
      </c>
      <c r="Q652" s="102">
        <f t="shared" si="466"/>
        <v>0</v>
      </c>
      <c r="W652" s="100">
        <v>651</v>
      </c>
      <c r="X652" s="131">
        <f t="shared" ca="1" si="467"/>
        <v>65981</v>
      </c>
      <c r="Y652" s="102">
        <f t="shared" si="468"/>
        <v>0</v>
      </c>
      <c r="Z652" s="102">
        <f t="shared" si="469"/>
        <v>0</v>
      </c>
      <c r="AA652" s="102">
        <f t="shared" si="470"/>
        <v>0</v>
      </c>
      <c r="AB652" s="102">
        <f t="shared" si="471"/>
        <v>0</v>
      </c>
      <c r="AH652" s="100">
        <v>651</v>
      </c>
      <c r="AI652" s="131">
        <f t="shared" ca="1" si="472"/>
        <v>65981</v>
      </c>
      <c r="AJ652" s="102">
        <f t="shared" si="473"/>
        <v>0</v>
      </c>
      <c r="AK652" s="102">
        <f t="shared" si="474"/>
        <v>0</v>
      </c>
      <c r="AL652" s="102">
        <f t="shared" si="475"/>
        <v>0</v>
      </c>
      <c r="AM652" s="102">
        <f t="shared" si="476"/>
        <v>0</v>
      </c>
      <c r="AS652" s="530">
        <v>651</v>
      </c>
      <c r="AT652" s="531">
        <f t="shared" ca="1" si="490"/>
        <v>65981</v>
      </c>
      <c r="AU652" s="532">
        <f ca="1">IF(AU651=0,SUMIFS('Key Life Events'!$L$3:$L$28,'Key Life Events'!$H$3:$H$28,'Loan Amortization'!$AY$3,'Key Life Events'!$N$3:$N$28,'Loan Amortization'!AT652),AU651-AX651)</f>
        <v>0</v>
      </c>
      <c r="AV652" s="532">
        <f t="shared" ca="1" si="491"/>
        <v>0</v>
      </c>
      <c r="AW652" s="532">
        <f t="shared" ca="1" si="480"/>
        <v>0</v>
      </c>
      <c r="AX652" s="532">
        <f t="shared" ca="1" si="481"/>
        <v>0</v>
      </c>
      <c r="BC652" s="536">
        <f t="shared" ca="1" si="482"/>
        <v>2080</v>
      </c>
      <c r="BF652" s="530">
        <v>651</v>
      </c>
      <c r="BG652" s="531">
        <f t="shared" ca="1" si="492"/>
        <v>65981</v>
      </c>
      <c r="BH652" s="532">
        <f ca="1">IF(BH651=0,SUMIFS('Key Life Events'!$L$3:$L$28,'Key Life Events'!$H$3:$H$28,'Loan Amortization'!$BL$3,'Key Life Events'!$N$3:$N$28,'Loan Amortization'!BG652),BH651-BK651)</f>
        <v>0</v>
      </c>
      <c r="BI652" s="532">
        <f t="shared" ca="1" si="493"/>
        <v>0</v>
      </c>
      <c r="BJ652" s="532">
        <f t="shared" ca="1" si="494"/>
        <v>0</v>
      </c>
      <c r="BK652" s="532">
        <f t="shared" ca="1" si="483"/>
        <v>0</v>
      </c>
      <c r="BP652" s="536">
        <f t="shared" ca="1" si="484"/>
        <v>2080</v>
      </c>
      <c r="BS652" s="530">
        <v>651</v>
      </c>
      <c r="BT652" s="531">
        <f t="shared" ca="1" si="495"/>
        <v>65981</v>
      </c>
      <c r="BU652" s="532">
        <f ca="1">IF(BU651=0,SUMIFS('Key Life Events'!$L$3:$L$28,'Key Life Events'!$H$3:$H$28,'Loan Amortization'!$BY$3,'Key Life Events'!$N$3:$N$28,'Loan Amortization'!BT652),BU651-BX651)</f>
        <v>0</v>
      </c>
      <c r="BV652" s="532">
        <f t="shared" ca="1" si="500"/>
        <v>0</v>
      </c>
      <c r="BW652" s="532">
        <f t="shared" ca="1" si="496"/>
        <v>0</v>
      </c>
      <c r="BX652" s="532">
        <f t="shared" ca="1" si="485"/>
        <v>0</v>
      </c>
      <c r="CC652" s="536">
        <f t="shared" ca="1" si="486"/>
        <v>2080</v>
      </c>
      <c r="CF652" s="530">
        <v>651</v>
      </c>
      <c r="CG652" s="531">
        <f t="shared" ca="1" si="497"/>
        <v>65981</v>
      </c>
      <c r="CH652" s="532">
        <f ca="1">IF(CH651=0,SUMIFS('Key Life Events'!$L$3:$L$28,'Key Life Events'!$H$3:$H$28,'Loan Amortization'!$CL$3,'Key Life Events'!$N$3:$N$28,'Loan Amortization'!CG652),CH651-CK651)</f>
        <v>0</v>
      </c>
      <c r="CI652" s="532">
        <f t="shared" ca="1" si="498"/>
        <v>0</v>
      </c>
      <c r="CJ652" s="532">
        <f t="shared" ca="1" si="499"/>
        <v>0</v>
      </c>
      <c r="CK652" s="532">
        <f t="shared" ca="1" si="487"/>
        <v>0</v>
      </c>
      <c r="CP652" s="536">
        <f t="shared" ca="1" si="488"/>
        <v>2080</v>
      </c>
      <c r="CS652" s="100">
        <f t="shared" si="477"/>
        <v>651</v>
      </c>
      <c r="CT652" s="102">
        <f t="shared" ca="1" si="478"/>
        <v>0</v>
      </c>
      <c r="CU652" s="102">
        <f t="shared" ca="1" si="479"/>
        <v>0</v>
      </c>
      <c r="CV652" s="511">
        <f t="shared" ca="1" si="489"/>
        <v>2080</v>
      </c>
    </row>
    <row r="653" spans="1:100" x14ac:dyDescent="0.3">
      <c r="A653" s="100">
        <v>652</v>
      </c>
      <c r="B653" s="131">
        <f t="shared" si="457"/>
        <v>18990</v>
      </c>
      <c r="C653" s="102">
        <f t="shared" si="458"/>
        <v>0</v>
      </c>
      <c r="D653" s="102">
        <f t="shared" si="459"/>
        <v>0</v>
      </c>
      <c r="E653" s="102">
        <f t="shared" si="460"/>
        <v>0</v>
      </c>
      <c r="F653" s="102">
        <f t="shared" si="461"/>
        <v>0</v>
      </c>
      <c r="L653" s="100">
        <v>652</v>
      </c>
      <c r="M653" s="131">
        <f t="shared" ca="1" si="462"/>
        <v>66012</v>
      </c>
      <c r="N653" s="102">
        <f t="shared" si="463"/>
        <v>0</v>
      </c>
      <c r="O653" s="102">
        <f t="shared" si="464"/>
        <v>0</v>
      </c>
      <c r="P653" s="102">
        <f t="shared" si="465"/>
        <v>0</v>
      </c>
      <c r="Q653" s="102">
        <f t="shared" si="466"/>
        <v>0</v>
      </c>
      <c r="W653" s="100">
        <v>652</v>
      </c>
      <c r="X653" s="131">
        <f t="shared" ca="1" si="467"/>
        <v>66012</v>
      </c>
      <c r="Y653" s="102">
        <f t="shared" si="468"/>
        <v>0</v>
      </c>
      <c r="Z653" s="102">
        <f t="shared" si="469"/>
        <v>0</v>
      </c>
      <c r="AA653" s="102">
        <f t="shared" si="470"/>
        <v>0</v>
      </c>
      <c r="AB653" s="102">
        <f t="shared" si="471"/>
        <v>0</v>
      </c>
      <c r="AH653" s="100">
        <v>652</v>
      </c>
      <c r="AI653" s="131">
        <f t="shared" ca="1" si="472"/>
        <v>66012</v>
      </c>
      <c r="AJ653" s="102">
        <f t="shared" si="473"/>
        <v>0</v>
      </c>
      <c r="AK653" s="102">
        <f t="shared" si="474"/>
        <v>0</v>
      </c>
      <c r="AL653" s="102">
        <f t="shared" si="475"/>
        <v>0</v>
      </c>
      <c r="AM653" s="102">
        <f t="shared" si="476"/>
        <v>0</v>
      </c>
      <c r="AS653" s="530">
        <v>652</v>
      </c>
      <c r="AT653" s="531">
        <f t="shared" ca="1" si="490"/>
        <v>66012</v>
      </c>
      <c r="AU653" s="532">
        <f ca="1">IF(AU652=0,SUMIFS('Key Life Events'!$L$3:$L$28,'Key Life Events'!$H$3:$H$28,'Loan Amortization'!$AY$3,'Key Life Events'!$N$3:$N$28,'Loan Amortization'!AT653),AU652-AX652)</f>
        <v>0</v>
      </c>
      <c r="AV653" s="532">
        <f t="shared" ca="1" si="491"/>
        <v>0</v>
      </c>
      <c r="AW653" s="532">
        <f t="shared" ca="1" si="480"/>
        <v>0</v>
      </c>
      <c r="AX653" s="532">
        <f t="shared" ca="1" si="481"/>
        <v>0</v>
      </c>
      <c r="BC653" s="536">
        <f t="shared" ca="1" si="482"/>
        <v>2080</v>
      </c>
      <c r="BF653" s="530">
        <v>652</v>
      </c>
      <c r="BG653" s="531">
        <f t="shared" ca="1" si="492"/>
        <v>66012</v>
      </c>
      <c r="BH653" s="532">
        <f ca="1">IF(BH652=0,SUMIFS('Key Life Events'!$L$3:$L$28,'Key Life Events'!$H$3:$H$28,'Loan Amortization'!$BL$3,'Key Life Events'!$N$3:$N$28,'Loan Amortization'!BG653),BH652-BK652)</f>
        <v>0</v>
      </c>
      <c r="BI653" s="532">
        <f t="shared" ca="1" si="493"/>
        <v>0</v>
      </c>
      <c r="BJ653" s="532">
        <f t="shared" ca="1" si="494"/>
        <v>0</v>
      </c>
      <c r="BK653" s="532">
        <f t="shared" ca="1" si="483"/>
        <v>0</v>
      </c>
      <c r="BP653" s="536">
        <f t="shared" ca="1" si="484"/>
        <v>2080</v>
      </c>
      <c r="BS653" s="530">
        <v>652</v>
      </c>
      <c r="BT653" s="531">
        <f t="shared" ca="1" si="495"/>
        <v>66012</v>
      </c>
      <c r="BU653" s="532">
        <f ca="1">IF(BU652=0,SUMIFS('Key Life Events'!$L$3:$L$28,'Key Life Events'!$H$3:$H$28,'Loan Amortization'!$BY$3,'Key Life Events'!$N$3:$N$28,'Loan Amortization'!BT653),BU652-BX652)</f>
        <v>0</v>
      </c>
      <c r="BV653" s="532">
        <f t="shared" ca="1" si="500"/>
        <v>0</v>
      </c>
      <c r="BW653" s="532">
        <f t="shared" ca="1" si="496"/>
        <v>0</v>
      </c>
      <c r="BX653" s="532">
        <f t="shared" ca="1" si="485"/>
        <v>0</v>
      </c>
      <c r="CC653" s="536">
        <f t="shared" ca="1" si="486"/>
        <v>2080</v>
      </c>
      <c r="CF653" s="530">
        <v>652</v>
      </c>
      <c r="CG653" s="531">
        <f t="shared" ca="1" si="497"/>
        <v>66012</v>
      </c>
      <c r="CH653" s="532">
        <f ca="1">IF(CH652=0,SUMIFS('Key Life Events'!$L$3:$L$28,'Key Life Events'!$H$3:$H$28,'Loan Amortization'!$CL$3,'Key Life Events'!$N$3:$N$28,'Loan Amortization'!CG653),CH652-CK652)</f>
        <v>0</v>
      </c>
      <c r="CI653" s="532">
        <f t="shared" ca="1" si="498"/>
        <v>0</v>
      </c>
      <c r="CJ653" s="532">
        <f t="shared" ca="1" si="499"/>
        <v>0</v>
      </c>
      <c r="CK653" s="532">
        <f t="shared" ca="1" si="487"/>
        <v>0</v>
      </c>
      <c r="CP653" s="536">
        <f t="shared" ca="1" si="488"/>
        <v>2080</v>
      </c>
      <c r="CS653" s="100">
        <f t="shared" si="477"/>
        <v>652</v>
      </c>
      <c r="CT653" s="102">
        <f t="shared" ca="1" si="478"/>
        <v>0</v>
      </c>
      <c r="CU653" s="102">
        <f t="shared" ca="1" si="479"/>
        <v>0</v>
      </c>
      <c r="CV653" s="511">
        <f t="shared" ca="1" si="489"/>
        <v>2080</v>
      </c>
    </row>
    <row r="654" spans="1:100" x14ac:dyDescent="0.3">
      <c r="A654" s="100">
        <v>653</v>
      </c>
      <c r="B654" s="131">
        <f t="shared" si="457"/>
        <v>19021</v>
      </c>
      <c r="C654" s="102">
        <f t="shared" si="458"/>
        <v>0</v>
      </c>
      <c r="D654" s="102">
        <f t="shared" si="459"/>
        <v>0</v>
      </c>
      <c r="E654" s="102">
        <f t="shared" si="460"/>
        <v>0</v>
      </c>
      <c r="F654" s="102">
        <f t="shared" si="461"/>
        <v>0</v>
      </c>
      <c r="L654" s="100">
        <v>653</v>
      </c>
      <c r="M654" s="131">
        <f t="shared" ca="1" si="462"/>
        <v>66042</v>
      </c>
      <c r="N654" s="102">
        <f t="shared" si="463"/>
        <v>0</v>
      </c>
      <c r="O654" s="102">
        <f t="shared" si="464"/>
        <v>0</v>
      </c>
      <c r="P654" s="102">
        <f t="shared" si="465"/>
        <v>0</v>
      </c>
      <c r="Q654" s="102">
        <f t="shared" si="466"/>
        <v>0</v>
      </c>
      <c r="W654" s="100">
        <v>653</v>
      </c>
      <c r="X654" s="131">
        <f t="shared" ca="1" si="467"/>
        <v>66042</v>
      </c>
      <c r="Y654" s="102">
        <f t="shared" si="468"/>
        <v>0</v>
      </c>
      <c r="Z654" s="102">
        <f t="shared" si="469"/>
        <v>0</v>
      </c>
      <c r="AA654" s="102">
        <f t="shared" si="470"/>
        <v>0</v>
      </c>
      <c r="AB654" s="102">
        <f t="shared" si="471"/>
        <v>0</v>
      </c>
      <c r="AH654" s="100">
        <v>653</v>
      </c>
      <c r="AI654" s="131">
        <f t="shared" ca="1" si="472"/>
        <v>66042</v>
      </c>
      <c r="AJ654" s="102">
        <f t="shared" si="473"/>
        <v>0</v>
      </c>
      <c r="AK654" s="102">
        <f t="shared" si="474"/>
        <v>0</v>
      </c>
      <c r="AL654" s="102">
        <f t="shared" si="475"/>
        <v>0</v>
      </c>
      <c r="AM654" s="102">
        <f t="shared" si="476"/>
        <v>0</v>
      </c>
      <c r="AS654" s="530">
        <v>653</v>
      </c>
      <c r="AT654" s="531">
        <f t="shared" ca="1" si="490"/>
        <v>66042</v>
      </c>
      <c r="AU654" s="532">
        <f ca="1">IF(AU653=0,SUMIFS('Key Life Events'!$L$3:$L$28,'Key Life Events'!$H$3:$H$28,'Loan Amortization'!$AY$3,'Key Life Events'!$N$3:$N$28,'Loan Amortization'!AT654),AU653-AX653)</f>
        <v>0</v>
      </c>
      <c r="AV654" s="532">
        <f t="shared" ca="1" si="491"/>
        <v>0</v>
      </c>
      <c r="AW654" s="532">
        <f t="shared" ca="1" si="480"/>
        <v>0</v>
      </c>
      <c r="AX654" s="532">
        <f t="shared" ca="1" si="481"/>
        <v>0</v>
      </c>
      <c r="BC654" s="536">
        <f t="shared" ca="1" si="482"/>
        <v>2080</v>
      </c>
      <c r="BF654" s="530">
        <v>653</v>
      </c>
      <c r="BG654" s="531">
        <f t="shared" ca="1" si="492"/>
        <v>66042</v>
      </c>
      <c r="BH654" s="532">
        <f ca="1">IF(BH653=0,SUMIFS('Key Life Events'!$L$3:$L$28,'Key Life Events'!$H$3:$H$28,'Loan Amortization'!$BL$3,'Key Life Events'!$N$3:$N$28,'Loan Amortization'!BG654),BH653-BK653)</f>
        <v>0</v>
      </c>
      <c r="BI654" s="532">
        <f t="shared" ca="1" si="493"/>
        <v>0</v>
      </c>
      <c r="BJ654" s="532">
        <f t="shared" ca="1" si="494"/>
        <v>0</v>
      </c>
      <c r="BK654" s="532">
        <f t="shared" ca="1" si="483"/>
        <v>0</v>
      </c>
      <c r="BP654" s="536">
        <f t="shared" ca="1" si="484"/>
        <v>2080</v>
      </c>
      <c r="BS654" s="530">
        <v>653</v>
      </c>
      <c r="BT654" s="531">
        <f t="shared" ca="1" si="495"/>
        <v>66042</v>
      </c>
      <c r="BU654" s="532">
        <f ca="1">IF(BU653=0,SUMIFS('Key Life Events'!$L$3:$L$28,'Key Life Events'!$H$3:$H$28,'Loan Amortization'!$BY$3,'Key Life Events'!$N$3:$N$28,'Loan Amortization'!BT654),BU653-BX653)</f>
        <v>0</v>
      </c>
      <c r="BV654" s="532">
        <f t="shared" ca="1" si="500"/>
        <v>0</v>
      </c>
      <c r="BW654" s="532">
        <f t="shared" ca="1" si="496"/>
        <v>0</v>
      </c>
      <c r="BX654" s="532">
        <f t="shared" ca="1" si="485"/>
        <v>0</v>
      </c>
      <c r="CC654" s="536">
        <f t="shared" ca="1" si="486"/>
        <v>2080</v>
      </c>
      <c r="CF654" s="530">
        <v>653</v>
      </c>
      <c r="CG654" s="531">
        <f t="shared" ca="1" si="497"/>
        <v>66042</v>
      </c>
      <c r="CH654" s="532">
        <f ca="1">IF(CH653=0,SUMIFS('Key Life Events'!$L$3:$L$28,'Key Life Events'!$H$3:$H$28,'Loan Amortization'!$CL$3,'Key Life Events'!$N$3:$N$28,'Loan Amortization'!CG654),CH653-CK653)</f>
        <v>0</v>
      </c>
      <c r="CI654" s="532">
        <f t="shared" ca="1" si="498"/>
        <v>0</v>
      </c>
      <c r="CJ654" s="532">
        <f t="shared" ca="1" si="499"/>
        <v>0</v>
      </c>
      <c r="CK654" s="532">
        <f t="shared" ca="1" si="487"/>
        <v>0</v>
      </c>
      <c r="CP654" s="536">
        <f t="shared" ca="1" si="488"/>
        <v>2080</v>
      </c>
      <c r="CS654" s="100">
        <f t="shared" si="477"/>
        <v>653</v>
      </c>
      <c r="CT654" s="102">
        <f t="shared" ca="1" si="478"/>
        <v>0</v>
      </c>
      <c r="CU654" s="102">
        <f t="shared" ca="1" si="479"/>
        <v>0</v>
      </c>
      <c r="CV654" s="511">
        <f t="shared" ca="1" si="489"/>
        <v>2080</v>
      </c>
    </row>
    <row r="655" spans="1:100" x14ac:dyDescent="0.3">
      <c r="A655" s="100">
        <v>654</v>
      </c>
      <c r="B655" s="131">
        <f t="shared" si="457"/>
        <v>19052</v>
      </c>
      <c r="C655" s="102">
        <f t="shared" si="458"/>
        <v>0</v>
      </c>
      <c r="D655" s="102">
        <f t="shared" si="459"/>
        <v>0</v>
      </c>
      <c r="E655" s="102">
        <f t="shared" si="460"/>
        <v>0</v>
      </c>
      <c r="F655" s="102">
        <f t="shared" si="461"/>
        <v>0</v>
      </c>
      <c r="L655" s="100">
        <v>654</v>
      </c>
      <c r="M655" s="131">
        <f t="shared" ca="1" si="462"/>
        <v>66073</v>
      </c>
      <c r="N655" s="102">
        <f t="shared" si="463"/>
        <v>0</v>
      </c>
      <c r="O655" s="102">
        <f t="shared" si="464"/>
        <v>0</v>
      </c>
      <c r="P655" s="102">
        <f t="shared" si="465"/>
        <v>0</v>
      </c>
      <c r="Q655" s="102">
        <f t="shared" si="466"/>
        <v>0</v>
      </c>
      <c r="W655" s="100">
        <v>654</v>
      </c>
      <c r="X655" s="131">
        <f t="shared" ca="1" si="467"/>
        <v>66073</v>
      </c>
      <c r="Y655" s="102">
        <f t="shared" si="468"/>
        <v>0</v>
      </c>
      <c r="Z655" s="102">
        <f t="shared" si="469"/>
        <v>0</v>
      </c>
      <c r="AA655" s="102">
        <f t="shared" si="470"/>
        <v>0</v>
      </c>
      <c r="AB655" s="102">
        <f t="shared" si="471"/>
        <v>0</v>
      </c>
      <c r="AH655" s="100">
        <v>654</v>
      </c>
      <c r="AI655" s="131">
        <f t="shared" ca="1" si="472"/>
        <v>66073</v>
      </c>
      <c r="AJ655" s="102">
        <f t="shared" si="473"/>
        <v>0</v>
      </c>
      <c r="AK655" s="102">
        <f t="shared" si="474"/>
        <v>0</v>
      </c>
      <c r="AL655" s="102">
        <f t="shared" si="475"/>
        <v>0</v>
      </c>
      <c r="AM655" s="102">
        <f t="shared" si="476"/>
        <v>0</v>
      </c>
      <c r="AS655" s="530">
        <v>654</v>
      </c>
      <c r="AT655" s="531">
        <f t="shared" ca="1" si="490"/>
        <v>66073</v>
      </c>
      <c r="AU655" s="532">
        <f ca="1">IF(AU654=0,SUMIFS('Key Life Events'!$L$3:$L$28,'Key Life Events'!$H$3:$H$28,'Loan Amortization'!$AY$3,'Key Life Events'!$N$3:$N$28,'Loan Amortization'!AT655),AU654-AX654)</f>
        <v>0</v>
      </c>
      <c r="AV655" s="532">
        <f t="shared" ca="1" si="491"/>
        <v>0</v>
      </c>
      <c r="AW655" s="532">
        <f t="shared" ca="1" si="480"/>
        <v>0</v>
      </c>
      <c r="AX655" s="532">
        <f t="shared" ca="1" si="481"/>
        <v>0</v>
      </c>
      <c r="BC655" s="536">
        <f t="shared" ca="1" si="482"/>
        <v>2080</v>
      </c>
      <c r="BF655" s="530">
        <v>654</v>
      </c>
      <c r="BG655" s="531">
        <f t="shared" ca="1" si="492"/>
        <v>66073</v>
      </c>
      <c r="BH655" s="532">
        <f ca="1">IF(BH654=0,SUMIFS('Key Life Events'!$L$3:$L$28,'Key Life Events'!$H$3:$H$28,'Loan Amortization'!$BL$3,'Key Life Events'!$N$3:$N$28,'Loan Amortization'!BG655),BH654-BK654)</f>
        <v>0</v>
      </c>
      <c r="BI655" s="532">
        <f t="shared" ca="1" si="493"/>
        <v>0</v>
      </c>
      <c r="BJ655" s="532">
        <f t="shared" ca="1" si="494"/>
        <v>0</v>
      </c>
      <c r="BK655" s="532">
        <f t="shared" ca="1" si="483"/>
        <v>0</v>
      </c>
      <c r="BP655" s="536">
        <f t="shared" ca="1" si="484"/>
        <v>2080</v>
      </c>
      <c r="BS655" s="530">
        <v>654</v>
      </c>
      <c r="BT655" s="531">
        <f t="shared" ca="1" si="495"/>
        <v>66073</v>
      </c>
      <c r="BU655" s="532">
        <f ca="1">IF(BU654=0,SUMIFS('Key Life Events'!$L$3:$L$28,'Key Life Events'!$H$3:$H$28,'Loan Amortization'!$BY$3,'Key Life Events'!$N$3:$N$28,'Loan Amortization'!BT655),BU654-BX654)</f>
        <v>0</v>
      </c>
      <c r="BV655" s="532">
        <f t="shared" ca="1" si="500"/>
        <v>0</v>
      </c>
      <c r="BW655" s="532">
        <f t="shared" ca="1" si="496"/>
        <v>0</v>
      </c>
      <c r="BX655" s="532">
        <f t="shared" ca="1" si="485"/>
        <v>0</v>
      </c>
      <c r="CC655" s="536">
        <f t="shared" ca="1" si="486"/>
        <v>2080</v>
      </c>
      <c r="CF655" s="530">
        <v>654</v>
      </c>
      <c r="CG655" s="531">
        <f t="shared" ca="1" si="497"/>
        <v>66073</v>
      </c>
      <c r="CH655" s="532">
        <f ca="1">IF(CH654=0,SUMIFS('Key Life Events'!$L$3:$L$28,'Key Life Events'!$H$3:$H$28,'Loan Amortization'!$CL$3,'Key Life Events'!$N$3:$N$28,'Loan Amortization'!CG655),CH654-CK654)</f>
        <v>0</v>
      </c>
      <c r="CI655" s="532">
        <f t="shared" ca="1" si="498"/>
        <v>0</v>
      </c>
      <c r="CJ655" s="532">
        <f t="shared" ca="1" si="499"/>
        <v>0</v>
      </c>
      <c r="CK655" s="532">
        <f t="shared" ca="1" si="487"/>
        <v>0</v>
      </c>
      <c r="CP655" s="536">
        <f t="shared" ca="1" si="488"/>
        <v>2080</v>
      </c>
      <c r="CS655" s="100">
        <f t="shared" si="477"/>
        <v>654</v>
      </c>
      <c r="CT655" s="102">
        <f t="shared" ca="1" si="478"/>
        <v>0</v>
      </c>
      <c r="CU655" s="102">
        <f t="shared" ca="1" si="479"/>
        <v>0</v>
      </c>
      <c r="CV655" s="511">
        <f t="shared" ca="1" si="489"/>
        <v>2080</v>
      </c>
    </row>
    <row r="656" spans="1:100" x14ac:dyDescent="0.3">
      <c r="A656" s="100">
        <v>655</v>
      </c>
      <c r="B656" s="131">
        <f t="shared" si="457"/>
        <v>19081</v>
      </c>
      <c r="C656" s="102">
        <f t="shared" si="458"/>
        <v>0</v>
      </c>
      <c r="D656" s="102">
        <f t="shared" si="459"/>
        <v>0</v>
      </c>
      <c r="E656" s="102">
        <f t="shared" si="460"/>
        <v>0</v>
      </c>
      <c r="F656" s="102">
        <f t="shared" si="461"/>
        <v>0</v>
      </c>
      <c r="L656" s="100">
        <v>655</v>
      </c>
      <c r="M656" s="131">
        <f t="shared" ca="1" si="462"/>
        <v>66103</v>
      </c>
      <c r="N656" s="102">
        <f t="shared" si="463"/>
        <v>0</v>
      </c>
      <c r="O656" s="102">
        <f t="shared" si="464"/>
        <v>0</v>
      </c>
      <c r="P656" s="102">
        <f t="shared" si="465"/>
        <v>0</v>
      </c>
      <c r="Q656" s="102">
        <f t="shared" si="466"/>
        <v>0</v>
      </c>
      <c r="W656" s="100">
        <v>655</v>
      </c>
      <c r="X656" s="131">
        <f t="shared" ca="1" si="467"/>
        <v>66103</v>
      </c>
      <c r="Y656" s="102">
        <f t="shared" si="468"/>
        <v>0</v>
      </c>
      <c r="Z656" s="102">
        <f t="shared" si="469"/>
        <v>0</v>
      </c>
      <c r="AA656" s="102">
        <f t="shared" si="470"/>
        <v>0</v>
      </c>
      <c r="AB656" s="102">
        <f t="shared" si="471"/>
        <v>0</v>
      </c>
      <c r="AH656" s="100">
        <v>655</v>
      </c>
      <c r="AI656" s="131">
        <f t="shared" ca="1" si="472"/>
        <v>66103</v>
      </c>
      <c r="AJ656" s="102">
        <f t="shared" si="473"/>
        <v>0</v>
      </c>
      <c r="AK656" s="102">
        <f t="shared" si="474"/>
        <v>0</v>
      </c>
      <c r="AL656" s="102">
        <f t="shared" si="475"/>
        <v>0</v>
      </c>
      <c r="AM656" s="102">
        <f t="shared" si="476"/>
        <v>0</v>
      </c>
      <c r="AS656" s="530">
        <v>655</v>
      </c>
      <c r="AT656" s="531">
        <f t="shared" ca="1" si="490"/>
        <v>66103</v>
      </c>
      <c r="AU656" s="532">
        <f ca="1">IF(AU655=0,SUMIFS('Key Life Events'!$L$3:$L$28,'Key Life Events'!$H$3:$H$28,'Loan Amortization'!$AY$3,'Key Life Events'!$N$3:$N$28,'Loan Amortization'!AT656),AU655-AX655)</f>
        <v>0</v>
      </c>
      <c r="AV656" s="532">
        <f t="shared" ca="1" si="491"/>
        <v>0</v>
      </c>
      <c r="AW656" s="532">
        <f t="shared" ca="1" si="480"/>
        <v>0</v>
      </c>
      <c r="AX656" s="532">
        <f t="shared" ca="1" si="481"/>
        <v>0</v>
      </c>
      <c r="BC656" s="536">
        <f t="shared" ca="1" si="482"/>
        <v>2080</v>
      </c>
      <c r="BF656" s="530">
        <v>655</v>
      </c>
      <c r="BG656" s="531">
        <f t="shared" ca="1" si="492"/>
        <v>66103</v>
      </c>
      <c r="BH656" s="532">
        <f ca="1">IF(BH655=0,SUMIFS('Key Life Events'!$L$3:$L$28,'Key Life Events'!$H$3:$H$28,'Loan Amortization'!$BL$3,'Key Life Events'!$N$3:$N$28,'Loan Amortization'!BG656),BH655-BK655)</f>
        <v>0</v>
      </c>
      <c r="BI656" s="532">
        <f t="shared" ca="1" si="493"/>
        <v>0</v>
      </c>
      <c r="BJ656" s="532">
        <f t="shared" ca="1" si="494"/>
        <v>0</v>
      </c>
      <c r="BK656" s="532">
        <f t="shared" ca="1" si="483"/>
        <v>0</v>
      </c>
      <c r="BP656" s="536">
        <f t="shared" ca="1" si="484"/>
        <v>2080</v>
      </c>
      <c r="BS656" s="530">
        <v>655</v>
      </c>
      <c r="BT656" s="531">
        <f t="shared" ca="1" si="495"/>
        <v>66103</v>
      </c>
      <c r="BU656" s="532">
        <f ca="1">IF(BU655=0,SUMIFS('Key Life Events'!$L$3:$L$28,'Key Life Events'!$H$3:$H$28,'Loan Amortization'!$BY$3,'Key Life Events'!$N$3:$N$28,'Loan Amortization'!BT656),BU655-BX655)</f>
        <v>0</v>
      </c>
      <c r="BV656" s="532">
        <f t="shared" ca="1" si="500"/>
        <v>0</v>
      </c>
      <c r="BW656" s="532">
        <f t="shared" ca="1" si="496"/>
        <v>0</v>
      </c>
      <c r="BX656" s="532">
        <f t="shared" ca="1" si="485"/>
        <v>0</v>
      </c>
      <c r="CC656" s="536">
        <f t="shared" ca="1" si="486"/>
        <v>2080</v>
      </c>
      <c r="CF656" s="530">
        <v>655</v>
      </c>
      <c r="CG656" s="531">
        <f t="shared" ca="1" si="497"/>
        <v>66103</v>
      </c>
      <c r="CH656" s="532">
        <f ca="1">IF(CH655=0,SUMIFS('Key Life Events'!$L$3:$L$28,'Key Life Events'!$H$3:$H$28,'Loan Amortization'!$CL$3,'Key Life Events'!$N$3:$N$28,'Loan Amortization'!CG656),CH655-CK655)</f>
        <v>0</v>
      </c>
      <c r="CI656" s="532">
        <f t="shared" ca="1" si="498"/>
        <v>0</v>
      </c>
      <c r="CJ656" s="532">
        <f t="shared" ca="1" si="499"/>
        <v>0</v>
      </c>
      <c r="CK656" s="532">
        <f t="shared" ca="1" si="487"/>
        <v>0</v>
      </c>
      <c r="CP656" s="536">
        <f t="shared" ca="1" si="488"/>
        <v>2080</v>
      </c>
      <c r="CS656" s="100">
        <f t="shared" si="477"/>
        <v>655</v>
      </c>
      <c r="CT656" s="102">
        <f t="shared" ca="1" si="478"/>
        <v>0</v>
      </c>
      <c r="CU656" s="102">
        <f t="shared" ca="1" si="479"/>
        <v>0</v>
      </c>
      <c r="CV656" s="511">
        <f t="shared" ca="1" si="489"/>
        <v>2080</v>
      </c>
    </row>
    <row r="657" spans="1:100" x14ac:dyDescent="0.3">
      <c r="A657" s="100">
        <v>656</v>
      </c>
      <c r="B657" s="131">
        <f t="shared" si="457"/>
        <v>19112</v>
      </c>
      <c r="C657" s="102">
        <f t="shared" si="458"/>
        <v>0</v>
      </c>
      <c r="D657" s="102">
        <f t="shared" si="459"/>
        <v>0</v>
      </c>
      <c r="E657" s="102">
        <f t="shared" si="460"/>
        <v>0</v>
      </c>
      <c r="F657" s="102">
        <f t="shared" si="461"/>
        <v>0</v>
      </c>
      <c r="L657" s="100">
        <v>656</v>
      </c>
      <c r="M657" s="131">
        <f t="shared" ca="1" si="462"/>
        <v>66134</v>
      </c>
      <c r="N657" s="102">
        <f t="shared" si="463"/>
        <v>0</v>
      </c>
      <c r="O657" s="102">
        <f t="shared" si="464"/>
        <v>0</v>
      </c>
      <c r="P657" s="102">
        <f t="shared" si="465"/>
        <v>0</v>
      </c>
      <c r="Q657" s="102">
        <f t="shared" si="466"/>
        <v>0</v>
      </c>
      <c r="W657" s="100">
        <v>656</v>
      </c>
      <c r="X657" s="131">
        <f t="shared" ca="1" si="467"/>
        <v>66134</v>
      </c>
      <c r="Y657" s="102">
        <f t="shared" si="468"/>
        <v>0</v>
      </c>
      <c r="Z657" s="102">
        <f t="shared" si="469"/>
        <v>0</v>
      </c>
      <c r="AA657" s="102">
        <f t="shared" si="470"/>
        <v>0</v>
      </c>
      <c r="AB657" s="102">
        <f t="shared" si="471"/>
        <v>0</v>
      </c>
      <c r="AH657" s="100">
        <v>656</v>
      </c>
      <c r="AI657" s="131">
        <f t="shared" ca="1" si="472"/>
        <v>66134</v>
      </c>
      <c r="AJ657" s="102">
        <f t="shared" si="473"/>
        <v>0</v>
      </c>
      <c r="AK657" s="102">
        <f t="shared" si="474"/>
        <v>0</v>
      </c>
      <c r="AL657" s="102">
        <f t="shared" si="475"/>
        <v>0</v>
      </c>
      <c r="AM657" s="102">
        <f t="shared" si="476"/>
        <v>0</v>
      </c>
      <c r="AS657" s="530">
        <v>656</v>
      </c>
      <c r="AT657" s="531">
        <f t="shared" ca="1" si="490"/>
        <v>66134</v>
      </c>
      <c r="AU657" s="532">
        <f ca="1">IF(AU656=0,SUMIFS('Key Life Events'!$L$3:$L$28,'Key Life Events'!$H$3:$H$28,'Loan Amortization'!$AY$3,'Key Life Events'!$N$3:$N$28,'Loan Amortization'!AT657),AU656-AX656)</f>
        <v>0</v>
      </c>
      <c r="AV657" s="532">
        <f t="shared" ca="1" si="491"/>
        <v>0</v>
      </c>
      <c r="AW657" s="532">
        <f t="shared" ca="1" si="480"/>
        <v>0</v>
      </c>
      <c r="AX657" s="532">
        <f t="shared" ca="1" si="481"/>
        <v>0</v>
      </c>
      <c r="BC657" s="536">
        <f t="shared" ca="1" si="482"/>
        <v>2081</v>
      </c>
      <c r="BF657" s="530">
        <v>656</v>
      </c>
      <c r="BG657" s="531">
        <f t="shared" ca="1" si="492"/>
        <v>66134</v>
      </c>
      <c r="BH657" s="532">
        <f ca="1">IF(BH656=0,SUMIFS('Key Life Events'!$L$3:$L$28,'Key Life Events'!$H$3:$H$28,'Loan Amortization'!$BL$3,'Key Life Events'!$N$3:$N$28,'Loan Amortization'!BG657),BH656-BK656)</f>
        <v>0</v>
      </c>
      <c r="BI657" s="532">
        <f t="shared" ca="1" si="493"/>
        <v>0</v>
      </c>
      <c r="BJ657" s="532">
        <f t="shared" ca="1" si="494"/>
        <v>0</v>
      </c>
      <c r="BK657" s="532">
        <f t="shared" ca="1" si="483"/>
        <v>0</v>
      </c>
      <c r="BP657" s="536">
        <f t="shared" ca="1" si="484"/>
        <v>2081</v>
      </c>
      <c r="BS657" s="530">
        <v>656</v>
      </c>
      <c r="BT657" s="531">
        <f t="shared" ca="1" si="495"/>
        <v>66134</v>
      </c>
      <c r="BU657" s="532">
        <f ca="1">IF(BU656=0,SUMIFS('Key Life Events'!$L$3:$L$28,'Key Life Events'!$H$3:$H$28,'Loan Amortization'!$BY$3,'Key Life Events'!$N$3:$N$28,'Loan Amortization'!BT657),BU656-BX656)</f>
        <v>0</v>
      </c>
      <c r="BV657" s="532">
        <f t="shared" ca="1" si="500"/>
        <v>0</v>
      </c>
      <c r="BW657" s="532">
        <f t="shared" ca="1" si="496"/>
        <v>0</v>
      </c>
      <c r="BX657" s="532">
        <f t="shared" ca="1" si="485"/>
        <v>0</v>
      </c>
      <c r="CC657" s="536">
        <f t="shared" ca="1" si="486"/>
        <v>2081</v>
      </c>
      <c r="CF657" s="530">
        <v>656</v>
      </c>
      <c r="CG657" s="531">
        <f t="shared" ca="1" si="497"/>
        <v>66134</v>
      </c>
      <c r="CH657" s="532">
        <f ca="1">IF(CH656=0,SUMIFS('Key Life Events'!$L$3:$L$28,'Key Life Events'!$H$3:$H$28,'Loan Amortization'!$CL$3,'Key Life Events'!$N$3:$N$28,'Loan Amortization'!CG657),CH656-CK656)</f>
        <v>0</v>
      </c>
      <c r="CI657" s="532">
        <f t="shared" ca="1" si="498"/>
        <v>0</v>
      </c>
      <c r="CJ657" s="532">
        <f t="shared" ca="1" si="499"/>
        <v>0</v>
      </c>
      <c r="CK657" s="532">
        <f t="shared" ca="1" si="487"/>
        <v>0</v>
      </c>
      <c r="CP657" s="536">
        <f t="shared" ca="1" si="488"/>
        <v>2081</v>
      </c>
      <c r="CS657" s="100">
        <f t="shared" si="477"/>
        <v>656</v>
      </c>
      <c r="CT657" s="102">
        <f t="shared" ca="1" si="478"/>
        <v>0</v>
      </c>
      <c r="CU657" s="102">
        <f t="shared" ca="1" si="479"/>
        <v>0</v>
      </c>
      <c r="CV657" s="511">
        <f t="shared" ca="1" si="489"/>
        <v>2081</v>
      </c>
    </row>
    <row r="658" spans="1:100" x14ac:dyDescent="0.3">
      <c r="A658" s="100">
        <v>657</v>
      </c>
      <c r="B658" s="131">
        <f t="shared" si="457"/>
        <v>19142</v>
      </c>
      <c r="C658" s="102">
        <f t="shared" si="458"/>
        <v>0</v>
      </c>
      <c r="D658" s="102">
        <f t="shared" si="459"/>
        <v>0</v>
      </c>
      <c r="E658" s="102">
        <f t="shared" si="460"/>
        <v>0</v>
      </c>
      <c r="F658" s="102">
        <f t="shared" si="461"/>
        <v>0</v>
      </c>
      <c r="L658" s="100">
        <v>657</v>
      </c>
      <c r="M658" s="131">
        <f t="shared" ca="1" si="462"/>
        <v>66165</v>
      </c>
      <c r="N658" s="102">
        <f t="shared" si="463"/>
        <v>0</v>
      </c>
      <c r="O658" s="102">
        <f t="shared" si="464"/>
        <v>0</v>
      </c>
      <c r="P658" s="102">
        <f t="shared" si="465"/>
        <v>0</v>
      </c>
      <c r="Q658" s="102">
        <f t="shared" si="466"/>
        <v>0</v>
      </c>
      <c r="W658" s="100">
        <v>657</v>
      </c>
      <c r="X658" s="131">
        <f t="shared" ca="1" si="467"/>
        <v>66165</v>
      </c>
      <c r="Y658" s="102">
        <f t="shared" si="468"/>
        <v>0</v>
      </c>
      <c r="Z658" s="102">
        <f t="shared" si="469"/>
        <v>0</v>
      </c>
      <c r="AA658" s="102">
        <f t="shared" si="470"/>
        <v>0</v>
      </c>
      <c r="AB658" s="102">
        <f t="shared" si="471"/>
        <v>0</v>
      </c>
      <c r="AH658" s="100">
        <v>657</v>
      </c>
      <c r="AI658" s="131">
        <f t="shared" ca="1" si="472"/>
        <v>66165</v>
      </c>
      <c r="AJ658" s="102">
        <f t="shared" si="473"/>
        <v>0</v>
      </c>
      <c r="AK658" s="102">
        <f t="shared" si="474"/>
        <v>0</v>
      </c>
      <c r="AL658" s="102">
        <f t="shared" si="475"/>
        <v>0</v>
      </c>
      <c r="AM658" s="102">
        <f t="shared" si="476"/>
        <v>0</v>
      </c>
      <c r="AS658" s="530">
        <v>657</v>
      </c>
      <c r="AT658" s="531">
        <f t="shared" ca="1" si="490"/>
        <v>66165</v>
      </c>
      <c r="AU658" s="532">
        <f ca="1">IF(AU657=0,SUMIFS('Key Life Events'!$L$3:$L$28,'Key Life Events'!$H$3:$H$28,'Loan Amortization'!$AY$3,'Key Life Events'!$N$3:$N$28,'Loan Amortization'!AT658),AU657-AX657)</f>
        <v>0</v>
      </c>
      <c r="AV658" s="532">
        <f t="shared" ca="1" si="491"/>
        <v>0</v>
      </c>
      <c r="AW658" s="532">
        <f t="shared" ca="1" si="480"/>
        <v>0</v>
      </c>
      <c r="AX658" s="532">
        <f t="shared" ca="1" si="481"/>
        <v>0</v>
      </c>
      <c r="BC658" s="536">
        <f t="shared" ca="1" si="482"/>
        <v>2081</v>
      </c>
      <c r="BF658" s="530">
        <v>657</v>
      </c>
      <c r="BG658" s="531">
        <f t="shared" ca="1" si="492"/>
        <v>66165</v>
      </c>
      <c r="BH658" s="532">
        <f ca="1">IF(BH657=0,SUMIFS('Key Life Events'!$L$3:$L$28,'Key Life Events'!$H$3:$H$28,'Loan Amortization'!$BL$3,'Key Life Events'!$N$3:$N$28,'Loan Amortization'!BG658),BH657-BK657)</f>
        <v>0</v>
      </c>
      <c r="BI658" s="532">
        <f t="shared" ca="1" si="493"/>
        <v>0</v>
      </c>
      <c r="BJ658" s="532">
        <f t="shared" ca="1" si="494"/>
        <v>0</v>
      </c>
      <c r="BK658" s="532">
        <f t="shared" ca="1" si="483"/>
        <v>0</v>
      </c>
      <c r="BP658" s="536">
        <f t="shared" ca="1" si="484"/>
        <v>2081</v>
      </c>
      <c r="BS658" s="530">
        <v>657</v>
      </c>
      <c r="BT658" s="531">
        <f t="shared" ca="1" si="495"/>
        <v>66165</v>
      </c>
      <c r="BU658" s="532">
        <f ca="1">IF(BU657=0,SUMIFS('Key Life Events'!$L$3:$L$28,'Key Life Events'!$H$3:$H$28,'Loan Amortization'!$BY$3,'Key Life Events'!$N$3:$N$28,'Loan Amortization'!BT658),BU657-BX657)</f>
        <v>0</v>
      </c>
      <c r="BV658" s="532">
        <f t="shared" ca="1" si="500"/>
        <v>0</v>
      </c>
      <c r="BW658" s="532">
        <f t="shared" ca="1" si="496"/>
        <v>0</v>
      </c>
      <c r="BX658" s="532">
        <f t="shared" ca="1" si="485"/>
        <v>0</v>
      </c>
      <c r="CC658" s="536">
        <f t="shared" ca="1" si="486"/>
        <v>2081</v>
      </c>
      <c r="CF658" s="530">
        <v>657</v>
      </c>
      <c r="CG658" s="531">
        <f t="shared" ca="1" si="497"/>
        <v>66165</v>
      </c>
      <c r="CH658" s="532">
        <f ca="1">IF(CH657=0,SUMIFS('Key Life Events'!$L$3:$L$28,'Key Life Events'!$H$3:$H$28,'Loan Amortization'!$CL$3,'Key Life Events'!$N$3:$N$28,'Loan Amortization'!CG658),CH657-CK657)</f>
        <v>0</v>
      </c>
      <c r="CI658" s="532">
        <f t="shared" ca="1" si="498"/>
        <v>0</v>
      </c>
      <c r="CJ658" s="532">
        <f t="shared" ca="1" si="499"/>
        <v>0</v>
      </c>
      <c r="CK658" s="532">
        <f t="shared" ca="1" si="487"/>
        <v>0</v>
      </c>
      <c r="CP658" s="536">
        <f t="shared" ca="1" si="488"/>
        <v>2081</v>
      </c>
      <c r="CS658" s="100">
        <f t="shared" si="477"/>
        <v>657</v>
      </c>
      <c r="CT658" s="102">
        <f t="shared" ca="1" si="478"/>
        <v>0</v>
      </c>
      <c r="CU658" s="102">
        <f t="shared" ca="1" si="479"/>
        <v>0</v>
      </c>
      <c r="CV658" s="511">
        <f t="shared" ca="1" si="489"/>
        <v>2081</v>
      </c>
    </row>
    <row r="659" spans="1:100" x14ac:dyDescent="0.3">
      <c r="A659" s="100">
        <v>658</v>
      </c>
      <c r="B659" s="131">
        <f t="shared" si="457"/>
        <v>19173</v>
      </c>
      <c r="C659" s="102">
        <f t="shared" si="458"/>
        <v>0</v>
      </c>
      <c r="D659" s="102">
        <f t="shared" si="459"/>
        <v>0</v>
      </c>
      <c r="E659" s="102">
        <f t="shared" si="460"/>
        <v>0</v>
      </c>
      <c r="F659" s="102">
        <f t="shared" si="461"/>
        <v>0</v>
      </c>
      <c r="L659" s="100">
        <v>658</v>
      </c>
      <c r="M659" s="131">
        <f t="shared" ca="1" si="462"/>
        <v>66193</v>
      </c>
      <c r="N659" s="102">
        <f t="shared" si="463"/>
        <v>0</v>
      </c>
      <c r="O659" s="102">
        <f t="shared" si="464"/>
        <v>0</v>
      </c>
      <c r="P659" s="102">
        <f t="shared" si="465"/>
        <v>0</v>
      </c>
      <c r="Q659" s="102">
        <f t="shared" si="466"/>
        <v>0</v>
      </c>
      <c r="W659" s="100">
        <v>658</v>
      </c>
      <c r="X659" s="131">
        <f t="shared" ca="1" si="467"/>
        <v>66193</v>
      </c>
      <c r="Y659" s="102">
        <f t="shared" si="468"/>
        <v>0</v>
      </c>
      <c r="Z659" s="102">
        <f t="shared" si="469"/>
        <v>0</v>
      </c>
      <c r="AA659" s="102">
        <f t="shared" si="470"/>
        <v>0</v>
      </c>
      <c r="AB659" s="102">
        <f t="shared" si="471"/>
        <v>0</v>
      </c>
      <c r="AH659" s="100">
        <v>658</v>
      </c>
      <c r="AI659" s="131">
        <f t="shared" ca="1" si="472"/>
        <v>66193</v>
      </c>
      <c r="AJ659" s="102">
        <f t="shared" si="473"/>
        <v>0</v>
      </c>
      <c r="AK659" s="102">
        <f t="shared" si="474"/>
        <v>0</v>
      </c>
      <c r="AL659" s="102">
        <f t="shared" si="475"/>
        <v>0</v>
      </c>
      <c r="AM659" s="102">
        <f t="shared" si="476"/>
        <v>0</v>
      </c>
      <c r="AS659" s="530">
        <v>658</v>
      </c>
      <c r="AT659" s="531">
        <f t="shared" ca="1" si="490"/>
        <v>66193</v>
      </c>
      <c r="AU659" s="532">
        <f ca="1">IF(AU658=0,SUMIFS('Key Life Events'!$L$3:$L$28,'Key Life Events'!$H$3:$H$28,'Loan Amortization'!$AY$3,'Key Life Events'!$N$3:$N$28,'Loan Amortization'!AT659),AU658-AX658)</f>
        <v>0</v>
      </c>
      <c r="AV659" s="532">
        <f t="shared" ca="1" si="491"/>
        <v>0</v>
      </c>
      <c r="AW659" s="532">
        <f t="shared" ca="1" si="480"/>
        <v>0</v>
      </c>
      <c r="AX659" s="532">
        <f t="shared" ca="1" si="481"/>
        <v>0</v>
      </c>
      <c r="BC659" s="536">
        <f t="shared" ca="1" si="482"/>
        <v>2081</v>
      </c>
      <c r="BF659" s="530">
        <v>658</v>
      </c>
      <c r="BG659" s="531">
        <f t="shared" ca="1" si="492"/>
        <v>66193</v>
      </c>
      <c r="BH659" s="532">
        <f ca="1">IF(BH658=0,SUMIFS('Key Life Events'!$L$3:$L$28,'Key Life Events'!$H$3:$H$28,'Loan Amortization'!$BL$3,'Key Life Events'!$N$3:$N$28,'Loan Amortization'!BG659),BH658-BK658)</f>
        <v>0</v>
      </c>
      <c r="BI659" s="532">
        <f t="shared" ca="1" si="493"/>
        <v>0</v>
      </c>
      <c r="BJ659" s="532">
        <f t="shared" ca="1" si="494"/>
        <v>0</v>
      </c>
      <c r="BK659" s="532">
        <f t="shared" ca="1" si="483"/>
        <v>0</v>
      </c>
      <c r="BP659" s="536">
        <f t="shared" ca="1" si="484"/>
        <v>2081</v>
      </c>
      <c r="BS659" s="530">
        <v>658</v>
      </c>
      <c r="BT659" s="531">
        <f t="shared" ca="1" si="495"/>
        <v>66193</v>
      </c>
      <c r="BU659" s="532">
        <f ca="1">IF(BU658=0,SUMIFS('Key Life Events'!$L$3:$L$28,'Key Life Events'!$H$3:$H$28,'Loan Amortization'!$BY$3,'Key Life Events'!$N$3:$N$28,'Loan Amortization'!BT659),BU658-BX658)</f>
        <v>0</v>
      </c>
      <c r="BV659" s="532">
        <f t="shared" ca="1" si="500"/>
        <v>0</v>
      </c>
      <c r="BW659" s="532">
        <f t="shared" ca="1" si="496"/>
        <v>0</v>
      </c>
      <c r="BX659" s="532">
        <f t="shared" ca="1" si="485"/>
        <v>0</v>
      </c>
      <c r="CC659" s="536">
        <f t="shared" ca="1" si="486"/>
        <v>2081</v>
      </c>
      <c r="CF659" s="530">
        <v>658</v>
      </c>
      <c r="CG659" s="531">
        <f t="shared" ca="1" si="497"/>
        <v>66193</v>
      </c>
      <c r="CH659" s="532">
        <f ca="1">IF(CH658=0,SUMIFS('Key Life Events'!$L$3:$L$28,'Key Life Events'!$H$3:$H$28,'Loan Amortization'!$CL$3,'Key Life Events'!$N$3:$N$28,'Loan Amortization'!CG659),CH658-CK658)</f>
        <v>0</v>
      </c>
      <c r="CI659" s="532">
        <f t="shared" ca="1" si="498"/>
        <v>0</v>
      </c>
      <c r="CJ659" s="532">
        <f t="shared" ca="1" si="499"/>
        <v>0</v>
      </c>
      <c r="CK659" s="532">
        <f t="shared" ca="1" si="487"/>
        <v>0</v>
      </c>
      <c r="CP659" s="536">
        <f t="shared" ca="1" si="488"/>
        <v>2081</v>
      </c>
      <c r="CS659" s="100">
        <f t="shared" si="477"/>
        <v>658</v>
      </c>
      <c r="CT659" s="102">
        <f t="shared" ca="1" si="478"/>
        <v>0</v>
      </c>
      <c r="CU659" s="102">
        <f t="shared" ca="1" si="479"/>
        <v>0</v>
      </c>
      <c r="CV659" s="511">
        <f t="shared" ca="1" si="489"/>
        <v>2081</v>
      </c>
    </row>
    <row r="660" spans="1:100" x14ac:dyDescent="0.3">
      <c r="A660" s="100">
        <v>659</v>
      </c>
      <c r="B660" s="131">
        <f t="shared" si="457"/>
        <v>19203</v>
      </c>
      <c r="C660" s="102">
        <f t="shared" si="458"/>
        <v>0</v>
      </c>
      <c r="D660" s="102">
        <f t="shared" si="459"/>
        <v>0</v>
      </c>
      <c r="E660" s="102">
        <f t="shared" si="460"/>
        <v>0</v>
      </c>
      <c r="F660" s="102">
        <f t="shared" si="461"/>
        <v>0</v>
      </c>
      <c r="L660" s="100">
        <v>659</v>
      </c>
      <c r="M660" s="131">
        <f t="shared" ca="1" si="462"/>
        <v>66224</v>
      </c>
      <c r="N660" s="102">
        <f t="shared" si="463"/>
        <v>0</v>
      </c>
      <c r="O660" s="102">
        <f t="shared" si="464"/>
        <v>0</v>
      </c>
      <c r="P660" s="102">
        <f t="shared" si="465"/>
        <v>0</v>
      </c>
      <c r="Q660" s="102">
        <f t="shared" si="466"/>
        <v>0</v>
      </c>
      <c r="W660" s="100">
        <v>659</v>
      </c>
      <c r="X660" s="131">
        <f t="shared" ca="1" si="467"/>
        <v>66224</v>
      </c>
      <c r="Y660" s="102">
        <f t="shared" si="468"/>
        <v>0</v>
      </c>
      <c r="Z660" s="102">
        <f t="shared" si="469"/>
        <v>0</v>
      </c>
      <c r="AA660" s="102">
        <f t="shared" si="470"/>
        <v>0</v>
      </c>
      <c r="AB660" s="102">
        <f t="shared" si="471"/>
        <v>0</v>
      </c>
      <c r="AH660" s="100">
        <v>659</v>
      </c>
      <c r="AI660" s="131">
        <f t="shared" ca="1" si="472"/>
        <v>66224</v>
      </c>
      <c r="AJ660" s="102">
        <f t="shared" si="473"/>
        <v>0</v>
      </c>
      <c r="AK660" s="102">
        <f t="shared" si="474"/>
        <v>0</v>
      </c>
      <c r="AL660" s="102">
        <f t="shared" si="475"/>
        <v>0</v>
      </c>
      <c r="AM660" s="102">
        <f t="shared" si="476"/>
        <v>0</v>
      </c>
      <c r="AS660" s="530">
        <v>659</v>
      </c>
      <c r="AT660" s="531">
        <f t="shared" ca="1" si="490"/>
        <v>66224</v>
      </c>
      <c r="AU660" s="532">
        <f ca="1">IF(AU659=0,SUMIFS('Key Life Events'!$L$3:$L$28,'Key Life Events'!$H$3:$H$28,'Loan Amortization'!$AY$3,'Key Life Events'!$N$3:$N$28,'Loan Amortization'!AT660),AU659-AX659)</f>
        <v>0</v>
      </c>
      <c r="AV660" s="532">
        <f t="shared" ca="1" si="491"/>
        <v>0</v>
      </c>
      <c r="AW660" s="532">
        <f t="shared" ca="1" si="480"/>
        <v>0</v>
      </c>
      <c r="AX660" s="532">
        <f t="shared" ca="1" si="481"/>
        <v>0</v>
      </c>
      <c r="BC660" s="536">
        <f t="shared" ca="1" si="482"/>
        <v>2081</v>
      </c>
      <c r="BF660" s="530">
        <v>659</v>
      </c>
      <c r="BG660" s="531">
        <f t="shared" ca="1" si="492"/>
        <v>66224</v>
      </c>
      <c r="BH660" s="532">
        <f ca="1">IF(BH659=0,SUMIFS('Key Life Events'!$L$3:$L$28,'Key Life Events'!$H$3:$H$28,'Loan Amortization'!$BL$3,'Key Life Events'!$N$3:$N$28,'Loan Amortization'!BG660),BH659-BK659)</f>
        <v>0</v>
      </c>
      <c r="BI660" s="532">
        <f t="shared" ca="1" si="493"/>
        <v>0</v>
      </c>
      <c r="BJ660" s="532">
        <f t="shared" ca="1" si="494"/>
        <v>0</v>
      </c>
      <c r="BK660" s="532">
        <f t="shared" ca="1" si="483"/>
        <v>0</v>
      </c>
      <c r="BP660" s="536">
        <f t="shared" ca="1" si="484"/>
        <v>2081</v>
      </c>
      <c r="BS660" s="530">
        <v>659</v>
      </c>
      <c r="BT660" s="531">
        <f t="shared" ca="1" si="495"/>
        <v>66224</v>
      </c>
      <c r="BU660" s="532">
        <f ca="1">IF(BU659=0,SUMIFS('Key Life Events'!$L$3:$L$28,'Key Life Events'!$H$3:$H$28,'Loan Amortization'!$BY$3,'Key Life Events'!$N$3:$N$28,'Loan Amortization'!BT660),BU659-BX659)</f>
        <v>0</v>
      </c>
      <c r="BV660" s="532">
        <f t="shared" ca="1" si="500"/>
        <v>0</v>
      </c>
      <c r="BW660" s="532">
        <f t="shared" ca="1" si="496"/>
        <v>0</v>
      </c>
      <c r="BX660" s="532">
        <f t="shared" ca="1" si="485"/>
        <v>0</v>
      </c>
      <c r="CC660" s="536">
        <f t="shared" ca="1" si="486"/>
        <v>2081</v>
      </c>
      <c r="CF660" s="530">
        <v>659</v>
      </c>
      <c r="CG660" s="531">
        <f t="shared" ca="1" si="497"/>
        <v>66224</v>
      </c>
      <c r="CH660" s="532">
        <f ca="1">IF(CH659=0,SUMIFS('Key Life Events'!$L$3:$L$28,'Key Life Events'!$H$3:$H$28,'Loan Amortization'!$CL$3,'Key Life Events'!$N$3:$N$28,'Loan Amortization'!CG660),CH659-CK659)</f>
        <v>0</v>
      </c>
      <c r="CI660" s="532">
        <f t="shared" ca="1" si="498"/>
        <v>0</v>
      </c>
      <c r="CJ660" s="532">
        <f t="shared" ca="1" si="499"/>
        <v>0</v>
      </c>
      <c r="CK660" s="532">
        <f t="shared" ca="1" si="487"/>
        <v>0</v>
      </c>
      <c r="CP660" s="536">
        <f t="shared" ca="1" si="488"/>
        <v>2081</v>
      </c>
      <c r="CS660" s="100">
        <f t="shared" si="477"/>
        <v>659</v>
      </c>
      <c r="CT660" s="102">
        <f t="shared" ca="1" si="478"/>
        <v>0</v>
      </c>
      <c r="CU660" s="102">
        <f t="shared" ca="1" si="479"/>
        <v>0</v>
      </c>
      <c r="CV660" s="511">
        <f t="shared" ca="1" si="489"/>
        <v>2081</v>
      </c>
    </row>
    <row r="661" spans="1:100" x14ac:dyDescent="0.3">
      <c r="A661" s="100">
        <v>660</v>
      </c>
      <c r="B661" s="131">
        <f t="shared" si="457"/>
        <v>19234</v>
      </c>
      <c r="C661" s="102">
        <f t="shared" si="458"/>
        <v>0</v>
      </c>
      <c r="D661" s="102">
        <f t="shared" si="459"/>
        <v>0</v>
      </c>
      <c r="E661" s="102">
        <f t="shared" si="460"/>
        <v>0</v>
      </c>
      <c r="F661" s="102">
        <f t="shared" si="461"/>
        <v>0</v>
      </c>
      <c r="L661" s="100">
        <v>660</v>
      </c>
      <c r="M661" s="131">
        <f t="shared" ca="1" si="462"/>
        <v>66254</v>
      </c>
      <c r="N661" s="102">
        <f t="shared" si="463"/>
        <v>0</v>
      </c>
      <c r="O661" s="102">
        <f t="shared" si="464"/>
        <v>0</v>
      </c>
      <c r="P661" s="102">
        <f t="shared" si="465"/>
        <v>0</v>
      </c>
      <c r="Q661" s="102">
        <f t="shared" si="466"/>
        <v>0</v>
      </c>
      <c r="W661" s="100">
        <v>660</v>
      </c>
      <c r="X661" s="131">
        <f t="shared" ca="1" si="467"/>
        <v>66254</v>
      </c>
      <c r="Y661" s="102">
        <f t="shared" si="468"/>
        <v>0</v>
      </c>
      <c r="Z661" s="102">
        <f t="shared" si="469"/>
        <v>0</v>
      </c>
      <c r="AA661" s="102">
        <f t="shared" si="470"/>
        <v>0</v>
      </c>
      <c r="AB661" s="102">
        <f t="shared" si="471"/>
        <v>0</v>
      </c>
      <c r="AH661" s="100">
        <v>660</v>
      </c>
      <c r="AI661" s="131">
        <f t="shared" ca="1" si="472"/>
        <v>66254</v>
      </c>
      <c r="AJ661" s="102">
        <f t="shared" si="473"/>
        <v>0</v>
      </c>
      <c r="AK661" s="102">
        <f t="shared" si="474"/>
        <v>0</v>
      </c>
      <c r="AL661" s="102">
        <f t="shared" si="475"/>
        <v>0</v>
      </c>
      <c r="AM661" s="102">
        <f t="shared" si="476"/>
        <v>0</v>
      </c>
      <c r="AS661" s="530">
        <v>660</v>
      </c>
      <c r="AT661" s="531">
        <f t="shared" ca="1" si="490"/>
        <v>66254</v>
      </c>
      <c r="AU661" s="532">
        <f ca="1">IF(AU660=0,SUMIFS('Key Life Events'!$L$3:$L$28,'Key Life Events'!$H$3:$H$28,'Loan Amortization'!$AY$3,'Key Life Events'!$N$3:$N$28,'Loan Amortization'!AT661),AU660-AX660)</f>
        <v>0</v>
      </c>
      <c r="AV661" s="532">
        <f t="shared" ca="1" si="491"/>
        <v>0</v>
      </c>
      <c r="AW661" s="532">
        <f t="shared" ca="1" si="480"/>
        <v>0</v>
      </c>
      <c r="AX661" s="532">
        <f t="shared" ca="1" si="481"/>
        <v>0</v>
      </c>
      <c r="BC661" s="536">
        <f t="shared" ca="1" si="482"/>
        <v>2081</v>
      </c>
      <c r="BF661" s="530">
        <v>660</v>
      </c>
      <c r="BG661" s="531">
        <f t="shared" ca="1" si="492"/>
        <v>66254</v>
      </c>
      <c r="BH661" s="532">
        <f ca="1">IF(BH660=0,SUMIFS('Key Life Events'!$L$3:$L$28,'Key Life Events'!$H$3:$H$28,'Loan Amortization'!$BL$3,'Key Life Events'!$N$3:$N$28,'Loan Amortization'!BG661),BH660-BK660)</f>
        <v>0</v>
      </c>
      <c r="BI661" s="532">
        <f t="shared" ca="1" si="493"/>
        <v>0</v>
      </c>
      <c r="BJ661" s="532">
        <f t="shared" ca="1" si="494"/>
        <v>0</v>
      </c>
      <c r="BK661" s="532">
        <f t="shared" ca="1" si="483"/>
        <v>0</v>
      </c>
      <c r="BP661" s="536">
        <f t="shared" ca="1" si="484"/>
        <v>2081</v>
      </c>
      <c r="BS661" s="530">
        <v>660</v>
      </c>
      <c r="BT661" s="531">
        <f t="shared" ca="1" si="495"/>
        <v>66254</v>
      </c>
      <c r="BU661" s="532">
        <f ca="1">IF(BU660=0,SUMIFS('Key Life Events'!$L$3:$L$28,'Key Life Events'!$H$3:$H$28,'Loan Amortization'!$BY$3,'Key Life Events'!$N$3:$N$28,'Loan Amortization'!BT661),BU660-BX660)</f>
        <v>0</v>
      </c>
      <c r="BV661" s="532">
        <f t="shared" ca="1" si="500"/>
        <v>0</v>
      </c>
      <c r="BW661" s="532">
        <f t="shared" ca="1" si="496"/>
        <v>0</v>
      </c>
      <c r="BX661" s="532">
        <f t="shared" ca="1" si="485"/>
        <v>0</v>
      </c>
      <c r="CC661" s="536">
        <f t="shared" ca="1" si="486"/>
        <v>2081</v>
      </c>
      <c r="CF661" s="530">
        <v>660</v>
      </c>
      <c r="CG661" s="531">
        <f t="shared" ca="1" si="497"/>
        <v>66254</v>
      </c>
      <c r="CH661" s="532">
        <f ca="1">IF(CH660=0,SUMIFS('Key Life Events'!$L$3:$L$28,'Key Life Events'!$H$3:$H$28,'Loan Amortization'!$CL$3,'Key Life Events'!$N$3:$N$28,'Loan Amortization'!CG661),CH660-CK660)</f>
        <v>0</v>
      </c>
      <c r="CI661" s="532">
        <f t="shared" ca="1" si="498"/>
        <v>0</v>
      </c>
      <c r="CJ661" s="532">
        <f t="shared" ca="1" si="499"/>
        <v>0</v>
      </c>
      <c r="CK661" s="532">
        <f t="shared" ca="1" si="487"/>
        <v>0</v>
      </c>
      <c r="CP661" s="536">
        <f t="shared" ca="1" si="488"/>
        <v>2081</v>
      </c>
      <c r="CS661" s="100">
        <f t="shared" si="477"/>
        <v>660</v>
      </c>
      <c r="CT661" s="102">
        <f t="shared" ca="1" si="478"/>
        <v>0</v>
      </c>
      <c r="CU661" s="102">
        <f t="shared" ca="1" si="479"/>
        <v>0</v>
      </c>
      <c r="CV661" s="511">
        <f t="shared" ca="1" si="489"/>
        <v>2081</v>
      </c>
    </row>
    <row r="662" spans="1:100" x14ac:dyDescent="0.3">
      <c r="A662" s="100">
        <v>661</v>
      </c>
      <c r="B662" s="131">
        <f t="shared" si="457"/>
        <v>19265</v>
      </c>
      <c r="C662" s="102">
        <f t="shared" si="458"/>
        <v>0</v>
      </c>
      <c r="D662" s="102">
        <f t="shared" si="459"/>
        <v>0</v>
      </c>
      <c r="E662" s="102">
        <f t="shared" si="460"/>
        <v>0</v>
      </c>
      <c r="F662" s="102">
        <f t="shared" si="461"/>
        <v>0</v>
      </c>
      <c r="L662" s="100">
        <v>661</v>
      </c>
      <c r="M662" s="131">
        <f t="shared" ca="1" si="462"/>
        <v>66285</v>
      </c>
      <c r="N662" s="102">
        <f t="shared" si="463"/>
        <v>0</v>
      </c>
      <c r="O662" s="102">
        <f t="shared" si="464"/>
        <v>0</v>
      </c>
      <c r="P662" s="102">
        <f t="shared" si="465"/>
        <v>0</v>
      </c>
      <c r="Q662" s="102">
        <f t="shared" si="466"/>
        <v>0</v>
      </c>
      <c r="W662" s="100">
        <v>661</v>
      </c>
      <c r="X662" s="131">
        <f t="shared" ca="1" si="467"/>
        <v>66285</v>
      </c>
      <c r="Y662" s="102">
        <f t="shared" si="468"/>
        <v>0</v>
      </c>
      <c r="Z662" s="102">
        <f t="shared" si="469"/>
        <v>0</v>
      </c>
      <c r="AA662" s="102">
        <f t="shared" si="470"/>
        <v>0</v>
      </c>
      <c r="AB662" s="102">
        <f t="shared" si="471"/>
        <v>0</v>
      </c>
      <c r="AH662" s="100">
        <v>661</v>
      </c>
      <c r="AI662" s="131">
        <f t="shared" ca="1" si="472"/>
        <v>66285</v>
      </c>
      <c r="AJ662" s="102">
        <f t="shared" si="473"/>
        <v>0</v>
      </c>
      <c r="AK662" s="102">
        <f t="shared" si="474"/>
        <v>0</v>
      </c>
      <c r="AL662" s="102">
        <f t="shared" si="475"/>
        <v>0</v>
      </c>
      <c r="AM662" s="102">
        <f t="shared" si="476"/>
        <v>0</v>
      </c>
      <c r="AS662" s="530">
        <v>661</v>
      </c>
      <c r="AT662" s="531">
        <f t="shared" ca="1" si="490"/>
        <v>66285</v>
      </c>
      <c r="AU662" s="532">
        <f ca="1">IF(AU661=0,SUMIFS('Key Life Events'!$L$3:$L$28,'Key Life Events'!$H$3:$H$28,'Loan Amortization'!$AY$3,'Key Life Events'!$N$3:$N$28,'Loan Amortization'!AT662),AU661-AX661)</f>
        <v>0</v>
      </c>
      <c r="AV662" s="532">
        <f t="shared" ca="1" si="491"/>
        <v>0</v>
      </c>
      <c r="AW662" s="532">
        <f t="shared" ca="1" si="480"/>
        <v>0</v>
      </c>
      <c r="AX662" s="532">
        <f t="shared" ca="1" si="481"/>
        <v>0</v>
      </c>
      <c r="BC662" s="536">
        <f t="shared" ca="1" si="482"/>
        <v>2081</v>
      </c>
      <c r="BF662" s="530">
        <v>661</v>
      </c>
      <c r="BG662" s="531">
        <f t="shared" ca="1" si="492"/>
        <v>66285</v>
      </c>
      <c r="BH662" s="532">
        <f ca="1">IF(BH661=0,SUMIFS('Key Life Events'!$L$3:$L$28,'Key Life Events'!$H$3:$H$28,'Loan Amortization'!$BL$3,'Key Life Events'!$N$3:$N$28,'Loan Amortization'!BG662),BH661-BK661)</f>
        <v>0</v>
      </c>
      <c r="BI662" s="532">
        <f t="shared" ca="1" si="493"/>
        <v>0</v>
      </c>
      <c r="BJ662" s="532">
        <f t="shared" ca="1" si="494"/>
        <v>0</v>
      </c>
      <c r="BK662" s="532">
        <f t="shared" ca="1" si="483"/>
        <v>0</v>
      </c>
      <c r="BP662" s="536">
        <f t="shared" ca="1" si="484"/>
        <v>2081</v>
      </c>
      <c r="BS662" s="530">
        <v>661</v>
      </c>
      <c r="BT662" s="531">
        <f t="shared" ca="1" si="495"/>
        <v>66285</v>
      </c>
      <c r="BU662" s="532">
        <f ca="1">IF(BU661=0,SUMIFS('Key Life Events'!$L$3:$L$28,'Key Life Events'!$H$3:$H$28,'Loan Amortization'!$BY$3,'Key Life Events'!$N$3:$N$28,'Loan Amortization'!BT662),BU661-BX661)</f>
        <v>0</v>
      </c>
      <c r="BV662" s="532">
        <f t="shared" ca="1" si="500"/>
        <v>0</v>
      </c>
      <c r="BW662" s="532">
        <f t="shared" ca="1" si="496"/>
        <v>0</v>
      </c>
      <c r="BX662" s="532">
        <f t="shared" ca="1" si="485"/>
        <v>0</v>
      </c>
      <c r="CC662" s="536">
        <f t="shared" ca="1" si="486"/>
        <v>2081</v>
      </c>
      <c r="CF662" s="530">
        <v>661</v>
      </c>
      <c r="CG662" s="531">
        <f t="shared" ca="1" si="497"/>
        <v>66285</v>
      </c>
      <c r="CH662" s="532">
        <f ca="1">IF(CH661=0,SUMIFS('Key Life Events'!$L$3:$L$28,'Key Life Events'!$H$3:$H$28,'Loan Amortization'!$CL$3,'Key Life Events'!$N$3:$N$28,'Loan Amortization'!CG662),CH661-CK661)</f>
        <v>0</v>
      </c>
      <c r="CI662" s="532">
        <f t="shared" ca="1" si="498"/>
        <v>0</v>
      </c>
      <c r="CJ662" s="532">
        <f t="shared" ca="1" si="499"/>
        <v>0</v>
      </c>
      <c r="CK662" s="532">
        <f t="shared" ca="1" si="487"/>
        <v>0</v>
      </c>
      <c r="CP662" s="536">
        <f t="shared" ca="1" si="488"/>
        <v>2081</v>
      </c>
      <c r="CS662" s="100">
        <f t="shared" si="477"/>
        <v>661</v>
      </c>
      <c r="CT662" s="102">
        <f t="shared" ca="1" si="478"/>
        <v>0</v>
      </c>
      <c r="CU662" s="102">
        <f t="shared" ca="1" si="479"/>
        <v>0</v>
      </c>
      <c r="CV662" s="511">
        <f t="shared" ca="1" si="489"/>
        <v>2081</v>
      </c>
    </row>
    <row r="663" spans="1:100" x14ac:dyDescent="0.3">
      <c r="A663" s="100">
        <v>662</v>
      </c>
      <c r="B663" s="131">
        <f t="shared" si="457"/>
        <v>19295</v>
      </c>
      <c r="C663" s="102">
        <f t="shared" si="458"/>
        <v>0</v>
      </c>
      <c r="D663" s="102">
        <f t="shared" si="459"/>
        <v>0</v>
      </c>
      <c r="E663" s="102">
        <f t="shared" si="460"/>
        <v>0</v>
      </c>
      <c r="F663" s="102">
        <f t="shared" si="461"/>
        <v>0</v>
      </c>
      <c r="L663" s="100">
        <v>662</v>
      </c>
      <c r="M663" s="131">
        <f t="shared" ca="1" si="462"/>
        <v>66315</v>
      </c>
      <c r="N663" s="102">
        <f t="shared" si="463"/>
        <v>0</v>
      </c>
      <c r="O663" s="102">
        <f t="shared" si="464"/>
        <v>0</v>
      </c>
      <c r="P663" s="102">
        <f t="shared" si="465"/>
        <v>0</v>
      </c>
      <c r="Q663" s="102">
        <f t="shared" si="466"/>
        <v>0</v>
      </c>
      <c r="W663" s="100">
        <v>662</v>
      </c>
      <c r="X663" s="131">
        <f t="shared" ca="1" si="467"/>
        <v>66315</v>
      </c>
      <c r="Y663" s="102">
        <f t="shared" si="468"/>
        <v>0</v>
      </c>
      <c r="Z663" s="102">
        <f t="shared" si="469"/>
        <v>0</v>
      </c>
      <c r="AA663" s="102">
        <f t="shared" si="470"/>
        <v>0</v>
      </c>
      <c r="AB663" s="102">
        <f t="shared" si="471"/>
        <v>0</v>
      </c>
      <c r="AH663" s="100">
        <v>662</v>
      </c>
      <c r="AI663" s="131">
        <f t="shared" ca="1" si="472"/>
        <v>66315</v>
      </c>
      <c r="AJ663" s="102">
        <f t="shared" si="473"/>
        <v>0</v>
      </c>
      <c r="AK663" s="102">
        <f t="shared" si="474"/>
        <v>0</v>
      </c>
      <c r="AL663" s="102">
        <f t="shared" si="475"/>
        <v>0</v>
      </c>
      <c r="AM663" s="102">
        <f t="shared" si="476"/>
        <v>0</v>
      </c>
      <c r="AS663" s="530">
        <v>662</v>
      </c>
      <c r="AT663" s="531">
        <f t="shared" ca="1" si="490"/>
        <v>66315</v>
      </c>
      <c r="AU663" s="532">
        <f ca="1">IF(AU662=0,SUMIFS('Key Life Events'!$L$3:$L$28,'Key Life Events'!$H$3:$H$28,'Loan Amortization'!$AY$3,'Key Life Events'!$N$3:$N$28,'Loan Amortization'!AT663),AU662-AX662)</f>
        <v>0</v>
      </c>
      <c r="AV663" s="532">
        <f t="shared" ca="1" si="491"/>
        <v>0</v>
      </c>
      <c r="AW663" s="532">
        <f t="shared" ca="1" si="480"/>
        <v>0</v>
      </c>
      <c r="AX663" s="532">
        <f t="shared" ca="1" si="481"/>
        <v>0</v>
      </c>
      <c r="BC663" s="536">
        <f t="shared" ca="1" si="482"/>
        <v>2081</v>
      </c>
      <c r="BF663" s="530">
        <v>662</v>
      </c>
      <c r="BG663" s="531">
        <f t="shared" ca="1" si="492"/>
        <v>66315</v>
      </c>
      <c r="BH663" s="532">
        <f ca="1">IF(BH662=0,SUMIFS('Key Life Events'!$L$3:$L$28,'Key Life Events'!$H$3:$H$28,'Loan Amortization'!$BL$3,'Key Life Events'!$N$3:$N$28,'Loan Amortization'!BG663),BH662-BK662)</f>
        <v>0</v>
      </c>
      <c r="BI663" s="532">
        <f t="shared" ca="1" si="493"/>
        <v>0</v>
      </c>
      <c r="BJ663" s="532">
        <f t="shared" ca="1" si="494"/>
        <v>0</v>
      </c>
      <c r="BK663" s="532">
        <f t="shared" ca="1" si="483"/>
        <v>0</v>
      </c>
      <c r="BP663" s="536">
        <f t="shared" ca="1" si="484"/>
        <v>2081</v>
      </c>
      <c r="BS663" s="530">
        <v>662</v>
      </c>
      <c r="BT663" s="531">
        <f t="shared" ca="1" si="495"/>
        <v>66315</v>
      </c>
      <c r="BU663" s="532">
        <f ca="1">IF(BU662=0,SUMIFS('Key Life Events'!$L$3:$L$28,'Key Life Events'!$H$3:$H$28,'Loan Amortization'!$BY$3,'Key Life Events'!$N$3:$N$28,'Loan Amortization'!BT663),BU662-BX662)</f>
        <v>0</v>
      </c>
      <c r="BV663" s="532">
        <f t="shared" ca="1" si="500"/>
        <v>0</v>
      </c>
      <c r="BW663" s="532">
        <f t="shared" ca="1" si="496"/>
        <v>0</v>
      </c>
      <c r="BX663" s="532">
        <f t="shared" ca="1" si="485"/>
        <v>0</v>
      </c>
      <c r="CC663" s="536">
        <f t="shared" ca="1" si="486"/>
        <v>2081</v>
      </c>
      <c r="CF663" s="530">
        <v>662</v>
      </c>
      <c r="CG663" s="531">
        <f t="shared" ca="1" si="497"/>
        <v>66315</v>
      </c>
      <c r="CH663" s="532">
        <f ca="1">IF(CH662=0,SUMIFS('Key Life Events'!$L$3:$L$28,'Key Life Events'!$H$3:$H$28,'Loan Amortization'!$CL$3,'Key Life Events'!$N$3:$N$28,'Loan Amortization'!CG663),CH662-CK662)</f>
        <v>0</v>
      </c>
      <c r="CI663" s="532">
        <f t="shared" ca="1" si="498"/>
        <v>0</v>
      </c>
      <c r="CJ663" s="532">
        <f t="shared" ca="1" si="499"/>
        <v>0</v>
      </c>
      <c r="CK663" s="532">
        <f t="shared" ca="1" si="487"/>
        <v>0</v>
      </c>
      <c r="CP663" s="536">
        <f t="shared" ca="1" si="488"/>
        <v>2081</v>
      </c>
      <c r="CS663" s="100">
        <f t="shared" si="477"/>
        <v>662</v>
      </c>
      <c r="CT663" s="102">
        <f t="shared" ca="1" si="478"/>
        <v>0</v>
      </c>
      <c r="CU663" s="102">
        <f t="shared" ca="1" si="479"/>
        <v>0</v>
      </c>
      <c r="CV663" s="511">
        <f t="shared" ca="1" si="489"/>
        <v>2081</v>
      </c>
    </row>
    <row r="664" spans="1:100" x14ac:dyDescent="0.3">
      <c r="A664" s="100">
        <v>663</v>
      </c>
      <c r="B664" s="131">
        <f t="shared" si="457"/>
        <v>19326</v>
      </c>
      <c r="C664" s="102">
        <f t="shared" si="458"/>
        <v>0</v>
      </c>
      <c r="D664" s="102">
        <f t="shared" si="459"/>
        <v>0</v>
      </c>
      <c r="E664" s="102">
        <f t="shared" si="460"/>
        <v>0</v>
      </c>
      <c r="F664" s="102">
        <f t="shared" si="461"/>
        <v>0</v>
      </c>
      <c r="L664" s="100">
        <v>663</v>
      </c>
      <c r="M664" s="131">
        <f t="shared" ca="1" si="462"/>
        <v>66346</v>
      </c>
      <c r="N664" s="102">
        <f t="shared" si="463"/>
        <v>0</v>
      </c>
      <c r="O664" s="102">
        <f t="shared" si="464"/>
        <v>0</v>
      </c>
      <c r="P664" s="102">
        <f t="shared" si="465"/>
        <v>0</v>
      </c>
      <c r="Q664" s="102">
        <f t="shared" si="466"/>
        <v>0</v>
      </c>
      <c r="W664" s="100">
        <v>663</v>
      </c>
      <c r="X664" s="131">
        <f t="shared" ca="1" si="467"/>
        <v>66346</v>
      </c>
      <c r="Y664" s="102">
        <f t="shared" si="468"/>
        <v>0</v>
      </c>
      <c r="Z664" s="102">
        <f t="shared" si="469"/>
        <v>0</v>
      </c>
      <c r="AA664" s="102">
        <f t="shared" si="470"/>
        <v>0</v>
      </c>
      <c r="AB664" s="102">
        <f t="shared" si="471"/>
        <v>0</v>
      </c>
      <c r="AH664" s="100">
        <v>663</v>
      </c>
      <c r="AI664" s="131">
        <f t="shared" ca="1" si="472"/>
        <v>66346</v>
      </c>
      <c r="AJ664" s="102">
        <f t="shared" si="473"/>
        <v>0</v>
      </c>
      <c r="AK664" s="102">
        <f t="shared" si="474"/>
        <v>0</v>
      </c>
      <c r="AL664" s="102">
        <f t="shared" si="475"/>
        <v>0</v>
      </c>
      <c r="AM664" s="102">
        <f t="shared" si="476"/>
        <v>0</v>
      </c>
      <c r="AS664" s="530">
        <v>663</v>
      </c>
      <c r="AT664" s="531">
        <f t="shared" ca="1" si="490"/>
        <v>66346</v>
      </c>
      <c r="AU664" s="532">
        <f ca="1">IF(AU663=0,SUMIFS('Key Life Events'!$L$3:$L$28,'Key Life Events'!$H$3:$H$28,'Loan Amortization'!$AY$3,'Key Life Events'!$N$3:$N$28,'Loan Amortization'!AT664),AU663-AX663)</f>
        <v>0</v>
      </c>
      <c r="AV664" s="532">
        <f t="shared" ca="1" si="491"/>
        <v>0</v>
      </c>
      <c r="AW664" s="532">
        <f t="shared" ca="1" si="480"/>
        <v>0</v>
      </c>
      <c r="AX664" s="532">
        <f t="shared" ca="1" si="481"/>
        <v>0</v>
      </c>
      <c r="BC664" s="536">
        <f t="shared" ca="1" si="482"/>
        <v>2081</v>
      </c>
      <c r="BF664" s="530">
        <v>663</v>
      </c>
      <c r="BG664" s="531">
        <f t="shared" ca="1" si="492"/>
        <v>66346</v>
      </c>
      <c r="BH664" s="532">
        <f ca="1">IF(BH663=0,SUMIFS('Key Life Events'!$L$3:$L$28,'Key Life Events'!$H$3:$H$28,'Loan Amortization'!$BL$3,'Key Life Events'!$N$3:$N$28,'Loan Amortization'!BG664),BH663-BK663)</f>
        <v>0</v>
      </c>
      <c r="BI664" s="532">
        <f t="shared" ca="1" si="493"/>
        <v>0</v>
      </c>
      <c r="BJ664" s="532">
        <f t="shared" ca="1" si="494"/>
        <v>0</v>
      </c>
      <c r="BK664" s="532">
        <f t="shared" ca="1" si="483"/>
        <v>0</v>
      </c>
      <c r="BP664" s="536">
        <f t="shared" ca="1" si="484"/>
        <v>2081</v>
      </c>
      <c r="BS664" s="530">
        <v>663</v>
      </c>
      <c r="BT664" s="531">
        <f t="shared" ca="1" si="495"/>
        <v>66346</v>
      </c>
      <c r="BU664" s="532">
        <f ca="1">IF(BU663=0,SUMIFS('Key Life Events'!$L$3:$L$28,'Key Life Events'!$H$3:$H$28,'Loan Amortization'!$BY$3,'Key Life Events'!$N$3:$N$28,'Loan Amortization'!BT664),BU663-BX663)</f>
        <v>0</v>
      </c>
      <c r="BV664" s="532">
        <f t="shared" ca="1" si="500"/>
        <v>0</v>
      </c>
      <c r="BW664" s="532">
        <f t="shared" ca="1" si="496"/>
        <v>0</v>
      </c>
      <c r="BX664" s="532">
        <f t="shared" ca="1" si="485"/>
        <v>0</v>
      </c>
      <c r="CC664" s="536">
        <f t="shared" ca="1" si="486"/>
        <v>2081</v>
      </c>
      <c r="CF664" s="530">
        <v>663</v>
      </c>
      <c r="CG664" s="531">
        <f t="shared" ca="1" si="497"/>
        <v>66346</v>
      </c>
      <c r="CH664" s="532">
        <f ca="1">IF(CH663=0,SUMIFS('Key Life Events'!$L$3:$L$28,'Key Life Events'!$H$3:$H$28,'Loan Amortization'!$CL$3,'Key Life Events'!$N$3:$N$28,'Loan Amortization'!CG664),CH663-CK663)</f>
        <v>0</v>
      </c>
      <c r="CI664" s="532">
        <f t="shared" ca="1" si="498"/>
        <v>0</v>
      </c>
      <c r="CJ664" s="532">
        <f t="shared" ca="1" si="499"/>
        <v>0</v>
      </c>
      <c r="CK664" s="532">
        <f t="shared" ca="1" si="487"/>
        <v>0</v>
      </c>
      <c r="CP664" s="536">
        <f t="shared" ca="1" si="488"/>
        <v>2081</v>
      </c>
      <c r="CS664" s="100">
        <f t="shared" si="477"/>
        <v>663</v>
      </c>
      <c r="CT664" s="102">
        <f t="shared" ca="1" si="478"/>
        <v>0</v>
      </c>
      <c r="CU664" s="102">
        <f t="shared" ca="1" si="479"/>
        <v>0</v>
      </c>
      <c r="CV664" s="511">
        <f t="shared" ca="1" si="489"/>
        <v>2081</v>
      </c>
    </row>
    <row r="665" spans="1:100" x14ac:dyDescent="0.3">
      <c r="A665" s="100">
        <v>664</v>
      </c>
      <c r="B665" s="131">
        <f t="shared" si="457"/>
        <v>19356</v>
      </c>
      <c r="C665" s="102">
        <f t="shared" si="458"/>
        <v>0</v>
      </c>
      <c r="D665" s="102">
        <f t="shared" si="459"/>
        <v>0</v>
      </c>
      <c r="E665" s="102">
        <f t="shared" si="460"/>
        <v>0</v>
      </c>
      <c r="F665" s="102">
        <f t="shared" si="461"/>
        <v>0</v>
      </c>
      <c r="L665" s="100">
        <v>664</v>
      </c>
      <c r="M665" s="131">
        <f t="shared" ca="1" si="462"/>
        <v>66377</v>
      </c>
      <c r="N665" s="102">
        <f t="shared" si="463"/>
        <v>0</v>
      </c>
      <c r="O665" s="102">
        <f t="shared" si="464"/>
        <v>0</v>
      </c>
      <c r="P665" s="102">
        <f t="shared" si="465"/>
        <v>0</v>
      </c>
      <c r="Q665" s="102">
        <f t="shared" si="466"/>
        <v>0</v>
      </c>
      <c r="W665" s="100">
        <v>664</v>
      </c>
      <c r="X665" s="131">
        <f t="shared" ca="1" si="467"/>
        <v>66377</v>
      </c>
      <c r="Y665" s="102">
        <f t="shared" si="468"/>
        <v>0</v>
      </c>
      <c r="Z665" s="102">
        <f t="shared" si="469"/>
        <v>0</v>
      </c>
      <c r="AA665" s="102">
        <f t="shared" si="470"/>
        <v>0</v>
      </c>
      <c r="AB665" s="102">
        <f t="shared" si="471"/>
        <v>0</v>
      </c>
      <c r="AH665" s="100">
        <v>664</v>
      </c>
      <c r="AI665" s="131">
        <f t="shared" ca="1" si="472"/>
        <v>66377</v>
      </c>
      <c r="AJ665" s="102">
        <f t="shared" si="473"/>
        <v>0</v>
      </c>
      <c r="AK665" s="102">
        <f t="shared" si="474"/>
        <v>0</v>
      </c>
      <c r="AL665" s="102">
        <f t="shared" si="475"/>
        <v>0</v>
      </c>
      <c r="AM665" s="102">
        <f t="shared" si="476"/>
        <v>0</v>
      </c>
      <c r="AS665" s="530">
        <v>664</v>
      </c>
      <c r="AT665" s="531">
        <f t="shared" ca="1" si="490"/>
        <v>66377</v>
      </c>
      <c r="AU665" s="532">
        <f ca="1">IF(AU664=0,SUMIFS('Key Life Events'!$L$3:$L$28,'Key Life Events'!$H$3:$H$28,'Loan Amortization'!$AY$3,'Key Life Events'!$N$3:$N$28,'Loan Amortization'!AT665),AU664-AX664)</f>
        <v>0</v>
      </c>
      <c r="AV665" s="532">
        <f t="shared" ca="1" si="491"/>
        <v>0</v>
      </c>
      <c r="AW665" s="532">
        <f t="shared" ca="1" si="480"/>
        <v>0</v>
      </c>
      <c r="AX665" s="532">
        <f t="shared" ca="1" si="481"/>
        <v>0</v>
      </c>
      <c r="BC665" s="536">
        <f t="shared" ca="1" si="482"/>
        <v>2081</v>
      </c>
      <c r="BF665" s="530">
        <v>664</v>
      </c>
      <c r="BG665" s="531">
        <f t="shared" ca="1" si="492"/>
        <v>66377</v>
      </c>
      <c r="BH665" s="532">
        <f ca="1">IF(BH664=0,SUMIFS('Key Life Events'!$L$3:$L$28,'Key Life Events'!$H$3:$H$28,'Loan Amortization'!$BL$3,'Key Life Events'!$N$3:$N$28,'Loan Amortization'!BG665),BH664-BK664)</f>
        <v>0</v>
      </c>
      <c r="BI665" s="532">
        <f t="shared" ca="1" si="493"/>
        <v>0</v>
      </c>
      <c r="BJ665" s="532">
        <f t="shared" ca="1" si="494"/>
        <v>0</v>
      </c>
      <c r="BK665" s="532">
        <f t="shared" ca="1" si="483"/>
        <v>0</v>
      </c>
      <c r="BP665" s="536">
        <f t="shared" ca="1" si="484"/>
        <v>2081</v>
      </c>
      <c r="BS665" s="530">
        <v>664</v>
      </c>
      <c r="BT665" s="531">
        <f t="shared" ca="1" si="495"/>
        <v>66377</v>
      </c>
      <c r="BU665" s="532">
        <f ca="1">IF(BU664=0,SUMIFS('Key Life Events'!$L$3:$L$28,'Key Life Events'!$H$3:$H$28,'Loan Amortization'!$BY$3,'Key Life Events'!$N$3:$N$28,'Loan Amortization'!BT665),BU664-BX664)</f>
        <v>0</v>
      </c>
      <c r="BV665" s="532">
        <f t="shared" ca="1" si="500"/>
        <v>0</v>
      </c>
      <c r="BW665" s="532">
        <f t="shared" ca="1" si="496"/>
        <v>0</v>
      </c>
      <c r="BX665" s="532">
        <f t="shared" ca="1" si="485"/>
        <v>0</v>
      </c>
      <c r="CC665" s="536">
        <f t="shared" ca="1" si="486"/>
        <v>2081</v>
      </c>
      <c r="CF665" s="530">
        <v>664</v>
      </c>
      <c r="CG665" s="531">
        <f t="shared" ca="1" si="497"/>
        <v>66377</v>
      </c>
      <c r="CH665" s="532">
        <f ca="1">IF(CH664=0,SUMIFS('Key Life Events'!$L$3:$L$28,'Key Life Events'!$H$3:$H$28,'Loan Amortization'!$CL$3,'Key Life Events'!$N$3:$N$28,'Loan Amortization'!CG665),CH664-CK664)</f>
        <v>0</v>
      </c>
      <c r="CI665" s="532">
        <f t="shared" ca="1" si="498"/>
        <v>0</v>
      </c>
      <c r="CJ665" s="532">
        <f t="shared" ca="1" si="499"/>
        <v>0</v>
      </c>
      <c r="CK665" s="532">
        <f t="shared" ca="1" si="487"/>
        <v>0</v>
      </c>
      <c r="CP665" s="536">
        <f t="shared" ca="1" si="488"/>
        <v>2081</v>
      </c>
      <c r="CS665" s="100">
        <f t="shared" si="477"/>
        <v>664</v>
      </c>
      <c r="CT665" s="102">
        <f t="shared" ca="1" si="478"/>
        <v>0</v>
      </c>
      <c r="CU665" s="102">
        <f t="shared" ca="1" si="479"/>
        <v>0</v>
      </c>
      <c r="CV665" s="511">
        <f t="shared" ca="1" si="489"/>
        <v>2081</v>
      </c>
    </row>
    <row r="666" spans="1:100" x14ac:dyDescent="0.3">
      <c r="A666" s="100">
        <v>665</v>
      </c>
      <c r="B666" s="131">
        <f t="shared" si="457"/>
        <v>19387</v>
      </c>
      <c r="C666" s="102">
        <f t="shared" si="458"/>
        <v>0</v>
      </c>
      <c r="D666" s="102">
        <f t="shared" si="459"/>
        <v>0</v>
      </c>
      <c r="E666" s="102">
        <f t="shared" si="460"/>
        <v>0</v>
      </c>
      <c r="F666" s="102">
        <f t="shared" si="461"/>
        <v>0</v>
      </c>
      <c r="L666" s="100">
        <v>665</v>
      </c>
      <c r="M666" s="131">
        <f t="shared" ca="1" si="462"/>
        <v>66407</v>
      </c>
      <c r="N666" s="102">
        <f t="shared" si="463"/>
        <v>0</v>
      </c>
      <c r="O666" s="102">
        <f t="shared" si="464"/>
        <v>0</v>
      </c>
      <c r="P666" s="102">
        <f t="shared" si="465"/>
        <v>0</v>
      </c>
      <c r="Q666" s="102">
        <f t="shared" si="466"/>
        <v>0</v>
      </c>
      <c r="W666" s="100">
        <v>665</v>
      </c>
      <c r="X666" s="131">
        <f t="shared" ca="1" si="467"/>
        <v>66407</v>
      </c>
      <c r="Y666" s="102">
        <f t="shared" si="468"/>
        <v>0</v>
      </c>
      <c r="Z666" s="102">
        <f t="shared" si="469"/>
        <v>0</v>
      </c>
      <c r="AA666" s="102">
        <f t="shared" si="470"/>
        <v>0</v>
      </c>
      <c r="AB666" s="102">
        <f t="shared" si="471"/>
        <v>0</v>
      </c>
      <c r="AH666" s="100">
        <v>665</v>
      </c>
      <c r="AI666" s="131">
        <f t="shared" ca="1" si="472"/>
        <v>66407</v>
      </c>
      <c r="AJ666" s="102">
        <f t="shared" si="473"/>
        <v>0</v>
      </c>
      <c r="AK666" s="102">
        <f t="shared" si="474"/>
        <v>0</v>
      </c>
      <c r="AL666" s="102">
        <f t="shared" si="475"/>
        <v>0</v>
      </c>
      <c r="AM666" s="102">
        <f t="shared" si="476"/>
        <v>0</v>
      </c>
      <c r="AS666" s="530">
        <v>665</v>
      </c>
      <c r="AT666" s="531">
        <f t="shared" ca="1" si="490"/>
        <v>66407</v>
      </c>
      <c r="AU666" s="532">
        <f ca="1">IF(AU665=0,SUMIFS('Key Life Events'!$L$3:$L$28,'Key Life Events'!$H$3:$H$28,'Loan Amortization'!$AY$3,'Key Life Events'!$N$3:$N$28,'Loan Amortization'!AT666),AU665-AX665)</f>
        <v>0</v>
      </c>
      <c r="AV666" s="532">
        <f t="shared" ca="1" si="491"/>
        <v>0</v>
      </c>
      <c r="AW666" s="532">
        <f t="shared" ca="1" si="480"/>
        <v>0</v>
      </c>
      <c r="AX666" s="532">
        <f t="shared" ca="1" si="481"/>
        <v>0</v>
      </c>
      <c r="BC666" s="536">
        <f t="shared" ca="1" si="482"/>
        <v>2081</v>
      </c>
      <c r="BF666" s="530">
        <v>665</v>
      </c>
      <c r="BG666" s="531">
        <f t="shared" ca="1" si="492"/>
        <v>66407</v>
      </c>
      <c r="BH666" s="532">
        <f ca="1">IF(BH665=0,SUMIFS('Key Life Events'!$L$3:$L$28,'Key Life Events'!$H$3:$H$28,'Loan Amortization'!$BL$3,'Key Life Events'!$N$3:$N$28,'Loan Amortization'!BG666),BH665-BK665)</f>
        <v>0</v>
      </c>
      <c r="BI666" s="532">
        <f t="shared" ca="1" si="493"/>
        <v>0</v>
      </c>
      <c r="BJ666" s="532">
        <f t="shared" ca="1" si="494"/>
        <v>0</v>
      </c>
      <c r="BK666" s="532">
        <f t="shared" ca="1" si="483"/>
        <v>0</v>
      </c>
      <c r="BP666" s="536">
        <f t="shared" ca="1" si="484"/>
        <v>2081</v>
      </c>
      <c r="BS666" s="530">
        <v>665</v>
      </c>
      <c r="BT666" s="531">
        <f t="shared" ca="1" si="495"/>
        <v>66407</v>
      </c>
      <c r="BU666" s="532">
        <f ca="1">IF(BU665=0,SUMIFS('Key Life Events'!$L$3:$L$28,'Key Life Events'!$H$3:$H$28,'Loan Amortization'!$BY$3,'Key Life Events'!$N$3:$N$28,'Loan Amortization'!BT666),BU665-BX665)</f>
        <v>0</v>
      </c>
      <c r="BV666" s="532">
        <f t="shared" ca="1" si="500"/>
        <v>0</v>
      </c>
      <c r="BW666" s="532">
        <f t="shared" ca="1" si="496"/>
        <v>0</v>
      </c>
      <c r="BX666" s="532">
        <f t="shared" ca="1" si="485"/>
        <v>0</v>
      </c>
      <c r="CC666" s="536">
        <f t="shared" ca="1" si="486"/>
        <v>2081</v>
      </c>
      <c r="CF666" s="530">
        <v>665</v>
      </c>
      <c r="CG666" s="531">
        <f t="shared" ca="1" si="497"/>
        <v>66407</v>
      </c>
      <c r="CH666" s="532">
        <f ca="1">IF(CH665=0,SUMIFS('Key Life Events'!$L$3:$L$28,'Key Life Events'!$H$3:$H$28,'Loan Amortization'!$CL$3,'Key Life Events'!$N$3:$N$28,'Loan Amortization'!CG666),CH665-CK665)</f>
        <v>0</v>
      </c>
      <c r="CI666" s="532">
        <f t="shared" ca="1" si="498"/>
        <v>0</v>
      </c>
      <c r="CJ666" s="532">
        <f t="shared" ca="1" si="499"/>
        <v>0</v>
      </c>
      <c r="CK666" s="532">
        <f t="shared" ca="1" si="487"/>
        <v>0</v>
      </c>
      <c r="CP666" s="536">
        <f t="shared" ca="1" si="488"/>
        <v>2081</v>
      </c>
      <c r="CS666" s="100">
        <f t="shared" si="477"/>
        <v>665</v>
      </c>
      <c r="CT666" s="102">
        <f t="shared" ca="1" si="478"/>
        <v>0</v>
      </c>
      <c r="CU666" s="102">
        <f t="shared" ca="1" si="479"/>
        <v>0</v>
      </c>
      <c r="CV666" s="511">
        <f t="shared" ca="1" si="489"/>
        <v>2081</v>
      </c>
    </row>
    <row r="667" spans="1:100" x14ac:dyDescent="0.3">
      <c r="A667" s="100">
        <v>666</v>
      </c>
      <c r="B667" s="131">
        <f t="shared" si="457"/>
        <v>19418</v>
      </c>
      <c r="C667" s="102">
        <f t="shared" si="458"/>
        <v>0</v>
      </c>
      <c r="D667" s="102">
        <f t="shared" si="459"/>
        <v>0</v>
      </c>
      <c r="E667" s="102">
        <f t="shared" si="460"/>
        <v>0</v>
      </c>
      <c r="F667" s="102">
        <f t="shared" si="461"/>
        <v>0</v>
      </c>
      <c r="L667" s="100">
        <v>666</v>
      </c>
      <c r="M667" s="131">
        <f t="shared" ca="1" si="462"/>
        <v>66438</v>
      </c>
      <c r="N667" s="102">
        <f t="shared" si="463"/>
        <v>0</v>
      </c>
      <c r="O667" s="102">
        <f t="shared" si="464"/>
        <v>0</v>
      </c>
      <c r="P667" s="102">
        <f t="shared" si="465"/>
        <v>0</v>
      </c>
      <c r="Q667" s="102">
        <f t="shared" si="466"/>
        <v>0</v>
      </c>
      <c r="W667" s="100">
        <v>666</v>
      </c>
      <c r="X667" s="131">
        <f t="shared" ca="1" si="467"/>
        <v>66438</v>
      </c>
      <c r="Y667" s="102">
        <f t="shared" si="468"/>
        <v>0</v>
      </c>
      <c r="Z667" s="102">
        <f t="shared" si="469"/>
        <v>0</v>
      </c>
      <c r="AA667" s="102">
        <f t="shared" si="470"/>
        <v>0</v>
      </c>
      <c r="AB667" s="102">
        <f t="shared" si="471"/>
        <v>0</v>
      </c>
      <c r="AH667" s="100">
        <v>666</v>
      </c>
      <c r="AI667" s="131">
        <f t="shared" ca="1" si="472"/>
        <v>66438</v>
      </c>
      <c r="AJ667" s="102">
        <f t="shared" si="473"/>
        <v>0</v>
      </c>
      <c r="AK667" s="102">
        <f t="shared" si="474"/>
        <v>0</v>
      </c>
      <c r="AL667" s="102">
        <f t="shared" si="475"/>
        <v>0</v>
      </c>
      <c r="AM667" s="102">
        <f t="shared" si="476"/>
        <v>0</v>
      </c>
      <c r="AS667" s="530">
        <v>666</v>
      </c>
      <c r="AT667" s="531">
        <f t="shared" ca="1" si="490"/>
        <v>66438</v>
      </c>
      <c r="AU667" s="532">
        <f ca="1">IF(AU666=0,SUMIFS('Key Life Events'!$L$3:$L$28,'Key Life Events'!$H$3:$H$28,'Loan Amortization'!$AY$3,'Key Life Events'!$N$3:$N$28,'Loan Amortization'!AT667),AU666-AX666)</f>
        <v>0</v>
      </c>
      <c r="AV667" s="532">
        <f t="shared" ca="1" si="491"/>
        <v>0</v>
      </c>
      <c r="AW667" s="532">
        <f t="shared" ca="1" si="480"/>
        <v>0</v>
      </c>
      <c r="AX667" s="532">
        <f t="shared" ca="1" si="481"/>
        <v>0</v>
      </c>
      <c r="BC667" s="536">
        <f t="shared" ca="1" si="482"/>
        <v>2081</v>
      </c>
      <c r="BF667" s="530">
        <v>666</v>
      </c>
      <c r="BG667" s="531">
        <f t="shared" ca="1" si="492"/>
        <v>66438</v>
      </c>
      <c r="BH667" s="532">
        <f ca="1">IF(BH666=0,SUMIFS('Key Life Events'!$L$3:$L$28,'Key Life Events'!$H$3:$H$28,'Loan Amortization'!$BL$3,'Key Life Events'!$N$3:$N$28,'Loan Amortization'!BG667),BH666-BK666)</f>
        <v>0</v>
      </c>
      <c r="BI667" s="532">
        <f t="shared" ca="1" si="493"/>
        <v>0</v>
      </c>
      <c r="BJ667" s="532">
        <f t="shared" ca="1" si="494"/>
        <v>0</v>
      </c>
      <c r="BK667" s="532">
        <f t="shared" ca="1" si="483"/>
        <v>0</v>
      </c>
      <c r="BP667" s="536">
        <f t="shared" ca="1" si="484"/>
        <v>2081</v>
      </c>
      <c r="BS667" s="530">
        <v>666</v>
      </c>
      <c r="BT667" s="531">
        <f t="shared" ca="1" si="495"/>
        <v>66438</v>
      </c>
      <c r="BU667" s="532">
        <f ca="1">IF(BU666=0,SUMIFS('Key Life Events'!$L$3:$L$28,'Key Life Events'!$H$3:$H$28,'Loan Amortization'!$BY$3,'Key Life Events'!$N$3:$N$28,'Loan Amortization'!BT667),BU666-BX666)</f>
        <v>0</v>
      </c>
      <c r="BV667" s="532">
        <f t="shared" ca="1" si="500"/>
        <v>0</v>
      </c>
      <c r="BW667" s="532">
        <f t="shared" ca="1" si="496"/>
        <v>0</v>
      </c>
      <c r="BX667" s="532">
        <f t="shared" ca="1" si="485"/>
        <v>0</v>
      </c>
      <c r="CC667" s="536">
        <f t="shared" ca="1" si="486"/>
        <v>2081</v>
      </c>
      <c r="CF667" s="530">
        <v>666</v>
      </c>
      <c r="CG667" s="531">
        <f t="shared" ca="1" si="497"/>
        <v>66438</v>
      </c>
      <c r="CH667" s="532">
        <f ca="1">IF(CH666=0,SUMIFS('Key Life Events'!$L$3:$L$28,'Key Life Events'!$H$3:$H$28,'Loan Amortization'!$CL$3,'Key Life Events'!$N$3:$N$28,'Loan Amortization'!CG667),CH666-CK666)</f>
        <v>0</v>
      </c>
      <c r="CI667" s="532">
        <f t="shared" ca="1" si="498"/>
        <v>0</v>
      </c>
      <c r="CJ667" s="532">
        <f t="shared" ca="1" si="499"/>
        <v>0</v>
      </c>
      <c r="CK667" s="532">
        <f t="shared" ca="1" si="487"/>
        <v>0</v>
      </c>
      <c r="CP667" s="536">
        <f t="shared" ca="1" si="488"/>
        <v>2081</v>
      </c>
      <c r="CS667" s="100">
        <f t="shared" si="477"/>
        <v>666</v>
      </c>
      <c r="CT667" s="102">
        <f t="shared" ca="1" si="478"/>
        <v>0</v>
      </c>
      <c r="CU667" s="102">
        <f t="shared" ca="1" si="479"/>
        <v>0</v>
      </c>
      <c r="CV667" s="511">
        <f t="shared" ca="1" si="489"/>
        <v>2081</v>
      </c>
    </row>
    <row r="668" spans="1:100" x14ac:dyDescent="0.3">
      <c r="A668" s="100">
        <v>667</v>
      </c>
      <c r="B668" s="131">
        <f t="shared" si="457"/>
        <v>19446</v>
      </c>
      <c r="C668" s="102">
        <f t="shared" si="458"/>
        <v>0</v>
      </c>
      <c r="D668" s="102">
        <f t="shared" si="459"/>
        <v>0</v>
      </c>
      <c r="E668" s="102">
        <f t="shared" si="460"/>
        <v>0</v>
      </c>
      <c r="F668" s="102">
        <f t="shared" si="461"/>
        <v>0</v>
      </c>
      <c r="L668" s="100">
        <v>667</v>
      </c>
      <c r="M668" s="131">
        <f t="shared" ca="1" si="462"/>
        <v>66468</v>
      </c>
      <c r="N668" s="102">
        <f t="shared" si="463"/>
        <v>0</v>
      </c>
      <c r="O668" s="102">
        <f t="shared" si="464"/>
        <v>0</v>
      </c>
      <c r="P668" s="102">
        <f t="shared" si="465"/>
        <v>0</v>
      </c>
      <c r="Q668" s="102">
        <f t="shared" si="466"/>
        <v>0</v>
      </c>
      <c r="W668" s="100">
        <v>667</v>
      </c>
      <c r="X668" s="131">
        <f t="shared" ca="1" si="467"/>
        <v>66468</v>
      </c>
      <c r="Y668" s="102">
        <f t="shared" si="468"/>
        <v>0</v>
      </c>
      <c r="Z668" s="102">
        <f t="shared" si="469"/>
        <v>0</v>
      </c>
      <c r="AA668" s="102">
        <f t="shared" si="470"/>
        <v>0</v>
      </c>
      <c r="AB668" s="102">
        <f t="shared" si="471"/>
        <v>0</v>
      </c>
      <c r="AH668" s="100">
        <v>667</v>
      </c>
      <c r="AI668" s="131">
        <f t="shared" ca="1" si="472"/>
        <v>66468</v>
      </c>
      <c r="AJ668" s="102">
        <f t="shared" si="473"/>
        <v>0</v>
      </c>
      <c r="AK668" s="102">
        <f t="shared" si="474"/>
        <v>0</v>
      </c>
      <c r="AL668" s="102">
        <f t="shared" si="475"/>
        <v>0</v>
      </c>
      <c r="AM668" s="102">
        <f t="shared" si="476"/>
        <v>0</v>
      </c>
      <c r="AS668" s="530">
        <v>667</v>
      </c>
      <c r="AT668" s="531">
        <f t="shared" ca="1" si="490"/>
        <v>66468</v>
      </c>
      <c r="AU668" s="532">
        <f ca="1">IF(AU667=0,SUMIFS('Key Life Events'!$L$3:$L$28,'Key Life Events'!$H$3:$H$28,'Loan Amortization'!$AY$3,'Key Life Events'!$N$3:$N$28,'Loan Amortization'!AT668),AU667-AX667)</f>
        <v>0</v>
      </c>
      <c r="AV668" s="532">
        <f t="shared" ca="1" si="491"/>
        <v>0</v>
      </c>
      <c r="AW668" s="532">
        <f t="shared" ca="1" si="480"/>
        <v>0</v>
      </c>
      <c r="AX668" s="532">
        <f t="shared" ca="1" si="481"/>
        <v>0</v>
      </c>
      <c r="BC668" s="536">
        <f t="shared" ca="1" si="482"/>
        <v>2081</v>
      </c>
      <c r="BF668" s="530">
        <v>667</v>
      </c>
      <c r="BG668" s="531">
        <f t="shared" ca="1" si="492"/>
        <v>66468</v>
      </c>
      <c r="BH668" s="532">
        <f ca="1">IF(BH667=0,SUMIFS('Key Life Events'!$L$3:$L$28,'Key Life Events'!$H$3:$H$28,'Loan Amortization'!$BL$3,'Key Life Events'!$N$3:$N$28,'Loan Amortization'!BG668),BH667-BK667)</f>
        <v>0</v>
      </c>
      <c r="BI668" s="532">
        <f t="shared" ca="1" si="493"/>
        <v>0</v>
      </c>
      <c r="BJ668" s="532">
        <f t="shared" ca="1" si="494"/>
        <v>0</v>
      </c>
      <c r="BK668" s="532">
        <f t="shared" ca="1" si="483"/>
        <v>0</v>
      </c>
      <c r="BP668" s="536">
        <f t="shared" ca="1" si="484"/>
        <v>2081</v>
      </c>
      <c r="BS668" s="530">
        <v>667</v>
      </c>
      <c r="BT668" s="531">
        <f t="shared" ca="1" si="495"/>
        <v>66468</v>
      </c>
      <c r="BU668" s="532">
        <f ca="1">IF(BU667=0,SUMIFS('Key Life Events'!$L$3:$L$28,'Key Life Events'!$H$3:$H$28,'Loan Amortization'!$BY$3,'Key Life Events'!$N$3:$N$28,'Loan Amortization'!BT668),BU667-BX667)</f>
        <v>0</v>
      </c>
      <c r="BV668" s="532">
        <f t="shared" ca="1" si="500"/>
        <v>0</v>
      </c>
      <c r="BW668" s="532">
        <f t="shared" ca="1" si="496"/>
        <v>0</v>
      </c>
      <c r="BX668" s="532">
        <f t="shared" ca="1" si="485"/>
        <v>0</v>
      </c>
      <c r="CC668" s="536">
        <f t="shared" ca="1" si="486"/>
        <v>2081</v>
      </c>
      <c r="CF668" s="530">
        <v>667</v>
      </c>
      <c r="CG668" s="531">
        <f t="shared" ca="1" si="497"/>
        <v>66468</v>
      </c>
      <c r="CH668" s="532">
        <f ca="1">IF(CH667=0,SUMIFS('Key Life Events'!$L$3:$L$28,'Key Life Events'!$H$3:$H$28,'Loan Amortization'!$CL$3,'Key Life Events'!$N$3:$N$28,'Loan Amortization'!CG668),CH667-CK667)</f>
        <v>0</v>
      </c>
      <c r="CI668" s="532">
        <f t="shared" ca="1" si="498"/>
        <v>0</v>
      </c>
      <c r="CJ668" s="532">
        <f t="shared" ca="1" si="499"/>
        <v>0</v>
      </c>
      <c r="CK668" s="532">
        <f t="shared" ca="1" si="487"/>
        <v>0</v>
      </c>
      <c r="CP668" s="536">
        <f t="shared" ca="1" si="488"/>
        <v>2081</v>
      </c>
      <c r="CS668" s="100">
        <f t="shared" si="477"/>
        <v>667</v>
      </c>
      <c r="CT668" s="102">
        <f t="shared" ca="1" si="478"/>
        <v>0</v>
      </c>
      <c r="CU668" s="102">
        <f t="shared" ca="1" si="479"/>
        <v>0</v>
      </c>
      <c r="CV668" s="511">
        <f t="shared" ca="1" si="489"/>
        <v>2081</v>
      </c>
    </row>
    <row r="669" spans="1:100" x14ac:dyDescent="0.3">
      <c r="A669" s="100">
        <v>668</v>
      </c>
      <c r="B669" s="131">
        <f t="shared" si="457"/>
        <v>19477</v>
      </c>
      <c r="C669" s="102">
        <f t="shared" si="458"/>
        <v>0</v>
      </c>
      <c r="D669" s="102">
        <f t="shared" si="459"/>
        <v>0</v>
      </c>
      <c r="E669" s="102">
        <f t="shared" si="460"/>
        <v>0</v>
      </c>
      <c r="F669" s="102">
        <f t="shared" si="461"/>
        <v>0</v>
      </c>
      <c r="L669" s="100">
        <v>668</v>
      </c>
      <c r="M669" s="131">
        <f t="shared" ca="1" si="462"/>
        <v>66499</v>
      </c>
      <c r="N669" s="102">
        <f t="shared" si="463"/>
        <v>0</v>
      </c>
      <c r="O669" s="102">
        <f t="shared" si="464"/>
        <v>0</v>
      </c>
      <c r="P669" s="102">
        <f t="shared" si="465"/>
        <v>0</v>
      </c>
      <c r="Q669" s="102">
        <f t="shared" si="466"/>
        <v>0</v>
      </c>
      <c r="W669" s="100">
        <v>668</v>
      </c>
      <c r="X669" s="131">
        <f t="shared" ca="1" si="467"/>
        <v>66499</v>
      </c>
      <c r="Y669" s="102">
        <f t="shared" si="468"/>
        <v>0</v>
      </c>
      <c r="Z669" s="102">
        <f t="shared" si="469"/>
        <v>0</v>
      </c>
      <c r="AA669" s="102">
        <f t="shared" si="470"/>
        <v>0</v>
      </c>
      <c r="AB669" s="102">
        <f t="shared" si="471"/>
        <v>0</v>
      </c>
      <c r="AH669" s="100">
        <v>668</v>
      </c>
      <c r="AI669" s="131">
        <f t="shared" ca="1" si="472"/>
        <v>66499</v>
      </c>
      <c r="AJ669" s="102">
        <f t="shared" si="473"/>
        <v>0</v>
      </c>
      <c r="AK669" s="102">
        <f t="shared" si="474"/>
        <v>0</v>
      </c>
      <c r="AL669" s="102">
        <f t="shared" si="475"/>
        <v>0</v>
      </c>
      <c r="AM669" s="102">
        <f t="shared" si="476"/>
        <v>0</v>
      </c>
      <c r="AS669" s="530">
        <v>668</v>
      </c>
      <c r="AT669" s="531">
        <f t="shared" ca="1" si="490"/>
        <v>66499</v>
      </c>
      <c r="AU669" s="532">
        <f ca="1">IF(AU668=0,SUMIFS('Key Life Events'!$L$3:$L$28,'Key Life Events'!$H$3:$H$28,'Loan Amortization'!$AY$3,'Key Life Events'!$N$3:$N$28,'Loan Amortization'!AT669),AU668-AX668)</f>
        <v>0</v>
      </c>
      <c r="AV669" s="532">
        <f t="shared" ca="1" si="491"/>
        <v>0</v>
      </c>
      <c r="AW669" s="532">
        <f t="shared" ca="1" si="480"/>
        <v>0</v>
      </c>
      <c r="AX669" s="532">
        <f t="shared" ca="1" si="481"/>
        <v>0</v>
      </c>
      <c r="BC669" s="536">
        <f t="shared" ca="1" si="482"/>
        <v>2082</v>
      </c>
      <c r="BF669" s="530">
        <v>668</v>
      </c>
      <c r="BG669" s="531">
        <f t="shared" ca="1" si="492"/>
        <v>66499</v>
      </c>
      <c r="BH669" s="532">
        <f ca="1">IF(BH668=0,SUMIFS('Key Life Events'!$L$3:$L$28,'Key Life Events'!$H$3:$H$28,'Loan Amortization'!$BL$3,'Key Life Events'!$N$3:$N$28,'Loan Amortization'!BG669),BH668-BK668)</f>
        <v>0</v>
      </c>
      <c r="BI669" s="532">
        <f t="shared" ca="1" si="493"/>
        <v>0</v>
      </c>
      <c r="BJ669" s="532">
        <f t="shared" ca="1" si="494"/>
        <v>0</v>
      </c>
      <c r="BK669" s="532">
        <f t="shared" ca="1" si="483"/>
        <v>0</v>
      </c>
      <c r="BP669" s="536">
        <f t="shared" ca="1" si="484"/>
        <v>2082</v>
      </c>
      <c r="BS669" s="530">
        <v>668</v>
      </c>
      <c r="BT669" s="531">
        <f t="shared" ca="1" si="495"/>
        <v>66499</v>
      </c>
      <c r="BU669" s="532">
        <f ca="1">IF(BU668=0,SUMIFS('Key Life Events'!$L$3:$L$28,'Key Life Events'!$H$3:$H$28,'Loan Amortization'!$BY$3,'Key Life Events'!$N$3:$N$28,'Loan Amortization'!BT669),BU668-BX668)</f>
        <v>0</v>
      </c>
      <c r="BV669" s="532">
        <f t="shared" ca="1" si="500"/>
        <v>0</v>
      </c>
      <c r="BW669" s="532">
        <f t="shared" ca="1" si="496"/>
        <v>0</v>
      </c>
      <c r="BX669" s="532">
        <f t="shared" ca="1" si="485"/>
        <v>0</v>
      </c>
      <c r="CC669" s="536">
        <f t="shared" ca="1" si="486"/>
        <v>2082</v>
      </c>
      <c r="CF669" s="530">
        <v>668</v>
      </c>
      <c r="CG669" s="531">
        <f t="shared" ca="1" si="497"/>
        <v>66499</v>
      </c>
      <c r="CH669" s="532">
        <f ca="1">IF(CH668=0,SUMIFS('Key Life Events'!$L$3:$L$28,'Key Life Events'!$H$3:$H$28,'Loan Amortization'!$CL$3,'Key Life Events'!$N$3:$N$28,'Loan Amortization'!CG669),CH668-CK668)</f>
        <v>0</v>
      </c>
      <c r="CI669" s="532">
        <f t="shared" ca="1" si="498"/>
        <v>0</v>
      </c>
      <c r="CJ669" s="532">
        <f t="shared" ca="1" si="499"/>
        <v>0</v>
      </c>
      <c r="CK669" s="532">
        <f t="shared" ca="1" si="487"/>
        <v>0</v>
      </c>
      <c r="CP669" s="536">
        <f t="shared" ca="1" si="488"/>
        <v>2082</v>
      </c>
      <c r="CS669" s="100">
        <f t="shared" si="477"/>
        <v>668</v>
      </c>
      <c r="CT669" s="102">
        <f t="shared" ca="1" si="478"/>
        <v>0</v>
      </c>
      <c r="CU669" s="102">
        <f t="shared" ca="1" si="479"/>
        <v>0</v>
      </c>
      <c r="CV669" s="511">
        <f t="shared" ca="1" si="489"/>
        <v>2082</v>
      </c>
    </row>
    <row r="670" spans="1:100" x14ac:dyDescent="0.3">
      <c r="A670" s="100">
        <v>669</v>
      </c>
      <c r="B670" s="131">
        <f t="shared" si="457"/>
        <v>19507</v>
      </c>
      <c r="C670" s="102">
        <f t="shared" si="458"/>
        <v>0</v>
      </c>
      <c r="D670" s="102">
        <f t="shared" si="459"/>
        <v>0</v>
      </c>
      <c r="E670" s="102">
        <f t="shared" si="460"/>
        <v>0</v>
      </c>
      <c r="F670" s="102">
        <f t="shared" si="461"/>
        <v>0</v>
      </c>
      <c r="L670" s="100">
        <v>669</v>
      </c>
      <c r="M670" s="131">
        <f t="shared" ca="1" si="462"/>
        <v>66530</v>
      </c>
      <c r="N670" s="102">
        <f t="shared" si="463"/>
        <v>0</v>
      </c>
      <c r="O670" s="102">
        <f t="shared" si="464"/>
        <v>0</v>
      </c>
      <c r="P670" s="102">
        <f t="shared" si="465"/>
        <v>0</v>
      </c>
      <c r="Q670" s="102">
        <f t="shared" si="466"/>
        <v>0</v>
      </c>
      <c r="W670" s="100">
        <v>669</v>
      </c>
      <c r="X670" s="131">
        <f t="shared" ca="1" si="467"/>
        <v>66530</v>
      </c>
      <c r="Y670" s="102">
        <f t="shared" si="468"/>
        <v>0</v>
      </c>
      <c r="Z670" s="102">
        <f t="shared" si="469"/>
        <v>0</v>
      </c>
      <c r="AA670" s="102">
        <f t="shared" si="470"/>
        <v>0</v>
      </c>
      <c r="AB670" s="102">
        <f t="shared" si="471"/>
        <v>0</v>
      </c>
      <c r="AH670" s="100">
        <v>669</v>
      </c>
      <c r="AI670" s="131">
        <f t="shared" ca="1" si="472"/>
        <v>66530</v>
      </c>
      <c r="AJ670" s="102">
        <f t="shared" si="473"/>
        <v>0</v>
      </c>
      <c r="AK670" s="102">
        <f t="shared" si="474"/>
        <v>0</v>
      </c>
      <c r="AL670" s="102">
        <f t="shared" si="475"/>
        <v>0</v>
      </c>
      <c r="AM670" s="102">
        <f t="shared" si="476"/>
        <v>0</v>
      </c>
      <c r="AS670" s="530">
        <v>669</v>
      </c>
      <c r="AT670" s="531">
        <f t="shared" ca="1" si="490"/>
        <v>66530</v>
      </c>
      <c r="AU670" s="532">
        <f ca="1">IF(AU669=0,SUMIFS('Key Life Events'!$L$3:$L$28,'Key Life Events'!$H$3:$H$28,'Loan Amortization'!$AY$3,'Key Life Events'!$N$3:$N$28,'Loan Amortization'!AT670),AU669-AX669)</f>
        <v>0</v>
      </c>
      <c r="AV670" s="532">
        <f t="shared" ca="1" si="491"/>
        <v>0</v>
      </c>
      <c r="AW670" s="532">
        <f t="shared" ca="1" si="480"/>
        <v>0</v>
      </c>
      <c r="AX670" s="532">
        <f t="shared" ca="1" si="481"/>
        <v>0</v>
      </c>
      <c r="BC670" s="536">
        <f t="shared" ca="1" si="482"/>
        <v>2082</v>
      </c>
      <c r="BF670" s="530">
        <v>669</v>
      </c>
      <c r="BG670" s="531">
        <f t="shared" ca="1" si="492"/>
        <v>66530</v>
      </c>
      <c r="BH670" s="532">
        <f ca="1">IF(BH669=0,SUMIFS('Key Life Events'!$L$3:$L$28,'Key Life Events'!$H$3:$H$28,'Loan Amortization'!$BL$3,'Key Life Events'!$N$3:$N$28,'Loan Amortization'!BG670),BH669-BK669)</f>
        <v>0</v>
      </c>
      <c r="BI670" s="532">
        <f t="shared" ca="1" si="493"/>
        <v>0</v>
      </c>
      <c r="BJ670" s="532">
        <f t="shared" ca="1" si="494"/>
        <v>0</v>
      </c>
      <c r="BK670" s="532">
        <f t="shared" ca="1" si="483"/>
        <v>0</v>
      </c>
      <c r="BP670" s="536">
        <f t="shared" ca="1" si="484"/>
        <v>2082</v>
      </c>
      <c r="BS670" s="530">
        <v>669</v>
      </c>
      <c r="BT670" s="531">
        <f t="shared" ca="1" si="495"/>
        <v>66530</v>
      </c>
      <c r="BU670" s="532">
        <f ca="1">IF(BU669=0,SUMIFS('Key Life Events'!$L$3:$L$28,'Key Life Events'!$H$3:$H$28,'Loan Amortization'!$BY$3,'Key Life Events'!$N$3:$N$28,'Loan Amortization'!BT670),BU669-BX669)</f>
        <v>0</v>
      </c>
      <c r="BV670" s="532">
        <f t="shared" ca="1" si="500"/>
        <v>0</v>
      </c>
      <c r="BW670" s="532">
        <f t="shared" ca="1" si="496"/>
        <v>0</v>
      </c>
      <c r="BX670" s="532">
        <f t="shared" ca="1" si="485"/>
        <v>0</v>
      </c>
      <c r="CC670" s="536">
        <f t="shared" ca="1" si="486"/>
        <v>2082</v>
      </c>
      <c r="CF670" s="530">
        <v>669</v>
      </c>
      <c r="CG670" s="531">
        <f t="shared" ca="1" si="497"/>
        <v>66530</v>
      </c>
      <c r="CH670" s="532">
        <f ca="1">IF(CH669=0,SUMIFS('Key Life Events'!$L$3:$L$28,'Key Life Events'!$H$3:$H$28,'Loan Amortization'!$CL$3,'Key Life Events'!$N$3:$N$28,'Loan Amortization'!CG670),CH669-CK669)</f>
        <v>0</v>
      </c>
      <c r="CI670" s="532">
        <f t="shared" ca="1" si="498"/>
        <v>0</v>
      </c>
      <c r="CJ670" s="532">
        <f t="shared" ca="1" si="499"/>
        <v>0</v>
      </c>
      <c r="CK670" s="532">
        <f t="shared" ca="1" si="487"/>
        <v>0</v>
      </c>
      <c r="CP670" s="536">
        <f t="shared" ca="1" si="488"/>
        <v>2082</v>
      </c>
      <c r="CS670" s="100">
        <f t="shared" si="477"/>
        <v>669</v>
      </c>
      <c r="CT670" s="102">
        <f t="shared" ca="1" si="478"/>
        <v>0</v>
      </c>
      <c r="CU670" s="102">
        <f t="shared" ca="1" si="479"/>
        <v>0</v>
      </c>
      <c r="CV670" s="511">
        <f t="shared" ca="1" si="489"/>
        <v>2082</v>
      </c>
    </row>
    <row r="671" spans="1:100" x14ac:dyDescent="0.3">
      <c r="A671" s="100">
        <v>670</v>
      </c>
      <c r="B671" s="131">
        <f t="shared" si="457"/>
        <v>19538</v>
      </c>
      <c r="C671" s="102">
        <f t="shared" si="458"/>
        <v>0</v>
      </c>
      <c r="D671" s="102">
        <f t="shared" si="459"/>
        <v>0</v>
      </c>
      <c r="E671" s="102">
        <f t="shared" si="460"/>
        <v>0</v>
      </c>
      <c r="F671" s="102">
        <f t="shared" si="461"/>
        <v>0</v>
      </c>
      <c r="L671" s="100">
        <v>670</v>
      </c>
      <c r="M671" s="131">
        <f t="shared" ca="1" si="462"/>
        <v>66558</v>
      </c>
      <c r="N671" s="102">
        <f t="shared" si="463"/>
        <v>0</v>
      </c>
      <c r="O671" s="102">
        <f t="shared" si="464"/>
        <v>0</v>
      </c>
      <c r="P671" s="102">
        <f t="shared" si="465"/>
        <v>0</v>
      </c>
      <c r="Q671" s="102">
        <f t="shared" si="466"/>
        <v>0</v>
      </c>
      <c r="W671" s="100">
        <v>670</v>
      </c>
      <c r="X671" s="131">
        <f t="shared" ca="1" si="467"/>
        <v>66558</v>
      </c>
      <c r="Y671" s="102">
        <f t="shared" si="468"/>
        <v>0</v>
      </c>
      <c r="Z671" s="102">
        <f t="shared" si="469"/>
        <v>0</v>
      </c>
      <c r="AA671" s="102">
        <f t="shared" si="470"/>
        <v>0</v>
      </c>
      <c r="AB671" s="102">
        <f t="shared" si="471"/>
        <v>0</v>
      </c>
      <c r="AH671" s="100">
        <v>670</v>
      </c>
      <c r="AI671" s="131">
        <f t="shared" ca="1" si="472"/>
        <v>66558</v>
      </c>
      <c r="AJ671" s="102">
        <f t="shared" si="473"/>
        <v>0</v>
      </c>
      <c r="AK671" s="102">
        <f t="shared" si="474"/>
        <v>0</v>
      </c>
      <c r="AL671" s="102">
        <f t="shared" si="475"/>
        <v>0</v>
      </c>
      <c r="AM671" s="102">
        <f t="shared" si="476"/>
        <v>0</v>
      </c>
      <c r="AS671" s="530">
        <v>670</v>
      </c>
      <c r="AT671" s="531">
        <f t="shared" ca="1" si="490"/>
        <v>66558</v>
      </c>
      <c r="AU671" s="532">
        <f ca="1">IF(AU670=0,SUMIFS('Key Life Events'!$L$3:$L$28,'Key Life Events'!$H$3:$H$28,'Loan Amortization'!$AY$3,'Key Life Events'!$N$3:$N$28,'Loan Amortization'!AT671),AU670-AX670)</f>
        <v>0</v>
      </c>
      <c r="AV671" s="532">
        <f t="shared" ca="1" si="491"/>
        <v>0</v>
      </c>
      <c r="AW671" s="532">
        <f t="shared" ca="1" si="480"/>
        <v>0</v>
      </c>
      <c r="AX671" s="532">
        <f t="shared" ca="1" si="481"/>
        <v>0</v>
      </c>
      <c r="BC671" s="536">
        <f t="shared" ca="1" si="482"/>
        <v>2082</v>
      </c>
      <c r="BF671" s="530">
        <v>670</v>
      </c>
      <c r="BG671" s="531">
        <f t="shared" ca="1" si="492"/>
        <v>66558</v>
      </c>
      <c r="BH671" s="532">
        <f ca="1">IF(BH670=0,SUMIFS('Key Life Events'!$L$3:$L$28,'Key Life Events'!$H$3:$H$28,'Loan Amortization'!$BL$3,'Key Life Events'!$N$3:$N$28,'Loan Amortization'!BG671),BH670-BK670)</f>
        <v>0</v>
      </c>
      <c r="BI671" s="532">
        <f t="shared" ca="1" si="493"/>
        <v>0</v>
      </c>
      <c r="BJ671" s="532">
        <f t="shared" ca="1" si="494"/>
        <v>0</v>
      </c>
      <c r="BK671" s="532">
        <f t="shared" ca="1" si="483"/>
        <v>0</v>
      </c>
      <c r="BP671" s="536">
        <f t="shared" ca="1" si="484"/>
        <v>2082</v>
      </c>
      <c r="BS671" s="530">
        <v>670</v>
      </c>
      <c r="BT671" s="531">
        <f t="shared" ca="1" si="495"/>
        <v>66558</v>
      </c>
      <c r="BU671" s="532">
        <f ca="1">IF(BU670=0,SUMIFS('Key Life Events'!$L$3:$L$28,'Key Life Events'!$H$3:$H$28,'Loan Amortization'!$BY$3,'Key Life Events'!$N$3:$N$28,'Loan Amortization'!BT671),BU670-BX670)</f>
        <v>0</v>
      </c>
      <c r="BV671" s="532">
        <f t="shared" ca="1" si="500"/>
        <v>0</v>
      </c>
      <c r="BW671" s="532">
        <f t="shared" ca="1" si="496"/>
        <v>0</v>
      </c>
      <c r="BX671" s="532">
        <f t="shared" ca="1" si="485"/>
        <v>0</v>
      </c>
      <c r="CC671" s="536">
        <f t="shared" ca="1" si="486"/>
        <v>2082</v>
      </c>
      <c r="CF671" s="530">
        <v>670</v>
      </c>
      <c r="CG671" s="531">
        <f t="shared" ca="1" si="497"/>
        <v>66558</v>
      </c>
      <c r="CH671" s="532">
        <f ca="1">IF(CH670=0,SUMIFS('Key Life Events'!$L$3:$L$28,'Key Life Events'!$H$3:$H$28,'Loan Amortization'!$CL$3,'Key Life Events'!$N$3:$N$28,'Loan Amortization'!CG671),CH670-CK670)</f>
        <v>0</v>
      </c>
      <c r="CI671" s="532">
        <f t="shared" ca="1" si="498"/>
        <v>0</v>
      </c>
      <c r="CJ671" s="532">
        <f t="shared" ca="1" si="499"/>
        <v>0</v>
      </c>
      <c r="CK671" s="532">
        <f t="shared" ca="1" si="487"/>
        <v>0</v>
      </c>
      <c r="CP671" s="536">
        <f t="shared" ca="1" si="488"/>
        <v>2082</v>
      </c>
      <c r="CS671" s="100">
        <f t="shared" si="477"/>
        <v>670</v>
      </c>
      <c r="CT671" s="102">
        <f t="shared" ca="1" si="478"/>
        <v>0</v>
      </c>
      <c r="CU671" s="102">
        <f t="shared" ca="1" si="479"/>
        <v>0</v>
      </c>
      <c r="CV671" s="511">
        <f t="shared" ca="1" si="489"/>
        <v>2082</v>
      </c>
    </row>
    <row r="672" spans="1:100" x14ac:dyDescent="0.3">
      <c r="A672" s="100">
        <v>671</v>
      </c>
      <c r="B672" s="131">
        <f t="shared" si="457"/>
        <v>19568</v>
      </c>
      <c r="C672" s="102">
        <f t="shared" si="458"/>
        <v>0</v>
      </c>
      <c r="D672" s="102">
        <f t="shared" si="459"/>
        <v>0</v>
      </c>
      <c r="E672" s="102">
        <f t="shared" si="460"/>
        <v>0</v>
      </c>
      <c r="F672" s="102">
        <f t="shared" si="461"/>
        <v>0</v>
      </c>
      <c r="L672" s="100">
        <v>671</v>
      </c>
      <c r="M672" s="131">
        <f t="shared" ca="1" si="462"/>
        <v>66589</v>
      </c>
      <c r="N672" s="102">
        <f t="shared" si="463"/>
        <v>0</v>
      </c>
      <c r="O672" s="102">
        <f t="shared" si="464"/>
        <v>0</v>
      </c>
      <c r="P672" s="102">
        <f t="shared" si="465"/>
        <v>0</v>
      </c>
      <c r="Q672" s="102">
        <f t="shared" si="466"/>
        <v>0</v>
      </c>
      <c r="W672" s="100">
        <v>671</v>
      </c>
      <c r="X672" s="131">
        <f t="shared" ca="1" si="467"/>
        <v>66589</v>
      </c>
      <c r="Y672" s="102">
        <f t="shared" si="468"/>
        <v>0</v>
      </c>
      <c r="Z672" s="102">
        <f t="shared" si="469"/>
        <v>0</v>
      </c>
      <c r="AA672" s="102">
        <f t="shared" si="470"/>
        <v>0</v>
      </c>
      <c r="AB672" s="102">
        <f t="shared" si="471"/>
        <v>0</v>
      </c>
      <c r="AH672" s="100">
        <v>671</v>
      </c>
      <c r="AI672" s="131">
        <f t="shared" ca="1" si="472"/>
        <v>66589</v>
      </c>
      <c r="AJ672" s="102">
        <f t="shared" si="473"/>
        <v>0</v>
      </c>
      <c r="AK672" s="102">
        <f t="shared" si="474"/>
        <v>0</v>
      </c>
      <c r="AL672" s="102">
        <f t="shared" si="475"/>
        <v>0</v>
      </c>
      <c r="AM672" s="102">
        <f t="shared" si="476"/>
        <v>0</v>
      </c>
      <c r="AS672" s="530">
        <v>671</v>
      </c>
      <c r="AT672" s="531">
        <f t="shared" ca="1" si="490"/>
        <v>66589</v>
      </c>
      <c r="AU672" s="532">
        <f ca="1">IF(AU671=0,SUMIFS('Key Life Events'!$L$3:$L$28,'Key Life Events'!$H$3:$H$28,'Loan Amortization'!$AY$3,'Key Life Events'!$N$3:$N$28,'Loan Amortization'!AT672),AU671-AX671)</f>
        <v>0</v>
      </c>
      <c r="AV672" s="532">
        <f t="shared" ca="1" si="491"/>
        <v>0</v>
      </c>
      <c r="AW672" s="532">
        <f t="shared" ca="1" si="480"/>
        <v>0</v>
      </c>
      <c r="AX672" s="532">
        <f t="shared" ca="1" si="481"/>
        <v>0</v>
      </c>
      <c r="BC672" s="536">
        <f t="shared" ca="1" si="482"/>
        <v>2082</v>
      </c>
      <c r="BF672" s="530">
        <v>671</v>
      </c>
      <c r="BG672" s="531">
        <f t="shared" ca="1" si="492"/>
        <v>66589</v>
      </c>
      <c r="BH672" s="532">
        <f ca="1">IF(BH671=0,SUMIFS('Key Life Events'!$L$3:$L$28,'Key Life Events'!$H$3:$H$28,'Loan Amortization'!$BL$3,'Key Life Events'!$N$3:$N$28,'Loan Amortization'!BG672),BH671-BK671)</f>
        <v>0</v>
      </c>
      <c r="BI672" s="532">
        <f t="shared" ca="1" si="493"/>
        <v>0</v>
      </c>
      <c r="BJ672" s="532">
        <f t="shared" ca="1" si="494"/>
        <v>0</v>
      </c>
      <c r="BK672" s="532">
        <f t="shared" ca="1" si="483"/>
        <v>0</v>
      </c>
      <c r="BP672" s="536">
        <f t="shared" ca="1" si="484"/>
        <v>2082</v>
      </c>
      <c r="BS672" s="530">
        <v>671</v>
      </c>
      <c r="BT672" s="531">
        <f t="shared" ca="1" si="495"/>
        <v>66589</v>
      </c>
      <c r="BU672" s="532">
        <f ca="1">IF(BU671=0,SUMIFS('Key Life Events'!$L$3:$L$28,'Key Life Events'!$H$3:$H$28,'Loan Amortization'!$BY$3,'Key Life Events'!$N$3:$N$28,'Loan Amortization'!BT672),BU671-BX671)</f>
        <v>0</v>
      </c>
      <c r="BV672" s="532">
        <f t="shared" ca="1" si="500"/>
        <v>0</v>
      </c>
      <c r="BW672" s="532">
        <f t="shared" ca="1" si="496"/>
        <v>0</v>
      </c>
      <c r="BX672" s="532">
        <f t="shared" ca="1" si="485"/>
        <v>0</v>
      </c>
      <c r="CC672" s="536">
        <f t="shared" ca="1" si="486"/>
        <v>2082</v>
      </c>
      <c r="CF672" s="530">
        <v>671</v>
      </c>
      <c r="CG672" s="531">
        <f t="shared" ca="1" si="497"/>
        <v>66589</v>
      </c>
      <c r="CH672" s="532">
        <f ca="1">IF(CH671=0,SUMIFS('Key Life Events'!$L$3:$L$28,'Key Life Events'!$H$3:$H$28,'Loan Amortization'!$CL$3,'Key Life Events'!$N$3:$N$28,'Loan Amortization'!CG672),CH671-CK671)</f>
        <v>0</v>
      </c>
      <c r="CI672" s="532">
        <f t="shared" ca="1" si="498"/>
        <v>0</v>
      </c>
      <c r="CJ672" s="532">
        <f t="shared" ca="1" si="499"/>
        <v>0</v>
      </c>
      <c r="CK672" s="532">
        <f t="shared" ca="1" si="487"/>
        <v>0</v>
      </c>
      <c r="CP672" s="536">
        <f t="shared" ca="1" si="488"/>
        <v>2082</v>
      </c>
      <c r="CS672" s="100">
        <f t="shared" si="477"/>
        <v>671</v>
      </c>
      <c r="CT672" s="102">
        <f t="shared" ca="1" si="478"/>
        <v>0</v>
      </c>
      <c r="CU672" s="102">
        <f t="shared" ca="1" si="479"/>
        <v>0</v>
      </c>
      <c r="CV672" s="511">
        <f t="shared" ca="1" si="489"/>
        <v>2082</v>
      </c>
    </row>
    <row r="673" spans="1:100" x14ac:dyDescent="0.3">
      <c r="A673" s="100">
        <v>672</v>
      </c>
      <c r="B673" s="131">
        <f t="shared" ref="B673:B674" si="501">IF(C672&lt;D672,,EDATE(B672,1))</f>
        <v>19599</v>
      </c>
      <c r="C673" s="102">
        <f t="shared" ref="C673:C674" si="502">IF(C672&lt;D672,0,C672-F672)</f>
        <v>0</v>
      </c>
      <c r="D673" s="102">
        <f t="shared" ref="D673:D674" si="503">IF(C673&lt;=D672,C673+E673,D$2)</f>
        <v>0</v>
      </c>
      <c r="E673" s="102">
        <f t="shared" ref="E673:E674" si="504">(C673*H$1)/12</f>
        <v>0</v>
      </c>
      <c r="F673" s="102">
        <f t="shared" ref="F673:F674" si="505">D673-E673</f>
        <v>0</v>
      </c>
      <c r="L673" s="100">
        <v>672</v>
      </c>
      <c r="M673" s="131">
        <f t="shared" ref="M673:M674" ca="1" si="506">IF(N672&lt;O672,,EDATE(M672,1))</f>
        <v>66619</v>
      </c>
      <c r="N673" s="102">
        <f t="shared" ref="N673:N674" si="507">IF(N672&lt;O672,0,N672-Q672)</f>
        <v>0</v>
      </c>
      <c r="O673" s="102">
        <f t="shared" ref="O673:O674" si="508">IF(N673&lt;=O672,N673+P673,O$2)</f>
        <v>0</v>
      </c>
      <c r="P673" s="102">
        <f t="shared" ref="P673:P674" si="509">(N673*S$1)/12</f>
        <v>0</v>
      </c>
      <c r="Q673" s="102">
        <f t="shared" ref="Q673:Q674" si="510">O673-P673</f>
        <v>0</v>
      </c>
      <c r="W673" s="100">
        <v>672</v>
      </c>
      <c r="X673" s="131">
        <f t="shared" ref="X673:X674" ca="1" si="511">IF(Y672&lt;Z672,,EDATE(X672,1))</f>
        <v>66619</v>
      </c>
      <c r="Y673" s="102">
        <f t="shared" ref="Y673:Y674" si="512">IF(Y672&lt;Z672,0,Y672-AB672)</f>
        <v>0</v>
      </c>
      <c r="Z673" s="102">
        <f t="shared" ref="Z673:Z674" si="513">IF(Y673&lt;=Z672,Y673+AA673,Z$2)</f>
        <v>0</v>
      </c>
      <c r="AA673" s="102">
        <f t="shared" ref="AA673:AA674" si="514">(Y673*AD$1)/12</f>
        <v>0</v>
      </c>
      <c r="AB673" s="102">
        <f t="shared" ref="AB673:AB674" si="515">Z673-AA673</f>
        <v>0</v>
      </c>
      <c r="AH673" s="100">
        <v>672</v>
      </c>
      <c r="AI673" s="131">
        <f t="shared" ref="AI673:AI674" ca="1" si="516">IF(AJ672&lt;AK672,,EDATE(AI672,1))</f>
        <v>66619</v>
      </c>
      <c r="AJ673" s="102">
        <f t="shared" ref="AJ673:AJ674" si="517">IF(AJ672&lt;AK672,0,AJ672-AM672)</f>
        <v>0</v>
      </c>
      <c r="AK673" s="102">
        <f t="shared" ref="AK673:AK674" si="518">IF(AJ673&lt;=AK672,AJ673+AL673,AK$2)</f>
        <v>0</v>
      </c>
      <c r="AL673" s="102">
        <f t="shared" ref="AL673:AL674" si="519">(AJ673*AO$1)/12</f>
        <v>0</v>
      </c>
      <c r="AM673" s="102">
        <f t="shared" ref="AM673:AM674" si="520">AK673-AL673</f>
        <v>0</v>
      </c>
      <c r="AS673" s="530">
        <v>672</v>
      </c>
      <c r="AT673" s="531">
        <f t="shared" ca="1" si="490"/>
        <v>66619</v>
      </c>
      <c r="AU673" s="532">
        <f ca="1">IF(AU672=0,SUMIFS('Key Life Events'!$L$3:$L$28,'Key Life Events'!$H$3:$H$28,'Loan Amortization'!$AY$3,'Key Life Events'!$N$3:$N$28,'Loan Amortization'!AT673),AU672-AX672)</f>
        <v>0</v>
      </c>
      <c r="AV673" s="532">
        <f t="shared" ca="1" si="491"/>
        <v>0</v>
      </c>
      <c r="AW673" s="532">
        <f t="shared" ca="1" si="480"/>
        <v>0</v>
      </c>
      <c r="AX673" s="532">
        <f t="shared" ca="1" si="481"/>
        <v>0</v>
      </c>
      <c r="BC673" s="536">
        <f t="shared" ca="1" si="482"/>
        <v>2082</v>
      </c>
      <c r="BF673" s="530">
        <v>672</v>
      </c>
      <c r="BG673" s="531">
        <f t="shared" ca="1" si="492"/>
        <v>66619</v>
      </c>
      <c r="BH673" s="532">
        <f ca="1">IF(BH672=0,SUMIFS('Key Life Events'!$L$3:$L$28,'Key Life Events'!$H$3:$H$28,'Loan Amortization'!$BL$3,'Key Life Events'!$N$3:$N$28,'Loan Amortization'!BG673),BH672-BK672)</f>
        <v>0</v>
      </c>
      <c r="BI673" s="532">
        <f t="shared" ca="1" si="493"/>
        <v>0</v>
      </c>
      <c r="BJ673" s="532">
        <f t="shared" ca="1" si="494"/>
        <v>0</v>
      </c>
      <c r="BK673" s="532">
        <f t="shared" ca="1" si="483"/>
        <v>0</v>
      </c>
      <c r="BP673" s="536">
        <f t="shared" ca="1" si="484"/>
        <v>2082</v>
      </c>
      <c r="BS673" s="530">
        <v>672</v>
      </c>
      <c r="BT673" s="531">
        <f t="shared" ca="1" si="495"/>
        <v>66619</v>
      </c>
      <c r="BU673" s="532">
        <f ca="1">IF(BU672=0,SUMIFS('Key Life Events'!$L$3:$L$28,'Key Life Events'!$H$3:$H$28,'Loan Amortization'!$BY$3,'Key Life Events'!$N$3:$N$28,'Loan Amortization'!BT673),BU672-BX672)</f>
        <v>0</v>
      </c>
      <c r="BV673" s="532">
        <f t="shared" ca="1" si="500"/>
        <v>0</v>
      </c>
      <c r="BW673" s="532">
        <f t="shared" ca="1" si="496"/>
        <v>0</v>
      </c>
      <c r="BX673" s="532">
        <f t="shared" ca="1" si="485"/>
        <v>0</v>
      </c>
      <c r="CC673" s="536">
        <f t="shared" ca="1" si="486"/>
        <v>2082</v>
      </c>
      <c r="CF673" s="530">
        <v>672</v>
      </c>
      <c r="CG673" s="531">
        <f t="shared" ca="1" si="497"/>
        <v>66619</v>
      </c>
      <c r="CH673" s="532">
        <f ca="1">IF(CH672=0,SUMIFS('Key Life Events'!$L$3:$L$28,'Key Life Events'!$H$3:$H$28,'Loan Amortization'!$CL$3,'Key Life Events'!$N$3:$N$28,'Loan Amortization'!CG673),CH672-CK672)</f>
        <v>0</v>
      </c>
      <c r="CI673" s="532">
        <f t="shared" ca="1" si="498"/>
        <v>0</v>
      </c>
      <c r="CJ673" s="532">
        <f t="shared" ca="1" si="499"/>
        <v>0</v>
      </c>
      <c r="CK673" s="532">
        <f t="shared" ca="1" si="487"/>
        <v>0</v>
      </c>
      <c r="CP673" s="536">
        <f t="shared" ca="1" si="488"/>
        <v>2082</v>
      </c>
      <c r="CS673" s="100">
        <f t="shared" si="477"/>
        <v>672</v>
      </c>
      <c r="CT673" s="102">
        <f t="shared" ca="1" si="478"/>
        <v>0</v>
      </c>
      <c r="CU673" s="102">
        <f t="shared" ca="1" si="479"/>
        <v>0</v>
      </c>
      <c r="CV673" s="511">
        <f t="shared" ca="1" si="489"/>
        <v>2082</v>
      </c>
    </row>
    <row r="674" spans="1:100" x14ac:dyDescent="0.3">
      <c r="A674" s="100">
        <v>673</v>
      </c>
      <c r="B674" s="131">
        <f t="shared" si="501"/>
        <v>19630</v>
      </c>
      <c r="C674" s="102">
        <f t="shared" si="502"/>
        <v>0</v>
      </c>
      <c r="D674" s="102">
        <f t="shared" si="503"/>
        <v>0</v>
      </c>
      <c r="E674" s="102">
        <f t="shared" si="504"/>
        <v>0</v>
      </c>
      <c r="F674" s="102">
        <f t="shared" si="505"/>
        <v>0</v>
      </c>
      <c r="L674" s="100">
        <v>673</v>
      </c>
      <c r="M674" s="131">
        <f t="shared" ca="1" si="506"/>
        <v>66650</v>
      </c>
      <c r="N674" s="102">
        <f t="shared" si="507"/>
        <v>0</v>
      </c>
      <c r="O674" s="102">
        <f t="shared" si="508"/>
        <v>0</v>
      </c>
      <c r="P674" s="102">
        <f t="shared" si="509"/>
        <v>0</v>
      </c>
      <c r="Q674" s="102">
        <f t="shared" si="510"/>
        <v>0</v>
      </c>
      <c r="W674" s="100">
        <v>673</v>
      </c>
      <c r="X674" s="131">
        <f t="shared" ca="1" si="511"/>
        <v>66650</v>
      </c>
      <c r="Y674" s="102">
        <f t="shared" si="512"/>
        <v>0</v>
      </c>
      <c r="Z674" s="102">
        <f t="shared" si="513"/>
        <v>0</v>
      </c>
      <c r="AA674" s="102">
        <f t="shared" si="514"/>
        <v>0</v>
      </c>
      <c r="AB674" s="102">
        <f t="shared" si="515"/>
        <v>0</v>
      </c>
      <c r="AH674" s="100">
        <v>673</v>
      </c>
      <c r="AI674" s="131">
        <f t="shared" ca="1" si="516"/>
        <v>66650</v>
      </c>
      <c r="AJ674" s="102">
        <f t="shared" si="517"/>
        <v>0</v>
      </c>
      <c r="AK674" s="102">
        <f t="shared" si="518"/>
        <v>0</v>
      </c>
      <c r="AL674" s="102">
        <f t="shared" si="519"/>
        <v>0</v>
      </c>
      <c r="AM674" s="102">
        <f t="shared" si="520"/>
        <v>0</v>
      </c>
      <c r="AS674" s="530">
        <v>673</v>
      </c>
      <c r="AT674" s="531">
        <f t="shared" ca="1" si="490"/>
        <v>66650</v>
      </c>
      <c r="AU674" s="532">
        <f ca="1">IF(AU673=0,SUMIFS('Key Life Events'!$L$3:$L$28,'Key Life Events'!$H$3:$H$28,'Loan Amortization'!$AY$3,'Key Life Events'!$N$3:$N$28,'Loan Amortization'!AT674),AU673-AX673)</f>
        <v>0</v>
      </c>
      <c r="AV674" s="532">
        <f t="shared" ca="1" si="491"/>
        <v>0</v>
      </c>
      <c r="AW674" s="532">
        <f t="shared" ca="1" si="480"/>
        <v>0</v>
      </c>
      <c r="AX674" s="532">
        <f t="shared" ca="1" si="481"/>
        <v>0</v>
      </c>
      <c r="BC674" s="536">
        <f t="shared" ca="1" si="482"/>
        <v>2082</v>
      </c>
      <c r="BF674" s="530">
        <v>673</v>
      </c>
      <c r="BG674" s="531">
        <f t="shared" ca="1" si="492"/>
        <v>66650</v>
      </c>
      <c r="BH674" s="532">
        <f ca="1">IF(BH673=0,SUMIFS('Key Life Events'!$L$3:$L$28,'Key Life Events'!$H$3:$H$28,'Loan Amortization'!$BL$3,'Key Life Events'!$N$3:$N$28,'Loan Amortization'!BG674),BH673-BK673)</f>
        <v>0</v>
      </c>
      <c r="BI674" s="532">
        <f t="shared" ca="1" si="493"/>
        <v>0</v>
      </c>
      <c r="BJ674" s="532">
        <f t="shared" ca="1" si="494"/>
        <v>0</v>
      </c>
      <c r="BK674" s="532">
        <f t="shared" ca="1" si="483"/>
        <v>0</v>
      </c>
      <c r="BP674" s="536">
        <f t="shared" ca="1" si="484"/>
        <v>2082</v>
      </c>
      <c r="BS674" s="530">
        <v>673</v>
      </c>
      <c r="BT674" s="531">
        <f t="shared" ca="1" si="495"/>
        <v>66650</v>
      </c>
      <c r="BU674" s="532">
        <f ca="1">IF(BU673=0,SUMIFS('Key Life Events'!$L$3:$L$28,'Key Life Events'!$H$3:$H$28,'Loan Amortization'!$BY$3,'Key Life Events'!$N$3:$N$28,'Loan Amortization'!BT674),BU673-BX673)</f>
        <v>0</v>
      </c>
      <c r="BV674" s="532">
        <f t="shared" ca="1" si="500"/>
        <v>0</v>
      </c>
      <c r="BW674" s="532">
        <f t="shared" ca="1" si="496"/>
        <v>0</v>
      </c>
      <c r="BX674" s="532">
        <f t="shared" ca="1" si="485"/>
        <v>0</v>
      </c>
      <c r="CC674" s="536">
        <f t="shared" ca="1" si="486"/>
        <v>2082</v>
      </c>
      <c r="CF674" s="530">
        <v>673</v>
      </c>
      <c r="CG674" s="531">
        <f t="shared" ca="1" si="497"/>
        <v>66650</v>
      </c>
      <c r="CH674" s="532">
        <f ca="1">IF(CH673=0,SUMIFS('Key Life Events'!$L$3:$L$28,'Key Life Events'!$H$3:$H$28,'Loan Amortization'!$CL$3,'Key Life Events'!$N$3:$N$28,'Loan Amortization'!CG674),CH673-CK673)</f>
        <v>0</v>
      </c>
      <c r="CI674" s="532">
        <f t="shared" ca="1" si="498"/>
        <v>0</v>
      </c>
      <c r="CJ674" s="532">
        <f t="shared" ca="1" si="499"/>
        <v>0</v>
      </c>
      <c r="CK674" s="532">
        <f t="shared" ca="1" si="487"/>
        <v>0</v>
      </c>
      <c r="CP674" s="536">
        <f t="shared" ca="1" si="488"/>
        <v>2082</v>
      </c>
      <c r="CS674" s="100">
        <f t="shared" si="477"/>
        <v>673</v>
      </c>
      <c r="CT674" s="102">
        <f t="shared" ca="1" si="478"/>
        <v>0</v>
      </c>
      <c r="CU674" s="102">
        <f t="shared" ca="1" si="479"/>
        <v>0</v>
      </c>
      <c r="CV674" s="511">
        <f t="shared" ca="1" si="489"/>
        <v>2082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B3CBD-C608-44C7-B5C0-D974796CFB7F}">
  <sheetPr codeName="Sheet3"/>
  <dimension ref="A1:O35"/>
  <sheetViews>
    <sheetView topLeftCell="A3" workbookViewId="0"/>
  </sheetViews>
  <sheetFormatPr defaultColWidth="8.6640625" defaultRowHeight="14.4" x14ac:dyDescent="0.3"/>
  <cols>
    <col min="1" max="1" width="3.5546875" style="11" customWidth="1"/>
    <col min="2" max="2" width="14.5546875" style="83" customWidth="1"/>
    <col min="3" max="3" width="27" style="11" bestFit="1" customWidth="1"/>
    <col min="4" max="4" width="11" style="11" bestFit="1" customWidth="1"/>
    <col min="5" max="5" width="10.6640625" style="11" customWidth="1"/>
    <col min="6" max="6" width="10.6640625" style="11" hidden="1" customWidth="1"/>
    <col min="7" max="7" width="8.6640625" style="11"/>
    <col min="8" max="8" width="6" style="11" hidden="1" customWidth="1"/>
    <col min="9" max="9" width="4.109375" style="11" customWidth="1"/>
    <col min="10" max="10" width="4" style="11" customWidth="1"/>
    <col min="11" max="11" width="12.88671875" style="11" bestFit="1" customWidth="1"/>
    <col min="12" max="12" width="12.44140625" style="11" customWidth="1"/>
    <col min="13" max="13" width="11.44140625" style="11" customWidth="1"/>
    <col min="14" max="14" width="11.6640625" style="11" customWidth="1"/>
    <col min="15" max="15" width="20.33203125" style="11" bestFit="1" customWidth="1"/>
    <col min="16" max="16384" width="8.6640625" style="11"/>
  </cols>
  <sheetData>
    <row r="1" spans="2:15" ht="18.600000000000001" thickBot="1" x14ac:dyDescent="0.35">
      <c r="B1" s="659" t="s">
        <v>104</v>
      </c>
      <c r="C1" s="659"/>
      <c r="D1" s="659"/>
      <c r="E1" s="659"/>
      <c r="F1" s="659"/>
      <c r="G1" s="659"/>
      <c r="H1" s="659"/>
      <c r="I1" s="659"/>
      <c r="J1" s="659"/>
      <c r="K1" s="659"/>
      <c r="L1" s="659"/>
      <c r="M1" s="659"/>
      <c r="N1" s="659"/>
    </row>
    <row r="2" spans="2:15" ht="16.2" thickBot="1" x14ac:dyDescent="0.35">
      <c r="B2" s="660"/>
      <c r="C2" s="660"/>
      <c r="D2" s="660"/>
      <c r="E2" s="660"/>
      <c r="F2" s="660"/>
      <c r="G2" s="660"/>
      <c r="H2" s="660"/>
    </row>
    <row r="3" spans="2:15" s="186" customFormat="1" ht="16.2" thickBot="1" x14ac:dyDescent="0.35">
      <c r="B3" s="183" t="s">
        <v>105</v>
      </c>
      <c r="C3" s="183" t="s">
        <v>106</v>
      </c>
      <c r="D3" s="184" t="s">
        <v>107</v>
      </c>
      <c r="E3" s="183" t="s">
        <v>108</v>
      </c>
      <c r="F3" s="476" t="s">
        <v>109</v>
      </c>
      <c r="G3" s="183" t="s">
        <v>110</v>
      </c>
      <c r="H3" s="185" t="s">
        <v>111</v>
      </c>
      <c r="K3" s="183" t="s">
        <v>105</v>
      </c>
      <c r="L3" s="185" t="s">
        <v>112</v>
      </c>
      <c r="M3" s="185" t="s">
        <v>108</v>
      </c>
      <c r="N3" s="185" t="s">
        <v>111</v>
      </c>
    </row>
    <row r="4" spans="2:15" ht="17.399999999999999" customHeight="1" x14ac:dyDescent="0.3">
      <c r="B4" s="661" t="s">
        <v>113</v>
      </c>
      <c r="C4" s="13" t="s">
        <v>114</v>
      </c>
      <c r="D4" s="172">
        <f>Networth!G6</f>
        <v>258392</v>
      </c>
      <c r="E4" s="15">
        <f t="shared" ref="E4:E10" si="0">IFERROR(D4/$L$9,0%)</f>
        <v>3.9035002504496227E-3</v>
      </c>
      <c r="F4" s="14">
        <f>IFERROR(D4/$D$11,0)</f>
        <v>1.6508560151510341E-2</v>
      </c>
      <c r="G4" s="14">
        <f>IF(D4&gt;0,11%,0)</f>
        <v>0.11</v>
      </c>
      <c r="H4" s="16">
        <f>E4*G4</f>
        <v>4.2938502754945849E-4</v>
      </c>
      <c r="J4" s="17"/>
      <c r="K4" s="18" t="s">
        <v>113</v>
      </c>
      <c r="L4" s="19">
        <f>SUM(D4:D10)</f>
        <v>15652001</v>
      </c>
      <c r="M4" s="20">
        <f>IFERROR(L4/$L$9,0)</f>
        <v>0.23645310158030336</v>
      </c>
      <c r="N4" s="21">
        <f>SUMPRODUCT(F4:F10,G4:G10)</f>
        <v>9.6740018736262534E-2</v>
      </c>
      <c r="O4" s="475"/>
    </row>
    <row r="5" spans="2:15" ht="17.399999999999999" customHeight="1" x14ac:dyDescent="0.3">
      <c r="B5" s="662"/>
      <c r="C5" s="179" t="s">
        <v>115</v>
      </c>
      <c r="D5" s="180">
        <f>Networth!G15</f>
        <v>600000</v>
      </c>
      <c r="E5" s="31">
        <f t="shared" si="0"/>
        <v>9.06413569409956E-3</v>
      </c>
      <c r="F5" s="48">
        <f t="shared" ref="F5:F10" si="1">IFERROR(D5/$D$11,0)</f>
        <v>3.8333756814863479E-2</v>
      </c>
      <c r="G5" s="31">
        <f>IF(D5&gt;0,8%,0)</f>
        <v>0.08</v>
      </c>
      <c r="H5" s="31">
        <f t="shared" ref="H5:H32" si="2">E5*G5</f>
        <v>7.2513085552796481E-4</v>
      </c>
      <c r="J5" s="17"/>
      <c r="K5" s="26" t="s">
        <v>116</v>
      </c>
      <c r="L5" s="27">
        <f>SUM(D13:D21)</f>
        <v>33821473</v>
      </c>
      <c r="M5" s="28">
        <f>IFERROR(L5/$L$9,0)</f>
        <v>0.51093736774387422</v>
      </c>
      <c r="N5" s="29">
        <f>SUMPRODUCT(F13:F21,G13:G21)</f>
        <v>7.7979484069188837E-2</v>
      </c>
      <c r="O5" s="475"/>
    </row>
    <row r="6" spans="2:15" ht="17.399999999999999" customHeight="1" x14ac:dyDescent="0.3">
      <c r="B6" s="662"/>
      <c r="C6" s="22" t="s">
        <v>117</v>
      </c>
      <c r="D6" s="173">
        <f>Networth!G14</f>
        <v>2000000</v>
      </c>
      <c r="E6" s="24">
        <f t="shared" si="0"/>
        <v>3.0213785646998535E-2</v>
      </c>
      <c r="F6" s="24">
        <f t="shared" si="1"/>
        <v>0.12777918938287827</v>
      </c>
      <c r="G6" s="24">
        <f>IF(D6&gt;0,10%,0)</f>
        <v>0.1</v>
      </c>
      <c r="H6" s="25">
        <f t="shared" si="2"/>
        <v>3.0213785646998536E-3</v>
      </c>
      <c r="J6" s="17"/>
      <c r="K6" s="18" t="s">
        <v>118</v>
      </c>
      <c r="L6" s="19">
        <f>SUM(D24:D27)</f>
        <v>11000000</v>
      </c>
      <c r="M6" s="20">
        <f>IFERROR(L6/$L$9,0)</f>
        <v>0.16617582105849193</v>
      </c>
      <c r="N6" s="32">
        <f>SUMPRODUCT(F24:F27,G24:G27)</f>
        <v>3.4545454545454546E-2</v>
      </c>
    </row>
    <row r="7" spans="2:15" ht="17.399999999999999" customHeight="1" x14ac:dyDescent="0.3">
      <c r="B7" s="662"/>
      <c r="C7" s="30" t="s">
        <v>119</v>
      </c>
      <c r="D7" s="174">
        <f>Networth!G7</f>
        <v>5666347</v>
      </c>
      <c r="E7" s="23">
        <f t="shared" si="0"/>
        <v>8.5600896829756606E-2</v>
      </c>
      <c r="F7" s="23">
        <f t="shared" si="1"/>
        <v>0.36202061321105206</v>
      </c>
      <c r="G7" s="31">
        <f>IF(D7&gt;0,11%,0)</f>
        <v>0.11</v>
      </c>
      <c r="H7" s="28">
        <f>E7*G7</f>
        <v>9.4160986512732275E-3</v>
      </c>
      <c r="J7" s="17"/>
      <c r="K7" s="26" t="s">
        <v>120</v>
      </c>
      <c r="L7" s="27">
        <f>SUM(D30:D32)</f>
        <v>4221475</v>
      </c>
      <c r="M7" s="28">
        <f>IFERROR(L7/$L$9,0)</f>
        <v>6.3773370382081571E-2</v>
      </c>
      <c r="N7" s="29">
        <f>SUMPRODUCT(F30:F32,G30:G32)</f>
        <v>7.0524638899910577E-2</v>
      </c>
    </row>
    <row r="8" spans="2:15" ht="17.399999999999999" customHeight="1" thickBot="1" x14ac:dyDescent="0.35">
      <c r="B8" s="662"/>
      <c r="C8" s="33" t="s">
        <v>121</v>
      </c>
      <c r="D8" s="173">
        <f>Networth!G8</f>
        <v>0</v>
      </c>
      <c r="E8" s="31">
        <f t="shared" si="0"/>
        <v>0</v>
      </c>
      <c r="F8" s="31">
        <f t="shared" si="1"/>
        <v>0</v>
      </c>
      <c r="G8" s="31">
        <f>IF(D8&gt;0,11%,0)</f>
        <v>0</v>
      </c>
      <c r="H8" s="20">
        <f>E8*G8</f>
        <v>0</v>
      </c>
      <c r="J8" s="17"/>
      <c r="K8" s="34" t="s">
        <v>122</v>
      </c>
      <c r="L8" s="471">
        <f>D35</f>
        <v>1500000</v>
      </c>
      <c r="M8" s="36">
        <f>IFERROR(L8/$L$9,0)</f>
        <v>2.2660339235248902E-2</v>
      </c>
      <c r="N8" s="472">
        <f>G35</f>
        <v>0.12</v>
      </c>
    </row>
    <row r="9" spans="2:15" ht="15" thickBot="1" x14ac:dyDescent="0.35">
      <c r="B9" s="662"/>
      <c r="C9" s="22" t="s">
        <v>123</v>
      </c>
      <c r="D9" s="523">
        <f>Networth!G30</f>
        <v>5400000</v>
      </c>
      <c r="E9" s="31">
        <f t="shared" si="0"/>
        <v>8.1577221246896037E-2</v>
      </c>
      <c r="F9" s="23">
        <f t="shared" si="1"/>
        <v>0.34500381133377134</v>
      </c>
      <c r="G9" s="23">
        <f>IF(D9&gt;0,8.5%,0)</f>
        <v>8.5000000000000006E-2</v>
      </c>
      <c r="H9" s="25">
        <f t="shared" si="2"/>
        <v>6.934063805986164E-3</v>
      </c>
      <c r="K9" s="37" t="s">
        <v>53</v>
      </c>
      <c r="L9" s="571">
        <f>SUM(L4:L8)</f>
        <v>66194949</v>
      </c>
      <c r="M9" s="572">
        <f>SUM(M4:M8)</f>
        <v>0.99999999999999989</v>
      </c>
      <c r="N9" s="288">
        <f>SUMPRODUCT(M4:M8,N4:N8)</f>
        <v>7.5674563704248785E-2</v>
      </c>
    </row>
    <row r="10" spans="2:15" ht="15" thickBot="1" x14ac:dyDescent="0.35">
      <c r="B10" s="662"/>
      <c r="C10" s="34" t="s">
        <v>124</v>
      </c>
      <c r="D10" s="285">
        <f>Networth!G10</f>
        <v>1727262</v>
      </c>
      <c r="E10" s="31">
        <f t="shared" si="0"/>
        <v>2.6093561912102992E-2</v>
      </c>
      <c r="F10" s="23">
        <f t="shared" si="1"/>
        <v>0.11035406910592455</v>
      </c>
      <c r="G10" s="429">
        <f>IF(D10&gt;0,9%,0)</f>
        <v>0.09</v>
      </c>
      <c r="H10" s="36">
        <f t="shared" si="2"/>
        <v>2.3484205720892691E-3</v>
      </c>
    </row>
    <row r="11" spans="2:15" ht="15" thickBot="1" x14ac:dyDescent="0.35">
      <c r="B11" s="663"/>
      <c r="C11" s="38" t="s">
        <v>125</v>
      </c>
      <c r="D11" s="175">
        <f>SUM(D4:D10)</f>
        <v>15652001</v>
      </c>
      <c r="E11" s="39">
        <f>SUM(E4:E10)</f>
        <v>0.23645310158030336</v>
      </c>
      <c r="F11" s="40"/>
      <c r="G11" s="40"/>
      <c r="H11" s="41"/>
    </row>
    <row r="12" spans="2:15" ht="15" thickBot="1" x14ac:dyDescent="0.35">
      <c r="B12" s="42"/>
      <c r="C12" s="43"/>
      <c r="D12" s="44"/>
      <c r="E12" s="45"/>
      <c r="F12" s="45"/>
      <c r="G12" s="46"/>
      <c r="H12" s="47"/>
    </row>
    <row r="13" spans="2:15" ht="17.399999999999999" customHeight="1" x14ac:dyDescent="0.3">
      <c r="B13" s="657" t="s">
        <v>116</v>
      </c>
      <c r="C13" s="33" t="s">
        <v>126</v>
      </c>
      <c r="D13" s="173">
        <f>Networth!G4</f>
        <v>1500000</v>
      </c>
      <c r="E13" s="15">
        <f t="shared" ref="E13:E21" si="3">IFERROR(D13/$L$9,0%)</f>
        <v>2.2660339235248902E-2</v>
      </c>
      <c r="F13" s="24">
        <f>IFERROR(D13/$D$22,0)</f>
        <v>4.4350522521594493E-2</v>
      </c>
      <c r="G13" s="24">
        <f>IF(D13&gt;1,3.5%,0)</f>
        <v>3.5000000000000003E-2</v>
      </c>
      <c r="H13" s="20">
        <f>E13*G13</f>
        <v>7.9311187323371168E-4</v>
      </c>
    </row>
    <row r="14" spans="2:15" ht="17.399999999999999" customHeight="1" x14ac:dyDescent="0.3">
      <c r="B14" s="658"/>
      <c r="C14" s="30" t="s">
        <v>127</v>
      </c>
      <c r="D14" s="174">
        <f>Networth!G5</f>
        <v>0</v>
      </c>
      <c r="E14" s="24">
        <f t="shared" si="3"/>
        <v>0</v>
      </c>
      <c r="F14" s="24">
        <f t="shared" ref="F14:F21" si="4">IFERROR(D14/$D$22,0)</f>
        <v>0</v>
      </c>
      <c r="G14" s="31">
        <f>IF(D14&gt;1,5%,0)</f>
        <v>0</v>
      </c>
      <c r="H14" s="28">
        <f t="shared" si="2"/>
        <v>0</v>
      </c>
    </row>
    <row r="15" spans="2:15" ht="17.399999999999999" customHeight="1" x14ac:dyDescent="0.3">
      <c r="B15" s="658"/>
      <c r="C15" s="33" t="s">
        <v>128</v>
      </c>
      <c r="D15" s="173">
        <f>Networth!G9</f>
        <v>21473</v>
      </c>
      <c r="E15" s="31">
        <f t="shared" si="3"/>
        <v>3.2439030959899979E-4</v>
      </c>
      <c r="F15" s="24">
        <f t="shared" si="4"/>
        <v>6.3489251340413232E-4</v>
      </c>
      <c r="G15" s="24">
        <f>IF(D15&gt;0,5.5%,0)</f>
        <v>5.5E-2</v>
      </c>
      <c r="H15" s="20">
        <f t="shared" si="2"/>
        <v>1.7841467027944987E-5</v>
      </c>
    </row>
    <row r="16" spans="2:15" ht="17.399999999999999" customHeight="1" x14ac:dyDescent="0.3">
      <c r="B16" s="658"/>
      <c r="C16" s="30" t="s">
        <v>129</v>
      </c>
      <c r="D16" s="174">
        <f>Networth!G25</f>
        <v>0</v>
      </c>
      <c r="E16" s="24">
        <f t="shared" si="3"/>
        <v>0</v>
      </c>
      <c r="F16" s="24">
        <f t="shared" si="4"/>
        <v>0</v>
      </c>
      <c r="G16" s="31">
        <f>IF(D16&gt;1,7.7%,0)</f>
        <v>0</v>
      </c>
      <c r="H16" s="28">
        <f t="shared" si="2"/>
        <v>0</v>
      </c>
    </row>
    <row r="17" spans="1:9" ht="17.399999999999999" customHeight="1" x14ac:dyDescent="0.3">
      <c r="B17" s="658"/>
      <c r="C17" s="33" t="s">
        <v>130</v>
      </c>
      <c r="D17" s="173">
        <f>Networth!G26</f>
        <v>0</v>
      </c>
      <c r="E17" s="31">
        <f t="shared" si="3"/>
        <v>0</v>
      </c>
      <c r="F17" s="31">
        <f t="shared" si="4"/>
        <v>0</v>
      </c>
      <c r="G17" s="31">
        <f>IF(D17&gt;1,5%,0)</f>
        <v>0</v>
      </c>
      <c r="H17" s="31">
        <f t="shared" si="2"/>
        <v>0</v>
      </c>
    </row>
    <row r="18" spans="1:9" ht="17.399999999999999" customHeight="1" x14ac:dyDescent="0.3">
      <c r="B18" s="658"/>
      <c r="C18" s="30" t="s">
        <v>131</v>
      </c>
      <c r="D18" s="176">
        <f>Networth!G29</f>
        <v>27500000</v>
      </c>
      <c r="E18" s="31">
        <f t="shared" si="3"/>
        <v>0.41543955264622984</v>
      </c>
      <c r="F18" s="31">
        <f t="shared" si="4"/>
        <v>0.81309291289589902</v>
      </c>
      <c r="G18" s="31">
        <f>IF(D18&gt;1,8.1%,0)</f>
        <v>8.1000000000000003E-2</v>
      </c>
      <c r="H18" s="31">
        <f t="shared" si="2"/>
        <v>3.3650603764344617E-2</v>
      </c>
    </row>
    <row r="19" spans="1:9" ht="17.399999999999999" customHeight="1" x14ac:dyDescent="0.3">
      <c r="B19" s="658"/>
      <c r="C19" s="109" t="s">
        <v>132</v>
      </c>
      <c r="D19" s="176">
        <f>Networth!G28</f>
        <v>3400000</v>
      </c>
      <c r="E19" s="31">
        <f t="shared" si="3"/>
        <v>5.1363435599897506E-2</v>
      </c>
      <c r="F19" s="31">
        <f t="shared" si="4"/>
        <v>0.10052785104894751</v>
      </c>
      <c r="G19" s="31">
        <f>IF(D19&gt;1,7.1%,0)</f>
        <v>7.0999999999999994E-2</v>
      </c>
      <c r="H19" s="24">
        <f t="shared" si="2"/>
        <v>3.6468039275927224E-3</v>
      </c>
    </row>
    <row r="20" spans="1:9" ht="17.399999999999999" customHeight="1" x14ac:dyDescent="0.3">
      <c r="B20" s="658"/>
      <c r="C20" s="109" t="s">
        <v>133</v>
      </c>
      <c r="D20" s="174">
        <f>Networth!G22</f>
        <v>1400000</v>
      </c>
      <c r="E20" s="31">
        <f t="shared" si="3"/>
        <v>2.1149649952898975E-2</v>
      </c>
      <c r="F20" s="31">
        <f t="shared" si="4"/>
        <v>4.1393821020154861E-2</v>
      </c>
      <c r="G20" s="31">
        <f>IF(D20&gt;1,8.2%,0)</f>
        <v>8.199999999999999E-2</v>
      </c>
      <c r="H20" s="31">
        <f t="shared" si="2"/>
        <v>1.7342712961377156E-3</v>
      </c>
    </row>
    <row r="21" spans="1:9" ht="15" thickBot="1" x14ac:dyDescent="0.35">
      <c r="B21" s="658"/>
      <c r="C21" s="49" t="s">
        <v>134</v>
      </c>
      <c r="D21" s="177">
        <f>Networth!G23</f>
        <v>0</v>
      </c>
      <c r="E21" s="50">
        <f t="shared" si="3"/>
        <v>0</v>
      </c>
      <c r="F21" s="51">
        <f t="shared" si="4"/>
        <v>0</v>
      </c>
      <c r="G21" s="51">
        <f>IF(D21&gt;1,10%,0)</f>
        <v>0</v>
      </c>
      <c r="H21" s="50">
        <f t="shared" si="2"/>
        <v>0</v>
      </c>
      <c r="I21" s="525"/>
    </row>
    <row r="22" spans="1:9" ht="15" thickBot="1" x14ac:dyDescent="0.35">
      <c r="A22" s="11" t="s">
        <v>135</v>
      </c>
      <c r="B22" s="664"/>
      <c r="C22" s="38" t="s">
        <v>136</v>
      </c>
      <c r="D22" s="175">
        <f>SUM(D13:D21)</f>
        <v>33821473</v>
      </c>
      <c r="E22" s="39">
        <f>SUM(E13:E21)</f>
        <v>0.51093736774387422</v>
      </c>
      <c r="F22" s="40"/>
      <c r="G22" s="40"/>
      <c r="H22" s="41"/>
    </row>
    <row r="23" spans="1:9" ht="15" thickBot="1" x14ac:dyDescent="0.35">
      <c r="B23" s="42"/>
      <c r="C23" s="43"/>
      <c r="D23" s="44"/>
      <c r="E23" s="52"/>
      <c r="F23" s="473"/>
      <c r="G23" s="46"/>
      <c r="H23" s="47"/>
    </row>
    <row r="24" spans="1:9" ht="17.399999999999999" customHeight="1" x14ac:dyDescent="0.3">
      <c r="B24" s="657" t="s">
        <v>118</v>
      </c>
      <c r="C24" s="53" t="s">
        <v>137</v>
      </c>
      <c r="D24" s="173">
        <f>Networth!G19</f>
        <v>8500000</v>
      </c>
      <c r="E24" s="15">
        <f>IFERROR(D24/$L$9,0%)</f>
        <v>0.12840858899974378</v>
      </c>
      <c r="F24" s="24">
        <f>IFERROR(D24/$D$28,0)</f>
        <v>0.77272727272727271</v>
      </c>
      <c r="G24" s="24">
        <f>IF(D24&gt;1,3%,0)</f>
        <v>0.03</v>
      </c>
      <c r="H24" s="24">
        <f t="shared" si="2"/>
        <v>3.8522576699923134E-3</v>
      </c>
    </row>
    <row r="25" spans="1:9" ht="17.399999999999999" customHeight="1" x14ac:dyDescent="0.3">
      <c r="B25" s="658"/>
      <c r="C25" s="30" t="s">
        <v>138</v>
      </c>
      <c r="D25" s="174">
        <f>Networth!G20</f>
        <v>0</v>
      </c>
      <c r="E25" s="31">
        <f>IFERROR(D25/$L$9,0%)</f>
        <v>0</v>
      </c>
      <c r="F25" s="31">
        <f t="shared" ref="F25:F27" si="5">IFERROR(D25/$D$28,0)</f>
        <v>0</v>
      </c>
      <c r="G25" s="31">
        <f>IF(D25&gt;0,3%,0)</f>
        <v>0</v>
      </c>
      <c r="H25" s="31">
        <f t="shared" si="2"/>
        <v>0</v>
      </c>
    </row>
    <row r="26" spans="1:9" ht="17.399999999999999" customHeight="1" x14ac:dyDescent="0.3">
      <c r="B26" s="658"/>
      <c r="C26" s="22" t="s">
        <v>139</v>
      </c>
      <c r="D26" s="174">
        <f>Networth!G21</f>
        <v>2500000</v>
      </c>
      <c r="E26" s="31">
        <f>IFERROR(D26/$L$9,0%)</f>
        <v>3.7767232058748171E-2</v>
      </c>
      <c r="F26" s="23">
        <f t="shared" si="5"/>
        <v>0.22727272727272727</v>
      </c>
      <c r="G26" s="31">
        <f>IF(D26&gt;0,5%,0)</f>
        <v>0.05</v>
      </c>
      <c r="H26" s="31">
        <f t="shared" si="2"/>
        <v>1.8883616029374086E-3</v>
      </c>
    </row>
    <row r="27" spans="1:9" ht="15" thickBot="1" x14ac:dyDescent="0.35">
      <c r="B27" s="658"/>
      <c r="C27" s="34" t="s">
        <v>140</v>
      </c>
      <c r="D27" s="285"/>
      <c r="E27" s="35">
        <f>IFERROR(D27/$L$9,0%)</f>
        <v>0</v>
      </c>
      <c r="F27" s="35">
        <f t="shared" si="5"/>
        <v>0</v>
      </c>
      <c r="G27" s="35">
        <f>IF(D27&gt;0,7%,0)</f>
        <v>0</v>
      </c>
      <c r="H27" s="35">
        <f t="shared" si="2"/>
        <v>0</v>
      </c>
    </row>
    <row r="28" spans="1:9" ht="16.2" thickBot="1" x14ac:dyDescent="0.35">
      <c r="B28" s="182"/>
      <c r="C28" s="54" t="s">
        <v>141</v>
      </c>
      <c r="D28" s="175">
        <f>SUM(D24:D27)</f>
        <v>11000000</v>
      </c>
      <c r="E28" s="39">
        <f t="shared" ref="E28" si="6">SUM(E24:E27)</f>
        <v>0.16617582105849193</v>
      </c>
      <c r="F28" s="40"/>
      <c r="G28" s="40"/>
      <c r="H28" s="41"/>
    </row>
    <row r="29" spans="1:9" ht="15" thickBot="1" x14ac:dyDescent="0.35">
      <c r="B29" s="42"/>
      <c r="C29" s="43"/>
      <c r="D29" s="44"/>
      <c r="E29" s="52"/>
      <c r="F29" s="473"/>
      <c r="G29" s="46"/>
      <c r="H29" s="55"/>
    </row>
    <row r="30" spans="1:9" x14ac:dyDescent="0.3">
      <c r="B30" s="657" t="s">
        <v>120</v>
      </c>
      <c r="C30" s="33" t="s">
        <v>142</v>
      </c>
      <c r="D30" s="173">
        <f>Networth!G11</f>
        <v>4000000</v>
      </c>
      <c r="E30" s="14">
        <f>IFERROR(D30/$L$9,0%)</f>
        <v>6.0427571293997069E-2</v>
      </c>
      <c r="F30" s="24">
        <f>IFERROR(D30/$D$33,0)</f>
        <v>0.94753611000894233</v>
      </c>
      <c r="G30" s="24">
        <f>IF(D30&gt;0,7%,0)</f>
        <v>7.0000000000000007E-2</v>
      </c>
      <c r="H30" s="24">
        <f t="shared" si="2"/>
        <v>4.2299299905797956E-3</v>
      </c>
    </row>
    <row r="31" spans="1:9" x14ac:dyDescent="0.3">
      <c r="B31" s="658"/>
      <c r="C31" s="30" t="s">
        <v>143</v>
      </c>
      <c r="D31" s="174">
        <f>Networth!G13</f>
        <v>0</v>
      </c>
      <c r="E31" s="31">
        <f>IFERROR(D31/$L$9,0%)</f>
        <v>0</v>
      </c>
      <c r="F31" s="31">
        <f t="shared" ref="F31:F32" si="7">IFERROR(D31/$D$33,0)</f>
        <v>0</v>
      </c>
      <c r="G31" s="31">
        <f>IF(D31&gt;0,7%,0)</f>
        <v>0</v>
      </c>
      <c r="H31" s="31">
        <f t="shared" si="2"/>
        <v>0</v>
      </c>
    </row>
    <row r="32" spans="1:9" ht="15" thickBot="1" x14ac:dyDescent="0.35">
      <c r="B32" s="658"/>
      <c r="C32" s="34" t="s">
        <v>144</v>
      </c>
      <c r="D32" s="432">
        <f>Networth!G12</f>
        <v>221475</v>
      </c>
      <c r="E32" s="35">
        <f>IFERROR(D32/$L$9,0%)</f>
        <v>3.3457990880845002E-3</v>
      </c>
      <c r="F32" s="35">
        <f t="shared" si="7"/>
        <v>5.2463889991057625E-2</v>
      </c>
      <c r="G32" s="35">
        <f>IF(D32&gt;0,8%,0)</f>
        <v>0.08</v>
      </c>
      <c r="H32" s="35">
        <f t="shared" si="2"/>
        <v>2.6766392704676001E-4</v>
      </c>
    </row>
    <row r="33" spans="2:8" ht="16.2" thickBot="1" x14ac:dyDescent="0.35">
      <c r="B33" s="181"/>
      <c r="C33" s="38" t="s">
        <v>145</v>
      </c>
      <c r="D33" s="178">
        <f>SUM(D30:D32)</f>
        <v>4221475</v>
      </c>
      <c r="E33" s="39">
        <f t="shared" ref="E33" si="8">SUM(E30:E32)</f>
        <v>6.3773370382081571E-2</v>
      </c>
      <c r="F33" s="40"/>
      <c r="G33" s="40"/>
      <c r="H33" s="41"/>
    </row>
    <row r="34" spans="2:8" ht="15" thickBot="1" x14ac:dyDescent="0.35">
      <c r="B34" s="42"/>
      <c r="C34" s="43"/>
      <c r="D34" s="44"/>
      <c r="E34" s="52"/>
      <c r="F34" s="473"/>
      <c r="G34" s="46"/>
      <c r="H34" s="47"/>
    </row>
    <row r="35" spans="2:8" ht="16.2" thickBot="1" x14ac:dyDescent="0.35">
      <c r="B35" s="169" t="s">
        <v>146</v>
      </c>
      <c r="C35" s="56"/>
      <c r="D35" s="524">
        <f>Networth!G24</f>
        <v>1500000</v>
      </c>
      <c r="E35" s="57">
        <f>IFERROR(D35/$L$9,0%)</f>
        <v>2.2660339235248902E-2</v>
      </c>
      <c r="F35" s="474"/>
      <c r="G35" s="50">
        <f>IF(D35&gt;0,12%,0)</f>
        <v>0.12</v>
      </c>
      <c r="H35" s="31">
        <f t="shared" ref="H35" si="9">E35*G35</f>
        <v>2.7192407082298679E-3</v>
      </c>
    </row>
  </sheetData>
  <mergeCells count="6">
    <mergeCell ref="B30:B32"/>
    <mergeCell ref="B1:N1"/>
    <mergeCell ref="B2:H2"/>
    <mergeCell ref="B4:B11"/>
    <mergeCell ref="B13:B22"/>
    <mergeCell ref="B24:B27"/>
  </mergeCells>
  <conditionalFormatting sqref="D4:D10">
    <cfRule type="cellIs" dxfId="13" priority="3" operator="equal">
      <formula>0</formula>
    </cfRule>
  </conditionalFormatting>
  <conditionalFormatting sqref="D13:D21 D30:D32 D35 D24:D27">
    <cfRule type="cellIs" dxfId="12" priority="4" operator="equal">
      <formula>0</formula>
    </cfRule>
  </conditionalFormatting>
  <conditionalFormatting sqref="D13:H21 D4:H11 L4:N9 D30:H33 D24:H28 D35:H35">
    <cfRule type="cellIs" dxfId="11" priority="5" operator="equal">
      <formula>0</formula>
    </cfRule>
  </conditionalFormatting>
  <conditionalFormatting sqref="D22">
    <cfRule type="cellIs" dxfId="10" priority="2" operator="equal">
      <formula>0</formula>
    </cfRule>
  </conditionalFormatting>
  <conditionalFormatting sqref="E22:H22">
    <cfRule type="cellIs" dxfId="9" priority="1" operator="equal">
      <formula>0</formula>
    </cfRule>
  </conditionalFormatting>
  <pageMargins left="0.7" right="0.7" top="0.75" bottom="0.75" header="0.3" footer="0.3"/>
  <pageSetup orientation="portrait" r:id="rId1"/>
  <ignoredErrors>
    <ignoredError sqref="D4 D32 D25 D11:D14 D8:D9 D7" unlocked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F46F-103E-4500-AA40-200AFDA91F32}">
  <dimension ref="A1:D30"/>
  <sheetViews>
    <sheetView workbookViewId="0">
      <selection activeCell="C9" sqref="C9"/>
    </sheetView>
  </sheetViews>
  <sheetFormatPr defaultRowHeight="14.4" x14ac:dyDescent="0.3"/>
  <cols>
    <col min="1" max="1" width="23.44140625" bestFit="1" customWidth="1"/>
    <col min="2" max="2" width="13" customWidth="1"/>
  </cols>
  <sheetData>
    <row r="1" spans="1:4" x14ac:dyDescent="0.3">
      <c r="A1" s="319" t="s">
        <v>147</v>
      </c>
      <c r="B1" s="319" t="s">
        <v>148</v>
      </c>
      <c r="C1" s="319" t="s">
        <v>149</v>
      </c>
      <c r="D1" s="319" t="s">
        <v>150</v>
      </c>
    </row>
    <row r="2" spans="1:4" x14ac:dyDescent="0.3">
      <c r="A2" t="str">
        <f>Networth!B4</f>
        <v>Cash In Hand / Bank</v>
      </c>
      <c r="B2" s="58">
        <f>IFERROR(VLOOKUP(A2,Networth!$B:$G,6,0),0)</f>
        <v>1500000</v>
      </c>
      <c r="C2" s="313">
        <v>3.5000000000000003E-2</v>
      </c>
      <c r="D2" s="200">
        <f t="shared" ref="D2:D28" si="0">IFERROR(B2/$B$30,0)</f>
        <v>2.2660339235248902E-2</v>
      </c>
    </row>
    <row r="3" spans="1:4" x14ac:dyDescent="0.3">
      <c r="A3" t="str">
        <f>Networth!B5</f>
        <v>Fixed Deposit</v>
      </c>
      <c r="B3" s="58">
        <f>IFERROR(VLOOKUP(A3,Networth!$B:$G,6,0),0)</f>
        <v>0</v>
      </c>
      <c r="C3" s="313">
        <v>0.05</v>
      </c>
      <c r="D3" s="200">
        <f t="shared" si="0"/>
        <v>0</v>
      </c>
    </row>
    <row r="4" spans="1:4" x14ac:dyDescent="0.3">
      <c r="A4" t="str">
        <f>Networth!B6</f>
        <v>Equity Stocks</v>
      </c>
      <c r="B4" s="58">
        <f>IFERROR(VLOOKUP(A4,Networth!$B:$G,6,0),0)</f>
        <v>258392</v>
      </c>
      <c r="C4" s="313">
        <v>0.11</v>
      </c>
      <c r="D4" s="200">
        <f t="shared" si="0"/>
        <v>3.9035002504496227E-3</v>
      </c>
    </row>
    <row r="5" spans="1:4" x14ac:dyDescent="0.3">
      <c r="A5" t="str">
        <f>Networth!B7</f>
        <v>Equity Mutual Funds</v>
      </c>
      <c r="B5" s="58">
        <f>IFERROR(VLOOKUP(A5,Networth!$B:$G,6,0),0)</f>
        <v>5666347</v>
      </c>
      <c r="C5" s="313">
        <v>0.11</v>
      </c>
      <c r="D5" s="200">
        <f t="shared" si="0"/>
        <v>8.5600896829756606E-2</v>
      </c>
    </row>
    <row r="6" spans="1:4" x14ac:dyDescent="0.3">
      <c r="A6" t="str">
        <f>Networth!B8</f>
        <v>Equity PMS</v>
      </c>
      <c r="B6" s="58">
        <f>IFERROR(VLOOKUP(A6,Networth!$B:$G,6,0),0)</f>
        <v>0</v>
      </c>
      <c r="C6" s="313">
        <v>0.11</v>
      </c>
      <c r="D6" s="200">
        <f t="shared" si="0"/>
        <v>0</v>
      </c>
    </row>
    <row r="7" spans="1:4" x14ac:dyDescent="0.3">
      <c r="A7" t="str">
        <f>Networth!B9</f>
        <v>Debt Mutual Funds</v>
      </c>
      <c r="B7" s="58">
        <f>IFERROR(VLOOKUP(A7,Networth!$B:$G,6,0),0)</f>
        <v>21473</v>
      </c>
      <c r="C7" s="313">
        <v>5.5E-2</v>
      </c>
      <c r="D7" s="200">
        <f t="shared" si="0"/>
        <v>3.2439030959899979E-4</v>
      </c>
    </row>
    <row r="8" spans="1:4" x14ac:dyDescent="0.3">
      <c r="A8" t="str">
        <f>Networth!B10</f>
        <v>Hybrid</v>
      </c>
      <c r="B8" s="58">
        <f>IFERROR(VLOOKUP(A8,Networth!$B:$G,6,0),0)</f>
        <v>1727262</v>
      </c>
      <c r="C8" s="313">
        <v>0.09</v>
      </c>
      <c r="D8" s="200">
        <f t="shared" si="0"/>
        <v>2.6093561912102992E-2</v>
      </c>
    </row>
    <row r="9" spans="1:4" x14ac:dyDescent="0.3">
      <c r="A9" t="str">
        <f>Networth!B11</f>
        <v>Commodities Inv Physical (Gold / Silver)</v>
      </c>
      <c r="B9" s="58">
        <f>IFERROR(VLOOKUP(A9,Networth!$B:$G,6,0),0)</f>
        <v>4000000</v>
      </c>
      <c r="C9" s="313">
        <v>7.0000000000000007E-2</v>
      </c>
      <c r="D9" s="200">
        <f t="shared" si="0"/>
        <v>6.0427571293997069E-2</v>
      </c>
    </row>
    <row r="10" spans="1:4" x14ac:dyDescent="0.3">
      <c r="A10" t="str">
        <f>Networth!B12</f>
        <v>SGBs</v>
      </c>
      <c r="B10" s="58">
        <f>IFERROR(VLOOKUP(A10,Networth!$B:$G,6,0),0)</f>
        <v>221475</v>
      </c>
      <c r="C10" s="313">
        <v>0.08</v>
      </c>
      <c r="D10" s="200">
        <f t="shared" si="0"/>
        <v>3.3457990880845002E-3</v>
      </c>
    </row>
    <row r="11" spans="1:4" x14ac:dyDescent="0.3">
      <c r="A11" t="str">
        <f>Networth!B13</f>
        <v>Gold/Silver ETFs</v>
      </c>
      <c r="B11" s="58">
        <f>IFERROR(VLOOKUP(A11,Networth!$B:$G,6,0),0)</f>
        <v>0</v>
      </c>
      <c r="C11" s="313">
        <v>7.0000000000000007E-2</v>
      </c>
      <c r="D11" s="200">
        <f t="shared" si="0"/>
        <v>0</v>
      </c>
    </row>
    <row r="12" spans="1:4" x14ac:dyDescent="0.3">
      <c r="A12" t="str">
        <f>Networth!B14</f>
        <v>ESOPs ( vested)</v>
      </c>
      <c r="B12" s="58">
        <f>IFERROR(VLOOKUP(A12,Networth!$B:$G,6,0),0)</f>
        <v>2000000</v>
      </c>
      <c r="C12" s="313">
        <v>0.1</v>
      </c>
      <c r="D12" s="200">
        <f t="shared" si="0"/>
        <v>3.0213785646998535E-2</v>
      </c>
    </row>
    <row r="13" spans="1:4" x14ac:dyDescent="0.3">
      <c r="A13" t="str">
        <f>Networth!B15</f>
        <v>International Equities</v>
      </c>
      <c r="B13" s="58">
        <f>IFERROR(VLOOKUP(A13,Networth!$B:$G,6,0),0)</f>
        <v>600000</v>
      </c>
      <c r="C13" s="313">
        <v>0.08</v>
      </c>
      <c r="D13" s="200">
        <f t="shared" si="0"/>
        <v>9.06413569409956E-3</v>
      </c>
    </row>
    <row r="14" spans="1:4" x14ac:dyDescent="0.3">
      <c r="A14" t="str">
        <f>Networth!B19</f>
        <v>Residential Property</v>
      </c>
      <c r="B14" s="58">
        <f>IFERROR(VLOOKUP(A14,Networth!$B:$G,6,0),0)</f>
        <v>8500000</v>
      </c>
      <c r="C14" s="313">
        <v>0.03</v>
      </c>
      <c r="D14" s="200">
        <f t="shared" si="0"/>
        <v>0.12840858899974378</v>
      </c>
    </row>
    <row r="15" spans="1:4" x14ac:dyDescent="0.3">
      <c r="A15" t="str">
        <f>Networth!B20</f>
        <v>Commercial Property</v>
      </c>
      <c r="B15" s="58">
        <f>IFERROR(VLOOKUP(A15,Networth!$B:$G,6,0),0)</f>
        <v>0</v>
      </c>
      <c r="C15" s="313">
        <v>0.03</v>
      </c>
      <c r="D15" s="200">
        <f t="shared" si="0"/>
        <v>0</v>
      </c>
    </row>
    <row r="16" spans="1:4" x14ac:dyDescent="0.3">
      <c r="A16" t="str">
        <f>Networth!B21</f>
        <v>Land- Chennai</v>
      </c>
      <c r="B16" s="58">
        <f>IFERROR(VLOOKUP(A16,Networth!$B:$G,6,0),0)</f>
        <v>2500000</v>
      </c>
      <c r="C16" s="313">
        <v>0.05</v>
      </c>
      <c r="D16" s="200">
        <f t="shared" si="0"/>
        <v>3.7767232058748171E-2</v>
      </c>
    </row>
    <row r="17" spans="1:4" x14ac:dyDescent="0.3">
      <c r="A17" t="str">
        <f>Networth!B22</f>
        <v>Government Schemes- SSA</v>
      </c>
      <c r="B17" s="58">
        <f>IFERROR(VLOOKUP(A17,Networth!$B:$G,6,0),0)</f>
        <v>1400000</v>
      </c>
      <c r="C17" s="313">
        <v>8.2000000000000003E-2</v>
      </c>
      <c r="D17" s="200">
        <f t="shared" si="0"/>
        <v>2.1149649952898975E-2</v>
      </c>
    </row>
    <row r="18" spans="1:4" x14ac:dyDescent="0.3">
      <c r="A18" t="str">
        <f>Networth!B23</f>
        <v>Structure Products</v>
      </c>
      <c r="B18" s="58">
        <f>IFERROR(VLOOKUP(A18,Networth!$B:$G,6,0),0)</f>
        <v>0</v>
      </c>
      <c r="C18" s="313">
        <v>0.1</v>
      </c>
      <c r="D18" s="200">
        <f t="shared" si="0"/>
        <v>0</v>
      </c>
    </row>
    <row r="19" spans="1:4" x14ac:dyDescent="0.3">
      <c r="A19" t="str">
        <f>Networth!B24</f>
        <v>Start-Ups</v>
      </c>
      <c r="B19" s="58">
        <f>IFERROR(VLOOKUP(A19,Networth!$B:$G,6,0),0)</f>
        <v>1500000</v>
      </c>
      <c r="C19" s="313">
        <v>0.12</v>
      </c>
      <c r="D19" s="200">
        <f t="shared" si="0"/>
        <v>2.2660339235248902E-2</v>
      </c>
    </row>
    <row r="20" spans="1:4" x14ac:dyDescent="0.3">
      <c r="A20" t="str">
        <f>Networth!B25</f>
        <v>NSC</v>
      </c>
      <c r="B20" s="58">
        <f>IFERROR(VLOOKUP(A20,Networth!$B:$G,6,0),0)</f>
        <v>0</v>
      </c>
      <c r="C20" s="313">
        <v>7.6999999999999999E-2</v>
      </c>
      <c r="D20" s="200">
        <f t="shared" si="0"/>
        <v>0</v>
      </c>
    </row>
    <row r="21" spans="1:4" x14ac:dyDescent="0.3">
      <c r="A21" t="str">
        <f>Networth!B26</f>
        <v>Life Insurance / ULIPs</v>
      </c>
      <c r="B21" s="58">
        <f>IFERROR(VLOOKUP(A21,Networth!$B:$G,6,0),0)</f>
        <v>0</v>
      </c>
      <c r="C21" s="313">
        <v>0.05</v>
      </c>
      <c r="D21" s="200">
        <f t="shared" si="0"/>
        <v>0</v>
      </c>
    </row>
    <row r="22" spans="1:4" x14ac:dyDescent="0.3">
      <c r="A22" t="str">
        <f>Networth!B27</f>
        <v>ESOPs (to be vested)</v>
      </c>
      <c r="B22" s="58">
        <f>IFERROR(VLOOKUP(A22,Networth!$B:$G,6,0),0)</f>
        <v>0</v>
      </c>
      <c r="C22" s="313">
        <v>0.1</v>
      </c>
      <c r="D22" s="200">
        <f t="shared" si="0"/>
        <v>0</v>
      </c>
    </row>
    <row r="23" spans="1:4" x14ac:dyDescent="0.3">
      <c r="A23" t="str">
        <f>Networth!B28</f>
        <v>PPF</v>
      </c>
      <c r="B23" s="58">
        <f>IFERROR(VLOOKUP(A23,Networth!$B:$G,6,0),0)</f>
        <v>3400000</v>
      </c>
      <c r="C23" s="313">
        <v>7.0999999999999994E-2</v>
      </c>
      <c r="D23" s="200">
        <f t="shared" si="0"/>
        <v>5.1363435599897506E-2</v>
      </c>
    </row>
    <row r="24" spans="1:4" x14ac:dyDescent="0.3">
      <c r="A24" t="str">
        <f>Networth!B29</f>
        <v>EPF</v>
      </c>
      <c r="B24" s="58">
        <f>IFERROR(VLOOKUP(A24,Networth!$B:$G,6,0),0)</f>
        <v>27500000</v>
      </c>
      <c r="C24" s="313">
        <v>8.1000000000000003E-2</v>
      </c>
      <c r="D24" s="200">
        <f t="shared" si="0"/>
        <v>0.41543955264622984</v>
      </c>
    </row>
    <row r="25" spans="1:4" x14ac:dyDescent="0.3">
      <c r="A25" t="str">
        <f>Networth!B30</f>
        <v>NPS</v>
      </c>
      <c r="B25" s="58">
        <f>IFERROR(VLOOKUP(A25,Networth!$B:$G,6,0),0)</f>
        <v>5400000</v>
      </c>
      <c r="C25" s="313">
        <v>8.5000000000000006E-2</v>
      </c>
      <c r="D25" s="200">
        <f t="shared" si="0"/>
        <v>8.1577221246896037E-2</v>
      </c>
    </row>
    <row r="26" spans="1:4" x14ac:dyDescent="0.3">
      <c r="D26" s="200">
        <f t="shared" si="0"/>
        <v>0</v>
      </c>
    </row>
    <row r="27" spans="1:4" x14ac:dyDescent="0.3">
      <c r="D27" s="200">
        <f t="shared" si="0"/>
        <v>0</v>
      </c>
    </row>
    <row r="28" spans="1:4" x14ac:dyDescent="0.3">
      <c r="D28" s="200">
        <f t="shared" si="0"/>
        <v>0</v>
      </c>
    </row>
    <row r="30" spans="1:4" x14ac:dyDescent="0.3">
      <c r="B30" s="467">
        <f>SUM(B2:B29)</f>
        <v>66194949</v>
      </c>
      <c r="C30" s="200">
        <f>SUMPRODUCT(C2:C29,D2:D29)</f>
        <v>7.5674563704248798E-2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C4E85-1064-4034-A06B-9ADA33C5CACC}">
  <sheetPr codeName="Sheet20"/>
  <dimension ref="A1:ER38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L20" sqref="L20"/>
    </sheetView>
  </sheetViews>
  <sheetFormatPr defaultRowHeight="14.4" x14ac:dyDescent="0.3"/>
  <cols>
    <col min="1" max="1" width="38.6640625" bestFit="1" customWidth="1"/>
    <col min="2" max="2" width="7.88671875" bestFit="1" customWidth="1"/>
    <col min="3" max="3" width="13.33203125" bestFit="1" customWidth="1"/>
    <col min="4" max="15" width="14.33203125" bestFit="1" customWidth="1"/>
    <col min="16" max="16" width="15.33203125" bestFit="1" customWidth="1"/>
    <col min="17" max="74" width="15.33203125" customWidth="1"/>
    <col min="75" max="75" width="22.5546875" customWidth="1"/>
    <col min="77" max="89" width="9.33203125" bestFit="1" customWidth="1"/>
  </cols>
  <sheetData>
    <row r="1" spans="1:148" x14ac:dyDescent="0.3">
      <c r="C1" s="98"/>
      <c r="D1" s="98">
        <f>'Yearly Budget'!B1</f>
        <v>49</v>
      </c>
      <c r="E1" s="98">
        <f>D1+1</f>
        <v>50</v>
      </c>
      <c r="F1" s="98">
        <f t="shared" ref="F1:BQ1" si="0">E1+1</f>
        <v>51</v>
      </c>
      <c r="G1" s="98">
        <f t="shared" si="0"/>
        <v>52</v>
      </c>
      <c r="H1" s="98">
        <f t="shared" si="0"/>
        <v>53</v>
      </c>
      <c r="I1" s="98">
        <f t="shared" si="0"/>
        <v>54</v>
      </c>
      <c r="J1" s="98">
        <f t="shared" si="0"/>
        <v>55</v>
      </c>
      <c r="K1" s="98">
        <f t="shared" si="0"/>
        <v>56</v>
      </c>
      <c r="L1" s="98">
        <f t="shared" si="0"/>
        <v>57</v>
      </c>
      <c r="M1" s="98">
        <f t="shared" si="0"/>
        <v>58</v>
      </c>
      <c r="N1" s="98">
        <f t="shared" si="0"/>
        <v>59</v>
      </c>
      <c r="O1" s="98">
        <f t="shared" si="0"/>
        <v>60</v>
      </c>
      <c r="P1" s="98">
        <f t="shared" si="0"/>
        <v>61</v>
      </c>
      <c r="Q1" s="98">
        <f t="shared" si="0"/>
        <v>62</v>
      </c>
      <c r="R1" s="98">
        <f t="shared" si="0"/>
        <v>63</v>
      </c>
      <c r="S1" s="98">
        <f t="shared" si="0"/>
        <v>64</v>
      </c>
      <c r="T1" s="98">
        <f t="shared" si="0"/>
        <v>65</v>
      </c>
      <c r="U1" s="98">
        <f t="shared" si="0"/>
        <v>66</v>
      </c>
      <c r="V1" s="98">
        <f t="shared" si="0"/>
        <v>67</v>
      </c>
      <c r="W1" s="98">
        <f t="shared" si="0"/>
        <v>68</v>
      </c>
      <c r="X1" s="98">
        <f t="shared" si="0"/>
        <v>69</v>
      </c>
      <c r="Y1" s="98">
        <f t="shared" si="0"/>
        <v>70</v>
      </c>
      <c r="Z1" s="98">
        <f t="shared" si="0"/>
        <v>71</v>
      </c>
      <c r="AA1" s="98">
        <f t="shared" si="0"/>
        <v>72</v>
      </c>
      <c r="AB1" s="98">
        <f t="shared" si="0"/>
        <v>73</v>
      </c>
      <c r="AC1" s="98">
        <f t="shared" si="0"/>
        <v>74</v>
      </c>
      <c r="AD1" s="98">
        <f t="shared" si="0"/>
        <v>75</v>
      </c>
      <c r="AE1" s="98">
        <f t="shared" si="0"/>
        <v>76</v>
      </c>
      <c r="AF1" s="98">
        <f t="shared" si="0"/>
        <v>77</v>
      </c>
      <c r="AG1" s="98">
        <f t="shared" si="0"/>
        <v>78</v>
      </c>
      <c r="AH1" s="98">
        <f t="shared" si="0"/>
        <v>79</v>
      </c>
      <c r="AI1" s="98">
        <f t="shared" si="0"/>
        <v>80</v>
      </c>
      <c r="AJ1" s="98">
        <f t="shared" si="0"/>
        <v>81</v>
      </c>
      <c r="AK1" s="98">
        <f t="shared" si="0"/>
        <v>82</v>
      </c>
      <c r="AL1" s="98">
        <f t="shared" si="0"/>
        <v>83</v>
      </c>
      <c r="AM1" s="98">
        <f t="shared" si="0"/>
        <v>84</v>
      </c>
      <c r="AN1" s="98">
        <f t="shared" si="0"/>
        <v>85</v>
      </c>
      <c r="AO1" s="98">
        <f t="shared" si="0"/>
        <v>86</v>
      </c>
      <c r="AP1" s="98">
        <f t="shared" si="0"/>
        <v>87</v>
      </c>
      <c r="AQ1" s="98">
        <f t="shared" si="0"/>
        <v>88</v>
      </c>
      <c r="AR1" s="98">
        <f t="shared" si="0"/>
        <v>89</v>
      </c>
      <c r="AS1" s="98">
        <f t="shared" si="0"/>
        <v>90</v>
      </c>
      <c r="AT1" s="98">
        <f t="shared" si="0"/>
        <v>91</v>
      </c>
      <c r="AU1" s="98">
        <f t="shared" si="0"/>
        <v>92</v>
      </c>
      <c r="AV1" s="98">
        <f t="shared" si="0"/>
        <v>93</v>
      </c>
      <c r="AW1" s="98">
        <f t="shared" si="0"/>
        <v>94</v>
      </c>
      <c r="AX1" s="98">
        <f t="shared" si="0"/>
        <v>95</v>
      </c>
      <c r="AY1" s="98">
        <f t="shared" si="0"/>
        <v>96</v>
      </c>
      <c r="AZ1" s="98">
        <f t="shared" si="0"/>
        <v>97</v>
      </c>
      <c r="BA1" s="98">
        <f t="shared" si="0"/>
        <v>98</v>
      </c>
      <c r="BB1" s="98">
        <f t="shared" si="0"/>
        <v>99</v>
      </c>
      <c r="BC1" s="98">
        <f t="shared" si="0"/>
        <v>100</v>
      </c>
      <c r="BD1" s="98">
        <f t="shared" si="0"/>
        <v>101</v>
      </c>
      <c r="BE1" s="98">
        <f t="shared" si="0"/>
        <v>102</v>
      </c>
      <c r="BF1" s="98">
        <f t="shared" si="0"/>
        <v>103</v>
      </c>
      <c r="BG1" s="98">
        <f t="shared" si="0"/>
        <v>104</v>
      </c>
      <c r="BH1" s="98">
        <f t="shared" si="0"/>
        <v>105</v>
      </c>
      <c r="BI1" s="98">
        <f t="shared" si="0"/>
        <v>106</v>
      </c>
      <c r="BJ1" s="98">
        <f t="shared" si="0"/>
        <v>107</v>
      </c>
      <c r="BK1" s="98">
        <f t="shared" si="0"/>
        <v>108</v>
      </c>
      <c r="BL1" s="98">
        <f t="shared" si="0"/>
        <v>109</v>
      </c>
      <c r="BM1" s="98">
        <f t="shared" si="0"/>
        <v>110</v>
      </c>
      <c r="BN1" s="98">
        <f t="shared" si="0"/>
        <v>111</v>
      </c>
      <c r="BO1" s="98">
        <f t="shared" si="0"/>
        <v>112</v>
      </c>
      <c r="BP1" s="98">
        <f t="shared" si="0"/>
        <v>113</v>
      </c>
      <c r="BQ1" s="98">
        <f t="shared" si="0"/>
        <v>114</v>
      </c>
      <c r="BR1" s="98">
        <f t="shared" ref="BR1:BW1" si="1">BQ1+1</f>
        <v>115</v>
      </c>
      <c r="BS1" s="98">
        <f t="shared" si="1"/>
        <v>116</v>
      </c>
      <c r="BT1" s="98">
        <f t="shared" si="1"/>
        <v>117</v>
      </c>
      <c r="BU1" s="98">
        <f t="shared" si="1"/>
        <v>118</v>
      </c>
      <c r="BV1" s="98">
        <f t="shared" si="1"/>
        <v>119</v>
      </c>
      <c r="BW1" s="98">
        <f t="shared" si="1"/>
        <v>120</v>
      </c>
      <c r="BY1" s="98">
        <f>D1</f>
        <v>49</v>
      </c>
      <c r="BZ1" s="98">
        <f t="shared" ref="BZ1:EK1" si="2">E1</f>
        <v>50</v>
      </c>
      <c r="CA1" s="98">
        <f t="shared" si="2"/>
        <v>51</v>
      </c>
      <c r="CB1" s="98">
        <f t="shared" si="2"/>
        <v>52</v>
      </c>
      <c r="CC1" s="98">
        <f t="shared" si="2"/>
        <v>53</v>
      </c>
      <c r="CD1" s="98">
        <f t="shared" si="2"/>
        <v>54</v>
      </c>
      <c r="CE1" s="98">
        <f t="shared" si="2"/>
        <v>55</v>
      </c>
      <c r="CF1" s="98">
        <f t="shared" si="2"/>
        <v>56</v>
      </c>
      <c r="CG1" s="98">
        <f t="shared" si="2"/>
        <v>57</v>
      </c>
      <c r="CH1" s="98">
        <f t="shared" si="2"/>
        <v>58</v>
      </c>
      <c r="CI1" s="98">
        <f t="shared" si="2"/>
        <v>59</v>
      </c>
      <c r="CJ1" s="98">
        <f t="shared" si="2"/>
        <v>60</v>
      </c>
      <c r="CK1" s="98">
        <f t="shared" si="2"/>
        <v>61</v>
      </c>
      <c r="CL1" s="98">
        <f t="shared" si="2"/>
        <v>62</v>
      </c>
      <c r="CM1" s="98">
        <f t="shared" si="2"/>
        <v>63</v>
      </c>
      <c r="CN1" s="98">
        <f t="shared" si="2"/>
        <v>64</v>
      </c>
      <c r="CO1" s="98">
        <f t="shared" si="2"/>
        <v>65</v>
      </c>
      <c r="CP1" s="98">
        <f t="shared" si="2"/>
        <v>66</v>
      </c>
      <c r="CQ1" s="98">
        <f t="shared" si="2"/>
        <v>67</v>
      </c>
      <c r="CR1" s="98">
        <f t="shared" si="2"/>
        <v>68</v>
      </c>
      <c r="CS1" s="98">
        <f t="shared" si="2"/>
        <v>69</v>
      </c>
      <c r="CT1" s="98">
        <f t="shared" si="2"/>
        <v>70</v>
      </c>
      <c r="CU1" s="98">
        <f t="shared" si="2"/>
        <v>71</v>
      </c>
      <c r="CV1" s="98">
        <f t="shared" si="2"/>
        <v>72</v>
      </c>
      <c r="CW1" s="98">
        <f t="shared" si="2"/>
        <v>73</v>
      </c>
      <c r="CX1" s="98">
        <f t="shared" si="2"/>
        <v>74</v>
      </c>
      <c r="CY1" s="98">
        <f t="shared" si="2"/>
        <v>75</v>
      </c>
      <c r="CZ1" s="98">
        <f t="shared" si="2"/>
        <v>76</v>
      </c>
      <c r="DA1" s="98">
        <f t="shared" si="2"/>
        <v>77</v>
      </c>
      <c r="DB1" s="98">
        <f t="shared" si="2"/>
        <v>78</v>
      </c>
      <c r="DC1" s="98">
        <f t="shared" si="2"/>
        <v>79</v>
      </c>
      <c r="DD1" s="98">
        <f t="shared" si="2"/>
        <v>80</v>
      </c>
      <c r="DE1" s="98">
        <f t="shared" si="2"/>
        <v>81</v>
      </c>
      <c r="DF1" s="98">
        <f t="shared" si="2"/>
        <v>82</v>
      </c>
      <c r="DG1" s="98">
        <f t="shared" si="2"/>
        <v>83</v>
      </c>
      <c r="DH1" s="98">
        <f t="shared" si="2"/>
        <v>84</v>
      </c>
      <c r="DI1" s="98">
        <f t="shared" si="2"/>
        <v>85</v>
      </c>
      <c r="DJ1" s="98">
        <f t="shared" si="2"/>
        <v>86</v>
      </c>
      <c r="DK1" s="98">
        <f t="shared" si="2"/>
        <v>87</v>
      </c>
      <c r="DL1" s="98">
        <f t="shared" si="2"/>
        <v>88</v>
      </c>
      <c r="DM1" s="98">
        <f t="shared" si="2"/>
        <v>89</v>
      </c>
      <c r="DN1" s="98">
        <f t="shared" si="2"/>
        <v>90</v>
      </c>
      <c r="DO1" s="98">
        <f t="shared" si="2"/>
        <v>91</v>
      </c>
      <c r="DP1" s="98">
        <f t="shared" si="2"/>
        <v>92</v>
      </c>
      <c r="DQ1" s="98">
        <f t="shared" si="2"/>
        <v>93</v>
      </c>
      <c r="DR1" s="98">
        <f t="shared" si="2"/>
        <v>94</v>
      </c>
      <c r="DS1" s="98">
        <f t="shared" si="2"/>
        <v>95</v>
      </c>
      <c r="DT1" s="98">
        <f t="shared" si="2"/>
        <v>96</v>
      </c>
      <c r="DU1" s="98">
        <f t="shared" si="2"/>
        <v>97</v>
      </c>
      <c r="DV1" s="98">
        <f t="shared" si="2"/>
        <v>98</v>
      </c>
      <c r="DW1" s="98">
        <f t="shared" si="2"/>
        <v>99</v>
      </c>
      <c r="DX1" s="98">
        <f t="shared" si="2"/>
        <v>100</v>
      </c>
      <c r="DY1" s="98">
        <f t="shared" si="2"/>
        <v>101</v>
      </c>
      <c r="DZ1" s="98">
        <f t="shared" si="2"/>
        <v>102</v>
      </c>
      <c r="EA1" s="98">
        <f t="shared" si="2"/>
        <v>103</v>
      </c>
      <c r="EB1" s="98">
        <f t="shared" si="2"/>
        <v>104</v>
      </c>
      <c r="EC1" s="98">
        <f t="shared" si="2"/>
        <v>105</v>
      </c>
      <c r="ED1" s="98">
        <f t="shared" si="2"/>
        <v>106</v>
      </c>
      <c r="EE1" s="98">
        <f t="shared" si="2"/>
        <v>107</v>
      </c>
      <c r="EF1" s="98">
        <f t="shared" si="2"/>
        <v>108</v>
      </c>
      <c r="EG1" s="98">
        <f t="shared" si="2"/>
        <v>109</v>
      </c>
      <c r="EH1" s="98">
        <f t="shared" si="2"/>
        <v>110</v>
      </c>
      <c r="EI1" s="98">
        <f t="shared" si="2"/>
        <v>111</v>
      </c>
      <c r="EJ1" s="98">
        <f t="shared" si="2"/>
        <v>112</v>
      </c>
      <c r="EK1" s="98">
        <f t="shared" si="2"/>
        <v>113</v>
      </c>
      <c r="EL1" s="98">
        <f t="shared" ref="EL1:ER1" si="3">BQ1</f>
        <v>114</v>
      </c>
      <c r="EM1" s="98">
        <f t="shared" si="3"/>
        <v>115</v>
      </c>
      <c r="EN1" s="98">
        <f t="shared" si="3"/>
        <v>116</v>
      </c>
      <c r="EO1" s="98">
        <f t="shared" si="3"/>
        <v>117</v>
      </c>
      <c r="EP1" s="98">
        <f t="shared" si="3"/>
        <v>118</v>
      </c>
      <c r="EQ1" s="98">
        <f t="shared" si="3"/>
        <v>119</v>
      </c>
      <c r="ER1" s="98">
        <f t="shared" si="3"/>
        <v>120</v>
      </c>
    </row>
    <row r="2" spans="1:148" s="98" customFormat="1" x14ac:dyDescent="0.3">
      <c r="A2" s="98" t="s">
        <v>147</v>
      </c>
      <c r="B2" s="98" t="s">
        <v>149</v>
      </c>
      <c r="C2" s="98" t="s">
        <v>151</v>
      </c>
      <c r="D2" s="98">
        <v>2022</v>
      </c>
      <c r="E2" s="98">
        <v>2023</v>
      </c>
      <c r="F2" s="98">
        <v>2024</v>
      </c>
      <c r="G2" s="98">
        <v>2025</v>
      </c>
      <c r="H2" s="98">
        <v>2026</v>
      </c>
      <c r="I2" s="98">
        <v>2027</v>
      </c>
      <c r="J2" s="98">
        <v>2028</v>
      </c>
      <c r="K2" s="98">
        <v>2029</v>
      </c>
      <c r="L2" s="98">
        <v>2030</v>
      </c>
      <c r="M2" s="98">
        <v>2031</v>
      </c>
      <c r="N2" s="98">
        <v>2032</v>
      </c>
      <c r="O2" s="98">
        <v>2033</v>
      </c>
      <c r="P2" s="98">
        <v>2034</v>
      </c>
      <c r="Q2" s="98">
        <v>2035</v>
      </c>
      <c r="R2" s="98">
        <v>2036</v>
      </c>
      <c r="S2" s="98">
        <v>2037</v>
      </c>
      <c r="T2" s="98">
        <v>2038</v>
      </c>
      <c r="U2" s="98">
        <v>2039</v>
      </c>
      <c r="V2" s="98">
        <v>2040</v>
      </c>
      <c r="W2" s="98">
        <v>2041</v>
      </c>
      <c r="X2" s="98">
        <v>2042</v>
      </c>
      <c r="Y2" s="98">
        <v>2043</v>
      </c>
      <c r="Z2" s="98">
        <v>2044</v>
      </c>
      <c r="AA2" s="98">
        <v>2045</v>
      </c>
      <c r="AB2" s="98">
        <v>2046</v>
      </c>
      <c r="AC2" s="98">
        <v>2047</v>
      </c>
      <c r="AD2" s="98">
        <v>2048</v>
      </c>
      <c r="AE2" s="98">
        <v>2049</v>
      </c>
      <c r="AF2" s="98">
        <v>2050</v>
      </c>
      <c r="AG2" s="98">
        <v>2051</v>
      </c>
      <c r="AH2" s="98">
        <v>2052</v>
      </c>
      <c r="AI2" s="98">
        <v>2053</v>
      </c>
      <c r="AJ2" s="98">
        <v>2054</v>
      </c>
      <c r="AK2" s="98">
        <v>2055</v>
      </c>
      <c r="AL2" s="98">
        <v>2056</v>
      </c>
      <c r="AM2" s="98">
        <v>2057</v>
      </c>
      <c r="AN2" s="98">
        <v>2058</v>
      </c>
      <c r="AO2" s="98">
        <v>2059</v>
      </c>
      <c r="AP2" s="98">
        <v>2060</v>
      </c>
      <c r="AQ2" s="98">
        <v>2061</v>
      </c>
      <c r="AR2" s="98">
        <v>2062</v>
      </c>
      <c r="AS2" s="98">
        <v>2063</v>
      </c>
      <c r="AT2" s="98">
        <v>2064</v>
      </c>
      <c r="AU2" s="98">
        <v>2065</v>
      </c>
      <c r="AV2" s="98">
        <v>2066</v>
      </c>
      <c r="AW2" s="98">
        <v>2067</v>
      </c>
      <c r="AX2" s="98">
        <v>2068</v>
      </c>
      <c r="AY2" s="98">
        <v>2069</v>
      </c>
      <c r="AZ2" s="98">
        <v>2070</v>
      </c>
      <c r="BA2" s="98">
        <v>2071</v>
      </c>
      <c r="BB2" s="98">
        <v>2072</v>
      </c>
      <c r="BC2" s="98">
        <v>2073</v>
      </c>
      <c r="BD2" s="98">
        <v>2074</v>
      </c>
      <c r="BE2" s="98">
        <v>2075</v>
      </c>
      <c r="BF2" s="98">
        <v>2076</v>
      </c>
      <c r="BG2" s="98">
        <v>2077</v>
      </c>
      <c r="BH2" s="98">
        <v>2078</v>
      </c>
      <c r="BI2" s="98">
        <v>2079</v>
      </c>
      <c r="BJ2" s="98">
        <v>2080</v>
      </c>
      <c r="BK2" s="98">
        <v>2081</v>
      </c>
      <c r="BL2" s="98">
        <v>2082</v>
      </c>
      <c r="BM2" s="98">
        <v>2083</v>
      </c>
      <c r="BN2" s="98">
        <v>2084</v>
      </c>
      <c r="BO2" s="98">
        <v>2085</v>
      </c>
      <c r="BP2" s="98">
        <v>2086</v>
      </c>
      <c r="BQ2" s="98">
        <v>2087</v>
      </c>
      <c r="BR2" s="98">
        <v>2088</v>
      </c>
      <c r="BS2" s="98">
        <v>2089</v>
      </c>
      <c r="BT2" s="98">
        <v>2090</v>
      </c>
      <c r="BU2" s="98">
        <v>2091</v>
      </c>
      <c r="BV2" s="98">
        <v>2092</v>
      </c>
      <c r="BW2" s="98">
        <v>2093</v>
      </c>
      <c r="BY2" s="98">
        <v>2022</v>
      </c>
      <c r="BZ2" s="98">
        <v>2023</v>
      </c>
      <c r="CA2" s="98">
        <v>2024</v>
      </c>
      <c r="CB2" s="98">
        <v>2025</v>
      </c>
      <c r="CC2" s="98">
        <v>2026</v>
      </c>
      <c r="CD2" s="98">
        <v>2027</v>
      </c>
      <c r="CE2" s="98">
        <v>2028</v>
      </c>
      <c r="CF2" s="98">
        <v>2029</v>
      </c>
      <c r="CG2" s="98">
        <v>2030</v>
      </c>
      <c r="CH2" s="98">
        <v>2031</v>
      </c>
      <c r="CI2" s="98">
        <v>2032</v>
      </c>
      <c r="CJ2" s="98">
        <v>2033</v>
      </c>
      <c r="CK2" s="98">
        <v>2034</v>
      </c>
      <c r="CL2" s="98">
        <v>2035</v>
      </c>
      <c r="CM2" s="98">
        <v>2036</v>
      </c>
      <c r="CN2" s="98">
        <v>2037</v>
      </c>
      <c r="CO2" s="98">
        <v>2038</v>
      </c>
      <c r="CP2" s="98">
        <v>2039</v>
      </c>
      <c r="CQ2" s="98">
        <v>2040</v>
      </c>
      <c r="CR2" s="98">
        <v>2041</v>
      </c>
      <c r="CS2" s="98">
        <v>2042</v>
      </c>
      <c r="CT2" s="98">
        <v>2043</v>
      </c>
      <c r="CU2" s="98">
        <v>2044</v>
      </c>
      <c r="CV2" s="98">
        <v>2045</v>
      </c>
      <c r="CW2" s="98">
        <v>2046</v>
      </c>
      <c r="CX2" s="98">
        <v>2047</v>
      </c>
      <c r="CY2" s="98">
        <v>2048</v>
      </c>
      <c r="CZ2" s="98">
        <v>2049</v>
      </c>
      <c r="DA2" s="98">
        <v>2050</v>
      </c>
      <c r="DB2" s="98">
        <v>2051</v>
      </c>
      <c r="DC2" s="98">
        <v>2052</v>
      </c>
      <c r="DD2" s="98">
        <v>2053</v>
      </c>
      <c r="DE2" s="98">
        <v>2054</v>
      </c>
      <c r="DF2" s="98">
        <v>2055</v>
      </c>
      <c r="DG2" s="98">
        <v>2056</v>
      </c>
      <c r="DH2" s="98">
        <v>2057</v>
      </c>
      <c r="DI2" s="98">
        <v>2058</v>
      </c>
      <c r="DJ2" s="98">
        <v>2059</v>
      </c>
      <c r="DK2" s="98">
        <v>2060</v>
      </c>
      <c r="DL2" s="98">
        <v>2061</v>
      </c>
      <c r="DM2" s="98">
        <v>2062</v>
      </c>
      <c r="DN2" s="98">
        <v>2063</v>
      </c>
      <c r="DO2" s="98">
        <v>2064</v>
      </c>
      <c r="DP2" s="98">
        <v>2065</v>
      </c>
      <c r="DQ2" s="98">
        <v>2066</v>
      </c>
      <c r="DR2" s="98">
        <v>2067</v>
      </c>
      <c r="DS2" s="98">
        <v>2068</v>
      </c>
      <c r="DT2" s="98">
        <v>2069</v>
      </c>
      <c r="DU2" s="98">
        <v>2070</v>
      </c>
      <c r="DV2" s="98">
        <v>2071</v>
      </c>
      <c r="DW2" s="98">
        <v>2072</v>
      </c>
      <c r="DX2" s="98">
        <v>2073</v>
      </c>
      <c r="DY2" s="98">
        <v>2074</v>
      </c>
      <c r="DZ2" s="98">
        <v>2075</v>
      </c>
      <c r="EA2" s="98">
        <v>2076</v>
      </c>
      <c r="EB2" s="98">
        <v>2077</v>
      </c>
      <c r="EC2" s="98">
        <v>2078</v>
      </c>
      <c r="ED2" s="98">
        <v>2079</v>
      </c>
      <c r="EE2" s="98">
        <v>2080</v>
      </c>
      <c r="EF2" s="98">
        <v>2081</v>
      </c>
      <c r="EG2" s="98">
        <v>2082</v>
      </c>
      <c r="EH2" s="98">
        <v>2083</v>
      </c>
      <c r="EI2" s="98">
        <v>2084</v>
      </c>
      <c r="EJ2" s="98">
        <v>2085</v>
      </c>
      <c r="EK2" s="98">
        <v>2086</v>
      </c>
      <c r="EL2" s="98">
        <v>2087</v>
      </c>
      <c r="EM2" s="98">
        <v>2088</v>
      </c>
      <c r="EN2" s="98">
        <v>2089</v>
      </c>
      <c r="EO2" s="98">
        <v>2090</v>
      </c>
      <c r="EP2" s="98">
        <v>2091</v>
      </c>
      <c r="EQ2" s="98">
        <v>2092</v>
      </c>
      <c r="ER2" s="98">
        <v>2093</v>
      </c>
    </row>
    <row r="3" spans="1:148" x14ac:dyDescent="0.3">
      <c r="A3" t="s">
        <v>114</v>
      </c>
      <c r="B3" s="200">
        <v>0.11</v>
      </c>
      <c r="C3" s="201">
        <v>1</v>
      </c>
      <c r="D3" s="58">
        <f>WAR!D4</f>
        <v>258392</v>
      </c>
      <c r="E3" s="58">
        <f t="shared" ref="E3:AJ3" si="4">(D3*(1+$B3))+((D$33*$C3)*(1+$B3))</f>
        <v>286815.12000000005</v>
      </c>
      <c r="F3" s="58">
        <f t="shared" si="4"/>
        <v>318364.78320000006</v>
      </c>
      <c r="G3" s="58">
        <f t="shared" si="4"/>
        <v>353384.9093520001</v>
      </c>
      <c r="H3" s="58">
        <f t="shared" si="4"/>
        <v>392257.24938072014</v>
      </c>
      <c r="I3" s="58">
        <f t="shared" si="4"/>
        <v>435405.54681259941</v>
      </c>
      <c r="J3" s="58">
        <f t="shared" si="4"/>
        <v>483300.1569619854</v>
      </c>
      <c r="K3" s="58">
        <f t="shared" si="4"/>
        <v>536463.17422780383</v>
      </c>
      <c r="L3" s="58">
        <f t="shared" si="4"/>
        <v>595474.12339286227</v>
      </c>
      <c r="M3" s="58">
        <f t="shared" si="4"/>
        <v>660976.27696607716</v>
      </c>
      <c r="N3" s="58">
        <f t="shared" si="4"/>
        <v>733683.66743234568</v>
      </c>
      <c r="O3" s="58">
        <f t="shared" si="4"/>
        <v>814388.87084990379</v>
      </c>
      <c r="P3" s="58">
        <f t="shared" si="4"/>
        <v>903971.64664339332</v>
      </c>
      <c r="Q3" s="58">
        <f t="shared" si="4"/>
        <v>1003408.5277741667</v>
      </c>
      <c r="R3" s="58">
        <f t="shared" si="4"/>
        <v>1113783.4658293251</v>
      </c>
      <c r="S3" s="58">
        <f t="shared" si="4"/>
        <v>1236299.6470705511</v>
      </c>
      <c r="T3" s="58">
        <f t="shared" si="4"/>
        <v>1372292.6082483118</v>
      </c>
      <c r="U3" s="58">
        <f t="shared" si="4"/>
        <v>1523244.7951556263</v>
      </c>
      <c r="V3" s="58">
        <f t="shared" si="4"/>
        <v>1690801.7226227452</v>
      </c>
      <c r="W3" s="58">
        <f t="shared" si="4"/>
        <v>1876789.9121112474</v>
      </c>
      <c r="X3" s="58">
        <f t="shared" si="4"/>
        <v>2083236.8024434848</v>
      </c>
      <c r="Y3" s="58">
        <f t="shared" si="4"/>
        <v>2312392.8507122681</v>
      </c>
      <c r="Z3" s="58">
        <f t="shared" si="4"/>
        <v>2566756.0642906181</v>
      </c>
      <c r="AA3" s="58">
        <f t="shared" si="4"/>
        <v>2849099.2313625864</v>
      </c>
      <c r="AB3" s="58">
        <f t="shared" si="4"/>
        <v>3162500.1468124711</v>
      </c>
      <c r="AC3" s="58">
        <f t="shared" si="4"/>
        <v>3510375.1629618434</v>
      </c>
      <c r="AD3" s="58">
        <f t="shared" si="4"/>
        <v>3896516.4308876465</v>
      </c>
      <c r="AE3" s="58">
        <f t="shared" si="4"/>
        <v>4325133.2382852882</v>
      </c>
      <c r="AF3" s="58">
        <f t="shared" si="4"/>
        <v>4800897.89449667</v>
      </c>
      <c r="AG3" s="58">
        <f t="shared" si="4"/>
        <v>5328996.6628913041</v>
      </c>
      <c r="AH3" s="58">
        <f t="shared" si="4"/>
        <v>5915186.2958093481</v>
      </c>
      <c r="AI3" s="58">
        <f t="shared" si="4"/>
        <v>6565856.7883483768</v>
      </c>
      <c r="AJ3" s="58">
        <f t="shared" si="4"/>
        <v>7288101.0350666987</v>
      </c>
      <c r="AK3" s="58">
        <f t="shared" ref="AK3:BP3" si="5">(AJ3*(1+$B3))+((AJ$33*$C3)*(1+$B3))</f>
        <v>8089792.148924036</v>
      </c>
      <c r="AL3" s="58">
        <f t="shared" si="5"/>
        <v>8979669.2853056807</v>
      </c>
      <c r="AM3" s="58">
        <f t="shared" si="5"/>
        <v>9967432.9066893067</v>
      </c>
      <c r="AN3" s="58">
        <f t="shared" si="5"/>
        <v>11063850.526425131</v>
      </c>
      <c r="AO3" s="58">
        <f t="shared" si="5"/>
        <v>12280874.084331896</v>
      </c>
      <c r="AP3" s="58">
        <f t="shared" si="5"/>
        <v>13631770.233608406</v>
      </c>
      <c r="AQ3" s="58">
        <f t="shared" si="5"/>
        <v>15131264.959305331</v>
      </c>
      <c r="AR3" s="58">
        <f t="shared" si="5"/>
        <v>16795704.10482892</v>
      </c>
      <c r="AS3" s="58">
        <f t="shared" si="5"/>
        <v>18643231.556360103</v>
      </c>
      <c r="AT3" s="58">
        <f t="shared" si="5"/>
        <v>20693987.027559716</v>
      </c>
      <c r="AU3" s="58">
        <f t="shared" si="5"/>
        <v>22970325.600591287</v>
      </c>
      <c r="AV3" s="58">
        <f t="shared" si="5"/>
        <v>25497061.41665633</v>
      </c>
      <c r="AW3" s="58">
        <f t="shared" si="5"/>
        <v>28301738.172488529</v>
      </c>
      <c r="AX3" s="58">
        <f t="shared" si="5"/>
        <v>31414929.371462271</v>
      </c>
      <c r="AY3" s="58">
        <f t="shared" si="5"/>
        <v>34870571.602323122</v>
      </c>
      <c r="AZ3" s="58">
        <f t="shared" si="5"/>
        <v>38706334.478578672</v>
      </c>
      <c r="BA3" s="58">
        <f t="shared" si="5"/>
        <v>42964031.271222331</v>
      </c>
      <c r="BB3" s="58">
        <f t="shared" si="5"/>
        <v>47690074.711056791</v>
      </c>
      <c r="BC3" s="58">
        <f t="shared" si="5"/>
        <v>52935982.929273047</v>
      </c>
      <c r="BD3" s="58">
        <f t="shared" si="5"/>
        <v>58758941.051493086</v>
      </c>
      <c r="BE3" s="58">
        <f t="shared" si="5"/>
        <v>65222424.567157328</v>
      </c>
      <c r="BF3" s="58">
        <f t="shared" si="5"/>
        <v>72396891.269544646</v>
      </c>
      <c r="BG3" s="58">
        <f t="shared" si="5"/>
        <v>80360549.309194565</v>
      </c>
      <c r="BH3" s="58">
        <f t="shared" si="5"/>
        <v>89200209.733205974</v>
      </c>
      <c r="BI3" s="58">
        <f t="shared" si="5"/>
        <v>99012232.803858638</v>
      </c>
      <c r="BJ3" s="58">
        <f t="shared" si="5"/>
        <v>109903578.41228309</v>
      </c>
      <c r="BK3" s="58">
        <f t="shared" si="5"/>
        <v>121992972.03763424</v>
      </c>
      <c r="BL3" s="58">
        <f t="shared" si="5"/>
        <v>135412198.96177402</v>
      </c>
      <c r="BM3" s="58">
        <f t="shared" si="5"/>
        <v>150307540.84756917</v>
      </c>
      <c r="BN3" s="58">
        <f t="shared" si="5"/>
        <v>166841370.34080181</v>
      </c>
      <c r="BO3" s="58">
        <f t="shared" si="5"/>
        <v>185193921.07829002</v>
      </c>
      <c r="BP3" s="58">
        <f t="shared" si="5"/>
        <v>205565252.39690194</v>
      </c>
      <c r="BQ3" s="58">
        <f t="shared" ref="BQ3:BW3" si="6">(BP3*(1+$B3))+((BP$33*$C3)*(1+$B3))</f>
        <v>228177430.16056117</v>
      </c>
      <c r="BR3" s="58">
        <f t="shared" si="6"/>
        <v>253276947.47822294</v>
      </c>
      <c r="BS3" s="58">
        <f t="shared" si="6"/>
        <v>281137411.70082748</v>
      </c>
      <c r="BT3" s="58">
        <f t="shared" si="6"/>
        <v>312062526.98791856</v>
      </c>
      <c r="BU3" s="58">
        <f t="shared" si="6"/>
        <v>346389404.95658964</v>
      </c>
      <c r="BV3" s="58">
        <f t="shared" si="6"/>
        <v>384492239.50181454</v>
      </c>
      <c r="BW3" s="58">
        <f t="shared" si="6"/>
        <v>426786385.84701419</v>
      </c>
      <c r="BX3" s="58"/>
      <c r="BY3" s="200">
        <f t="shared" ref="BY3:BY27" si="7">IFERROR(D3/D$36,0)</f>
        <v>0</v>
      </c>
      <c r="BZ3" s="200">
        <f t="shared" ref="BZ3:BZ27" si="8">IFERROR(E3/E$36,0)</f>
        <v>0</v>
      </c>
      <c r="CA3" s="200">
        <f t="shared" ref="CA3:CA27" si="9">IFERROR(F3/F$36,0)</f>
        <v>0</v>
      </c>
      <c r="CB3" s="200">
        <f t="shared" ref="CB3:CB27" si="10">IFERROR(G3/G$36,0)</f>
        <v>0</v>
      </c>
      <c r="CC3" s="200">
        <f t="shared" ref="CC3:CC27" si="11">IFERROR(H3/H$36,0)</f>
        <v>0</v>
      </c>
      <c r="CD3" s="200">
        <f t="shared" ref="CD3:CD27" si="12">IFERROR(I3/I$36,0)</f>
        <v>0</v>
      </c>
      <c r="CE3" s="200">
        <f t="shared" ref="CE3:CE27" si="13">IFERROR(J3/J$36,0)</f>
        <v>0</v>
      </c>
      <c r="CF3" s="200">
        <f t="shared" ref="CF3:CF27" si="14">IFERROR(K3/K$36,0)</f>
        <v>0</v>
      </c>
      <c r="CG3" s="200">
        <f t="shared" ref="CG3:CG27" si="15">IFERROR(L3/L$36,0)</f>
        <v>0</v>
      </c>
      <c r="CH3" s="200">
        <f t="shared" ref="CH3:CH27" si="16">IFERROR(M3/M$36,0)</f>
        <v>0</v>
      </c>
      <c r="CI3" s="200">
        <f t="shared" ref="CI3:CI27" si="17">IFERROR(N3/N$36,0)</f>
        <v>0</v>
      </c>
      <c r="CJ3" s="200">
        <f t="shared" ref="CJ3:CJ27" si="18">IFERROR(O3/O$36,0)</f>
        <v>0</v>
      </c>
      <c r="CK3" s="200">
        <f t="shared" ref="CK3:CK27" si="19">IFERROR(P3/P$36,0)</f>
        <v>0</v>
      </c>
      <c r="CL3" s="200">
        <f t="shared" ref="CL3:CL27" si="20">IFERROR(Q3/Q$36,0)</f>
        <v>0</v>
      </c>
      <c r="CM3" s="200">
        <f t="shared" ref="CM3:CM27" si="21">IFERROR(R3/R$36,0)</f>
        <v>0</v>
      </c>
      <c r="CN3" s="200">
        <f t="shared" ref="CN3:CN27" si="22">IFERROR(S3/S$36,0)</f>
        <v>0</v>
      </c>
      <c r="CO3" s="200">
        <f t="shared" ref="CO3:CO27" si="23">IFERROR(T3/T$36,0)</f>
        <v>0</v>
      </c>
      <c r="CP3" s="200">
        <f t="shared" ref="CP3:CP27" si="24">IFERROR(U3/U$36,0)</f>
        <v>0</v>
      </c>
      <c r="CQ3" s="200">
        <f t="shared" ref="CQ3:CQ27" si="25">IFERROR(V3/V$36,0)</f>
        <v>0</v>
      </c>
      <c r="CR3" s="200">
        <f t="shared" ref="CR3:CR27" si="26">IFERROR(W3/W$36,0)</f>
        <v>0</v>
      </c>
      <c r="CS3" s="200">
        <f t="shared" ref="CS3:CS27" si="27">IFERROR(X3/X$36,0)</f>
        <v>0</v>
      </c>
      <c r="CT3" s="200">
        <f t="shared" ref="CT3:CT27" si="28">IFERROR(Y3/Y$36,0)</f>
        <v>0</v>
      </c>
      <c r="CU3" s="200">
        <f t="shared" ref="CU3:CU27" si="29">IFERROR(Z3/Z$36,0)</f>
        <v>0</v>
      </c>
      <c r="CV3" s="200">
        <f t="shared" ref="CV3:CV27" si="30">IFERROR(AA3/AA$36,0)</f>
        <v>0</v>
      </c>
      <c r="CW3" s="200">
        <f t="shared" ref="CW3:CW27" si="31">IFERROR(AB3/AB$36,0)</f>
        <v>0</v>
      </c>
      <c r="CX3" s="200">
        <f t="shared" ref="CX3:CX27" si="32">IFERROR(AC3/AC$36,0)</f>
        <v>0</v>
      </c>
      <c r="CY3" s="200">
        <f t="shared" ref="CY3:CY27" si="33">IFERROR(AD3/AD$36,0)</f>
        <v>0</v>
      </c>
      <c r="CZ3" s="200">
        <f t="shared" ref="CZ3:CZ27" si="34">IFERROR(AE3/AE$36,0)</f>
        <v>0</v>
      </c>
      <c r="DA3" s="200">
        <f t="shared" ref="DA3:DA27" si="35">IFERROR(AF3/AF$36,0)</f>
        <v>0</v>
      </c>
      <c r="DB3" s="200">
        <f t="shared" ref="DB3:DB27" si="36">IFERROR(AG3/AG$36,0)</f>
        <v>0</v>
      </c>
      <c r="DC3" s="200">
        <f t="shared" ref="DC3:DC27" si="37">IFERROR(AH3/AH$36,0)</f>
        <v>0</v>
      </c>
      <c r="DD3" s="200">
        <f t="shared" ref="DD3:DD27" si="38">IFERROR(AI3/AI$36,0)</f>
        <v>0</v>
      </c>
      <c r="DE3" s="200">
        <f t="shared" ref="DE3:DE27" si="39">IFERROR(AJ3/AJ$36,0)</f>
        <v>0</v>
      </c>
      <c r="DF3" s="200">
        <f t="shared" ref="DF3:DF27" si="40">IFERROR(AK3/AK$36,0)</f>
        <v>0</v>
      </c>
      <c r="DG3" s="200">
        <f t="shared" ref="DG3:DG27" si="41">IFERROR(AL3/AL$36,0)</f>
        <v>0</v>
      </c>
      <c r="DH3" s="200">
        <f t="shared" ref="DH3:DH27" si="42">IFERROR(AM3/AM$36,0)</f>
        <v>0</v>
      </c>
      <c r="DI3" s="200">
        <f t="shared" ref="DI3:DI27" si="43">IFERROR(AN3/AN$36,0)</f>
        <v>0</v>
      </c>
      <c r="DJ3" s="200">
        <f t="shared" ref="DJ3:DJ27" si="44">IFERROR(AO3/AO$36,0)</f>
        <v>0</v>
      </c>
      <c r="DK3" s="200">
        <f t="shared" ref="DK3:DK27" si="45">IFERROR(AP3/AP$36,0)</f>
        <v>0</v>
      </c>
      <c r="DL3" s="200">
        <f t="shared" ref="DL3:DL27" si="46">IFERROR(AQ3/AQ$36,0)</f>
        <v>0</v>
      </c>
      <c r="DM3" s="200">
        <f t="shared" ref="DM3:DM27" si="47">IFERROR(AR3/AR$36,0)</f>
        <v>0</v>
      </c>
      <c r="DN3" s="200">
        <f t="shared" ref="DN3:DN27" si="48">IFERROR(AS3/AS$36,0)</f>
        <v>0</v>
      </c>
      <c r="DO3" s="200">
        <f t="shared" ref="DO3:DO27" si="49">IFERROR(AT3/AT$36,0)</f>
        <v>0</v>
      </c>
      <c r="DP3" s="200">
        <f t="shared" ref="DP3:DP27" si="50">IFERROR(AU3/AU$36,0)</f>
        <v>0</v>
      </c>
      <c r="DQ3" s="200">
        <f t="shared" ref="DQ3:DQ27" si="51">IFERROR(AV3/AV$36,0)</f>
        <v>0</v>
      </c>
      <c r="DR3" s="200">
        <f t="shared" ref="DR3:DR27" si="52">IFERROR(AW3/AW$36,0)</f>
        <v>0</v>
      </c>
      <c r="DS3" s="200">
        <f t="shared" ref="DS3:DS27" si="53">IFERROR(AX3/AX$36,0)</f>
        <v>0</v>
      </c>
      <c r="DT3" s="200">
        <f t="shared" ref="DT3:DT27" si="54">IFERROR(AY3/AY$36,0)</f>
        <v>0</v>
      </c>
      <c r="DU3" s="200">
        <f t="shared" ref="DU3:DU27" si="55">IFERROR(AZ3/AZ$36,0)</f>
        <v>0</v>
      </c>
      <c r="DV3" s="200">
        <f t="shared" ref="DV3:DV27" si="56">IFERROR(BA3/BA$36,0)</f>
        <v>0</v>
      </c>
      <c r="DW3" s="200">
        <f t="shared" ref="DW3:DW27" si="57">IFERROR(BB3/BB$36,0)</f>
        <v>0</v>
      </c>
      <c r="DX3" s="200">
        <f t="shared" ref="DX3:DX27" si="58">IFERROR(BC3/BC$36,0)</f>
        <v>0</v>
      </c>
      <c r="DY3" s="200">
        <f t="shared" ref="DY3:DY27" si="59">IFERROR(BD3/BD$36,0)</f>
        <v>0</v>
      </c>
      <c r="DZ3" s="200">
        <f t="shared" ref="DZ3:DZ27" si="60">IFERROR(BE3/BE$36,0)</f>
        <v>0</v>
      </c>
      <c r="EA3" s="200">
        <f t="shared" ref="EA3:EA27" si="61">IFERROR(BF3/BF$36,0)</f>
        <v>0</v>
      </c>
      <c r="EB3" s="200">
        <f t="shared" ref="EB3:EB27" si="62">IFERROR(BG3/BG$36,0)</f>
        <v>0</v>
      </c>
      <c r="EC3" s="200">
        <f t="shared" ref="EC3:EC27" si="63">IFERROR(BH3/BH$36,0)</f>
        <v>0</v>
      </c>
      <c r="ED3" s="200">
        <f t="shared" ref="ED3:ED27" si="64">IFERROR(BI3/BI$36,0)</f>
        <v>0</v>
      </c>
      <c r="EE3" s="200">
        <f t="shared" ref="EE3:EE27" si="65">IFERROR(BJ3/BJ$36,0)</f>
        <v>0</v>
      </c>
      <c r="EF3" s="200">
        <f t="shared" ref="EF3:EF27" si="66">IFERROR(BK3/BK$36,0)</f>
        <v>0</v>
      </c>
      <c r="EG3" s="200">
        <f t="shared" ref="EG3:EG27" si="67">IFERROR(BL3/BL$36,0)</f>
        <v>0</v>
      </c>
      <c r="EH3" s="200">
        <f t="shared" ref="EH3:EH27" si="68">IFERROR(BM3/BM$36,0)</f>
        <v>0</v>
      </c>
      <c r="EI3" s="200">
        <f t="shared" ref="EI3:EI27" si="69">IFERROR(BN3/BN$36,0)</f>
        <v>0</v>
      </c>
      <c r="EJ3" s="200">
        <f t="shared" ref="EJ3:EJ27" si="70">IFERROR(BO3/BO$36,0)</f>
        <v>0</v>
      </c>
      <c r="EK3" s="200">
        <f t="shared" ref="EK3:EK27" si="71">IFERROR(BP3/BP$36,0)</f>
        <v>0</v>
      </c>
      <c r="EL3" s="200">
        <f t="shared" ref="EL3:EL27" si="72">IFERROR(BQ3/BQ$36,0)</f>
        <v>0</v>
      </c>
      <c r="EM3" s="200">
        <f t="shared" ref="EM3:EM27" si="73">IFERROR(BR3/BR$36,0)</f>
        <v>0</v>
      </c>
      <c r="EN3" s="200">
        <f t="shared" ref="EN3:EN27" si="74">IFERROR(BS3/BS$36,0)</f>
        <v>0</v>
      </c>
      <c r="EO3" s="200">
        <f t="shared" ref="EO3:EO27" si="75">IFERROR(BT3/BT$36,0)</f>
        <v>0</v>
      </c>
      <c r="EP3" s="200">
        <f t="shared" ref="EP3:EP27" si="76">IFERROR(BU3/BU$36,0)</f>
        <v>0</v>
      </c>
      <c r="EQ3" s="200">
        <f t="shared" ref="EQ3:EQ27" si="77">IFERROR(BV3/BV$36,0)</f>
        <v>0</v>
      </c>
      <c r="ER3" s="200">
        <f t="shared" ref="ER3:ER27" si="78">IFERROR(BW3/BW$36,0)</f>
        <v>0</v>
      </c>
    </row>
    <row r="4" spans="1:148" x14ac:dyDescent="0.3">
      <c r="A4" t="s">
        <v>115</v>
      </c>
      <c r="B4" s="200">
        <v>0.08</v>
      </c>
      <c r="D4" s="58">
        <f>WAR!D5</f>
        <v>600000</v>
      </c>
      <c r="E4" s="58">
        <f t="shared" ref="E4:AJ4" si="79">(D4*(1+$B4))+((D$33*$C4)*(1+$B4))</f>
        <v>648000</v>
      </c>
      <c r="F4" s="58">
        <f t="shared" si="79"/>
        <v>699840</v>
      </c>
      <c r="G4" s="58">
        <f t="shared" si="79"/>
        <v>755827.20000000007</v>
      </c>
      <c r="H4" s="58">
        <f t="shared" si="79"/>
        <v>816293.37600000016</v>
      </c>
      <c r="I4" s="58">
        <f t="shared" si="79"/>
        <v>881596.84608000028</v>
      </c>
      <c r="J4" s="58">
        <f t="shared" si="79"/>
        <v>952124.59376640036</v>
      </c>
      <c r="K4" s="58">
        <f t="shared" si="79"/>
        <v>1028294.5612677125</v>
      </c>
      <c r="L4" s="58">
        <f t="shared" si="79"/>
        <v>1110558.1261691295</v>
      </c>
      <c r="M4" s="58">
        <f t="shared" si="79"/>
        <v>1199402.77626266</v>
      </c>
      <c r="N4" s="58">
        <f t="shared" si="79"/>
        <v>1295354.998363673</v>
      </c>
      <c r="O4" s="58">
        <f t="shared" si="79"/>
        <v>1398983.3982327669</v>
      </c>
      <c r="P4" s="58">
        <f t="shared" si="79"/>
        <v>1510902.0700913884</v>
      </c>
      <c r="Q4" s="58">
        <f t="shared" si="79"/>
        <v>1631774.2356986997</v>
      </c>
      <c r="R4" s="58">
        <f t="shared" si="79"/>
        <v>1762316.1745545957</v>
      </c>
      <c r="S4" s="58">
        <f t="shared" si="79"/>
        <v>1903301.4685189635</v>
      </c>
      <c r="T4" s="58">
        <f t="shared" si="79"/>
        <v>2055565.5860004807</v>
      </c>
      <c r="U4" s="58">
        <f t="shared" si="79"/>
        <v>2220010.8328805193</v>
      </c>
      <c r="V4" s="58">
        <f t="shared" si="79"/>
        <v>2397611.6995109608</v>
      </c>
      <c r="W4" s="58">
        <f t="shared" si="79"/>
        <v>2589420.6354718381</v>
      </c>
      <c r="X4" s="58">
        <f t="shared" si="79"/>
        <v>2796574.2863095854</v>
      </c>
      <c r="Y4" s="58">
        <f t="shared" si="79"/>
        <v>3020300.2292143526</v>
      </c>
      <c r="Z4" s="58">
        <f t="shared" si="79"/>
        <v>3261924.2475515008</v>
      </c>
      <c r="AA4" s="58">
        <f t="shared" si="79"/>
        <v>3522878.1873556213</v>
      </c>
      <c r="AB4" s="58">
        <f t="shared" si="79"/>
        <v>3804708.4423440713</v>
      </c>
      <c r="AC4" s="58">
        <f t="shared" si="79"/>
        <v>4109085.1177315973</v>
      </c>
      <c r="AD4" s="58">
        <f t="shared" si="79"/>
        <v>4437811.9271501256</v>
      </c>
      <c r="AE4" s="58">
        <f t="shared" si="79"/>
        <v>4792836.8813221361</v>
      </c>
      <c r="AF4" s="58">
        <f t="shared" si="79"/>
        <v>5176263.8318279078</v>
      </c>
      <c r="AG4" s="58">
        <f t="shared" si="79"/>
        <v>5590364.9383741412</v>
      </c>
      <c r="AH4" s="58">
        <f t="shared" si="79"/>
        <v>6037594.1334440727</v>
      </c>
      <c r="AI4" s="58">
        <f t="shared" si="79"/>
        <v>6520601.6641195994</v>
      </c>
      <c r="AJ4" s="58">
        <f t="shared" si="79"/>
        <v>7042249.7972491682</v>
      </c>
      <c r="AK4" s="58">
        <f t="shared" ref="AK4:BP4" si="80">(AJ4*(1+$B4))+((AJ$33*$C4)*(1+$B4))</f>
        <v>7605629.7810291024</v>
      </c>
      <c r="AL4" s="58">
        <f t="shared" si="80"/>
        <v>8214080.1635114308</v>
      </c>
      <c r="AM4" s="58">
        <f t="shared" si="80"/>
        <v>8871206.5765923467</v>
      </c>
      <c r="AN4" s="58">
        <f t="shared" si="80"/>
        <v>9580903.1027197354</v>
      </c>
      <c r="AO4" s="58">
        <f t="shared" si="80"/>
        <v>10347375.350937314</v>
      </c>
      <c r="AP4" s="58">
        <f t="shared" si="80"/>
        <v>11175165.3790123</v>
      </c>
      <c r="AQ4" s="58">
        <f t="shared" si="80"/>
        <v>12069178.609333284</v>
      </c>
      <c r="AR4" s="58">
        <f t="shared" si="80"/>
        <v>13034712.898079948</v>
      </c>
      <c r="AS4" s="58">
        <f t="shared" si="80"/>
        <v>14077489.929926345</v>
      </c>
      <c r="AT4" s="58">
        <f t="shared" si="80"/>
        <v>15203689.124320453</v>
      </c>
      <c r="AU4" s="58">
        <f t="shared" si="80"/>
        <v>16419984.254266091</v>
      </c>
      <c r="AV4" s="58">
        <f t="shared" si="80"/>
        <v>17733582.994607378</v>
      </c>
      <c r="AW4" s="58">
        <f t="shared" si="80"/>
        <v>19152269.634175967</v>
      </c>
      <c r="AX4" s="58">
        <f t="shared" si="80"/>
        <v>20684451.204910047</v>
      </c>
      <c r="AY4" s="58">
        <f t="shared" si="80"/>
        <v>22339207.301302854</v>
      </c>
      <c r="AZ4" s="58">
        <f t="shared" si="80"/>
        <v>24126343.885407083</v>
      </c>
      <c r="BA4" s="58">
        <f t="shared" si="80"/>
        <v>26056451.39623965</v>
      </c>
      <c r="BB4" s="58">
        <f t="shared" si="80"/>
        <v>28140967.507938825</v>
      </c>
      <c r="BC4" s="58">
        <f t="shared" si="80"/>
        <v>30392244.908573933</v>
      </c>
      <c r="BD4" s="58">
        <f t="shared" si="80"/>
        <v>32823624.501259848</v>
      </c>
      <c r="BE4" s="58">
        <f t="shared" si="80"/>
        <v>35449514.461360641</v>
      </c>
      <c r="BF4" s="58">
        <f t="shared" si="80"/>
        <v>38285475.618269496</v>
      </c>
      <c r="BG4" s="58">
        <f t="shared" si="80"/>
        <v>41348313.667731062</v>
      </c>
      <c r="BH4" s="58">
        <f t="shared" si="80"/>
        <v>44656178.761149548</v>
      </c>
      <c r="BI4" s="58">
        <f t="shared" si="80"/>
        <v>48228673.062041514</v>
      </c>
      <c r="BJ4" s="58">
        <f t="shared" si="80"/>
        <v>52086966.907004841</v>
      </c>
      <c r="BK4" s="58">
        <f t="shared" si="80"/>
        <v>56253924.259565234</v>
      </c>
      <c r="BL4" s="58">
        <f t="shared" si="80"/>
        <v>60754238.200330459</v>
      </c>
      <c r="BM4" s="58">
        <f t="shared" si="80"/>
        <v>65614577.256356902</v>
      </c>
      <c r="BN4" s="58">
        <f t="shared" si="80"/>
        <v>70863743.436865464</v>
      </c>
      <c r="BO4" s="58">
        <f t="shared" si="80"/>
        <v>76532842.911814705</v>
      </c>
      <c r="BP4" s="58">
        <f t="shared" si="80"/>
        <v>82655470.344759881</v>
      </c>
      <c r="BQ4" s="58">
        <f t="shared" ref="BQ4:BW4" si="81">(BP4*(1+$B4))+((BP$33*$C4)*(1+$B4))</f>
        <v>89267907.972340673</v>
      </c>
      <c r="BR4" s="58">
        <f t="shared" si="81"/>
        <v>96409340.610127941</v>
      </c>
      <c r="BS4" s="58">
        <f t="shared" si="81"/>
        <v>104122087.85893819</v>
      </c>
      <c r="BT4" s="58">
        <f t="shared" si="81"/>
        <v>112451854.88765325</v>
      </c>
      <c r="BU4" s="58">
        <f t="shared" si="81"/>
        <v>121448003.27866551</v>
      </c>
      <c r="BV4" s="58">
        <f t="shared" si="81"/>
        <v>131163843.54095876</v>
      </c>
      <c r="BW4" s="58">
        <f t="shared" si="81"/>
        <v>141656951.02423549</v>
      </c>
      <c r="BX4" s="58"/>
      <c r="BY4" s="200">
        <f t="shared" si="7"/>
        <v>0</v>
      </c>
      <c r="BZ4" s="200">
        <f>IFERROR(E4/E$36,0)</f>
        <v>0</v>
      </c>
      <c r="CA4" s="200">
        <f t="shared" si="9"/>
        <v>0</v>
      </c>
      <c r="CB4" s="200">
        <f t="shared" si="10"/>
        <v>0</v>
      </c>
      <c r="CC4" s="200">
        <f t="shared" si="11"/>
        <v>0</v>
      </c>
      <c r="CD4" s="200">
        <f t="shared" si="12"/>
        <v>0</v>
      </c>
      <c r="CE4" s="200">
        <f t="shared" si="13"/>
        <v>0</v>
      </c>
      <c r="CF4" s="200">
        <f t="shared" si="14"/>
        <v>0</v>
      </c>
      <c r="CG4" s="200">
        <f t="shared" si="15"/>
        <v>0</v>
      </c>
      <c r="CH4" s="200">
        <f t="shared" si="16"/>
        <v>0</v>
      </c>
      <c r="CI4" s="200">
        <f t="shared" si="17"/>
        <v>0</v>
      </c>
      <c r="CJ4" s="200">
        <f t="shared" si="18"/>
        <v>0</v>
      </c>
      <c r="CK4" s="200">
        <f t="shared" si="19"/>
        <v>0</v>
      </c>
      <c r="CL4" s="200">
        <f t="shared" si="20"/>
        <v>0</v>
      </c>
      <c r="CM4" s="200">
        <f t="shared" si="21"/>
        <v>0</v>
      </c>
      <c r="CN4" s="200">
        <f t="shared" si="22"/>
        <v>0</v>
      </c>
      <c r="CO4" s="200">
        <f t="shared" si="23"/>
        <v>0</v>
      </c>
      <c r="CP4" s="200">
        <f t="shared" si="24"/>
        <v>0</v>
      </c>
      <c r="CQ4" s="200">
        <f t="shared" si="25"/>
        <v>0</v>
      </c>
      <c r="CR4" s="200">
        <f t="shared" si="26"/>
        <v>0</v>
      </c>
      <c r="CS4" s="200">
        <f t="shared" si="27"/>
        <v>0</v>
      </c>
      <c r="CT4" s="200">
        <f t="shared" si="28"/>
        <v>0</v>
      </c>
      <c r="CU4" s="200">
        <f t="shared" si="29"/>
        <v>0</v>
      </c>
      <c r="CV4" s="200">
        <f t="shared" si="30"/>
        <v>0</v>
      </c>
      <c r="CW4" s="200">
        <f t="shared" si="31"/>
        <v>0</v>
      </c>
      <c r="CX4" s="200">
        <f t="shared" si="32"/>
        <v>0</v>
      </c>
      <c r="CY4" s="200">
        <f t="shared" si="33"/>
        <v>0</v>
      </c>
      <c r="CZ4" s="200">
        <f t="shared" si="34"/>
        <v>0</v>
      </c>
      <c r="DA4" s="200">
        <f t="shared" si="35"/>
        <v>0</v>
      </c>
      <c r="DB4" s="200">
        <f t="shared" si="36"/>
        <v>0</v>
      </c>
      <c r="DC4" s="200">
        <f t="shared" si="37"/>
        <v>0</v>
      </c>
      <c r="DD4" s="200">
        <f t="shared" si="38"/>
        <v>0</v>
      </c>
      <c r="DE4" s="200">
        <f t="shared" si="39"/>
        <v>0</v>
      </c>
      <c r="DF4" s="200">
        <f t="shared" si="40"/>
        <v>0</v>
      </c>
      <c r="DG4" s="200">
        <f t="shared" si="41"/>
        <v>0</v>
      </c>
      <c r="DH4" s="200">
        <f t="shared" si="42"/>
        <v>0</v>
      </c>
      <c r="DI4" s="200">
        <f t="shared" si="43"/>
        <v>0</v>
      </c>
      <c r="DJ4" s="200">
        <f t="shared" si="44"/>
        <v>0</v>
      </c>
      <c r="DK4" s="200">
        <f t="shared" si="45"/>
        <v>0</v>
      </c>
      <c r="DL4" s="200">
        <f t="shared" si="46"/>
        <v>0</v>
      </c>
      <c r="DM4" s="200">
        <f t="shared" si="47"/>
        <v>0</v>
      </c>
      <c r="DN4" s="200">
        <f t="shared" si="48"/>
        <v>0</v>
      </c>
      <c r="DO4" s="200">
        <f t="shared" si="49"/>
        <v>0</v>
      </c>
      <c r="DP4" s="200">
        <f t="shared" si="50"/>
        <v>0</v>
      </c>
      <c r="DQ4" s="200">
        <f t="shared" si="51"/>
        <v>0</v>
      </c>
      <c r="DR4" s="200">
        <f t="shared" si="52"/>
        <v>0</v>
      </c>
      <c r="DS4" s="200">
        <f t="shared" si="53"/>
        <v>0</v>
      </c>
      <c r="DT4" s="200">
        <f t="shared" si="54"/>
        <v>0</v>
      </c>
      <c r="DU4" s="200">
        <f t="shared" si="55"/>
        <v>0</v>
      </c>
      <c r="DV4" s="200">
        <f t="shared" si="56"/>
        <v>0</v>
      </c>
      <c r="DW4" s="200">
        <f t="shared" si="57"/>
        <v>0</v>
      </c>
      <c r="DX4" s="200">
        <f t="shared" si="58"/>
        <v>0</v>
      </c>
      <c r="DY4" s="200">
        <f t="shared" si="59"/>
        <v>0</v>
      </c>
      <c r="DZ4" s="200">
        <f t="shared" si="60"/>
        <v>0</v>
      </c>
      <c r="EA4" s="200">
        <f t="shared" si="61"/>
        <v>0</v>
      </c>
      <c r="EB4" s="200">
        <f t="shared" si="62"/>
        <v>0</v>
      </c>
      <c r="EC4" s="200">
        <f t="shared" si="63"/>
        <v>0</v>
      </c>
      <c r="ED4" s="200">
        <f t="shared" si="64"/>
        <v>0</v>
      </c>
      <c r="EE4" s="200">
        <f t="shared" si="65"/>
        <v>0</v>
      </c>
      <c r="EF4" s="200">
        <f t="shared" si="66"/>
        <v>0</v>
      </c>
      <c r="EG4" s="200">
        <f t="shared" si="67"/>
        <v>0</v>
      </c>
      <c r="EH4" s="200">
        <f t="shared" si="68"/>
        <v>0</v>
      </c>
      <c r="EI4" s="200">
        <f t="shared" si="69"/>
        <v>0</v>
      </c>
      <c r="EJ4" s="200">
        <f t="shared" si="70"/>
        <v>0</v>
      </c>
      <c r="EK4" s="200">
        <f t="shared" si="71"/>
        <v>0</v>
      </c>
      <c r="EL4" s="200">
        <f t="shared" si="72"/>
        <v>0</v>
      </c>
      <c r="EM4" s="200">
        <f t="shared" si="73"/>
        <v>0</v>
      </c>
      <c r="EN4" s="200">
        <f t="shared" si="74"/>
        <v>0</v>
      </c>
      <c r="EO4" s="200">
        <f t="shared" si="75"/>
        <v>0</v>
      </c>
      <c r="EP4" s="200">
        <f t="shared" si="76"/>
        <v>0</v>
      </c>
      <c r="EQ4" s="200">
        <f t="shared" si="77"/>
        <v>0</v>
      </c>
      <c r="ER4" s="200">
        <f t="shared" si="78"/>
        <v>0</v>
      </c>
    </row>
    <row r="5" spans="1:148" x14ac:dyDescent="0.3">
      <c r="A5" t="s">
        <v>117</v>
      </c>
      <c r="B5" s="200">
        <v>0.1</v>
      </c>
      <c r="D5" s="58">
        <f>WAR!D6</f>
        <v>2000000</v>
      </c>
      <c r="E5" s="58">
        <f t="shared" ref="E5:AJ5" si="82">(D5*(1+$B5))+((D$33*$C5)*(1+$B5))</f>
        <v>2200000</v>
      </c>
      <c r="F5" s="58">
        <f t="shared" si="82"/>
        <v>2420000</v>
      </c>
      <c r="G5" s="58">
        <f t="shared" si="82"/>
        <v>2662000</v>
      </c>
      <c r="H5" s="58">
        <f t="shared" si="82"/>
        <v>2928200.0000000005</v>
      </c>
      <c r="I5" s="58">
        <f t="shared" si="82"/>
        <v>3221020.0000000009</v>
      </c>
      <c r="J5" s="58">
        <f t="shared" si="82"/>
        <v>3543122.0000000014</v>
      </c>
      <c r="K5" s="58">
        <f t="shared" si="82"/>
        <v>3897434.200000002</v>
      </c>
      <c r="L5" s="58">
        <f t="shared" si="82"/>
        <v>4287177.6200000029</v>
      </c>
      <c r="M5" s="58">
        <f t="shared" si="82"/>
        <v>4715895.3820000039</v>
      </c>
      <c r="N5" s="58">
        <f t="shared" si="82"/>
        <v>5187484.9202000052</v>
      </c>
      <c r="O5" s="58">
        <f t="shared" si="82"/>
        <v>5706233.4122200059</v>
      </c>
      <c r="P5" s="58">
        <f t="shared" si="82"/>
        <v>6276856.7534420071</v>
      </c>
      <c r="Q5" s="58">
        <f t="shared" si="82"/>
        <v>6904542.4287862079</v>
      </c>
      <c r="R5" s="58">
        <f t="shared" si="82"/>
        <v>7594996.6716648294</v>
      </c>
      <c r="S5" s="58">
        <f t="shared" si="82"/>
        <v>8354496.338831313</v>
      </c>
      <c r="T5" s="58">
        <f t="shared" si="82"/>
        <v>9189945.9727144446</v>
      </c>
      <c r="U5" s="58">
        <f t="shared" si="82"/>
        <v>10108940.569985891</v>
      </c>
      <c r="V5" s="58">
        <f t="shared" si="82"/>
        <v>11119834.626984481</v>
      </c>
      <c r="W5" s="58">
        <f t="shared" si="82"/>
        <v>12231818.089682929</v>
      </c>
      <c r="X5" s="58">
        <f t="shared" si="82"/>
        <v>13454999.898651224</v>
      </c>
      <c r="Y5" s="58">
        <f t="shared" si="82"/>
        <v>14800499.888516348</v>
      </c>
      <c r="Z5" s="58">
        <f t="shared" si="82"/>
        <v>16280549.877367985</v>
      </c>
      <c r="AA5" s="58">
        <f t="shared" si="82"/>
        <v>17908604.865104783</v>
      </c>
      <c r="AB5" s="58">
        <f t="shared" si="82"/>
        <v>19699465.351615265</v>
      </c>
      <c r="AC5" s="58">
        <f t="shared" si="82"/>
        <v>21669411.886776794</v>
      </c>
      <c r="AD5" s="58">
        <f t="shared" si="82"/>
        <v>23836353.075454473</v>
      </c>
      <c r="AE5" s="58">
        <f t="shared" si="82"/>
        <v>26219988.382999923</v>
      </c>
      <c r="AF5" s="58">
        <f t="shared" si="82"/>
        <v>28841987.221299917</v>
      </c>
      <c r="AG5" s="58">
        <f t="shared" si="82"/>
        <v>31726185.94342991</v>
      </c>
      <c r="AH5" s="58">
        <f t="shared" si="82"/>
        <v>34898804.537772901</v>
      </c>
      <c r="AI5" s="58">
        <f t="shared" si="82"/>
        <v>38388684.991550192</v>
      </c>
      <c r="AJ5" s="58">
        <f t="shared" si="82"/>
        <v>42227553.490705214</v>
      </c>
      <c r="AK5" s="58">
        <f t="shared" ref="AK5:BP5" si="83">(AJ5*(1+$B5))+((AJ$33*$C5)*(1+$B5))</f>
        <v>46450308.839775741</v>
      </c>
      <c r="AL5" s="58">
        <f t="shared" si="83"/>
        <v>51095339.723753318</v>
      </c>
      <c r="AM5" s="58">
        <f t="shared" si="83"/>
        <v>56204873.696128651</v>
      </c>
      <c r="AN5" s="58">
        <f t="shared" si="83"/>
        <v>61825361.065741524</v>
      </c>
      <c r="AO5" s="58">
        <f t="shared" si="83"/>
        <v>68007897.172315687</v>
      </c>
      <c r="AP5" s="58">
        <f t="shared" si="83"/>
        <v>74808686.889547259</v>
      </c>
      <c r="AQ5" s="58">
        <f t="shared" si="83"/>
        <v>82289555.578501984</v>
      </c>
      <c r="AR5" s="58">
        <f t="shared" si="83"/>
        <v>90518511.136352196</v>
      </c>
      <c r="AS5" s="58">
        <f t="shared" si="83"/>
        <v>99570362.249987423</v>
      </c>
      <c r="AT5" s="58">
        <f t="shared" si="83"/>
        <v>109527398.47498618</v>
      </c>
      <c r="AU5" s="58">
        <f t="shared" si="83"/>
        <v>120480138.32248481</v>
      </c>
      <c r="AV5" s="58">
        <f t="shared" si="83"/>
        <v>132528152.1547333</v>
      </c>
      <c r="AW5" s="58">
        <f t="shared" si="83"/>
        <v>145780967.37020665</v>
      </c>
      <c r="AX5" s="58">
        <f t="shared" si="83"/>
        <v>160359064.10722733</v>
      </c>
      <c r="AY5" s="58">
        <f t="shared" si="83"/>
        <v>176394970.51795006</v>
      </c>
      <c r="AZ5" s="58">
        <f t="shared" si="83"/>
        <v>194034467.56974509</v>
      </c>
      <c r="BA5" s="58">
        <f t="shared" si="83"/>
        <v>213437914.32671961</v>
      </c>
      <c r="BB5" s="58">
        <f t="shared" si="83"/>
        <v>234781705.75939161</v>
      </c>
      <c r="BC5" s="58">
        <f t="shared" si="83"/>
        <v>258259876.33533078</v>
      </c>
      <c r="BD5" s="58">
        <f t="shared" si="83"/>
        <v>284085863.9688639</v>
      </c>
      <c r="BE5" s="58">
        <f t="shared" si="83"/>
        <v>312494450.36575031</v>
      </c>
      <c r="BF5" s="58">
        <f t="shared" si="83"/>
        <v>343743895.40232539</v>
      </c>
      <c r="BG5" s="58">
        <f t="shared" si="83"/>
        <v>378118284.94255799</v>
      </c>
      <c r="BH5" s="58">
        <f t="shared" si="83"/>
        <v>415930113.43681383</v>
      </c>
      <c r="BI5" s="58">
        <f t="shared" si="83"/>
        <v>457523124.78049523</v>
      </c>
      <c r="BJ5" s="58">
        <f t="shared" si="83"/>
        <v>503275437.2585448</v>
      </c>
      <c r="BK5" s="58">
        <f t="shared" si="83"/>
        <v>553602980.98439932</v>
      </c>
      <c r="BL5" s="58">
        <f t="shared" si="83"/>
        <v>608963279.08283925</v>
      </c>
      <c r="BM5" s="58">
        <f t="shared" si="83"/>
        <v>669859606.9911232</v>
      </c>
      <c r="BN5" s="58">
        <f t="shared" si="83"/>
        <v>736845567.69023561</v>
      </c>
      <c r="BO5" s="58">
        <f t="shared" si="83"/>
        <v>810530124.45925927</v>
      </c>
      <c r="BP5" s="58">
        <f t="shared" si="83"/>
        <v>891583136.90518522</v>
      </c>
      <c r="BQ5" s="58">
        <f t="shared" ref="BQ5:BW5" si="84">(BP5*(1+$B5))+((BP$33*$C5)*(1+$B5))</f>
        <v>980741450.59570384</v>
      </c>
      <c r="BR5" s="58">
        <f t="shared" si="84"/>
        <v>1078815595.6552744</v>
      </c>
      <c r="BS5" s="58">
        <f t="shared" si="84"/>
        <v>1186697155.2208018</v>
      </c>
      <c r="BT5" s="58">
        <f t="shared" si="84"/>
        <v>1305366870.742882</v>
      </c>
      <c r="BU5" s="58">
        <f t="shared" si="84"/>
        <v>1435903557.8171704</v>
      </c>
      <c r="BV5" s="58">
        <f t="shared" si="84"/>
        <v>1579493913.5988874</v>
      </c>
      <c r="BW5" s="58">
        <f t="shared" si="84"/>
        <v>1737443304.9587762</v>
      </c>
      <c r="BX5" s="58"/>
      <c r="BY5" s="200">
        <f t="shared" si="7"/>
        <v>0</v>
      </c>
      <c r="BZ5" s="200">
        <f t="shared" si="8"/>
        <v>0</v>
      </c>
      <c r="CA5" s="200">
        <f t="shared" si="9"/>
        <v>0</v>
      </c>
      <c r="CB5" s="200">
        <f t="shared" si="10"/>
        <v>0</v>
      </c>
      <c r="CC5" s="200">
        <f t="shared" si="11"/>
        <v>0</v>
      </c>
      <c r="CD5" s="200">
        <f t="shared" si="12"/>
        <v>0</v>
      </c>
      <c r="CE5" s="200">
        <f t="shared" si="13"/>
        <v>0</v>
      </c>
      <c r="CF5" s="200">
        <f t="shared" si="14"/>
        <v>0</v>
      </c>
      <c r="CG5" s="200">
        <f t="shared" si="15"/>
        <v>0</v>
      </c>
      <c r="CH5" s="200">
        <f t="shared" si="16"/>
        <v>0</v>
      </c>
      <c r="CI5" s="200">
        <f t="shared" si="17"/>
        <v>0</v>
      </c>
      <c r="CJ5" s="200">
        <f t="shared" si="18"/>
        <v>0</v>
      </c>
      <c r="CK5" s="200">
        <f t="shared" si="19"/>
        <v>0</v>
      </c>
      <c r="CL5" s="200">
        <f t="shared" si="20"/>
        <v>0</v>
      </c>
      <c r="CM5" s="200">
        <f t="shared" si="21"/>
        <v>0</v>
      </c>
      <c r="CN5" s="200">
        <f t="shared" si="22"/>
        <v>0</v>
      </c>
      <c r="CO5" s="200">
        <f t="shared" si="23"/>
        <v>0</v>
      </c>
      <c r="CP5" s="200">
        <f t="shared" si="24"/>
        <v>0</v>
      </c>
      <c r="CQ5" s="200">
        <f t="shared" si="25"/>
        <v>0</v>
      </c>
      <c r="CR5" s="200">
        <f t="shared" si="26"/>
        <v>0</v>
      </c>
      <c r="CS5" s="200">
        <f t="shared" si="27"/>
        <v>0</v>
      </c>
      <c r="CT5" s="200">
        <f t="shared" si="28"/>
        <v>0</v>
      </c>
      <c r="CU5" s="200">
        <f t="shared" si="29"/>
        <v>0</v>
      </c>
      <c r="CV5" s="200">
        <f t="shared" si="30"/>
        <v>0</v>
      </c>
      <c r="CW5" s="200">
        <f t="shared" si="31"/>
        <v>0</v>
      </c>
      <c r="CX5" s="200">
        <f t="shared" si="32"/>
        <v>0</v>
      </c>
      <c r="CY5" s="200">
        <f t="shared" si="33"/>
        <v>0</v>
      </c>
      <c r="CZ5" s="200">
        <f t="shared" si="34"/>
        <v>0</v>
      </c>
      <c r="DA5" s="200">
        <f t="shared" si="35"/>
        <v>0</v>
      </c>
      <c r="DB5" s="200">
        <f t="shared" si="36"/>
        <v>0</v>
      </c>
      <c r="DC5" s="200">
        <f t="shared" si="37"/>
        <v>0</v>
      </c>
      <c r="DD5" s="200">
        <f t="shared" si="38"/>
        <v>0</v>
      </c>
      <c r="DE5" s="200">
        <f t="shared" si="39"/>
        <v>0</v>
      </c>
      <c r="DF5" s="200">
        <f t="shared" si="40"/>
        <v>0</v>
      </c>
      <c r="DG5" s="200">
        <f t="shared" si="41"/>
        <v>0</v>
      </c>
      <c r="DH5" s="200">
        <f t="shared" si="42"/>
        <v>0</v>
      </c>
      <c r="DI5" s="200">
        <f t="shared" si="43"/>
        <v>0</v>
      </c>
      <c r="DJ5" s="200">
        <f t="shared" si="44"/>
        <v>0</v>
      </c>
      <c r="DK5" s="200">
        <f t="shared" si="45"/>
        <v>0</v>
      </c>
      <c r="DL5" s="200">
        <f t="shared" si="46"/>
        <v>0</v>
      </c>
      <c r="DM5" s="200">
        <f t="shared" si="47"/>
        <v>0</v>
      </c>
      <c r="DN5" s="200">
        <f t="shared" si="48"/>
        <v>0</v>
      </c>
      <c r="DO5" s="200">
        <f t="shared" si="49"/>
        <v>0</v>
      </c>
      <c r="DP5" s="200">
        <f t="shared" si="50"/>
        <v>0</v>
      </c>
      <c r="DQ5" s="200">
        <f t="shared" si="51"/>
        <v>0</v>
      </c>
      <c r="DR5" s="200">
        <f t="shared" si="52"/>
        <v>0</v>
      </c>
      <c r="DS5" s="200">
        <f t="shared" si="53"/>
        <v>0</v>
      </c>
      <c r="DT5" s="200">
        <f t="shared" si="54"/>
        <v>0</v>
      </c>
      <c r="DU5" s="200">
        <f t="shared" si="55"/>
        <v>0</v>
      </c>
      <c r="DV5" s="200">
        <f t="shared" si="56"/>
        <v>0</v>
      </c>
      <c r="DW5" s="200">
        <f t="shared" si="57"/>
        <v>0</v>
      </c>
      <c r="DX5" s="200">
        <f t="shared" si="58"/>
        <v>0</v>
      </c>
      <c r="DY5" s="200">
        <f t="shared" si="59"/>
        <v>0</v>
      </c>
      <c r="DZ5" s="200">
        <f t="shared" si="60"/>
        <v>0</v>
      </c>
      <c r="EA5" s="200">
        <f t="shared" si="61"/>
        <v>0</v>
      </c>
      <c r="EB5" s="200">
        <f t="shared" si="62"/>
        <v>0</v>
      </c>
      <c r="EC5" s="200">
        <f t="shared" si="63"/>
        <v>0</v>
      </c>
      <c r="ED5" s="200">
        <f t="shared" si="64"/>
        <v>0</v>
      </c>
      <c r="EE5" s="200">
        <f t="shared" si="65"/>
        <v>0</v>
      </c>
      <c r="EF5" s="200">
        <f t="shared" si="66"/>
        <v>0</v>
      </c>
      <c r="EG5" s="200">
        <f t="shared" si="67"/>
        <v>0</v>
      </c>
      <c r="EH5" s="200">
        <f t="shared" si="68"/>
        <v>0</v>
      </c>
      <c r="EI5" s="200">
        <f t="shared" si="69"/>
        <v>0</v>
      </c>
      <c r="EJ5" s="200">
        <f t="shared" si="70"/>
        <v>0</v>
      </c>
      <c r="EK5" s="200">
        <f t="shared" si="71"/>
        <v>0</v>
      </c>
      <c r="EL5" s="200">
        <f t="shared" si="72"/>
        <v>0</v>
      </c>
      <c r="EM5" s="200">
        <f t="shared" si="73"/>
        <v>0</v>
      </c>
      <c r="EN5" s="200">
        <f t="shared" si="74"/>
        <v>0</v>
      </c>
      <c r="EO5" s="200">
        <f t="shared" si="75"/>
        <v>0</v>
      </c>
      <c r="EP5" s="200">
        <f t="shared" si="76"/>
        <v>0</v>
      </c>
      <c r="EQ5" s="200">
        <f t="shared" si="77"/>
        <v>0</v>
      </c>
      <c r="ER5" s="200">
        <f t="shared" si="78"/>
        <v>0</v>
      </c>
    </row>
    <row r="6" spans="1:148" x14ac:dyDescent="0.3">
      <c r="A6" t="s">
        <v>119</v>
      </c>
      <c r="B6" s="200">
        <v>0.11</v>
      </c>
      <c r="C6" s="201"/>
      <c r="D6" s="58">
        <f>WAR!D7</f>
        <v>5666347</v>
      </c>
      <c r="E6" s="58">
        <f t="shared" ref="E6:AJ6" si="85">(D6*(1+$B6))+((D$33*$C6)*(1+$B6))</f>
        <v>6289645.1700000009</v>
      </c>
      <c r="F6" s="58">
        <f t="shared" si="85"/>
        <v>6981506.1387000019</v>
      </c>
      <c r="G6" s="58">
        <f t="shared" si="85"/>
        <v>7749471.8139570029</v>
      </c>
      <c r="H6" s="58">
        <f t="shared" si="85"/>
        <v>8601913.7134922743</v>
      </c>
      <c r="I6" s="58">
        <f t="shared" si="85"/>
        <v>9548124.2219764255</v>
      </c>
      <c r="J6" s="58">
        <f t="shared" si="85"/>
        <v>10598417.886393834</v>
      </c>
      <c r="K6" s="58">
        <f t="shared" si="85"/>
        <v>11764243.853897156</v>
      </c>
      <c r="L6" s="58">
        <f t="shared" si="85"/>
        <v>13058310.677825844</v>
      </c>
      <c r="M6" s="58">
        <f t="shared" si="85"/>
        <v>14494724.852386689</v>
      </c>
      <c r="N6" s="58">
        <f t="shared" si="85"/>
        <v>16089144.586149227</v>
      </c>
      <c r="O6" s="58">
        <f t="shared" si="85"/>
        <v>17858950.490625642</v>
      </c>
      <c r="P6" s="58">
        <f t="shared" si="85"/>
        <v>19823435.044594463</v>
      </c>
      <c r="Q6" s="58">
        <f t="shared" si="85"/>
        <v>22004012.899499856</v>
      </c>
      <c r="R6" s="58">
        <f t="shared" si="85"/>
        <v>24424454.318444841</v>
      </c>
      <c r="S6" s="58">
        <f t="shared" si="85"/>
        <v>27111144.293473776</v>
      </c>
      <c r="T6" s="58">
        <f t="shared" si="85"/>
        <v>30093370.165755894</v>
      </c>
      <c r="U6" s="58">
        <f t="shared" si="85"/>
        <v>33403640.883989044</v>
      </c>
      <c r="V6" s="58">
        <f t="shared" si="85"/>
        <v>37078041.381227843</v>
      </c>
      <c r="W6" s="58">
        <f t="shared" si="85"/>
        <v>41156625.933162913</v>
      </c>
      <c r="X6" s="58">
        <f t="shared" si="85"/>
        <v>45683854.785810836</v>
      </c>
      <c r="Y6" s="58">
        <f t="shared" si="85"/>
        <v>50709078.812250033</v>
      </c>
      <c r="Z6" s="58">
        <f t="shared" si="85"/>
        <v>56287077.481597543</v>
      </c>
      <c r="AA6" s="58">
        <f t="shared" si="85"/>
        <v>62478656.004573278</v>
      </c>
      <c r="AB6" s="58">
        <f t="shared" si="85"/>
        <v>69351308.165076345</v>
      </c>
      <c r="AC6" s="58">
        <f t="shared" si="85"/>
        <v>76979952.063234746</v>
      </c>
      <c r="AD6" s="58">
        <f t="shared" si="85"/>
        <v>85447746.790190578</v>
      </c>
      <c r="AE6" s="58">
        <f t="shared" si="85"/>
        <v>94846998.937111557</v>
      </c>
      <c r="AF6" s="58">
        <f t="shared" si="85"/>
        <v>105280168.82019384</v>
      </c>
      <c r="AG6" s="58">
        <f t="shared" si="85"/>
        <v>116860987.39041518</v>
      </c>
      <c r="AH6" s="58">
        <f t="shared" si="85"/>
        <v>129715696.00336085</v>
      </c>
      <c r="AI6" s="58">
        <f t="shared" si="85"/>
        <v>143984422.56373057</v>
      </c>
      <c r="AJ6" s="58">
        <f t="shared" si="85"/>
        <v>159822709.04574093</v>
      </c>
      <c r="AK6" s="58">
        <f t="shared" ref="AK6:BP6" si="86">(AJ6*(1+$B6))+((AJ$33*$C6)*(1+$B6))</f>
        <v>177403207.04077244</v>
      </c>
      <c r="AL6" s="58">
        <f t="shared" si="86"/>
        <v>196917559.81525743</v>
      </c>
      <c r="AM6" s="58">
        <f t="shared" si="86"/>
        <v>218578491.39493576</v>
      </c>
      <c r="AN6" s="58">
        <f t="shared" si="86"/>
        <v>242622125.44837871</v>
      </c>
      <c r="AO6" s="58">
        <f t="shared" si="86"/>
        <v>269310559.24770039</v>
      </c>
      <c r="AP6" s="58">
        <f t="shared" si="86"/>
        <v>298934720.76494747</v>
      </c>
      <c r="AQ6" s="58">
        <f t="shared" si="86"/>
        <v>331817540.0490917</v>
      </c>
      <c r="AR6" s="58">
        <f t="shared" si="86"/>
        <v>368317469.45449179</v>
      </c>
      <c r="AS6" s="58">
        <f t="shared" si="86"/>
        <v>408832391.09448594</v>
      </c>
      <c r="AT6" s="58">
        <f t="shared" si="86"/>
        <v>453803954.11487943</v>
      </c>
      <c r="AU6" s="58">
        <f t="shared" si="86"/>
        <v>503722389.06751621</v>
      </c>
      <c r="AV6" s="58">
        <f t="shared" si="86"/>
        <v>559131851.86494303</v>
      </c>
      <c r="AW6" s="58">
        <f t="shared" si="86"/>
        <v>620636355.57008684</v>
      </c>
      <c r="AX6" s="58">
        <f t="shared" si="86"/>
        <v>688906354.68279648</v>
      </c>
      <c r="AY6" s="58">
        <f t="shared" si="86"/>
        <v>764686053.69790411</v>
      </c>
      <c r="AZ6" s="58">
        <f t="shared" si="86"/>
        <v>848801519.60467362</v>
      </c>
      <c r="BA6" s="58">
        <f t="shared" si="86"/>
        <v>942169686.76118779</v>
      </c>
      <c r="BB6" s="58">
        <f t="shared" si="86"/>
        <v>1045808352.3049185</v>
      </c>
      <c r="BC6" s="58">
        <f t="shared" si="86"/>
        <v>1160847271.0584598</v>
      </c>
      <c r="BD6" s="58">
        <f t="shared" si="86"/>
        <v>1288540470.8748903</v>
      </c>
      <c r="BE6" s="58">
        <f t="shared" si="86"/>
        <v>1430279922.6711283</v>
      </c>
      <c r="BF6" s="58">
        <f t="shared" si="86"/>
        <v>1587610714.1649525</v>
      </c>
      <c r="BG6" s="58">
        <f t="shared" si="86"/>
        <v>1762247892.7230976</v>
      </c>
      <c r="BH6" s="58">
        <f t="shared" si="86"/>
        <v>1956095160.9226384</v>
      </c>
      <c r="BI6" s="58">
        <f t="shared" si="86"/>
        <v>2171265628.6241288</v>
      </c>
      <c r="BJ6" s="58">
        <f t="shared" si="86"/>
        <v>2410104847.7727833</v>
      </c>
      <c r="BK6" s="58">
        <f t="shared" si="86"/>
        <v>2675216381.0277896</v>
      </c>
      <c r="BL6" s="58">
        <f t="shared" si="86"/>
        <v>2969490182.9408469</v>
      </c>
      <c r="BM6" s="58">
        <f t="shared" si="86"/>
        <v>3296134103.0643406</v>
      </c>
      <c r="BN6" s="58">
        <f t="shared" si="86"/>
        <v>3658708854.4014182</v>
      </c>
      <c r="BO6" s="58">
        <f t="shared" si="86"/>
        <v>4061166828.3855743</v>
      </c>
      <c r="BP6" s="58">
        <f t="shared" si="86"/>
        <v>4507895179.507988</v>
      </c>
      <c r="BQ6" s="58">
        <f t="shared" ref="BQ6:BW6" si="87">(BP6*(1+$B6))+((BP$33*$C6)*(1+$B6))</f>
        <v>5003763649.2538671</v>
      </c>
      <c r="BR6" s="58">
        <f t="shared" si="87"/>
        <v>5554177650.671793</v>
      </c>
      <c r="BS6" s="58">
        <f t="shared" si="87"/>
        <v>6165137192.2456903</v>
      </c>
      <c r="BT6" s="58">
        <f t="shared" si="87"/>
        <v>6843302283.3927174</v>
      </c>
      <c r="BU6" s="58">
        <f t="shared" si="87"/>
        <v>7596065534.565917</v>
      </c>
      <c r="BV6" s="58">
        <f t="shared" si="87"/>
        <v>8431632743.3681688</v>
      </c>
      <c r="BW6" s="58">
        <f t="shared" si="87"/>
        <v>9359112345.1386681</v>
      </c>
      <c r="BX6" s="58"/>
      <c r="BY6" s="200">
        <f t="shared" si="7"/>
        <v>0</v>
      </c>
      <c r="BZ6" s="200">
        <f t="shared" si="8"/>
        <v>0</v>
      </c>
      <c r="CA6" s="200">
        <f t="shared" si="9"/>
        <v>0</v>
      </c>
      <c r="CB6" s="200">
        <f t="shared" si="10"/>
        <v>0</v>
      </c>
      <c r="CC6" s="200">
        <f t="shared" si="11"/>
        <v>0</v>
      </c>
      <c r="CD6" s="200">
        <f t="shared" si="12"/>
        <v>0</v>
      </c>
      <c r="CE6" s="200">
        <f t="shared" si="13"/>
        <v>0</v>
      </c>
      <c r="CF6" s="200">
        <f t="shared" si="14"/>
        <v>0</v>
      </c>
      <c r="CG6" s="200">
        <f t="shared" si="15"/>
        <v>0</v>
      </c>
      <c r="CH6" s="200">
        <f t="shared" si="16"/>
        <v>0</v>
      </c>
      <c r="CI6" s="200">
        <f t="shared" si="17"/>
        <v>0</v>
      </c>
      <c r="CJ6" s="200">
        <f t="shared" si="18"/>
        <v>0</v>
      </c>
      <c r="CK6" s="200">
        <f t="shared" si="19"/>
        <v>0</v>
      </c>
      <c r="CL6" s="200">
        <f t="shared" si="20"/>
        <v>0</v>
      </c>
      <c r="CM6" s="200">
        <f t="shared" si="21"/>
        <v>0</v>
      </c>
      <c r="CN6" s="200">
        <f t="shared" si="22"/>
        <v>0</v>
      </c>
      <c r="CO6" s="200">
        <f t="shared" si="23"/>
        <v>0</v>
      </c>
      <c r="CP6" s="200">
        <f t="shared" si="24"/>
        <v>0</v>
      </c>
      <c r="CQ6" s="200">
        <f t="shared" si="25"/>
        <v>0</v>
      </c>
      <c r="CR6" s="200">
        <f t="shared" si="26"/>
        <v>0</v>
      </c>
      <c r="CS6" s="200">
        <f t="shared" si="27"/>
        <v>0</v>
      </c>
      <c r="CT6" s="200">
        <f t="shared" si="28"/>
        <v>0</v>
      </c>
      <c r="CU6" s="200">
        <f t="shared" si="29"/>
        <v>0</v>
      </c>
      <c r="CV6" s="200">
        <f t="shared" si="30"/>
        <v>0</v>
      </c>
      <c r="CW6" s="200">
        <f t="shared" si="31"/>
        <v>0</v>
      </c>
      <c r="CX6" s="200">
        <f t="shared" si="32"/>
        <v>0</v>
      </c>
      <c r="CY6" s="200">
        <f t="shared" si="33"/>
        <v>0</v>
      </c>
      <c r="CZ6" s="200">
        <f t="shared" si="34"/>
        <v>0</v>
      </c>
      <c r="DA6" s="200">
        <f t="shared" si="35"/>
        <v>0</v>
      </c>
      <c r="DB6" s="200">
        <f t="shared" si="36"/>
        <v>0</v>
      </c>
      <c r="DC6" s="200">
        <f t="shared" si="37"/>
        <v>0</v>
      </c>
      <c r="DD6" s="200">
        <f t="shared" si="38"/>
        <v>0</v>
      </c>
      <c r="DE6" s="200">
        <f t="shared" si="39"/>
        <v>0</v>
      </c>
      <c r="DF6" s="200">
        <f t="shared" si="40"/>
        <v>0</v>
      </c>
      <c r="DG6" s="200">
        <f t="shared" si="41"/>
        <v>0</v>
      </c>
      <c r="DH6" s="200">
        <f t="shared" si="42"/>
        <v>0</v>
      </c>
      <c r="DI6" s="200">
        <f t="shared" si="43"/>
        <v>0</v>
      </c>
      <c r="DJ6" s="200">
        <f t="shared" si="44"/>
        <v>0</v>
      </c>
      <c r="DK6" s="200">
        <f t="shared" si="45"/>
        <v>0</v>
      </c>
      <c r="DL6" s="200">
        <f t="shared" si="46"/>
        <v>0</v>
      </c>
      <c r="DM6" s="200">
        <f t="shared" si="47"/>
        <v>0</v>
      </c>
      <c r="DN6" s="200">
        <f t="shared" si="48"/>
        <v>0</v>
      </c>
      <c r="DO6" s="200">
        <f t="shared" si="49"/>
        <v>0</v>
      </c>
      <c r="DP6" s="200">
        <f t="shared" si="50"/>
        <v>0</v>
      </c>
      <c r="DQ6" s="200">
        <f t="shared" si="51"/>
        <v>0</v>
      </c>
      <c r="DR6" s="200">
        <f t="shared" si="52"/>
        <v>0</v>
      </c>
      <c r="DS6" s="200">
        <f t="shared" si="53"/>
        <v>0</v>
      </c>
      <c r="DT6" s="200">
        <f t="shared" si="54"/>
        <v>0</v>
      </c>
      <c r="DU6" s="200">
        <f t="shared" si="55"/>
        <v>0</v>
      </c>
      <c r="DV6" s="200">
        <f t="shared" si="56"/>
        <v>0</v>
      </c>
      <c r="DW6" s="200">
        <f t="shared" si="57"/>
        <v>0</v>
      </c>
      <c r="DX6" s="200">
        <f t="shared" si="58"/>
        <v>0</v>
      </c>
      <c r="DY6" s="200">
        <f t="shared" si="59"/>
        <v>0</v>
      </c>
      <c r="DZ6" s="200">
        <f t="shared" si="60"/>
        <v>0</v>
      </c>
      <c r="EA6" s="200">
        <f t="shared" si="61"/>
        <v>0</v>
      </c>
      <c r="EB6" s="200">
        <f t="shared" si="62"/>
        <v>0</v>
      </c>
      <c r="EC6" s="200">
        <f t="shared" si="63"/>
        <v>0</v>
      </c>
      <c r="ED6" s="200">
        <f t="shared" si="64"/>
        <v>0</v>
      </c>
      <c r="EE6" s="200">
        <f t="shared" si="65"/>
        <v>0</v>
      </c>
      <c r="EF6" s="200">
        <f t="shared" si="66"/>
        <v>0</v>
      </c>
      <c r="EG6" s="200">
        <f t="shared" si="67"/>
        <v>0</v>
      </c>
      <c r="EH6" s="200">
        <f t="shared" si="68"/>
        <v>0</v>
      </c>
      <c r="EI6" s="200">
        <f t="shared" si="69"/>
        <v>0</v>
      </c>
      <c r="EJ6" s="200">
        <f t="shared" si="70"/>
        <v>0</v>
      </c>
      <c r="EK6" s="200">
        <f t="shared" si="71"/>
        <v>0</v>
      </c>
      <c r="EL6" s="200">
        <f t="shared" si="72"/>
        <v>0</v>
      </c>
      <c r="EM6" s="200">
        <f t="shared" si="73"/>
        <v>0</v>
      </c>
      <c r="EN6" s="200">
        <f t="shared" si="74"/>
        <v>0</v>
      </c>
      <c r="EO6" s="200">
        <f t="shared" si="75"/>
        <v>0</v>
      </c>
      <c r="EP6" s="200">
        <f t="shared" si="76"/>
        <v>0</v>
      </c>
      <c r="EQ6" s="200">
        <f t="shared" si="77"/>
        <v>0</v>
      </c>
      <c r="ER6" s="200">
        <f t="shared" si="78"/>
        <v>0</v>
      </c>
    </row>
    <row r="7" spans="1:148" x14ac:dyDescent="0.3">
      <c r="A7" t="s">
        <v>121</v>
      </c>
      <c r="B7" s="200">
        <v>0.11</v>
      </c>
      <c r="D7" s="58">
        <f>WAR!D8</f>
        <v>0</v>
      </c>
      <c r="E7" s="58">
        <f t="shared" ref="E7:AJ7" si="88">(D7*(1+$B7))+((D$33*$C7)*(1+$B7))</f>
        <v>0</v>
      </c>
      <c r="F7" s="58">
        <f t="shared" si="88"/>
        <v>0</v>
      </c>
      <c r="G7" s="58">
        <f t="shared" si="88"/>
        <v>0</v>
      </c>
      <c r="H7" s="58">
        <f t="shared" si="88"/>
        <v>0</v>
      </c>
      <c r="I7" s="58">
        <f t="shared" si="88"/>
        <v>0</v>
      </c>
      <c r="J7" s="58">
        <f t="shared" si="88"/>
        <v>0</v>
      </c>
      <c r="K7" s="58">
        <f t="shared" si="88"/>
        <v>0</v>
      </c>
      <c r="L7" s="58">
        <f t="shared" si="88"/>
        <v>0</v>
      </c>
      <c r="M7" s="58">
        <f t="shared" si="88"/>
        <v>0</v>
      </c>
      <c r="N7" s="58">
        <f t="shared" si="88"/>
        <v>0</v>
      </c>
      <c r="O7" s="58">
        <f t="shared" si="88"/>
        <v>0</v>
      </c>
      <c r="P7" s="58">
        <f t="shared" si="88"/>
        <v>0</v>
      </c>
      <c r="Q7" s="58">
        <f t="shared" si="88"/>
        <v>0</v>
      </c>
      <c r="R7" s="58">
        <f t="shared" si="88"/>
        <v>0</v>
      </c>
      <c r="S7" s="58">
        <f t="shared" si="88"/>
        <v>0</v>
      </c>
      <c r="T7" s="58">
        <f t="shared" si="88"/>
        <v>0</v>
      </c>
      <c r="U7" s="58">
        <f t="shared" si="88"/>
        <v>0</v>
      </c>
      <c r="V7" s="58">
        <f t="shared" si="88"/>
        <v>0</v>
      </c>
      <c r="W7" s="58">
        <f t="shared" si="88"/>
        <v>0</v>
      </c>
      <c r="X7" s="58">
        <f t="shared" si="88"/>
        <v>0</v>
      </c>
      <c r="Y7" s="58">
        <f t="shared" si="88"/>
        <v>0</v>
      </c>
      <c r="Z7" s="58">
        <f t="shared" si="88"/>
        <v>0</v>
      </c>
      <c r="AA7" s="58">
        <f t="shared" si="88"/>
        <v>0</v>
      </c>
      <c r="AB7" s="58">
        <f t="shared" si="88"/>
        <v>0</v>
      </c>
      <c r="AC7" s="58">
        <f t="shared" si="88"/>
        <v>0</v>
      </c>
      <c r="AD7" s="58">
        <f t="shared" si="88"/>
        <v>0</v>
      </c>
      <c r="AE7" s="58">
        <f t="shared" si="88"/>
        <v>0</v>
      </c>
      <c r="AF7" s="58">
        <f t="shared" si="88"/>
        <v>0</v>
      </c>
      <c r="AG7" s="58">
        <f t="shared" si="88"/>
        <v>0</v>
      </c>
      <c r="AH7" s="58">
        <f t="shared" si="88"/>
        <v>0</v>
      </c>
      <c r="AI7" s="58">
        <f t="shared" si="88"/>
        <v>0</v>
      </c>
      <c r="AJ7" s="58">
        <f t="shared" si="88"/>
        <v>0</v>
      </c>
      <c r="AK7" s="58">
        <f t="shared" ref="AK7:BP7" si="89">(AJ7*(1+$B7))+((AJ$33*$C7)*(1+$B7))</f>
        <v>0</v>
      </c>
      <c r="AL7" s="58">
        <f t="shared" si="89"/>
        <v>0</v>
      </c>
      <c r="AM7" s="58">
        <f t="shared" si="89"/>
        <v>0</v>
      </c>
      <c r="AN7" s="58">
        <f t="shared" si="89"/>
        <v>0</v>
      </c>
      <c r="AO7" s="58">
        <f t="shared" si="89"/>
        <v>0</v>
      </c>
      <c r="AP7" s="58">
        <f t="shared" si="89"/>
        <v>0</v>
      </c>
      <c r="AQ7" s="58">
        <f t="shared" si="89"/>
        <v>0</v>
      </c>
      <c r="AR7" s="58">
        <f t="shared" si="89"/>
        <v>0</v>
      </c>
      <c r="AS7" s="58">
        <f t="shared" si="89"/>
        <v>0</v>
      </c>
      <c r="AT7" s="58">
        <f t="shared" si="89"/>
        <v>0</v>
      </c>
      <c r="AU7" s="58">
        <f t="shared" si="89"/>
        <v>0</v>
      </c>
      <c r="AV7" s="58">
        <f t="shared" si="89"/>
        <v>0</v>
      </c>
      <c r="AW7" s="58">
        <f t="shared" si="89"/>
        <v>0</v>
      </c>
      <c r="AX7" s="58">
        <f t="shared" si="89"/>
        <v>0</v>
      </c>
      <c r="AY7" s="58">
        <f t="shared" si="89"/>
        <v>0</v>
      </c>
      <c r="AZ7" s="58">
        <f t="shared" si="89"/>
        <v>0</v>
      </c>
      <c r="BA7" s="58">
        <f t="shared" si="89"/>
        <v>0</v>
      </c>
      <c r="BB7" s="58">
        <f t="shared" si="89"/>
        <v>0</v>
      </c>
      <c r="BC7" s="58">
        <f t="shared" si="89"/>
        <v>0</v>
      </c>
      <c r="BD7" s="58">
        <f t="shared" si="89"/>
        <v>0</v>
      </c>
      <c r="BE7" s="58">
        <f t="shared" si="89"/>
        <v>0</v>
      </c>
      <c r="BF7" s="58">
        <f t="shared" si="89"/>
        <v>0</v>
      </c>
      <c r="BG7" s="58">
        <f t="shared" si="89"/>
        <v>0</v>
      </c>
      <c r="BH7" s="58">
        <f t="shared" si="89"/>
        <v>0</v>
      </c>
      <c r="BI7" s="58">
        <f t="shared" si="89"/>
        <v>0</v>
      </c>
      <c r="BJ7" s="58">
        <f t="shared" si="89"/>
        <v>0</v>
      </c>
      <c r="BK7" s="58">
        <f t="shared" si="89"/>
        <v>0</v>
      </c>
      <c r="BL7" s="58">
        <f t="shared" si="89"/>
        <v>0</v>
      </c>
      <c r="BM7" s="58">
        <f t="shared" si="89"/>
        <v>0</v>
      </c>
      <c r="BN7" s="58">
        <f t="shared" si="89"/>
        <v>0</v>
      </c>
      <c r="BO7" s="58">
        <f t="shared" si="89"/>
        <v>0</v>
      </c>
      <c r="BP7" s="58">
        <f t="shared" si="89"/>
        <v>0</v>
      </c>
      <c r="BQ7" s="58">
        <f t="shared" ref="BQ7:BW7" si="90">(BP7*(1+$B7))+((BP$33*$C7)*(1+$B7))</f>
        <v>0</v>
      </c>
      <c r="BR7" s="58">
        <f t="shared" si="90"/>
        <v>0</v>
      </c>
      <c r="BS7" s="58">
        <f t="shared" si="90"/>
        <v>0</v>
      </c>
      <c r="BT7" s="58">
        <f t="shared" si="90"/>
        <v>0</v>
      </c>
      <c r="BU7" s="58">
        <f t="shared" si="90"/>
        <v>0</v>
      </c>
      <c r="BV7" s="58">
        <f t="shared" si="90"/>
        <v>0</v>
      </c>
      <c r="BW7" s="58">
        <f t="shared" si="90"/>
        <v>0</v>
      </c>
      <c r="BX7" s="58"/>
      <c r="BY7" s="200">
        <f t="shared" si="7"/>
        <v>0</v>
      </c>
      <c r="BZ7" s="200">
        <f t="shared" si="8"/>
        <v>0</v>
      </c>
      <c r="CA7" s="200">
        <f t="shared" si="9"/>
        <v>0</v>
      </c>
      <c r="CB7" s="200">
        <f t="shared" si="10"/>
        <v>0</v>
      </c>
      <c r="CC7" s="200">
        <f t="shared" si="11"/>
        <v>0</v>
      </c>
      <c r="CD7" s="200">
        <f t="shared" si="12"/>
        <v>0</v>
      </c>
      <c r="CE7" s="200">
        <f t="shared" si="13"/>
        <v>0</v>
      </c>
      <c r="CF7" s="200">
        <f t="shared" si="14"/>
        <v>0</v>
      </c>
      <c r="CG7" s="200">
        <f t="shared" si="15"/>
        <v>0</v>
      </c>
      <c r="CH7" s="200">
        <f t="shared" si="16"/>
        <v>0</v>
      </c>
      <c r="CI7" s="200">
        <f t="shared" si="17"/>
        <v>0</v>
      </c>
      <c r="CJ7" s="200">
        <f t="shared" si="18"/>
        <v>0</v>
      </c>
      <c r="CK7" s="200">
        <f t="shared" si="19"/>
        <v>0</v>
      </c>
      <c r="CL7" s="200">
        <f t="shared" si="20"/>
        <v>0</v>
      </c>
      <c r="CM7" s="200">
        <f t="shared" si="21"/>
        <v>0</v>
      </c>
      <c r="CN7" s="200">
        <f t="shared" si="22"/>
        <v>0</v>
      </c>
      <c r="CO7" s="200">
        <f t="shared" si="23"/>
        <v>0</v>
      </c>
      <c r="CP7" s="200">
        <f t="shared" si="24"/>
        <v>0</v>
      </c>
      <c r="CQ7" s="200">
        <f t="shared" si="25"/>
        <v>0</v>
      </c>
      <c r="CR7" s="200">
        <f t="shared" si="26"/>
        <v>0</v>
      </c>
      <c r="CS7" s="200">
        <f t="shared" si="27"/>
        <v>0</v>
      </c>
      <c r="CT7" s="200">
        <f t="shared" si="28"/>
        <v>0</v>
      </c>
      <c r="CU7" s="200">
        <f t="shared" si="29"/>
        <v>0</v>
      </c>
      <c r="CV7" s="200">
        <f t="shared" si="30"/>
        <v>0</v>
      </c>
      <c r="CW7" s="200">
        <f t="shared" si="31"/>
        <v>0</v>
      </c>
      <c r="CX7" s="200">
        <f t="shared" si="32"/>
        <v>0</v>
      </c>
      <c r="CY7" s="200">
        <f t="shared" si="33"/>
        <v>0</v>
      </c>
      <c r="CZ7" s="200">
        <f t="shared" si="34"/>
        <v>0</v>
      </c>
      <c r="DA7" s="200">
        <f t="shared" si="35"/>
        <v>0</v>
      </c>
      <c r="DB7" s="200">
        <f t="shared" si="36"/>
        <v>0</v>
      </c>
      <c r="DC7" s="200">
        <f t="shared" si="37"/>
        <v>0</v>
      </c>
      <c r="DD7" s="200">
        <f t="shared" si="38"/>
        <v>0</v>
      </c>
      <c r="DE7" s="200">
        <f t="shared" si="39"/>
        <v>0</v>
      </c>
      <c r="DF7" s="200">
        <f t="shared" si="40"/>
        <v>0</v>
      </c>
      <c r="DG7" s="200">
        <f t="shared" si="41"/>
        <v>0</v>
      </c>
      <c r="DH7" s="200">
        <f t="shared" si="42"/>
        <v>0</v>
      </c>
      <c r="DI7" s="200">
        <f t="shared" si="43"/>
        <v>0</v>
      </c>
      <c r="DJ7" s="200">
        <f t="shared" si="44"/>
        <v>0</v>
      </c>
      <c r="DK7" s="200">
        <f t="shared" si="45"/>
        <v>0</v>
      </c>
      <c r="DL7" s="200">
        <f t="shared" si="46"/>
        <v>0</v>
      </c>
      <c r="DM7" s="200">
        <f t="shared" si="47"/>
        <v>0</v>
      </c>
      <c r="DN7" s="200">
        <f t="shared" si="48"/>
        <v>0</v>
      </c>
      <c r="DO7" s="200">
        <f t="shared" si="49"/>
        <v>0</v>
      </c>
      <c r="DP7" s="200">
        <f t="shared" si="50"/>
        <v>0</v>
      </c>
      <c r="DQ7" s="200">
        <f t="shared" si="51"/>
        <v>0</v>
      </c>
      <c r="DR7" s="200">
        <f t="shared" si="52"/>
        <v>0</v>
      </c>
      <c r="DS7" s="200">
        <f t="shared" si="53"/>
        <v>0</v>
      </c>
      <c r="DT7" s="200">
        <f t="shared" si="54"/>
        <v>0</v>
      </c>
      <c r="DU7" s="200">
        <f t="shared" si="55"/>
        <v>0</v>
      </c>
      <c r="DV7" s="200">
        <f t="shared" si="56"/>
        <v>0</v>
      </c>
      <c r="DW7" s="200">
        <f t="shared" si="57"/>
        <v>0</v>
      </c>
      <c r="DX7" s="200">
        <f t="shared" si="58"/>
        <v>0</v>
      </c>
      <c r="DY7" s="200">
        <f t="shared" si="59"/>
        <v>0</v>
      </c>
      <c r="DZ7" s="200">
        <f t="shared" si="60"/>
        <v>0</v>
      </c>
      <c r="EA7" s="200">
        <f t="shared" si="61"/>
        <v>0</v>
      </c>
      <c r="EB7" s="200">
        <f t="shared" si="62"/>
        <v>0</v>
      </c>
      <c r="EC7" s="200">
        <f t="shared" si="63"/>
        <v>0</v>
      </c>
      <c r="ED7" s="200">
        <f t="shared" si="64"/>
        <v>0</v>
      </c>
      <c r="EE7" s="200">
        <f t="shared" si="65"/>
        <v>0</v>
      </c>
      <c r="EF7" s="200">
        <f t="shared" si="66"/>
        <v>0</v>
      </c>
      <c r="EG7" s="200">
        <f t="shared" si="67"/>
        <v>0</v>
      </c>
      <c r="EH7" s="200">
        <f t="shared" si="68"/>
        <v>0</v>
      </c>
      <c r="EI7" s="200">
        <f t="shared" si="69"/>
        <v>0</v>
      </c>
      <c r="EJ7" s="200">
        <f t="shared" si="70"/>
        <v>0</v>
      </c>
      <c r="EK7" s="200">
        <f t="shared" si="71"/>
        <v>0</v>
      </c>
      <c r="EL7" s="200">
        <f t="shared" si="72"/>
        <v>0</v>
      </c>
      <c r="EM7" s="200">
        <f t="shared" si="73"/>
        <v>0</v>
      </c>
      <c r="EN7" s="200">
        <f t="shared" si="74"/>
        <v>0</v>
      </c>
      <c r="EO7" s="200">
        <f t="shared" si="75"/>
        <v>0</v>
      </c>
      <c r="EP7" s="200">
        <f t="shared" si="76"/>
        <v>0</v>
      </c>
      <c r="EQ7" s="200">
        <f t="shared" si="77"/>
        <v>0</v>
      </c>
      <c r="ER7" s="200">
        <f t="shared" si="78"/>
        <v>0</v>
      </c>
    </row>
    <row r="8" spans="1:148" x14ac:dyDescent="0.3">
      <c r="A8" t="s">
        <v>152</v>
      </c>
      <c r="B8" s="289">
        <v>0.15</v>
      </c>
      <c r="D8" s="58">
        <f>WAR!D9</f>
        <v>5400000</v>
      </c>
      <c r="E8" s="58">
        <f t="shared" ref="E8:AJ8" si="91">(D8*(1+$B8))+((D$33*$C8)*(1+$B8))</f>
        <v>6209999.9999999991</v>
      </c>
      <c r="F8" s="58">
        <f t="shared" si="91"/>
        <v>7141499.9999999981</v>
      </c>
      <c r="G8" s="58">
        <f t="shared" si="91"/>
        <v>8212724.9999999972</v>
      </c>
      <c r="H8" s="58">
        <f t="shared" si="91"/>
        <v>9444633.7499999963</v>
      </c>
      <c r="I8" s="58">
        <f t="shared" si="91"/>
        <v>10861328.812499994</v>
      </c>
      <c r="J8" s="58">
        <f t="shared" si="91"/>
        <v>12490528.134374993</v>
      </c>
      <c r="K8" s="58">
        <f t="shared" si="91"/>
        <v>14364107.354531242</v>
      </c>
      <c r="L8" s="58">
        <f t="shared" si="91"/>
        <v>16518723.457710927</v>
      </c>
      <c r="M8" s="58">
        <f t="shared" si="91"/>
        <v>18996531.976367567</v>
      </c>
      <c r="N8" s="58">
        <f t="shared" si="91"/>
        <v>21846011.7728227</v>
      </c>
      <c r="O8" s="58">
        <f t="shared" si="91"/>
        <v>25122913.538746104</v>
      </c>
      <c r="P8" s="58">
        <f t="shared" si="91"/>
        <v>28891350.569558017</v>
      </c>
      <c r="Q8" s="58">
        <f t="shared" si="91"/>
        <v>33225053.154991716</v>
      </c>
      <c r="R8" s="58">
        <f t="shared" si="91"/>
        <v>38208811.128240474</v>
      </c>
      <c r="S8" s="58">
        <f t="shared" si="91"/>
        <v>43940132.797476538</v>
      </c>
      <c r="T8" s="58">
        <f t="shared" si="91"/>
        <v>50531152.717098013</v>
      </c>
      <c r="U8" s="58">
        <f t="shared" si="91"/>
        <v>58110825.624662712</v>
      </c>
      <c r="V8" s="58">
        <f t="shared" si="91"/>
        <v>66827449.468362115</v>
      </c>
      <c r="W8" s="58">
        <f t="shared" si="91"/>
        <v>76851566.888616428</v>
      </c>
      <c r="X8" s="58">
        <f t="shared" si="91"/>
        <v>88379301.921908885</v>
      </c>
      <c r="Y8" s="58">
        <f t="shared" si="91"/>
        <v>101636197.21019521</v>
      </c>
      <c r="Z8" s="58">
        <f t="shared" si="91"/>
        <v>116881626.79172449</v>
      </c>
      <c r="AA8" s="58">
        <f t="shared" si="91"/>
        <v>134413870.81048316</v>
      </c>
      <c r="AB8" s="58">
        <f t="shared" si="91"/>
        <v>154575951.43205562</v>
      </c>
      <c r="AC8" s="58">
        <f t="shared" si="91"/>
        <v>177762344.14686394</v>
      </c>
      <c r="AD8" s="58">
        <f t="shared" si="91"/>
        <v>204426695.76889351</v>
      </c>
      <c r="AE8" s="58">
        <f t="shared" si="91"/>
        <v>235090700.13422751</v>
      </c>
      <c r="AF8" s="58">
        <f t="shared" si="91"/>
        <v>270354305.15436161</v>
      </c>
      <c r="AG8" s="58">
        <f t="shared" si="91"/>
        <v>310907450.9275158</v>
      </c>
      <c r="AH8" s="58">
        <f t="shared" si="91"/>
        <v>357543568.56664312</v>
      </c>
      <c r="AI8" s="58">
        <f t="shared" si="91"/>
        <v>411175103.85163957</v>
      </c>
      <c r="AJ8" s="58">
        <f t="shared" si="91"/>
        <v>472851369.42938548</v>
      </c>
      <c r="AK8" s="58">
        <f t="shared" ref="AK8:BP8" si="92">(AJ8*(1+$B8))+((AJ$33*$C8)*(1+$B8))</f>
        <v>543779074.84379327</v>
      </c>
      <c r="AL8" s="58">
        <f t="shared" si="92"/>
        <v>625345936.07036221</v>
      </c>
      <c r="AM8" s="58">
        <f t="shared" si="92"/>
        <v>719147826.4809165</v>
      </c>
      <c r="AN8" s="58">
        <f t="shared" si="92"/>
        <v>827020000.45305395</v>
      </c>
      <c r="AO8" s="58">
        <f t="shared" si="92"/>
        <v>951073000.52101195</v>
      </c>
      <c r="AP8" s="58">
        <f t="shared" si="92"/>
        <v>1093733950.5991638</v>
      </c>
      <c r="AQ8" s="58">
        <f t="shared" si="92"/>
        <v>1257794043.1890383</v>
      </c>
      <c r="AR8" s="58">
        <f t="shared" si="92"/>
        <v>1446463149.6673939</v>
      </c>
      <c r="AS8" s="58">
        <f t="shared" si="92"/>
        <v>1663432622.1175029</v>
      </c>
      <c r="AT8" s="58">
        <f t="shared" si="92"/>
        <v>1912947515.4351282</v>
      </c>
      <c r="AU8" s="58">
        <f t="shared" si="92"/>
        <v>2199889642.7503972</v>
      </c>
      <c r="AV8" s="58">
        <f t="shared" si="92"/>
        <v>2529873089.1629567</v>
      </c>
      <c r="AW8" s="58">
        <f t="shared" si="92"/>
        <v>2909354052.5373998</v>
      </c>
      <c r="AX8" s="58">
        <f t="shared" si="92"/>
        <v>3345757160.4180093</v>
      </c>
      <c r="AY8" s="58">
        <f t="shared" si="92"/>
        <v>3847620734.4807105</v>
      </c>
      <c r="AZ8" s="58">
        <f t="shared" si="92"/>
        <v>4424763844.6528168</v>
      </c>
      <c r="BA8" s="58">
        <f t="shared" si="92"/>
        <v>5088478421.3507385</v>
      </c>
      <c r="BB8" s="58">
        <f t="shared" si="92"/>
        <v>5851750184.5533485</v>
      </c>
      <c r="BC8" s="58">
        <f t="shared" si="92"/>
        <v>6729512712.2363501</v>
      </c>
      <c r="BD8" s="58">
        <f t="shared" si="92"/>
        <v>7738939619.0718021</v>
      </c>
      <c r="BE8" s="58">
        <f t="shared" si="92"/>
        <v>8899780561.9325714</v>
      </c>
      <c r="BF8" s="58">
        <f t="shared" si="92"/>
        <v>10234747646.222456</v>
      </c>
      <c r="BG8" s="58">
        <f t="shared" si="92"/>
        <v>11769959793.155823</v>
      </c>
      <c r="BH8" s="58">
        <f t="shared" si="92"/>
        <v>13535453762.129194</v>
      </c>
      <c r="BI8" s="58">
        <f t="shared" si="92"/>
        <v>15565771826.448572</v>
      </c>
      <c r="BJ8" s="58">
        <f t="shared" si="92"/>
        <v>17900637600.415855</v>
      </c>
      <c r="BK8" s="58">
        <f t="shared" si="92"/>
        <v>20585733240.478233</v>
      </c>
      <c r="BL8" s="58">
        <f t="shared" si="92"/>
        <v>23673593226.549965</v>
      </c>
      <c r="BM8" s="58">
        <f t="shared" si="92"/>
        <v>27224632210.532459</v>
      </c>
      <c r="BN8" s="58">
        <f t="shared" si="92"/>
        <v>31308327042.112328</v>
      </c>
      <c r="BO8" s="58">
        <f t="shared" si="92"/>
        <v>36004576098.429176</v>
      </c>
      <c r="BP8" s="58">
        <f t="shared" si="92"/>
        <v>41405262513.19355</v>
      </c>
      <c r="BQ8" s="58">
        <f t="shared" ref="BQ8:BW8" si="93">(BP8*(1+$B8))+((BP$33*$C8)*(1+$B8))</f>
        <v>47616051890.172577</v>
      </c>
      <c r="BR8" s="58">
        <f t="shared" si="93"/>
        <v>54758459673.698456</v>
      </c>
      <c r="BS8" s="58">
        <f t="shared" si="93"/>
        <v>62972228624.75322</v>
      </c>
      <c r="BT8" s="58">
        <f t="shared" si="93"/>
        <v>72418062918.466202</v>
      </c>
      <c r="BU8" s="58">
        <f t="shared" si="93"/>
        <v>83280772356.23613</v>
      </c>
      <c r="BV8" s="58">
        <f t="shared" si="93"/>
        <v>95772888209.671539</v>
      </c>
      <c r="BW8" s="58">
        <f t="shared" si="93"/>
        <v>110138821441.12227</v>
      </c>
      <c r="BX8" s="58"/>
      <c r="BY8" s="200">
        <f t="shared" si="7"/>
        <v>0</v>
      </c>
      <c r="BZ8" s="200">
        <f t="shared" si="8"/>
        <v>0</v>
      </c>
      <c r="CA8" s="200">
        <f t="shared" si="9"/>
        <v>0</v>
      </c>
      <c r="CB8" s="200">
        <f t="shared" si="10"/>
        <v>0</v>
      </c>
      <c r="CC8" s="200">
        <f t="shared" si="11"/>
        <v>0</v>
      </c>
      <c r="CD8" s="200">
        <f t="shared" si="12"/>
        <v>0</v>
      </c>
      <c r="CE8" s="200">
        <f t="shared" si="13"/>
        <v>0</v>
      </c>
      <c r="CF8" s="200">
        <f t="shared" si="14"/>
        <v>0</v>
      </c>
      <c r="CG8" s="200">
        <f t="shared" si="15"/>
        <v>0</v>
      </c>
      <c r="CH8" s="200">
        <f t="shared" si="16"/>
        <v>0</v>
      </c>
      <c r="CI8" s="200">
        <f t="shared" si="17"/>
        <v>0</v>
      </c>
      <c r="CJ8" s="200">
        <f t="shared" si="18"/>
        <v>0</v>
      </c>
      <c r="CK8" s="200">
        <f t="shared" si="19"/>
        <v>0</v>
      </c>
      <c r="CL8" s="200">
        <f t="shared" si="20"/>
        <v>0</v>
      </c>
      <c r="CM8" s="200">
        <f t="shared" si="21"/>
        <v>0</v>
      </c>
      <c r="CN8" s="200">
        <f t="shared" si="22"/>
        <v>0</v>
      </c>
      <c r="CO8" s="200">
        <f t="shared" si="23"/>
        <v>0</v>
      </c>
      <c r="CP8" s="200">
        <f t="shared" si="24"/>
        <v>0</v>
      </c>
      <c r="CQ8" s="200">
        <f t="shared" si="25"/>
        <v>0</v>
      </c>
      <c r="CR8" s="200">
        <f t="shared" si="26"/>
        <v>0</v>
      </c>
      <c r="CS8" s="200">
        <f t="shared" si="27"/>
        <v>0</v>
      </c>
      <c r="CT8" s="200">
        <f t="shared" si="28"/>
        <v>0</v>
      </c>
      <c r="CU8" s="200">
        <f t="shared" si="29"/>
        <v>0</v>
      </c>
      <c r="CV8" s="200">
        <f t="shared" si="30"/>
        <v>0</v>
      </c>
      <c r="CW8" s="200">
        <f t="shared" si="31"/>
        <v>0</v>
      </c>
      <c r="CX8" s="200">
        <f t="shared" si="32"/>
        <v>0</v>
      </c>
      <c r="CY8" s="200">
        <f t="shared" si="33"/>
        <v>0</v>
      </c>
      <c r="CZ8" s="200">
        <f t="shared" si="34"/>
        <v>0</v>
      </c>
      <c r="DA8" s="200">
        <f t="shared" si="35"/>
        <v>0</v>
      </c>
      <c r="DB8" s="200">
        <f t="shared" si="36"/>
        <v>0</v>
      </c>
      <c r="DC8" s="200">
        <f t="shared" si="37"/>
        <v>0</v>
      </c>
      <c r="DD8" s="200">
        <f t="shared" si="38"/>
        <v>0</v>
      </c>
      <c r="DE8" s="200">
        <f t="shared" si="39"/>
        <v>0</v>
      </c>
      <c r="DF8" s="200">
        <f t="shared" si="40"/>
        <v>0</v>
      </c>
      <c r="DG8" s="200">
        <f t="shared" si="41"/>
        <v>0</v>
      </c>
      <c r="DH8" s="200">
        <f t="shared" si="42"/>
        <v>0</v>
      </c>
      <c r="DI8" s="200">
        <f t="shared" si="43"/>
        <v>0</v>
      </c>
      <c r="DJ8" s="200">
        <f t="shared" si="44"/>
        <v>0</v>
      </c>
      <c r="DK8" s="200">
        <f t="shared" si="45"/>
        <v>0</v>
      </c>
      <c r="DL8" s="200">
        <f t="shared" si="46"/>
        <v>0</v>
      </c>
      <c r="DM8" s="200">
        <f t="shared" si="47"/>
        <v>0</v>
      </c>
      <c r="DN8" s="200">
        <f t="shared" si="48"/>
        <v>0</v>
      </c>
      <c r="DO8" s="200">
        <f t="shared" si="49"/>
        <v>0</v>
      </c>
      <c r="DP8" s="200">
        <f t="shared" si="50"/>
        <v>0</v>
      </c>
      <c r="DQ8" s="200">
        <f t="shared" si="51"/>
        <v>0</v>
      </c>
      <c r="DR8" s="200">
        <f t="shared" si="52"/>
        <v>0</v>
      </c>
      <c r="DS8" s="200">
        <f t="shared" si="53"/>
        <v>0</v>
      </c>
      <c r="DT8" s="200">
        <f t="shared" si="54"/>
        <v>0</v>
      </c>
      <c r="DU8" s="200">
        <f t="shared" si="55"/>
        <v>0</v>
      </c>
      <c r="DV8" s="200">
        <f t="shared" si="56"/>
        <v>0</v>
      </c>
      <c r="DW8" s="200">
        <f t="shared" si="57"/>
        <v>0</v>
      </c>
      <c r="DX8" s="200">
        <f t="shared" si="58"/>
        <v>0</v>
      </c>
      <c r="DY8" s="200">
        <f t="shared" si="59"/>
        <v>0</v>
      </c>
      <c r="DZ8" s="200">
        <f t="shared" si="60"/>
        <v>0</v>
      </c>
      <c r="EA8" s="200">
        <f t="shared" si="61"/>
        <v>0</v>
      </c>
      <c r="EB8" s="200">
        <f t="shared" si="62"/>
        <v>0</v>
      </c>
      <c r="EC8" s="200">
        <f t="shared" si="63"/>
        <v>0</v>
      </c>
      <c r="ED8" s="200">
        <f t="shared" si="64"/>
        <v>0</v>
      </c>
      <c r="EE8" s="200">
        <f t="shared" si="65"/>
        <v>0</v>
      </c>
      <c r="EF8" s="200">
        <f t="shared" si="66"/>
        <v>0</v>
      </c>
      <c r="EG8" s="200">
        <f t="shared" si="67"/>
        <v>0</v>
      </c>
      <c r="EH8" s="200">
        <f t="shared" si="68"/>
        <v>0</v>
      </c>
      <c r="EI8" s="200">
        <f t="shared" si="69"/>
        <v>0</v>
      </c>
      <c r="EJ8" s="200">
        <f t="shared" si="70"/>
        <v>0</v>
      </c>
      <c r="EK8" s="200">
        <f t="shared" si="71"/>
        <v>0</v>
      </c>
      <c r="EL8" s="200">
        <f t="shared" si="72"/>
        <v>0</v>
      </c>
      <c r="EM8" s="200">
        <f t="shared" si="73"/>
        <v>0</v>
      </c>
      <c r="EN8" s="200">
        <f t="shared" si="74"/>
        <v>0</v>
      </c>
      <c r="EO8" s="200">
        <f t="shared" si="75"/>
        <v>0</v>
      </c>
      <c r="EP8" s="200">
        <f t="shared" si="76"/>
        <v>0</v>
      </c>
      <c r="EQ8" s="200">
        <f t="shared" si="77"/>
        <v>0</v>
      </c>
      <c r="ER8" s="200">
        <f t="shared" si="78"/>
        <v>0</v>
      </c>
    </row>
    <row r="9" spans="1:148" x14ac:dyDescent="0.3">
      <c r="A9" t="s">
        <v>153</v>
      </c>
      <c r="B9" s="202">
        <v>0.12</v>
      </c>
      <c r="D9" s="58">
        <f>WAR!D10</f>
        <v>1727262</v>
      </c>
      <c r="E9" s="58">
        <f t="shared" ref="E9:AJ9" si="94">(D9*(1+$B9))+((D$33*$C9)*(1+$B9))</f>
        <v>1934533.4400000002</v>
      </c>
      <c r="F9" s="58">
        <f t="shared" si="94"/>
        <v>2166677.4528000006</v>
      </c>
      <c r="G9" s="58">
        <f t="shared" si="94"/>
        <v>2426678.747136001</v>
      </c>
      <c r="H9" s="58">
        <f t="shared" si="94"/>
        <v>2717880.1967923213</v>
      </c>
      <c r="I9" s="58">
        <f t="shared" si="94"/>
        <v>3044025.8204073999</v>
      </c>
      <c r="J9" s="58">
        <f t="shared" si="94"/>
        <v>3409308.9188562883</v>
      </c>
      <c r="K9" s="58">
        <f t="shared" si="94"/>
        <v>3818425.9891190431</v>
      </c>
      <c r="L9" s="58">
        <f t="shared" si="94"/>
        <v>4276637.1078133285</v>
      </c>
      <c r="M9" s="58">
        <f t="shared" si="94"/>
        <v>4789833.5607509287</v>
      </c>
      <c r="N9" s="58">
        <f t="shared" si="94"/>
        <v>5364613.588041041</v>
      </c>
      <c r="O9" s="58">
        <f t="shared" si="94"/>
        <v>6008367.2186059663</v>
      </c>
      <c r="P9" s="58">
        <f t="shared" si="94"/>
        <v>6729371.284838683</v>
      </c>
      <c r="Q9" s="58">
        <f t="shared" si="94"/>
        <v>7536895.8390193256</v>
      </c>
      <c r="R9" s="58">
        <f t="shared" si="94"/>
        <v>8441323.3397016451</v>
      </c>
      <c r="S9" s="58">
        <f t="shared" si="94"/>
        <v>9454282.1404658426</v>
      </c>
      <c r="T9" s="58">
        <f t="shared" si="94"/>
        <v>10588795.997321745</v>
      </c>
      <c r="U9" s="58">
        <f t="shared" si="94"/>
        <v>11859451.517000357</v>
      </c>
      <c r="V9" s="58">
        <f t="shared" si="94"/>
        <v>13282585.6990404</v>
      </c>
      <c r="W9" s="58">
        <f t="shared" si="94"/>
        <v>14876495.982925249</v>
      </c>
      <c r="X9" s="58">
        <f t="shared" si="94"/>
        <v>16661675.500876281</v>
      </c>
      <c r="Y9" s="58">
        <f t="shared" si="94"/>
        <v>18661076.560981438</v>
      </c>
      <c r="Z9" s="58">
        <f t="shared" si="94"/>
        <v>20900405.748299211</v>
      </c>
      <c r="AA9" s="58">
        <f t="shared" si="94"/>
        <v>23408454.438095119</v>
      </c>
      <c r="AB9" s="58">
        <f t="shared" si="94"/>
        <v>26217468.970666535</v>
      </c>
      <c r="AC9" s="58">
        <f t="shared" si="94"/>
        <v>29363565.247146521</v>
      </c>
      <c r="AD9" s="58">
        <f t="shared" si="94"/>
        <v>32887193.076804105</v>
      </c>
      <c r="AE9" s="58">
        <f t="shared" si="94"/>
        <v>36833656.2460206</v>
      </c>
      <c r="AF9" s="58">
        <f t="shared" si="94"/>
        <v>41253694.995543078</v>
      </c>
      <c r="AG9" s="58">
        <f t="shared" si="94"/>
        <v>46204138.395008251</v>
      </c>
      <c r="AH9" s="58">
        <f t="shared" si="94"/>
        <v>51748635.00240925</v>
      </c>
      <c r="AI9" s="58">
        <f t="shared" si="94"/>
        <v>57958471.202698365</v>
      </c>
      <c r="AJ9" s="58">
        <f t="shared" si="94"/>
        <v>64913487.747022174</v>
      </c>
      <c r="AK9" s="58">
        <f t="shared" ref="AK9:BP9" si="95">(AJ9*(1+$B9))+((AJ$33*$C9)*(1+$B9))</f>
        <v>72703106.276664838</v>
      </c>
      <c r="AL9" s="58">
        <f t="shared" si="95"/>
        <v>81427479.029864624</v>
      </c>
      <c r="AM9" s="58">
        <f t="shared" si="95"/>
        <v>91198776.513448387</v>
      </c>
      <c r="AN9" s="58">
        <f t="shared" si="95"/>
        <v>102142629.69506221</v>
      </c>
      <c r="AO9" s="58">
        <f t="shared" si="95"/>
        <v>114399745.25846969</v>
      </c>
      <c r="AP9" s="58">
        <f t="shared" si="95"/>
        <v>128127714.68948606</v>
      </c>
      <c r="AQ9" s="58">
        <f t="shared" si="95"/>
        <v>143503040.4522244</v>
      </c>
      <c r="AR9" s="58">
        <f t="shared" si="95"/>
        <v>160723405.30649135</v>
      </c>
      <c r="AS9" s="58">
        <f t="shared" si="95"/>
        <v>180010213.94327033</v>
      </c>
      <c r="AT9" s="58">
        <f t="shared" si="95"/>
        <v>201611439.6164628</v>
      </c>
      <c r="AU9" s="58">
        <f t="shared" si="95"/>
        <v>225804812.37043837</v>
      </c>
      <c r="AV9" s="58">
        <f t="shared" si="95"/>
        <v>252901389.854891</v>
      </c>
      <c r="AW9" s="58">
        <f t="shared" si="95"/>
        <v>283249556.63747793</v>
      </c>
      <c r="AX9" s="58">
        <f t="shared" si="95"/>
        <v>317239503.43397534</v>
      </c>
      <c r="AY9" s="58">
        <f t="shared" si="95"/>
        <v>355308243.84605241</v>
      </c>
      <c r="AZ9" s="58">
        <f t="shared" si="95"/>
        <v>397945233.10757875</v>
      </c>
      <c r="BA9" s="58">
        <f t="shared" si="95"/>
        <v>445698661.08048826</v>
      </c>
      <c r="BB9" s="58">
        <f t="shared" si="95"/>
        <v>499182500.41014689</v>
      </c>
      <c r="BC9" s="58">
        <f t="shared" si="95"/>
        <v>559084400.45936453</v>
      </c>
      <c r="BD9" s="58">
        <f t="shared" si="95"/>
        <v>626174528.51448834</v>
      </c>
      <c r="BE9" s="58">
        <f t="shared" si="95"/>
        <v>701315471.93622696</v>
      </c>
      <c r="BF9" s="58">
        <f t="shared" si="95"/>
        <v>785473328.56857431</v>
      </c>
      <c r="BG9" s="58">
        <f t="shared" si="95"/>
        <v>879730127.99680328</v>
      </c>
      <c r="BH9" s="58">
        <f t="shared" si="95"/>
        <v>985297743.3564198</v>
      </c>
      <c r="BI9" s="58">
        <f t="shared" si="95"/>
        <v>1103533472.5591903</v>
      </c>
      <c r="BJ9" s="58">
        <f t="shared" si="95"/>
        <v>1235957489.2662933</v>
      </c>
      <c r="BK9" s="58">
        <f t="shared" si="95"/>
        <v>1384272387.9782486</v>
      </c>
      <c r="BL9" s="58">
        <f t="shared" si="95"/>
        <v>1550385074.5356386</v>
      </c>
      <c r="BM9" s="58">
        <f t="shared" si="95"/>
        <v>1736431283.4799154</v>
      </c>
      <c r="BN9" s="58">
        <f t="shared" si="95"/>
        <v>1944803037.4975054</v>
      </c>
      <c r="BO9" s="58">
        <f t="shared" si="95"/>
        <v>2178179401.9972062</v>
      </c>
      <c r="BP9" s="58">
        <f t="shared" si="95"/>
        <v>2439560930.2368712</v>
      </c>
      <c r="BQ9" s="58">
        <f t="shared" ref="BQ9:BW9" si="96">(BP9*(1+$B9))+((BP$33*$C9)*(1+$B9))</f>
        <v>2732308241.8652959</v>
      </c>
      <c r="BR9" s="58">
        <f t="shared" si="96"/>
        <v>3060185230.8891315</v>
      </c>
      <c r="BS9" s="58">
        <f t="shared" si="96"/>
        <v>3427407458.5958276</v>
      </c>
      <c r="BT9" s="58">
        <f t="shared" si="96"/>
        <v>3838696353.6273274</v>
      </c>
      <c r="BU9" s="58">
        <f t="shared" si="96"/>
        <v>4299339916.0626068</v>
      </c>
      <c r="BV9" s="58">
        <f t="shared" si="96"/>
        <v>4815260705.9901199</v>
      </c>
      <c r="BW9" s="58">
        <f t="shared" si="96"/>
        <v>5393091990.7089348</v>
      </c>
      <c r="BX9" s="58"/>
      <c r="BY9" s="200">
        <f t="shared" si="7"/>
        <v>0</v>
      </c>
      <c r="BZ9" s="200">
        <f t="shared" si="8"/>
        <v>0</v>
      </c>
      <c r="CA9" s="200">
        <f t="shared" si="9"/>
        <v>0</v>
      </c>
      <c r="CB9" s="200">
        <f t="shared" si="10"/>
        <v>0</v>
      </c>
      <c r="CC9" s="200">
        <f t="shared" si="11"/>
        <v>0</v>
      </c>
      <c r="CD9" s="200">
        <f t="shared" si="12"/>
        <v>0</v>
      </c>
      <c r="CE9" s="200">
        <f t="shared" si="13"/>
        <v>0</v>
      </c>
      <c r="CF9" s="200">
        <f t="shared" si="14"/>
        <v>0</v>
      </c>
      <c r="CG9" s="200">
        <f t="shared" si="15"/>
        <v>0</v>
      </c>
      <c r="CH9" s="200">
        <f t="shared" si="16"/>
        <v>0</v>
      </c>
      <c r="CI9" s="200">
        <f t="shared" si="17"/>
        <v>0</v>
      </c>
      <c r="CJ9" s="200">
        <f t="shared" si="18"/>
        <v>0</v>
      </c>
      <c r="CK9" s="200">
        <f t="shared" si="19"/>
        <v>0</v>
      </c>
      <c r="CL9" s="200">
        <f t="shared" si="20"/>
        <v>0</v>
      </c>
      <c r="CM9" s="200">
        <f t="shared" si="21"/>
        <v>0</v>
      </c>
      <c r="CN9" s="200">
        <f t="shared" si="22"/>
        <v>0</v>
      </c>
      <c r="CO9" s="200">
        <f t="shared" si="23"/>
        <v>0</v>
      </c>
      <c r="CP9" s="200">
        <f t="shared" si="24"/>
        <v>0</v>
      </c>
      <c r="CQ9" s="200">
        <f t="shared" si="25"/>
        <v>0</v>
      </c>
      <c r="CR9" s="200">
        <f t="shared" si="26"/>
        <v>0</v>
      </c>
      <c r="CS9" s="200">
        <f t="shared" si="27"/>
        <v>0</v>
      </c>
      <c r="CT9" s="200">
        <f t="shared" si="28"/>
        <v>0</v>
      </c>
      <c r="CU9" s="200">
        <f t="shared" si="29"/>
        <v>0</v>
      </c>
      <c r="CV9" s="200">
        <f t="shared" si="30"/>
        <v>0</v>
      </c>
      <c r="CW9" s="200">
        <f t="shared" si="31"/>
        <v>0</v>
      </c>
      <c r="CX9" s="200">
        <f t="shared" si="32"/>
        <v>0</v>
      </c>
      <c r="CY9" s="200">
        <f t="shared" si="33"/>
        <v>0</v>
      </c>
      <c r="CZ9" s="200">
        <f t="shared" si="34"/>
        <v>0</v>
      </c>
      <c r="DA9" s="200">
        <f t="shared" si="35"/>
        <v>0</v>
      </c>
      <c r="DB9" s="200">
        <f t="shared" si="36"/>
        <v>0</v>
      </c>
      <c r="DC9" s="200">
        <f t="shared" si="37"/>
        <v>0</v>
      </c>
      <c r="DD9" s="200">
        <f t="shared" si="38"/>
        <v>0</v>
      </c>
      <c r="DE9" s="200">
        <f t="shared" si="39"/>
        <v>0</v>
      </c>
      <c r="DF9" s="200">
        <f t="shared" si="40"/>
        <v>0</v>
      </c>
      <c r="DG9" s="200">
        <f t="shared" si="41"/>
        <v>0</v>
      </c>
      <c r="DH9" s="200">
        <f t="shared" si="42"/>
        <v>0</v>
      </c>
      <c r="DI9" s="200">
        <f t="shared" si="43"/>
        <v>0</v>
      </c>
      <c r="DJ9" s="200">
        <f t="shared" si="44"/>
        <v>0</v>
      </c>
      <c r="DK9" s="200">
        <f t="shared" si="45"/>
        <v>0</v>
      </c>
      <c r="DL9" s="200">
        <f t="shared" si="46"/>
        <v>0</v>
      </c>
      <c r="DM9" s="200">
        <f t="shared" si="47"/>
        <v>0</v>
      </c>
      <c r="DN9" s="200">
        <f t="shared" si="48"/>
        <v>0</v>
      </c>
      <c r="DO9" s="200">
        <f t="shared" si="49"/>
        <v>0</v>
      </c>
      <c r="DP9" s="200">
        <f t="shared" si="50"/>
        <v>0</v>
      </c>
      <c r="DQ9" s="200">
        <f t="shared" si="51"/>
        <v>0</v>
      </c>
      <c r="DR9" s="200">
        <f t="shared" si="52"/>
        <v>0</v>
      </c>
      <c r="DS9" s="200">
        <f t="shared" si="53"/>
        <v>0</v>
      </c>
      <c r="DT9" s="200">
        <f t="shared" si="54"/>
        <v>0</v>
      </c>
      <c r="DU9" s="200">
        <f t="shared" si="55"/>
        <v>0</v>
      </c>
      <c r="DV9" s="200">
        <f t="shared" si="56"/>
        <v>0</v>
      </c>
      <c r="DW9" s="200">
        <f t="shared" si="57"/>
        <v>0</v>
      </c>
      <c r="DX9" s="200">
        <f t="shared" si="58"/>
        <v>0</v>
      </c>
      <c r="DY9" s="200">
        <f t="shared" si="59"/>
        <v>0</v>
      </c>
      <c r="DZ9" s="200">
        <f t="shared" si="60"/>
        <v>0</v>
      </c>
      <c r="EA9" s="200">
        <f t="shared" si="61"/>
        <v>0</v>
      </c>
      <c r="EB9" s="200">
        <f t="shared" si="62"/>
        <v>0</v>
      </c>
      <c r="EC9" s="200">
        <f t="shared" si="63"/>
        <v>0</v>
      </c>
      <c r="ED9" s="200">
        <f t="shared" si="64"/>
        <v>0</v>
      </c>
      <c r="EE9" s="200">
        <f t="shared" si="65"/>
        <v>0</v>
      </c>
      <c r="EF9" s="200">
        <f t="shared" si="66"/>
        <v>0</v>
      </c>
      <c r="EG9" s="200">
        <f t="shared" si="67"/>
        <v>0</v>
      </c>
      <c r="EH9" s="200">
        <f t="shared" si="68"/>
        <v>0</v>
      </c>
      <c r="EI9" s="200">
        <f t="shared" si="69"/>
        <v>0</v>
      </c>
      <c r="EJ9" s="200">
        <f t="shared" si="70"/>
        <v>0</v>
      </c>
      <c r="EK9" s="200">
        <f t="shared" si="71"/>
        <v>0</v>
      </c>
      <c r="EL9" s="200">
        <f t="shared" si="72"/>
        <v>0</v>
      </c>
      <c r="EM9" s="200">
        <f t="shared" si="73"/>
        <v>0</v>
      </c>
      <c r="EN9" s="200">
        <f t="shared" si="74"/>
        <v>0</v>
      </c>
      <c r="EO9" s="200">
        <f t="shared" si="75"/>
        <v>0</v>
      </c>
      <c r="EP9" s="200">
        <f t="shared" si="76"/>
        <v>0</v>
      </c>
      <c r="EQ9" s="200">
        <f t="shared" si="77"/>
        <v>0</v>
      </c>
      <c r="ER9" s="200">
        <f t="shared" si="78"/>
        <v>0</v>
      </c>
    </row>
    <row r="10" spans="1:148" x14ac:dyDescent="0.3">
      <c r="A10" t="s">
        <v>126</v>
      </c>
      <c r="B10" s="200">
        <v>3.5000000000000003E-2</v>
      </c>
      <c r="D10" s="58">
        <f>WAR!D13</f>
        <v>1500000</v>
      </c>
      <c r="E10" s="58">
        <f t="shared" ref="E10:AJ10" si="97">(D10*(1+$B10))+((D$33*$C10)*(1+$B10))</f>
        <v>1552499.9999999998</v>
      </c>
      <c r="F10" s="58">
        <f t="shared" si="97"/>
        <v>1606837.4999999995</v>
      </c>
      <c r="G10" s="58">
        <f t="shared" si="97"/>
        <v>1663076.8124999993</v>
      </c>
      <c r="H10" s="58">
        <f t="shared" si="97"/>
        <v>1721284.5009374991</v>
      </c>
      <c r="I10" s="58">
        <f t="shared" si="97"/>
        <v>1781529.4584703115</v>
      </c>
      <c r="J10" s="58">
        <f t="shared" si="97"/>
        <v>1843882.9895167723</v>
      </c>
      <c r="K10" s="58">
        <f t="shared" si="97"/>
        <v>1908418.8941498592</v>
      </c>
      <c r="L10" s="58">
        <f t="shared" si="97"/>
        <v>1975213.5554451041</v>
      </c>
      <c r="M10" s="58">
        <f t="shared" si="97"/>
        <v>2044346.0298856825</v>
      </c>
      <c r="N10" s="58">
        <f t="shared" si="97"/>
        <v>2115898.1409316813</v>
      </c>
      <c r="O10" s="58">
        <f t="shared" si="97"/>
        <v>2189954.5758642899</v>
      </c>
      <c r="P10" s="58">
        <f t="shared" si="97"/>
        <v>2266602.9860195396</v>
      </c>
      <c r="Q10" s="58">
        <f t="shared" si="97"/>
        <v>2345934.0905302232</v>
      </c>
      <c r="R10" s="58">
        <f t="shared" si="97"/>
        <v>2428041.7836987809</v>
      </c>
      <c r="S10" s="58">
        <f t="shared" si="97"/>
        <v>2513023.2461282383</v>
      </c>
      <c r="T10" s="58">
        <f t="shared" si="97"/>
        <v>2600979.0597427264</v>
      </c>
      <c r="U10" s="58">
        <f t="shared" si="97"/>
        <v>2692013.3268337217</v>
      </c>
      <c r="V10" s="58">
        <f t="shared" si="97"/>
        <v>2786233.7932729018</v>
      </c>
      <c r="W10" s="58">
        <f t="shared" si="97"/>
        <v>2883751.9760374529</v>
      </c>
      <c r="X10" s="58">
        <f t="shared" si="97"/>
        <v>2984683.2951987637</v>
      </c>
      <c r="Y10" s="58">
        <f t="shared" si="97"/>
        <v>3089147.2105307202</v>
      </c>
      <c r="Z10" s="58">
        <f t="shared" si="97"/>
        <v>3197267.3628992951</v>
      </c>
      <c r="AA10" s="58">
        <f t="shared" si="97"/>
        <v>3309171.7206007703</v>
      </c>
      <c r="AB10" s="58">
        <f t="shared" si="97"/>
        <v>3424992.7308217972</v>
      </c>
      <c r="AC10" s="58">
        <f t="shared" si="97"/>
        <v>3544867.4764005598</v>
      </c>
      <c r="AD10" s="58">
        <f t="shared" si="97"/>
        <v>3668937.8380745789</v>
      </c>
      <c r="AE10" s="58">
        <f t="shared" si="97"/>
        <v>3797350.6624071887</v>
      </c>
      <c r="AF10" s="58">
        <f t="shared" si="97"/>
        <v>3930257.9355914402</v>
      </c>
      <c r="AG10" s="58">
        <f t="shared" si="97"/>
        <v>4067816.9633371402</v>
      </c>
      <c r="AH10" s="58">
        <f t="shared" si="97"/>
        <v>4210190.5570539394</v>
      </c>
      <c r="AI10" s="58">
        <f t="shared" si="97"/>
        <v>4357547.2265508268</v>
      </c>
      <c r="AJ10" s="58">
        <f t="shared" si="97"/>
        <v>4510061.3794801058</v>
      </c>
      <c r="AK10" s="58">
        <f t="shared" ref="AK10:BP10" si="98">(AJ10*(1+$B10))+((AJ$33*$C10)*(1+$B10))</f>
        <v>4667913.5277619092</v>
      </c>
      <c r="AL10" s="58">
        <f t="shared" si="98"/>
        <v>4831290.5012335759</v>
      </c>
      <c r="AM10" s="58">
        <f t="shared" si="98"/>
        <v>5000385.6687767506</v>
      </c>
      <c r="AN10" s="58">
        <f t="shared" si="98"/>
        <v>5175399.1671839366</v>
      </c>
      <c r="AO10" s="58">
        <f t="shared" si="98"/>
        <v>5356538.1380353738</v>
      </c>
      <c r="AP10" s="58">
        <f t="shared" si="98"/>
        <v>5544016.9728666116</v>
      </c>
      <c r="AQ10" s="58">
        <f t="shared" si="98"/>
        <v>5738057.5669169426</v>
      </c>
      <c r="AR10" s="58">
        <f t="shared" si="98"/>
        <v>5938889.5817590356</v>
      </c>
      <c r="AS10" s="58">
        <f t="shared" si="98"/>
        <v>6146750.7171206018</v>
      </c>
      <c r="AT10" s="58">
        <f t="shared" si="98"/>
        <v>6361886.9922198225</v>
      </c>
      <c r="AU10" s="58">
        <f t="shared" si="98"/>
        <v>6584553.0369475158</v>
      </c>
      <c r="AV10" s="58">
        <f t="shared" si="98"/>
        <v>6815012.3932406781</v>
      </c>
      <c r="AW10" s="58">
        <f t="shared" si="98"/>
        <v>7053537.8270041011</v>
      </c>
      <c r="AX10" s="58">
        <f t="shared" si="98"/>
        <v>7300411.6509492444</v>
      </c>
      <c r="AY10" s="58">
        <f t="shared" si="98"/>
        <v>7555926.0587324677</v>
      </c>
      <c r="AZ10" s="58">
        <f t="shared" si="98"/>
        <v>7820383.4707881035</v>
      </c>
      <c r="BA10" s="58">
        <f t="shared" si="98"/>
        <v>8094096.8922656868</v>
      </c>
      <c r="BB10" s="58">
        <f t="shared" si="98"/>
        <v>8377390.2834949847</v>
      </c>
      <c r="BC10" s="58">
        <f t="shared" si="98"/>
        <v>8670598.9434173089</v>
      </c>
      <c r="BD10" s="58">
        <f t="shared" si="98"/>
        <v>8974069.9064369146</v>
      </c>
      <c r="BE10" s="58">
        <f t="shared" si="98"/>
        <v>9288162.3531622067</v>
      </c>
      <c r="BF10" s="58">
        <f t="shared" si="98"/>
        <v>9613248.0355228838</v>
      </c>
      <c r="BG10" s="58">
        <f t="shared" si="98"/>
        <v>9949711.7167661842</v>
      </c>
      <c r="BH10" s="58">
        <f t="shared" si="98"/>
        <v>10297951.626853</v>
      </c>
      <c r="BI10" s="58">
        <f t="shared" si="98"/>
        <v>10658379.933792854</v>
      </c>
      <c r="BJ10" s="58">
        <f t="shared" si="98"/>
        <v>11031423.231475603</v>
      </c>
      <c r="BK10" s="58">
        <f t="shared" si="98"/>
        <v>11417523.044577248</v>
      </c>
      <c r="BL10" s="58">
        <f t="shared" si="98"/>
        <v>11817136.351137452</v>
      </c>
      <c r="BM10" s="58">
        <f t="shared" si="98"/>
        <v>12230736.123427263</v>
      </c>
      <c r="BN10" s="58">
        <f t="shared" si="98"/>
        <v>12658811.887747215</v>
      </c>
      <c r="BO10" s="58">
        <f t="shared" si="98"/>
        <v>13101870.303818367</v>
      </c>
      <c r="BP10" s="58">
        <f t="shared" si="98"/>
        <v>13560435.764452009</v>
      </c>
      <c r="BQ10" s="58">
        <f t="shared" ref="BQ10:BW10" si="99">(BP10*(1+$B10))+((BP$33*$C10)*(1+$B10))</f>
        <v>14035051.016207827</v>
      </c>
      <c r="BR10" s="58">
        <f t="shared" si="99"/>
        <v>14526277.8017751</v>
      </c>
      <c r="BS10" s="58">
        <f t="shared" si="99"/>
        <v>15034697.524837228</v>
      </c>
      <c r="BT10" s="58">
        <f t="shared" si="99"/>
        <v>15560911.938206529</v>
      </c>
      <c r="BU10" s="58">
        <f t="shared" si="99"/>
        <v>16105543.856043756</v>
      </c>
      <c r="BV10" s="58">
        <f t="shared" si="99"/>
        <v>16669237.891005287</v>
      </c>
      <c r="BW10" s="58">
        <f t="shared" si="99"/>
        <v>17252661.217190471</v>
      </c>
      <c r="BX10" s="58"/>
      <c r="BY10" s="200">
        <f t="shared" si="7"/>
        <v>0</v>
      </c>
      <c r="BZ10" s="200">
        <f t="shared" si="8"/>
        <v>0</v>
      </c>
      <c r="CA10" s="200">
        <f t="shared" si="9"/>
        <v>0</v>
      </c>
      <c r="CB10" s="200">
        <f t="shared" si="10"/>
        <v>0</v>
      </c>
      <c r="CC10" s="200">
        <f t="shared" si="11"/>
        <v>0</v>
      </c>
      <c r="CD10" s="200">
        <f t="shared" si="12"/>
        <v>0</v>
      </c>
      <c r="CE10" s="200">
        <f t="shared" si="13"/>
        <v>0</v>
      </c>
      <c r="CF10" s="200">
        <f t="shared" si="14"/>
        <v>0</v>
      </c>
      <c r="CG10" s="200">
        <f t="shared" si="15"/>
        <v>0</v>
      </c>
      <c r="CH10" s="200">
        <f t="shared" si="16"/>
        <v>0</v>
      </c>
      <c r="CI10" s="200">
        <f t="shared" si="17"/>
        <v>0</v>
      </c>
      <c r="CJ10" s="200">
        <f t="shared" si="18"/>
        <v>0</v>
      </c>
      <c r="CK10" s="200">
        <f t="shared" si="19"/>
        <v>0</v>
      </c>
      <c r="CL10" s="200">
        <f t="shared" si="20"/>
        <v>0</v>
      </c>
      <c r="CM10" s="200">
        <f t="shared" si="21"/>
        <v>0</v>
      </c>
      <c r="CN10" s="200">
        <f t="shared" si="22"/>
        <v>0</v>
      </c>
      <c r="CO10" s="200">
        <f t="shared" si="23"/>
        <v>0</v>
      </c>
      <c r="CP10" s="200">
        <f t="shared" si="24"/>
        <v>0</v>
      </c>
      <c r="CQ10" s="200">
        <f t="shared" si="25"/>
        <v>0</v>
      </c>
      <c r="CR10" s="200">
        <f t="shared" si="26"/>
        <v>0</v>
      </c>
      <c r="CS10" s="200">
        <f t="shared" si="27"/>
        <v>0</v>
      </c>
      <c r="CT10" s="200">
        <f t="shared" si="28"/>
        <v>0</v>
      </c>
      <c r="CU10" s="200">
        <f t="shared" si="29"/>
        <v>0</v>
      </c>
      <c r="CV10" s="200">
        <f t="shared" si="30"/>
        <v>0</v>
      </c>
      <c r="CW10" s="200">
        <f t="shared" si="31"/>
        <v>0</v>
      </c>
      <c r="CX10" s="200">
        <f t="shared" si="32"/>
        <v>0</v>
      </c>
      <c r="CY10" s="200">
        <f t="shared" si="33"/>
        <v>0</v>
      </c>
      <c r="CZ10" s="200">
        <f t="shared" si="34"/>
        <v>0</v>
      </c>
      <c r="DA10" s="200">
        <f t="shared" si="35"/>
        <v>0</v>
      </c>
      <c r="DB10" s="200">
        <f t="shared" si="36"/>
        <v>0</v>
      </c>
      <c r="DC10" s="200">
        <f t="shared" si="37"/>
        <v>0</v>
      </c>
      <c r="DD10" s="200">
        <f t="shared" si="38"/>
        <v>0</v>
      </c>
      <c r="DE10" s="200">
        <f t="shared" si="39"/>
        <v>0</v>
      </c>
      <c r="DF10" s="200">
        <f t="shared" si="40"/>
        <v>0</v>
      </c>
      <c r="DG10" s="200">
        <f t="shared" si="41"/>
        <v>0</v>
      </c>
      <c r="DH10" s="200">
        <f t="shared" si="42"/>
        <v>0</v>
      </c>
      <c r="DI10" s="200">
        <f t="shared" si="43"/>
        <v>0</v>
      </c>
      <c r="DJ10" s="200">
        <f t="shared" si="44"/>
        <v>0</v>
      </c>
      <c r="DK10" s="200">
        <f t="shared" si="45"/>
        <v>0</v>
      </c>
      <c r="DL10" s="200">
        <f t="shared" si="46"/>
        <v>0</v>
      </c>
      <c r="DM10" s="200">
        <f t="shared" si="47"/>
        <v>0</v>
      </c>
      <c r="DN10" s="200">
        <f t="shared" si="48"/>
        <v>0</v>
      </c>
      <c r="DO10" s="200">
        <f t="shared" si="49"/>
        <v>0</v>
      </c>
      <c r="DP10" s="200">
        <f t="shared" si="50"/>
        <v>0</v>
      </c>
      <c r="DQ10" s="200">
        <f t="shared" si="51"/>
        <v>0</v>
      </c>
      <c r="DR10" s="200">
        <f t="shared" si="52"/>
        <v>0</v>
      </c>
      <c r="DS10" s="200">
        <f t="shared" si="53"/>
        <v>0</v>
      </c>
      <c r="DT10" s="200">
        <f t="shared" si="54"/>
        <v>0</v>
      </c>
      <c r="DU10" s="200">
        <f t="shared" si="55"/>
        <v>0</v>
      </c>
      <c r="DV10" s="200">
        <f t="shared" si="56"/>
        <v>0</v>
      </c>
      <c r="DW10" s="200">
        <f t="shared" si="57"/>
        <v>0</v>
      </c>
      <c r="DX10" s="200">
        <f t="shared" si="58"/>
        <v>0</v>
      </c>
      <c r="DY10" s="200">
        <f t="shared" si="59"/>
        <v>0</v>
      </c>
      <c r="DZ10" s="200">
        <f t="shared" si="60"/>
        <v>0</v>
      </c>
      <c r="EA10" s="200">
        <f t="shared" si="61"/>
        <v>0</v>
      </c>
      <c r="EB10" s="200">
        <f t="shared" si="62"/>
        <v>0</v>
      </c>
      <c r="EC10" s="200">
        <f t="shared" si="63"/>
        <v>0</v>
      </c>
      <c r="ED10" s="200">
        <f t="shared" si="64"/>
        <v>0</v>
      </c>
      <c r="EE10" s="200">
        <f t="shared" si="65"/>
        <v>0</v>
      </c>
      <c r="EF10" s="200">
        <f t="shared" si="66"/>
        <v>0</v>
      </c>
      <c r="EG10" s="200">
        <f t="shared" si="67"/>
        <v>0</v>
      </c>
      <c r="EH10" s="200">
        <f t="shared" si="68"/>
        <v>0</v>
      </c>
      <c r="EI10" s="200">
        <f t="shared" si="69"/>
        <v>0</v>
      </c>
      <c r="EJ10" s="200">
        <f t="shared" si="70"/>
        <v>0</v>
      </c>
      <c r="EK10" s="200">
        <f t="shared" si="71"/>
        <v>0</v>
      </c>
      <c r="EL10" s="200">
        <f t="shared" si="72"/>
        <v>0</v>
      </c>
      <c r="EM10" s="200">
        <f t="shared" si="73"/>
        <v>0</v>
      </c>
      <c r="EN10" s="200">
        <f t="shared" si="74"/>
        <v>0</v>
      </c>
      <c r="EO10" s="200">
        <f t="shared" si="75"/>
        <v>0</v>
      </c>
      <c r="EP10" s="200">
        <f t="shared" si="76"/>
        <v>0</v>
      </c>
      <c r="EQ10" s="200">
        <f t="shared" si="77"/>
        <v>0</v>
      </c>
      <c r="ER10" s="200">
        <f t="shared" si="78"/>
        <v>0</v>
      </c>
    </row>
    <row r="11" spans="1:148" x14ac:dyDescent="0.3">
      <c r="A11" t="s">
        <v>127</v>
      </c>
      <c r="B11" s="200">
        <v>0.05</v>
      </c>
      <c r="D11" s="58">
        <f>WAR!D14</f>
        <v>0</v>
      </c>
      <c r="E11" s="58">
        <f t="shared" ref="E11:AJ11" si="100">(D11*(1+$B11))+((D$33*$C11)*(1+$B11))</f>
        <v>0</v>
      </c>
      <c r="F11" s="58">
        <f t="shared" si="100"/>
        <v>0</v>
      </c>
      <c r="G11" s="58">
        <f t="shared" si="100"/>
        <v>0</v>
      </c>
      <c r="H11" s="58">
        <f t="shared" si="100"/>
        <v>0</v>
      </c>
      <c r="I11" s="58">
        <f t="shared" si="100"/>
        <v>0</v>
      </c>
      <c r="J11" s="58">
        <f t="shared" si="100"/>
        <v>0</v>
      </c>
      <c r="K11" s="58">
        <f t="shared" si="100"/>
        <v>0</v>
      </c>
      <c r="L11" s="58">
        <f t="shared" si="100"/>
        <v>0</v>
      </c>
      <c r="M11" s="58">
        <f t="shared" si="100"/>
        <v>0</v>
      </c>
      <c r="N11" s="58">
        <f t="shared" si="100"/>
        <v>0</v>
      </c>
      <c r="O11" s="58">
        <f t="shared" si="100"/>
        <v>0</v>
      </c>
      <c r="P11" s="58">
        <f t="shared" si="100"/>
        <v>0</v>
      </c>
      <c r="Q11" s="58">
        <f t="shared" si="100"/>
        <v>0</v>
      </c>
      <c r="R11" s="58">
        <f t="shared" si="100"/>
        <v>0</v>
      </c>
      <c r="S11" s="58">
        <f t="shared" si="100"/>
        <v>0</v>
      </c>
      <c r="T11" s="58">
        <f t="shared" si="100"/>
        <v>0</v>
      </c>
      <c r="U11" s="58">
        <f t="shared" si="100"/>
        <v>0</v>
      </c>
      <c r="V11" s="58">
        <f t="shared" si="100"/>
        <v>0</v>
      </c>
      <c r="W11" s="58">
        <f t="shared" si="100"/>
        <v>0</v>
      </c>
      <c r="X11" s="58">
        <f t="shared" si="100"/>
        <v>0</v>
      </c>
      <c r="Y11" s="58">
        <f t="shared" si="100"/>
        <v>0</v>
      </c>
      <c r="Z11" s="58">
        <f t="shared" si="100"/>
        <v>0</v>
      </c>
      <c r="AA11" s="58">
        <f t="shared" si="100"/>
        <v>0</v>
      </c>
      <c r="AB11" s="58">
        <f t="shared" si="100"/>
        <v>0</v>
      </c>
      <c r="AC11" s="58">
        <f t="shared" si="100"/>
        <v>0</v>
      </c>
      <c r="AD11" s="58">
        <f t="shared" si="100"/>
        <v>0</v>
      </c>
      <c r="AE11" s="58">
        <f t="shared" si="100"/>
        <v>0</v>
      </c>
      <c r="AF11" s="58">
        <f t="shared" si="100"/>
        <v>0</v>
      </c>
      <c r="AG11" s="58">
        <f t="shared" si="100"/>
        <v>0</v>
      </c>
      <c r="AH11" s="58">
        <f t="shared" si="100"/>
        <v>0</v>
      </c>
      <c r="AI11" s="58">
        <f t="shared" si="100"/>
        <v>0</v>
      </c>
      <c r="AJ11" s="58">
        <f t="shared" si="100"/>
        <v>0</v>
      </c>
      <c r="AK11" s="58">
        <f t="shared" ref="AK11:BP11" si="101">(AJ11*(1+$B11))+((AJ$33*$C11)*(1+$B11))</f>
        <v>0</v>
      </c>
      <c r="AL11" s="58">
        <f t="shared" si="101"/>
        <v>0</v>
      </c>
      <c r="AM11" s="58">
        <f t="shared" si="101"/>
        <v>0</v>
      </c>
      <c r="AN11" s="58">
        <f t="shared" si="101"/>
        <v>0</v>
      </c>
      <c r="AO11" s="58">
        <f t="shared" si="101"/>
        <v>0</v>
      </c>
      <c r="AP11" s="58">
        <f t="shared" si="101"/>
        <v>0</v>
      </c>
      <c r="AQ11" s="58">
        <f t="shared" si="101"/>
        <v>0</v>
      </c>
      <c r="AR11" s="58">
        <f t="shared" si="101"/>
        <v>0</v>
      </c>
      <c r="AS11" s="58">
        <f t="shared" si="101"/>
        <v>0</v>
      </c>
      <c r="AT11" s="58">
        <f t="shared" si="101"/>
        <v>0</v>
      </c>
      <c r="AU11" s="58">
        <f t="shared" si="101"/>
        <v>0</v>
      </c>
      <c r="AV11" s="58">
        <f t="shared" si="101"/>
        <v>0</v>
      </c>
      <c r="AW11" s="58">
        <f t="shared" si="101"/>
        <v>0</v>
      </c>
      <c r="AX11" s="58">
        <f t="shared" si="101"/>
        <v>0</v>
      </c>
      <c r="AY11" s="58">
        <f t="shared" si="101"/>
        <v>0</v>
      </c>
      <c r="AZ11" s="58">
        <f t="shared" si="101"/>
        <v>0</v>
      </c>
      <c r="BA11" s="58">
        <f t="shared" si="101"/>
        <v>0</v>
      </c>
      <c r="BB11" s="58">
        <f t="shared" si="101"/>
        <v>0</v>
      </c>
      <c r="BC11" s="58">
        <f t="shared" si="101"/>
        <v>0</v>
      </c>
      <c r="BD11" s="58">
        <f t="shared" si="101"/>
        <v>0</v>
      </c>
      <c r="BE11" s="58">
        <f t="shared" si="101"/>
        <v>0</v>
      </c>
      <c r="BF11" s="58">
        <f t="shared" si="101"/>
        <v>0</v>
      </c>
      <c r="BG11" s="58">
        <f t="shared" si="101"/>
        <v>0</v>
      </c>
      <c r="BH11" s="58">
        <f t="shared" si="101"/>
        <v>0</v>
      </c>
      <c r="BI11" s="58">
        <f t="shared" si="101"/>
        <v>0</v>
      </c>
      <c r="BJ11" s="58">
        <f t="shared" si="101"/>
        <v>0</v>
      </c>
      <c r="BK11" s="58">
        <f t="shared" si="101"/>
        <v>0</v>
      </c>
      <c r="BL11" s="58">
        <f t="shared" si="101"/>
        <v>0</v>
      </c>
      <c r="BM11" s="58">
        <f t="shared" si="101"/>
        <v>0</v>
      </c>
      <c r="BN11" s="58">
        <f t="shared" si="101"/>
        <v>0</v>
      </c>
      <c r="BO11" s="58">
        <f t="shared" si="101"/>
        <v>0</v>
      </c>
      <c r="BP11" s="58">
        <f t="shared" si="101"/>
        <v>0</v>
      </c>
      <c r="BQ11" s="58">
        <f t="shared" ref="BQ11:BW11" si="102">(BP11*(1+$B11))+((BP$33*$C11)*(1+$B11))</f>
        <v>0</v>
      </c>
      <c r="BR11" s="58">
        <f t="shared" si="102"/>
        <v>0</v>
      </c>
      <c r="BS11" s="58">
        <f t="shared" si="102"/>
        <v>0</v>
      </c>
      <c r="BT11" s="58">
        <f t="shared" si="102"/>
        <v>0</v>
      </c>
      <c r="BU11" s="58">
        <f t="shared" si="102"/>
        <v>0</v>
      </c>
      <c r="BV11" s="58">
        <f t="shared" si="102"/>
        <v>0</v>
      </c>
      <c r="BW11" s="58">
        <f t="shared" si="102"/>
        <v>0</v>
      </c>
      <c r="BX11" s="58"/>
      <c r="BY11" s="200">
        <f t="shared" si="7"/>
        <v>0</v>
      </c>
      <c r="BZ11" s="200">
        <f t="shared" si="8"/>
        <v>0</v>
      </c>
      <c r="CA11" s="200">
        <f t="shared" si="9"/>
        <v>0</v>
      </c>
      <c r="CB11" s="200">
        <f t="shared" si="10"/>
        <v>0</v>
      </c>
      <c r="CC11" s="200">
        <f t="shared" si="11"/>
        <v>0</v>
      </c>
      <c r="CD11" s="200">
        <f t="shared" si="12"/>
        <v>0</v>
      </c>
      <c r="CE11" s="200">
        <f t="shared" si="13"/>
        <v>0</v>
      </c>
      <c r="CF11" s="200">
        <f t="shared" si="14"/>
        <v>0</v>
      </c>
      <c r="CG11" s="200">
        <f t="shared" si="15"/>
        <v>0</v>
      </c>
      <c r="CH11" s="200">
        <f t="shared" si="16"/>
        <v>0</v>
      </c>
      <c r="CI11" s="200">
        <f t="shared" si="17"/>
        <v>0</v>
      </c>
      <c r="CJ11" s="200">
        <f t="shared" si="18"/>
        <v>0</v>
      </c>
      <c r="CK11" s="200">
        <f t="shared" si="19"/>
        <v>0</v>
      </c>
      <c r="CL11" s="200">
        <f t="shared" si="20"/>
        <v>0</v>
      </c>
      <c r="CM11" s="200">
        <f t="shared" si="21"/>
        <v>0</v>
      </c>
      <c r="CN11" s="200">
        <f t="shared" si="22"/>
        <v>0</v>
      </c>
      <c r="CO11" s="200">
        <f t="shared" si="23"/>
        <v>0</v>
      </c>
      <c r="CP11" s="200">
        <f t="shared" si="24"/>
        <v>0</v>
      </c>
      <c r="CQ11" s="200">
        <f t="shared" si="25"/>
        <v>0</v>
      </c>
      <c r="CR11" s="200">
        <f t="shared" si="26"/>
        <v>0</v>
      </c>
      <c r="CS11" s="200">
        <f t="shared" si="27"/>
        <v>0</v>
      </c>
      <c r="CT11" s="200">
        <f t="shared" si="28"/>
        <v>0</v>
      </c>
      <c r="CU11" s="200">
        <f t="shared" si="29"/>
        <v>0</v>
      </c>
      <c r="CV11" s="200">
        <f t="shared" si="30"/>
        <v>0</v>
      </c>
      <c r="CW11" s="200">
        <f t="shared" si="31"/>
        <v>0</v>
      </c>
      <c r="CX11" s="200">
        <f t="shared" si="32"/>
        <v>0</v>
      </c>
      <c r="CY11" s="200">
        <f t="shared" si="33"/>
        <v>0</v>
      </c>
      <c r="CZ11" s="200">
        <f t="shared" si="34"/>
        <v>0</v>
      </c>
      <c r="DA11" s="200">
        <f t="shared" si="35"/>
        <v>0</v>
      </c>
      <c r="DB11" s="200">
        <f t="shared" si="36"/>
        <v>0</v>
      </c>
      <c r="DC11" s="200">
        <f t="shared" si="37"/>
        <v>0</v>
      </c>
      <c r="DD11" s="200">
        <f t="shared" si="38"/>
        <v>0</v>
      </c>
      <c r="DE11" s="200">
        <f t="shared" si="39"/>
        <v>0</v>
      </c>
      <c r="DF11" s="200">
        <f t="shared" si="40"/>
        <v>0</v>
      </c>
      <c r="DG11" s="200">
        <f t="shared" si="41"/>
        <v>0</v>
      </c>
      <c r="DH11" s="200">
        <f t="shared" si="42"/>
        <v>0</v>
      </c>
      <c r="DI11" s="200">
        <f t="shared" si="43"/>
        <v>0</v>
      </c>
      <c r="DJ11" s="200">
        <f t="shared" si="44"/>
        <v>0</v>
      </c>
      <c r="DK11" s="200">
        <f t="shared" si="45"/>
        <v>0</v>
      </c>
      <c r="DL11" s="200">
        <f t="shared" si="46"/>
        <v>0</v>
      </c>
      <c r="DM11" s="200">
        <f t="shared" si="47"/>
        <v>0</v>
      </c>
      <c r="DN11" s="200">
        <f t="shared" si="48"/>
        <v>0</v>
      </c>
      <c r="DO11" s="200">
        <f t="shared" si="49"/>
        <v>0</v>
      </c>
      <c r="DP11" s="200">
        <f t="shared" si="50"/>
        <v>0</v>
      </c>
      <c r="DQ11" s="200">
        <f t="shared" si="51"/>
        <v>0</v>
      </c>
      <c r="DR11" s="200">
        <f t="shared" si="52"/>
        <v>0</v>
      </c>
      <c r="DS11" s="200">
        <f t="shared" si="53"/>
        <v>0</v>
      </c>
      <c r="DT11" s="200">
        <f t="shared" si="54"/>
        <v>0</v>
      </c>
      <c r="DU11" s="200">
        <f t="shared" si="55"/>
        <v>0</v>
      </c>
      <c r="DV11" s="200">
        <f t="shared" si="56"/>
        <v>0</v>
      </c>
      <c r="DW11" s="200">
        <f t="shared" si="57"/>
        <v>0</v>
      </c>
      <c r="DX11" s="200">
        <f t="shared" si="58"/>
        <v>0</v>
      </c>
      <c r="DY11" s="200">
        <f t="shared" si="59"/>
        <v>0</v>
      </c>
      <c r="DZ11" s="200">
        <f t="shared" si="60"/>
        <v>0</v>
      </c>
      <c r="EA11" s="200">
        <f t="shared" si="61"/>
        <v>0</v>
      </c>
      <c r="EB11" s="200">
        <f t="shared" si="62"/>
        <v>0</v>
      </c>
      <c r="EC11" s="200">
        <f t="shared" si="63"/>
        <v>0</v>
      </c>
      <c r="ED11" s="200">
        <f t="shared" si="64"/>
        <v>0</v>
      </c>
      <c r="EE11" s="200">
        <f t="shared" si="65"/>
        <v>0</v>
      </c>
      <c r="EF11" s="200">
        <f t="shared" si="66"/>
        <v>0</v>
      </c>
      <c r="EG11" s="200">
        <f t="shared" si="67"/>
        <v>0</v>
      </c>
      <c r="EH11" s="200">
        <f t="shared" si="68"/>
        <v>0</v>
      </c>
      <c r="EI11" s="200">
        <f t="shared" si="69"/>
        <v>0</v>
      </c>
      <c r="EJ11" s="200">
        <f t="shared" si="70"/>
        <v>0</v>
      </c>
      <c r="EK11" s="200">
        <f t="shared" si="71"/>
        <v>0</v>
      </c>
      <c r="EL11" s="200">
        <f t="shared" si="72"/>
        <v>0</v>
      </c>
      <c r="EM11" s="200">
        <f t="shared" si="73"/>
        <v>0</v>
      </c>
      <c r="EN11" s="200">
        <f t="shared" si="74"/>
        <v>0</v>
      </c>
      <c r="EO11" s="200">
        <f t="shared" si="75"/>
        <v>0</v>
      </c>
      <c r="EP11" s="200">
        <f t="shared" si="76"/>
        <v>0</v>
      </c>
      <c r="EQ11" s="200">
        <f t="shared" si="77"/>
        <v>0</v>
      </c>
      <c r="ER11" s="200">
        <f t="shared" si="78"/>
        <v>0</v>
      </c>
    </row>
    <row r="12" spans="1:148" x14ac:dyDescent="0.3">
      <c r="A12" t="s">
        <v>128</v>
      </c>
      <c r="B12" s="200">
        <v>7.0000000000000007E-2</v>
      </c>
      <c r="D12" s="58">
        <f>WAR!D15</f>
        <v>21473</v>
      </c>
      <c r="E12" s="58">
        <f t="shared" ref="E12:AJ12" si="103">(D12*(1+$B12))+((D$33*$C12)*(1+$B12))</f>
        <v>22976.11</v>
      </c>
      <c r="F12" s="58">
        <f t="shared" si="103"/>
        <v>24584.437700000002</v>
      </c>
      <c r="G12" s="58">
        <f t="shared" si="103"/>
        <v>26305.348339000004</v>
      </c>
      <c r="H12" s="58">
        <f t="shared" si="103"/>
        <v>28146.722722730006</v>
      </c>
      <c r="I12" s="58">
        <f t="shared" si="103"/>
        <v>30116.993313321109</v>
      </c>
      <c r="J12" s="58">
        <f t="shared" si="103"/>
        <v>32225.182845253588</v>
      </c>
      <c r="K12" s="58">
        <f t="shared" si="103"/>
        <v>34480.945644421343</v>
      </c>
      <c r="L12" s="58">
        <f t="shared" si="103"/>
        <v>36894.611839530837</v>
      </c>
      <c r="M12" s="58">
        <f t="shared" si="103"/>
        <v>39477.234668297999</v>
      </c>
      <c r="N12" s="58">
        <f t="shared" si="103"/>
        <v>42240.641095078863</v>
      </c>
      <c r="O12" s="58">
        <f t="shared" si="103"/>
        <v>45197.485971734386</v>
      </c>
      <c r="P12" s="58">
        <f t="shared" si="103"/>
        <v>48361.309989755799</v>
      </c>
      <c r="Q12" s="58">
        <f t="shared" si="103"/>
        <v>51746.601689038711</v>
      </c>
      <c r="R12" s="58">
        <f t="shared" si="103"/>
        <v>55368.863807271424</v>
      </c>
      <c r="S12" s="58">
        <f t="shared" si="103"/>
        <v>59244.684273780425</v>
      </c>
      <c r="T12" s="58">
        <f t="shared" si="103"/>
        <v>63391.812172945058</v>
      </c>
      <c r="U12" s="58">
        <f t="shared" si="103"/>
        <v>67829.239025051211</v>
      </c>
      <c r="V12" s="58">
        <f t="shared" si="103"/>
        <v>72577.285756804806</v>
      </c>
      <c r="W12" s="58">
        <f t="shared" si="103"/>
        <v>77657.695759781142</v>
      </c>
      <c r="X12" s="58">
        <f t="shared" si="103"/>
        <v>83093.734462965833</v>
      </c>
      <c r="Y12" s="58">
        <f t="shared" si="103"/>
        <v>88910.295875373442</v>
      </c>
      <c r="Z12" s="58">
        <f t="shared" si="103"/>
        <v>95134.016586649595</v>
      </c>
      <c r="AA12" s="58">
        <f t="shared" si="103"/>
        <v>101793.39774771508</v>
      </c>
      <c r="AB12" s="58">
        <f t="shared" si="103"/>
        <v>108918.93559005515</v>
      </c>
      <c r="AC12" s="58">
        <f t="shared" si="103"/>
        <v>116543.26108135901</v>
      </c>
      <c r="AD12" s="58">
        <f t="shared" si="103"/>
        <v>124701.28935705415</v>
      </c>
      <c r="AE12" s="58">
        <f t="shared" si="103"/>
        <v>133430.37961204795</v>
      </c>
      <c r="AF12" s="58">
        <f t="shared" si="103"/>
        <v>142770.50618489133</v>
      </c>
      <c r="AG12" s="58">
        <f t="shared" si="103"/>
        <v>152764.44161783374</v>
      </c>
      <c r="AH12" s="58">
        <f t="shared" si="103"/>
        <v>163457.95253108212</v>
      </c>
      <c r="AI12" s="58">
        <f t="shared" si="103"/>
        <v>174900.00920825786</v>
      </c>
      <c r="AJ12" s="58">
        <f t="shared" si="103"/>
        <v>187143.00985283594</v>
      </c>
      <c r="AK12" s="58">
        <f t="shared" ref="AK12:BP12" si="104">(AJ12*(1+$B12))+((AJ$33*$C12)*(1+$B12))</f>
        <v>200243.02054253448</v>
      </c>
      <c r="AL12" s="58">
        <f t="shared" si="104"/>
        <v>214260.03198051191</v>
      </c>
      <c r="AM12" s="58">
        <f t="shared" si="104"/>
        <v>229258.23421914777</v>
      </c>
      <c r="AN12" s="58">
        <f t="shared" si="104"/>
        <v>245306.31061448812</v>
      </c>
      <c r="AO12" s="58">
        <f t="shared" si="104"/>
        <v>262477.75235750229</v>
      </c>
      <c r="AP12" s="58">
        <f t="shared" si="104"/>
        <v>280851.19502252748</v>
      </c>
      <c r="AQ12" s="58">
        <f t="shared" si="104"/>
        <v>300510.77867410443</v>
      </c>
      <c r="AR12" s="58">
        <f t="shared" si="104"/>
        <v>321546.53318129177</v>
      </c>
      <c r="AS12" s="58">
        <f t="shared" si="104"/>
        <v>344054.79050398222</v>
      </c>
      <c r="AT12" s="58">
        <f t="shared" si="104"/>
        <v>368138.62583926099</v>
      </c>
      <c r="AU12" s="58">
        <f t="shared" si="104"/>
        <v>393908.32964800927</v>
      </c>
      <c r="AV12" s="58">
        <f t="shared" si="104"/>
        <v>421481.91272336995</v>
      </c>
      <c r="AW12" s="58">
        <f t="shared" si="104"/>
        <v>450985.64661400591</v>
      </c>
      <c r="AX12" s="58">
        <f t="shared" si="104"/>
        <v>482554.64187698637</v>
      </c>
      <c r="AY12" s="58">
        <f t="shared" si="104"/>
        <v>516333.46680837544</v>
      </c>
      <c r="AZ12" s="58">
        <f t="shared" si="104"/>
        <v>552476.80948496179</v>
      </c>
      <c r="BA12" s="58">
        <f t="shared" si="104"/>
        <v>591150.18614890915</v>
      </c>
      <c r="BB12" s="58">
        <f t="shared" si="104"/>
        <v>632530.69917933282</v>
      </c>
      <c r="BC12" s="58">
        <f t="shared" si="104"/>
        <v>676807.84812188614</v>
      </c>
      <c r="BD12" s="58">
        <f t="shared" si="104"/>
        <v>724184.39749041817</v>
      </c>
      <c r="BE12" s="58">
        <f t="shared" si="104"/>
        <v>774877.3053147475</v>
      </c>
      <c r="BF12" s="58">
        <f t="shared" si="104"/>
        <v>829118.71668677987</v>
      </c>
      <c r="BG12" s="58">
        <f t="shared" si="104"/>
        <v>887157.02685485454</v>
      </c>
      <c r="BH12" s="58">
        <f t="shared" si="104"/>
        <v>949258.01873469446</v>
      </c>
      <c r="BI12" s="58">
        <f t="shared" si="104"/>
        <v>1015706.0800461231</v>
      </c>
      <c r="BJ12" s="58">
        <f t="shared" si="104"/>
        <v>1086805.5056493517</v>
      </c>
      <c r="BK12" s="58">
        <f t="shared" si="104"/>
        <v>1162881.8910448065</v>
      </c>
      <c r="BL12" s="58">
        <f t="shared" si="104"/>
        <v>1244283.623417943</v>
      </c>
      <c r="BM12" s="58">
        <f t="shared" si="104"/>
        <v>1331383.477057199</v>
      </c>
      <c r="BN12" s="58">
        <f t="shared" si="104"/>
        <v>1424580.320451203</v>
      </c>
      <c r="BO12" s="58">
        <f t="shared" si="104"/>
        <v>1524300.9428827874</v>
      </c>
      <c r="BP12" s="58">
        <f t="shared" si="104"/>
        <v>1631002.0088845827</v>
      </c>
      <c r="BQ12" s="58">
        <f t="shared" ref="BQ12:BW12" si="105">(BP12*(1+$B12))+((BP$33*$C12)*(1+$B12))</f>
        <v>1745172.1495065035</v>
      </c>
      <c r="BR12" s="58">
        <f t="shared" si="105"/>
        <v>1867334.1999719588</v>
      </c>
      <c r="BS12" s="58">
        <f t="shared" si="105"/>
        <v>1998047.5939699961</v>
      </c>
      <c r="BT12" s="58">
        <f t="shared" si="105"/>
        <v>2137910.925547896</v>
      </c>
      <c r="BU12" s="58">
        <f t="shared" si="105"/>
        <v>2287564.6903362488</v>
      </c>
      <c r="BV12" s="58">
        <f t="shared" si="105"/>
        <v>2447694.2186597865</v>
      </c>
      <c r="BW12" s="58">
        <f t="shared" si="105"/>
        <v>2619032.8139659716</v>
      </c>
      <c r="BX12" s="58"/>
      <c r="BY12" s="200">
        <f t="shared" si="7"/>
        <v>0</v>
      </c>
      <c r="BZ12" s="200">
        <f t="shared" si="8"/>
        <v>0</v>
      </c>
      <c r="CA12" s="200">
        <f t="shared" si="9"/>
        <v>0</v>
      </c>
      <c r="CB12" s="200">
        <f t="shared" si="10"/>
        <v>0</v>
      </c>
      <c r="CC12" s="200">
        <f t="shared" si="11"/>
        <v>0</v>
      </c>
      <c r="CD12" s="200">
        <f t="shared" si="12"/>
        <v>0</v>
      </c>
      <c r="CE12" s="200">
        <f t="shared" si="13"/>
        <v>0</v>
      </c>
      <c r="CF12" s="200">
        <f t="shared" si="14"/>
        <v>0</v>
      </c>
      <c r="CG12" s="200">
        <f t="shared" si="15"/>
        <v>0</v>
      </c>
      <c r="CH12" s="200">
        <f t="shared" si="16"/>
        <v>0</v>
      </c>
      <c r="CI12" s="200">
        <f t="shared" si="17"/>
        <v>0</v>
      </c>
      <c r="CJ12" s="200">
        <f t="shared" si="18"/>
        <v>0</v>
      </c>
      <c r="CK12" s="200">
        <f t="shared" si="19"/>
        <v>0</v>
      </c>
      <c r="CL12" s="200">
        <f t="shared" si="20"/>
        <v>0</v>
      </c>
      <c r="CM12" s="200">
        <f t="shared" si="21"/>
        <v>0</v>
      </c>
      <c r="CN12" s="200">
        <f t="shared" si="22"/>
        <v>0</v>
      </c>
      <c r="CO12" s="200">
        <f t="shared" si="23"/>
        <v>0</v>
      </c>
      <c r="CP12" s="200">
        <f t="shared" si="24"/>
        <v>0</v>
      </c>
      <c r="CQ12" s="200">
        <f t="shared" si="25"/>
        <v>0</v>
      </c>
      <c r="CR12" s="200">
        <f t="shared" si="26"/>
        <v>0</v>
      </c>
      <c r="CS12" s="200">
        <f t="shared" si="27"/>
        <v>0</v>
      </c>
      <c r="CT12" s="200">
        <f t="shared" si="28"/>
        <v>0</v>
      </c>
      <c r="CU12" s="200">
        <f t="shared" si="29"/>
        <v>0</v>
      </c>
      <c r="CV12" s="200">
        <f t="shared" si="30"/>
        <v>0</v>
      </c>
      <c r="CW12" s="200">
        <f t="shared" si="31"/>
        <v>0</v>
      </c>
      <c r="CX12" s="200">
        <f t="shared" si="32"/>
        <v>0</v>
      </c>
      <c r="CY12" s="200">
        <f t="shared" si="33"/>
        <v>0</v>
      </c>
      <c r="CZ12" s="200">
        <f t="shared" si="34"/>
        <v>0</v>
      </c>
      <c r="DA12" s="200">
        <f t="shared" si="35"/>
        <v>0</v>
      </c>
      <c r="DB12" s="200">
        <f t="shared" si="36"/>
        <v>0</v>
      </c>
      <c r="DC12" s="200">
        <f t="shared" si="37"/>
        <v>0</v>
      </c>
      <c r="DD12" s="200">
        <f t="shared" si="38"/>
        <v>0</v>
      </c>
      <c r="DE12" s="200">
        <f t="shared" si="39"/>
        <v>0</v>
      </c>
      <c r="DF12" s="200">
        <f t="shared" si="40"/>
        <v>0</v>
      </c>
      <c r="DG12" s="200">
        <f t="shared" si="41"/>
        <v>0</v>
      </c>
      <c r="DH12" s="200">
        <f t="shared" si="42"/>
        <v>0</v>
      </c>
      <c r="DI12" s="200">
        <f t="shared" si="43"/>
        <v>0</v>
      </c>
      <c r="DJ12" s="200">
        <f t="shared" si="44"/>
        <v>0</v>
      </c>
      <c r="DK12" s="200">
        <f t="shared" si="45"/>
        <v>0</v>
      </c>
      <c r="DL12" s="200">
        <f t="shared" si="46"/>
        <v>0</v>
      </c>
      <c r="DM12" s="200">
        <f t="shared" si="47"/>
        <v>0</v>
      </c>
      <c r="DN12" s="200">
        <f t="shared" si="48"/>
        <v>0</v>
      </c>
      <c r="DO12" s="200">
        <f t="shared" si="49"/>
        <v>0</v>
      </c>
      <c r="DP12" s="200">
        <f t="shared" si="50"/>
        <v>0</v>
      </c>
      <c r="DQ12" s="200">
        <f t="shared" si="51"/>
        <v>0</v>
      </c>
      <c r="DR12" s="200">
        <f t="shared" si="52"/>
        <v>0</v>
      </c>
      <c r="DS12" s="200">
        <f t="shared" si="53"/>
        <v>0</v>
      </c>
      <c r="DT12" s="200">
        <f t="shared" si="54"/>
        <v>0</v>
      </c>
      <c r="DU12" s="200">
        <f t="shared" si="55"/>
        <v>0</v>
      </c>
      <c r="DV12" s="200">
        <f t="shared" si="56"/>
        <v>0</v>
      </c>
      <c r="DW12" s="200">
        <f t="shared" si="57"/>
        <v>0</v>
      </c>
      <c r="DX12" s="200">
        <f t="shared" si="58"/>
        <v>0</v>
      </c>
      <c r="DY12" s="200">
        <f t="shared" si="59"/>
        <v>0</v>
      </c>
      <c r="DZ12" s="200">
        <f t="shared" si="60"/>
        <v>0</v>
      </c>
      <c r="EA12" s="200">
        <f t="shared" si="61"/>
        <v>0</v>
      </c>
      <c r="EB12" s="200">
        <f t="shared" si="62"/>
        <v>0</v>
      </c>
      <c r="EC12" s="200">
        <f t="shared" si="63"/>
        <v>0</v>
      </c>
      <c r="ED12" s="200">
        <f t="shared" si="64"/>
        <v>0</v>
      </c>
      <c r="EE12" s="200">
        <f t="shared" si="65"/>
        <v>0</v>
      </c>
      <c r="EF12" s="200">
        <f t="shared" si="66"/>
        <v>0</v>
      </c>
      <c r="EG12" s="200">
        <f t="shared" si="67"/>
        <v>0</v>
      </c>
      <c r="EH12" s="200">
        <f t="shared" si="68"/>
        <v>0</v>
      </c>
      <c r="EI12" s="200">
        <f t="shared" si="69"/>
        <v>0</v>
      </c>
      <c r="EJ12" s="200">
        <f t="shared" si="70"/>
        <v>0</v>
      </c>
      <c r="EK12" s="200">
        <f t="shared" si="71"/>
        <v>0</v>
      </c>
      <c r="EL12" s="200">
        <f t="shared" si="72"/>
        <v>0</v>
      </c>
      <c r="EM12" s="200">
        <f t="shared" si="73"/>
        <v>0</v>
      </c>
      <c r="EN12" s="200">
        <f t="shared" si="74"/>
        <v>0</v>
      </c>
      <c r="EO12" s="200">
        <f t="shared" si="75"/>
        <v>0</v>
      </c>
      <c r="EP12" s="200">
        <f t="shared" si="76"/>
        <v>0</v>
      </c>
      <c r="EQ12" s="200">
        <f t="shared" si="77"/>
        <v>0</v>
      </c>
      <c r="ER12" s="200">
        <f t="shared" si="78"/>
        <v>0</v>
      </c>
    </row>
    <row r="13" spans="1:148" x14ac:dyDescent="0.3">
      <c r="A13" t="s">
        <v>154</v>
      </c>
      <c r="B13" s="200">
        <v>5.5E-2</v>
      </c>
      <c r="D13" s="58">
        <f>WAR!D16</f>
        <v>0</v>
      </c>
      <c r="E13" s="58">
        <f t="shared" ref="E13:AJ13" si="106">(D13*(1+$B13))+((D$33*$C13)*(1+$B13))</f>
        <v>0</v>
      </c>
      <c r="F13" s="58">
        <f t="shared" si="106"/>
        <v>0</v>
      </c>
      <c r="G13" s="58">
        <f t="shared" si="106"/>
        <v>0</v>
      </c>
      <c r="H13" s="58">
        <f t="shared" si="106"/>
        <v>0</v>
      </c>
      <c r="I13" s="58">
        <f t="shared" si="106"/>
        <v>0</v>
      </c>
      <c r="J13" s="58">
        <f t="shared" si="106"/>
        <v>0</v>
      </c>
      <c r="K13" s="58">
        <f t="shared" si="106"/>
        <v>0</v>
      </c>
      <c r="L13" s="58">
        <f t="shared" si="106"/>
        <v>0</v>
      </c>
      <c r="M13" s="58">
        <f t="shared" si="106"/>
        <v>0</v>
      </c>
      <c r="N13" s="58">
        <f t="shared" si="106"/>
        <v>0</v>
      </c>
      <c r="O13" s="58">
        <f t="shared" si="106"/>
        <v>0</v>
      </c>
      <c r="P13" s="58">
        <f t="shared" si="106"/>
        <v>0</v>
      </c>
      <c r="Q13" s="58">
        <f t="shared" si="106"/>
        <v>0</v>
      </c>
      <c r="R13" s="58">
        <f t="shared" si="106"/>
        <v>0</v>
      </c>
      <c r="S13" s="58">
        <f t="shared" si="106"/>
        <v>0</v>
      </c>
      <c r="T13" s="58">
        <f t="shared" si="106"/>
        <v>0</v>
      </c>
      <c r="U13" s="58">
        <f t="shared" si="106"/>
        <v>0</v>
      </c>
      <c r="V13" s="58">
        <f t="shared" si="106"/>
        <v>0</v>
      </c>
      <c r="W13" s="58">
        <f t="shared" si="106"/>
        <v>0</v>
      </c>
      <c r="X13" s="58">
        <f t="shared" si="106"/>
        <v>0</v>
      </c>
      <c r="Y13" s="58">
        <f t="shared" si="106"/>
        <v>0</v>
      </c>
      <c r="Z13" s="58">
        <f t="shared" si="106"/>
        <v>0</v>
      </c>
      <c r="AA13" s="58">
        <f t="shared" si="106"/>
        <v>0</v>
      </c>
      <c r="AB13" s="58">
        <f t="shared" si="106"/>
        <v>0</v>
      </c>
      <c r="AC13" s="58">
        <f t="shared" si="106"/>
        <v>0</v>
      </c>
      <c r="AD13" s="58">
        <f t="shared" si="106"/>
        <v>0</v>
      </c>
      <c r="AE13" s="58">
        <f t="shared" si="106"/>
        <v>0</v>
      </c>
      <c r="AF13" s="58">
        <f t="shared" si="106"/>
        <v>0</v>
      </c>
      <c r="AG13" s="58">
        <f t="shared" si="106"/>
        <v>0</v>
      </c>
      <c r="AH13" s="58">
        <f t="shared" si="106"/>
        <v>0</v>
      </c>
      <c r="AI13" s="58">
        <f t="shared" si="106"/>
        <v>0</v>
      </c>
      <c r="AJ13" s="58">
        <f t="shared" si="106"/>
        <v>0</v>
      </c>
      <c r="AK13" s="58">
        <f t="shared" ref="AK13:BP13" si="107">(AJ13*(1+$B13))+((AJ$33*$C13)*(1+$B13))</f>
        <v>0</v>
      </c>
      <c r="AL13" s="58">
        <f t="shared" si="107"/>
        <v>0</v>
      </c>
      <c r="AM13" s="58">
        <f t="shared" si="107"/>
        <v>0</v>
      </c>
      <c r="AN13" s="58">
        <f t="shared" si="107"/>
        <v>0</v>
      </c>
      <c r="AO13" s="58">
        <f t="shared" si="107"/>
        <v>0</v>
      </c>
      <c r="AP13" s="58">
        <f t="shared" si="107"/>
        <v>0</v>
      </c>
      <c r="AQ13" s="58">
        <f t="shared" si="107"/>
        <v>0</v>
      </c>
      <c r="AR13" s="58">
        <f t="shared" si="107"/>
        <v>0</v>
      </c>
      <c r="AS13" s="58">
        <f t="shared" si="107"/>
        <v>0</v>
      </c>
      <c r="AT13" s="58">
        <f t="shared" si="107"/>
        <v>0</v>
      </c>
      <c r="AU13" s="58">
        <f t="shared" si="107"/>
        <v>0</v>
      </c>
      <c r="AV13" s="58">
        <f t="shared" si="107"/>
        <v>0</v>
      </c>
      <c r="AW13" s="58">
        <f t="shared" si="107"/>
        <v>0</v>
      </c>
      <c r="AX13" s="58">
        <f t="shared" si="107"/>
        <v>0</v>
      </c>
      <c r="AY13" s="58">
        <f t="shared" si="107"/>
        <v>0</v>
      </c>
      <c r="AZ13" s="58">
        <f t="shared" si="107"/>
        <v>0</v>
      </c>
      <c r="BA13" s="58">
        <f t="shared" si="107"/>
        <v>0</v>
      </c>
      <c r="BB13" s="58">
        <f t="shared" si="107"/>
        <v>0</v>
      </c>
      <c r="BC13" s="58">
        <f t="shared" si="107"/>
        <v>0</v>
      </c>
      <c r="BD13" s="58">
        <f t="shared" si="107"/>
        <v>0</v>
      </c>
      <c r="BE13" s="58">
        <f t="shared" si="107"/>
        <v>0</v>
      </c>
      <c r="BF13" s="58">
        <f t="shared" si="107"/>
        <v>0</v>
      </c>
      <c r="BG13" s="58">
        <f t="shared" si="107"/>
        <v>0</v>
      </c>
      <c r="BH13" s="58">
        <f t="shared" si="107"/>
        <v>0</v>
      </c>
      <c r="BI13" s="58">
        <f t="shared" si="107"/>
        <v>0</v>
      </c>
      <c r="BJ13" s="58">
        <f t="shared" si="107"/>
        <v>0</v>
      </c>
      <c r="BK13" s="58">
        <f t="shared" si="107"/>
        <v>0</v>
      </c>
      <c r="BL13" s="58">
        <f t="shared" si="107"/>
        <v>0</v>
      </c>
      <c r="BM13" s="58">
        <f t="shared" si="107"/>
        <v>0</v>
      </c>
      <c r="BN13" s="58">
        <f t="shared" si="107"/>
        <v>0</v>
      </c>
      <c r="BO13" s="58">
        <f t="shared" si="107"/>
        <v>0</v>
      </c>
      <c r="BP13" s="58">
        <f t="shared" si="107"/>
        <v>0</v>
      </c>
      <c r="BQ13" s="58">
        <f t="shared" ref="BQ13:BW13" si="108">(BP13*(1+$B13))+((BP$33*$C13)*(1+$B13))</f>
        <v>0</v>
      </c>
      <c r="BR13" s="58">
        <f t="shared" si="108"/>
        <v>0</v>
      </c>
      <c r="BS13" s="58">
        <f t="shared" si="108"/>
        <v>0</v>
      </c>
      <c r="BT13" s="58">
        <f t="shared" si="108"/>
        <v>0</v>
      </c>
      <c r="BU13" s="58">
        <f t="shared" si="108"/>
        <v>0</v>
      </c>
      <c r="BV13" s="58">
        <f t="shared" si="108"/>
        <v>0</v>
      </c>
      <c r="BW13" s="58">
        <f t="shared" si="108"/>
        <v>0</v>
      </c>
      <c r="BX13" s="58"/>
      <c r="BY13" s="200">
        <f t="shared" si="7"/>
        <v>0</v>
      </c>
      <c r="BZ13" s="200">
        <f t="shared" si="8"/>
        <v>0</v>
      </c>
      <c r="CA13" s="200">
        <f t="shared" si="9"/>
        <v>0</v>
      </c>
      <c r="CB13" s="200">
        <f t="shared" si="10"/>
        <v>0</v>
      </c>
      <c r="CC13" s="200">
        <f t="shared" si="11"/>
        <v>0</v>
      </c>
      <c r="CD13" s="200">
        <f t="shared" si="12"/>
        <v>0</v>
      </c>
      <c r="CE13" s="200">
        <f t="shared" si="13"/>
        <v>0</v>
      </c>
      <c r="CF13" s="200">
        <f t="shared" si="14"/>
        <v>0</v>
      </c>
      <c r="CG13" s="200">
        <f t="shared" si="15"/>
        <v>0</v>
      </c>
      <c r="CH13" s="200">
        <f t="shared" si="16"/>
        <v>0</v>
      </c>
      <c r="CI13" s="200">
        <f t="shared" si="17"/>
        <v>0</v>
      </c>
      <c r="CJ13" s="200">
        <f t="shared" si="18"/>
        <v>0</v>
      </c>
      <c r="CK13" s="200">
        <f t="shared" si="19"/>
        <v>0</v>
      </c>
      <c r="CL13" s="200">
        <f t="shared" si="20"/>
        <v>0</v>
      </c>
      <c r="CM13" s="200">
        <f t="shared" si="21"/>
        <v>0</v>
      </c>
      <c r="CN13" s="200">
        <f t="shared" si="22"/>
        <v>0</v>
      </c>
      <c r="CO13" s="200">
        <f t="shared" si="23"/>
        <v>0</v>
      </c>
      <c r="CP13" s="200">
        <f t="shared" si="24"/>
        <v>0</v>
      </c>
      <c r="CQ13" s="200">
        <f t="shared" si="25"/>
        <v>0</v>
      </c>
      <c r="CR13" s="200">
        <f t="shared" si="26"/>
        <v>0</v>
      </c>
      <c r="CS13" s="200">
        <f t="shared" si="27"/>
        <v>0</v>
      </c>
      <c r="CT13" s="200">
        <f t="shared" si="28"/>
        <v>0</v>
      </c>
      <c r="CU13" s="200">
        <f t="shared" si="29"/>
        <v>0</v>
      </c>
      <c r="CV13" s="200">
        <f t="shared" si="30"/>
        <v>0</v>
      </c>
      <c r="CW13" s="200">
        <f t="shared" si="31"/>
        <v>0</v>
      </c>
      <c r="CX13" s="200">
        <f t="shared" si="32"/>
        <v>0</v>
      </c>
      <c r="CY13" s="200">
        <f t="shared" si="33"/>
        <v>0</v>
      </c>
      <c r="CZ13" s="200">
        <f t="shared" si="34"/>
        <v>0</v>
      </c>
      <c r="DA13" s="200">
        <f t="shared" si="35"/>
        <v>0</v>
      </c>
      <c r="DB13" s="200">
        <f t="shared" si="36"/>
        <v>0</v>
      </c>
      <c r="DC13" s="200">
        <f t="shared" si="37"/>
        <v>0</v>
      </c>
      <c r="DD13" s="200">
        <f t="shared" si="38"/>
        <v>0</v>
      </c>
      <c r="DE13" s="200">
        <f t="shared" si="39"/>
        <v>0</v>
      </c>
      <c r="DF13" s="200">
        <f t="shared" si="40"/>
        <v>0</v>
      </c>
      <c r="DG13" s="200">
        <f t="shared" si="41"/>
        <v>0</v>
      </c>
      <c r="DH13" s="200">
        <f t="shared" si="42"/>
        <v>0</v>
      </c>
      <c r="DI13" s="200">
        <f t="shared" si="43"/>
        <v>0</v>
      </c>
      <c r="DJ13" s="200">
        <f t="shared" si="44"/>
        <v>0</v>
      </c>
      <c r="DK13" s="200">
        <f t="shared" si="45"/>
        <v>0</v>
      </c>
      <c r="DL13" s="200">
        <f t="shared" si="46"/>
        <v>0</v>
      </c>
      <c r="DM13" s="200">
        <f t="shared" si="47"/>
        <v>0</v>
      </c>
      <c r="DN13" s="200">
        <f t="shared" si="48"/>
        <v>0</v>
      </c>
      <c r="DO13" s="200">
        <f t="shared" si="49"/>
        <v>0</v>
      </c>
      <c r="DP13" s="200">
        <f t="shared" si="50"/>
        <v>0</v>
      </c>
      <c r="DQ13" s="200">
        <f t="shared" si="51"/>
        <v>0</v>
      </c>
      <c r="DR13" s="200">
        <f t="shared" si="52"/>
        <v>0</v>
      </c>
      <c r="DS13" s="200">
        <f t="shared" si="53"/>
        <v>0</v>
      </c>
      <c r="DT13" s="200">
        <f t="shared" si="54"/>
        <v>0</v>
      </c>
      <c r="DU13" s="200">
        <f t="shared" si="55"/>
        <v>0</v>
      </c>
      <c r="DV13" s="200">
        <f t="shared" si="56"/>
        <v>0</v>
      </c>
      <c r="DW13" s="200">
        <f t="shared" si="57"/>
        <v>0</v>
      </c>
      <c r="DX13" s="200">
        <f t="shared" si="58"/>
        <v>0</v>
      </c>
      <c r="DY13" s="200">
        <f t="shared" si="59"/>
        <v>0</v>
      </c>
      <c r="DZ13" s="200">
        <f t="shared" si="60"/>
        <v>0</v>
      </c>
      <c r="EA13" s="200">
        <f t="shared" si="61"/>
        <v>0</v>
      </c>
      <c r="EB13" s="200">
        <f t="shared" si="62"/>
        <v>0</v>
      </c>
      <c r="EC13" s="200">
        <f t="shared" si="63"/>
        <v>0</v>
      </c>
      <c r="ED13" s="200">
        <f t="shared" si="64"/>
        <v>0</v>
      </c>
      <c r="EE13" s="200">
        <f t="shared" si="65"/>
        <v>0</v>
      </c>
      <c r="EF13" s="200">
        <f t="shared" si="66"/>
        <v>0</v>
      </c>
      <c r="EG13" s="200">
        <f t="shared" si="67"/>
        <v>0</v>
      </c>
      <c r="EH13" s="200">
        <f t="shared" si="68"/>
        <v>0</v>
      </c>
      <c r="EI13" s="200">
        <f t="shared" si="69"/>
        <v>0</v>
      </c>
      <c r="EJ13" s="200">
        <f t="shared" si="70"/>
        <v>0</v>
      </c>
      <c r="EK13" s="200">
        <f t="shared" si="71"/>
        <v>0</v>
      </c>
      <c r="EL13" s="200">
        <f t="shared" si="72"/>
        <v>0</v>
      </c>
      <c r="EM13" s="200">
        <f t="shared" si="73"/>
        <v>0</v>
      </c>
      <c r="EN13" s="200">
        <f t="shared" si="74"/>
        <v>0</v>
      </c>
      <c r="EO13" s="200">
        <f t="shared" si="75"/>
        <v>0</v>
      </c>
      <c r="EP13" s="200">
        <f t="shared" si="76"/>
        <v>0</v>
      </c>
      <c r="EQ13" s="200">
        <f t="shared" si="77"/>
        <v>0</v>
      </c>
      <c r="ER13" s="200">
        <f t="shared" si="78"/>
        <v>0</v>
      </c>
    </row>
    <row r="14" spans="1:148" x14ac:dyDescent="0.3">
      <c r="A14" t="s">
        <v>130</v>
      </c>
      <c r="B14" s="289">
        <v>0.05</v>
      </c>
      <c r="D14" s="58">
        <f>WAR!D17</f>
        <v>0</v>
      </c>
      <c r="E14" s="58">
        <f t="shared" ref="E14:AJ14" si="109">(D14*(1+$B14))+((D$33*$C14)*(1+$B14))</f>
        <v>0</v>
      </c>
      <c r="F14" s="58">
        <f t="shared" si="109"/>
        <v>0</v>
      </c>
      <c r="G14" s="58">
        <f t="shared" si="109"/>
        <v>0</v>
      </c>
      <c r="H14" s="58">
        <f t="shared" si="109"/>
        <v>0</v>
      </c>
      <c r="I14" s="58">
        <f t="shared" si="109"/>
        <v>0</v>
      </c>
      <c r="J14" s="58">
        <f t="shared" si="109"/>
        <v>0</v>
      </c>
      <c r="K14" s="58">
        <f t="shared" si="109"/>
        <v>0</v>
      </c>
      <c r="L14" s="58">
        <f t="shared" si="109"/>
        <v>0</v>
      </c>
      <c r="M14" s="58">
        <f t="shared" si="109"/>
        <v>0</v>
      </c>
      <c r="N14" s="58">
        <f t="shared" si="109"/>
        <v>0</v>
      </c>
      <c r="O14" s="58">
        <f t="shared" si="109"/>
        <v>0</v>
      </c>
      <c r="P14" s="58">
        <f t="shared" si="109"/>
        <v>0</v>
      </c>
      <c r="Q14" s="58">
        <f t="shared" si="109"/>
        <v>0</v>
      </c>
      <c r="R14" s="58">
        <f t="shared" si="109"/>
        <v>0</v>
      </c>
      <c r="S14" s="58">
        <f t="shared" si="109"/>
        <v>0</v>
      </c>
      <c r="T14" s="58">
        <f t="shared" si="109"/>
        <v>0</v>
      </c>
      <c r="U14" s="58">
        <f t="shared" si="109"/>
        <v>0</v>
      </c>
      <c r="V14" s="58">
        <f t="shared" si="109"/>
        <v>0</v>
      </c>
      <c r="W14" s="58">
        <f t="shared" si="109"/>
        <v>0</v>
      </c>
      <c r="X14" s="58">
        <f t="shared" si="109"/>
        <v>0</v>
      </c>
      <c r="Y14" s="58">
        <f t="shared" si="109"/>
        <v>0</v>
      </c>
      <c r="Z14" s="58">
        <f t="shared" si="109"/>
        <v>0</v>
      </c>
      <c r="AA14" s="58">
        <f t="shared" si="109"/>
        <v>0</v>
      </c>
      <c r="AB14" s="58">
        <f t="shared" si="109"/>
        <v>0</v>
      </c>
      <c r="AC14" s="58">
        <f t="shared" si="109"/>
        <v>0</v>
      </c>
      <c r="AD14" s="58">
        <f t="shared" si="109"/>
        <v>0</v>
      </c>
      <c r="AE14" s="58">
        <f t="shared" si="109"/>
        <v>0</v>
      </c>
      <c r="AF14" s="58">
        <f t="shared" si="109"/>
        <v>0</v>
      </c>
      <c r="AG14" s="58">
        <f t="shared" si="109"/>
        <v>0</v>
      </c>
      <c r="AH14" s="58">
        <f t="shared" si="109"/>
        <v>0</v>
      </c>
      <c r="AI14" s="58">
        <f t="shared" si="109"/>
        <v>0</v>
      </c>
      <c r="AJ14" s="58">
        <f t="shared" si="109"/>
        <v>0</v>
      </c>
      <c r="AK14" s="58">
        <f t="shared" ref="AK14:BP14" si="110">(AJ14*(1+$B14))+((AJ$33*$C14)*(1+$B14))</f>
        <v>0</v>
      </c>
      <c r="AL14" s="58">
        <f t="shared" si="110"/>
        <v>0</v>
      </c>
      <c r="AM14" s="58">
        <f t="shared" si="110"/>
        <v>0</v>
      </c>
      <c r="AN14" s="58">
        <f t="shared" si="110"/>
        <v>0</v>
      </c>
      <c r="AO14" s="58">
        <f t="shared" si="110"/>
        <v>0</v>
      </c>
      <c r="AP14" s="58">
        <f t="shared" si="110"/>
        <v>0</v>
      </c>
      <c r="AQ14" s="58">
        <f t="shared" si="110"/>
        <v>0</v>
      </c>
      <c r="AR14" s="58">
        <f t="shared" si="110"/>
        <v>0</v>
      </c>
      <c r="AS14" s="58">
        <f t="shared" si="110"/>
        <v>0</v>
      </c>
      <c r="AT14" s="58">
        <f t="shared" si="110"/>
        <v>0</v>
      </c>
      <c r="AU14" s="58">
        <f t="shared" si="110"/>
        <v>0</v>
      </c>
      <c r="AV14" s="58">
        <f t="shared" si="110"/>
        <v>0</v>
      </c>
      <c r="AW14" s="58">
        <f t="shared" si="110"/>
        <v>0</v>
      </c>
      <c r="AX14" s="58">
        <f t="shared" si="110"/>
        <v>0</v>
      </c>
      <c r="AY14" s="58">
        <f t="shared" si="110"/>
        <v>0</v>
      </c>
      <c r="AZ14" s="58">
        <f t="shared" si="110"/>
        <v>0</v>
      </c>
      <c r="BA14" s="58">
        <f t="shared" si="110"/>
        <v>0</v>
      </c>
      <c r="BB14" s="58">
        <f t="shared" si="110"/>
        <v>0</v>
      </c>
      <c r="BC14" s="58">
        <f t="shared" si="110"/>
        <v>0</v>
      </c>
      <c r="BD14" s="58">
        <f t="shared" si="110"/>
        <v>0</v>
      </c>
      <c r="BE14" s="58">
        <f t="shared" si="110"/>
        <v>0</v>
      </c>
      <c r="BF14" s="58">
        <f t="shared" si="110"/>
        <v>0</v>
      </c>
      <c r="BG14" s="58">
        <f t="shared" si="110"/>
        <v>0</v>
      </c>
      <c r="BH14" s="58">
        <f t="shared" si="110"/>
        <v>0</v>
      </c>
      <c r="BI14" s="58">
        <f t="shared" si="110"/>
        <v>0</v>
      </c>
      <c r="BJ14" s="58">
        <f t="shared" si="110"/>
        <v>0</v>
      </c>
      <c r="BK14" s="58">
        <f t="shared" si="110"/>
        <v>0</v>
      </c>
      <c r="BL14" s="58">
        <f t="shared" si="110"/>
        <v>0</v>
      </c>
      <c r="BM14" s="58">
        <f t="shared" si="110"/>
        <v>0</v>
      </c>
      <c r="BN14" s="58">
        <f t="shared" si="110"/>
        <v>0</v>
      </c>
      <c r="BO14" s="58">
        <f t="shared" si="110"/>
        <v>0</v>
      </c>
      <c r="BP14" s="58">
        <f t="shared" si="110"/>
        <v>0</v>
      </c>
      <c r="BQ14" s="58">
        <f t="shared" ref="BQ14:BW14" si="111">(BP14*(1+$B14))+((BP$33*$C14)*(1+$B14))</f>
        <v>0</v>
      </c>
      <c r="BR14" s="58">
        <f t="shared" si="111"/>
        <v>0</v>
      </c>
      <c r="BS14" s="58">
        <f t="shared" si="111"/>
        <v>0</v>
      </c>
      <c r="BT14" s="58">
        <f t="shared" si="111"/>
        <v>0</v>
      </c>
      <c r="BU14" s="58">
        <f t="shared" si="111"/>
        <v>0</v>
      </c>
      <c r="BV14" s="58">
        <f t="shared" si="111"/>
        <v>0</v>
      </c>
      <c r="BW14" s="58">
        <f t="shared" si="111"/>
        <v>0</v>
      </c>
      <c r="BX14" s="58"/>
      <c r="BY14" s="200">
        <f t="shared" si="7"/>
        <v>0</v>
      </c>
      <c r="BZ14" s="200">
        <f t="shared" si="8"/>
        <v>0</v>
      </c>
      <c r="CA14" s="200">
        <f t="shared" si="9"/>
        <v>0</v>
      </c>
      <c r="CB14" s="200">
        <f t="shared" si="10"/>
        <v>0</v>
      </c>
      <c r="CC14" s="200">
        <f t="shared" si="11"/>
        <v>0</v>
      </c>
      <c r="CD14" s="200">
        <f t="shared" si="12"/>
        <v>0</v>
      </c>
      <c r="CE14" s="200">
        <f t="shared" si="13"/>
        <v>0</v>
      </c>
      <c r="CF14" s="200">
        <f t="shared" si="14"/>
        <v>0</v>
      </c>
      <c r="CG14" s="200">
        <f t="shared" si="15"/>
        <v>0</v>
      </c>
      <c r="CH14" s="200">
        <f t="shared" si="16"/>
        <v>0</v>
      </c>
      <c r="CI14" s="200">
        <f t="shared" si="17"/>
        <v>0</v>
      </c>
      <c r="CJ14" s="200">
        <f t="shared" si="18"/>
        <v>0</v>
      </c>
      <c r="CK14" s="200">
        <f t="shared" si="19"/>
        <v>0</v>
      </c>
      <c r="CL14" s="200">
        <f t="shared" si="20"/>
        <v>0</v>
      </c>
      <c r="CM14" s="200">
        <f t="shared" si="21"/>
        <v>0</v>
      </c>
      <c r="CN14" s="200">
        <f t="shared" si="22"/>
        <v>0</v>
      </c>
      <c r="CO14" s="200">
        <f t="shared" si="23"/>
        <v>0</v>
      </c>
      <c r="CP14" s="200">
        <f t="shared" si="24"/>
        <v>0</v>
      </c>
      <c r="CQ14" s="200">
        <f t="shared" si="25"/>
        <v>0</v>
      </c>
      <c r="CR14" s="200">
        <f t="shared" si="26"/>
        <v>0</v>
      </c>
      <c r="CS14" s="200">
        <f t="shared" si="27"/>
        <v>0</v>
      </c>
      <c r="CT14" s="200">
        <f t="shared" si="28"/>
        <v>0</v>
      </c>
      <c r="CU14" s="200">
        <f t="shared" si="29"/>
        <v>0</v>
      </c>
      <c r="CV14" s="200">
        <f t="shared" si="30"/>
        <v>0</v>
      </c>
      <c r="CW14" s="200">
        <f t="shared" si="31"/>
        <v>0</v>
      </c>
      <c r="CX14" s="200">
        <f t="shared" si="32"/>
        <v>0</v>
      </c>
      <c r="CY14" s="200">
        <f t="shared" si="33"/>
        <v>0</v>
      </c>
      <c r="CZ14" s="200">
        <f t="shared" si="34"/>
        <v>0</v>
      </c>
      <c r="DA14" s="200">
        <f t="shared" si="35"/>
        <v>0</v>
      </c>
      <c r="DB14" s="200">
        <f t="shared" si="36"/>
        <v>0</v>
      </c>
      <c r="DC14" s="200">
        <f t="shared" si="37"/>
        <v>0</v>
      </c>
      <c r="DD14" s="200">
        <f t="shared" si="38"/>
        <v>0</v>
      </c>
      <c r="DE14" s="200">
        <f t="shared" si="39"/>
        <v>0</v>
      </c>
      <c r="DF14" s="200">
        <f t="shared" si="40"/>
        <v>0</v>
      </c>
      <c r="DG14" s="200">
        <f t="shared" si="41"/>
        <v>0</v>
      </c>
      <c r="DH14" s="200">
        <f t="shared" si="42"/>
        <v>0</v>
      </c>
      <c r="DI14" s="200">
        <f t="shared" si="43"/>
        <v>0</v>
      </c>
      <c r="DJ14" s="200">
        <f t="shared" si="44"/>
        <v>0</v>
      </c>
      <c r="DK14" s="200">
        <f t="shared" si="45"/>
        <v>0</v>
      </c>
      <c r="DL14" s="200">
        <f t="shared" si="46"/>
        <v>0</v>
      </c>
      <c r="DM14" s="200">
        <f t="shared" si="47"/>
        <v>0</v>
      </c>
      <c r="DN14" s="200">
        <f t="shared" si="48"/>
        <v>0</v>
      </c>
      <c r="DO14" s="200">
        <f t="shared" si="49"/>
        <v>0</v>
      </c>
      <c r="DP14" s="200">
        <f t="shared" si="50"/>
        <v>0</v>
      </c>
      <c r="DQ14" s="200">
        <f t="shared" si="51"/>
        <v>0</v>
      </c>
      <c r="DR14" s="200">
        <f t="shared" si="52"/>
        <v>0</v>
      </c>
      <c r="DS14" s="200">
        <f t="shared" si="53"/>
        <v>0</v>
      </c>
      <c r="DT14" s="200">
        <f t="shared" si="54"/>
        <v>0</v>
      </c>
      <c r="DU14" s="200">
        <f t="shared" si="55"/>
        <v>0</v>
      </c>
      <c r="DV14" s="200">
        <f t="shared" si="56"/>
        <v>0</v>
      </c>
      <c r="DW14" s="200">
        <f t="shared" si="57"/>
        <v>0</v>
      </c>
      <c r="DX14" s="200">
        <f t="shared" si="58"/>
        <v>0</v>
      </c>
      <c r="DY14" s="200">
        <f t="shared" si="59"/>
        <v>0</v>
      </c>
      <c r="DZ14" s="200">
        <f t="shared" si="60"/>
        <v>0</v>
      </c>
      <c r="EA14" s="200">
        <f t="shared" si="61"/>
        <v>0</v>
      </c>
      <c r="EB14" s="200">
        <f t="shared" si="62"/>
        <v>0</v>
      </c>
      <c r="EC14" s="200">
        <f t="shared" si="63"/>
        <v>0</v>
      </c>
      <c r="ED14" s="200">
        <f t="shared" si="64"/>
        <v>0</v>
      </c>
      <c r="EE14" s="200">
        <f t="shared" si="65"/>
        <v>0</v>
      </c>
      <c r="EF14" s="200">
        <f t="shared" si="66"/>
        <v>0</v>
      </c>
      <c r="EG14" s="200">
        <f t="shared" si="67"/>
        <v>0</v>
      </c>
      <c r="EH14" s="200">
        <f t="shared" si="68"/>
        <v>0</v>
      </c>
      <c r="EI14" s="200">
        <f t="shared" si="69"/>
        <v>0</v>
      </c>
      <c r="EJ14" s="200">
        <f t="shared" si="70"/>
        <v>0</v>
      </c>
      <c r="EK14" s="200">
        <f t="shared" si="71"/>
        <v>0</v>
      </c>
      <c r="EL14" s="200">
        <f t="shared" si="72"/>
        <v>0</v>
      </c>
      <c r="EM14" s="200">
        <f t="shared" si="73"/>
        <v>0</v>
      </c>
      <c r="EN14" s="200">
        <f t="shared" si="74"/>
        <v>0</v>
      </c>
      <c r="EO14" s="200">
        <f t="shared" si="75"/>
        <v>0</v>
      </c>
      <c r="EP14" s="200">
        <f t="shared" si="76"/>
        <v>0</v>
      </c>
      <c r="EQ14" s="200">
        <f t="shared" si="77"/>
        <v>0</v>
      </c>
      <c r="ER14" s="200">
        <f t="shared" si="78"/>
        <v>0</v>
      </c>
    </row>
    <row r="15" spans="1:148" x14ac:dyDescent="0.3">
      <c r="A15" t="s">
        <v>131</v>
      </c>
      <c r="B15" s="289">
        <v>8.1000000000000003E-2</v>
      </c>
      <c r="D15" s="58">
        <f>WAR!D18</f>
        <v>27500000</v>
      </c>
      <c r="E15" s="58">
        <f t="shared" ref="E15:AJ15" si="112">(D15*(1+$B15))+((D$33*$C15)*(1+$B15))</f>
        <v>29727500</v>
      </c>
      <c r="F15" s="58">
        <f t="shared" si="112"/>
        <v>32135427.5</v>
      </c>
      <c r="G15" s="58">
        <f t="shared" si="112"/>
        <v>34738397.127499998</v>
      </c>
      <c r="H15" s="58">
        <f t="shared" si="112"/>
        <v>37552207.294827498</v>
      </c>
      <c r="I15" s="58">
        <f t="shared" si="112"/>
        <v>40593936.085708521</v>
      </c>
      <c r="J15" s="58">
        <f t="shared" si="112"/>
        <v>43882044.908650912</v>
      </c>
      <c r="K15" s="58">
        <f t="shared" si="112"/>
        <v>47436490.546251632</v>
      </c>
      <c r="L15" s="58">
        <f t="shared" si="112"/>
        <v>51278846.280498013</v>
      </c>
      <c r="M15" s="58">
        <f t="shared" si="112"/>
        <v>55432432.82921835</v>
      </c>
      <c r="N15" s="58">
        <f t="shared" si="112"/>
        <v>59922459.888385035</v>
      </c>
      <c r="O15" s="58">
        <f t="shared" si="112"/>
        <v>64776179.139344223</v>
      </c>
      <c r="P15" s="58">
        <f t="shared" si="112"/>
        <v>70023049.649631098</v>
      </c>
      <c r="Q15" s="58">
        <f t="shared" si="112"/>
        <v>75694916.671251208</v>
      </c>
      <c r="R15" s="58">
        <f t="shared" si="112"/>
        <v>81826204.921622559</v>
      </c>
      <c r="S15" s="58">
        <f t="shared" si="112"/>
        <v>88454127.520273983</v>
      </c>
      <c r="T15" s="58">
        <f t="shared" si="112"/>
        <v>95618911.849416167</v>
      </c>
      <c r="U15" s="58">
        <f t="shared" si="112"/>
        <v>103364043.70921887</v>
      </c>
      <c r="V15" s="58">
        <f t="shared" si="112"/>
        <v>111736531.2496656</v>
      </c>
      <c r="W15" s="58">
        <f t="shared" si="112"/>
        <v>120787190.28088851</v>
      </c>
      <c r="X15" s="58">
        <f t="shared" si="112"/>
        <v>130570952.69364047</v>
      </c>
      <c r="Y15" s="58">
        <f t="shared" si="112"/>
        <v>141147199.86182535</v>
      </c>
      <c r="Z15" s="58">
        <f t="shared" si="112"/>
        <v>152580123.05063319</v>
      </c>
      <c r="AA15" s="58">
        <f t="shared" si="112"/>
        <v>164939113.01773447</v>
      </c>
      <c r="AB15" s="58">
        <f t="shared" si="112"/>
        <v>178299181.17217097</v>
      </c>
      <c r="AC15" s="58">
        <f t="shared" si="112"/>
        <v>192741414.8471168</v>
      </c>
      <c r="AD15" s="58">
        <f t="shared" si="112"/>
        <v>208353469.44973326</v>
      </c>
      <c r="AE15" s="58">
        <f t="shared" si="112"/>
        <v>225230100.47516164</v>
      </c>
      <c r="AF15" s="58">
        <f t="shared" si="112"/>
        <v>243473738.61364973</v>
      </c>
      <c r="AG15" s="58">
        <f t="shared" si="112"/>
        <v>263195111.44135535</v>
      </c>
      <c r="AH15" s="58">
        <f t="shared" si="112"/>
        <v>284513915.46810514</v>
      </c>
      <c r="AI15" s="58">
        <f t="shared" si="112"/>
        <v>307559542.62102163</v>
      </c>
      <c r="AJ15" s="58">
        <f t="shared" si="112"/>
        <v>332471865.57332438</v>
      </c>
      <c r="AK15" s="58">
        <f t="shared" ref="AK15:BP15" si="113">(AJ15*(1+$B15))+((AJ$33*$C15)*(1+$B15))</f>
        <v>359402086.68476367</v>
      </c>
      <c r="AL15" s="58">
        <f t="shared" si="113"/>
        <v>388513655.70622951</v>
      </c>
      <c r="AM15" s="58">
        <f t="shared" si="113"/>
        <v>419983261.81843406</v>
      </c>
      <c r="AN15" s="58">
        <f t="shared" si="113"/>
        <v>454001906.02572721</v>
      </c>
      <c r="AO15" s="58">
        <f t="shared" si="113"/>
        <v>490776060.41381109</v>
      </c>
      <c r="AP15" s="58">
        <f t="shared" si="113"/>
        <v>530528921.30732977</v>
      </c>
      <c r="AQ15" s="58">
        <f t="shared" si="113"/>
        <v>573501763.93322349</v>
      </c>
      <c r="AR15" s="58">
        <f t="shared" si="113"/>
        <v>619955406.81181455</v>
      </c>
      <c r="AS15" s="58">
        <f t="shared" si="113"/>
        <v>670171794.7635715</v>
      </c>
      <c r="AT15" s="58">
        <f t="shared" si="113"/>
        <v>724455710.13942075</v>
      </c>
      <c r="AU15" s="58">
        <f t="shared" si="113"/>
        <v>783136622.66071379</v>
      </c>
      <c r="AV15" s="58">
        <f t="shared" si="113"/>
        <v>846570689.09623158</v>
      </c>
      <c r="AW15" s="58">
        <f t="shared" si="113"/>
        <v>915142914.91302633</v>
      </c>
      <c r="AX15" s="58">
        <f t="shared" si="113"/>
        <v>989269491.02098143</v>
      </c>
      <c r="AY15" s="58">
        <f t="shared" si="113"/>
        <v>1069400319.7936809</v>
      </c>
      <c r="AZ15" s="58">
        <f t="shared" si="113"/>
        <v>1156021745.696969</v>
      </c>
      <c r="BA15" s="58">
        <f t="shared" si="113"/>
        <v>1249659507.0984235</v>
      </c>
      <c r="BB15" s="58">
        <f t="shared" si="113"/>
        <v>1350881927.1733956</v>
      </c>
      <c r="BC15" s="58">
        <f t="shared" si="113"/>
        <v>1460303363.2744405</v>
      </c>
      <c r="BD15" s="58">
        <f t="shared" si="113"/>
        <v>1578587935.6996701</v>
      </c>
      <c r="BE15" s="58">
        <f t="shared" si="113"/>
        <v>1706453558.4913433</v>
      </c>
      <c r="BF15" s="58">
        <f t="shared" si="113"/>
        <v>1844676296.729142</v>
      </c>
      <c r="BG15" s="58">
        <f t="shared" si="113"/>
        <v>1994095076.7642024</v>
      </c>
      <c r="BH15" s="58">
        <f t="shared" si="113"/>
        <v>2155616777.9821029</v>
      </c>
      <c r="BI15" s="58">
        <f t="shared" si="113"/>
        <v>2330221736.9986529</v>
      </c>
      <c r="BJ15" s="58">
        <f t="shared" si="113"/>
        <v>2518969697.6955438</v>
      </c>
      <c r="BK15" s="58">
        <f t="shared" si="113"/>
        <v>2723006243.2088828</v>
      </c>
      <c r="BL15" s="58">
        <f t="shared" si="113"/>
        <v>2943569748.908802</v>
      </c>
      <c r="BM15" s="58">
        <f t="shared" si="113"/>
        <v>3181998898.570415</v>
      </c>
      <c r="BN15" s="58">
        <f t="shared" si="113"/>
        <v>3439740809.3546185</v>
      </c>
      <c r="BO15" s="58">
        <f t="shared" si="113"/>
        <v>3718359814.9123425</v>
      </c>
      <c r="BP15" s="58">
        <f t="shared" si="113"/>
        <v>4019546959.9202423</v>
      </c>
      <c r="BQ15" s="58">
        <f t="shared" ref="BQ15:BW15" si="114">(BP15*(1+$B15))+((BP$33*$C15)*(1+$B15))</f>
        <v>4345130263.6737814</v>
      </c>
      <c r="BR15" s="58">
        <f t="shared" si="114"/>
        <v>4697085815.0313578</v>
      </c>
      <c r="BS15" s="58">
        <f t="shared" si="114"/>
        <v>5077549766.0488977</v>
      </c>
      <c r="BT15" s="58">
        <f t="shared" si="114"/>
        <v>5488831297.0988579</v>
      </c>
      <c r="BU15" s="58">
        <f t="shared" si="114"/>
        <v>5933426632.1638651</v>
      </c>
      <c r="BV15" s="58">
        <f t="shared" si="114"/>
        <v>6414034189.3691378</v>
      </c>
      <c r="BW15" s="58">
        <f t="shared" si="114"/>
        <v>6933570958.7080374</v>
      </c>
      <c r="BX15" s="58"/>
      <c r="BY15" s="200">
        <f t="shared" si="7"/>
        <v>0</v>
      </c>
      <c r="BZ15" s="200">
        <f t="shared" si="8"/>
        <v>0</v>
      </c>
      <c r="CA15" s="200">
        <f t="shared" si="9"/>
        <v>0</v>
      </c>
      <c r="CB15" s="200">
        <f t="shared" si="10"/>
        <v>0</v>
      </c>
      <c r="CC15" s="200">
        <f t="shared" si="11"/>
        <v>0</v>
      </c>
      <c r="CD15" s="200">
        <f t="shared" si="12"/>
        <v>0</v>
      </c>
      <c r="CE15" s="200">
        <f t="shared" si="13"/>
        <v>0</v>
      </c>
      <c r="CF15" s="200">
        <f t="shared" si="14"/>
        <v>0</v>
      </c>
      <c r="CG15" s="200">
        <f t="shared" si="15"/>
        <v>0</v>
      </c>
      <c r="CH15" s="200">
        <f t="shared" si="16"/>
        <v>0</v>
      </c>
      <c r="CI15" s="200">
        <f t="shared" si="17"/>
        <v>0</v>
      </c>
      <c r="CJ15" s="200">
        <f t="shared" si="18"/>
        <v>0</v>
      </c>
      <c r="CK15" s="200">
        <f t="shared" si="19"/>
        <v>0</v>
      </c>
      <c r="CL15" s="200">
        <f t="shared" si="20"/>
        <v>0</v>
      </c>
      <c r="CM15" s="200">
        <f t="shared" si="21"/>
        <v>0</v>
      </c>
      <c r="CN15" s="200">
        <f t="shared" si="22"/>
        <v>0</v>
      </c>
      <c r="CO15" s="200">
        <f t="shared" si="23"/>
        <v>0</v>
      </c>
      <c r="CP15" s="200">
        <f t="shared" si="24"/>
        <v>0</v>
      </c>
      <c r="CQ15" s="200">
        <f t="shared" si="25"/>
        <v>0</v>
      </c>
      <c r="CR15" s="200">
        <f t="shared" si="26"/>
        <v>0</v>
      </c>
      <c r="CS15" s="200">
        <f t="shared" si="27"/>
        <v>0</v>
      </c>
      <c r="CT15" s="200">
        <f t="shared" si="28"/>
        <v>0</v>
      </c>
      <c r="CU15" s="200">
        <f t="shared" si="29"/>
        <v>0</v>
      </c>
      <c r="CV15" s="200">
        <f t="shared" si="30"/>
        <v>0</v>
      </c>
      <c r="CW15" s="200">
        <f t="shared" si="31"/>
        <v>0</v>
      </c>
      <c r="CX15" s="200">
        <f t="shared" si="32"/>
        <v>0</v>
      </c>
      <c r="CY15" s="200">
        <f t="shared" si="33"/>
        <v>0</v>
      </c>
      <c r="CZ15" s="200">
        <f t="shared" si="34"/>
        <v>0</v>
      </c>
      <c r="DA15" s="200">
        <f t="shared" si="35"/>
        <v>0</v>
      </c>
      <c r="DB15" s="200">
        <f t="shared" si="36"/>
        <v>0</v>
      </c>
      <c r="DC15" s="200">
        <f t="shared" si="37"/>
        <v>0</v>
      </c>
      <c r="DD15" s="200">
        <f t="shared" si="38"/>
        <v>0</v>
      </c>
      <c r="DE15" s="200">
        <f t="shared" si="39"/>
        <v>0</v>
      </c>
      <c r="DF15" s="200">
        <f t="shared" si="40"/>
        <v>0</v>
      </c>
      <c r="DG15" s="200">
        <f t="shared" si="41"/>
        <v>0</v>
      </c>
      <c r="DH15" s="200">
        <f t="shared" si="42"/>
        <v>0</v>
      </c>
      <c r="DI15" s="200">
        <f t="shared" si="43"/>
        <v>0</v>
      </c>
      <c r="DJ15" s="200">
        <f t="shared" si="44"/>
        <v>0</v>
      </c>
      <c r="DK15" s="200">
        <f t="shared" si="45"/>
        <v>0</v>
      </c>
      <c r="DL15" s="200">
        <f t="shared" si="46"/>
        <v>0</v>
      </c>
      <c r="DM15" s="200">
        <f t="shared" si="47"/>
        <v>0</v>
      </c>
      <c r="DN15" s="200">
        <f t="shared" si="48"/>
        <v>0</v>
      </c>
      <c r="DO15" s="200">
        <f t="shared" si="49"/>
        <v>0</v>
      </c>
      <c r="DP15" s="200">
        <f t="shared" si="50"/>
        <v>0</v>
      </c>
      <c r="DQ15" s="200">
        <f t="shared" si="51"/>
        <v>0</v>
      </c>
      <c r="DR15" s="200">
        <f t="shared" si="52"/>
        <v>0</v>
      </c>
      <c r="DS15" s="200">
        <f t="shared" si="53"/>
        <v>0</v>
      </c>
      <c r="DT15" s="200">
        <f t="shared" si="54"/>
        <v>0</v>
      </c>
      <c r="DU15" s="200">
        <f t="shared" si="55"/>
        <v>0</v>
      </c>
      <c r="DV15" s="200">
        <f t="shared" si="56"/>
        <v>0</v>
      </c>
      <c r="DW15" s="200">
        <f t="shared" si="57"/>
        <v>0</v>
      </c>
      <c r="DX15" s="200">
        <f t="shared" si="58"/>
        <v>0</v>
      </c>
      <c r="DY15" s="200">
        <f t="shared" si="59"/>
        <v>0</v>
      </c>
      <c r="DZ15" s="200">
        <f t="shared" si="60"/>
        <v>0</v>
      </c>
      <c r="EA15" s="200">
        <f t="shared" si="61"/>
        <v>0</v>
      </c>
      <c r="EB15" s="200">
        <f t="shared" si="62"/>
        <v>0</v>
      </c>
      <c r="EC15" s="200">
        <f t="shared" si="63"/>
        <v>0</v>
      </c>
      <c r="ED15" s="200">
        <f t="shared" si="64"/>
        <v>0</v>
      </c>
      <c r="EE15" s="200">
        <f t="shared" si="65"/>
        <v>0</v>
      </c>
      <c r="EF15" s="200">
        <f t="shared" si="66"/>
        <v>0</v>
      </c>
      <c r="EG15" s="200">
        <f t="shared" si="67"/>
        <v>0</v>
      </c>
      <c r="EH15" s="200">
        <f t="shared" si="68"/>
        <v>0</v>
      </c>
      <c r="EI15" s="200">
        <f t="shared" si="69"/>
        <v>0</v>
      </c>
      <c r="EJ15" s="200">
        <f t="shared" si="70"/>
        <v>0</v>
      </c>
      <c r="EK15" s="200">
        <f t="shared" si="71"/>
        <v>0</v>
      </c>
      <c r="EL15" s="200">
        <f t="shared" si="72"/>
        <v>0</v>
      </c>
      <c r="EM15" s="200">
        <f t="shared" si="73"/>
        <v>0</v>
      </c>
      <c r="EN15" s="200">
        <f t="shared" si="74"/>
        <v>0</v>
      </c>
      <c r="EO15" s="200">
        <f t="shared" si="75"/>
        <v>0</v>
      </c>
      <c r="EP15" s="200">
        <f t="shared" si="76"/>
        <v>0</v>
      </c>
      <c r="EQ15" s="200">
        <f t="shared" si="77"/>
        <v>0</v>
      </c>
      <c r="ER15" s="200">
        <f t="shared" si="78"/>
        <v>0</v>
      </c>
    </row>
    <row r="16" spans="1:148" x14ac:dyDescent="0.3">
      <c r="A16" t="s">
        <v>132</v>
      </c>
      <c r="B16" s="289">
        <v>7.9000000000000001E-2</v>
      </c>
      <c r="D16" s="58">
        <f>WAR!D19</f>
        <v>3400000</v>
      </c>
      <c r="E16" s="58">
        <f t="shared" ref="E16:AJ16" si="115">(D16*(1+$B16))+((D$33*$C16)*(1+$B16))</f>
        <v>3668600</v>
      </c>
      <c r="F16" s="58">
        <f t="shared" si="115"/>
        <v>3958419.4</v>
      </c>
      <c r="G16" s="58">
        <f t="shared" si="115"/>
        <v>4271134.5325999996</v>
      </c>
      <c r="H16" s="58">
        <f t="shared" si="115"/>
        <v>4608554.160675399</v>
      </c>
      <c r="I16" s="58">
        <f t="shared" si="115"/>
        <v>4972629.9393687556</v>
      </c>
      <c r="J16" s="58">
        <f t="shared" si="115"/>
        <v>5365467.7045788867</v>
      </c>
      <c r="K16" s="58">
        <f t="shared" si="115"/>
        <v>5789339.6532406183</v>
      </c>
      <c r="L16" s="58">
        <f t="shared" si="115"/>
        <v>6246697.4858466266</v>
      </c>
      <c r="M16" s="58">
        <f t="shared" si="115"/>
        <v>6740186.5872285096</v>
      </c>
      <c r="N16" s="58">
        <f t="shared" si="115"/>
        <v>7272661.3276195619</v>
      </c>
      <c r="O16" s="58">
        <f t="shared" si="115"/>
        <v>7847201.5725015067</v>
      </c>
      <c r="P16" s="58">
        <f t="shared" si="115"/>
        <v>8467130.4967291262</v>
      </c>
      <c r="Q16" s="58">
        <f t="shared" si="115"/>
        <v>9136033.8059707265</v>
      </c>
      <c r="R16" s="58">
        <f t="shared" si="115"/>
        <v>9857780.4766424131</v>
      </c>
      <c r="S16" s="58">
        <f t="shared" si="115"/>
        <v>10636545.134297164</v>
      </c>
      <c r="T16" s="58">
        <f t="shared" si="115"/>
        <v>11476832.19990664</v>
      </c>
      <c r="U16" s="58">
        <f t="shared" si="115"/>
        <v>12383501.943699263</v>
      </c>
      <c r="V16" s="58">
        <f t="shared" si="115"/>
        <v>13361798.597251505</v>
      </c>
      <c r="W16" s="58">
        <f t="shared" si="115"/>
        <v>14417380.686434373</v>
      </c>
      <c r="X16" s="58">
        <f t="shared" si="115"/>
        <v>15556353.760662688</v>
      </c>
      <c r="Y16" s="58">
        <f t="shared" si="115"/>
        <v>16785305.70775504</v>
      </c>
      <c r="Z16" s="58">
        <f t="shared" si="115"/>
        <v>18111344.858667687</v>
      </c>
      <c r="AA16" s="58">
        <f t="shared" si="115"/>
        <v>19542141.102502432</v>
      </c>
      <c r="AB16" s="58">
        <f t="shared" si="115"/>
        <v>21085970.249600124</v>
      </c>
      <c r="AC16" s="58">
        <f t="shared" si="115"/>
        <v>22751761.899318531</v>
      </c>
      <c r="AD16" s="58">
        <f t="shared" si="115"/>
        <v>24549151.089364693</v>
      </c>
      <c r="AE16" s="58">
        <f t="shared" si="115"/>
        <v>26488534.025424503</v>
      </c>
      <c r="AF16" s="58">
        <f t="shared" si="115"/>
        <v>28581128.213433038</v>
      </c>
      <c r="AG16" s="58">
        <f t="shared" si="115"/>
        <v>30839037.342294246</v>
      </c>
      <c r="AH16" s="58">
        <f t="shared" si="115"/>
        <v>33275321.292335492</v>
      </c>
      <c r="AI16" s="58">
        <f t="shared" si="115"/>
        <v>35904071.674429998</v>
      </c>
      <c r="AJ16" s="58">
        <f t="shared" si="115"/>
        <v>38740493.336709969</v>
      </c>
      <c r="AK16" s="58">
        <f t="shared" ref="AK16:BP16" si="116">(AJ16*(1+$B16))+((AJ$33*$C16)*(1+$B16))</f>
        <v>41800992.310310058</v>
      </c>
      <c r="AL16" s="58">
        <f t="shared" si="116"/>
        <v>45103270.702824548</v>
      </c>
      <c r="AM16" s="58">
        <f t="shared" si="116"/>
        <v>48666429.088347688</v>
      </c>
      <c r="AN16" s="58">
        <f t="shared" si="116"/>
        <v>52511076.986327156</v>
      </c>
      <c r="AO16" s="58">
        <f t="shared" si="116"/>
        <v>56659452.068246998</v>
      </c>
      <c r="AP16" s="58">
        <f t="shared" si="116"/>
        <v>61135548.781638511</v>
      </c>
      <c r="AQ16" s="58">
        <f t="shared" si="116"/>
        <v>65965257.13538795</v>
      </c>
      <c r="AR16" s="58">
        <f t="shared" si="116"/>
        <v>71176512.449083596</v>
      </c>
      <c r="AS16" s="58">
        <f t="shared" si="116"/>
        <v>76799456.932561204</v>
      </c>
      <c r="AT16" s="58">
        <f t="shared" si="116"/>
        <v>82866614.030233532</v>
      </c>
      <c r="AU16" s="58">
        <f t="shared" si="116"/>
        <v>89413076.538621977</v>
      </c>
      <c r="AV16" s="58">
        <f t="shared" si="116"/>
        <v>96476709.585173115</v>
      </c>
      <c r="AW16" s="58">
        <f t="shared" si="116"/>
        <v>104098369.64240178</v>
      </c>
      <c r="AX16" s="58">
        <f t="shared" si="116"/>
        <v>112322140.84415153</v>
      </c>
      <c r="AY16" s="58">
        <f t="shared" si="116"/>
        <v>121195589.97083949</v>
      </c>
      <c r="AZ16" s="58">
        <f t="shared" si="116"/>
        <v>130770041.5785358</v>
      </c>
      <c r="BA16" s="58">
        <f t="shared" si="116"/>
        <v>141100874.86324012</v>
      </c>
      <c r="BB16" s="58">
        <f t="shared" si="116"/>
        <v>152247843.9774361</v>
      </c>
      <c r="BC16" s="58">
        <f t="shared" si="116"/>
        <v>164275423.65165353</v>
      </c>
      <c r="BD16" s="58">
        <f t="shared" si="116"/>
        <v>177253182.12013415</v>
      </c>
      <c r="BE16" s="58">
        <f t="shared" si="116"/>
        <v>191256183.50762475</v>
      </c>
      <c r="BF16" s="58">
        <f t="shared" si="116"/>
        <v>206365422.0047271</v>
      </c>
      <c r="BG16" s="58">
        <f t="shared" si="116"/>
        <v>222668290.34310052</v>
      </c>
      <c r="BH16" s="58">
        <f t="shared" si="116"/>
        <v>240259085.28020546</v>
      </c>
      <c r="BI16" s="58">
        <f t="shared" si="116"/>
        <v>259239553.01734167</v>
      </c>
      <c r="BJ16" s="58">
        <f t="shared" si="116"/>
        <v>279719477.70571166</v>
      </c>
      <c r="BK16" s="58">
        <f t="shared" si="116"/>
        <v>301817316.4444629</v>
      </c>
      <c r="BL16" s="58">
        <f t="shared" si="116"/>
        <v>325660884.44357544</v>
      </c>
      <c r="BM16" s="58">
        <f t="shared" si="116"/>
        <v>351388094.31461787</v>
      </c>
      <c r="BN16" s="58">
        <f t="shared" si="116"/>
        <v>379147753.76547265</v>
      </c>
      <c r="BO16" s="58">
        <f t="shared" si="116"/>
        <v>409100426.31294495</v>
      </c>
      <c r="BP16" s="58">
        <f t="shared" si="116"/>
        <v>441419359.99166757</v>
      </c>
      <c r="BQ16" s="58">
        <f t="shared" ref="BQ16:BW16" si="117">(BP16*(1+$B16))+((BP$33*$C16)*(1+$B16))</f>
        <v>476291489.43100929</v>
      </c>
      <c r="BR16" s="58">
        <f t="shared" si="117"/>
        <v>513918517.09605902</v>
      </c>
      <c r="BS16" s="58">
        <f t="shared" si="117"/>
        <v>554518079.94664764</v>
      </c>
      <c r="BT16" s="58">
        <f t="shared" si="117"/>
        <v>598325008.26243281</v>
      </c>
      <c r="BU16" s="58">
        <f t="shared" si="117"/>
        <v>645592683.91516495</v>
      </c>
      <c r="BV16" s="58">
        <f t="shared" si="117"/>
        <v>696594505.9444629</v>
      </c>
      <c r="BW16" s="58">
        <f t="shared" si="117"/>
        <v>751625471.91407549</v>
      </c>
      <c r="BX16" s="58"/>
      <c r="BY16" s="200">
        <f t="shared" si="7"/>
        <v>0</v>
      </c>
      <c r="BZ16" s="200">
        <f t="shared" si="8"/>
        <v>0</v>
      </c>
      <c r="CA16" s="200">
        <f t="shared" si="9"/>
        <v>0</v>
      </c>
      <c r="CB16" s="200">
        <f t="shared" si="10"/>
        <v>0</v>
      </c>
      <c r="CC16" s="200">
        <f t="shared" si="11"/>
        <v>0</v>
      </c>
      <c r="CD16" s="200">
        <f t="shared" si="12"/>
        <v>0</v>
      </c>
      <c r="CE16" s="200">
        <f t="shared" si="13"/>
        <v>0</v>
      </c>
      <c r="CF16" s="200">
        <f t="shared" si="14"/>
        <v>0</v>
      </c>
      <c r="CG16" s="200">
        <f t="shared" si="15"/>
        <v>0</v>
      </c>
      <c r="CH16" s="200">
        <f t="shared" si="16"/>
        <v>0</v>
      </c>
      <c r="CI16" s="200">
        <f t="shared" si="17"/>
        <v>0</v>
      </c>
      <c r="CJ16" s="200">
        <f t="shared" si="18"/>
        <v>0</v>
      </c>
      <c r="CK16" s="200">
        <f t="shared" si="19"/>
        <v>0</v>
      </c>
      <c r="CL16" s="200">
        <f t="shared" si="20"/>
        <v>0</v>
      </c>
      <c r="CM16" s="200">
        <f t="shared" si="21"/>
        <v>0</v>
      </c>
      <c r="CN16" s="200">
        <f t="shared" si="22"/>
        <v>0</v>
      </c>
      <c r="CO16" s="200">
        <f t="shared" si="23"/>
        <v>0</v>
      </c>
      <c r="CP16" s="200">
        <f t="shared" si="24"/>
        <v>0</v>
      </c>
      <c r="CQ16" s="200">
        <f t="shared" si="25"/>
        <v>0</v>
      </c>
      <c r="CR16" s="200">
        <f t="shared" si="26"/>
        <v>0</v>
      </c>
      <c r="CS16" s="200">
        <f t="shared" si="27"/>
        <v>0</v>
      </c>
      <c r="CT16" s="200">
        <f t="shared" si="28"/>
        <v>0</v>
      </c>
      <c r="CU16" s="200">
        <f t="shared" si="29"/>
        <v>0</v>
      </c>
      <c r="CV16" s="200">
        <f t="shared" si="30"/>
        <v>0</v>
      </c>
      <c r="CW16" s="200">
        <f t="shared" si="31"/>
        <v>0</v>
      </c>
      <c r="CX16" s="200">
        <f t="shared" si="32"/>
        <v>0</v>
      </c>
      <c r="CY16" s="200">
        <f t="shared" si="33"/>
        <v>0</v>
      </c>
      <c r="CZ16" s="200">
        <f t="shared" si="34"/>
        <v>0</v>
      </c>
      <c r="DA16" s="200">
        <f t="shared" si="35"/>
        <v>0</v>
      </c>
      <c r="DB16" s="200">
        <f t="shared" si="36"/>
        <v>0</v>
      </c>
      <c r="DC16" s="200">
        <f t="shared" si="37"/>
        <v>0</v>
      </c>
      <c r="DD16" s="200">
        <f t="shared" si="38"/>
        <v>0</v>
      </c>
      <c r="DE16" s="200">
        <f t="shared" si="39"/>
        <v>0</v>
      </c>
      <c r="DF16" s="200">
        <f t="shared" si="40"/>
        <v>0</v>
      </c>
      <c r="DG16" s="200">
        <f t="shared" si="41"/>
        <v>0</v>
      </c>
      <c r="DH16" s="200">
        <f t="shared" si="42"/>
        <v>0</v>
      </c>
      <c r="DI16" s="200">
        <f t="shared" si="43"/>
        <v>0</v>
      </c>
      <c r="DJ16" s="200">
        <f t="shared" si="44"/>
        <v>0</v>
      </c>
      <c r="DK16" s="200">
        <f t="shared" si="45"/>
        <v>0</v>
      </c>
      <c r="DL16" s="200">
        <f t="shared" si="46"/>
        <v>0</v>
      </c>
      <c r="DM16" s="200">
        <f t="shared" si="47"/>
        <v>0</v>
      </c>
      <c r="DN16" s="200">
        <f t="shared" si="48"/>
        <v>0</v>
      </c>
      <c r="DO16" s="200">
        <f t="shared" si="49"/>
        <v>0</v>
      </c>
      <c r="DP16" s="200">
        <f t="shared" si="50"/>
        <v>0</v>
      </c>
      <c r="DQ16" s="200">
        <f t="shared" si="51"/>
        <v>0</v>
      </c>
      <c r="DR16" s="200">
        <f t="shared" si="52"/>
        <v>0</v>
      </c>
      <c r="DS16" s="200">
        <f t="shared" si="53"/>
        <v>0</v>
      </c>
      <c r="DT16" s="200">
        <f t="shared" si="54"/>
        <v>0</v>
      </c>
      <c r="DU16" s="200">
        <f t="shared" si="55"/>
        <v>0</v>
      </c>
      <c r="DV16" s="200">
        <f t="shared" si="56"/>
        <v>0</v>
      </c>
      <c r="DW16" s="200">
        <f t="shared" si="57"/>
        <v>0</v>
      </c>
      <c r="DX16" s="200">
        <f t="shared" si="58"/>
        <v>0</v>
      </c>
      <c r="DY16" s="200">
        <f t="shared" si="59"/>
        <v>0</v>
      </c>
      <c r="DZ16" s="200">
        <f t="shared" si="60"/>
        <v>0</v>
      </c>
      <c r="EA16" s="200">
        <f t="shared" si="61"/>
        <v>0</v>
      </c>
      <c r="EB16" s="200">
        <f t="shared" si="62"/>
        <v>0</v>
      </c>
      <c r="EC16" s="200">
        <f t="shared" si="63"/>
        <v>0</v>
      </c>
      <c r="ED16" s="200">
        <f t="shared" si="64"/>
        <v>0</v>
      </c>
      <c r="EE16" s="200">
        <f t="shared" si="65"/>
        <v>0</v>
      </c>
      <c r="EF16" s="200">
        <f t="shared" si="66"/>
        <v>0</v>
      </c>
      <c r="EG16" s="200">
        <f t="shared" si="67"/>
        <v>0</v>
      </c>
      <c r="EH16" s="200">
        <f t="shared" si="68"/>
        <v>0</v>
      </c>
      <c r="EI16" s="200">
        <f t="shared" si="69"/>
        <v>0</v>
      </c>
      <c r="EJ16" s="200">
        <f t="shared" si="70"/>
        <v>0</v>
      </c>
      <c r="EK16" s="200">
        <f t="shared" si="71"/>
        <v>0</v>
      </c>
      <c r="EL16" s="200">
        <f t="shared" si="72"/>
        <v>0</v>
      </c>
      <c r="EM16" s="200">
        <f t="shared" si="73"/>
        <v>0</v>
      </c>
      <c r="EN16" s="200">
        <f t="shared" si="74"/>
        <v>0</v>
      </c>
      <c r="EO16" s="200">
        <f t="shared" si="75"/>
        <v>0</v>
      </c>
      <c r="EP16" s="200">
        <f t="shared" si="76"/>
        <v>0</v>
      </c>
      <c r="EQ16" s="200">
        <f t="shared" si="77"/>
        <v>0</v>
      </c>
      <c r="ER16" s="200">
        <f t="shared" si="78"/>
        <v>0</v>
      </c>
    </row>
    <row r="17" spans="1:148" x14ac:dyDescent="0.3">
      <c r="A17" t="s">
        <v>155</v>
      </c>
      <c r="B17" s="200">
        <v>7.0000000000000007E-2</v>
      </c>
      <c r="D17" s="58">
        <f>WAR!D20</f>
        <v>1400000</v>
      </c>
      <c r="E17" s="58">
        <f t="shared" ref="E17:AJ17" si="118">(D17*(1+$B17))+(D$30*(1+$B17))</f>
        <v>1498000</v>
      </c>
      <c r="F17" s="58">
        <f t="shared" si="118"/>
        <v>1602860</v>
      </c>
      <c r="G17" s="58">
        <f t="shared" si="118"/>
        <v>1715060.2000000002</v>
      </c>
      <c r="H17" s="58">
        <f t="shared" si="118"/>
        <v>1835114.4140000003</v>
      </c>
      <c r="I17" s="58">
        <f t="shared" si="118"/>
        <v>1963572.4229800005</v>
      </c>
      <c r="J17" s="58">
        <f t="shared" si="118"/>
        <v>2101022.4925886006</v>
      </c>
      <c r="K17" s="58">
        <f t="shared" si="118"/>
        <v>2248094.0670698029</v>
      </c>
      <c r="L17" s="58">
        <f t="shared" si="118"/>
        <v>2405460.651764689</v>
      </c>
      <c r="M17" s="58">
        <f t="shared" si="118"/>
        <v>2573842.8973882175</v>
      </c>
      <c r="N17" s="58">
        <f t="shared" si="118"/>
        <v>2754011.9002053929</v>
      </c>
      <c r="O17" s="58">
        <f t="shared" si="118"/>
        <v>2946792.7332197707</v>
      </c>
      <c r="P17" s="58">
        <f t="shared" si="118"/>
        <v>3153068.2245451547</v>
      </c>
      <c r="Q17" s="58">
        <f t="shared" si="118"/>
        <v>3373783.0002633156</v>
      </c>
      <c r="R17" s="58">
        <f t="shared" si="118"/>
        <v>3609947.810281748</v>
      </c>
      <c r="S17" s="58">
        <f t="shared" si="118"/>
        <v>3862644.1570014707</v>
      </c>
      <c r="T17" s="58">
        <f t="shared" si="118"/>
        <v>4133029.247991574</v>
      </c>
      <c r="U17" s="58">
        <f t="shared" si="118"/>
        <v>4422341.2953509847</v>
      </c>
      <c r="V17" s="58">
        <f t="shared" si="118"/>
        <v>4731905.1860255543</v>
      </c>
      <c r="W17" s="58">
        <f t="shared" si="118"/>
        <v>5063138.5490473434</v>
      </c>
      <c r="X17" s="58">
        <f t="shared" si="118"/>
        <v>5417558.2474806579</v>
      </c>
      <c r="Y17" s="58">
        <f t="shared" si="118"/>
        <v>5796787.3248043042</v>
      </c>
      <c r="Z17" s="58">
        <f t="shared" si="118"/>
        <v>6202562.4375406057</v>
      </c>
      <c r="AA17" s="58">
        <f t="shared" si="118"/>
        <v>6636741.8081684485</v>
      </c>
      <c r="AB17" s="58">
        <f t="shared" si="118"/>
        <v>7101313.7347402405</v>
      </c>
      <c r="AC17" s="58">
        <f t="shared" si="118"/>
        <v>7598405.6961720577</v>
      </c>
      <c r="AD17" s="58">
        <f t="shared" si="118"/>
        <v>8130294.0949041024</v>
      </c>
      <c r="AE17" s="58">
        <f t="shared" si="118"/>
        <v>8699414.6815473903</v>
      </c>
      <c r="AF17" s="58">
        <f t="shared" si="118"/>
        <v>9308373.7092557084</v>
      </c>
      <c r="AG17" s="58">
        <f t="shared" si="118"/>
        <v>9959959.868903609</v>
      </c>
      <c r="AH17" s="58">
        <f t="shared" si="118"/>
        <v>10657157.059726862</v>
      </c>
      <c r="AI17" s="58">
        <f t="shared" si="118"/>
        <v>11403158.053907743</v>
      </c>
      <c r="AJ17" s="58">
        <f t="shared" si="118"/>
        <v>12201379.117681285</v>
      </c>
      <c r="AK17" s="58">
        <f t="shared" ref="AK17:BP17" si="119">(AJ17*(1+$B17))+(AJ$30*(1+$B17))</f>
        <v>13055475.655918976</v>
      </c>
      <c r="AL17" s="58">
        <f t="shared" si="119"/>
        <v>13969358.951833306</v>
      </c>
      <c r="AM17" s="58">
        <f t="shared" si="119"/>
        <v>14947214.078461638</v>
      </c>
      <c r="AN17" s="58">
        <f t="shared" si="119"/>
        <v>15993519.063953953</v>
      </c>
      <c r="AO17" s="58">
        <f t="shared" si="119"/>
        <v>17113065.398430731</v>
      </c>
      <c r="AP17" s="58">
        <f t="shared" si="119"/>
        <v>18310979.976320885</v>
      </c>
      <c r="AQ17" s="58">
        <f t="shared" si="119"/>
        <v>19592748.574663348</v>
      </c>
      <c r="AR17" s="58">
        <f t="shared" si="119"/>
        <v>20964240.974889785</v>
      </c>
      <c r="AS17" s="58">
        <f t="shared" si="119"/>
        <v>22431737.843132071</v>
      </c>
      <c r="AT17" s="58">
        <f t="shared" si="119"/>
        <v>24001959.492151316</v>
      </c>
      <c r="AU17" s="58">
        <f t="shared" si="119"/>
        <v>25682096.65660191</v>
      </c>
      <c r="AV17" s="58">
        <f t="shared" si="119"/>
        <v>27479843.422564045</v>
      </c>
      <c r="AW17" s="58">
        <f t="shared" si="119"/>
        <v>29403432.462143529</v>
      </c>
      <c r="AX17" s="58">
        <f t="shared" si="119"/>
        <v>31461672.73449358</v>
      </c>
      <c r="AY17" s="58">
        <f t="shared" si="119"/>
        <v>33663989.825908132</v>
      </c>
      <c r="AZ17" s="58">
        <f t="shared" si="119"/>
        <v>36020469.113721706</v>
      </c>
      <c r="BA17" s="58">
        <f t="shared" si="119"/>
        <v>38541901.951682225</v>
      </c>
      <c r="BB17" s="58">
        <f t="shared" si="119"/>
        <v>41239835.088299982</v>
      </c>
      <c r="BC17" s="58">
        <f t="shared" si="119"/>
        <v>44126623.544480987</v>
      </c>
      <c r="BD17" s="58">
        <f t="shared" si="119"/>
        <v>47215487.192594662</v>
      </c>
      <c r="BE17" s="58">
        <f t="shared" si="119"/>
        <v>50520571.29607629</v>
      </c>
      <c r="BF17" s="58">
        <f t="shared" si="119"/>
        <v>54057011.286801636</v>
      </c>
      <c r="BG17" s="58">
        <f t="shared" si="119"/>
        <v>57841002.07687775</v>
      </c>
      <c r="BH17" s="58">
        <f t="shared" si="119"/>
        <v>61889872.222259194</v>
      </c>
      <c r="BI17" s="58">
        <f t="shared" si="119"/>
        <v>66222163.277817339</v>
      </c>
      <c r="BJ17" s="58">
        <f t="shared" si="119"/>
        <v>70857714.707264557</v>
      </c>
      <c r="BK17" s="58">
        <f t="shared" si="119"/>
        <v>75817754.736773074</v>
      </c>
      <c r="BL17" s="58">
        <f t="shared" si="119"/>
        <v>81124997.568347201</v>
      </c>
      <c r="BM17" s="58">
        <f t="shared" si="119"/>
        <v>86803747.398131505</v>
      </c>
      <c r="BN17" s="58">
        <f t="shared" si="119"/>
        <v>92880009.716000721</v>
      </c>
      <c r="BO17" s="58">
        <f t="shared" si="119"/>
        <v>99381610.396120772</v>
      </c>
      <c r="BP17" s="58">
        <f t="shared" si="119"/>
        <v>106338323.12384923</v>
      </c>
      <c r="BQ17" s="58">
        <f t="shared" ref="BQ17:BW17" si="120">(BP17*(1+$B17))+(BP$30*(1+$B17))</f>
        <v>113782005.74251868</v>
      </c>
      <c r="BR17" s="58">
        <f t="shared" si="120"/>
        <v>121746746.144495</v>
      </c>
      <c r="BS17" s="58">
        <f t="shared" si="120"/>
        <v>130269018.37460965</v>
      </c>
      <c r="BT17" s="58">
        <f t="shared" si="120"/>
        <v>139387849.66083235</v>
      </c>
      <c r="BU17" s="58">
        <f t="shared" si="120"/>
        <v>149144999.13709062</v>
      </c>
      <c r="BV17" s="58">
        <f t="shared" si="120"/>
        <v>159585149.07668698</v>
      </c>
      <c r="BW17" s="58">
        <f t="shared" si="120"/>
        <v>170756109.51205507</v>
      </c>
      <c r="BX17" s="58"/>
      <c r="BY17" s="200">
        <f t="shared" si="7"/>
        <v>0</v>
      </c>
      <c r="BZ17" s="200">
        <f t="shared" si="8"/>
        <v>0</v>
      </c>
      <c r="CA17" s="200">
        <f t="shared" si="9"/>
        <v>0</v>
      </c>
      <c r="CB17" s="200">
        <f t="shared" si="10"/>
        <v>0</v>
      </c>
      <c r="CC17" s="200">
        <f t="shared" si="11"/>
        <v>0</v>
      </c>
      <c r="CD17" s="200">
        <f t="shared" si="12"/>
        <v>0</v>
      </c>
      <c r="CE17" s="200">
        <f t="shared" si="13"/>
        <v>0</v>
      </c>
      <c r="CF17" s="200">
        <f t="shared" si="14"/>
        <v>0</v>
      </c>
      <c r="CG17" s="200">
        <f t="shared" si="15"/>
        <v>0</v>
      </c>
      <c r="CH17" s="200">
        <f t="shared" si="16"/>
        <v>0</v>
      </c>
      <c r="CI17" s="200">
        <f t="shared" si="17"/>
        <v>0</v>
      </c>
      <c r="CJ17" s="200">
        <f t="shared" si="18"/>
        <v>0</v>
      </c>
      <c r="CK17" s="200">
        <f t="shared" si="19"/>
        <v>0</v>
      </c>
      <c r="CL17" s="200">
        <f t="shared" si="20"/>
        <v>0</v>
      </c>
      <c r="CM17" s="200">
        <f t="shared" si="21"/>
        <v>0</v>
      </c>
      <c r="CN17" s="200">
        <f t="shared" si="22"/>
        <v>0</v>
      </c>
      <c r="CO17" s="200">
        <f t="shared" si="23"/>
        <v>0</v>
      </c>
      <c r="CP17" s="200">
        <f t="shared" si="24"/>
        <v>0</v>
      </c>
      <c r="CQ17" s="200">
        <f t="shared" si="25"/>
        <v>0</v>
      </c>
      <c r="CR17" s="200">
        <f t="shared" si="26"/>
        <v>0</v>
      </c>
      <c r="CS17" s="200">
        <f t="shared" si="27"/>
        <v>0</v>
      </c>
      <c r="CT17" s="200">
        <f t="shared" si="28"/>
        <v>0</v>
      </c>
      <c r="CU17" s="200">
        <f t="shared" si="29"/>
        <v>0</v>
      </c>
      <c r="CV17" s="200">
        <f t="shared" si="30"/>
        <v>0</v>
      </c>
      <c r="CW17" s="200">
        <f t="shared" si="31"/>
        <v>0</v>
      </c>
      <c r="CX17" s="200">
        <f t="shared" si="32"/>
        <v>0</v>
      </c>
      <c r="CY17" s="200">
        <f t="shared" si="33"/>
        <v>0</v>
      </c>
      <c r="CZ17" s="200">
        <f t="shared" si="34"/>
        <v>0</v>
      </c>
      <c r="DA17" s="200">
        <f t="shared" si="35"/>
        <v>0</v>
      </c>
      <c r="DB17" s="200">
        <f t="shared" si="36"/>
        <v>0</v>
      </c>
      <c r="DC17" s="200">
        <f t="shared" si="37"/>
        <v>0</v>
      </c>
      <c r="DD17" s="200">
        <f t="shared" si="38"/>
        <v>0</v>
      </c>
      <c r="DE17" s="200">
        <f t="shared" si="39"/>
        <v>0</v>
      </c>
      <c r="DF17" s="200">
        <f t="shared" si="40"/>
        <v>0</v>
      </c>
      <c r="DG17" s="200">
        <f t="shared" si="41"/>
        <v>0</v>
      </c>
      <c r="DH17" s="200">
        <f t="shared" si="42"/>
        <v>0</v>
      </c>
      <c r="DI17" s="200">
        <f t="shared" si="43"/>
        <v>0</v>
      </c>
      <c r="DJ17" s="200">
        <f t="shared" si="44"/>
        <v>0</v>
      </c>
      <c r="DK17" s="200">
        <f t="shared" si="45"/>
        <v>0</v>
      </c>
      <c r="DL17" s="200">
        <f t="shared" si="46"/>
        <v>0</v>
      </c>
      <c r="DM17" s="200">
        <f t="shared" si="47"/>
        <v>0</v>
      </c>
      <c r="DN17" s="200">
        <f t="shared" si="48"/>
        <v>0</v>
      </c>
      <c r="DO17" s="200">
        <f t="shared" si="49"/>
        <v>0</v>
      </c>
      <c r="DP17" s="200">
        <f t="shared" si="50"/>
        <v>0</v>
      </c>
      <c r="DQ17" s="200">
        <f t="shared" si="51"/>
        <v>0</v>
      </c>
      <c r="DR17" s="200">
        <f t="shared" si="52"/>
        <v>0</v>
      </c>
      <c r="DS17" s="200">
        <f t="shared" si="53"/>
        <v>0</v>
      </c>
      <c r="DT17" s="200">
        <f t="shared" si="54"/>
        <v>0</v>
      </c>
      <c r="DU17" s="200">
        <f t="shared" si="55"/>
        <v>0</v>
      </c>
      <c r="DV17" s="200">
        <f t="shared" si="56"/>
        <v>0</v>
      </c>
      <c r="DW17" s="200">
        <f t="shared" si="57"/>
        <v>0</v>
      </c>
      <c r="DX17" s="200">
        <f t="shared" si="58"/>
        <v>0</v>
      </c>
      <c r="DY17" s="200">
        <f t="shared" si="59"/>
        <v>0</v>
      </c>
      <c r="DZ17" s="200">
        <f t="shared" si="60"/>
        <v>0</v>
      </c>
      <c r="EA17" s="200">
        <f t="shared" si="61"/>
        <v>0</v>
      </c>
      <c r="EB17" s="200">
        <f t="shared" si="62"/>
        <v>0</v>
      </c>
      <c r="EC17" s="200">
        <f t="shared" si="63"/>
        <v>0</v>
      </c>
      <c r="ED17" s="200">
        <f t="shared" si="64"/>
        <v>0</v>
      </c>
      <c r="EE17" s="200">
        <f t="shared" si="65"/>
        <v>0</v>
      </c>
      <c r="EF17" s="200">
        <f t="shared" si="66"/>
        <v>0</v>
      </c>
      <c r="EG17" s="200">
        <f t="shared" si="67"/>
        <v>0</v>
      </c>
      <c r="EH17" s="200">
        <f t="shared" si="68"/>
        <v>0</v>
      </c>
      <c r="EI17" s="200">
        <f t="shared" si="69"/>
        <v>0</v>
      </c>
      <c r="EJ17" s="200">
        <f t="shared" si="70"/>
        <v>0</v>
      </c>
      <c r="EK17" s="200">
        <f t="shared" si="71"/>
        <v>0</v>
      </c>
      <c r="EL17" s="200">
        <f t="shared" si="72"/>
        <v>0</v>
      </c>
      <c r="EM17" s="200">
        <f t="shared" si="73"/>
        <v>0</v>
      </c>
      <c r="EN17" s="200">
        <f t="shared" si="74"/>
        <v>0</v>
      </c>
      <c r="EO17" s="200">
        <f t="shared" si="75"/>
        <v>0</v>
      </c>
      <c r="EP17" s="200">
        <f t="shared" si="76"/>
        <v>0</v>
      </c>
      <c r="EQ17" s="200">
        <f t="shared" si="77"/>
        <v>0</v>
      </c>
      <c r="ER17" s="200">
        <f t="shared" si="78"/>
        <v>0</v>
      </c>
    </row>
    <row r="18" spans="1:148" x14ac:dyDescent="0.3">
      <c r="A18" t="s">
        <v>134</v>
      </c>
      <c r="B18" s="200">
        <v>0.1</v>
      </c>
      <c r="D18" s="58">
        <f>WAR!D21</f>
        <v>0</v>
      </c>
      <c r="E18" s="58">
        <f t="shared" ref="E18:AJ18" si="121">(D18*(1+$B18))+(D29*(1+$B18))</f>
        <v>0</v>
      </c>
      <c r="F18" s="58">
        <f t="shared" si="121"/>
        <v>0</v>
      </c>
      <c r="G18" s="58">
        <f t="shared" si="121"/>
        <v>0</v>
      </c>
      <c r="H18" s="58">
        <f t="shared" si="121"/>
        <v>0</v>
      </c>
      <c r="I18" s="58">
        <f t="shared" si="121"/>
        <v>0</v>
      </c>
      <c r="J18" s="58">
        <f t="shared" si="121"/>
        <v>0</v>
      </c>
      <c r="K18" s="58">
        <f t="shared" si="121"/>
        <v>0</v>
      </c>
      <c r="L18" s="58">
        <f t="shared" si="121"/>
        <v>0</v>
      </c>
      <c r="M18" s="58">
        <f t="shared" si="121"/>
        <v>0</v>
      </c>
      <c r="N18" s="58">
        <f t="shared" si="121"/>
        <v>0</v>
      </c>
      <c r="O18" s="58">
        <f t="shared" si="121"/>
        <v>0</v>
      </c>
      <c r="P18" s="58">
        <f t="shared" si="121"/>
        <v>0</v>
      </c>
      <c r="Q18" s="58">
        <f t="shared" si="121"/>
        <v>0</v>
      </c>
      <c r="R18" s="58">
        <f t="shared" si="121"/>
        <v>0</v>
      </c>
      <c r="S18" s="58">
        <f t="shared" si="121"/>
        <v>0</v>
      </c>
      <c r="T18" s="58">
        <f t="shared" si="121"/>
        <v>0</v>
      </c>
      <c r="U18" s="58">
        <f t="shared" si="121"/>
        <v>0</v>
      </c>
      <c r="V18" s="58">
        <f t="shared" si="121"/>
        <v>0</v>
      </c>
      <c r="W18" s="58">
        <f t="shared" si="121"/>
        <v>0</v>
      </c>
      <c r="X18" s="58">
        <f t="shared" si="121"/>
        <v>0</v>
      </c>
      <c r="Y18" s="58">
        <f t="shared" si="121"/>
        <v>0</v>
      </c>
      <c r="Z18" s="58">
        <f t="shared" si="121"/>
        <v>0</v>
      </c>
      <c r="AA18" s="58">
        <f t="shared" si="121"/>
        <v>0</v>
      </c>
      <c r="AB18" s="58">
        <f t="shared" si="121"/>
        <v>0</v>
      </c>
      <c r="AC18" s="58">
        <f t="shared" si="121"/>
        <v>0</v>
      </c>
      <c r="AD18" s="58">
        <f t="shared" si="121"/>
        <v>0</v>
      </c>
      <c r="AE18" s="58">
        <f t="shared" si="121"/>
        <v>0</v>
      </c>
      <c r="AF18" s="58">
        <f t="shared" si="121"/>
        <v>0</v>
      </c>
      <c r="AG18" s="58">
        <f t="shared" si="121"/>
        <v>0</v>
      </c>
      <c r="AH18" s="58">
        <f t="shared" si="121"/>
        <v>0</v>
      </c>
      <c r="AI18" s="58">
        <f t="shared" si="121"/>
        <v>0</v>
      </c>
      <c r="AJ18" s="58">
        <f t="shared" si="121"/>
        <v>0</v>
      </c>
      <c r="AK18" s="58">
        <f t="shared" ref="AK18:BP18" si="122">(AJ18*(1+$B18))+(AJ29*(1+$B18))</f>
        <v>0</v>
      </c>
      <c r="AL18" s="58">
        <f t="shared" si="122"/>
        <v>0</v>
      </c>
      <c r="AM18" s="58">
        <f t="shared" si="122"/>
        <v>0</v>
      </c>
      <c r="AN18" s="58">
        <f t="shared" si="122"/>
        <v>0</v>
      </c>
      <c r="AO18" s="58">
        <f t="shared" si="122"/>
        <v>0</v>
      </c>
      <c r="AP18" s="58">
        <f t="shared" si="122"/>
        <v>0</v>
      </c>
      <c r="AQ18" s="58">
        <f t="shared" si="122"/>
        <v>0</v>
      </c>
      <c r="AR18" s="58">
        <f t="shared" si="122"/>
        <v>0</v>
      </c>
      <c r="AS18" s="58">
        <f t="shared" si="122"/>
        <v>0</v>
      </c>
      <c r="AT18" s="58">
        <f t="shared" si="122"/>
        <v>0</v>
      </c>
      <c r="AU18" s="58">
        <f t="shared" si="122"/>
        <v>0</v>
      </c>
      <c r="AV18" s="58">
        <f t="shared" si="122"/>
        <v>0</v>
      </c>
      <c r="AW18" s="58">
        <f t="shared" si="122"/>
        <v>0</v>
      </c>
      <c r="AX18" s="58">
        <f t="shared" si="122"/>
        <v>0</v>
      </c>
      <c r="AY18" s="58">
        <f t="shared" si="122"/>
        <v>0</v>
      </c>
      <c r="AZ18" s="58">
        <f t="shared" si="122"/>
        <v>0</v>
      </c>
      <c r="BA18" s="58">
        <f t="shared" si="122"/>
        <v>0</v>
      </c>
      <c r="BB18" s="58">
        <f t="shared" si="122"/>
        <v>0</v>
      </c>
      <c r="BC18" s="58">
        <f t="shared" si="122"/>
        <v>0</v>
      </c>
      <c r="BD18" s="58">
        <f t="shared" si="122"/>
        <v>0</v>
      </c>
      <c r="BE18" s="58">
        <f t="shared" si="122"/>
        <v>0</v>
      </c>
      <c r="BF18" s="58">
        <f t="shared" si="122"/>
        <v>0</v>
      </c>
      <c r="BG18" s="58">
        <f t="shared" si="122"/>
        <v>0</v>
      </c>
      <c r="BH18" s="58">
        <f t="shared" si="122"/>
        <v>0</v>
      </c>
      <c r="BI18" s="58">
        <f t="shared" si="122"/>
        <v>0</v>
      </c>
      <c r="BJ18" s="58">
        <f t="shared" si="122"/>
        <v>0</v>
      </c>
      <c r="BK18" s="58">
        <f t="shared" si="122"/>
        <v>0</v>
      </c>
      <c r="BL18" s="58">
        <f t="shared" si="122"/>
        <v>0</v>
      </c>
      <c r="BM18" s="58">
        <f t="shared" si="122"/>
        <v>0</v>
      </c>
      <c r="BN18" s="58">
        <f t="shared" si="122"/>
        <v>0</v>
      </c>
      <c r="BO18" s="58">
        <f t="shared" si="122"/>
        <v>0</v>
      </c>
      <c r="BP18" s="58">
        <f t="shared" si="122"/>
        <v>0</v>
      </c>
      <c r="BQ18" s="58">
        <f t="shared" ref="BQ18:BW18" si="123">(BP18*(1+$B18))+(BP29*(1+$B18))</f>
        <v>0</v>
      </c>
      <c r="BR18" s="58">
        <f t="shared" si="123"/>
        <v>0</v>
      </c>
      <c r="BS18" s="58">
        <f t="shared" si="123"/>
        <v>0</v>
      </c>
      <c r="BT18" s="58">
        <f t="shared" si="123"/>
        <v>0</v>
      </c>
      <c r="BU18" s="58">
        <f t="shared" si="123"/>
        <v>0</v>
      </c>
      <c r="BV18" s="58">
        <f t="shared" si="123"/>
        <v>0</v>
      </c>
      <c r="BW18" s="58">
        <f t="shared" si="123"/>
        <v>0</v>
      </c>
      <c r="BX18" s="58"/>
      <c r="BY18" s="200">
        <f t="shared" si="7"/>
        <v>0</v>
      </c>
      <c r="BZ18" s="200">
        <f t="shared" si="8"/>
        <v>0</v>
      </c>
      <c r="CA18" s="200">
        <f t="shared" si="9"/>
        <v>0</v>
      </c>
      <c r="CB18" s="200">
        <f t="shared" si="10"/>
        <v>0</v>
      </c>
      <c r="CC18" s="200">
        <f t="shared" si="11"/>
        <v>0</v>
      </c>
      <c r="CD18" s="200">
        <f t="shared" si="12"/>
        <v>0</v>
      </c>
      <c r="CE18" s="200">
        <f t="shared" si="13"/>
        <v>0</v>
      </c>
      <c r="CF18" s="200">
        <f t="shared" si="14"/>
        <v>0</v>
      </c>
      <c r="CG18" s="200">
        <f t="shared" si="15"/>
        <v>0</v>
      </c>
      <c r="CH18" s="200">
        <f t="shared" si="16"/>
        <v>0</v>
      </c>
      <c r="CI18" s="200">
        <f t="shared" si="17"/>
        <v>0</v>
      </c>
      <c r="CJ18" s="200">
        <f t="shared" si="18"/>
        <v>0</v>
      </c>
      <c r="CK18" s="200">
        <f t="shared" si="19"/>
        <v>0</v>
      </c>
      <c r="CL18" s="200">
        <f t="shared" si="20"/>
        <v>0</v>
      </c>
      <c r="CM18" s="200">
        <f t="shared" si="21"/>
        <v>0</v>
      </c>
      <c r="CN18" s="200">
        <f t="shared" si="22"/>
        <v>0</v>
      </c>
      <c r="CO18" s="200">
        <f t="shared" si="23"/>
        <v>0</v>
      </c>
      <c r="CP18" s="200">
        <f t="shared" si="24"/>
        <v>0</v>
      </c>
      <c r="CQ18" s="200">
        <f t="shared" si="25"/>
        <v>0</v>
      </c>
      <c r="CR18" s="200">
        <f t="shared" si="26"/>
        <v>0</v>
      </c>
      <c r="CS18" s="200">
        <f t="shared" si="27"/>
        <v>0</v>
      </c>
      <c r="CT18" s="200">
        <f t="shared" si="28"/>
        <v>0</v>
      </c>
      <c r="CU18" s="200">
        <f t="shared" si="29"/>
        <v>0</v>
      </c>
      <c r="CV18" s="200">
        <f t="shared" si="30"/>
        <v>0</v>
      </c>
      <c r="CW18" s="200">
        <f t="shared" si="31"/>
        <v>0</v>
      </c>
      <c r="CX18" s="200">
        <f t="shared" si="32"/>
        <v>0</v>
      </c>
      <c r="CY18" s="200">
        <f t="shared" si="33"/>
        <v>0</v>
      </c>
      <c r="CZ18" s="200">
        <f t="shared" si="34"/>
        <v>0</v>
      </c>
      <c r="DA18" s="200">
        <f t="shared" si="35"/>
        <v>0</v>
      </c>
      <c r="DB18" s="200">
        <f t="shared" si="36"/>
        <v>0</v>
      </c>
      <c r="DC18" s="200">
        <f t="shared" si="37"/>
        <v>0</v>
      </c>
      <c r="DD18" s="200">
        <f t="shared" si="38"/>
        <v>0</v>
      </c>
      <c r="DE18" s="200">
        <f t="shared" si="39"/>
        <v>0</v>
      </c>
      <c r="DF18" s="200">
        <f t="shared" si="40"/>
        <v>0</v>
      </c>
      <c r="DG18" s="200">
        <f t="shared" si="41"/>
        <v>0</v>
      </c>
      <c r="DH18" s="200">
        <f t="shared" si="42"/>
        <v>0</v>
      </c>
      <c r="DI18" s="200">
        <f t="shared" si="43"/>
        <v>0</v>
      </c>
      <c r="DJ18" s="200">
        <f t="shared" si="44"/>
        <v>0</v>
      </c>
      <c r="DK18" s="200">
        <f t="shared" si="45"/>
        <v>0</v>
      </c>
      <c r="DL18" s="200">
        <f t="shared" si="46"/>
        <v>0</v>
      </c>
      <c r="DM18" s="200">
        <f t="shared" si="47"/>
        <v>0</v>
      </c>
      <c r="DN18" s="200">
        <f t="shared" si="48"/>
        <v>0</v>
      </c>
      <c r="DO18" s="200">
        <f t="shared" si="49"/>
        <v>0</v>
      </c>
      <c r="DP18" s="200">
        <f t="shared" si="50"/>
        <v>0</v>
      </c>
      <c r="DQ18" s="200">
        <f t="shared" si="51"/>
        <v>0</v>
      </c>
      <c r="DR18" s="200">
        <f t="shared" si="52"/>
        <v>0</v>
      </c>
      <c r="DS18" s="200">
        <f t="shared" si="53"/>
        <v>0</v>
      </c>
      <c r="DT18" s="200">
        <f t="shared" si="54"/>
        <v>0</v>
      </c>
      <c r="DU18" s="200">
        <f t="shared" si="55"/>
        <v>0</v>
      </c>
      <c r="DV18" s="200">
        <f t="shared" si="56"/>
        <v>0</v>
      </c>
      <c r="DW18" s="200">
        <f t="shared" si="57"/>
        <v>0</v>
      </c>
      <c r="DX18" s="200">
        <f t="shared" si="58"/>
        <v>0</v>
      </c>
      <c r="DY18" s="200">
        <f t="shared" si="59"/>
        <v>0</v>
      </c>
      <c r="DZ18" s="200">
        <f t="shared" si="60"/>
        <v>0</v>
      </c>
      <c r="EA18" s="200">
        <f t="shared" si="61"/>
        <v>0</v>
      </c>
      <c r="EB18" s="200">
        <f t="shared" si="62"/>
        <v>0</v>
      </c>
      <c r="EC18" s="200">
        <f t="shared" si="63"/>
        <v>0</v>
      </c>
      <c r="ED18" s="200">
        <f t="shared" si="64"/>
        <v>0</v>
      </c>
      <c r="EE18" s="200">
        <f t="shared" si="65"/>
        <v>0</v>
      </c>
      <c r="EF18" s="200">
        <f t="shared" si="66"/>
        <v>0</v>
      </c>
      <c r="EG18" s="200">
        <f t="shared" si="67"/>
        <v>0</v>
      </c>
      <c r="EH18" s="200">
        <f t="shared" si="68"/>
        <v>0</v>
      </c>
      <c r="EI18" s="200">
        <f t="shared" si="69"/>
        <v>0</v>
      </c>
      <c r="EJ18" s="200">
        <f t="shared" si="70"/>
        <v>0</v>
      </c>
      <c r="EK18" s="200">
        <f t="shared" si="71"/>
        <v>0</v>
      </c>
      <c r="EL18" s="200">
        <f t="shared" si="72"/>
        <v>0</v>
      </c>
      <c r="EM18" s="200">
        <f t="shared" si="73"/>
        <v>0</v>
      </c>
      <c r="EN18" s="200">
        <f t="shared" si="74"/>
        <v>0</v>
      </c>
      <c r="EO18" s="200">
        <f t="shared" si="75"/>
        <v>0</v>
      </c>
      <c r="EP18" s="200">
        <f t="shared" si="76"/>
        <v>0</v>
      </c>
      <c r="EQ18" s="200">
        <f t="shared" si="77"/>
        <v>0</v>
      </c>
      <c r="ER18" s="200">
        <f t="shared" si="78"/>
        <v>0</v>
      </c>
    </row>
    <row r="19" spans="1:148" x14ac:dyDescent="0.3">
      <c r="A19" t="s">
        <v>137</v>
      </c>
      <c r="B19" s="200">
        <v>0.05</v>
      </c>
      <c r="D19" s="58">
        <f>WAR!D24</f>
        <v>8500000</v>
      </c>
      <c r="E19" s="58">
        <f t="shared" ref="E19:AJ19" si="124">(D19*(1+$B19))+(D31*(1+$B19))</f>
        <v>8925000</v>
      </c>
      <c r="F19" s="58">
        <f t="shared" si="124"/>
        <v>9371250</v>
      </c>
      <c r="G19" s="58">
        <f t="shared" si="124"/>
        <v>9839812.5</v>
      </c>
      <c r="H19" s="58">
        <f t="shared" si="124"/>
        <v>10331803.125</v>
      </c>
      <c r="I19" s="58">
        <f t="shared" si="124"/>
        <v>10848393.28125</v>
      </c>
      <c r="J19" s="58">
        <f t="shared" si="124"/>
        <v>11390812.9453125</v>
      </c>
      <c r="K19" s="58">
        <f t="shared" si="124"/>
        <v>11960353.592578126</v>
      </c>
      <c r="L19" s="58">
        <f t="shared" si="124"/>
        <v>12558371.272207033</v>
      </c>
      <c r="M19" s="58">
        <f t="shared" si="124"/>
        <v>13186289.835817385</v>
      </c>
      <c r="N19" s="58">
        <f t="shared" si="124"/>
        <v>13845604.327608256</v>
      </c>
      <c r="O19" s="58">
        <f t="shared" si="124"/>
        <v>14537884.543988669</v>
      </c>
      <c r="P19" s="58">
        <f t="shared" si="124"/>
        <v>15264778.771188103</v>
      </c>
      <c r="Q19" s="58">
        <f t="shared" si="124"/>
        <v>16028017.709747508</v>
      </c>
      <c r="R19" s="58">
        <f t="shared" si="124"/>
        <v>16829418.595234886</v>
      </c>
      <c r="S19" s="58">
        <f t="shared" si="124"/>
        <v>17670889.524996631</v>
      </c>
      <c r="T19" s="58">
        <f t="shared" si="124"/>
        <v>18554434.001246464</v>
      </c>
      <c r="U19" s="58">
        <f t="shared" si="124"/>
        <v>19482155.701308787</v>
      </c>
      <c r="V19" s="58">
        <f t="shared" si="124"/>
        <v>20456263.486374225</v>
      </c>
      <c r="W19" s="58">
        <f t="shared" si="124"/>
        <v>21479076.660692938</v>
      </c>
      <c r="X19" s="58">
        <f t="shared" si="124"/>
        <v>22553030.493727587</v>
      </c>
      <c r="Y19" s="58">
        <f t="shared" si="124"/>
        <v>23680682.018413968</v>
      </c>
      <c r="Z19" s="58">
        <f t="shared" si="124"/>
        <v>24864716.119334668</v>
      </c>
      <c r="AA19" s="58">
        <f t="shared" si="124"/>
        <v>26107951.925301403</v>
      </c>
      <c r="AB19" s="58">
        <f t="shared" si="124"/>
        <v>27413349.521566473</v>
      </c>
      <c r="AC19" s="58">
        <f t="shared" si="124"/>
        <v>28784016.997644797</v>
      </c>
      <c r="AD19" s="58">
        <f t="shared" si="124"/>
        <v>30223217.847527038</v>
      </c>
      <c r="AE19" s="58">
        <f t="shared" si="124"/>
        <v>31734378.73990339</v>
      </c>
      <c r="AF19" s="58">
        <f t="shared" si="124"/>
        <v>33321097.676898561</v>
      </c>
      <c r="AG19" s="58">
        <f t="shared" si="124"/>
        <v>34987152.560743488</v>
      </c>
      <c r="AH19" s="58">
        <f t="shared" si="124"/>
        <v>36736510.188780665</v>
      </c>
      <c r="AI19" s="58">
        <f t="shared" si="124"/>
        <v>38573335.698219702</v>
      </c>
      <c r="AJ19" s="58">
        <f t="shared" si="124"/>
        <v>40502002.483130686</v>
      </c>
      <c r="AK19" s="58">
        <f t="shared" ref="AK19:BP19" si="125">(AJ19*(1+$B19))+(AJ31*(1+$B19))</f>
        <v>42527102.607287221</v>
      </c>
      <c r="AL19" s="58">
        <f t="shared" si="125"/>
        <v>44653457.737651587</v>
      </c>
      <c r="AM19" s="58">
        <f t="shared" si="125"/>
        <v>46886130.624534167</v>
      </c>
      <c r="AN19" s="58">
        <f t="shared" si="125"/>
        <v>49230437.155760877</v>
      </c>
      <c r="AO19" s="58">
        <f t="shared" si="125"/>
        <v>51691959.013548926</v>
      </c>
      <c r="AP19" s="58">
        <f t="shared" si="125"/>
        <v>54276556.964226373</v>
      </c>
      <c r="AQ19" s="58">
        <f t="shared" si="125"/>
        <v>56990384.812437691</v>
      </c>
      <c r="AR19" s="58">
        <f t="shared" si="125"/>
        <v>59839904.053059578</v>
      </c>
      <c r="AS19" s="58">
        <f t="shared" si="125"/>
        <v>62831899.255712561</v>
      </c>
      <c r="AT19" s="58">
        <f t="shared" si="125"/>
        <v>65973494.218498193</v>
      </c>
      <c r="AU19" s="58">
        <f t="shared" si="125"/>
        <v>69272168.929423109</v>
      </c>
      <c r="AV19" s="58">
        <f t="shared" si="125"/>
        <v>72735777.375894263</v>
      </c>
      <c r="AW19" s="58">
        <f t="shared" si="125"/>
        <v>76372566.244688973</v>
      </c>
      <c r="AX19" s="58">
        <f t="shared" si="125"/>
        <v>80191194.556923419</v>
      </c>
      <c r="AY19" s="58">
        <f t="shared" si="125"/>
        <v>84200754.284769595</v>
      </c>
      <c r="AZ19" s="58">
        <f t="shared" si="125"/>
        <v>88410791.999008074</v>
      </c>
      <c r="BA19" s="58">
        <f t="shared" si="125"/>
        <v>92831331.598958477</v>
      </c>
      <c r="BB19" s="58">
        <f t="shared" si="125"/>
        <v>97472898.178906411</v>
      </c>
      <c r="BC19" s="58">
        <f t="shared" si="125"/>
        <v>102346543.08785173</v>
      </c>
      <c r="BD19" s="58">
        <f t="shared" si="125"/>
        <v>107463870.24224432</v>
      </c>
      <c r="BE19" s="58">
        <f t="shared" si="125"/>
        <v>112837063.75435653</v>
      </c>
      <c r="BF19" s="58">
        <f t="shared" si="125"/>
        <v>118478916.94207436</v>
      </c>
      <c r="BG19" s="58">
        <f t="shared" si="125"/>
        <v>124402862.78917809</v>
      </c>
      <c r="BH19" s="58">
        <f t="shared" si="125"/>
        <v>130623005.928637</v>
      </c>
      <c r="BI19" s="58">
        <f t="shared" si="125"/>
        <v>137154156.22506887</v>
      </c>
      <c r="BJ19" s="58">
        <f t="shared" si="125"/>
        <v>144011864.03632233</v>
      </c>
      <c r="BK19" s="58">
        <f t="shared" si="125"/>
        <v>151212457.23813844</v>
      </c>
      <c r="BL19" s="58">
        <f t="shared" si="125"/>
        <v>158773080.10004535</v>
      </c>
      <c r="BM19" s="58">
        <f t="shared" si="125"/>
        <v>166711734.10504761</v>
      </c>
      <c r="BN19" s="58">
        <f t="shared" si="125"/>
        <v>175047320.81029999</v>
      </c>
      <c r="BO19" s="58">
        <f t="shared" si="125"/>
        <v>183799686.850815</v>
      </c>
      <c r="BP19" s="58">
        <f t="shared" si="125"/>
        <v>192989671.19335577</v>
      </c>
      <c r="BQ19" s="58">
        <f t="shared" ref="BQ19:BW19" si="126">(BP19*(1+$B19))+(BP31*(1+$B19))</f>
        <v>202639154.75302356</v>
      </c>
      <c r="BR19" s="58">
        <f t="shared" si="126"/>
        <v>212771112.49067476</v>
      </c>
      <c r="BS19" s="58">
        <f t="shared" si="126"/>
        <v>223409668.11520851</v>
      </c>
      <c r="BT19" s="58">
        <f t="shared" si="126"/>
        <v>234580151.52096894</v>
      </c>
      <c r="BU19" s="58">
        <f t="shared" si="126"/>
        <v>246309159.09701741</v>
      </c>
      <c r="BV19" s="58">
        <f t="shared" si="126"/>
        <v>258624617.05186829</v>
      </c>
      <c r="BW19" s="58">
        <f t="shared" si="126"/>
        <v>271555847.90446174</v>
      </c>
      <c r="BX19" s="58"/>
      <c r="BY19" s="200">
        <f t="shared" si="7"/>
        <v>0</v>
      </c>
      <c r="BZ19" s="200">
        <f t="shared" si="8"/>
        <v>0</v>
      </c>
      <c r="CA19" s="200">
        <f t="shared" si="9"/>
        <v>0</v>
      </c>
      <c r="CB19" s="200">
        <f t="shared" si="10"/>
        <v>0</v>
      </c>
      <c r="CC19" s="200">
        <f t="shared" si="11"/>
        <v>0</v>
      </c>
      <c r="CD19" s="200">
        <f t="shared" si="12"/>
        <v>0</v>
      </c>
      <c r="CE19" s="200">
        <f t="shared" si="13"/>
        <v>0</v>
      </c>
      <c r="CF19" s="200">
        <f t="shared" si="14"/>
        <v>0</v>
      </c>
      <c r="CG19" s="200">
        <f t="shared" si="15"/>
        <v>0</v>
      </c>
      <c r="CH19" s="200">
        <f t="shared" si="16"/>
        <v>0</v>
      </c>
      <c r="CI19" s="200">
        <f t="shared" si="17"/>
        <v>0</v>
      </c>
      <c r="CJ19" s="200">
        <f t="shared" si="18"/>
        <v>0</v>
      </c>
      <c r="CK19" s="200">
        <f t="shared" si="19"/>
        <v>0</v>
      </c>
      <c r="CL19" s="200">
        <f t="shared" si="20"/>
        <v>0</v>
      </c>
      <c r="CM19" s="200">
        <f t="shared" si="21"/>
        <v>0</v>
      </c>
      <c r="CN19" s="200">
        <f t="shared" si="22"/>
        <v>0</v>
      </c>
      <c r="CO19" s="200">
        <f t="shared" si="23"/>
        <v>0</v>
      </c>
      <c r="CP19" s="200">
        <f t="shared" si="24"/>
        <v>0</v>
      </c>
      <c r="CQ19" s="200">
        <f t="shared" si="25"/>
        <v>0</v>
      </c>
      <c r="CR19" s="200">
        <f t="shared" si="26"/>
        <v>0</v>
      </c>
      <c r="CS19" s="200">
        <f t="shared" si="27"/>
        <v>0</v>
      </c>
      <c r="CT19" s="200">
        <f t="shared" si="28"/>
        <v>0</v>
      </c>
      <c r="CU19" s="200">
        <f t="shared" si="29"/>
        <v>0</v>
      </c>
      <c r="CV19" s="200">
        <f t="shared" si="30"/>
        <v>0</v>
      </c>
      <c r="CW19" s="200">
        <f t="shared" si="31"/>
        <v>0</v>
      </c>
      <c r="CX19" s="200">
        <f t="shared" si="32"/>
        <v>0</v>
      </c>
      <c r="CY19" s="200">
        <f t="shared" si="33"/>
        <v>0</v>
      </c>
      <c r="CZ19" s="200">
        <f t="shared" si="34"/>
        <v>0</v>
      </c>
      <c r="DA19" s="200">
        <f t="shared" si="35"/>
        <v>0</v>
      </c>
      <c r="DB19" s="200">
        <f t="shared" si="36"/>
        <v>0</v>
      </c>
      <c r="DC19" s="200">
        <f t="shared" si="37"/>
        <v>0</v>
      </c>
      <c r="DD19" s="200">
        <f t="shared" si="38"/>
        <v>0</v>
      </c>
      <c r="DE19" s="200">
        <f t="shared" si="39"/>
        <v>0</v>
      </c>
      <c r="DF19" s="200">
        <f t="shared" si="40"/>
        <v>0</v>
      </c>
      <c r="DG19" s="200">
        <f t="shared" si="41"/>
        <v>0</v>
      </c>
      <c r="DH19" s="200">
        <f t="shared" si="42"/>
        <v>0</v>
      </c>
      <c r="DI19" s="200">
        <f t="shared" si="43"/>
        <v>0</v>
      </c>
      <c r="DJ19" s="200">
        <f t="shared" si="44"/>
        <v>0</v>
      </c>
      <c r="DK19" s="200">
        <f t="shared" si="45"/>
        <v>0</v>
      </c>
      <c r="DL19" s="200">
        <f t="shared" si="46"/>
        <v>0</v>
      </c>
      <c r="DM19" s="200">
        <f t="shared" si="47"/>
        <v>0</v>
      </c>
      <c r="DN19" s="200">
        <f t="shared" si="48"/>
        <v>0</v>
      </c>
      <c r="DO19" s="200">
        <f t="shared" si="49"/>
        <v>0</v>
      </c>
      <c r="DP19" s="200">
        <f t="shared" si="50"/>
        <v>0</v>
      </c>
      <c r="DQ19" s="200">
        <f t="shared" si="51"/>
        <v>0</v>
      </c>
      <c r="DR19" s="200">
        <f t="shared" si="52"/>
        <v>0</v>
      </c>
      <c r="DS19" s="200">
        <f t="shared" si="53"/>
        <v>0</v>
      </c>
      <c r="DT19" s="200">
        <f t="shared" si="54"/>
        <v>0</v>
      </c>
      <c r="DU19" s="200">
        <f t="shared" si="55"/>
        <v>0</v>
      </c>
      <c r="DV19" s="200">
        <f t="shared" si="56"/>
        <v>0</v>
      </c>
      <c r="DW19" s="200">
        <f t="shared" si="57"/>
        <v>0</v>
      </c>
      <c r="DX19" s="200">
        <f t="shared" si="58"/>
        <v>0</v>
      </c>
      <c r="DY19" s="200">
        <f t="shared" si="59"/>
        <v>0</v>
      </c>
      <c r="DZ19" s="200">
        <f t="shared" si="60"/>
        <v>0</v>
      </c>
      <c r="EA19" s="200">
        <f t="shared" si="61"/>
        <v>0</v>
      </c>
      <c r="EB19" s="200">
        <f t="shared" si="62"/>
        <v>0</v>
      </c>
      <c r="EC19" s="200">
        <f t="shared" si="63"/>
        <v>0</v>
      </c>
      <c r="ED19" s="200">
        <f t="shared" si="64"/>
        <v>0</v>
      </c>
      <c r="EE19" s="200">
        <f t="shared" si="65"/>
        <v>0</v>
      </c>
      <c r="EF19" s="200">
        <f t="shared" si="66"/>
        <v>0</v>
      </c>
      <c r="EG19" s="200">
        <f t="shared" si="67"/>
        <v>0</v>
      </c>
      <c r="EH19" s="200">
        <f t="shared" si="68"/>
        <v>0</v>
      </c>
      <c r="EI19" s="200">
        <f t="shared" si="69"/>
        <v>0</v>
      </c>
      <c r="EJ19" s="200">
        <f t="shared" si="70"/>
        <v>0</v>
      </c>
      <c r="EK19" s="200">
        <f t="shared" si="71"/>
        <v>0</v>
      </c>
      <c r="EL19" s="200">
        <f t="shared" si="72"/>
        <v>0</v>
      </c>
      <c r="EM19" s="200">
        <f t="shared" si="73"/>
        <v>0</v>
      </c>
      <c r="EN19" s="200">
        <f t="shared" si="74"/>
        <v>0</v>
      </c>
      <c r="EO19" s="200">
        <f t="shared" si="75"/>
        <v>0</v>
      </c>
      <c r="EP19" s="200">
        <f t="shared" si="76"/>
        <v>0</v>
      </c>
      <c r="EQ19" s="200">
        <f t="shared" si="77"/>
        <v>0</v>
      </c>
      <c r="ER19" s="200">
        <f t="shared" si="78"/>
        <v>0</v>
      </c>
    </row>
    <row r="20" spans="1:148" x14ac:dyDescent="0.3">
      <c r="A20" t="s">
        <v>138</v>
      </c>
      <c r="B20" s="200">
        <v>7.0000000000000007E-2</v>
      </c>
      <c r="D20" s="58">
        <f>WAR!D25</f>
        <v>0</v>
      </c>
      <c r="E20" s="58">
        <f t="shared" ref="E20:AJ20" si="127">(D20*(1+$B20))+(D32*(1+$B20))</f>
        <v>0</v>
      </c>
      <c r="F20" s="58">
        <f t="shared" si="127"/>
        <v>0</v>
      </c>
      <c r="G20" s="58">
        <f t="shared" si="127"/>
        <v>0</v>
      </c>
      <c r="H20" s="58">
        <f t="shared" si="127"/>
        <v>0</v>
      </c>
      <c r="I20" s="58">
        <f t="shared" si="127"/>
        <v>0</v>
      </c>
      <c r="J20" s="58">
        <f t="shared" si="127"/>
        <v>0</v>
      </c>
      <c r="K20" s="58">
        <f t="shared" si="127"/>
        <v>0</v>
      </c>
      <c r="L20" s="58">
        <f t="shared" si="127"/>
        <v>0</v>
      </c>
      <c r="M20" s="58">
        <f t="shared" si="127"/>
        <v>0</v>
      </c>
      <c r="N20" s="58">
        <f t="shared" si="127"/>
        <v>0</v>
      </c>
      <c r="O20" s="58">
        <f t="shared" si="127"/>
        <v>0</v>
      </c>
      <c r="P20" s="58">
        <f t="shared" si="127"/>
        <v>0</v>
      </c>
      <c r="Q20" s="58">
        <f t="shared" si="127"/>
        <v>0</v>
      </c>
      <c r="R20" s="58">
        <f t="shared" si="127"/>
        <v>0</v>
      </c>
      <c r="S20" s="58">
        <f t="shared" si="127"/>
        <v>0</v>
      </c>
      <c r="T20" s="58">
        <f t="shared" si="127"/>
        <v>0</v>
      </c>
      <c r="U20" s="58">
        <f t="shared" si="127"/>
        <v>0</v>
      </c>
      <c r="V20" s="58">
        <f t="shared" si="127"/>
        <v>0</v>
      </c>
      <c r="W20" s="58">
        <f t="shared" si="127"/>
        <v>0</v>
      </c>
      <c r="X20" s="58">
        <f t="shared" si="127"/>
        <v>0</v>
      </c>
      <c r="Y20" s="58">
        <f t="shared" si="127"/>
        <v>0</v>
      </c>
      <c r="Z20" s="58">
        <f t="shared" si="127"/>
        <v>0</v>
      </c>
      <c r="AA20" s="58">
        <f t="shared" si="127"/>
        <v>0</v>
      </c>
      <c r="AB20" s="58">
        <f t="shared" si="127"/>
        <v>0</v>
      </c>
      <c r="AC20" s="58">
        <f t="shared" si="127"/>
        <v>0</v>
      </c>
      <c r="AD20" s="58">
        <f t="shared" si="127"/>
        <v>0</v>
      </c>
      <c r="AE20" s="58">
        <f t="shared" si="127"/>
        <v>0</v>
      </c>
      <c r="AF20" s="58">
        <f t="shared" si="127"/>
        <v>0</v>
      </c>
      <c r="AG20" s="58">
        <f t="shared" si="127"/>
        <v>0</v>
      </c>
      <c r="AH20" s="58">
        <f t="shared" si="127"/>
        <v>0</v>
      </c>
      <c r="AI20" s="58">
        <f t="shared" si="127"/>
        <v>0</v>
      </c>
      <c r="AJ20" s="58">
        <f t="shared" si="127"/>
        <v>0</v>
      </c>
      <c r="AK20" s="58">
        <f t="shared" ref="AK20:BP20" si="128">(AJ20*(1+$B20))+(AJ32*(1+$B20))</f>
        <v>0</v>
      </c>
      <c r="AL20" s="58">
        <f t="shared" si="128"/>
        <v>0</v>
      </c>
      <c r="AM20" s="58">
        <f t="shared" si="128"/>
        <v>0</v>
      </c>
      <c r="AN20" s="58">
        <f t="shared" si="128"/>
        <v>0</v>
      </c>
      <c r="AO20" s="58">
        <f t="shared" si="128"/>
        <v>0</v>
      </c>
      <c r="AP20" s="58">
        <f t="shared" si="128"/>
        <v>0</v>
      </c>
      <c r="AQ20" s="58">
        <f t="shared" si="128"/>
        <v>0</v>
      </c>
      <c r="AR20" s="58">
        <f t="shared" si="128"/>
        <v>0</v>
      </c>
      <c r="AS20" s="58">
        <f t="shared" si="128"/>
        <v>0</v>
      </c>
      <c r="AT20" s="58">
        <f t="shared" si="128"/>
        <v>0</v>
      </c>
      <c r="AU20" s="58">
        <f t="shared" si="128"/>
        <v>0</v>
      </c>
      <c r="AV20" s="58">
        <f t="shared" si="128"/>
        <v>0</v>
      </c>
      <c r="AW20" s="58">
        <f t="shared" si="128"/>
        <v>0</v>
      </c>
      <c r="AX20" s="58">
        <f t="shared" si="128"/>
        <v>0</v>
      </c>
      <c r="AY20" s="58">
        <f t="shared" si="128"/>
        <v>0</v>
      </c>
      <c r="AZ20" s="58">
        <f t="shared" si="128"/>
        <v>0</v>
      </c>
      <c r="BA20" s="58">
        <f t="shared" si="128"/>
        <v>0</v>
      </c>
      <c r="BB20" s="58">
        <f t="shared" si="128"/>
        <v>0</v>
      </c>
      <c r="BC20" s="58">
        <f t="shared" si="128"/>
        <v>0</v>
      </c>
      <c r="BD20" s="58">
        <f t="shared" si="128"/>
        <v>0</v>
      </c>
      <c r="BE20" s="58">
        <f t="shared" si="128"/>
        <v>0</v>
      </c>
      <c r="BF20" s="58">
        <f t="shared" si="128"/>
        <v>0</v>
      </c>
      <c r="BG20" s="58">
        <f t="shared" si="128"/>
        <v>0</v>
      </c>
      <c r="BH20" s="58">
        <f t="shared" si="128"/>
        <v>0</v>
      </c>
      <c r="BI20" s="58">
        <f t="shared" si="128"/>
        <v>0</v>
      </c>
      <c r="BJ20" s="58">
        <f t="shared" si="128"/>
        <v>0</v>
      </c>
      <c r="BK20" s="58">
        <f t="shared" si="128"/>
        <v>0</v>
      </c>
      <c r="BL20" s="58">
        <f t="shared" si="128"/>
        <v>0</v>
      </c>
      <c r="BM20" s="58">
        <f t="shared" si="128"/>
        <v>0</v>
      </c>
      <c r="BN20" s="58">
        <f t="shared" si="128"/>
        <v>0</v>
      </c>
      <c r="BO20" s="58">
        <f t="shared" si="128"/>
        <v>0</v>
      </c>
      <c r="BP20" s="58">
        <f t="shared" si="128"/>
        <v>0</v>
      </c>
      <c r="BQ20" s="58">
        <f t="shared" ref="BQ20:BW20" si="129">(BP20*(1+$B20))+(BP32*(1+$B20))</f>
        <v>0</v>
      </c>
      <c r="BR20" s="58">
        <f t="shared" si="129"/>
        <v>0</v>
      </c>
      <c r="BS20" s="58">
        <f t="shared" si="129"/>
        <v>0</v>
      </c>
      <c r="BT20" s="58">
        <f t="shared" si="129"/>
        <v>0</v>
      </c>
      <c r="BU20" s="58">
        <f t="shared" si="129"/>
        <v>0</v>
      </c>
      <c r="BV20" s="58">
        <f t="shared" si="129"/>
        <v>0</v>
      </c>
      <c r="BW20" s="58">
        <f t="shared" si="129"/>
        <v>0</v>
      </c>
      <c r="BX20" s="58"/>
      <c r="BY20" s="200">
        <f t="shared" si="7"/>
        <v>0</v>
      </c>
      <c r="BZ20" s="200">
        <f t="shared" si="8"/>
        <v>0</v>
      </c>
      <c r="CA20" s="200">
        <f t="shared" si="9"/>
        <v>0</v>
      </c>
      <c r="CB20" s="200">
        <f t="shared" si="10"/>
        <v>0</v>
      </c>
      <c r="CC20" s="200">
        <f t="shared" si="11"/>
        <v>0</v>
      </c>
      <c r="CD20" s="200">
        <f t="shared" si="12"/>
        <v>0</v>
      </c>
      <c r="CE20" s="200">
        <f t="shared" si="13"/>
        <v>0</v>
      </c>
      <c r="CF20" s="200">
        <f t="shared" si="14"/>
        <v>0</v>
      </c>
      <c r="CG20" s="200">
        <f t="shared" si="15"/>
        <v>0</v>
      </c>
      <c r="CH20" s="200">
        <f t="shared" si="16"/>
        <v>0</v>
      </c>
      <c r="CI20" s="200">
        <f t="shared" si="17"/>
        <v>0</v>
      </c>
      <c r="CJ20" s="200">
        <f t="shared" si="18"/>
        <v>0</v>
      </c>
      <c r="CK20" s="200">
        <f t="shared" si="19"/>
        <v>0</v>
      </c>
      <c r="CL20" s="200">
        <f t="shared" si="20"/>
        <v>0</v>
      </c>
      <c r="CM20" s="200">
        <f t="shared" si="21"/>
        <v>0</v>
      </c>
      <c r="CN20" s="200">
        <f t="shared" si="22"/>
        <v>0</v>
      </c>
      <c r="CO20" s="200">
        <f t="shared" si="23"/>
        <v>0</v>
      </c>
      <c r="CP20" s="200">
        <f t="shared" si="24"/>
        <v>0</v>
      </c>
      <c r="CQ20" s="200">
        <f t="shared" si="25"/>
        <v>0</v>
      </c>
      <c r="CR20" s="200">
        <f t="shared" si="26"/>
        <v>0</v>
      </c>
      <c r="CS20" s="200">
        <f t="shared" si="27"/>
        <v>0</v>
      </c>
      <c r="CT20" s="200">
        <f t="shared" si="28"/>
        <v>0</v>
      </c>
      <c r="CU20" s="200">
        <f t="shared" si="29"/>
        <v>0</v>
      </c>
      <c r="CV20" s="200">
        <f t="shared" si="30"/>
        <v>0</v>
      </c>
      <c r="CW20" s="200">
        <f t="shared" si="31"/>
        <v>0</v>
      </c>
      <c r="CX20" s="200">
        <f t="shared" si="32"/>
        <v>0</v>
      </c>
      <c r="CY20" s="200">
        <f t="shared" si="33"/>
        <v>0</v>
      </c>
      <c r="CZ20" s="200">
        <f t="shared" si="34"/>
        <v>0</v>
      </c>
      <c r="DA20" s="200">
        <f t="shared" si="35"/>
        <v>0</v>
      </c>
      <c r="DB20" s="200">
        <f t="shared" si="36"/>
        <v>0</v>
      </c>
      <c r="DC20" s="200">
        <f t="shared" si="37"/>
        <v>0</v>
      </c>
      <c r="DD20" s="200">
        <f t="shared" si="38"/>
        <v>0</v>
      </c>
      <c r="DE20" s="200">
        <f t="shared" si="39"/>
        <v>0</v>
      </c>
      <c r="DF20" s="200">
        <f t="shared" si="40"/>
        <v>0</v>
      </c>
      <c r="DG20" s="200">
        <f t="shared" si="41"/>
        <v>0</v>
      </c>
      <c r="DH20" s="200">
        <f t="shared" si="42"/>
        <v>0</v>
      </c>
      <c r="DI20" s="200">
        <f t="shared" si="43"/>
        <v>0</v>
      </c>
      <c r="DJ20" s="200">
        <f t="shared" si="44"/>
        <v>0</v>
      </c>
      <c r="DK20" s="200">
        <f t="shared" si="45"/>
        <v>0</v>
      </c>
      <c r="DL20" s="200">
        <f t="shared" si="46"/>
        <v>0</v>
      </c>
      <c r="DM20" s="200">
        <f t="shared" si="47"/>
        <v>0</v>
      </c>
      <c r="DN20" s="200">
        <f t="shared" si="48"/>
        <v>0</v>
      </c>
      <c r="DO20" s="200">
        <f t="shared" si="49"/>
        <v>0</v>
      </c>
      <c r="DP20" s="200">
        <f t="shared" si="50"/>
        <v>0</v>
      </c>
      <c r="DQ20" s="200">
        <f t="shared" si="51"/>
        <v>0</v>
      </c>
      <c r="DR20" s="200">
        <f t="shared" si="52"/>
        <v>0</v>
      </c>
      <c r="DS20" s="200">
        <f t="shared" si="53"/>
        <v>0</v>
      </c>
      <c r="DT20" s="200">
        <f t="shared" si="54"/>
        <v>0</v>
      </c>
      <c r="DU20" s="200">
        <f t="shared" si="55"/>
        <v>0</v>
      </c>
      <c r="DV20" s="200">
        <f t="shared" si="56"/>
        <v>0</v>
      </c>
      <c r="DW20" s="200">
        <f t="shared" si="57"/>
        <v>0</v>
      </c>
      <c r="DX20" s="200">
        <f t="shared" si="58"/>
        <v>0</v>
      </c>
      <c r="DY20" s="200">
        <f t="shared" si="59"/>
        <v>0</v>
      </c>
      <c r="DZ20" s="200">
        <f t="shared" si="60"/>
        <v>0</v>
      </c>
      <c r="EA20" s="200">
        <f t="shared" si="61"/>
        <v>0</v>
      </c>
      <c r="EB20" s="200">
        <f t="shared" si="62"/>
        <v>0</v>
      </c>
      <c r="EC20" s="200">
        <f t="shared" si="63"/>
        <v>0</v>
      </c>
      <c r="ED20" s="200">
        <f t="shared" si="64"/>
        <v>0</v>
      </c>
      <c r="EE20" s="200">
        <f t="shared" si="65"/>
        <v>0</v>
      </c>
      <c r="EF20" s="200">
        <f t="shared" si="66"/>
        <v>0</v>
      </c>
      <c r="EG20" s="200">
        <f t="shared" si="67"/>
        <v>0</v>
      </c>
      <c r="EH20" s="200">
        <f t="shared" si="68"/>
        <v>0</v>
      </c>
      <c r="EI20" s="200">
        <f t="shared" si="69"/>
        <v>0</v>
      </c>
      <c r="EJ20" s="200">
        <f t="shared" si="70"/>
        <v>0</v>
      </c>
      <c r="EK20" s="200">
        <f t="shared" si="71"/>
        <v>0</v>
      </c>
      <c r="EL20" s="200">
        <f t="shared" si="72"/>
        <v>0</v>
      </c>
      <c r="EM20" s="200">
        <f t="shared" si="73"/>
        <v>0</v>
      </c>
      <c r="EN20" s="200">
        <f t="shared" si="74"/>
        <v>0</v>
      </c>
      <c r="EO20" s="200">
        <f t="shared" si="75"/>
        <v>0</v>
      </c>
      <c r="EP20" s="200">
        <f t="shared" si="76"/>
        <v>0</v>
      </c>
      <c r="EQ20" s="200">
        <f t="shared" si="77"/>
        <v>0</v>
      </c>
      <c r="ER20" s="200">
        <f t="shared" si="78"/>
        <v>0</v>
      </c>
    </row>
    <row r="21" spans="1:148" x14ac:dyDescent="0.3">
      <c r="A21" t="s">
        <v>139</v>
      </c>
      <c r="B21" s="200">
        <v>0.06</v>
      </c>
      <c r="D21" s="58">
        <f>WAR!D27</f>
        <v>0</v>
      </c>
      <c r="E21" s="58">
        <f t="shared" ref="E21:AJ21" si="130">(D21*(1+$B21))+((D$33*$C21)*(1+$B21))</f>
        <v>0</v>
      </c>
      <c r="F21" s="58">
        <f t="shared" si="130"/>
        <v>0</v>
      </c>
      <c r="G21" s="58">
        <f t="shared" si="130"/>
        <v>0</v>
      </c>
      <c r="H21" s="58">
        <f t="shared" si="130"/>
        <v>0</v>
      </c>
      <c r="I21" s="58">
        <f t="shared" si="130"/>
        <v>0</v>
      </c>
      <c r="J21" s="58">
        <f t="shared" si="130"/>
        <v>0</v>
      </c>
      <c r="K21" s="58">
        <f t="shared" si="130"/>
        <v>0</v>
      </c>
      <c r="L21" s="58">
        <f t="shared" si="130"/>
        <v>0</v>
      </c>
      <c r="M21" s="58">
        <f t="shared" si="130"/>
        <v>0</v>
      </c>
      <c r="N21" s="58">
        <f t="shared" si="130"/>
        <v>0</v>
      </c>
      <c r="O21" s="58">
        <f t="shared" si="130"/>
        <v>0</v>
      </c>
      <c r="P21" s="58">
        <f t="shared" si="130"/>
        <v>0</v>
      </c>
      <c r="Q21" s="58">
        <f t="shared" si="130"/>
        <v>0</v>
      </c>
      <c r="R21" s="58">
        <f t="shared" si="130"/>
        <v>0</v>
      </c>
      <c r="S21" s="58">
        <f t="shared" si="130"/>
        <v>0</v>
      </c>
      <c r="T21" s="58">
        <f t="shared" si="130"/>
        <v>0</v>
      </c>
      <c r="U21" s="58">
        <f t="shared" si="130"/>
        <v>0</v>
      </c>
      <c r="V21" s="58">
        <f t="shared" si="130"/>
        <v>0</v>
      </c>
      <c r="W21" s="58">
        <f t="shared" si="130"/>
        <v>0</v>
      </c>
      <c r="X21" s="58">
        <f t="shared" si="130"/>
        <v>0</v>
      </c>
      <c r="Y21" s="58">
        <f t="shared" si="130"/>
        <v>0</v>
      </c>
      <c r="Z21" s="58">
        <f t="shared" si="130"/>
        <v>0</v>
      </c>
      <c r="AA21" s="58">
        <f t="shared" si="130"/>
        <v>0</v>
      </c>
      <c r="AB21" s="58">
        <f t="shared" si="130"/>
        <v>0</v>
      </c>
      <c r="AC21" s="58">
        <f t="shared" si="130"/>
        <v>0</v>
      </c>
      <c r="AD21" s="58">
        <f t="shared" si="130"/>
        <v>0</v>
      </c>
      <c r="AE21" s="58">
        <f t="shared" si="130"/>
        <v>0</v>
      </c>
      <c r="AF21" s="58">
        <f t="shared" si="130"/>
        <v>0</v>
      </c>
      <c r="AG21" s="58">
        <f t="shared" si="130"/>
        <v>0</v>
      </c>
      <c r="AH21" s="58">
        <f t="shared" si="130"/>
        <v>0</v>
      </c>
      <c r="AI21" s="58">
        <f t="shared" si="130"/>
        <v>0</v>
      </c>
      <c r="AJ21" s="58">
        <f t="shared" si="130"/>
        <v>0</v>
      </c>
      <c r="AK21" s="58">
        <f t="shared" ref="AK21:BP21" si="131">(AJ21*(1+$B21))+((AJ$33*$C21)*(1+$B21))</f>
        <v>0</v>
      </c>
      <c r="AL21" s="58">
        <f t="shared" si="131"/>
        <v>0</v>
      </c>
      <c r="AM21" s="58">
        <f t="shared" si="131"/>
        <v>0</v>
      </c>
      <c r="AN21" s="58">
        <f t="shared" si="131"/>
        <v>0</v>
      </c>
      <c r="AO21" s="58">
        <f t="shared" si="131"/>
        <v>0</v>
      </c>
      <c r="AP21" s="58">
        <f t="shared" si="131"/>
        <v>0</v>
      </c>
      <c r="AQ21" s="58">
        <f t="shared" si="131"/>
        <v>0</v>
      </c>
      <c r="AR21" s="58">
        <f t="shared" si="131"/>
        <v>0</v>
      </c>
      <c r="AS21" s="58">
        <f t="shared" si="131"/>
        <v>0</v>
      </c>
      <c r="AT21" s="58">
        <f t="shared" si="131"/>
        <v>0</v>
      </c>
      <c r="AU21" s="58">
        <f t="shared" si="131"/>
        <v>0</v>
      </c>
      <c r="AV21" s="58">
        <f t="shared" si="131"/>
        <v>0</v>
      </c>
      <c r="AW21" s="58">
        <f t="shared" si="131"/>
        <v>0</v>
      </c>
      <c r="AX21" s="58">
        <f t="shared" si="131"/>
        <v>0</v>
      </c>
      <c r="AY21" s="58">
        <f t="shared" si="131"/>
        <v>0</v>
      </c>
      <c r="AZ21" s="58">
        <f t="shared" si="131"/>
        <v>0</v>
      </c>
      <c r="BA21" s="58">
        <f t="shared" si="131"/>
        <v>0</v>
      </c>
      <c r="BB21" s="58">
        <f t="shared" si="131"/>
        <v>0</v>
      </c>
      <c r="BC21" s="58">
        <f t="shared" si="131"/>
        <v>0</v>
      </c>
      <c r="BD21" s="58">
        <f t="shared" si="131"/>
        <v>0</v>
      </c>
      <c r="BE21" s="58">
        <f t="shared" si="131"/>
        <v>0</v>
      </c>
      <c r="BF21" s="58">
        <f t="shared" si="131"/>
        <v>0</v>
      </c>
      <c r="BG21" s="58">
        <f t="shared" si="131"/>
        <v>0</v>
      </c>
      <c r="BH21" s="58">
        <f t="shared" si="131"/>
        <v>0</v>
      </c>
      <c r="BI21" s="58">
        <f t="shared" si="131"/>
        <v>0</v>
      </c>
      <c r="BJ21" s="58">
        <f t="shared" si="131"/>
        <v>0</v>
      </c>
      <c r="BK21" s="58">
        <f t="shared" si="131"/>
        <v>0</v>
      </c>
      <c r="BL21" s="58">
        <f t="shared" si="131"/>
        <v>0</v>
      </c>
      <c r="BM21" s="58">
        <f t="shared" si="131"/>
        <v>0</v>
      </c>
      <c r="BN21" s="58">
        <f t="shared" si="131"/>
        <v>0</v>
      </c>
      <c r="BO21" s="58">
        <f t="shared" si="131"/>
        <v>0</v>
      </c>
      <c r="BP21" s="58">
        <f t="shared" si="131"/>
        <v>0</v>
      </c>
      <c r="BQ21" s="58">
        <f t="shared" ref="BQ21:BW21" si="132">(BP21*(1+$B21))+((BP$33*$C21)*(1+$B21))</f>
        <v>0</v>
      </c>
      <c r="BR21" s="58">
        <f t="shared" si="132"/>
        <v>0</v>
      </c>
      <c r="BS21" s="58">
        <f t="shared" si="132"/>
        <v>0</v>
      </c>
      <c r="BT21" s="58">
        <f t="shared" si="132"/>
        <v>0</v>
      </c>
      <c r="BU21" s="58">
        <f t="shared" si="132"/>
        <v>0</v>
      </c>
      <c r="BV21" s="58">
        <f t="shared" si="132"/>
        <v>0</v>
      </c>
      <c r="BW21" s="58">
        <f t="shared" si="132"/>
        <v>0</v>
      </c>
      <c r="BX21" s="58"/>
      <c r="BY21" s="200">
        <f t="shared" si="7"/>
        <v>0</v>
      </c>
      <c r="BZ21" s="200">
        <f t="shared" si="8"/>
        <v>0</v>
      </c>
      <c r="CA21" s="200">
        <f t="shared" si="9"/>
        <v>0</v>
      </c>
      <c r="CB21" s="200">
        <f t="shared" si="10"/>
        <v>0</v>
      </c>
      <c r="CC21" s="200">
        <f t="shared" si="11"/>
        <v>0</v>
      </c>
      <c r="CD21" s="200">
        <f t="shared" si="12"/>
        <v>0</v>
      </c>
      <c r="CE21" s="200">
        <f t="shared" si="13"/>
        <v>0</v>
      </c>
      <c r="CF21" s="200">
        <f t="shared" si="14"/>
        <v>0</v>
      </c>
      <c r="CG21" s="200">
        <f t="shared" si="15"/>
        <v>0</v>
      </c>
      <c r="CH21" s="200">
        <f t="shared" si="16"/>
        <v>0</v>
      </c>
      <c r="CI21" s="200">
        <f t="shared" si="17"/>
        <v>0</v>
      </c>
      <c r="CJ21" s="200">
        <f t="shared" si="18"/>
        <v>0</v>
      </c>
      <c r="CK21" s="200">
        <f t="shared" si="19"/>
        <v>0</v>
      </c>
      <c r="CL21" s="200">
        <f t="shared" si="20"/>
        <v>0</v>
      </c>
      <c r="CM21" s="200">
        <f t="shared" si="21"/>
        <v>0</v>
      </c>
      <c r="CN21" s="200">
        <f t="shared" si="22"/>
        <v>0</v>
      </c>
      <c r="CO21" s="200">
        <f t="shared" si="23"/>
        <v>0</v>
      </c>
      <c r="CP21" s="200">
        <f t="shared" si="24"/>
        <v>0</v>
      </c>
      <c r="CQ21" s="200">
        <f t="shared" si="25"/>
        <v>0</v>
      </c>
      <c r="CR21" s="200">
        <f t="shared" si="26"/>
        <v>0</v>
      </c>
      <c r="CS21" s="200">
        <f t="shared" si="27"/>
        <v>0</v>
      </c>
      <c r="CT21" s="200">
        <f t="shared" si="28"/>
        <v>0</v>
      </c>
      <c r="CU21" s="200">
        <f t="shared" si="29"/>
        <v>0</v>
      </c>
      <c r="CV21" s="200">
        <f t="shared" si="30"/>
        <v>0</v>
      </c>
      <c r="CW21" s="200">
        <f t="shared" si="31"/>
        <v>0</v>
      </c>
      <c r="CX21" s="200">
        <f t="shared" si="32"/>
        <v>0</v>
      </c>
      <c r="CY21" s="200">
        <f t="shared" si="33"/>
        <v>0</v>
      </c>
      <c r="CZ21" s="200">
        <f t="shared" si="34"/>
        <v>0</v>
      </c>
      <c r="DA21" s="200">
        <f t="shared" si="35"/>
        <v>0</v>
      </c>
      <c r="DB21" s="200">
        <f t="shared" si="36"/>
        <v>0</v>
      </c>
      <c r="DC21" s="200">
        <f t="shared" si="37"/>
        <v>0</v>
      </c>
      <c r="DD21" s="200">
        <f t="shared" si="38"/>
        <v>0</v>
      </c>
      <c r="DE21" s="200">
        <f t="shared" si="39"/>
        <v>0</v>
      </c>
      <c r="DF21" s="200">
        <f t="shared" si="40"/>
        <v>0</v>
      </c>
      <c r="DG21" s="200">
        <f t="shared" si="41"/>
        <v>0</v>
      </c>
      <c r="DH21" s="200">
        <f t="shared" si="42"/>
        <v>0</v>
      </c>
      <c r="DI21" s="200">
        <f t="shared" si="43"/>
        <v>0</v>
      </c>
      <c r="DJ21" s="200">
        <f t="shared" si="44"/>
        <v>0</v>
      </c>
      <c r="DK21" s="200">
        <f t="shared" si="45"/>
        <v>0</v>
      </c>
      <c r="DL21" s="200">
        <f t="shared" si="46"/>
        <v>0</v>
      </c>
      <c r="DM21" s="200">
        <f t="shared" si="47"/>
        <v>0</v>
      </c>
      <c r="DN21" s="200">
        <f t="shared" si="48"/>
        <v>0</v>
      </c>
      <c r="DO21" s="200">
        <f t="shared" si="49"/>
        <v>0</v>
      </c>
      <c r="DP21" s="200">
        <f t="shared" si="50"/>
        <v>0</v>
      </c>
      <c r="DQ21" s="200">
        <f t="shared" si="51"/>
        <v>0</v>
      </c>
      <c r="DR21" s="200">
        <f t="shared" si="52"/>
        <v>0</v>
      </c>
      <c r="DS21" s="200">
        <f t="shared" si="53"/>
        <v>0</v>
      </c>
      <c r="DT21" s="200">
        <f t="shared" si="54"/>
        <v>0</v>
      </c>
      <c r="DU21" s="200">
        <f t="shared" si="55"/>
        <v>0</v>
      </c>
      <c r="DV21" s="200">
        <f t="shared" si="56"/>
        <v>0</v>
      </c>
      <c r="DW21" s="200">
        <f t="shared" si="57"/>
        <v>0</v>
      </c>
      <c r="DX21" s="200">
        <f t="shared" si="58"/>
        <v>0</v>
      </c>
      <c r="DY21" s="200">
        <f t="shared" si="59"/>
        <v>0</v>
      </c>
      <c r="DZ21" s="200">
        <f t="shared" si="60"/>
        <v>0</v>
      </c>
      <c r="EA21" s="200">
        <f t="shared" si="61"/>
        <v>0</v>
      </c>
      <c r="EB21" s="200">
        <f t="shared" si="62"/>
        <v>0</v>
      </c>
      <c r="EC21" s="200">
        <f t="shared" si="63"/>
        <v>0</v>
      </c>
      <c r="ED21" s="200">
        <f t="shared" si="64"/>
        <v>0</v>
      </c>
      <c r="EE21" s="200">
        <f t="shared" si="65"/>
        <v>0</v>
      </c>
      <c r="EF21" s="200">
        <f t="shared" si="66"/>
        <v>0</v>
      </c>
      <c r="EG21" s="200">
        <f t="shared" si="67"/>
        <v>0</v>
      </c>
      <c r="EH21" s="200">
        <f t="shared" si="68"/>
        <v>0</v>
      </c>
      <c r="EI21" s="200">
        <f t="shared" si="69"/>
        <v>0</v>
      </c>
      <c r="EJ21" s="200">
        <f t="shared" si="70"/>
        <v>0</v>
      </c>
      <c r="EK21" s="200">
        <f t="shared" si="71"/>
        <v>0</v>
      </c>
      <c r="EL21" s="200">
        <f t="shared" si="72"/>
        <v>0</v>
      </c>
      <c r="EM21" s="200">
        <f t="shared" si="73"/>
        <v>0</v>
      </c>
      <c r="EN21" s="200">
        <f t="shared" si="74"/>
        <v>0</v>
      </c>
      <c r="EO21" s="200">
        <f t="shared" si="75"/>
        <v>0</v>
      </c>
      <c r="EP21" s="200">
        <f t="shared" si="76"/>
        <v>0</v>
      </c>
      <c r="EQ21" s="200">
        <f t="shared" si="77"/>
        <v>0</v>
      </c>
      <c r="ER21" s="200">
        <f t="shared" si="78"/>
        <v>0</v>
      </c>
    </row>
    <row r="22" spans="1:148" x14ac:dyDescent="0.3">
      <c r="A22" t="s">
        <v>156</v>
      </c>
      <c r="B22" s="200">
        <v>7.0000000000000007E-2</v>
      </c>
      <c r="D22" s="58">
        <f>WAR!D30</f>
        <v>4000000</v>
      </c>
      <c r="E22" s="58">
        <f t="shared" ref="E22:AJ22" si="133">(D22*(1+$B22))+((D$33*$C22)*(1+$B22))</f>
        <v>4280000</v>
      </c>
      <c r="F22" s="58">
        <f t="shared" si="133"/>
        <v>4579600</v>
      </c>
      <c r="G22" s="58">
        <f t="shared" si="133"/>
        <v>4900172</v>
      </c>
      <c r="H22" s="58">
        <f t="shared" si="133"/>
        <v>5243184.04</v>
      </c>
      <c r="I22" s="58">
        <f t="shared" si="133"/>
        <v>5610206.9228000008</v>
      </c>
      <c r="J22" s="58">
        <f t="shared" si="133"/>
        <v>6002921.4073960008</v>
      </c>
      <c r="K22" s="58">
        <f t="shared" si="133"/>
        <v>6423125.9059137208</v>
      </c>
      <c r="L22" s="58">
        <f t="shared" si="133"/>
        <v>6872744.7193276817</v>
      </c>
      <c r="M22" s="58">
        <f t="shared" si="133"/>
        <v>7353836.8496806202</v>
      </c>
      <c r="N22" s="58">
        <f t="shared" si="133"/>
        <v>7868605.4291582638</v>
      </c>
      <c r="O22" s="58">
        <f t="shared" si="133"/>
        <v>8419407.8091993425</v>
      </c>
      <c r="P22" s="58">
        <f t="shared" si="133"/>
        <v>9008766.3558432963</v>
      </c>
      <c r="Q22" s="58">
        <f t="shared" si="133"/>
        <v>9639380.000752328</v>
      </c>
      <c r="R22" s="58">
        <f t="shared" si="133"/>
        <v>10314136.600804992</v>
      </c>
      <c r="S22" s="58">
        <f t="shared" si="133"/>
        <v>11036126.162861342</v>
      </c>
      <c r="T22" s="58">
        <f t="shared" si="133"/>
        <v>11808654.994261635</v>
      </c>
      <c r="U22" s="58">
        <f t="shared" si="133"/>
        <v>12635260.84385995</v>
      </c>
      <c r="V22" s="58">
        <f t="shared" si="133"/>
        <v>13519729.102930147</v>
      </c>
      <c r="W22" s="58">
        <f t="shared" si="133"/>
        <v>14466110.140135258</v>
      </c>
      <c r="X22" s="58">
        <f t="shared" si="133"/>
        <v>15478737.849944727</v>
      </c>
      <c r="Y22" s="58">
        <f t="shared" si="133"/>
        <v>16562249.49944086</v>
      </c>
      <c r="Z22" s="58">
        <f t="shared" si="133"/>
        <v>17721606.964401722</v>
      </c>
      <c r="AA22" s="58">
        <f t="shared" si="133"/>
        <v>18962119.451909844</v>
      </c>
      <c r="AB22" s="58">
        <f t="shared" si="133"/>
        <v>20289467.813543536</v>
      </c>
      <c r="AC22" s="58">
        <f t="shared" si="133"/>
        <v>21709730.560491584</v>
      </c>
      <c r="AD22" s="58">
        <f t="shared" si="133"/>
        <v>23229411.699725997</v>
      </c>
      <c r="AE22" s="58">
        <f t="shared" si="133"/>
        <v>24855470.518706817</v>
      </c>
      <c r="AF22" s="58">
        <f t="shared" si="133"/>
        <v>26595353.455016296</v>
      </c>
      <c r="AG22" s="58">
        <f t="shared" si="133"/>
        <v>28457028.19686744</v>
      </c>
      <c r="AH22" s="58">
        <f t="shared" si="133"/>
        <v>30449020.170648161</v>
      </c>
      <c r="AI22" s="58">
        <f t="shared" si="133"/>
        <v>32580451.582593534</v>
      </c>
      <c r="AJ22" s="58">
        <f t="shared" si="133"/>
        <v>34861083.193375081</v>
      </c>
      <c r="AK22" s="58">
        <f t="shared" ref="AK22:BP22" si="134">(AJ22*(1+$B22))+((AJ$33*$C22)*(1+$B22))</f>
        <v>37301359.016911335</v>
      </c>
      <c r="AL22" s="58">
        <f t="shared" si="134"/>
        <v>39912454.148095131</v>
      </c>
      <c r="AM22" s="58">
        <f t="shared" si="134"/>
        <v>42706325.938461795</v>
      </c>
      <c r="AN22" s="58">
        <f t="shared" si="134"/>
        <v>45695768.754154123</v>
      </c>
      <c r="AO22" s="58">
        <f t="shared" si="134"/>
        <v>48894472.566944912</v>
      </c>
      <c r="AP22" s="58">
        <f t="shared" si="134"/>
        <v>52317085.646631062</v>
      </c>
      <c r="AQ22" s="58">
        <f t="shared" si="134"/>
        <v>55979281.641895242</v>
      </c>
      <c r="AR22" s="58">
        <f t="shared" si="134"/>
        <v>59897831.356827915</v>
      </c>
      <c r="AS22" s="58">
        <f t="shared" si="134"/>
        <v>64090679.551805869</v>
      </c>
      <c r="AT22" s="58">
        <f t="shared" si="134"/>
        <v>68577027.120432287</v>
      </c>
      <c r="AU22" s="58">
        <f t="shared" si="134"/>
        <v>73377419.018862545</v>
      </c>
      <c r="AV22" s="58">
        <f t="shared" si="134"/>
        <v>78513838.350182936</v>
      </c>
      <c r="AW22" s="58">
        <f t="shared" si="134"/>
        <v>84009807.034695745</v>
      </c>
      <c r="AX22" s="58">
        <f t="shared" si="134"/>
        <v>89890493.52712445</v>
      </c>
      <c r="AY22" s="58">
        <f t="shared" si="134"/>
        <v>96182828.074023172</v>
      </c>
      <c r="AZ22" s="58">
        <f t="shared" si="134"/>
        <v>102915626.03920481</v>
      </c>
      <c r="BA22" s="58">
        <f t="shared" si="134"/>
        <v>110119719.86194915</v>
      </c>
      <c r="BB22" s="58">
        <f t="shared" si="134"/>
        <v>117828100.2522856</v>
      </c>
      <c r="BC22" s="58">
        <f t="shared" si="134"/>
        <v>126076067.26994559</v>
      </c>
      <c r="BD22" s="58">
        <f t="shared" si="134"/>
        <v>134901391.97884178</v>
      </c>
      <c r="BE22" s="58">
        <f t="shared" si="134"/>
        <v>144344489.41736072</v>
      </c>
      <c r="BF22" s="58">
        <f t="shared" si="134"/>
        <v>154448603.67657599</v>
      </c>
      <c r="BG22" s="58">
        <f t="shared" si="134"/>
        <v>165260005.93393633</v>
      </c>
      <c r="BH22" s="58">
        <f t="shared" si="134"/>
        <v>176828206.34931189</v>
      </c>
      <c r="BI22" s="58">
        <f t="shared" si="134"/>
        <v>189206180.79376373</v>
      </c>
      <c r="BJ22" s="58">
        <f t="shared" si="134"/>
        <v>202450613.4493272</v>
      </c>
      <c r="BK22" s="58">
        <f t="shared" si="134"/>
        <v>216622156.39078012</v>
      </c>
      <c r="BL22" s="58">
        <f t="shared" si="134"/>
        <v>231785707.33813474</v>
      </c>
      <c r="BM22" s="58">
        <f t="shared" si="134"/>
        <v>248010706.85180417</v>
      </c>
      <c r="BN22" s="58">
        <f t="shared" si="134"/>
        <v>265371456.33143046</v>
      </c>
      <c r="BO22" s="58">
        <f t="shared" si="134"/>
        <v>283947458.27463061</v>
      </c>
      <c r="BP22" s="58">
        <f t="shared" si="134"/>
        <v>303823780.35385478</v>
      </c>
      <c r="BQ22" s="58">
        <f t="shared" ref="BQ22:BW22" si="135">(BP22*(1+$B22))+((BP$33*$C22)*(1+$B22))</f>
        <v>325091444.97862464</v>
      </c>
      <c r="BR22" s="58">
        <f t="shared" si="135"/>
        <v>347847846.12712836</v>
      </c>
      <c r="BS22" s="58">
        <f t="shared" si="135"/>
        <v>372197195.35602736</v>
      </c>
      <c r="BT22" s="58">
        <f t="shared" si="135"/>
        <v>398250999.03094929</v>
      </c>
      <c r="BU22" s="58">
        <f t="shared" si="135"/>
        <v>426128568.96311575</v>
      </c>
      <c r="BV22" s="58">
        <f t="shared" si="135"/>
        <v>455957568.7905339</v>
      </c>
      <c r="BW22" s="58">
        <f t="shared" si="135"/>
        <v>487874598.60587132</v>
      </c>
      <c r="BX22" s="58"/>
      <c r="BY22" s="200">
        <f t="shared" si="7"/>
        <v>0</v>
      </c>
      <c r="BZ22" s="200">
        <f t="shared" si="8"/>
        <v>0</v>
      </c>
      <c r="CA22" s="200">
        <f t="shared" si="9"/>
        <v>0</v>
      </c>
      <c r="CB22" s="200">
        <f t="shared" si="10"/>
        <v>0</v>
      </c>
      <c r="CC22" s="200">
        <f t="shared" si="11"/>
        <v>0</v>
      </c>
      <c r="CD22" s="200">
        <f t="shared" si="12"/>
        <v>0</v>
      </c>
      <c r="CE22" s="200">
        <f t="shared" si="13"/>
        <v>0</v>
      </c>
      <c r="CF22" s="200">
        <f t="shared" si="14"/>
        <v>0</v>
      </c>
      <c r="CG22" s="200">
        <f t="shared" si="15"/>
        <v>0</v>
      </c>
      <c r="CH22" s="200">
        <f t="shared" si="16"/>
        <v>0</v>
      </c>
      <c r="CI22" s="200">
        <f t="shared" si="17"/>
        <v>0</v>
      </c>
      <c r="CJ22" s="200">
        <f t="shared" si="18"/>
        <v>0</v>
      </c>
      <c r="CK22" s="200">
        <f t="shared" si="19"/>
        <v>0</v>
      </c>
      <c r="CL22" s="200">
        <f t="shared" si="20"/>
        <v>0</v>
      </c>
      <c r="CM22" s="200">
        <f t="shared" si="21"/>
        <v>0</v>
      </c>
      <c r="CN22" s="200">
        <f t="shared" si="22"/>
        <v>0</v>
      </c>
      <c r="CO22" s="200">
        <f t="shared" si="23"/>
        <v>0</v>
      </c>
      <c r="CP22" s="200">
        <f t="shared" si="24"/>
        <v>0</v>
      </c>
      <c r="CQ22" s="200">
        <f t="shared" si="25"/>
        <v>0</v>
      </c>
      <c r="CR22" s="200">
        <f t="shared" si="26"/>
        <v>0</v>
      </c>
      <c r="CS22" s="200">
        <f t="shared" si="27"/>
        <v>0</v>
      </c>
      <c r="CT22" s="200">
        <f t="shared" si="28"/>
        <v>0</v>
      </c>
      <c r="CU22" s="200">
        <f t="shared" si="29"/>
        <v>0</v>
      </c>
      <c r="CV22" s="200">
        <f t="shared" si="30"/>
        <v>0</v>
      </c>
      <c r="CW22" s="200">
        <f t="shared" si="31"/>
        <v>0</v>
      </c>
      <c r="CX22" s="200">
        <f t="shared" si="32"/>
        <v>0</v>
      </c>
      <c r="CY22" s="200">
        <f t="shared" si="33"/>
        <v>0</v>
      </c>
      <c r="CZ22" s="200">
        <f t="shared" si="34"/>
        <v>0</v>
      </c>
      <c r="DA22" s="200">
        <f t="shared" si="35"/>
        <v>0</v>
      </c>
      <c r="DB22" s="200">
        <f t="shared" si="36"/>
        <v>0</v>
      </c>
      <c r="DC22" s="200">
        <f t="shared" si="37"/>
        <v>0</v>
      </c>
      <c r="DD22" s="200">
        <f t="shared" si="38"/>
        <v>0</v>
      </c>
      <c r="DE22" s="200">
        <f t="shared" si="39"/>
        <v>0</v>
      </c>
      <c r="DF22" s="200">
        <f t="shared" si="40"/>
        <v>0</v>
      </c>
      <c r="DG22" s="200">
        <f t="shared" si="41"/>
        <v>0</v>
      </c>
      <c r="DH22" s="200">
        <f t="shared" si="42"/>
        <v>0</v>
      </c>
      <c r="DI22" s="200">
        <f t="shared" si="43"/>
        <v>0</v>
      </c>
      <c r="DJ22" s="200">
        <f t="shared" si="44"/>
        <v>0</v>
      </c>
      <c r="DK22" s="200">
        <f t="shared" si="45"/>
        <v>0</v>
      </c>
      <c r="DL22" s="200">
        <f t="shared" si="46"/>
        <v>0</v>
      </c>
      <c r="DM22" s="200">
        <f t="shared" si="47"/>
        <v>0</v>
      </c>
      <c r="DN22" s="200">
        <f t="shared" si="48"/>
        <v>0</v>
      </c>
      <c r="DO22" s="200">
        <f t="shared" si="49"/>
        <v>0</v>
      </c>
      <c r="DP22" s="200">
        <f t="shared" si="50"/>
        <v>0</v>
      </c>
      <c r="DQ22" s="200">
        <f t="shared" si="51"/>
        <v>0</v>
      </c>
      <c r="DR22" s="200">
        <f t="shared" si="52"/>
        <v>0</v>
      </c>
      <c r="DS22" s="200">
        <f t="shared" si="53"/>
        <v>0</v>
      </c>
      <c r="DT22" s="200">
        <f t="shared" si="54"/>
        <v>0</v>
      </c>
      <c r="DU22" s="200">
        <f t="shared" si="55"/>
        <v>0</v>
      </c>
      <c r="DV22" s="200">
        <f t="shared" si="56"/>
        <v>0</v>
      </c>
      <c r="DW22" s="200">
        <f t="shared" si="57"/>
        <v>0</v>
      </c>
      <c r="DX22" s="200">
        <f t="shared" si="58"/>
        <v>0</v>
      </c>
      <c r="DY22" s="200">
        <f t="shared" si="59"/>
        <v>0</v>
      </c>
      <c r="DZ22" s="200">
        <f t="shared" si="60"/>
        <v>0</v>
      </c>
      <c r="EA22" s="200">
        <f t="shared" si="61"/>
        <v>0</v>
      </c>
      <c r="EB22" s="200">
        <f t="shared" si="62"/>
        <v>0</v>
      </c>
      <c r="EC22" s="200">
        <f t="shared" si="63"/>
        <v>0</v>
      </c>
      <c r="ED22" s="200">
        <f t="shared" si="64"/>
        <v>0</v>
      </c>
      <c r="EE22" s="200">
        <f t="shared" si="65"/>
        <v>0</v>
      </c>
      <c r="EF22" s="200">
        <f t="shared" si="66"/>
        <v>0</v>
      </c>
      <c r="EG22" s="200">
        <f t="shared" si="67"/>
        <v>0</v>
      </c>
      <c r="EH22" s="200">
        <f t="shared" si="68"/>
        <v>0</v>
      </c>
      <c r="EI22" s="200">
        <f t="shared" si="69"/>
        <v>0</v>
      </c>
      <c r="EJ22" s="200">
        <f t="shared" si="70"/>
        <v>0</v>
      </c>
      <c r="EK22" s="200">
        <f t="shared" si="71"/>
        <v>0</v>
      </c>
      <c r="EL22" s="200">
        <f t="shared" si="72"/>
        <v>0</v>
      </c>
      <c r="EM22" s="200">
        <f t="shared" si="73"/>
        <v>0</v>
      </c>
      <c r="EN22" s="200">
        <f t="shared" si="74"/>
        <v>0</v>
      </c>
      <c r="EO22" s="200">
        <f t="shared" si="75"/>
        <v>0</v>
      </c>
      <c r="EP22" s="200">
        <f t="shared" si="76"/>
        <v>0</v>
      </c>
      <c r="EQ22" s="200">
        <f t="shared" si="77"/>
        <v>0</v>
      </c>
      <c r="ER22" s="200">
        <f t="shared" si="78"/>
        <v>0</v>
      </c>
    </row>
    <row r="23" spans="1:148" x14ac:dyDescent="0.3">
      <c r="A23" t="s">
        <v>143</v>
      </c>
      <c r="B23" s="200">
        <v>7.0000000000000007E-2</v>
      </c>
      <c r="D23" s="58">
        <f>WAR!D31</f>
        <v>0</v>
      </c>
      <c r="E23" s="58">
        <f t="shared" ref="E23:AJ23" si="136">(D23*(1+$B23))+((D$33*$C23)*(1+$B23))</f>
        <v>0</v>
      </c>
      <c r="F23" s="58">
        <f t="shared" si="136"/>
        <v>0</v>
      </c>
      <c r="G23" s="58">
        <f t="shared" si="136"/>
        <v>0</v>
      </c>
      <c r="H23" s="58">
        <f t="shared" si="136"/>
        <v>0</v>
      </c>
      <c r="I23" s="58">
        <f t="shared" si="136"/>
        <v>0</v>
      </c>
      <c r="J23" s="58">
        <f t="shared" si="136"/>
        <v>0</v>
      </c>
      <c r="K23" s="58">
        <f t="shared" si="136"/>
        <v>0</v>
      </c>
      <c r="L23" s="58">
        <f t="shared" si="136"/>
        <v>0</v>
      </c>
      <c r="M23" s="58">
        <f t="shared" si="136"/>
        <v>0</v>
      </c>
      <c r="N23" s="58">
        <f t="shared" si="136"/>
        <v>0</v>
      </c>
      <c r="O23" s="58">
        <f t="shared" si="136"/>
        <v>0</v>
      </c>
      <c r="P23" s="58">
        <f t="shared" si="136"/>
        <v>0</v>
      </c>
      <c r="Q23" s="58">
        <f t="shared" si="136"/>
        <v>0</v>
      </c>
      <c r="R23" s="58">
        <f t="shared" si="136"/>
        <v>0</v>
      </c>
      <c r="S23" s="58">
        <f t="shared" si="136"/>
        <v>0</v>
      </c>
      <c r="T23" s="58">
        <f t="shared" si="136"/>
        <v>0</v>
      </c>
      <c r="U23" s="58">
        <f t="shared" si="136"/>
        <v>0</v>
      </c>
      <c r="V23" s="58">
        <f t="shared" si="136"/>
        <v>0</v>
      </c>
      <c r="W23" s="58">
        <f t="shared" si="136"/>
        <v>0</v>
      </c>
      <c r="X23" s="58">
        <f t="shared" si="136"/>
        <v>0</v>
      </c>
      <c r="Y23" s="58">
        <f t="shared" si="136"/>
        <v>0</v>
      </c>
      <c r="Z23" s="58">
        <f t="shared" si="136"/>
        <v>0</v>
      </c>
      <c r="AA23" s="58">
        <f t="shared" si="136"/>
        <v>0</v>
      </c>
      <c r="AB23" s="58">
        <f t="shared" si="136"/>
        <v>0</v>
      </c>
      <c r="AC23" s="58">
        <f t="shared" si="136"/>
        <v>0</v>
      </c>
      <c r="AD23" s="58">
        <f t="shared" si="136"/>
        <v>0</v>
      </c>
      <c r="AE23" s="58">
        <f t="shared" si="136"/>
        <v>0</v>
      </c>
      <c r="AF23" s="58">
        <f t="shared" si="136"/>
        <v>0</v>
      </c>
      <c r="AG23" s="58">
        <f t="shared" si="136"/>
        <v>0</v>
      </c>
      <c r="AH23" s="58">
        <f t="shared" si="136"/>
        <v>0</v>
      </c>
      <c r="AI23" s="58">
        <f t="shared" si="136"/>
        <v>0</v>
      </c>
      <c r="AJ23" s="58">
        <f t="shared" si="136"/>
        <v>0</v>
      </c>
      <c r="AK23" s="58">
        <f t="shared" ref="AK23:BP23" si="137">(AJ23*(1+$B23))+((AJ$33*$C23)*(1+$B23))</f>
        <v>0</v>
      </c>
      <c r="AL23" s="58">
        <f t="shared" si="137"/>
        <v>0</v>
      </c>
      <c r="AM23" s="58">
        <f t="shared" si="137"/>
        <v>0</v>
      </c>
      <c r="AN23" s="58">
        <f t="shared" si="137"/>
        <v>0</v>
      </c>
      <c r="AO23" s="58">
        <f t="shared" si="137"/>
        <v>0</v>
      </c>
      <c r="AP23" s="58">
        <f t="shared" si="137"/>
        <v>0</v>
      </c>
      <c r="AQ23" s="58">
        <f t="shared" si="137"/>
        <v>0</v>
      </c>
      <c r="AR23" s="58">
        <f t="shared" si="137"/>
        <v>0</v>
      </c>
      <c r="AS23" s="58">
        <f t="shared" si="137"/>
        <v>0</v>
      </c>
      <c r="AT23" s="58">
        <f t="shared" si="137"/>
        <v>0</v>
      </c>
      <c r="AU23" s="58">
        <f t="shared" si="137"/>
        <v>0</v>
      </c>
      <c r="AV23" s="58">
        <f t="shared" si="137"/>
        <v>0</v>
      </c>
      <c r="AW23" s="58">
        <f t="shared" si="137"/>
        <v>0</v>
      </c>
      <c r="AX23" s="58">
        <f t="shared" si="137"/>
        <v>0</v>
      </c>
      <c r="AY23" s="58">
        <f t="shared" si="137"/>
        <v>0</v>
      </c>
      <c r="AZ23" s="58">
        <f t="shared" si="137"/>
        <v>0</v>
      </c>
      <c r="BA23" s="58">
        <f t="shared" si="137"/>
        <v>0</v>
      </c>
      <c r="BB23" s="58">
        <f t="shared" si="137"/>
        <v>0</v>
      </c>
      <c r="BC23" s="58">
        <f t="shared" si="137"/>
        <v>0</v>
      </c>
      <c r="BD23" s="58">
        <f t="shared" si="137"/>
        <v>0</v>
      </c>
      <c r="BE23" s="58">
        <f t="shared" si="137"/>
        <v>0</v>
      </c>
      <c r="BF23" s="58">
        <f t="shared" si="137"/>
        <v>0</v>
      </c>
      <c r="BG23" s="58">
        <f t="shared" si="137"/>
        <v>0</v>
      </c>
      <c r="BH23" s="58">
        <f t="shared" si="137"/>
        <v>0</v>
      </c>
      <c r="BI23" s="58">
        <f t="shared" si="137"/>
        <v>0</v>
      </c>
      <c r="BJ23" s="58">
        <f t="shared" si="137"/>
        <v>0</v>
      </c>
      <c r="BK23" s="58">
        <f t="shared" si="137"/>
        <v>0</v>
      </c>
      <c r="BL23" s="58">
        <f t="shared" si="137"/>
        <v>0</v>
      </c>
      <c r="BM23" s="58">
        <f t="shared" si="137"/>
        <v>0</v>
      </c>
      <c r="BN23" s="58">
        <f t="shared" si="137"/>
        <v>0</v>
      </c>
      <c r="BO23" s="58">
        <f t="shared" si="137"/>
        <v>0</v>
      </c>
      <c r="BP23" s="58">
        <f t="shared" si="137"/>
        <v>0</v>
      </c>
      <c r="BQ23" s="58">
        <f t="shared" ref="BQ23:BW23" si="138">(BP23*(1+$B23))+((BP$33*$C23)*(1+$B23))</f>
        <v>0</v>
      </c>
      <c r="BR23" s="58">
        <f t="shared" si="138"/>
        <v>0</v>
      </c>
      <c r="BS23" s="58">
        <f t="shared" si="138"/>
        <v>0</v>
      </c>
      <c r="BT23" s="58">
        <f t="shared" si="138"/>
        <v>0</v>
      </c>
      <c r="BU23" s="58">
        <f t="shared" si="138"/>
        <v>0</v>
      </c>
      <c r="BV23" s="58">
        <f t="shared" si="138"/>
        <v>0</v>
      </c>
      <c r="BW23" s="58">
        <f t="shared" si="138"/>
        <v>0</v>
      </c>
      <c r="BX23" s="58"/>
      <c r="BY23" s="200">
        <f t="shared" si="7"/>
        <v>0</v>
      </c>
      <c r="BZ23" s="200">
        <f t="shared" si="8"/>
        <v>0</v>
      </c>
      <c r="CA23" s="200">
        <f t="shared" si="9"/>
        <v>0</v>
      </c>
      <c r="CB23" s="200">
        <f t="shared" si="10"/>
        <v>0</v>
      </c>
      <c r="CC23" s="200">
        <f t="shared" si="11"/>
        <v>0</v>
      </c>
      <c r="CD23" s="200">
        <f t="shared" si="12"/>
        <v>0</v>
      </c>
      <c r="CE23" s="200">
        <f t="shared" si="13"/>
        <v>0</v>
      </c>
      <c r="CF23" s="200">
        <f t="shared" si="14"/>
        <v>0</v>
      </c>
      <c r="CG23" s="200">
        <f t="shared" si="15"/>
        <v>0</v>
      </c>
      <c r="CH23" s="200">
        <f t="shared" si="16"/>
        <v>0</v>
      </c>
      <c r="CI23" s="200">
        <f t="shared" si="17"/>
        <v>0</v>
      </c>
      <c r="CJ23" s="200">
        <f t="shared" si="18"/>
        <v>0</v>
      </c>
      <c r="CK23" s="200">
        <f t="shared" si="19"/>
        <v>0</v>
      </c>
      <c r="CL23" s="200">
        <f t="shared" si="20"/>
        <v>0</v>
      </c>
      <c r="CM23" s="200">
        <f t="shared" si="21"/>
        <v>0</v>
      </c>
      <c r="CN23" s="200">
        <f t="shared" si="22"/>
        <v>0</v>
      </c>
      <c r="CO23" s="200">
        <f t="shared" si="23"/>
        <v>0</v>
      </c>
      <c r="CP23" s="200">
        <f t="shared" si="24"/>
        <v>0</v>
      </c>
      <c r="CQ23" s="200">
        <f t="shared" si="25"/>
        <v>0</v>
      </c>
      <c r="CR23" s="200">
        <f t="shared" si="26"/>
        <v>0</v>
      </c>
      <c r="CS23" s="200">
        <f t="shared" si="27"/>
        <v>0</v>
      </c>
      <c r="CT23" s="200">
        <f t="shared" si="28"/>
        <v>0</v>
      </c>
      <c r="CU23" s="200">
        <f t="shared" si="29"/>
        <v>0</v>
      </c>
      <c r="CV23" s="200">
        <f t="shared" si="30"/>
        <v>0</v>
      </c>
      <c r="CW23" s="200">
        <f t="shared" si="31"/>
        <v>0</v>
      </c>
      <c r="CX23" s="200">
        <f t="shared" si="32"/>
        <v>0</v>
      </c>
      <c r="CY23" s="200">
        <f t="shared" si="33"/>
        <v>0</v>
      </c>
      <c r="CZ23" s="200">
        <f t="shared" si="34"/>
        <v>0</v>
      </c>
      <c r="DA23" s="200">
        <f t="shared" si="35"/>
        <v>0</v>
      </c>
      <c r="DB23" s="200">
        <f t="shared" si="36"/>
        <v>0</v>
      </c>
      <c r="DC23" s="200">
        <f t="shared" si="37"/>
        <v>0</v>
      </c>
      <c r="DD23" s="200">
        <f t="shared" si="38"/>
        <v>0</v>
      </c>
      <c r="DE23" s="200">
        <f t="shared" si="39"/>
        <v>0</v>
      </c>
      <c r="DF23" s="200">
        <f t="shared" si="40"/>
        <v>0</v>
      </c>
      <c r="DG23" s="200">
        <f t="shared" si="41"/>
        <v>0</v>
      </c>
      <c r="DH23" s="200">
        <f t="shared" si="42"/>
        <v>0</v>
      </c>
      <c r="DI23" s="200">
        <f t="shared" si="43"/>
        <v>0</v>
      </c>
      <c r="DJ23" s="200">
        <f t="shared" si="44"/>
        <v>0</v>
      </c>
      <c r="DK23" s="200">
        <f t="shared" si="45"/>
        <v>0</v>
      </c>
      <c r="DL23" s="200">
        <f t="shared" si="46"/>
        <v>0</v>
      </c>
      <c r="DM23" s="200">
        <f t="shared" si="47"/>
        <v>0</v>
      </c>
      <c r="DN23" s="200">
        <f t="shared" si="48"/>
        <v>0</v>
      </c>
      <c r="DO23" s="200">
        <f t="shared" si="49"/>
        <v>0</v>
      </c>
      <c r="DP23" s="200">
        <f t="shared" si="50"/>
        <v>0</v>
      </c>
      <c r="DQ23" s="200">
        <f t="shared" si="51"/>
        <v>0</v>
      </c>
      <c r="DR23" s="200">
        <f t="shared" si="52"/>
        <v>0</v>
      </c>
      <c r="DS23" s="200">
        <f t="shared" si="53"/>
        <v>0</v>
      </c>
      <c r="DT23" s="200">
        <f t="shared" si="54"/>
        <v>0</v>
      </c>
      <c r="DU23" s="200">
        <f t="shared" si="55"/>
        <v>0</v>
      </c>
      <c r="DV23" s="200">
        <f t="shared" si="56"/>
        <v>0</v>
      </c>
      <c r="DW23" s="200">
        <f t="shared" si="57"/>
        <v>0</v>
      </c>
      <c r="DX23" s="200">
        <f t="shared" si="58"/>
        <v>0</v>
      </c>
      <c r="DY23" s="200">
        <f t="shared" si="59"/>
        <v>0</v>
      </c>
      <c r="DZ23" s="200">
        <f t="shared" si="60"/>
        <v>0</v>
      </c>
      <c r="EA23" s="200">
        <f t="shared" si="61"/>
        <v>0</v>
      </c>
      <c r="EB23" s="200">
        <f t="shared" si="62"/>
        <v>0</v>
      </c>
      <c r="EC23" s="200">
        <f t="shared" si="63"/>
        <v>0</v>
      </c>
      <c r="ED23" s="200">
        <f t="shared" si="64"/>
        <v>0</v>
      </c>
      <c r="EE23" s="200">
        <f t="shared" si="65"/>
        <v>0</v>
      </c>
      <c r="EF23" s="200">
        <f t="shared" si="66"/>
        <v>0</v>
      </c>
      <c r="EG23" s="200">
        <f t="shared" si="67"/>
        <v>0</v>
      </c>
      <c r="EH23" s="200">
        <f t="shared" si="68"/>
        <v>0</v>
      </c>
      <c r="EI23" s="200">
        <f t="shared" si="69"/>
        <v>0</v>
      </c>
      <c r="EJ23" s="200">
        <f t="shared" si="70"/>
        <v>0</v>
      </c>
      <c r="EK23" s="200">
        <f t="shared" si="71"/>
        <v>0</v>
      </c>
      <c r="EL23" s="200">
        <f t="shared" si="72"/>
        <v>0</v>
      </c>
      <c r="EM23" s="200">
        <f t="shared" si="73"/>
        <v>0</v>
      </c>
      <c r="EN23" s="200">
        <f t="shared" si="74"/>
        <v>0</v>
      </c>
      <c r="EO23" s="200">
        <f t="shared" si="75"/>
        <v>0</v>
      </c>
      <c r="EP23" s="200">
        <f t="shared" si="76"/>
        <v>0</v>
      </c>
      <c r="EQ23" s="200">
        <f t="shared" si="77"/>
        <v>0</v>
      </c>
      <c r="ER23" s="200">
        <f t="shared" si="78"/>
        <v>0</v>
      </c>
    </row>
    <row r="24" spans="1:148" x14ac:dyDescent="0.3">
      <c r="A24" t="s">
        <v>144</v>
      </c>
      <c r="B24" s="200">
        <v>0.06</v>
      </c>
      <c r="D24" s="58">
        <f>WAR!D32</f>
        <v>221475</v>
      </c>
      <c r="E24" s="58">
        <f t="shared" ref="E24:AJ24" si="139">(D24*(1+$B24))+((D$33*$C24)*(1+$B24))</f>
        <v>234763.5</v>
      </c>
      <c r="F24" s="58">
        <f t="shared" si="139"/>
        <v>248849.31000000003</v>
      </c>
      <c r="G24" s="58">
        <f t="shared" si="139"/>
        <v>263780.26860000007</v>
      </c>
      <c r="H24" s="58">
        <f t="shared" si="139"/>
        <v>279607.08471600007</v>
      </c>
      <c r="I24" s="58">
        <f t="shared" si="139"/>
        <v>296383.50979896006</v>
      </c>
      <c r="J24" s="58">
        <f t="shared" si="139"/>
        <v>314166.52038689767</v>
      </c>
      <c r="K24" s="58">
        <f t="shared" si="139"/>
        <v>333016.51161011157</v>
      </c>
      <c r="L24" s="58">
        <f t="shared" si="139"/>
        <v>352997.50230671826</v>
      </c>
      <c r="M24" s="58">
        <f t="shared" si="139"/>
        <v>374177.35244512139</v>
      </c>
      <c r="N24" s="58">
        <f t="shared" si="139"/>
        <v>396627.99359182868</v>
      </c>
      <c r="O24" s="58">
        <f t="shared" si="139"/>
        <v>420425.67320733843</v>
      </c>
      <c r="P24" s="58">
        <f t="shared" si="139"/>
        <v>445651.21359977877</v>
      </c>
      <c r="Q24" s="58">
        <f t="shared" si="139"/>
        <v>472390.28641576553</v>
      </c>
      <c r="R24" s="58">
        <f t="shared" si="139"/>
        <v>500733.70360071148</v>
      </c>
      <c r="S24" s="58">
        <f t="shared" si="139"/>
        <v>530777.72581675416</v>
      </c>
      <c r="T24" s="58">
        <f t="shared" si="139"/>
        <v>562624.38936575945</v>
      </c>
      <c r="U24" s="58">
        <f t="shared" si="139"/>
        <v>596381.85272770503</v>
      </c>
      <c r="V24" s="58">
        <f t="shared" si="139"/>
        <v>632164.76389136736</v>
      </c>
      <c r="W24" s="58">
        <f t="shared" si="139"/>
        <v>670094.64972484938</v>
      </c>
      <c r="X24" s="58">
        <f t="shared" si="139"/>
        <v>710300.32870834041</v>
      </c>
      <c r="Y24" s="58">
        <f t="shared" si="139"/>
        <v>752918.34843084088</v>
      </c>
      <c r="Z24" s="58">
        <f t="shared" si="139"/>
        <v>798093.44933669141</v>
      </c>
      <c r="AA24" s="58">
        <f t="shared" si="139"/>
        <v>845979.05629689293</v>
      </c>
      <c r="AB24" s="58">
        <f t="shared" si="139"/>
        <v>896737.79967470653</v>
      </c>
      <c r="AC24" s="58">
        <f t="shared" si="139"/>
        <v>950542.06765518896</v>
      </c>
      <c r="AD24" s="58">
        <f t="shared" si="139"/>
        <v>1007574.5917145003</v>
      </c>
      <c r="AE24" s="58">
        <f t="shared" si="139"/>
        <v>1068029.0672173705</v>
      </c>
      <c r="AF24" s="58">
        <f t="shared" si="139"/>
        <v>1132110.8112504128</v>
      </c>
      <c r="AG24" s="58">
        <f t="shared" si="139"/>
        <v>1200037.4599254376</v>
      </c>
      <c r="AH24" s="58">
        <f t="shared" si="139"/>
        <v>1272039.7075209639</v>
      </c>
      <c r="AI24" s="58">
        <f t="shared" si="139"/>
        <v>1348362.0899722218</v>
      </c>
      <c r="AJ24" s="58">
        <f t="shared" si="139"/>
        <v>1429263.815370555</v>
      </c>
      <c r="AK24" s="58">
        <f t="shared" ref="AK24:BP24" si="140">(AJ24*(1+$B24))+((AJ$33*$C24)*(1+$B24))</f>
        <v>1515019.6442927883</v>
      </c>
      <c r="AL24" s="58">
        <f t="shared" si="140"/>
        <v>1605920.8229503557</v>
      </c>
      <c r="AM24" s="58">
        <f t="shared" si="140"/>
        <v>1702276.072327377</v>
      </c>
      <c r="AN24" s="58">
        <f t="shared" si="140"/>
        <v>1804412.6366670197</v>
      </c>
      <c r="AO24" s="58">
        <f t="shared" si="140"/>
        <v>1912677.3948670409</v>
      </c>
      <c r="AP24" s="58">
        <f t="shared" si="140"/>
        <v>2027438.0385590636</v>
      </c>
      <c r="AQ24" s="58">
        <f t="shared" si="140"/>
        <v>2149084.3208726076</v>
      </c>
      <c r="AR24" s="58">
        <f t="shared" si="140"/>
        <v>2278029.3801249643</v>
      </c>
      <c r="AS24" s="58">
        <f t="shared" si="140"/>
        <v>2414711.142932462</v>
      </c>
      <c r="AT24" s="58">
        <f t="shared" si="140"/>
        <v>2559593.8115084097</v>
      </c>
      <c r="AU24" s="58">
        <f t="shared" si="140"/>
        <v>2713169.4401989146</v>
      </c>
      <c r="AV24" s="58">
        <f t="shared" si="140"/>
        <v>2875959.6066108495</v>
      </c>
      <c r="AW24" s="58">
        <f t="shared" si="140"/>
        <v>3048517.1830075006</v>
      </c>
      <c r="AX24" s="58">
        <f t="shared" si="140"/>
        <v>3231428.2139879507</v>
      </c>
      <c r="AY24" s="58">
        <f t="shared" si="140"/>
        <v>3425313.9068272281</v>
      </c>
      <c r="AZ24" s="58">
        <f t="shared" si="140"/>
        <v>3630832.7412368618</v>
      </c>
      <c r="BA24" s="58">
        <f t="shared" si="140"/>
        <v>3848682.7057110737</v>
      </c>
      <c r="BB24" s="58">
        <f t="shared" si="140"/>
        <v>4079603.6680537383</v>
      </c>
      <c r="BC24" s="58">
        <f t="shared" si="140"/>
        <v>4324379.8881369624</v>
      </c>
      <c r="BD24" s="58">
        <f t="shared" si="140"/>
        <v>4583842.6814251803</v>
      </c>
      <c r="BE24" s="58">
        <f t="shared" si="140"/>
        <v>4858873.2423106916</v>
      </c>
      <c r="BF24" s="58">
        <f t="shared" si="140"/>
        <v>5150405.6368493335</v>
      </c>
      <c r="BG24" s="58">
        <f t="shared" si="140"/>
        <v>5459429.9750602935</v>
      </c>
      <c r="BH24" s="58">
        <f t="shared" si="140"/>
        <v>5786995.7735639112</v>
      </c>
      <c r="BI24" s="58">
        <f t="shared" si="140"/>
        <v>6134215.5199777465</v>
      </c>
      <c r="BJ24" s="58">
        <f t="shared" si="140"/>
        <v>6502268.4511764115</v>
      </c>
      <c r="BK24" s="58">
        <f t="shared" si="140"/>
        <v>6892404.5582469963</v>
      </c>
      <c r="BL24" s="58">
        <f t="shared" si="140"/>
        <v>7305948.8317418164</v>
      </c>
      <c r="BM24" s="58">
        <f t="shared" si="140"/>
        <v>7744305.7616463257</v>
      </c>
      <c r="BN24" s="58">
        <f t="shared" si="140"/>
        <v>8208964.1073451061</v>
      </c>
      <c r="BO24" s="58">
        <f t="shared" si="140"/>
        <v>8701501.9537858125</v>
      </c>
      <c r="BP24" s="58">
        <f t="shared" si="140"/>
        <v>9223592.0710129626</v>
      </c>
      <c r="BQ24" s="58">
        <f t="shared" ref="BQ24:BW24" si="141">(BP24*(1+$B24))+((BP$33*$C24)*(1+$B24))</f>
        <v>9777007.5952737406</v>
      </c>
      <c r="BR24" s="58">
        <f t="shared" si="141"/>
        <v>10363628.050990166</v>
      </c>
      <c r="BS24" s="58">
        <f t="shared" si="141"/>
        <v>10985445.734049577</v>
      </c>
      <c r="BT24" s="58">
        <f t="shared" si="141"/>
        <v>11644572.478092553</v>
      </c>
      <c r="BU24" s="58">
        <f t="shared" si="141"/>
        <v>12343246.826778106</v>
      </c>
      <c r="BV24" s="58">
        <f t="shared" si="141"/>
        <v>13083841.636384793</v>
      </c>
      <c r="BW24" s="58">
        <f t="shared" si="141"/>
        <v>13868872.134567881</v>
      </c>
      <c r="BX24" s="58"/>
      <c r="BY24" s="200">
        <f t="shared" si="7"/>
        <v>0</v>
      </c>
      <c r="BZ24" s="200">
        <f t="shared" si="8"/>
        <v>0</v>
      </c>
      <c r="CA24" s="200">
        <f t="shared" si="9"/>
        <v>0</v>
      </c>
      <c r="CB24" s="200">
        <f t="shared" si="10"/>
        <v>0</v>
      </c>
      <c r="CC24" s="200">
        <f t="shared" si="11"/>
        <v>0</v>
      </c>
      <c r="CD24" s="200">
        <f t="shared" si="12"/>
        <v>0</v>
      </c>
      <c r="CE24" s="200">
        <f t="shared" si="13"/>
        <v>0</v>
      </c>
      <c r="CF24" s="200">
        <f t="shared" si="14"/>
        <v>0</v>
      </c>
      <c r="CG24" s="200">
        <f t="shared" si="15"/>
        <v>0</v>
      </c>
      <c r="CH24" s="200">
        <f t="shared" si="16"/>
        <v>0</v>
      </c>
      <c r="CI24" s="200">
        <f t="shared" si="17"/>
        <v>0</v>
      </c>
      <c r="CJ24" s="200">
        <f t="shared" si="18"/>
        <v>0</v>
      </c>
      <c r="CK24" s="200">
        <f t="shared" si="19"/>
        <v>0</v>
      </c>
      <c r="CL24" s="200">
        <f t="shared" si="20"/>
        <v>0</v>
      </c>
      <c r="CM24" s="200">
        <f t="shared" si="21"/>
        <v>0</v>
      </c>
      <c r="CN24" s="200">
        <f t="shared" si="22"/>
        <v>0</v>
      </c>
      <c r="CO24" s="200">
        <f t="shared" si="23"/>
        <v>0</v>
      </c>
      <c r="CP24" s="200">
        <f t="shared" si="24"/>
        <v>0</v>
      </c>
      <c r="CQ24" s="200">
        <f t="shared" si="25"/>
        <v>0</v>
      </c>
      <c r="CR24" s="200">
        <f t="shared" si="26"/>
        <v>0</v>
      </c>
      <c r="CS24" s="200">
        <f t="shared" si="27"/>
        <v>0</v>
      </c>
      <c r="CT24" s="200">
        <f t="shared" si="28"/>
        <v>0</v>
      </c>
      <c r="CU24" s="200">
        <f t="shared" si="29"/>
        <v>0</v>
      </c>
      <c r="CV24" s="200">
        <f t="shared" si="30"/>
        <v>0</v>
      </c>
      <c r="CW24" s="200">
        <f t="shared" si="31"/>
        <v>0</v>
      </c>
      <c r="CX24" s="200">
        <f t="shared" si="32"/>
        <v>0</v>
      </c>
      <c r="CY24" s="200">
        <f t="shared" si="33"/>
        <v>0</v>
      </c>
      <c r="CZ24" s="200">
        <f t="shared" si="34"/>
        <v>0</v>
      </c>
      <c r="DA24" s="200">
        <f t="shared" si="35"/>
        <v>0</v>
      </c>
      <c r="DB24" s="200">
        <f t="shared" si="36"/>
        <v>0</v>
      </c>
      <c r="DC24" s="200">
        <f t="shared" si="37"/>
        <v>0</v>
      </c>
      <c r="DD24" s="200">
        <f t="shared" si="38"/>
        <v>0</v>
      </c>
      <c r="DE24" s="200">
        <f t="shared" si="39"/>
        <v>0</v>
      </c>
      <c r="DF24" s="200">
        <f t="shared" si="40"/>
        <v>0</v>
      </c>
      <c r="DG24" s="200">
        <f t="shared" si="41"/>
        <v>0</v>
      </c>
      <c r="DH24" s="200">
        <f t="shared" si="42"/>
        <v>0</v>
      </c>
      <c r="DI24" s="200">
        <f t="shared" si="43"/>
        <v>0</v>
      </c>
      <c r="DJ24" s="200">
        <f t="shared" si="44"/>
        <v>0</v>
      </c>
      <c r="DK24" s="200">
        <f t="shared" si="45"/>
        <v>0</v>
      </c>
      <c r="DL24" s="200">
        <f t="shared" si="46"/>
        <v>0</v>
      </c>
      <c r="DM24" s="200">
        <f t="shared" si="47"/>
        <v>0</v>
      </c>
      <c r="DN24" s="200">
        <f t="shared" si="48"/>
        <v>0</v>
      </c>
      <c r="DO24" s="200">
        <f t="shared" si="49"/>
        <v>0</v>
      </c>
      <c r="DP24" s="200">
        <f t="shared" si="50"/>
        <v>0</v>
      </c>
      <c r="DQ24" s="200">
        <f t="shared" si="51"/>
        <v>0</v>
      </c>
      <c r="DR24" s="200">
        <f t="shared" si="52"/>
        <v>0</v>
      </c>
      <c r="DS24" s="200">
        <f t="shared" si="53"/>
        <v>0</v>
      </c>
      <c r="DT24" s="200">
        <f t="shared" si="54"/>
        <v>0</v>
      </c>
      <c r="DU24" s="200">
        <f t="shared" si="55"/>
        <v>0</v>
      </c>
      <c r="DV24" s="200">
        <f t="shared" si="56"/>
        <v>0</v>
      </c>
      <c r="DW24" s="200">
        <f t="shared" si="57"/>
        <v>0</v>
      </c>
      <c r="DX24" s="200">
        <f t="shared" si="58"/>
        <v>0</v>
      </c>
      <c r="DY24" s="200">
        <f t="shared" si="59"/>
        <v>0</v>
      </c>
      <c r="DZ24" s="200">
        <f t="shared" si="60"/>
        <v>0</v>
      </c>
      <c r="EA24" s="200">
        <f t="shared" si="61"/>
        <v>0</v>
      </c>
      <c r="EB24" s="200">
        <f t="shared" si="62"/>
        <v>0</v>
      </c>
      <c r="EC24" s="200">
        <f t="shared" si="63"/>
        <v>0</v>
      </c>
      <c r="ED24" s="200">
        <f t="shared" si="64"/>
        <v>0</v>
      </c>
      <c r="EE24" s="200">
        <f t="shared" si="65"/>
        <v>0</v>
      </c>
      <c r="EF24" s="200">
        <f t="shared" si="66"/>
        <v>0</v>
      </c>
      <c r="EG24" s="200">
        <f t="shared" si="67"/>
        <v>0</v>
      </c>
      <c r="EH24" s="200">
        <f t="shared" si="68"/>
        <v>0</v>
      </c>
      <c r="EI24" s="200">
        <f t="shared" si="69"/>
        <v>0</v>
      </c>
      <c r="EJ24" s="200">
        <f t="shared" si="70"/>
        <v>0</v>
      </c>
      <c r="EK24" s="200">
        <f t="shared" si="71"/>
        <v>0</v>
      </c>
      <c r="EL24" s="200">
        <f t="shared" si="72"/>
        <v>0</v>
      </c>
      <c r="EM24" s="200">
        <f t="shared" si="73"/>
        <v>0</v>
      </c>
      <c r="EN24" s="200">
        <f t="shared" si="74"/>
        <v>0</v>
      </c>
      <c r="EO24" s="200">
        <f t="shared" si="75"/>
        <v>0</v>
      </c>
      <c r="EP24" s="200">
        <f t="shared" si="76"/>
        <v>0</v>
      </c>
      <c r="EQ24" s="200">
        <f t="shared" si="77"/>
        <v>0</v>
      </c>
      <c r="ER24" s="200">
        <f t="shared" si="78"/>
        <v>0</v>
      </c>
    </row>
    <row r="25" spans="1:148" x14ac:dyDescent="0.3">
      <c r="A25" t="s">
        <v>157</v>
      </c>
      <c r="B25" s="200">
        <v>0.2</v>
      </c>
      <c r="D25" s="58">
        <f>WAR!D35</f>
        <v>1500000</v>
      </c>
      <c r="E25" s="58">
        <f t="shared" ref="E25:AJ25" si="142">(D25*(1+$B25))+((D$33*$C25)*(1+$B25))</f>
        <v>1800000</v>
      </c>
      <c r="F25" s="58">
        <f t="shared" si="142"/>
        <v>2160000</v>
      </c>
      <c r="G25" s="58">
        <f t="shared" si="142"/>
        <v>2592000</v>
      </c>
      <c r="H25" s="58">
        <f t="shared" si="142"/>
        <v>3110400</v>
      </c>
      <c r="I25" s="58">
        <f t="shared" si="142"/>
        <v>3732480</v>
      </c>
      <c r="J25" s="58">
        <f t="shared" si="142"/>
        <v>4478976</v>
      </c>
      <c r="K25" s="58">
        <f t="shared" si="142"/>
        <v>5374771.2000000002</v>
      </c>
      <c r="L25" s="58">
        <f t="shared" si="142"/>
        <v>6449725.4400000004</v>
      </c>
      <c r="M25" s="58">
        <f t="shared" si="142"/>
        <v>7739670.5279999999</v>
      </c>
      <c r="N25" s="58">
        <f t="shared" si="142"/>
        <v>9287604.6336000003</v>
      </c>
      <c r="O25" s="58">
        <f t="shared" si="142"/>
        <v>11145125.560319999</v>
      </c>
      <c r="P25" s="58">
        <f t="shared" si="142"/>
        <v>13374150.672383999</v>
      </c>
      <c r="Q25" s="58">
        <f t="shared" si="142"/>
        <v>16048980.806860799</v>
      </c>
      <c r="R25" s="58">
        <f t="shared" si="142"/>
        <v>19258776.96823296</v>
      </c>
      <c r="S25" s="58">
        <f t="shared" si="142"/>
        <v>23110532.36187955</v>
      </c>
      <c r="T25" s="58">
        <f t="shared" si="142"/>
        <v>27732638.834255461</v>
      </c>
      <c r="U25" s="58">
        <f t="shared" si="142"/>
        <v>33279166.601106551</v>
      </c>
      <c r="V25" s="58">
        <f t="shared" si="142"/>
        <v>39934999.921327859</v>
      </c>
      <c r="W25" s="58">
        <f t="shared" si="142"/>
        <v>47921999.905593432</v>
      </c>
      <c r="X25" s="58">
        <f t="shared" si="142"/>
        <v>57506399.886712119</v>
      </c>
      <c r="Y25" s="58">
        <f t="shared" si="142"/>
        <v>69007679.864054546</v>
      </c>
      <c r="Z25" s="58">
        <f t="shared" si="142"/>
        <v>82809215.836865455</v>
      </c>
      <c r="AA25" s="58">
        <f t="shared" si="142"/>
        <v>99371059.004238546</v>
      </c>
      <c r="AB25" s="58">
        <f t="shared" si="142"/>
        <v>119245270.80508626</v>
      </c>
      <c r="AC25" s="58">
        <f t="shared" si="142"/>
        <v>143094324.96610349</v>
      </c>
      <c r="AD25" s="58">
        <f t="shared" si="142"/>
        <v>171713189.95932418</v>
      </c>
      <c r="AE25" s="58">
        <f t="shared" si="142"/>
        <v>206055827.95118901</v>
      </c>
      <c r="AF25" s="58">
        <f t="shared" si="142"/>
        <v>247266993.54142681</v>
      </c>
      <c r="AG25" s="58">
        <f t="shared" si="142"/>
        <v>296720392.24971217</v>
      </c>
      <c r="AH25" s="58">
        <f t="shared" si="142"/>
        <v>356064470.69965458</v>
      </c>
      <c r="AI25" s="58">
        <f t="shared" si="142"/>
        <v>427277364.83958548</v>
      </c>
      <c r="AJ25" s="58">
        <f t="shared" si="142"/>
        <v>512732837.80750257</v>
      </c>
      <c r="AK25" s="58">
        <f t="shared" ref="AK25:BP25" si="143">(AJ25*(1+$B25))+((AJ$33*$C25)*(1+$B25))</f>
        <v>615279405.36900306</v>
      </c>
      <c r="AL25" s="58">
        <f t="shared" si="143"/>
        <v>738335286.44280362</v>
      </c>
      <c r="AM25" s="58">
        <f t="shared" si="143"/>
        <v>886002343.73136437</v>
      </c>
      <c r="AN25" s="58">
        <f t="shared" si="143"/>
        <v>1063202812.4776372</v>
      </c>
      <c r="AO25" s="58">
        <f t="shared" si="143"/>
        <v>1275843374.9731646</v>
      </c>
      <c r="AP25" s="58">
        <f t="shared" si="143"/>
        <v>1531012049.9677975</v>
      </c>
      <c r="AQ25" s="58">
        <f t="shared" si="143"/>
        <v>1837214459.9613569</v>
      </c>
      <c r="AR25" s="58">
        <f t="shared" si="143"/>
        <v>2204657351.9536281</v>
      </c>
      <c r="AS25" s="58">
        <f t="shared" si="143"/>
        <v>2645588822.3443537</v>
      </c>
      <c r="AT25" s="58">
        <f t="shared" si="143"/>
        <v>3174706586.8132243</v>
      </c>
      <c r="AU25" s="58">
        <f t="shared" si="143"/>
        <v>3809647904.175869</v>
      </c>
      <c r="AV25" s="58">
        <f t="shared" si="143"/>
        <v>4571577485.0110426</v>
      </c>
      <c r="AW25" s="58">
        <f t="shared" si="143"/>
        <v>5485892982.0132513</v>
      </c>
      <c r="AX25" s="58">
        <f t="shared" si="143"/>
        <v>6583071578.4159012</v>
      </c>
      <c r="AY25" s="58">
        <f t="shared" si="143"/>
        <v>7899685894.099081</v>
      </c>
      <c r="AZ25" s="58">
        <f t="shared" si="143"/>
        <v>9479623072.9188976</v>
      </c>
      <c r="BA25" s="58">
        <f t="shared" si="143"/>
        <v>11375547687.502676</v>
      </c>
      <c r="BB25" s="58">
        <f t="shared" si="143"/>
        <v>13650657225.00321</v>
      </c>
      <c r="BC25" s="58">
        <f t="shared" si="143"/>
        <v>16380788670.003851</v>
      </c>
      <c r="BD25" s="58">
        <f t="shared" si="143"/>
        <v>19656946404.00462</v>
      </c>
      <c r="BE25" s="58">
        <f t="shared" si="143"/>
        <v>23588335684.805542</v>
      </c>
      <c r="BF25" s="58">
        <f t="shared" si="143"/>
        <v>28306002821.766651</v>
      </c>
      <c r="BG25" s="58">
        <f t="shared" si="143"/>
        <v>33967203386.11998</v>
      </c>
      <c r="BH25" s="58">
        <f t="shared" si="143"/>
        <v>40760644063.343971</v>
      </c>
      <c r="BI25" s="58">
        <f t="shared" si="143"/>
        <v>48912772876.012764</v>
      </c>
      <c r="BJ25" s="58">
        <f t="shared" si="143"/>
        <v>58695327451.215317</v>
      </c>
      <c r="BK25" s="58">
        <f t="shared" si="143"/>
        <v>70434392941.458374</v>
      </c>
      <c r="BL25" s="58">
        <f t="shared" si="143"/>
        <v>84521271529.750046</v>
      </c>
      <c r="BM25" s="58">
        <f t="shared" si="143"/>
        <v>101425525835.70006</v>
      </c>
      <c r="BN25" s="58">
        <f t="shared" si="143"/>
        <v>121710631002.84007</v>
      </c>
      <c r="BO25" s="58">
        <f t="shared" si="143"/>
        <v>146052757203.40808</v>
      </c>
      <c r="BP25" s="58">
        <f t="shared" si="143"/>
        <v>175263308644.08969</v>
      </c>
      <c r="BQ25" s="58">
        <f t="shared" ref="BQ25:BW25" si="144">(BP25*(1+$B25))+((BP$33*$C25)*(1+$B25))</f>
        <v>210315970372.90762</v>
      </c>
      <c r="BR25" s="58">
        <f t="shared" si="144"/>
        <v>252379164447.48914</v>
      </c>
      <c r="BS25" s="58">
        <f t="shared" si="144"/>
        <v>302854997336.98694</v>
      </c>
      <c r="BT25" s="58">
        <f t="shared" si="144"/>
        <v>363425996804.38434</v>
      </c>
      <c r="BU25" s="58">
        <f t="shared" si="144"/>
        <v>436111196165.26117</v>
      </c>
      <c r="BV25" s="58">
        <f t="shared" si="144"/>
        <v>523333435398.31335</v>
      </c>
      <c r="BW25" s="58">
        <f t="shared" si="144"/>
        <v>628000122477.97595</v>
      </c>
      <c r="BX25" s="58"/>
      <c r="BY25" s="200">
        <f t="shared" si="7"/>
        <v>0</v>
      </c>
      <c r="BZ25" s="200">
        <f t="shared" si="8"/>
        <v>0</v>
      </c>
      <c r="CA25" s="200">
        <f t="shared" si="9"/>
        <v>0</v>
      </c>
      <c r="CB25" s="200">
        <f t="shared" si="10"/>
        <v>0</v>
      </c>
      <c r="CC25" s="200">
        <f t="shared" si="11"/>
        <v>0</v>
      </c>
      <c r="CD25" s="200">
        <f t="shared" si="12"/>
        <v>0</v>
      </c>
      <c r="CE25" s="200">
        <f t="shared" si="13"/>
        <v>0</v>
      </c>
      <c r="CF25" s="200">
        <f t="shared" si="14"/>
        <v>0</v>
      </c>
      <c r="CG25" s="200">
        <f t="shared" si="15"/>
        <v>0</v>
      </c>
      <c r="CH25" s="200">
        <f t="shared" si="16"/>
        <v>0</v>
      </c>
      <c r="CI25" s="200">
        <f t="shared" si="17"/>
        <v>0</v>
      </c>
      <c r="CJ25" s="200">
        <f t="shared" si="18"/>
        <v>0</v>
      </c>
      <c r="CK25" s="200">
        <f t="shared" si="19"/>
        <v>0</v>
      </c>
      <c r="CL25" s="200">
        <f t="shared" si="20"/>
        <v>0</v>
      </c>
      <c r="CM25" s="200">
        <f t="shared" si="21"/>
        <v>0</v>
      </c>
      <c r="CN25" s="200">
        <f t="shared" si="22"/>
        <v>0</v>
      </c>
      <c r="CO25" s="200">
        <f t="shared" si="23"/>
        <v>0</v>
      </c>
      <c r="CP25" s="200">
        <f t="shared" si="24"/>
        <v>0</v>
      </c>
      <c r="CQ25" s="200">
        <f t="shared" si="25"/>
        <v>0</v>
      </c>
      <c r="CR25" s="200">
        <f t="shared" si="26"/>
        <v>0</v>
      </c>
      <c r="CS25" s="200">
        <f t="shared" si="27"/>
        <v>0</v>
      </c>
      <c r="CT25" s="200">
        <f t="shared" si="28"/>
        <v>0</v>
      </c>
      <c r="CU25" s="200">
        <f t="shared" si="29"/>
        <v>0</v>
      </c>
      <c r="CV25" s="200">
        <f t="shared" si="30"/>
        <v>0</v>
      </c>
      <c r="CW25" s="200">
        <f t="shared" si="31"/>
        <v>0</v>
      </c>
      <c r="CX25" s="200">
        <f t="shared" si="32"/>
        <v>0</v>
      </c>
      <c r="CY25" s="200">
        <f t="shared" si="33"/>
        <v>0</v>
      </c>
      <c r="CZ25" s="200">
        <f t="shared" si="34"/>
        <v>0</v>
      </c>
      <c r="DA25" s="200">
        <f t="shared" si="35"/>
        <v>0</v>
      </c>
      <c r="DB25" s="200">
        <f t="shared" si="36"/>
        <v>0</v>
      </c>
      <c r="DC25" s="200">
        <f t="shared" si="37"/>
        <v>0</v>
      </c>
      <c r="DD25" s="200">
        <f t="shared" si="38"/>
        <v>0</v>
      </c>
      <c r="DE25" s="200">
        <f t="shared" si="39"/>
        <v>0</v>
      </c>
      <c r="DF25" s="200">
        <f t="shared" si="40"/>
        <v>0</v>
      </c>
      <c r="DG25" s="200">
        <f t="shared" si="41"/>
        <v>0</v>
      </c>
      <c r="DH25" s="200">
        <f t="shared" si="42"/>
        <v>0</v>
      </c>
      <c r="DI25" s="200">
        <f t="shared" si="43"/>
        <v>0</v>
      </c>
      <c r="DJ25" s="200">
        <f t="shared" si="44"/>
        <v>0</v>
      </c>
      <c r="DK25" s="200">
        <f t="shared" si="45"/>
        <v>0</v>
      </c>
      <c r="DL25" s="200">
        <f t="shared" si="46"/>
        <v>0</v>
      </c>
      <c r="DM25" s="200">
        <f t="shared" si="47"/>
        <v>0</v>
      </c>
      <c r="DN25" s="200">
        <f t="shared" si="48"/>
        <v>0</v>
      </c>
      <c r="DO25" s="200">
        <f t="shared" si="49"/>
        <v>0</v>
      </c>
      <c r="DP25" s="200">
        <f t="shared" si="50"/>
        <v>0</v>
      </c>
      <c r="DQ25" s="200">
        <f t="shared" si="51"/>
        <v>0</v>
      </c>
      <c r="DR25" s="200">
        <f t="shared" si="52"/>
        <v>0</v>
      </c>
      <c r="DS25" s="200">
        <f t="shared" si="53"/>
        <v>0</v>
      </c>
      <c r="DT25" s="200">
        <f t="shared" si="54"/>
        <v>0</v>
      </c>
      <c r="DU25" s="200">
        <f t="shared" si="55"/>
        <v>0</v>
      </c>
      <c r="DV25" s="200">
        <f t="shared" si="56"/>
        <v>0</v>
      </c>
      <c r="DW25" s="200">
        <f t="shared" si="57"/>
        <v>0</v>
      </c>
      <c r="DX25" s="200">
        <f t="shared" si="58"/>
        <v>0</v>
      </c>
      <c r="DY25" s="200">
        <f t="shared" si="59"/>
        <v>0</v>
      </c>
      <c r="DZ25" s="200">
        <f t="shared" si="60"/>
        <v>0</v>
      </c>
      <c r="EA25" s="200">
        <f t="shared" si="61"/>
        <v>0</v>
      </c>
      <c r="EB25" s="200">
        <f t="shared" si="62"/>
        <v>0</v>
      </c>
      <c r="EC25" s="200">
        <f t="shared" si="63"/>
        <v>0</v>
      </c>
      <c r="ED25" s="200">
        <f t="shared" si="64"/>
        <v>0</v>
      </c>
      <c r="EE25" s="200">
        <f t="shared" si="65"/>
        <v>0</v>
      </c>
      <c r="EF25" s="200">
        <f t="shared" si="66"/>
        <v>0</v>
      </c>
      <c r="EG25" s="200">
        <f t="shared" si="67"/>
        <v>0</v>
      </c>
      <c r="EH25" s="200">
        <f t="shared" si="68"/>
        <v>0</v>
      </c>
      <c r="EI25" s="200">
        <f t="shared" si="69"/>
        <v>0</v>
      </c>
      <c r="EJ25" s="200">
        <f t="shared" si="70"/>
        <v>0</v>
      </c>
      <c r="EK25" s="200">
        <f t="shared" si="71"/>
        <v>0</v>
      </c>
      <c r="EL25" s="200">
        <f t="shared" si="72"/>
        <v>0</v>
      </c>
      <c r="EM25" s="200">
        <f t="shared" si="73"/>
        <v>0</v>
      </c>
      <c r="EN25" s="200">
        <f t="shared" si="74"/>
        <v>0</v>
      </c>
      <c r="EO25" s="200">
        <f t="shared" si="75"/>
        <v>0</v>
      </c>
      <c r="EP25" s="200">
        <f t="shared" si="76"/>
        <v>0</v>
      </c>
      <c r="EQ25" s="200">
        <f t="shared" si="77"/>
        <v>0</v>
      </c>
      <c r="ER25" s="200">
        <f t="shared" si="78"/>
        <v>0</v>
      </c>
    </row>
    <row r="26" spans="1:148" x14ac:dyDescent="0.3">
      <c r="A26" t="s">
        <v>158</v>
      </c>
      <c r="B26" s="200"/>
      <c r="D26" s="58" t="e">
        <f>WAR!#REF!</f>
        <v>#REF!</v>
      </c>
      <c r="E26" s="58" t="e">
        <f t="shared" ref="E26:AJ26" si="145">(D26*(1+$B26))+((D$33*$C26)*(1+$B26))</f>
        <v>#REF!</v>
      </c>
      <c r="F26" s="58" t="e">
        <f t="shared" si="145"/>
        <v>#REF!</v>
      </c>
      <c r="G26" s="58" t="e">
        <f t="shared" si="145"/>
        <v>#REF!</v>
      </c>
      <c r="H26" s="58" t="e">
        <f t="shared" si="145"/>
        <v>#REF!</v>
      </c>
      <c r="I26" s="58" t="e">
        <f t="shared" si="145"/>
        <v>#REF!</v>
      </c>
      <c r="J26" s="58" t="e">
        <f t="shared" si="145"/>
        <v>#REF!</v>
      </c>
      <c r="K26" s="58" t="e">
        <f t="shared" si="145"/>
        <v>#REF!</v>
      </c>
      <c r="L26" s="58" t="e">
        <f t="shared" si="145"/>
        <v>#REF!</v>
      </c>
      <c r="M26" s="58" t="e">
        <f t="shared" si="145"/>
        <v>#REF!</v>
      </c>
      <c r="N26" s="58" t="e">
        <f t="shared" si="145"/>
        <v>#REF!</v>
      </c>
      <c r="O26" s="58" t="e">
        <f t="shared" si="145"/>
        <v>#REF!</v>
      </c>
      <c r="P26" s="58" t="e">
        <f t="shared" si="145"/>
        <v>#REF!</v>
      </c>
      <c r="Q26" s="58" t="e">
        <f t="shared" si="145"/>
        <v>#REF!</v>
      </c>
      <c r="R26" s="58" t="e">
        <f t="shared" si="145"/>
        <v>#REF!</v>
      </c>
      <c r="S26" s="58" t="e">
        <f t="shared" si="145"/>
        <v>#REF!</v>
      </c>
      <c r="T26" s="58" t="e">
        <f t="shared" si="145"/>
        <v>#REF!</v>
      </c>
      <c r="U26" s="58" t="e">
        <f t="shared" si="145"/>
        <v>#REF!</v>
      </c>
      <c r="V26" s="58" t="e">
        <f t="shared" si="145"/>
        <v>#REF!</v>
      </c>
      <c r="W26" s="58" t="e">
        <f t="shared" si="145"/>
        <v>#REF!</v>
      </c>
      <c r="X26" s="58" t="e">
        <f t="shared" si="145"/>
        <v>#REF!</v>
      </c>
      <c r="Y26" s="58" t="e">
        <f t="shared" si="145"/>
        <v>#REF!</v>
      </c>
      <c r="Z26" s="58" t="e">
        <f t="shared" si="145"/>
        <v>#REF!</v>
      </c>
      <c r="AA26" s="58" t="e">
        <f t="shared" si="145"/>
        <v>#REF!</v>
      </c>
      <c r="AB26" s="58" t="e">
        <f t="shared" si="145"/>
        <v>#REF!</v>
      </c>
      <c r="AC26" s="58" t="e">
        <f t="shared" si="145"/>
        <v>#REF!</v>
      </c>
      <c r="AD26" s="58" t="e">
        <f t="shared" si="145"/>
        <v>#REF!</v>
      </c>
      <c r="AE26" s="58" t="e">
        <f t="shared" si="145"/>
        <v>#REF!</v>
      </c>
      <c r="AF26" s="58" t="e">
        <f t="shared" si="145"/>
        <v>#REF!</v>
      </c>
      <c r="AG26" s="58" t="e">
        <f t="shared" si="145"/>
        <v>#REF!</v>
      </c>
      <c r="AH26" s="58" t="e">
        <f t="shared" si="145"/>
        <v>#REF!</v>
      </c>
      <c r="AI26" s="58" t="e">
        <f t="shared" si="145"/>
        <v>#REF!</v>
      </c>
      <c r="AJ26" s="58" t="e">
        <f t="shared" si="145"/>
        <v>#REF!</v>
      </c>
      <c r="AK26" s="58" t="e">
        <f t="shared" ref="AK26:BP26" si="146">(AJ26*(1+$B26))+((AJ$33*$C26)*(1+$B26))</f>
        <v>#REF!</v>
      </c>
      <c r="AL26" s="58" t="e">
        <f t="shared" si="146"/>
        <v>#REF!</v>
      </c>
      <c r="AM26" s="58" t="e">
        <f t="shared" si="146"/>
        <v>#REF!</v>
      </c>
      <c r="AN26" s="58" t="e">
        <f t="shared" si="146"/>
        <v>#REF!</v>
      </c>
      <c r="AO26" s="58" t="e">
        <f t="shared" si="146"/>
        <v>#REF!</v>
      </c>
      <c r="AP26" s="58" t="e">
        <f t="shared" si="146"/>
        <v>#REF!</v>
      </c>
      <c r="AQ26" s="58" t="e">
        <f t="shared" si="146"/>
        <v>#REF!</v>
      </c>
      <c r="AR26" s="58" t="e">
        <f t="shared" si="146"/>
        <v>#REF!</v>
      </c>
      <c r="AS26" s="58" t="e">
        <f t="shared" si="146"/>
        <v>#REF!</v>
      </c>
      <c r="AT26" s="58" t="e">
        <f t="shared" si="146"/>
        <v>#REF!</v>
      </c>
      <c r="AU26" s="58" t="e">
        <f t="shared" si="146"/>
        <v>#REF!</v>
      </c>
      <c r="AV26" s="58" t="e">
        <f t="shared" si="146"/>
        <v>#REF!</v>
      </c>
      <c r="AW26" s="58" t="e">
        <f t="shared" si="146"/>
        <v>#REF!</v>
      </c>
      <c r="AX26" s="58" t="e">
        <f t="shared" si="146"/>
        <v>#REF!</v>
      </c>
      <c r="AY26" s="58" t="e">
        <f t="shared" si="146"/>
        <v>#REF!</v>
      </c>
      <c r="AZ26" s="58" t="e">
        <f t="shared" si="146"/>
        <v>#REF!</v>
      </c>
      <c r="BA26" s="58" t="e">
        <f t="shared" si="146"/>
        <v>#REF!</v>
      </c>
      <c r="BB26" s="58" t="e">
        <f t="shared" si="146"/>
        <v>#REF!</v>
      </c>
      <c r="BC26" s="58" t="e">
        <f t="shared" si="146"/>
        <v>#REF!</v>
      </c>
      <c r="BD26" s="58" t="e">
        <f t="shared" si="146"/>
        <v>#REF!</v>
      </c>
      <c r="BE26" s="58" t="e">
        <f t="shared" si="146"/>
        <v>#REF!</v>
      </c>
      <c r="BF26" s="58" t="e">
        <f t="shared" si="146"/>
        <v>#REF!</v>
      </c>
      <c r="BG26" s="58" t="e">
        <f t="shared" si="146"/>
        <v>#REF!</v>
      </c>
      <c r="BH26" s="58" t="e">
        <f t="shared" si="146"/>
        <v>#REF!</v>
      </c>
      <c r="BI26" s="58" t="e">
        <f t="shared" si="146"/>
        <v>#REF!</v>
      </c>
      <c r="BJ26" s="58" t="e">
        <f t="shared" si="146"/>
        <v>#REF!</v>
      </c>
      <c r="BK26" s="58" t="e">
        <f t="shared" si="146"/>
        <v>#REF!</v>
      </c>
      <c r="BL26" s="58" t="e">
        <f t="shared" si="146"/>
        <v>#REF!</v>
      </c>
      <c r="BM26" s="58" t="e">
        <f t="shared" si="146"/>
        <v>#REF!</v>
      </c>
      <c r="BN26" s="58" t="e">
        <f t="shared" si="146"/>
        <v>#REF!</v>
      </c>
      <c r="BO26" s="58" t="e">
        <f t="shared" si="146"/>
        <v>#REF!</v>
      </c>
      <c r="BP26" s="58" t="e">
        <f t="shared" si="146"/>
        <v>#REF!</v>
      </c>
      <c r="BQ26" s="58" t="e">
        <f t="shared" ref="BQ26:BV26" si="147">(BP26*(1+$B26))+((BP$33*$C26)*(1+$B26))</f>
        <v>#REF!</v>
      </c>
      <c r="BR26" s="58" t="e">
        <f t="shared" si="147"/>
        <v>#REF!</v>
      </c>
      <c r="BS26" s="58" t="e">
        <f t="shared" si="147"/>
        <v>#REF!</v>
      </c>
      <c r="BT26" s="58" t="e">
        <f t="shared" si="147"/>
        <v>#REF!</v>
      </c>
      <c r="BU26" s="58" t="e">
        <f t="shared" si="147"/>
        <v>#REF!</v>
      </c>
      <c r="BV26" s="58" t="e">
        <f t="shared" si="147"/>
        <v>#REF!</v>
      </c>
      <c r="BW26" s="58" t="e">
        <f t="shared" ref="BW26" si="148">(BV26*(1+$B26))+((BV$33*$C26)*(1+$B26))</f>
        <v>#REF!</v>
      </c>
      <c r="BX26" s="58"/>
      <c r="BY26" s="200">
        <f t="shared" si="7"/>
        <v>0</v>
      </c>
      <c r="BZ26" s="200">
        <f t="shared" si="8"/>
        <v>0</v>
      </c>
      <c r="CA26" s="200">
        <f t="shared" si="9"/>
        <v>0</v>
      </c>
      <c r="CB26" s="200">
        <f t="shared" si="10"/>
        <v>0</v>
      </c>
      <c r="CC26" s="200">
        <f t="shared" si="11"/>
        <v>0</v>
      </c>
      <c r="CD26" s="200">
        <f t="shared" si="12"/>
        <v>0</v>
      </c>
      <c r="CE26" s="200">
        <f t="shared" si="13"/>
        <v>0</v>
      </c>
      <c r="CF26" s="200">
        <f t="shared" si="14"/>
        <v>0</v>
      </c>
      <c r="CG26" s="200">
        <f t="shared" si="15"/>
        <v>0</v>
      </c>
      <c r="CH26" s="200">
        <f t="shared" si="16"/>
        <v>0</v>
      </c>
      <c r="CI26" s="200">
        <f t="shared" si="17"/>
        <v>0</v>
      </c>
      <c r="CJ26" s="200">
        <f t="shared" si="18"/>
        <v>0</v>
      </c>
      <c r="CK26" s="200">
        <f t="shared" si="19"/>
        <v>0</v>
      </c>
      <c r="CL26" s="200">
        <f t="shared" si="20"/>
        <v>0</v>
      </c>
      <c r="CM26" s="200">
        <f t="shared" si="21"/>
        <v>0</v>
      </c>
      <c r="CN26" s="200">
        <f t="shared" si="22"/>
        <v>0</v>
      </c>
      <c r="CO26" s="200">
        <f t="shared" si="23"/>
        <v>0</v>
      </c>
      <c r="CP26" s="200">
        <f t="shared" si="24"/>
        <v>0</v>
      </c>
      <c r="CQ26" s="200">
        <f t="shared" si="25"/>
        <v>0</v>
      </c>
      <c r="CR26" s="200">
        <f t="shared" si="26"/>
        <v>0</v>
      </c>
      <c r="CS26" s="200">
        <f t="shared" si="27"/>
        <v>0</v>
      </c>
      <c r="CT26" s="200">
        <f t="shared" si="28"/>
        <v>0</v>
      </c>
      <c r="CU26" s="200">
        <f t="shared" si="29"/>
        <v>0</v>
      </c>
      <c r="CV26" s="200">
        <f t="shared" si="30"/>
        <v>0</v>
      </c>
      <c r="CW26" s="200">
        <f t="shared" si="31"/>
        <v>0</v>
      </c>
      <c r="CX26" s="200">
        <f t="shared" si="32"/>
        <v>0</v>
      </c>
      <c r="CY26" s="200">
        <f t="shared" si="33"/>
        <v>0</v>
      </c>
      <c r="CZ26" s="200">
        <f t="shared" si="34"/>
        <v>0</v>
      </c>
      <c r="DA26" s="200">
        <f t="shared" si="35"/>
        <v>0</v>
      </c>
      <c r="DB26" s="200">
        <f t="shared" si="36"/>
        <v>0</v>
      </c>
      <c r="DC26" s="200">
        <f t="shared" si="37"/>
        <v>0</v>
      </c>
      <c r="DD26" s="200">
        <f t="shared" si="38"/>
        <v>0</v>
      </c>
      <c r="DE26" s="200">
        <f t="shared" si="39"/>
        <v>0</v>
      </c>
      <c r="DF26" s="200">
        <f t="shared" si="40"/>
        <v>0</v>
      </c>
      <c r="DG26" s="200">
        <f t="shared" si="41"/>
        <v>0</v>
      </c>
      <c r="DH26" s="200">
        <f t="shared" si="42"/>
        <v>0</v>
      </c>
      <c r="DI26" s="200">
        <f t="shared" si="43"/>
        <v>0</v>
      </c>
      <c r="DJ26" s="200">
        <f t="shared" si="44"/>
        <v>0</v>
      </c>
      <c r="DK26" s="200">
        <f t="shared" si="45"/>
        <v>0</v>
      </c>
      <c r="DL26" s="200">
        <f t="shared" si="46"/>
        <v>0</v>
      </c>
      <c r="DM26" s="200">
        <f t="shared" si="47"/>
        <v>0</v>
      </c>
      <c r="DN26" s="200">
        <f t="shared" si="48"/>
        <v>0</v>
      </c>
      <c r="DO26" s="200">
        <f t="shared" si="49"/>
        <v>0</v>
      </c>
      <c r="DP26" s="200">
        <f t="shared" si="50"/>
        <v>0</v>
      </c>
      <c r="DQ26" s="200">
        <f t="shared" si="51"/>
        <v>0</v>
      </c>
      <c r="DR26" s="200">
        <f t="shared" si="52"/>
        <v>0</v>
      </c>
      <c r="DS26" s="200">
        <f t="shared" si="53"/>
        <v>0</v>
      </c>
      <c r="DT26" s="200">
        <f t="shared" si="54"/>
        <v>0</v>
      </c>
      <c r="DU26" s="200">
        <f t="shared" si="55"/>
        <v>0</v>
      </c>
      <c r="DV26" s="200">
        <f t="shared" si="56"/>
        <v>0</v>
      </c>
      <c r="DW26" s="200">
        <f t="shared" si="57"/>
        <v>0</v>
      </c>
      <c r="DX26" s="200">
        <f t="shared" si="58"/>
        <v>0</v>
      </c>
      <c r="DY26" s="200">
        <f t="shared" si="59"/>
        <v>0</v>
      </c>
      <c r="DZ26" s="200">
        <f t="shared" si="60"/>
        <v>0</v>
      </c>
      <c r="EA26" s="200">
        <f t="shared" si="61"/>
        <v>0</v>
      </c>
      <c r="EB26" s="200">
        <f t="shared" si="62"/>
        <v>0</v>
      </c>
      <c r="EC26" s="200">
        <f t="shared" si="63"/>
        <v>0</v>
      </c>
      <c r="ED26" s="200">
        <f t="shared" si="64"/>
        <v>0</v>
      </c>
      <c r="EE26" s="200">
        <f t="shared" si="65"/>
        <v>0</v>
      </c>
      <c r="EF26" s="200">
        <f t="shared" si="66"/>
        <v>0</v>
      </c>
      <c r="EG26" s="200">
        <f t="shared" si="67"/>
        <v>0</v>
      </c>
      <c r="EH26" s="200">
        <f t="shared" si="68"/>
        <v>0</v>
      </c>
      <c r="EI26" s="200">
        <f t="shared" si="69"/>
        <v>0</v>
      </c>
      <c r="EJ26" s="200">
        <f t="shared" si="70"/>
        <v>0</v>
      </c>
      <c r="EK26" s="200">
        <f t="shared" si="71"/>
        <v>0</v>
      </c>
      <c r="EL26" s="200">
        <f t="shared" si="72"/>
        <v>0</v>
      </c>
      <c r="EM26" s="200">
        <f t="shared" si="73"/>
        <v>0</v>
      </c>
      <c r="EN26" s="200">
        <f t="shared" si="74"/>
        <v>0</v>
      </c>
      <c r="EO26" s="200">
        <f t="shared" si="75"/>
        <v>0</v>
      </c>
      <c r="EP26" s="200">
        <f t="shared" si="76"/>
        <v>0</v>
      </c>
      <c r="EQ26" s="200">
        <f t="shared" si="77"/>
        <v>0</v>
      </c>
      <c r="ER26" s="200">
        <f t="shared" si="78"/>
        <v>0</v>
      </c>
    </row>
    <row r="27" spans="1:148" x14ac:dyDescent="0.3">
      <c r="A27" t="s">
        <v>159</v>
      </c>
      <c r="B27" s="202"/>
      <c r="D27" s="58"/>
      <c r="E27" s="58">
        <f t="shared" ref="E27:AJ27" si="149">(D27*(1+$B27))+((D$33*$C27)*(1+$B27))</f>
        <v>0</v>
      </c>
      <c r="F27" s="58">
        <f t="shared" si="149"/>
        <v>0</v>
      </c>
      <c r="G27" s="58">
        <f t="shared" si="149"/>
        <v>0</v>
      </c>
      <c r="H27" s="58">
        <f t="shared" si="149"/>
        <v>0</v>
      </c>
      <c r="I27" s="58">
        <f t="shared" si="149"/>
        <v>0</v>
      </c>
      <c r="J27" s="58">
        <f t="shared" si="149"/>
        <v>0</v>
      </c>
      <c r="K27" s="58">
        <f t="shared" si="149"/>
        <v>0</v>
      </c>
      <c r="L27" s="58">
        <f t="shared" si="149"/>
        <v>0</v>
      </c>
      <c r="M27" s="58">
        <f t="shared" si="149"/>
        <v>0</v>
      </c>
      <c r="N27" s="58">
        <f t="shared" si="149"/>
        <v>0</v>
      </c>
      <c r="O27" s="58">
        <f t="shared" si="149"/>
        <v>0</v>
      </c>
      <c r="P27" s="58">
        <f t="shared" si="149"/>
        <v>0</v>
      </c>
      <c r="Q27" s="58">
        <f t="shared" si="149"/>
        <v>0</v>
      </c>
      <c r="R27" s="58">
        <f t="shared" si="149"/>
        <v>0</v>
      </c>
      <c r="S27" s="58">
        <f t="shared" si="149"/>
        <v>0</v>
      </c>
      <c r="T27" s="58">
        <f t="shared" si="149"/>
        <v>0</v>
      </c>
      <c r="U27" s="58">
        <f t="shared" si="149"/>
        <v>0</v>
      </c>
      <c r="V27" s="58">
        <f t="shared" si="149"/>
        <v>0</v>
      </c>
      <c r="W27" s="58">
        <f t="shared" si="149"/>
        <v>0</v>
      </c>
      <c r="X27" s="58">
        <f t="shared" si="149"/>
        <v>0</v>
      </c>
      <c r="Y27" s="58">
        <f t="shared" si="149"/>
        <v>0</v>
      </c>
      <c r="Z27" s="58">
        <f t="shared" si="149"/>
        <v>0</v>
      </c>
      <c r="AA27" s="58">
        <f t="shared" si="149"/>
        <v>0</v>
      </c>
      <c r="AB27" s="58">
        <f t="shared" si="149"/>
        <v>0</v>
      </c>
      <c r="AC27" s="58">
        <f t="shared" si="149"/>
        <v>0</v>
      </c>
      <c r="AD27" s="58">
        <f t="shared" si="149"/>
        <v>0</v>
      </c>
      <c r="AE27" s="58">
        <f t="shared" si="149"/>
        <v>0</v>
      </c>
      <c r="AF27" s="58">
        <f t="shared" si="149"/>
        <v>0</v>
      </c>
      <c r="AG27" s="58">
        <f t="shared" si="149"/>
        <v>0</v>
      </c>
      <c r="AH27" s="58">
        <f t="shared" si="149"/>
        <v>0</v>
      </c>
      <c r="AI27" s="58">
        <f t="shared" si="149"/>
        <v>0</v>
      </c>
      <c r="AJ27" s="58">
        <f t="shared" si="149"/>
        <v>0</v>
      </c>
      <c r="AK27" s="58">
        <f t="shared" ref="AK27:BP27" si="150">(AJ27*(1+$B27))+((AJ$33*$C27)*(1+$B27))</f>
        <v>0</v>
      </c>
      <c r="AL27" s="58">
        <f t="shared" si="150"/>
        <v>0</v>
      </c>
      <c r="AM27" s="58">
        <f t="shared" si="150"/>
        <v>0</v>
      </c>
      <c r="AN27" s="58">
        <f t="shared" si="150"/>
        <v>0</v>
      </c>
      <c r="AO27" s="58">
        <f t="shared" si="150"/>
        <v>0</v>
      </c>
      <c r="AP27" s="58">
        <f t="shared" si="150"/>
        <v>0</v>
      </c>
      <c r="AQ27" s="58">
        <f t="shared" si="150"/>
        <v>0</v>
      </c>
      <c r="AR27" s="58">
        <f t="shared" si="150"/>
        <v>0</v>
      </c>
      <c r="AS27" s="58">
        <f t="shared" si="150"/>
        <v>0</v>
      </c>
      <c r="AT27" s="58">
        <f t="shared" si="150"/>
        <v>0</v>
      </c>
      <c r="AU27" s="58">
        <f t="shared" si="150"/>
        <v>0</v>
      </c>
      <c r="AV27" s="58">
        <f t="shared" si="150"/>
        <v>0</v>
      </c>
      <c r="AW27" s="58">
        <f t="shared" si="150"/>
        <v>0</v>
      </c>
      <c r="AX27" s="58">
        <f t="shared" si="150"/>
        <v>0</v>
      </c>
      <c r="AY27" s="58">
        <f t="shared" si="150"/>
        <v>0</v>
      </c>
      <c r="AZ27" s="58">
        <f t="shared" si="150"/>
        <v>0</v>
      </c>
      <c r="BA27" s="58">
        <f t="shared" si="150"/>
        <v>0</v>
      </c>
      <c r="BB27" s="58">
        <f t="shared" si="150"/>
        <v>0</v>
      </c>
      <c r="BC27" s="58">
        <f t="shared" si="150"/>
        <v>0</v>
      </c>
      <c r="BD27" s="58">
        <f t="shared" si="150"/>
        <v>0</v>
      </c>
      <c r="BE27" s="58">
        <f t="shared" si="150"/>
        <v>0</v>
      </c>
      <c r="BF27" s="58">
        <f t="shared" si="150"/>
        <v>0</v>
      </c>
      <c r="BG27" s="58">
        <f t="shared" si="150"/>
        <v>0</v>
      </c>
      <c r="BH27" s="58">
        <f t="shared" si="150"/>
        <v>0</v>
      </c>
      <c r="BI27" s="58">
        <f t="shared" si="150"/>
        <v>0</v>
      </c>
      <c r="BJ27" s="58">
        <f t="shared" si="150"/>
        <v>0</v>
      </c>
      <c r="BK27" s="58">
        <f t="shared" si="150"/>
        <v>0</v>
      </c>
      <c r="BL27" s="58">
        <f t="shared" si="150"/>
        <v>0</v>
      </c>
      <c r="BM27" s="58">
        <f t="shared" si="150"/>
        <v>0</v>
      </c>
      <c r="BN27" s="58">
        <f t="shared" si="150"/>
        <v>0</v>
      </c>
      <c r="BO27" s="58">
        <f t="shared" si="150"/>
        <v>0</v>
      </c>
      <c r="BP27" s="58">
        <f t="shared" si="150"/>
        <v>0</v>
      </c>
      <c r="BQ27" s="58">
        <f t="shared" ref="BQ27:BV27" si="151">(BP27*(1+$B27))+((BP$33*$C27)*(1+$B27))</f>
        <v>0</v>
      </c>
      <c r="BR27" s="58">
        <f t="shared" si="151"/>
        <v>0</v>
      </c>
      <c r="BS27" s="58">
        <f t="shared" si="151"/>
        <v>0</v>
      </c>
      <c r="BT27" s="58">
        <f t="shared" si="151"/>
        <v>0</v>
      </c>
      <c r="BU27" s="58">
        <f t="shared" si="151"/>
        <v>0</v>
      </c>
      <c r="BV27" s="58">
        <f t="shared" si="151"/>
        <v>0</v>
      </c>
      <c r="BW27" s="58">
        <f t="shared" ref="BW27" si="152">(BV27*(1+$B27))+((BV$33*$C27)*(1+$B27))</f>
        <v>0</v>
      </c>
      <c r="BX27" s="58"/>
      <c r="BY27" s="200">
        <f t="shared" si="7"/>
        <v>0</v>
      </c>
      <c r="BZ27" s="200">
        <f t="shared" si="8"/>
        <v>0</v>
      </c>
      <c r="CA27" s="200">
        <f t="shared" si="9"/>
        <v>0</v>
      </c>
      <c r="CB27" s="200">
        <f t="shared" si="10"/>
        <v>0</v>
      </c>
      <c r="CC27" s="200">
        <f t="shared" si="11"/>
        <v>0</v>
      </c>
      <c r="CD27" s="200">
        <f t="shared" si="12"/>
        <v>0</v>
      </c>
      <c r="CE27" s="200">
        <f t="shared" si="13"/>
        <v>0</v>
      </c>
      <c r="CF27" s="200">
        <f t="shared" si="14"/>
        <v>0</v>
      </c>
      <c r="CG27" s="200">
        <f t="shared" si="15"/>
        <v>0</v>
      </c>
      <c r="CH27" s="200">
        <f t="shared" si="16"/>
        <v>0</v>
      </c>
      <c r="CI27" s="200">
        <f t="shared" si="17"/>
        <v>0</v>
      </c>
      <c r="CJ27" s="200">
        <f t="shared" si="18"/>
        <v>0</v>
      </c>
      <c r="CK27" s="200">
        <f t="shared" si="19"/>
        <v>0</v>
      </c>
      <c r="CL27" s="200">
        <f t="shared" si="20"/>
        <v>0</v>
      </c>
      <c r="CM27" s="200">
        <f t="shared" si="21"/>
        <v>0</v>
      </c>
      <c r="CN27" s="200">
        <f t="shared" si="22"/>
        <v>0</v>
      </c>
      <c r="CO27" s="200">
        <f t="shared" si="23"/>
        <v>0</v>
      </c>
      <c r="CP27" s="200">
        <f t="shared" si="24"/>
        <v>0</v>
      </c>
      <c r="CQ27" s="200">
        <f t="shared" si="25"/>
        <v>0</v>
      </c>
      <c r="CR27" s="200">
        <f t="shared" si="26"/>
        <v>0</v>
      </c>
      <c r="CS27" s="200">
        <f t="shared" si="27"/>
        <v>0</v>
      </c>
      <c r="CT27" s="200">
        <f t="shared" si="28"/>
        <v>0</v>
      </c>
      <c r="CU27" s="200">
        <f t="shared" si="29"/>
        <v>0</v>
      </c>
      <c r="CV27" s="200">
        <f t="shared" si="30"/>
        <v>0</v>
      </c>
      <c r="CW27" s="200">
        <f t="shared" si="31"/>
        <v>0</v>
      </c>
      <c r="CX27" s="200">
        <f t="shared" si="32"/>
        <v>0</v>
      </c>
      <c r="CY27" s="200">
        <f t="shared" si="33"/>
        <v>0</v>
      </c>
      <c r="CZ27" s="200">
        <f t="shared" si="34"/>
        <v>0</v>
      </c>
      <c r="DA27" s="200">
        <f t="shared" si="35"/>
        <v>0</v>
      </c>
      <c r="DB27" s="200">
        <f t="shared" si="36"/>
        <v>0</v>
      </c>
      <c r="DC27" s="200">
        <f t="shared" si="37"/>
        <v>0</v>
      </c>
      <c r="DD27" s="200">
        <f t="shared" si="38"/>
        <v>0</v>
      </c>
      <c r="DE27" s="200">
        <f t="shared" si="39"/>
        <v>0</v>
      </c>
      <c r="DF27" s="200">
        <f t="shared" si="40"/>
        <v>0</v>
      </c>
      <c r="DG27" s="200">
        <f t="shared" si="41"/>
        <v>0</v>
      </c>
      <c r="DH27" s="200">
        <f t="shared" si="42"/>
        <v>0</v>
      </c>
      <c r="DI27" s="200">
        <f t="shared" si="43"/>
        <v>0</v>
      </c>
      <c r="DJ27" s="200">
        <f t="shared" si="44"/>
        <v>0</v>
      </c>
      <c r="DK27" s="200">
        <f t="shared" si="45"/>
        <v>0</v>
      </c>
      <c r="DL27" s="200">
        <f t="shared" si="46"/>
        <v>0</v>
      </c>
      <c r="DM27" s="200">
        <f t="shared" si="47"/>
        <v>0</v>
      </c>
      <c r="DN27" s="200">
        <f t="shared" si="48"/>
        <v>0</v>
      </c>
      <c r="DO27" s="200">
        <f t="shared" si="49"/>
        <v>0</v>
      </c>
      <c r="DP27" s="200">
        <f t="shared" si="50"/>
        <v>0</v>
      </c>
      <c r="DQ27" s="200">
        <f t="shared" si="51"/>
        <v>0</v>
      </c>
      <c r="DR27" s="200">
        <f t="shared" si="52"/>
        <v>0</v>
      </c>
      <c r="DS27" s="200">
        <f t="shared" si="53"/>
        <v>0</v>
      </c>
      <c r="DT27" s="200">
        <f t="shared" si="54"/>
        <v>0</v>
      </c>
      <c r="DU27" s="200">
        <f t="shared" si="55"/>
        <v>0</v>
      </c>
      <c r="DV27" s="200">
        <f t="shared" si="56"/>
        <v>0</v>
      </c>
      <c r="DW27" s="200">
        <f t="shared" si="57"/>
        <v>0</v>
      </c>
      <c r="DX27" s="200">
        <f t="shared" si="58"/>
        <v>0</v>
      </c>
      <c r="DY27" s="200">
        <f t="shared" si="59"/>
        <v>0</v>
      </c>
      <c r="DZ27" s="200">
        <f t="shared" si="60"/>
        <v>0</v>
      </c>
      <c r="EA27" s="200">
        <f t="shared" si="61"/>
        <v>0</v>
      </c>
      <c r="EB27" s="200">
        <f t="shared" si="62"/>
        <v>0</v>
      </c>
      <c r="EC27" s="200">
        <f t="shared" si="63"/>
        <v>0</v>
      </c>
      <c r="ED27" s="200">
        <f t="shared" si="64"/>
        <v>0</v>
      </c>
      <c r="EE27" s="200">
        <f t="shared" si="65"/>
        <v>0</v>
      </c>
      <c r="EF27" s="200">
        <f t="shared" si="66"/>
        <v>0</v>
      </c>
      <c r="EG27" s="200">
        <f t="shared" si="67"/>
        <v>0</v>
      </c>
      <c r="EH27" s="200">
        <f t="shared" si="68"/>
        <v>0</v>
      </c>
      <c r="EI27" s="200">
        <f t="shared" si="69"/>
        <v>0</v>
      </c>
      <c r="EJ27" s="200">
        <f t="shared" si="70"/>
        <v>0</v>
      </c>
      <c r="EK27" s="200">
        <f t="shared" si="71"/>
        <v>0</v>
      </c>
      <c r="EL27" s="200">
        <f t="shared" si="72"/>
        <v>0</v>
      </c>
      <c r="EM27" s="200">
        <f t="shared" si="73"/>
        <v>0</v>
      </c>
      <c r="EN27" s="200">
        <f t="shared" si="74"/>
        <v>0</v>
      </c>
      <c r="EO27" s="200">
        <f t="shared" si="75"/>
        <v>0</v>
      </c>
      <c r="EP27" s="200">
        <f t="shared" si="76"/>
        <v>0</v>
      </c>
      <c r="EQ27" s="200">
        <f t="shared" si="77"/>
        <v>0</v>
      </c>
      <c r="ER27" s="200">
        <f t="shared" si="78"/>
        <v>0</v>
      </c>
    </row>
    <row r="28" spans="1:148" x14ac:dyDescent="0.3"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8"/>
      <c r="BL28" s="58"/>
      <c r="BM28" s="58"/>
      <c r="BN28" s="58"/>
      <c r="BO28" s="58"/>
      <c r="BP28" s="58"/>
      <c r="BQ28" s="58"/>
      <c r="BR28" s="58"/>
      <c r="BS28" s="58"/>
      <c r="BT28" s="58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</row>
    <row r="29" spans="1:148" x14ac:dyDescent="0.3">
      <c r="A29" t="s">
        <v>160</v>
      </c>
      <c r="D29" s="58"/>
      <c r="E29" s="58">
        <f>D29*1.05</f>
        <v>0</v>
      </c>
      <c r="F29" s="58">
        <f t="shared" ref="F29:P29" si="153">E29*1.05</f>
        <v>0</v>
      </c>
      <c r="G29" s="58">
        <f t="shared" si="153"/>
        <v>0</v>
      </c>
      <c r="H29" s="58">
        <f t="shared" si="153"/>
        <v>0</v>
      </c>
      <c r="I29" s="58">
        <f t="shared" si="153"/>
        <v>0</v>
      </c>
      <c r="J29" s="58">
        <f t="shared" si="153"/>
        <v>0</v>
      </c>
      <c r="K29" s="58">
        <f t="shared" si="153"/>
        <v>0</v>
      </c>
      <c r="L29" s="58">
        <f t="shared" si="153"/>
        <v>0</v>
      </c>
      <c r="M29" s="58">
        <f t="shared" si="153"/>
        <v>0</v>
      </c>
      <c r="N29" s="58">
        <f t="shared" si="153"/>
        <v>0</v>
      </c>
      <c r="O29" s="58">
        <f t="shared" si="153"/>
        <v>0</v>
      </c>
      <c r="P29" s="58">
        <f t="shared" si="153"/>
        <v>0</v>
      </c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8"/>
      <c r="BL29" s="58"/>
      <c r="BM29" s="58"/>
      <c r="BN29" s="58"/>
      <c r="BO29" s="58"/>
      <c r="BP29" s="58"/>
      <c r="BQ29" s="58"/>
      <c r="BR29" s="58"/>
      <c r="BS29" s="58"/>
      <c r="BT29" s="58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</row>
    <row r="30" spans="1:148" x14ac:dyDescent="0.3">
      <c r="A30" t="s">
        <v>161</v>
      </c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58"/>
      <c r="BQ30" s="58"/>
      <c r="BR30" s="58"/>
      <c r="BS30" s="58"/>
      <c r="BT30" s="58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</row>
    <row r="31" spans="1:148" x14ac:dyDescent="0.3">
      <c r="A31" t="s">
        <v>162</v>
      </c>
      <c r="D31" s="58"/>
      <c r="E31" s="58">
        <f>D31</f>
        <v>0</v>
      </c>
      <c r="F31" s="58">
        <f t="shared" ref="F31:P32" si="154">E31</f>
        <v>0</v>
      </c>
      <c r="G31" s="58">
        <f t="shared" si="154"/>
        <v>0</v>
      </c>
      <c r="H31" s="58">
        <f t="shared" si="154"/>
        <v>0</v>
      </c>
      <c r="I31" s="58">
        <f t="shared" si="154"/>
        <v>0</v>
      </c>
      <c r="J31" s="58">
        <f t="shared" si="154"/>
        <v>0</v>
      </c>
      <c r="K31" s="58">
        <f t="shared" si="154"/>
        <v>0</v>
      </c>
      <c r="L31" s="58">
        <f t="shared" si="154"/>
        <v>0</v>
      </c>
      <c r="M31" s="58">
        <f t="shared" si="154"/>
        <v>0</v>
      </c>
      <c r="N31" s="58">
        <f t="shared" si="154"/>
        <v>0</v>
      </c>
      <c r="O31" s="58">
        <f t="shared" si="154"/>
        <v>0</v>
      </c>
      <c r="P31" s="58">
        <f t="shared" si="154"/>
        <v>0</v>
      </c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</row>
    <row r="32" spans="1:148" x14ac:dyDescent="0.3">
      <c r="A32" t="s">
        <v>163</v>
      </c>
      <c r="D32" s="58"/>
      <c r="E32" s="58">
        <f>D32</f>
        <v>0</v>
      </c>
      <c r="F32" s="58">
        <f t="shared" si="154"/>
        <v>0</v>
      </c>
      <c r="G32" s="58">
        <f t="shared" si="154"/>
        <v>0</v>
      </c>
      <c r="H32" s="58">
        <f t="shared" si="154"/>
        <v>0</v>
      </c>
      <c r="I32" s="58">
        <f t="shared" si="154"/>
        <v>0</v>
      </c>
      <c r="J32" s="58">
        <f t="shared" si="154"/>
        <v>0</v>
      </c>
      <c r="K32" s="58">
        <f t="shared" si="154"/>
        <v>0</v>
      </c>
      <c r="L32" s="58">
        <f t="shared" si="154"/>
        <v>0</v>
      </c>
      <c r="M32" s="58">
        <f t="shared" si="154"/>
        <v>0</v>
      </c>
      <c r="N32" s="58">
        <f t="shared" si="154"/>
        <v>0</v>
      </c>
      <c r="O32" s="58">
        <f t="shared" si="154"/>
        <v>0</v>
      </c>
      <c r="P32" s="58">
        <f t="shared" si="154"/>
        <v>0</v>
      </c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</row>
    <row r="33" spans="1:89" x14ac:dyDescent="0.3">
      <c r="A33" t="s">
        <v>164</v>
      </c>
      <c r="D33" s="58"/>
      <c r="E33" s="58">
        <f>D33*1.05</f>
        <v>0</v>
      </c>
      <c r="F33" s="58">
        <f t="shared" ref="F33:P33" si="155">E33*1.05</f>
        <v>0</v>
      </c>
      <c r="G33" s="58">
        <f t="shared" si="155"/>
        <v>0</v>
      </c>
      <c r="H33" s="58">
        <f t="shared" si="155"/>
        <v>0</v>
      </c>
      <c r="I33" s="58">
        <f t="shared" si="155"/>
        <v>0</v>
      </c>
      <c r="J33" s="58">
        <f t="shared" si="155"/>
        <v>0</v>
      </c>
      <c r="K33" s="58">
        <f t="shared" si="155"/>
        <v>0</v>
      </c>
      <c r="L33" s="58">
        <f t="shared" si="155"/>
        <v>0</v>
      </c>
      <c r="M33" s="58">
        <f t="shared" si="155"/>
        <v>0</v>
      </c>
      <c r="N33" s="58">
        <f t="shared" si="155"/>
        <v>0</v>
      </c>
      <c r="O33" s="58">
        <f t="shared" si="155"/>
        <v>0</v>
      </c>
      <c r="P33" s="58">
        <f t="shared" si="155"/>
        <v>0</v>
      </c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</row>
    <row r="34" spans="1:89" x14ac:dyDescent="0.3">
      <c r="A34" t="s">
        <v>165</v>
      </c>
      <c r="B34" s="201">
        <v>0.06</v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</row>
    <row r="35" spans="1:89" x14ac:dyDescent="0.3"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8"/>
      <c r="BL35" s="58"/>
      <c r="BM35" s="58"/>
      <c r="BN35" s="58"/>
      <c r="BO35" s="58"/>
      <c r="BP35" s="58"/>
      <c r="BQ35" s="58"/>
      <c r="BR35" s="58"/>
      <c r="BS35" s="58"/>
      <c r="BT35" s="58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</row>
    <row r="36" spans="1:89" x14ac:dyDescent="0.3">
      <c r="A36" t="s">
        <v>53</v>
      </c>
      <c r="D36" s="58" t="e">
        <f>SUM(D3:D27)</f>
        <v>#REF!</v>
      </c>
      <c r="E36" s="58" t="e">
        <f t="shared" ref="E36:BP36" si="156">SUM(E3:E27)</f>
        <v>#REF!</v>
      </c>
      <c r="F36" s="58" t="e">
        <f t="shared" si="156"/>
        <v>#REF!</v>
      </c>
      <c r="G36" s="58" t="e">
        <f t="shared" si="156"/>
        <v>#REF!</v>
      </c>
      <c r="H36" s="58" t="e">
        <f t="shared" si="156"/>
        <v>#REF!</v>
      </c>
      <c r="I36" s="58" t="e">
        <f t="shared" si="156"/>
        <v>#REF!</v>
      </c>
      <c r="J36" s="58" t="e">
        <f t="shared" si="156"/>
        <v>#REF!</v>
      </c>
      <c r="K36" s="58" t="e">
        <f t="shared" si="156"/>
        <v>#REF!</v>
      </c>
      <c r="L36" s="58" t="e">
        <f t="shared" si="156"/>
        <v>#REF!</v>
      </c>
      <c r="M36" s="58" t="e">
        <f t="shared" si="156"/>
        <v>#REF!</v>
      </c>
      <c r="N36" s="58" t="e">
        <f t="shared" si="156"/>
        <v>#REF!</v>
      </c>
      <c r="O36" s="58" t="e">
        <f t="shared" si="156"/>
        <v>#REF!</v>
      </c>
      <c r="P36" s="58" t="e">
        <f t="shared" si="156"/>
        <v>#REF!</v>
      </c>
      <c r="Q36" s="58" t="e">
        <f t="shared" si="156"/>
        <v>#REF!</v>
      </c>
      <c r="R36" s="58" t="e">
        <f t="shared" si="156"/>
        <v>#REF!</v>
      </c>
      <c r="S36" s="58" t="e">
        <f t="shared" si="156"/>
        <v>#REF!</v>
      </c>
      <c r="T36" s="58" t="e">
        <f t="shared" si="156"/>
        <v>#REF!</v>
      </c>
      <c r="U36" s="58" t="e">
        <f t="shared" si="156"/>
        <v>#REF!</v>
      </c>
      <c r="V36" s="58" t="e">
        <f t="shared" si="156"/>
        <v>#REF!</v>
      </c>
      <c r="W36" s="58" t="e">
        <f t="shared" si="156"/>
        <v>#REF!</v>
      </c>
      <c r="X36" s="58" t="e">
        <f t="shared" si="156"/>
        <v>#REF!</v>
      </c>
      <c r="Y36" s="58" t="e">
        <f t="shared" si="156"/>
        <v>#REF!</v>
      </c>
      <c r="Z36" s="58" t="e">
        <f t="shared" si="156"/>
        <v>#REF!</v>
      </c>
      <c r="AA36" s="58" t="e">
        <f t="shared" si="156"/>
        <v>#REF!</v>
      </c>
      <c r="AB36" s="58" t="e">
        <f t="shared" si="156"/>
        <v>#REF!</v>
      </c>
      <c r="AC36" s="58" t="e">
        <f t="shared" si="156"/>
        <v>#REF!</v>
      </c>
      <c r="AD36" s="58" t="e">
        <f t="shared" si="156"/>
        <v>#REF!</v>
      </c>
      <c r="AE36" s="58" t="e">
        <f t="shared" si="156"/>
        <v>#REF!</v>
      </c>
      <c r="AF36" s="58" t="e">
        <f t="shared" si="156"/>
        <v>#REF!</v>
      </c>
      <c r="AG36" s="58" t="e">
        <f t="shared" si="156"/>
        <v>#REF!</v>
      </c>
      <c r="AH36" s="58" t="e">
        <f t="shared" si="156"/>
        <v>#REF!</v>
      </c>
      <c r="AI36" s="58" t="e">
        <f t="shared" si="156"/>
        <v>#REF!</v>
      </c>
      <c r="AJ36" s="58" t="e">
        <f t="shared" si="156"/>
        <v>#REF!</v>
      </c>
      <c r="AK36" s="58" t="e">
        <f t="shared" si="156"/>
        <v>#REF!</v>
      </c>
      <c r="AL36" s="58" t="e">
        <f t="shared" si="156"/>
        <v>#REF!</v>
      </c>
      <c r="AM36" s="58" t="e">
        <f t="shared" si="156"/>
        <v>#REF!</v>
      </c>
      <c r="AN36" s="58" t="e">
        <f t="shared" si="156"/>
        <v>#REF!</v>
      </c>
      <c r="AO36" s="58" t="e">
        <f t="shared" si="156"/>
        <v>#REF!</v>
      </c>
      <c r="AP36" s="58" t="e">
        <f t="shared" si="156"/>
        <v>#REF!</v>
      </c>
      <c r="AQ36" s="58" t="e">
        <f t="shared" si="156"/>
        <v>#REF!</v>
      </c>
      <c r="AR36" s="58" t="e">
        <f t="shared" si="156"/>
        <v>#REF!</v>
      </c>
      <c r="AS36" s="58" t="e">
        <f t="shared" si="156"/>
        <v>#REF!</v>
      </c>
      <c r="AT36" s="58" t="e">
        <f t="shared" si="156"/>
        <v>#REF!</v>
      </c>
      <c r="AU36" s="58" t="e">
        <f t="shared" si="156"/>
        <v>#REF!</v>
      </c>
      <c r="AV36" s="58" t="e">
        <f t="shared" si="156"/>
        <v>#REF!</v>
      </c>
      <c r="AW36" s="58" t="e">
        <f t="shared" si="156"/>
        <v>#REF!</v>
      </c>
      <c r="AX36" s="58" t="e">
        <f t="shared" si="156"/>
        <v>#REF!</v>
      </c>
      <c r="AY36" s="58" t="e">
        <f t="shared" si="156"/>
        <v>#REF!</v>
      </c>
      <c r="AZ36" s="58" t="e">
        <f t="shared" si="156"/>
        <v>#REF!</v>
      </c>
      <c r="BA36" s="58" t="e">
        <f t="shared" si="156"/>
        <v>#REF!</v>
      </c>
      <c r="BB36" s="58" t="e">
        <f t="shared" si="156"/>
        <v>#REF!</v>
      </c>
      <c r="BC36" s="58" t="e">
        <f t="shared" si="156"/>
        <v>#REF!</v>
      </c>
      <c r="BD36" s="58" t="e">
        <f t="shared" si="156"/>
        <v>#REF!</v>
      </c>
      <c r="BE36" s="58" t="e">
        <f t="shared" si="156"/>
        <v>#REF!</v>
      </c>
      <c r="BF36" s="58" t="e">
        <f t="shared" si="156"/>
        <v>#REF!</v>
      </c>
      <c r="BG36" s="58" t="e">
        <f t="shared" si="156"/>
        <v>#REF!</v>
      </c>
      <c r="BH36" s="58" t="e">
        <f t="shared" si="156"/>
        <v>#REF!</v>
      </c>
      <c r="BI36" s="58" t="e">
        <f t="shared" si="156"/>
        <v>#REF!</v>
      </c>
      <c r="BJ36" s="58" t="e">
        <f t="shared" si="156"/>
        <v>#REF!</v>
      </c>
      <c r="BK36" s="58" t="e">
        <f t="shared" si="156"/>
        <v>#REF!</v>
      </c>
      <c r="BL36" s="58" t="e">
        <f t="shared" si="156"/>
        <v>#REF!</v>
      </c>
      <c r="BM36" s="58" t="e">
        <f t="shared" si="156"/>
        <v>#REF!</v>
      </c>
      <c r="BN36" s="58" t="e">
        <f t="shared" si="156"/>
        <v>#REF!</v>
      </c>
      <c r="BO36" s="58" t="e">
        <f t="shared" si="156"/>
        <v>#REF!</v>
      </c>
      <c r="BP36" s="58" t="e">
        <f t="shared" si="156"/>
        <v>#REF!</v>
      </c>
      <c r="BQ36" s="58" t="e">
        <f t="shared" ref="BQ36:BW36" si="157">SUM(BQ3:BQ27)</f>
        <v>#REF!</v>
      </c>
      <c r="BR36" s="58" t="e">
        <f t="shared" si="157"/>
        <v>#REF!</v>
      </c>
      <c r="BS36" s="58" t="e">
        <f t="shared" si="157"/>
        <v>#REF!</v>
      </c>
      <c r="BT36" s="58" t="e">
        <f t="shared" si="157"/>
        <v>#REF!</v>
      </c>
      <c r="BU36" s="58" t="e">
        <f t="shared" si="157"/>
        <v>#REF!</v>
      </c>
      <c r="BV36" s="58" t="e">
        <f t="shared" si="157"/>
        <v>#REF!</v>
      </c>
      <c r="BW36" s="58" t="e">
        <f t="shared" si="157"/>
        <v>#REF!</v>
      </c>
      <c r="BX36" s="58"/>
      <c r="BY36" s="58"/>
      <c r="BZ36" s="58"/>
      <c r="CA36" s="58"/>
      <c r="CB36" s="58"/>
      <c r="CC36" s="58"/>
      <c r="CD36" s="58"/>
      <c r="CE36" s="58"/>
      <c r="CF36" s="58"/>
      <c r="CG36" s="58"/>
      <c r="CH36" s="58"/>
      <c r="CI36" s="58"/>
      <c r="CJ36" s="58"/>
      <c r="CK36" s="58"/>
    </row>
    <row r="37" spans="1:89" x14ac:dyDescent="0.3"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8"/>
      <c r="BA37" s="58"/>
      <c r="BB37" s="58"/>
      <c r="BC37" s="58"/>
      <c r="BD37" s="58"/>
      <c r="BE37" s="58"/>
      <c r="BF37" s="58"/>
      <c r="BG37" s="58"/>
      <c r="BH37" s="58"/>
      <c r="BI37" s="58"/>
      <c r="BJ37" s="58"/>
      <c r="BK37" s="58"/>
      <c r="BL37" s="58"/>
      <c r="BM37" s="58"/>
      <c r="BN37" s="58"/>
      <c r="BO37" s="58"/>
      <c r="BP37" s="58"/>
      <c r="BQ37" s="58"/>
      <c r="BR37" s="58"/>
      <c r="BS37" s="58"/>
      <c r="BT37" s="58"/>
      <c r="BU37" s="58"/>
      <c r="BV37" s="58"/>
      <c r="BW37" s="58"/>
      <c r="BX37" s="58"/>
      <c r="BY37" s="58"/>
      <c r="BZ37" s="58"/>
      <c r="CA37" s="58"/>
      <c r="CB37" s="58"/>
      <c r="CC37" s="58"/>
      <c r="CD37" s="58"/>
      <c r="CE37" s="58"/>
      <c r="CF37" s="58"/>
      <c r="CG37" s="58"/>
      <c r="CH37" s="58"/>
      <c r="CI37" s="58"/>
      <c r="CJ37" s="58"/>
      <c r="CK37" s="58"/>
    </row>
    <row r="38" spans="1:89" x14ac:dyDescent="0.3">
      <c r="A38" t="s">
        <v>111</v>
      </c>
      <c r="D38" s="200">
        <f>IFERROR(($B$3*BY3)+($B$4*BY4)+($B$5*BY5)+($B$6*BY6)+($B$7*BY7)+($B$8*BY8)+($B$9*BY9)+($B$10*BY10)+($B$11*BY11)+($B$12*BY12)+($B$13*BY13)+($B$14*BY14)+($B$15*BY15)+($B$16*BY16)+($B$17*BY17)+($B$18*BY18)+($B$19*BY19)+($B$20*BY20)+($B$21*BY21)+($B$22*BY22)+($B$23*BY23)+($B$24*BY24)+($B$25*BY25)+($B$26*BY26)+($B$27*BY27),0)</f>
        <v>0</v>
      </c>
      <c r="E38" s="200">
        <f t="shared" ref="E38:P38" si="158">IFERROR(($B$3*BZ3)+($B$4*BZ4)+($B$5*BZ5)+($B$6*BZ6)+($B$7*BZ7)+($B$8*BZ8)+($B$9*BZ9)+($B$10*BZ10)+($B$11*BZ11)+($B$12*BZ12)+($B$13*BZ13)+($B$14*BZ14)+($B$15*BZ15)+($B$16*BZ16)+($B$17*BZ17)+($B$18*BZ18)+($B$19*BZ19)+($B$20*BZ20)+($B$21*BZ21)+($B$22*BZ22)+($B$23*BZ23)+($B$24*BZ24)+($B$25*BZ25)+($B$26*BZ26)+($B$27*BZ27),0)</f>
        <v>0</v>
      </c>
      <c r="F38" s="200">
        <f t="shared" si="158"/>
        <v>0</v>
      </c>
      <c r="G38" s="200">
        <f t="shared" si="158"/>
        <v>0</v>
      </c>
      <c r="H38" s="200">
        <f t="shared" si="158"/>
        <v>0</v>
      </c>
      <c r="I38" s="200">
        <f t="shared" si="158"/>
        <v>0</v>
      </c>
      <c r="J38" s="200">
        <f t="shared" si="158"/>
        <v>0</v>
      </c>
      <c r="K38" s="200">
        <f t="shared" si="158"/>
        <v>0</v>
      </c>
      <c r="L38" s="200">
        <f t="shared" si="158"/>
        <v>0</v>
      </c>
      <c r="M38" s="200">
        <f t="shared" si="158"/>
        <v>0</v>
      </c>
      <c r="N38" s="200">
        <f t="shared" si="158"/>
        <v>0</v>
      </c>
      <c r="O38" s="200">
        <f t="shared" si="158"/>
        <v>0</v>
      </c>
      <c r="P38" s="200">
        <f t="shared" si="158"/>
        <v>0</v>
      </c>
      <c r="Q38" s="200">
        <f t="shared" ref="Q38" si="159">IFERROR(($B$3*CL3)+($B$4*CL4)+($B$5*CL5)+($B$6*CL6)+($B$7*CL7)+($B$8*CL8)+($B$9*CL9)+($B$10*CL10)+($B$11*CL11)+($B$12*CL12)+($B$13*CL13)+($B$14*CL14)+($B$15*CL15)+($B$16*CL16)+($B$17*CL17)+($B$18*CL18)+($B$19*CL19)+($B$20*CL20)+($B$21*CL21)+($B$22*CL22)+($B$23*CL23)+($B$24*CL24)+($B$25*CL25)+($B$26*CL26)+($B$27*CL27),0)</f>
        <v>0</v>
      </c>
      <c r="R38" s="200">
        <f t="shared" ref="R38" si="160">IFERROR(($B$3*CM3)+($B$4*CM4)+($B$5*CM5)+($B$6*CM6)+($B$7*CM7)+($B$8*CM8)+($B$9*CM9)+($B$10*CM10)+($B$11*CM11)+($B$12*CM12)+($B$13*CM13)+($B$14*CM14)+($B$15*CM15)+($B$16*CM16)+($B$17*CM17)+($B$18*CM18)+($B$19*CM19)+($B$20*CM20)+($B$21*CM21)+($B$22*CM22)+($B$23*CM23)+($B$24*CM24)+($B$25*CM25)+($B$26*CM26)+($B$27*CM27),0)</f>
        <v>0</v>
      </c>
      <c r="S38" s="200">
        <f t="shared" ref="S38" si="161">IFERROR(($B$3*CN3)+($B$4*CN4)+($B$5*CN5)+($B$6*CN6)+($B$7*CN7)+($B$8*CN8)+($B$9*CN9)+($B$10*CN10)+($B$11*CN11)+($B$12*CN12)+($B$13*CN13)+($B$14*CN14)+($B$15*CN15)+($B$16*CN16)+($B$17*CN17)+($B$18*CN18)+($B$19*CN19)+($B$20*CN20)+($B$21*CN21)+($B$22*CN22)+($B$23*CN23)+($B$24*CN24)+($B$25*CN25)+($B$26*CN26)+($B$27*CN27),0)</f>
        <v>0</v>
      </c>
      <c r="T38" s="200">
        <f t="shared" ref="T38" si="162">IFERROR(($B$3*CO3)+($B$4*CO4)+($B$5*CO5)+($B$6*CO6)+($B$7*CO7)+($B$8*CO8)+($B$9*CO9)+($B$10*CO10)+($B$11*CO11)+($B$12*CO12)+($B$13*CO13)+($B$14*CO14)+($B$15*CO15)+($B$16*CO16)+($B$17*CO17)+($B$18*CO18)+($B$19*CO19)+($B$20*CO20)+($B$21*CO21)+($B$22*CO22)+($B$23*CO23)+($B$24*CO24)+($B$25*CO25)+($B$26*CO26)+($B$27*CO27),0)</f>
        <v>0</v>
      </c>
      <c r="U38" s="200">
        <f t="shared" ref="U38" si="163">IFERROR(($B$3*CP3)+($B$4*CP4)+($B$5*CP5)+($B$6*CP6)+($B$7*CP7)+($B$8*CP8)+($B$9*CP9)+($B$10*CP10)+($B$11*CP11)+($B$12*CP12)+($B$13*CP13)+($B$14*CP14)+($B$15*CP15)+($B$16*CP16)+($B$17*CP17)+($B$18*CP18)+($B$19*CP19)+($B$20*CP20)+($B$21*CP21)+($B$22*CP22)+($B$23*CP23)+($B$24*CP24)+($B$25*CP25)+($B$26*CP26)+($B$27*CP27),0)</f>
        <v>0</v>
      </c>
      <c r="V38" s="200">
        <f t="shared" ref="V38" si="164">IFERROR(($B$3*CQ3)+($B$4*CQ4)+($B$5*CQ5)+($B$6*CQ6)+($B$7*CQ7)+($B$8*CQ8)+($B$9*CQ9)+($B$10*CQ10)+($B$11*CQ11)+($B$12*CQ12)+($B$13*CQ13)+($B$14*CQ14)+($B$15*CQ15)+($B$16*CQ16)+($B$17*CQ17)+($B$18*CQ18)+($B$19*CQ19)+($B$20*CQ20)+($B$21*CQ21)+($B$22*CQ22)+($B$23*CQ23)+($B$24*CQ24)+($B$25*CQ25)+($B$26*CQ26)+($B$27*CQ27),0)</f>
        <v>0</v>
      </c>
      <c r="W38" s="200">
        <f t="shared" ref="W38" si="165">IFERROR(($B$3*CR3)+($B$4*CR4)+($B$5*CR5)+($B$6*CR6)+($B$7*CR7)+($B$8*CR8)+($B$9*CR9)+($B$10*CR10)+($B$11*CR11)+($B$12*CR12)+($B$13*CR13)+($B$14*CR14)+($B$15*CR15)+($B$16*CR16)+($B$17*CR17)+($B$18*CR18)+($B$19*CR19)+($B$20*CR20)+($B$21*CR21)+($B$22*CR22)+($B$23*CR23)+($B$24*CR24)+($B$25*CR25)+($B$26*CR26)+($B$27*CR27),0)</f>
        <v>0</v>
      </c>
      <c r="X38" s="200">
        <f t="shared" ref="X38" si="166">IFERROR(($B$3*CS3)+($B$4*CS4)+($B$5*CS5)+($B$6*CS6)+($B$7*CS7)+($B$8*CS8)+($B$9*CS9)+($B$10*CS10)+($B$11*CS11)+($B$12*CS12)+($B$13*CS13)+($B$14*CS14)+($B$15*CS15)+($B$16*CS16)+($B$17*CS17)+($B$18*CS18)+($B$19*CS19)+($B$20*CS20)+($B$21*CS21)+($B$22*CS22)+($B$23*CS23)+($B$24*CS24)+($B$25*CS25)+($B$26*CS26)+($B$27*CS27),0)</f>
        <v>0</v>
      </c>
      <c r="Y38" s="200">
        <f t="shared" ref="Y38" si="167">IFERROR(($B$3*CT3)+($B$4*CT4)+($B$5*CT5)+($B$6*CT6)+($B$7*CT7)+($B$8*CT8)+($B$9*CT9)+($B$10*CT10)+($B$11*CT11)+($B$12*CT12)+($B$13*CT13)+($B$14*CT14)+($B$15*CT15)+($B$16*CT16)+($B$17*CT17)+($B$18*CT18)+($B$19*CT19)+($B$20*CT20)+($B$21*CT21)+($B$22*CT22)+($B$23*CT23)+($B$24*CT24)+($B$25*CT25)+($B$26*CT26)+($B$27*CT27),0)</f>
        <v>0</v>
      </c>
      <c r="Z38" s="200">
        <f t="shared" ref="Z38" si="168">IFERROR(($B$3*CU3)+($B$4*CU4)+($B$5*CU5)+($B$6*CU6)+($B$7*CU7)+($B$8*CU8)+($B$9*CU9)+($B$10*CU10)+($B$11*CU11)+($B$12*CU12)+($B$13*CU13)+($B$14*CU14)+($B$15*CU15)+($B$16*CU16)+($B$17*CU17)+($B$18*CU18)+($B$19*CU19)+($B$20*CU20)+($B$21*CU21)+($B$22*CU22)+($B$23*CU23)+($B$24*CU24)+($B$25*CU25)+($B$26*CU26)+($B$27*CU27),0)</f>
        <v>0</v>
      </c>
      <c r="AA38" s="200">
        <f t="shared" ref="AA38" si="169">IFERROR(($B$3*CV3)+($B$4*CV4)+($B$5*CV5)+($B$6*CV6)+($B$7*CV7)+($B$8*CV8)+($B$9*CV9)+($B$10*CV10)+($B$11*CV11)+($B$12*CV12)+($B$13*CV13)+($B$14*CV14)+($B$15*CV15)+($B$16*CV16)+($B$17*CV17)+($B$18*CV18)+($B$19*CV19)+($B$20*CV20)+($B$21*CV21)+($B$22*CV22)+($B$23*CV23)+($B$24*CV24)+($B$25*CV25)+($B$26*CV26)+($B$27*CV27),0)</f>
        <v>0</v>
      </c>
      <c r="AB38" s="200">
        <f t="shared" ref="AB38" si="170">IFERROR(($B$3*CW3)+($B$4*CW4)+($B$5*CW5)+($B$6*CW6)+($B$7*CW7)+($B$8*CW8)+($B$9*CW9)+($B$10*CW10)+($B$11*CW11)+($B$12*CW12)+($B$13*CW13)+($B$14*CW14)+($B$15*CW15)+($B$16*CW16)+($B$17*CW17)+($B$18*CW18)+($B$19*CW19)+($B$20*CW20)+($B$21*CW21)+($B$22*CW22)+($B$23*CW23)+($B$24*CW24)+($B$25*CW25)+($B$26*CW26)+($B$27*CW27),0)</f>
        <v>0</v>
      </c>
      <c r="AC38" s="200">
        <f t="shared" ref="AC38" si="171">IFERROR(($B$3*CX3)+($B$4*CX4)+($B$5*CX5)+($B$6*CX6)+($B$7*CX7)+($B$8*CX8)+($B$9*CX9)+($B$10*CX10)+($B$11*CX11)+($B$12*CX12)+($B$13*CX13)+($B$14*CX14)+($B$15*CX15)+($B$16*CX16)+($B$17*CX17)+($B$18*CX18)+($B$19*CX19)+($B$20*CX20)+($B$21*CX21)+($B$22*CX22)+($B$23*CX23)+($B$24*CX24)+($B$25*CX25)+($B$26*CX26)+($B$27*CX27),0)</f>
        <v>0</v>
      </c>
      <c r="AD38" s="200">
        <f t="shared" ref="AD38" si="172">IFERROR(($B$3*CY3)+($B$4*CY4)+($B$5*CY5)+($B$6*CY6)+($B$7*CY7)+($B$8*CY8)+($B$9*CY9)+($B$10*CY10)+($B$11*CY11)+($B$12*CY12)+($B$13*CY13)+($B$14*CY14)+($B$15*CY15)+($B$16*CY16)+($B$17*CY17)+($B$18*CY18)+($B$19*CY19)+($B$20*CY20)+($B$21*CY21)+($B$22*CY22)+($B$23*CY23)+($B$24*CY24)+($B$25*CY25)+($B$26*CY26)+($B$27*CY27),0)</f>
        <v>0</v>
      </c>
      <c r="AE38" s="200">
        <f t="shared" ref="AE38" si="173">IFERROR(($B$3*CZ3)+($B$4*CZ4)+($B$5*CZ5)+($B$6*CZ6)+($B$7*CZ7)+($B$8*CZ8)+($B$9*CZ9)+($B$10*CZ10)+($B$11*CZ11)+($B$12*CZ12)+($B$13*CZ13)+($B$14*CZ14)+($B$15*CZ15)+($B$16*CZ16)+($B$17*CZ17)+($B$18*CZ18)+($B$19*CZ19)+($B$20*CZ20)+($B$21*CZ21)+($B$22*CZ22)+($B$23*CZ23)+($B$24*CZ24)+($B$25*CZ25)+($B$26*CZ26)+($B$27*CZ27),0)</f>
        <v>0</v>
      </c>
      <c r="AF38" s="200">
        <f t="shared" ref="AF38" si="174">IFERROR(($B$3*DA3)+($B$4*DA4)+($B$5*DA5)+($B$6*DA6)+($B$7*DA7)+($B$8*DA8)+($B$9*DA9)+($B$10*DA10)+($B$11*DA11)+($B$12*DA12)+($B$13*DA13)+($B$14*DA14)+($B$15*DA15)+($B$16*DA16)+($B$17*DA17)+($B$18*DA18)+($B$19*DA19)+($B$20*DA20)+($B$21*DA21)+($B$22*DA22)+($B$23*DA23)+($B$24*DA24)+($B$25*DA25)+($B$26*DA26)+($B$27*DA27),0)</f>
        <v>0</v>
      </c>
      <c r="AG38" s="200">
        <f t="shared" ref="AG38" si="175">IFERROR(($B$3*DB3)+($B$4*DB4)+($B$5*DB5)+($B$6*DB6)+($B$7*DB7)+($B$8*DB8)+($B$9*DB9)+($B$10*DB10)+($B$11*DB11)+($B$12*DB12)+($B$13*DB13)+($B$14*DB14)+($B$15*DB15)+($B$16*DB16)+($B$17*DB17)+($B$18*DB18)+($B$19*DB19)+($B$20*DB20)+($B$21*DB21)+($B$22*DB22)+($B$23*DB23)+($B$24*DB24)+($B$25*DB25)+($B$26*DB26)+($B$27*DB27),0)</f>
        <v>0</v>
      </c>
      <c r="AH38" s="200">
        <f t="shared" ref="AH38" si="176">IFERROR(($B$3*DC3)+($B$4*DC4)+($B$5*DC5)+($B$6*DC6)+($B$7*DC7)+($B$8*DC8)+($B$9*DC9)+($B$10*DC10)+($B$11*DC11)+($B$12*DC12)+($B$13*DC13)+($B$14*DC14)+($B$15*DC15)+($B$16*DC16)+($B$17*DC17)+($B$18*DC18)+($B$19*DC19)+($B$20*DC20)+($B$21*DC21)+($B$22*DC22)+($B$23*DC23)+($B$24*DC24)+($B$25*DC25)+($B$26*DC26)+($B$27*DC27),0)</f>
        <v>0</v>
      </c>
      <c r="AI38" s="200">
        <f t="shared" ref="AI38" si="177">IFERROR(($B$3*DD3)+($B$4*DD4)+($B$5*DD5)+($B$6*DD6)+($B$7*DD7)+($B$8*DD8)+($B$9*DD9)+($B$10*DD10)+($B$11*DD11)+($B$12*DD12)+($B$13*DD13)+($B$14*DD14)+($B$15*DD15)+($B$16*DD16)+($B$17*DD17)+($B$18*DD18)+($B$19*DD19)+($B$20*DD20)+($B$21*DD21)+($B$22*DD22)+($B$23*DD23)+($B$24*DD24)+($B$25*DD25)+($B$26*DD26)+($B$27*DD27),0)</f>
        <v>0</v>
      </c>
      <c r="AJ38" s="200">
        <f t="shared" ref="AJ38" si="178">IFERROR(($B$3*DE3)+($B$4*DE4)+($B$5*DE5)+($B$6*DE6)+($B$7*DE7)+($B$8*DE8)+($B$9*DE9)+($B$10*DE10)+($B$11*DE11)+($B$12*DE12)+($B$13*DE13)+($B$14*DE14)+($B$15*DE15)+($B$16*DE16)+($B$17*DE17)+($B$18*DE18)+($B$19*DE19)+($B$20*DE20)+($B$21*DE21)+($B$22*DE22)+($B$23*DE23)+($B$24*DE24)+($B$25*DE25)+($B$26*DE26)+($B$27*DE27),0)</f>
        <v>0</v>
      </c>
      <c r="AK38" s="200">
        <f t="shared" ref="AK38" si="179">IFERROR(($B$3*DF3)+($B$4*DF4)+($B$5*DF5)+($B$6*DF6)+($B$7*DF7)+($B$8*DF8)+($B$9*DF9)+($B$10*DF10)+($B$11*DF11)+($B$12*DF12)+($B$13*DF13)+($B$14*DF14)+($B$15*DF15)+($B$16*DF16)+($B$17*DF17)+($B$18*DF18)+($B$19*DF19)+($B$20*DF20)+($B$21*DF21)+($B$22*DF22)+($B$23*DF23)+($B$24*DF24)+($B$25*DF25)+($B$26*DF26)+($B$27*DF27),0)</f>
        <v>0</v>
      </c>
      <c r="AL38" s="200">
        <f t="shared" ref="AL38" si="180">IFERROR(($B$3*DG3)+($B$4*DG4)+($B$5*DG5)+($B$6*DG6)+($B$7*DG7)+($B$8*DG8)+($B$9*DG9)+($B$10*DG10)+($B$11*DG11)+($B$12*DG12)+($B$13*DG13)+($B$14*DG14)+($B$15*DG15)+($B$16*DG16)+($B$17*DG17)+($B$18*DG18)+($B$19*DG19)+($B$20*DG20)+($B$21*DG21)+($B$22*DG22)+($B$23*DG23)+($B$24*DG24)+($B$25*DG25)+($B$26*DG26)+($B$27*DG27),0)</f>
        <v>0</v>
      </c>
      <c r="AM38" s="200">
        <f t="shared" ref="AM38" si="181">IFERROR(($B$3*DH3)+($B$4*DH4)+($B$5*DH5)+($B$6*DH6)+($B$7*DH7)+($B$8*DH8)+($B$9*DH9)+($B$10*DH10)+($B$11*DH11)+($B$12*DH12)+($B$13*DH13)+($B$14*DH14)+($B$15*DH15)+($B$16*DH16)+($B$17*DH17)+($B$18*DH18)+($B$19*DH19)+($B$20*DH20)+($B$21*DH21)+($B$22*DH22)+($B$23*DH23)+($B$24*DH24)+($B$25*DH25)+($B$26*DH26)+($B$27*DH27),0)</f>
        <v>0</v>
      </c>
      <c r="AN38" s="200">
        <f t="shared" ref="AN38" si="182">IFERROR(($B$3*DI3)+($B$4*DI4)+($B$5*DI5)+($B$6*DI6)+($B$7*DI7)+($B$8*DI8)+($B$9*DI9)+($B$10*DI10)+($B$11*DI11)+($B$12*DI12)+($B$13*DI13)+($B$14*DI14)+($B$15*DI15)+($B$16*DI16)+($B$17*DI17)+($B$18*DI18)+($B$19*DI19)+($B$20*DI20)+($B$21*DI21)+($B$22*DI22)+($B$23*DI23)+($B$24*DI24)+($B$25*DI25)+($B$26*DI26)+($B$27*DI27),0)</f>
        <v>0</v>
      </c>
      <c r="AO38" s="200">
        <f t="shared" ref="AO38" si="183">IFERROR(($B$3*DJ3)+($B$4*DJ4)+($B$5*DJ5)+($B$6*DJ6)+($B$7*DJ7)+($B$8*DJ8)+($B$9*DJ9)+($B$10*DJ10)+($B$11*DJ11)+($B$12*DJ12)+($B$13*DJ13)+($B$14*DJ14)+($B$15*DJ15)+($B$16*DJ16)+($B$17*DJ17)+($B$18*DJ18)+($B$19*DJ19)+($B$20*DJ20)+($B$21*DJ21)+($B$22*DJ22)+($B$23*DJ23)+($B$24*DJ24)+($B$25*DJ25)+($B$26*DJ26)+($B$27*DJ27),0)</f>
        <v>0</v>
      </c>
      <c r="AP38" s="200">
        <f t="shared" ref="AP38" si="184">IFERROR(($B$3*DK3)+($B$4*DK4)+($B$5*DK5)+($B$6*DK6)+($B$7*DK7)+($B$8*DK8)+($B$9*DK9)+($B$10*DK10)+($B$11*DK11)+($B$12*DK12)+($B$13*DK13)+($B$14*DK14)+($B$15*DK15)+($B$16*DK16)+($B$17*DK17)+($B$18*DK18)+($B$19*DK19)+($B$20*DK20)+($B$21*DK21)+($B$22*DK22)+($B$23*DK23)+($B$24*DK24)+($B$25*DK25)+($B$26*DK26)+($B$27*DK27),0)</f>
        <v>0</v>
      </c>
      <c r="AQ38" s="200">
        <f t="shared" ref="AQ38" si="185">IFERROR(($B$3*DL3)+($B$4*DL4)+($B$5*DL5)+($B$6*DL6)+($B$7*DL7)+($B$8*DL8)+($B$9*DL9)+($B$10*DL10)+($B$11*DL11)+($B$12*DL12)+($B$13*DL13)+($B$14*DL14)+($B$15*DL15)+($B$16*DL16)+($B$17*DL17)+($B$18*DL18)+($B$19*DL19)+($B$20*DL20)+($B$21*DL21)+($B$22*DL22)+($B$23*DL23)+($B$24*DL24)+($B$25*DL25)+($B$26*DL26)+($B$27*DL27),0)</f>
        <v>0</v>
      </c>
      <c r="AR38" s="200">
        <f t="shared" ref="AR38" si="186">IFERROR(($B$3*DM3)+($B$4*DM4)+($B$5*DM5)+($B$6*DM6)+($B$7*DM7)+($B$8*DM8)+($B$9*DM9)+($B$10*DM10)+($B$11*DM11)+($B$12*DM12)+($B$13*DM13)+($B$14*DM14)+($B$15*DM15)+($B$16*DM16)+($B$17*DM17)+($B$18*DM18)+($B$19*DM19)+($B$20*DM20)+($B$21*DM21)+($B$22*DM22)+($B$23*DM23)+($B$24*DM24)+($B$25*DM25)+($B$26*DM26)+($B$27*DM27),0)</f>
        <v>0</v>
      </c>
      <c r="AS38" s="200">
        <f t="shared" ref="AS38" si="187">IFERROR(($B$3*DN3)+($B$4*DN4)+($B$5*DN5)+($B$6*DN6)+($B$7*DN7)+($B$8*DN8)+($B$9*DN9)+($B$10*DN10)+($B$11*DN11)+($B$12*DN12)+($B$13*DN13)+($B$14*DN14)+($B$15*DN15)+($B$16*DN16)+($B$17*DN17)+($B$18*DN18)+($B$19*DN19)+($B$20*DN20)+($B$21*DN21)+($B$22*DN22)+($B$23*DN23)+($B$24*DN24)+($B$25*DN25)+($B$26*DN26)+($B$27*DN27),0)</f>
        <v>0</v>
      </c>
      <c r="AT38" s="200">
        <f t="shared" ref="AT38" si="188">IFERROR(($B$3*DO3)+($B$4*DO4)+($B$5*DO5)+($B$6*DO6)+($B$7*DO7)+($B$8*DO8)+($B$9*DO9)+($B$10*DO10)+($B$11*DO11)+($B$12*DO12)+($B$13*DO13)+($B$14*DO14)+($B$15*DO15)+($B$16*DO16)+($B$17*DO17)+($B$18*DO18)+($B$19*DO19)+($B$20*DO20)+($B$21*DO21)+($B$22*DO22)+($B$23*DO23)+($B$24*DO24)+($B$25*DO25)+($B$26*DO26)+($B$27*DO27),0)</f>
        <v>0</v>
      </c>
      <c r="AU38" s="200">
        <f t="shared" ref="AU38" si="189">IFERROR(($B$3*DP3)+($B$4*DP4)+($B$5*DP5)+($B$6*DP6)+($B$7*DP7)+($B$8*DP8)+($B$9*DP9)+($B$10*DP10)+($B$11*DP11)+($B$12*DP12)+($B$13*DP13)+($B$14*DP14)+($B$15*DP15)+($B$16*DP16)+($B$17*DP17)+($B$18*DP18)+($B$19*DP19)+($B$20*DP20)+($B$21*DP21)+($B$22*DP22)+($B$23*DP23)+($B$24*DP24)+($B$25*DP25)+($B$26*DP26)+($B$27*DP27),0)</f>
        <v>0</v>
      </c>
      <c r="AV38" s="200">
        <f t="shared" ref="AV38" si="190">IFERROR(($B$3*DQ3)+($B$4*DQ4)+($B$5*DQ5)+($B$6*DQ6)+($B$7*DQ7)+($B$8*DQ8)+($B$9*DQ9)+($B$10*DQ10)+($B$11*DQ11)+($B$12*DQ12)+($B$13*DQ13)+($B$14*DQ14)+($B$15*DQ15)+($B$16*DQ16)+($B$17*DQ17)+($B$18*DQ18)+($B$19*DQ19)+($B$20*DQ20)+($B$21*DQ21)+($B$22*DQ22)+($B$23*DQ23)+($B$24*DQ24)+($B$25*DQ25)+($B$26*DQ26)+($B$27*DQ27),0)</f>
        <v>0</v>
      </c>
      <c r="AW38" s="200">
        <f t="shared" ref="AW38" si="191">IFERROR(($B$3*DR3)+($B$4*DR4)+($B$5*DR5)+($B$6*DR6)+($B$7*DR7)+($B$8*DR8)+($B$9*DR9)+($B$10*DR10)+($B$11*DR11)+($B$12*DR12)+($B$13*DR13)+($B$14*DR14)+($B$15*DR15)+($B$16*DR16)+($B$17*DR17)+($B$18*DR18)+($B$19*DR19)+($B$20*DR20)+($B$21*DR21)+($B$22*DR22)+($B$23*DR23)+($B$24*DR24)+($B$25*DR25)+($B$26*DR26)+($B$27*DR27),0)</f>
        <v>0</v>
      </c>
      <c r="AX38" s="200">
        <f t="shared" ref="AX38" si="192">IFERROR(($B$3*DS3)+($B$4*DS4)+($B$5*DS5)+($B$6*DS6)+($B$7*DS7)+($B$8*DS8)+($B$9*DS9)+($B$10*DS10)+($B$11*DS11)+($B$12*DS12)+($B$13*DS13)+($B$14*DS14)+($B$15*DS15)+($B$16*DS16)+($B$17*DS17)+($B$18*DS18)+($B$19*DS19)+($B$20*DS20)+($B$21*DS21)+($B$22*DS22)+($B$23*DS23)+($B$24*DS24)+($B$25*DS25)+($B$26*DS26)+($B$27*DS27),0)</f>
        <v>0</v>
      </c>
      <c r="AY38" s="200">
        <f t="shared" ref="AY38" si="193">IFERROR(($B$3*DT3)+($B$4*DT4)+($B$5*DT5)+($B$6*DT6)+($B$7*DT7)+($B$8*DT8)+($B$9*DT9)+($B$10*DT10)+($B$11*DT11)+($B$12*DT12)+($B$13*DT13)+($B$14*DT14)+($B$15*DT15)+($B$16*DT16)+($B$17*DT17)+($B$18*DT18)+($B$19*DT19)+($B$20*DT20)+($B$21*DT21)+($B$22*DT22)+($B$23*DT23)+($B$24*DT24)+($B$25*DT25)+($B$26*DT26)+($B$27*DT27),0)</f>
        <v>0</v>
      </c>
      <c r="AZ38" s="200">
        <f t="shared" ref="AZ38" si="194">IFERROR(($B$3*DU3)+($B$4*DU4)+($B$5*DU5)+($B$6*DU6)+($B$7*DU7)+($B$8*DU8)+($B$9*DU9)+($B$10*DU10)+($B$11*DU11)+($B$12*DU12)+($B$13*DU13)+($B$14*DU14)+($B$15*DU15)+($B$16*DU16)+($B$17*DU17)+($B$18*DU18)+($B$19*DU19)+($B$20*DU20)+($B$21*DU21)+($B$22*DU22)+($B$23*DU23)+($B$24*DU24)+($B$25*DU25)+($B$26*DU26)+($B$27*DU27),0)</f>
        <v>0</v>
      </c>
      <c r="BA38" s="200">
        <f t="shared" ref="BA38" si="195">IFERROR(($B$3*DV3)+($B$4*DV4)+($B$5*DV5)+($B$6*DV6)+($B$7*DV7)+($B$8*DV8)+($B$9*DV9)+($B$10*DV10)+($B$11*DV11)+($B$12*DV12)+($B$13*DV13)+($B$14*DV14)+($B$15*DV15)+($B$16*DV16)+($B$17*DV17)+($B$18*DV18)+($B$19*DV19)+($B$20*DV20)+($B$21*DV21)+($B$22*DV22)+($B$23*DV23)+($B$24*DV24)+($B$25*DV25)+($B$26*DV26)+($B$27*DV27),0)</f>
        <v>0</v>
      </c>
      <c r="BB38" s="200">
        <f t="shared" ref="BB38" si="196">IFERROR(($B$3*DW3)+($B$4*DW4)+($B$5*DW5)+($B$6*DW6)+($B$7*DW7)+($B$8*DW8)+($B$9*DW9)+($B$10*DW10)+($B$11*DW11)+($B$12*DW12)+($B$13*DW13)+($B$14*DW14)+($B$15*DW15)+($B$16*DW16)+($B$17*DW17)+($B$18*DW18)+($B$19*DW19)+($B$20*DW20)+($B$21*DW21)+($B$22*DW22)+($B$23*DW23)+($B$24*DW24)+($B$25*DW25)+($B$26*DW26)+($B$27*DW27),0)</f>
        <v>0</v>
      </c>
      <c r="BC38" s="200">
        <f t="shared" ref="BC38" si="197">IFERROR(($B$3*DX3)+($B$4*DX4)+($B$5*DX5)+($B$6*DX6)+($B$7*DX7)+($B$8*DX8)+($B$9*DX9)+($B$10*DX10)+($B$11*DX11)+($B$12*DX12)+($B$13*DX13)+($B$14*DX14)+($B$15*DX15)+($B$16*DX16)+($B$17*DX17)+($B$18*DX18)+($B$19*DX19)+($B$20*DX20)+($B$21*DX21)+($B$22*DX22)+($B$23*DX23)+($B$24*DX24)+($B$25*DX25)+($B$26*DX26)+($B$27*DX27),0)</f>
        <v>0</v>
      </c>
      <c r="BD38" s="200">
        <f t="shared" ref="BD38" si="198">IFERROR(($B$3*DY3)+($B$4*DY4)+($B$5*DY5)+($B$6*DY6)+($B$7*DY7)+($B$8*DY8)+($B$9*DY9)+($B$10*DY10)+($B$11*DY11)+($B$12*DY12)+($B$13*DY13)+($B$14*DY14)+($B$15*DY15)+($B$16*DY16)+($B$17*DY17)+($B$18*DY18)+($B$19*DY19)+($B$20*DY20)+($B$21*DY21)+($B$22*DY22)+($B$23*DY23)+($B$24*DY24)+($B$25*DY25)+($B$26*DY26)+($B$27*DY27),0)</f>
        <v>0</v>
      </c>
      <c r="BE38" s="200">
        <f t="shared" ref="BE38" si="199">IFERROR(($B$3*DZ3)+($B$4*DZ4)+($B$5*DZ5)+($B$6*DZ6)+($B$7*DZ7)+($B$8*DZ8)+($B$9*DZ9)+($B$10*DZ10)+($B$11*DZ11)+($B$12*DZ12)+($B$13*DZ13)+($B$14*DZ14)+($B$15*DZ15)+($B$16*DZ16)+($B$17*DZ17)+($B$18*DZ18)+($B$19*DZ19)+($B$20*DZ20)+($B$21*DZ21)+($B$22*DZ22)+($B$23*DZ23)+($B$24*DZ24)+($B$25*DZ25)+($B$26*DZ26)+($B$27*DZ27),0)</f>
        <v>0</v>
      </c>
      <c r="BF38" s="200">
        <f t="shared" ref="BF38" si="200">IFERROR(($B$3*EA3)+($B$4*EA4)+($B$5*EA5)+($B$6*EA6)+($B$7*EA7)+($B$8*EA8)+($B$9*EA9)+($B$10*EA10)+($B$11*EA11)+($B$12*EA12)+($B$13*EA13)+($B$14*EA14)+($B$15*EA15)+($B$16*EA16)+($B$17*EA17)+($B$18*EA18)+($B$19*EA19)+($B$20*EA20)+($B$21*EA21)+($B$22*EA22)+($B$23*EA23)+($B$24*EA24)+($B$25*EA25)+($B$26*EA26)+($B$27*EA27),0)</f>
        <v>0</v>
      </c>
      <c r="BG38" s="200">
        <f t="shared" ref="BG38" si="201">IFERROR(($B$3*EB3)+($B$4*EB4)+($B$5*EB5)+($B$6*EB6)+($B$7*EB7)+($B$8*EB8)+($B$9*EB9)+($B$10*EB10)+($B$11*EB11)+($B$12*EB12)+($B$13*EB13)+($B$14*EB14)+($B$15*EB15)+($B$16*EB16)+($B$17*EB17)+($B$18*EB18)+($B$19*EB19)+($B$20*EB20)+($B$21*EB21)+($B$22*EB22)+($B$23*EB23)+($B$24*EB24)+($B$25*EB25)+($B$26*EB26)+($B$27*EB27),0)</f>
        <v>0</v>
      </c>
      <c r="BH38" s="200">
        <f t="shared" ref="BH38" si="202">IFERROR(($B$3*EC3)+($B$4*EC4)+($B$5*EC5)+($B$6*EC6)+($B$7*EC7)+($B$8*EC8)+($B$9*EC9)+($B$10*EC10)+($B$11*EC11)+($B$12*EC12)+($B$13*EC13)+($B$14*EC14)+($B$15*EC15)+($B$16*EC16)+($B$17*EC17)+($B$18*EC18)+($B$19*EC19)+($B$20*EC20)+($B$21*EC21)+($B$22*EC22)+($B$23*EC23)+($B$24*EC24)+($B$25*EC25)+($B$26*EC26)+($B$27*EC27),0)</f>
        <v>0</v>
      </c>
      <c r="BI38" s="200">
        <f t="shared" ref="BI38" si="203">IFERROR(($B$3*ED3)+($B$4*ED4)+($B$5*ED5)+($B$6*ED6)+($B$7*ED7)+($B$8*ED8)+($B$9*ED9)+($B$10*ED10)+($B$11*ED11)+($B$12*ED12)+($B$13*ED13)+($B$14*ED14)+($B$15*ED15)+($B$16*ED16)+($B$17*ED17)+($B$18*ED18)+($B$19*ED19)+($B$20*ED20)+($B$21*ED21)+($B$22*ED22)+($B$23*ED23)+($B$24*ED24)+($B$25*ED25)+($B$26*ED26)+($B$27*ED27),0)</f>
        <v>0</v>
      </c>
      <c r="BJ38" s="200">
        <f t="shared" ref="BJ38" si="204">IFERROR(($B$3*EE3)+($B$4*EE4)+($B$5*EE5)+($B$6*EE6)+($B$7*EE7)+($B$8*EE8)+($B$9*EE9)+($B$10*EE10)+($B$11*EE11)+($B$12*EE12)+($B$13*EE13)+($B$14*EE14)+($B$15*EE15)+($B$16*EE16)+($B$17*EE17)+($B$18*EE18)+($B$19*EE19)+($B$20*EE20)+($B$21*EE21)+($B$22*EE22)+($B$23*EE23)+($B$24*EE24)+($B$25*EE25)+($B$26*EE26)+($B$27*EE27),0)</f>
        <v>0</v>
      </c>
      <c r="BK38" s="200">
        <f t="shared" ref="BK38" si="205">IFERROR(($B$3*EF3)+($B$4*EF4)+($B$5*EF5)+($B$6*EF6)+($B$7*EF7)+($B$8*EF8)+($B$9*EF9)+($B$10*EF10)+($B$11*EF11)+($B$12*EF12)+($B$13*EF13)+($B$14*EF14)+($B$15*EF15)+($B$16*EF16)+($B$17*EF17)+($B$18*EF18)+($B$19*EF19)+($B$20*EF20)+($B$21*EF21)+($B$22*EF22)+($B$23*EF23)+($B$24*EF24)+($B$25*EF25)+($B$26*EF26)+($B$27*EF27),0)</f>
        <v>0</v>
      </c>
      <c r="BL38" s="200">
        <f t="shared" ref="BL38" si="206">IFERROR(($B$3*EG3)+($B$4*EG4)+($B$5*EG5)+($B$6*EG6)+($B$7*EG7)+($B$8*EG8)+($B$9*EG9)+($B$10*EG10)+($B$11*EG11)+($B$12*EG12)+($B$13*EG13)+($B$14*EG14)+($B$15*EG15)+($B$16*EG16)+($B$17*EG17)+($B$18*EG18)+($B$19*EG19)+($B$20*EG20)+($B$21*EG21)+($B$22*EG22)+($B$23*EG23)+($B$24*EG24)+($B$25*EG25)+($B$26*EG26)+($B$27*EG27),0)</f>
        <v>0</v>
      </c>
      <c r="BM38" s="200">
        <f t="shared" ref="BM38" si="207">IFERROR(($B$3*EH3)+($B$4*EH4)+($B$5*EH5)+($B$6*EH6)+($B$7*EH7)+($B$8*EH8)+($B$9*EH9)+($B$10*EH10)+($B$11*EH11)+($B$12*EH12)+($B$13*EH13)+($B$14*EH14)+($B$15*EH15)+($B$16*EH16)+($B$17*EH17)+($B$18*EH18)+($B$19*EH19)+($B$20*EH20)+($B$21*EH21)+($B$22*EH22)+($B$23*EH23)+($B$24*EH24)+($B$25*EH25)+($B$26*EH26)+($B$27*EH27),0)</f>
        <v>0</v>
      </c>
      <c r="BN38" s="200">
        <f t="shared" ref="BN38" si="208">IFERROR(($B$3*EI3)+($B$4*EI4)+($B$5*EI5)+($B$6*EI6)+($B$7*EI7)+($B$8*EI8)+($B$9*EI9)+($B$10*EI10)+($B$11*EI11)+($B$12*EI12)+($B$13*EI13)+($B$14*EI14)+($B$15*EI15)+($B$16*EI16)+($B$17*EI17)+($B$18*EI18)+($B$19*EI19)+($B$20*EI20)+($B$21*EI21)+($B$22*EI22)+($B$23*EI23)+($B$24*EI24)+($B$25*EI25)+($B$26*EI26)+($B$27*EI27),0)</f>
        <v>0</v>
      </c>
      <c r="BO38" s="200">
        <f t="shared" ref="BO38" si="209">IFERROR(($B$3*EJ3)+($B$4*EJ4)+($B$5*EJ5)+($B$6*EJ6)+($B$7*EJ7)+($B$8*EJ8)+($B$9*EJ9)+($B$10*EJ10)+($B$11*EJ11)+($B$12*EJ12)+($B$13*EJ13)+($B$14*EJ14)+($B$15*EJ15)+($B$16*EJ16)+($B$17*EJ17)+($B$18*EJ18)+($B$19*EJ19)+($B$20*EJ20)+($B$21*EJ21)+($B$22*EJ22)+($B$23*EJ23)+($B$24*EJ24)+($B$25*EJ25)+($B$26*EJ26)+($B$27*EJ27),0)</f>
        <v>0</v>
      </c>
      <c r="BP38" s="200">
        <f t="shared" ref="BP38" si="210">IFERROR(($B$3*EK3)+($B$4*EK4)+($B$5*EK5)+($B$6*EK6)+($B$7*EK7)+($B$8*EK8)+($B$9*EK9)+($B$10*EK10)+($B$11*EK11)+($B$12*EK12)+($B$13*EK13)+($B$14*EK14)+($B$15*EK15)+($B$16*EK16)+($B$17*EK17)+($B$18*EK18)+($B$19*EK19)+($B$20*EK20)+($B$21*EK21)+($B$22*EK22)+($B$23*EK23)+($B$24*EK24)+($B$25*EK25)+($B$26*EK26)+($B$27*EK27),0)</f>
        <v>0</v>
      </c>
      <c r="BQ38" s="200">
        <f t="shared" ref="BQ38" si="211">IFERROR(($B$3*EL3)+($B$4*EL4)+($B$5*EL5)+($B$6*EL6)+($B$7*EL7)+($B$8*EL8)+($B$9*EL9)+($B$10*EL10)+($B$11*EL11)+($B$12*EL12)+($B$13*EL13)+($B$14*EL14)+($B$15*EL15)+($B$16*EL16)+($B$17*EL17)+($B$18*EL18)+($B$19*EL19)+($B$20*EL20)+($B$21*EL21)+($B$22*EL22)+($B$23*EL23)+($B$24*EL24)+($B$25*EL25)+($B$26*EL26)+($B$27*EL27),0)</f>
        <v>0</v>
      </c>
      <c r="BR38" s="200">
        <f t="shared" ref="BR38" si="212">IFERROR(($B$3*EM3)+($B$4*EM4)+($B$5*EM5)+($B$6*EM6)+($B$7*EM7)+($B$8*EM8)+($B$9*EM9)+($B$10*EM10)+($B$11*EM11)+($B$12*EM12)+($B$13*EM13)+($B$14*EM14)+($B$15*EM15)+($B$16*EM16)+($B$17*EM17)+($B$18*EM18)+($B$19*EM19)+($B$20*EM20)+($B$21*EM21)+($B$22*EM22)+($B$23*EM23)+($B$24*EM24)+($B$25*EM25)+($B$26*EM26)+($B$27*EM27),0)</f>
        <v>0</v>
      </c>
      <c r="BS38" s="200">
        <f t="shared" ref="BS38" si="213">IFERROR(($B$3*EN3)+($B$4*EN4)+($B$5*EN5)+($B$6*EN6)+($B$7*EN7)+($B$8*EN8)+($B$9*EN9)+($B$10*EN10)+($B$11*EN11)+($B$12*EN12)+($B$13*EN13)+($B$14*EN14)+($B$15*EN15)+($B$16*EN16)+($B$17*EN17)+($B$18*EN18)+($B$19*EN19)+($B$20*EN20)+($B$21*EN21)+($B$22*EN22)+($B$23*EN23)+($B$24*EN24)+($B$25*EN25)+($B$26*EN26)+($B$27*EN27),0)</f>
        <v>0</v>
      </c>
      <c r="BT38" s="200">
        <f t="shared" ref="BT38" si="214">IFERROR(($B$3*EO3)+($B$4*EO4)+($B$5*EO5)+($B$6*EO6)+($B$7*EO7)+($B$8*EO8)+($B$9*EO9)+($B$10*EO10)+($B$11*EO11)+($B$12*EO12)+($B$13*EO13)+($B$14*EO14)+($B$15*EO15)+($B$16*EO16)+($B$17*EO17)+($B$18*EO18)+($B$19*EO19)+($B$20*EO20)+($B$21*EO21)+($B$22*EO22)+($B$23*EO23)+($B$24*EO24)+($B$25*EO25)+($B$26*EO26)+($B$27*EO27),0)</f>
        <v>0</v>
      </c>
      <c r="BU38" s="200">
        <f t="shared" ref="BU38" si="215">IFERROR(($B$3*EP3)+($B$4*EP4)+($B$5*EP5)+($B$6*EP6)+($B$7*EP7)+($B$8*EP8)+($B$9*EP9)+($B$10*EP10)+($B$11*EP11)+($B$12*EP12)+($B$13*EP13)+($B$14*EP14)+($B$15*EP15)+($B$16*EP16)+($B$17*EP17)+($B$18*EP18)+($B$19*EP19)+($B$20*EP20)+($B$21*EP21)+($B$22*EP22)+($B$23*EP23)+($B$24*EP24)+($B$25*EP25)+($B$26*EP26)+($B$27*EP27),0)</f>
        <v>0</v>
      </c>
      <c r="BV38" s="200">
        <f t="shared" ref="BV38" si="216">IFERROR(($B$3*EQ3)+($B$4*EQ4)+($B$5*EQ5)+($B$6*EQ6)+($B$7*EQ7)+($B$8*EQ8)+($B$9*EQ9)+($B$10*EQ10)+($B$11*EQ11)+($B$12*EQ12)+($B$13*EQ13)+($B$14*EQ14)+($B$15*EQ15)+($B$16*EQ16)+($B$17*EQ17)+($B$18*EQ18)+($B$19*EQ19)+($B$20*EQ20)+($B$21*EQ21)+($B$22*EQ22)+($B$23*EQ23)+($B$24*EQ24)+($B$25*EQ25)+($B$26*EQ26)+($B$27*EQ27),0)</f>
        <v>0</v>
      </c>
      <c r="BW38" s="200">
        <f t="shared" ref="BW38" si="217">IFERROR(($B$3*ER3)+($B$4*ER4)+($B$5*ER5)+($B$6*ER6)+($B$7*ER7)+($B$8*ER8)+($B$9*ER9)+($B$10*ER10)+($B$11*ER11)+($B$12*ER12)+($B$13*ER13)+($B$14*ER14)+($B$15*ER15)+($B$16*ER16)+($B$17*ER17)+($B$18*ER18)+($B$19*ER19)+($B$20*ER20)+($B$21*ER21)+($B$22*ER22)+($B$23*ER23)+($B$24*ER24)+($B$25*ER25)+($B$26*ER26)+($B$27*ER27),0)</f>
        <v>0</v>
      </c>
      <c r="BX38" s="58"/>
      <c r="BY38" s="58"/>
      <c r="BZ38" s="58"/>
      <c r="CA38" s="58"/>
      <c r="CB38" s="58"/>
      <c r="CC38" s="58"/>
      <c r="CD38" s="58"/>
      <c r="CE38" s="58"/>
      <c r="CF38" s="58"/>
      <c r="CG38" s="58"/>
      <c r="CH38" s="58"/>
      <c r="CI38" s="58"/>
      <c r="CJ38" s="58"/>
      <c r="CK38" s="5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9DE28-20E8-454C-8A07-5465B1868F19}">
  <sheetPr codeName="Sheet11"/>
  <dimension ref="B2:M27"/>
  <sheetViews>
    <sheetView topLeftCell="B1" workbookViewId="0">
      <selection activeCell="M4" sqref="M4"/>
    </sheetView>
  </sheetViews>
  <sheetFormatPr defaultColWidth="8.88671875" defaultRowHeight="14.4" x14ac:dyDescent="0.3"/>
  <cols>
    <col min="1" max="11" width="8.88671875" style="1"/>
    <col min="12" max="12" width="23.6640625" style="1" bestFit="1" customWidth="1"/>
    <col min="13" max="13" width="14.44140625" style="1" customWidth="1"/>
    <col min="14" max="14" width="11.33203125" style="1" bestFit="1" customWidth="1"/>
    <col min="15" max="20" width="8.88671875" style="1"/>
    <col min="21" max="21" width="23.6640625" style="1" bestFit="1" customWidth="1"/>
    <col min="22" max="22" width="13.6640625" style="1" bestFit="1" customWidth="1"/>
    <col min="23" max="16384" width="8.88671875" style="1"/>
  </cols>
  <sheetData>
    <row r="2" spans="2:13" x14ac:dyDescent="0.3">
      <c r="B2" s="1">
        <v>46</v>
      </c>
      <c r="L2" s="434" t="s">
        <v>147</v>
      </c>
      <c r="M2" s="434" t="s">
        <v>166</v>
      </c>
    </row>
    <row r="3" spans="2:13" x14ac:dyDescent="0.3">
      <c r="L3" s="100" t="s">
        <v>114</v>
      </c>
      <c r="M3" s="102" t="e">
        <f>VLOOKUP('YoY Assets'!L3,'YoY WAR'!$A$1:$BW$27,MATCH($B$2,'YoY WAR'!$D$1:$BW$1,0)+3,FALSE)</f>
        <v>#N/A</v>
      </c>
    </row>
    <row r="4" spans="2:13" x14ac:dyDescent="0.3">
      <c r="L4" s="100" t="s">
        <v>115</v>
      </c>
      <c r="M4" s="102" t="e">
        <f>VLOOKUP('YoY Assets'!L4,'YoY WAR'!$A$1:$BW$27,MATCH($B$2,'YoY WAR'!$D$1:$BW$1,0)+3,FALSE)</f>
        <v>#N/A</v>
      </c>
    </row>
    <row r="5" spans="2:13" x14ac:dyDescent="0.3">
      <c r="L5" s="100" t="s">
        <v>117</v>
      </c>
      <c r="M5" s="102" t="e">
        <f>VLOOKUP('YoY Assets'!L5,'YoY WAR'!$A$1:$BW$27,MATCH($B$2,'YoY WAR'!$D$1:$BW$1,0)+3,FALSE)</f>
        <v>#N/A</v>
      </c>
    </row>
    <row r="6" spans="2:13" x14ac:dyDescent="0.3">
      <c r="L6" s="100" t="s">
        <v>119</v>
      </c>
      <c r="M6" s="102" t="e">
        <f>VLOOKUP('YoY Assets'!L6,'YoY WAR'!$A$1:$BW$27,MATCH($B$2,'YoY WAR'!$D$1:$BW$1,0)+3,FALSE)</f>
        <v>#N/A</v>
      </c>
    </row>
    <row r="7" spans="2:13" x14ac:dyDescent="0.3">
      <c r="L7" s="100" t="s">
        <v>121</v>
      </c>
      <c r="M7" s="102" t="e">
        <f>VLOOKUP('YoY Assets'!L7,'YoY WAR'!$A$1:$BW$27,MATCH($B$2,'YoY WAR'!$D$1:$BW$1,0)+3,FALSE)</f>
        <v>#N/A</v>
      </c>
    </row>
    <row r="8" spans="2:13" x14ac:dyDescent="0.3">
      <c r="L8" s="100" t="s">
        <v>152</v>
      </c>
      <c r="M8" s="102" t="e">
        <f>VLOOKUP('YoY Assets'!L8,'YoY WAR'!$A$1:$BW$27,MATCH($B$2,'YoY WAR'!$D$1:$BW$1,0)+3,FALSE)</f>
        <v>#N/A</v>
      </c>
    </row>
    <row r="9" spans="2:13" x14ac:dyDescent="0.3">
      <c r="L9" s="100" t="s">
        <v>153</v>
      </c>
      <c r="M9" s="102" t="e">
        <f>VLOOKUP('YoY Assets'!L9,'YoY WAR'!$A$1:$BW$27,MATCH($B$2,'YoY WAR'!$D$1:$BW$1,0)+3,FALSE)</f>
        <v>#N/A</v>
      </c>
    </row>
    <row r="10" spans="2:13" x14ac:dyDescent="0.3">
      <c r="L10" s="100" t="s">
        <v>126</v>
      </c>
      <c r="M10" s="102" t="e">
        <f>VLOOKUP('YoY Assets'!L10,'YoY WAR'!$A$1:$BW$27,MATCH($B$2,'YoY WAR'!$D$1:$BW$1,0)+3,FALSE)</f>
        <v>#N/A</v>
      </c>
    </row>
    <row r="11" spans="2:13" x14ac:dyDescent="0.3">
      <c r="L11" s="100" t="s">
        <v>128</v>
      </c>
      <c r="M11" s="102" t="e">
        <f>VLOOKUP('YoY Assets'!L11,'YoY WAR'!$A$1:$BW$27,MATCH($B$2,'YoY WAR'!$D$1:$BW$1,0)+3,FALSE)</f>
        <v>#N/A</v>
      </c>
    </row>
    <row r="12" spans="2:13" x14ac:dyDescent="0.3">
      <c r="L12" s="100" t="s">
        <v>154</v>
      </c>
      <c r="M12" s="102" t="e">
        <f>VLOOKUP('YoY Assets'!L12,'YoY WAR'!$A$1:$BW$27,MATCH($B$2,'YoY WAR'!$D$1:$BW$1,0)+3,FALSE)</f>
        <v>#N/A</v>
      </c>
    </row>
    <row r="13" spans="2:13" x14ac:dyDescent="0.3">
      <c r="L13" s="100" t="s">
        <v>127</v>
      </c>
      <c r="M13" s="102" t="e">
        <f>VLOOKUP('YoY Assets'!L13,'YoY WAR'!$A$1:$BW$27,MATCH($B$2,'YoY WAR'!$D$1:$BW$1,0)+3,FALSE)</f>
        <v>#N/A</v>
      </c>
    </row>
    <row r="14" spans="2:13" x14ac:dyDescent="0.3">
      <c r="L14" s="100" t="s">
        <v>130</v>
      </c>
      <c r="M14" s="102" t="e">
        <f>VLOOKUP('YoY Assets'!L14,'YoY WAR'!$A$1:$BW$27,MATCH($B$2,'YoY WAR'!$D$1:$BW$1,0)+3,FALSE)</f>
        <v>#N/A</v>
      </c>
    </row>
    <row r="15" spans="2:13" x14ac:dyDescent="0.3">
      <c r="L15" s="100" t="s">
        <v>131</v>
      </c>
      <c r="M15" s="102" t="e">
        <f>VLOOKUP('YoY Assets'!L15,'YoY WAR'!$A$1:$BW$27,MATCH($B$2,'YoY WAR'!$D$1:$BW$1,0)+3,FALSE)</f>
        <v>#N/A</v>
      </c>
    </row>
    <row r="16" spans="2:13" x14ac:dyDescent="0.3">
      <c r="L16" s="100" t="s">
        <v>132</v>
      </c>
      <c r="M16" s="102" t="e">
        <f>VLOOKUP('YoY Assets'!L16,'YoY WAR'!$A$1:$BW$27,MATCH($B$2,'YoY WAR'!$D$1:$BW$1,0)+3,FALSE)</f>
        <v>#N/A</v>
      </c>
    </row>
    <row r="17" spans="12:13" x14ac:dyDescent="0.3">
      <c r="L17" s="100" t="s">
        <v>155</v>
      </c>
      <c r="M17" s="102" t="e">
        <f>VLOOKUP('YoY Assets'!L17,'YoY WAR'!$A$1:$BW$27,MATCH($B$2,'YoY WAR'!$D$1:$BW$1,0)+3,FALSE)</f>
        <v>#N/A</v>
      </c>
    </row>
    <row r="18" spans="12:13" x14ac:dyDescent="0.3">
      <c r="L18" s="100" t="s">
        <v>134</v>
      </c>
      <c r="M18" s="102" t="e">
        <f>VLOOKUP('YoY Assets'!L18,'YoY WAR'!$A$1:$BW$27,MATCH($B$2,'YoY WAR'!$D$1:$BW$1,0)+3,FALSE)</f>
        <v>#N/A</v>
      </c>
    </row>
    <row r="19" spans="12:13" x14ac:dyDescent="0.3">
      <c r="L19" s="100" t="s">
        <v>137</v>
      </c>
      <c r="M19" s="102" t="e">
        <f>VLOOKUP('YoY Assets'!L19,'YoY WAR'!$A$1:$BW$27,MATCH($B$2,'YoY WAR'!$D$1:$BW$1,0)+3,FALSE)</f>
        <v>#N/A</v>
      </c>
    </row>
    <row r="20" spans="12:13" x14ac:dyDescent="0.3">
      <c r="L20" s="100" t="s">
        <v>138</v>
      </c>
      <c r="M20" s="102" t="e">
        <f>VLOOKUP('YoY Assets'!L20,'YoY WAR'!$A$1:$BW$27,MATCH($B$2,'YoY WAR'!$D$1:$BW$1,0)+3,FALSE)</f>
        <v>#N/A</v>
      </c>
    </row>
    <row r="21" spans="12:13" x14ac:dyDescent="0.3">
      <c r="L21" s="100" t="s">
        <v>139</v>
      </c>
      <c r="M21" s="102" t="e">
        <f>VLOOKUP('YoY Assets'!L21,'YoY WAR'!$A$1:$BW$27,MATCH($B$2,'YoY WAR'!$D$1:$BW$1,0)+3,FALSE)</f>
        <v>#N/A</v>
      </c>
    </row>
    <row r="22" spans="12:13" x14ac:dyDescent="0.3">
      <c r="L22" s="100" t="s">
        <v>156</v>
      </c>
      <c r="M22" s="102" t="e">
        <f>VLOOKUP('YoY Assets'!L22,'YoY WAR'!$A$1:$BW$27,MATCH($B$2,'YoY WAR'!$D$1:$BW$1,0)+3,FALSE)</f>
        <v>#N/A</v>
      </c>
    </row>
    <row r="23" spans="12:13" x14ac:dyDescent="0.3">
      <c r="L23" s="100" t="s">
        <v>143</v>
      </c>
      <c r="M23" s="102" t="e">
        <f>VLOOKUP('YoY Assets'!L23,'YoY WAR'!$A$1:$BW$27,MATCH($B$2,'YoY WAR'!$D$1:$BW$1,0)+3,FALSE)</f>
        <v>#N/A</v>
      </c>
    </row>
    <row r="24" spans="12:13" x14ac:dyDescent="0.3">
      <c r="L24" s="100" t="s">
        <v>144</v>
      </c>
      <c r="M24" s="102" t="e">
        <f>VLOOKUP('YoY Assets'!L24,'YoY WAR'!$A$1:$BW$27,MATCH($B$2,'YoY WAR'!$D$1:$BW$1,0)+3,FALSE)</f>
        <v>#N/A</v>
      </c>
    </row>
    <row r="25" spans="12:13" x14ac:dyDescent="0.3">
      <c r="L25" s="100" t="s">
        <v>157</v>
      </c>
      <c r="M25" s="102" t="e">
        <f>VLOOKUP('YoY Assets'!L25,'YoY WAR'!$A$1:$BW$27,MATCH($B$2,'YoY WAR'!$D$1:$BW$1,0)+3,FALSE)</f>
        <v>#N/A</v>
      </c>
    </row>
    <row r="26" spans="12:13" x14ac:dyDescent="0.3">
      <c r="L26" s="100" t="s">
        <v>158</v>
      </c>
      <c r="M26" s="102" t="e">
        <f>VLOOKUP('YoY Assets'!L26,'YoY WAR'!$A$1:$BW$27,MATCH($B$2,'YoY WAR'!$D$1:$BW$1,0)+3,FALSE)</f>
        <v>#N/A</v>
      </c>
    </row>
    <row r="27" spans="12:13" x14ac:dyDescent="0.3">
      <c r="L27" s="100" t="s">
        <v>159</v>
      </c>
      <c r="M27" s="102" t="e">
        <f>VLOOKUP('YoY Assets'!L27,'YoY WAR'!$A$1:$BW$27,MATCH($B$2,'YoY WAR'!$D$1:$BW$1,0)+3,FALSE)</f>
        <v>#N/A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Scroll Bar 1">
              <controlPr defaultSize="0" autoPict="0">
                <anchor moveWithCells="1">
                  <from>
                    <xdr:col>2</xdr:col>
                    <xdr:colOff>213360</xdr:colOff>
                    <xdr:row>0</xdr:row>
                    <xdr:rowOff>114300</xdr:rowOff>
                  </from>
                  <to>
                    <xdr:col>10</xdr:col>
                    <xdr:colOff>236220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FBA28-69E4-4A2D-9D6C-CEDEF7DDDC24}">
  <sheetPr codeName="Sheet21"/>
  <dimension ref="A1:EM78"/>
  <sheetViews>
    <sheetView topLeftCell="B1" zoomScale="80" zoomScaleNormal="80" workbookViewId="0">
      <selection activeCell="B5" sqref="B5"/>
    </sheetView>
  </sheetViews>
  <sheetFormatPr defaultColWidth="8.88671875" defaultRowHeight="14.4" outlineLevelCol="1" x14ac:dyDescent="0.3"/>
  <cols>
    <col min="1" max="1" width="8.88671875" style="1"/>
    <col min="2" max="2" width="30.5546875" style="1" bestFit="1" customWidth="1"/>
    <col min="3" max="3" width="21.44140625" style="1" customWidth="1"/>
    <col min="4" max="5" width="15.44140625" style="1" customWidth="1"/>
    <col min="6" max="6" width="22.6640625" style="1" customWidth="1"/>
    <col min="7" max="7" width="16.88671875" style="1" bestFit="1" customWidth="1"/>
    <col min="8" max="14" width="22.6640625" style="1" customWidth="1" outlineLevel="1"/>
    <col min="15" max="15" width="42.44140625" style="1" customWidth="1"/>
    <col min="16" max="16384" width="8.88671875" style="1"/>
  </cols>
  <sheetData>
    <row r="1" spans="1:143" ht="35.25" customHeight="1" x14ac:dyDescent="0.75">
      <c r="A1" s="665" t="s">
        <v>167</v>
      </c>
      <c r="B1" s="666"/>
      <c r="C1" s="666"/>
      <c r="D1" s="666"/>
      <c r="E1" s="666"/>
      <c r="F1" s="666"/>
      <c r="G1" s="666"/>
      <c r="H1" s="666"/>
      <c r="I1" s="666"/>
      <c r="J1" s="666"/>
      <c r="K1" s="666"/>
      <c r="L1" s="666"/>
      <c r="M1" s="666"/>
      <c r="N1" s="666"/>
      <c r="O1" s="667"/>
      <c r="DK1" s="83" t="s">
        <v>168</v>
      </c>
      <c r="DL1" s="83" t="e">
        <f>CONCATENATE(LEFT('Personal Details'!C4,FIND(" ",'Personal Details'!C4)-1),"'s Age")</f>
        <v>#VALUE!</v>
      </c>
      <c r="DM1" s="83" t="e">
        <f>CONCATENATE(LEFT('Personal Details'!B4,FIND(" ",'Personal Details'!B4)-1),"'s Age")</f>
        <v>#VALUE!</v>
      </c>
    </row>
    <row r="2" spans="1:143" s="83" customFormat="1" ht="36" x14ac:dyDescent="0.3">
      <c r="A2" s="539" t="s">
        <v>169</v>
      </c>
      <c r="B2" s="540" t="s">
        <v>3</v>
      </c>
      <c r="C2" s="538" t="s">
        <v>170</v>
      </c>
      <c r="D2" s="538" t="s">
        <v>171</v>
      </c>
      <c r="E2" s="538" t="s">
        <v>168</v>
      </c>
      <c r="F2" s="538" t="s">
        <v>172</v>
      </c>
      <c r="G2" s="538" t="s">
        <v>173</v>
      </c>
      <c r="H2" s="541" t="s">
        <v>174</v>
      </c>
      <c r="I2" s="541" t="s">
        <v>175</v>
      </c>
      <c r="J2" s="541" t="s">
        <v>176</v>
      </c>
      <c r="K2" s="541" t="s">
        <v>177</v>
      </c>
      <c r="L2" s="541" t="s">
        <v>178</v>
      </c>
      <c r="M2" s="541" t="s">
        <v>179</v>
      </c>
      <c r="N2" s="541" t="s">
        <v>180</v>
      </c>
      <c r="O2" s="538" t="s">
        <v>181</v>
      </c>
      <c r="AH2" s="519" t="s">
        <v>182</v>
      </c>
      <c r="AI2" s="83" t="s">
        <v>183</v>
      </c>
      <c r="AJ2" s="83">
        <f>'Yearly Budget'!B2</f>
        <v>2025</v>
      </c>
      <c r="AK2" s="83">
        <f>'Yearly Budget'!C2</f>
        <v>2026</v>
      </c>
      <c r="AL2" s="83">
        <f>'Yearly Budget'!D2</f>
        <v>2027</v>
      </c>
      <c r="AM2" s="83">
        <f>'Yearly Budget'!E2</f>
        <v>2028</v>
      </c>
      <c r="AN2" s="83">
        <f>'Yearly Budget'!F2</f>
        <v>2029</v>
      </c>
      <c r="AO2" s="83">
        <f>'Yearly Budget'!G2</f>
        <v>2030</v>
      </c>
      <c r="AP2" s="83">
        <f>'Yearly Budget'!H2</f>
        <v>2031</v>
      </c>
      <c r="AQ2" s="83">
        <f>'Yearly Budget'!I2</f>
        <v>2032</v>
      </c>
      <c r="AR2" s="83">
        <f>'Yearly Budget'!J2</f>
        <v>2033</v>
      </c>
      <c r="AS2" s="83">
        <f>'Yearly Budget'!K2</f>
        <v>2034</v>
      </c>
      <c r="AT2" s="83">
        <f>'Yearly Budget'!L2</f>
        <v>2035</v>
      </c>
      <c r="AU2" s="83">
        <f>'Yearly Budget'!M2</f>
        <v>2036</v>
      </c>
      <c r="AV2" s="83">
        <f>'Yearly Budget'!N2</f>
        <v>2037</v>
      </c>
      <c r="AW2" s="83">
        <f>'Yearly Budget'!O2</f>
        <v>2038</v>
      </c>
      <c r="AX2" s="83">
        <f>'Yearly Budget'!P2</f>
        <v>2039</v>
      </c>
      <c r="AY2" s="83">
        <f>'Yearly Budget'!Q2</f>
        <v>2040</v>
      </c>
      <c r="AZ2" s="83">
        <f>'Yearly Budget'!R2</f>
        <v>2041</v>
      </c>
      <c r="BA2" s="83">
        <f>'Yearly Budget'!S2</f>
        <v>2042</v>
      </c>
      <c r="BB2" s="83">
        <f>'Yearly Budget'!T2</f>
        <v>2043</v>
      </c>
      <c r="BC2" s="83">
        <f>'Yearly Budget'!U2</f>
        <v>2044</v>
      </c>
      <c r="BD2" s="83">
        <f>'Yearly Budget'!V2</f>
        <v>2045</v>
      </c>
      <c r="BE2" s="83">
        <f>'Yearly Budget'!W2</f>
        <v>2046</v>
      </c>
      <c r="BF2" s="83">
        <f>'Yearly Budget'!X2</f>
        <v>2047</v>
      </c>
      <c r="BG2" s="83">
        <f>'Yearly Budget'!Y2</f>
        <v>2048</v>
      </c>
      <c r="BH2" s="83">
        <f>'Yearly Budget'!Z2</f>
        <v>2049</v>
      </c>
      <c r="BI2" s="83">
        <f>'Yearly Budget'!AA2</f>
        <v>2050</v>
      </c>
      <c r="BJ2" s="83">
        <f>'Yearly Budget'!AB2</f>
        <v>2051</v>
      </c>
      <c r="BK2" s="83">
        <f>'Yearly Budget'!AC2</f>
        <v>2052</v>
      </c>
      <c r="BL2" s="83">
        <f>'Yearly Budget'!AD2</f>
        <v>2053</v>
      </c>
      <c r="BM2" s="83">
        <f>'Yearly Budget'!AE2</f>
        <v>2054</v>
      </c>
      <c r="BN2" s="83">
        <f>'Yearly Budget'!AF2</f>
        <v>2055</v>
      </c>
      <c r="BO2" s="83">
        <f>'Yearly Budget'!AG2</f>
        <v>2056</v>
      </c>
      <c r="BP2" s="83">
        <f>'Yearly Budget'!AH2</f>
        <v>2057</v>
      </c>
      <c r="BQ2" s="83">
        <f>'Yearly Budget'!AI2</f>
        <v>2058</v>
      </c>
      <c r="BR2" s="83">
        <f>'Yearly Budget'!AJ2</f>
        <v>2059</v>
      </c>
      <c r="BS2" s="83">
        <f>'Yearly Budget'!AK2</f>
        <v>2060</v>
      </c>
      <c r="BT2" s="83">
        <f>'Yearly Budget'!AL2</f>
        <v>2061</v>
      </c>
      <c r="BU2" s="83">
        <f>'Yearly Budget'!AM2</f>
        <v>2062</v>
      </c>
      <c r="BV2" s="83">
        <f>'Yearly Budget'!AN2</f>
        <v>2063</v>
      </c>
      <c r="BW2" s="83">
        <f>'Yearly Budget'!AO2</f>
        <v>2064</v>
      </c>
      <c r="BX2" s="83">
        <f>'Yearly Budget'!AP2</f>
        <v>2065</v>
      </c>
      <c r="BY2" s="83">
        <f>'Yearly Budget'!AQ2</f>
        <v>2066</v>
      </c>
      <c r="BZ2" s="83">
        <f>'Yearly Budget'!AR2</f>
        <v>2067</v>
      </c>
      <c r="CA2" s="83">
        <f>'Yearly Budget'!AS2</f>
        <v>2068</v>
      </c>
      <c r="CB2" s="83">
        <f>'Yearly Budget'!AT2</f>
        <v>2069</v>
      </c>
      <c r="CC2" s="83">
        <f>'Yearly Budget'!AU2</f>
        <v>2070</v>
      </c>
      <c r="CD2" s="83">
        <f>'Yearly Budget'!AV2</f>
        <v>2071</v>
      </c>
      <c r="CE2" s="83">
        <f>'Yearly Budget'!AW2</f>
        <v>2072</v>
      </c>
      <c r="CF2" s="83">
        <f>'Yearly Budget'!AX2</f>
        <v>2073</v>
      </c>
      <c r="CG2" s="83">
        <f>'Yearly Budget'!AY2</f>
        <v>2074</v>
      </c>
      <c r="CH2" s="83">
        <f>'Yearly Budget'!AZ2</f>
        <v>2075</v>
      </c>
      <c r="CI2" s="83">
        <f>'Yearly Budget'!BA2</f>
        <v>2076</v>
      </c>
      <c r="CJ2" s="83">
        <f>'Yearly Budget'!BB2</f>
        <v>2077</v>
      </c>
      <c r="CK2" s="83">
        <f>'Yearly Budget'!BC2</f>
        <v>2078</v>
      </c>
      <c r="CL2" s="83">
        <f>'Yearly Budget'!BD2</f>
        <v>2079</v>
      </c>
      <c r="CM2" s="83">
        <f>'Yearly Budget'!BE2</f>
        <v>2080</v>
      </c>
      <c r="CN2" s="83">
        <f>'Yearly Budget'!BF2</f>
        <v>2081</v>
      </c>
      <c r="CO2" s="83" t="e">
        <f>'Yearly Budget'!#REF!</f>
        <v>#REF!</v>
      </c>
      <c r="CP2" s="83" t="e">
        <f>'Yearly Budget'!#REF!</f>
        <v>#REF!</v>
      </c>
      <c r="CQ2" s="83" t="e">
        <f>'Yearly Budget'!#REF!</f>
        <v>#REF!</v>
      </c>
      <c r="CR2" s="83" t="e">
        <f>'Yearly Budget'!#REF!</f>
        <v>#REF!</v>
      </c>
      <c r="CS2" s="83" t="e">
        <f>'Yearly Budget'!#REF!</f>
        <v>#REF!</v>
      </c>
      <c r="CT2" s="83" t="e">
        <f>'Yearly Budget'!#REF!</f>
        <v>#REF!</v>
      </c>
      <c r="CU2" s="83" t="e">
        <f>'Yearly Budget'!#REF!</f>
        <v>#REF!</v>
      </c>
      <c r="CV2" s="83" t="e">
        <f>'Yearly Budget'!#REF!</f>
        <v>#REF!</v>
      </c>
      <c r="CW2" s="83" t="e">
        <f>'Yearly Budget'!#REF!</f>
        <v>#REF!</v>
      </c>
      <c r="CX2" s="83" t="e">
        <f>'Yearly Budget'!#REF!</f>
        <v>#REF!</v>
      </c>
      <c r="CY2" s="83" t="e">
        <f>'Yearly Budget'!#REF!</f>
        <v>#REF!</v>
      </c>
      <c r="CZ2" s="83" t="e">
        <f>'Yearly Budget'!#REF!</f>
        <v>#REF!</v>
      </c>
      <c r="DA2" s="83" t="e">
        <f>'Yearly Budget'!#REF!</f>
        <v>#REF!</v>
      </c>
      <c r="DB2" s="83" t="e">
        <f>'Yearly Budget'!#REF!</f>
        <v>#REF!</v>
      </c>
      <c r="DC2" s="83" t="e">
        <f>'Yearly Budget'!#REF!</f>
        <v>#REF!</v>
      </c>
      <c r="DD2" s="83" t="e">
        <f>'Yearly Budget'!#REF!</f>
        <v>#REF!</v>
      </c>
      <c r="DE2" s="83" t="e">
        <f>'Yearly Budget'!#REF!</f>
        <v>#REF!</v>
      </c>
      <c r="DF2" s="83" t="e">
        <f>'Yearly Budget'!#REF!</f>
        <v>#REF!</v>
      </c>
      <c r="DG2" s="83" t="e">
        <f>'Yearly Budget'!#REF!</f>
        <v>#REF!</v>
      </c>
      <c r="DN2" s="83" t="str">
        <f>IF($B3=0,NA(),$B3)</f>
        <v>NS's college</v>
      </c>
      <c r="DO2" s="83" t="str">
        <f>IF($B4=0,NA(),$B4)</f>
        <v>NS's marriage</v>
      </c>
      <c r="DP2" s="83" t="str">
        <f>IF($B5=0,NA(),$B5)</f>
        <v>SG's 60th birthday rituals</v>
      </c>
      <c r="DQ2" s="83" t="str">
        <f>IF($B6=0,NA(),$B6)</f>
        <v>Retirment House</v>
      </c>
      <c r="DR2" s="83" t="e">
        <f>IF($B7=0,NA(),$B7)</f>
        <v>#N/A</v>
      </c>
      <c r="DS2" s="83" t="e">
        <f>IF($B8=0,NA(),$B8)</f>
        <v>#N/A</v>
      </c>
      <c r="DT2" s="83" t="e">
        <f>IF($B9=0,NA(),$B9)</f>
        <v>#N/A</v>
      </c>
      <c r="DU2" s="83" t="e">
        <f>IF($B10=0,NA(),$B10)</f>
        <v>#N/A</v>
      </c>
      <c r="DV2" s="83" t="e">
        <f>IF($B11=0,NA(),$B11)</f>
        <v>#N/A</v>
      </c>
      <c r="DW2" s="83" t="e">
        <f>IF($B12=0,NA(),$B12)</f>
        <v>#N/A</v>
      </c>
      <c r="DX2" s="83" t="e">
        <f>IF($B13=0,NA(),$B13)</f>
        <v>#N/A</v>
      </c>
      <c r="DY2" s="83" t="e">
        <f>IF($B14=0,NA(),$B14)</f>
        <v>#N/A</v>
      </c>
      <c r="DZ2" s="83" t="e">
        <f>IF($B15=0,NA(),$B15)</f>
        <v>#N/A</v>
      </c>
      <c r="EA2" s="83" t="e">
        <f>IF($B16=0,NA(),$B16)</f>
        <v>#N/A</v>
      </c>
      <c r="EB2" s="83" t="e">
        <f>IF($B17=0,NA(),$B17)</f>
        <v>#N/A</v>
      </c>
      <c r="EC2" s="83" t="e">
        <f>IF($B18=0,NA(),$B18)</f>
        <v>#N/A</v>
      </c>
      <c r="ED2" s="83" t="e">
        <f>IF($B19=0,NA(),$B19)</f>
        <v>#N/A</v>
      </c>
      <c r="EE2" s="83" t="e">
        <f>IF($B20=0,NA(),$B20)</f>
        <v>#N/A</v>
      </c>
      <c r="EF2" s="83" t="e">
        <f>IF($B21=0,NA(),$B21)</f>
        <v>#N/A</v>
      </c>
      <c r="EG2" s="83" t="e">
        <f>IF($B22=0,NA(),$B22)</f>
        <v>#N/A</v>
      </c>
      <c r="EH2" s="83" t="e">
        <f>IF($B23=0,NA(),$B23)</f>
        <v>#N/A</v>
      </c>
      <c r="EI2" s="83" t="e">
        <f>IF($B24=0,NA(),$B24)</f>
        <v>#N/A</v>
      </c>
      <c r="EJ2" s="83" t="e">
        <f>IF($B25=0,NA(),$B25)</f>
        <v>#N/A</v>
      </c>
      <c r="EK2" s="83" t="e">
        <f>IF($B26=0,NA(),$B26)</f>
        <v>#N/A</v>
      </c>
      <c r="EL2" s="83" t="e">
        <f>IF($B27=0,NA(),$B27)</f>
        <v>#N/A</v>
      </c>
      <c r="EM2" s="83" t="e">
        <f>IF($B28=0,NA(),$B28)</f>
        <v>#N/A</v>
      </c>
    </row>
    <row r="3" spans="1:143" ht="15" customHeight="1" x14ac:dyDescent="0.3">
      <c r="A3" s="584">
        <v>1</v>
      </c>
      <c r="B3" s="735" t="s">
        <v>511</v>
      </c>
      <c r="C3" s="585">
        <v>3000000</v>
      </c>
      <c r="D3" s="584" t="s">
        <v>184</v>
      </c>
      <c r="E3" s="584">
        <v>2029</v>
      </c>
      <c r="F3" s="584">
        <v>4</v>
      </c>
      <c r="G3" s="586">
        <v>0.04</v>
      </c>
      <c r="H3" s="587"/>
      <c r="I3" s="588">
        <f>IF(H3&lt;&gt;0,(C3*(1+G3)^(E3-'Yearly Budget'!$B$2)),0)</f>
        <v>0</v>
      </c>
      <c r="J3" s="587"/>
      <c r="K3" s="588">
        <f t="shared" ref="K3" si="0">I3*J3</f>
        <v>0</v>
      </c>
      <c r="L3" s="588">
        <f t="shared" ref="L3" si="1">I3-K3</f>
        <v>0</v>
      </c>
      <c r="M3" s="585"/>
      <c r="N3" s="589"/>
      <c r="O3" s="590" t="s">
        <v>185</v>
      </c>
      <c r="AH3" s="1">
        <f>G3</f>
        <v>0.04</v>
      </c>
      <c r="AI3" s="1">
        <f>IF(D3="Recurring",E3+F3-1,)</f>
        <v>2032</v>
      </c>
      <c r="AJ3" s="1">
        <f>IFERROR(IF($D3="Recurring",IF(AND($E3&lt;=AJ$2,AJ$2&lt;=$AI3),$C3,0),IF($J3=0,_xlfn.XLOOKUP(AJ$2,$E3,$C3),_xlfn.XLOOKUP(AJ$2,$E3,$C3*$J3))),0)</f>
        <v>0</v>
      </c>
      <c r="AK3" s="1">
        <f>IFERROR(IF($D3="Recurring",IF(AND($E3&lt;=AK$2,AK$2&lt;=$AI3),$C3,0),IF($J3=0,_xlfn.XLOOKUP(AK$2,$E3,$C3),_xlfn.XLOOKUP(AK$2,$E3,$C3*$J3))),0)</f>
        <v>0</v>
      </c>
      <c r="AL3" s="1">
        <f t="shared" ref="AL3:CV4" si="2">IFERROR(IF($D3="Recurring",IF(AND($E3&lt;=AL$2,AL$2&lt;=$AI3),$C3,0),IF($J3=0,_xlfn.XLOOKUP(AL$2,$E3,$C3),_xlfn.XLOOKUP(AL$2,$E3,$C3*$J3))),0)</f>
        <v>0</v>
      </c>
      <c r="AM3" s="1">
        <f t="shared" si="2"/>
        <v>0</v>
      </c>
      <c r="AN3" s="1">
        <f t="shared" si="2"/>
        <v>3000000</v>
      </c>
      <c r="AO3" s="1">
        <f t="shared" si="2"/>
        <v>3000000</v>
      </c>
      <c r="AP3" s="1">
        <f t="shared" si="2"/>
        <v>3000000</v>
      </c>
      <c r="AQ3" s="1">
        <f t="shared" si="2"/>
        <v>3000000</v>
      </c>
      <c r="AR3" s="1">
        <f t="shared" si="2"/>
        <v>0</v>
      </c>
      <c r="AS3" s="1">
        <f t="shared" si="2"/>
        <v>0</v>
      </c>
      <c r="AT3" s="1">
        <f t="shared" si="2"/>
        <v>0</v>
      </c>
      <c r="AU3" s="1">
        <f t="shared" si="2"/>
        <v>0</v>
      </c>
      <c r="AV3" s="1">
        <f t="shared" si="2"/>
        <v>0</v>
      </c>
      <c r="AW3" s="1">
        <f t="shared" si="2"/>
        <v>0</v>
      </c>
      <c r="AX3" s="1">
        <f t="shared" si="2"/>
        <v>0</v>
      </c>
      <c r="AY3" s="1">
        <f t="shared" si="2"/>
        <v>0</v>
      </c>
      <c r="AZ3" s="1">
        <f t="shared" si="2"/>
        <v>0</v>
      </c>
      <c r="BA3" s="1">
        <f t="shared" si="2"/>
        <v>0</v>
      </c>
      <c r="BB3" s="1">
        <f t="shared" si="2"/>
        <v>0</v>
      </c>
      <c r="BC3" s="1">
        <f t="shared" si="2"/>
        <v>0</v>
      </c>
      <c r="BD3" s="1">
        <f t="shared" si="2"/>
        <v>0</v>
      </c>
      <c r="BE3" s="1">
        <f t="shared" si="2"/>
        <v>0</v>
      </c>
      <c r="BF3" s="1">
        <f t="shared" si="2"/>
        <v>0</v>
      </c>
      <c r="BG3" s="1">
        <f t="shared" si="2"/>
        <v>0</v>
      </c>
      <c r="BH3" s="1">
        <f t="shared" si="2"/>
        <v>0</v>
      </c>
      <c r="BI3" s="1">
        <f t="shared" si="2"/>
        <v>0</v>
      </c>
      <c r="BJ3" s="1">
        <f t="shared" si="2"/>
        <v>0</v>
      </c>
      <c r="BK3" s="1">
        <f t="shared" si="2"/>
        <v>0</v>
      </c>
      <c r="BL3" s="1">
        <f t="shared" si="2"/>
        <v>0</v>
      </c>
      <c r="BM3" s="1">
        <f t="shared" si="2"/>
        <v>0</v>
      </c>
      <c r="BN3" s="1">
        <f t="shared" si="2"/>
        <v>0</v>
      </c>
      <c r="BO3" s="1">
        <f t="shared" si="2"/>
        <v>0</v>
      </c>
      <c r="BP3" s="1">
        <f t="shared" si="2"/>
        <v>0</v>
      </c>
      <c r="BQ3" s="1">
        <f t="shared" si="2"/>
        <v>0</v>
      </c>
      <c r="BR3" s="1">
        <f t="shared" si="2"/>
        <v>0</v>
      </c>
      <c r="BS3" s="1">
        <f t="shared" si="2"/>
        <v>0</v>
      </c>
      <c r="BT3" s="1">
        <f t="shared" si="2"/>
        <v>0</v>
      </c>
      <c r="BU3" s="1">
        <f t="shared" si="2"/>
        <v>0</v>
      </c>
      <c r="BV3" s="1">
        <f t="shared" si="2"/>
        <v>0</v>
      </c>
      <c r="BW3" s="1">
        <f t="shared" si="2"/>
        <v>0</v>
      </c>
      <c r="BX3" s="1">
        <f t="shared" si="2"/>
        <v>0</v>
      </c>
      <c r="BY3" s="1">
        <f t="shared" si="2"/>
        <v>0</v>
      </c>
      <c r="BZ3" s="1">
        <f t="shared" si="2"/>
        <v>0</v>
      </c>
      <c r="CA3" s="1">
        <f t="shared" si="2"/>
        <v>0</v>
      </c>
      <c r="CB3" s="1">
        <f t="shared" si="2"/>
        <v>0</v>
      </c>
      <c r="CC3" s="1">
        <f t="shared" si="2"/>
        <v>0</v>
      </c>
      <c r="CD3" s="1">
        <f t="shared" si="2"/>
        <v>0</v>
      </c>
      <c r="CE3" s="1">
        <f t="shared" si="2"/>
        <v>0</v>
      </c>
      <c r="CF3" s="1">
        <f t="shared" si="2"/>
        <v>0</v>
      </c>
      <c r="CG3" s="1">
        <f t="shared" si="2"/>
        <v>0</v>
      </c>
      <c r="CH3" s="1">
        <f t="shared" si="2"/>
        <v>0</v>
      </c>
      <c r="CI3" s="1">
        <f t="shared" si="2"/>
        <v>0</v>
      </c>
      <c r="CJ3" s="1">
        <f t="shared" si="2"/>
        <v>0</v>
      </c>
      <c r="CK3" s="1">
        <f t="shared" si="2"/>
        <v>0</v>
      </c>
      <c r="CL3" s="1">
        <f t="shared" si="2"/>
        <v>0</v>
      </c>
      <c r="CM3" s="1">
        <f t="shared" si="2"/>
        <v>0</v>
      </c>
      <c r="CN3" s="1">
        <f t="shared" si="2"/>
        <v>0</v>
      </c>
      <c r="CO3" s="1">
        <f t="shared" si="2"/>
        <v>0</v>
      </c>
      <c r="CP3" s="1">
        <f t="shared" si="2"/>
        <v>0</v>
      </c>
      <c r="CQ3" s="1">
        <f t="shared" si="2"/>
        <v>0</v>
      </c>
      <c r="CR3" s="1">
        <f t="shared" si="2"/>
        <v>0</v>
      </c>
      <c r="CS3" s="1">
        <f t="shared" si="2"/>
        <v>0</v>
      </c>
      <c r="CT3" s="1">
        <f t="shared" si="2"/>
        <v>0</v>
      </c>
      <c r="CU3" s="1">
        <f t="shared" si="2"/>
        <v>0</v>
      </c>
      <c r="CV3" s="1">
        <f t="shared" si="2"/>
        <v>0</v>
      </c>
      <c r="CW3" s="1">
        <f t="shared" ref="CW3:DG7" si="3">IFERROR(IF($D3="Recurring",IF(AND($E3&lt;=CW$2,CW$2&lt;=$AI3),$C3,0),IF($J3=0,_xlfn.XLOOKUP(CW$2,$E3,$C3),_xlfn.XLOOKUP(CW$2,$E3,$C3*$J3))),0)</f>
        <v>0</v>
      </c>
      <c r="CX3" s="1">
        <f t="shared" si="3"/>
        <v>0</v>
      </c>
      <c r="CY3" s="1">
        <f t="shared" si="3"/>
        <v>0</v>
      </c>
      <c r="CZ3" s="1">
        <f t="shared" si="3"/>
        <v>0</v>
      </c>
      <c r="DA3" s="1">
        <f t="shared" si="3"/>
        <v>0</v>
      </c>
      <c r="DB3" s="1">
        <f t="shared" si="3"/>
        <v>0</v>
      </c>
      <c r="DC3" s="1">
        <f t="shared" si="3"/>
        <v>0</v>
      </c>
      <c r="DD3" s="1">
        <f t="shared" si="3"/>
        <v>0</v>
      </c>
      <c r="DE3" s="1">
        <f t="shared" si="3"/>
        <v>0</v>
      </c>
      <c r="DF3" s="1">
        <f t="shared" si="3"/>
        <v>0</v>
      </c>
      <c r="DG3" s="1">
        <f t="shared" si="3"/>
        <v>0</v>
      </c>
      <c r="DK3" s="1">
        <v>2025</v>
      </c>
      <c r="DL3" s="1">
        <f ca="1">MROUND((TODAY()-'Personal Details'!$C$12)/365,1)</f>
        <v>45</v>
      </c>
      <c r="DM3" s="1">
        <f ca="1">MROUND((TODAY()-'Personal Details'!$B$12)/365,1)</f>
        <v>50</v>
      </c>
      <c r="DN3" s="83" t="e">
        <f>IF(AJ$32=0,NA(),AJ$32)</f>
        <v>#N/A</v>
      </c>
      <c r="DO3" s="1" t="e">
        <f>IF(AJ$33=0,NA(),AJ$33)</f>
        <v>#N/A</v>
      </c>
      <c r="DP3" s="1" t="e">
        <f>IF(AJ$34=0,NA(),AJ$34)</f>
        <v>#N/A</v>
      </c>
      <c r="DQ3" s="1" t="e">
        <f>IF(AJ$35=0,NA(),AJ$35)</f>
        <v>#N/A</v>
      </c>
      <c r="DR3" s="1" t="e">
        <f>IF(AJ$36=0,NA(),AJ$36)</f>
        <v>#N/A</v>
      </c>
      <c r="DS3" s="1" t="e">
        <f>IF(AJ$37=0,NA(),AJ$37)</f>
        <v>#N/A</v>
      </c>
      <c r="DT3" s="1" t="e">
        <f>IF(AJ$38=0,NA(),AJ$38)</f>
        <v>#N/A</v>
      </c>
      <c r="DU3" s="1" t="e">
        <f>IF(AJ$39=0,NA(),AJ$39)</f>
        <v>#N/A</v>
      </c>
      <c r="DV3" s="1" t="e">
        <f>IF(AJ$40=0,NA(),AJ$40)</f>
        <v>#N/A</v>
      </c>
      <c r="DW3" s="1" t="e">
        <f>IF(AJ$41=0,NA(),AJ$41)</f>
        <v>#N/A</v>
      </c>
      <c r="DX3" s="1" t="e">
        <f>IF(AJ$42=0,NA(),AJ$42)</f>
        <v>#N/A</v>
      </c>
      <c r="DY3" s="1" t="e">
        <f>IF(AJ$43=0,NA(),AJ$43)</f>
        <v>#N/A</v>
      </c>
      <c r="DZ3" s="1" t="e">
        <f>IF(AJ$44=0,NA(),AJ$44)</f>
        <v>#N/A</v>
      </c>
      <c r="EA3" s="1" t="e">
        <f>IF(AJ$45=0,NA(),AJ$45)</f>
        <v>#N/A</v>
      </c>
      <c r="EB3" s="1" t="e">
        <f>IF(AJ$46=0,NA(),AJ$46)</f>
        <v>#N/A</v>
      </c>
      <c r="EC3" s="1" t="e">
        <f>IF(AJ$47=0,NA(),AJ$47)</f>
        <v>#N/A</v>
      </c>
      <c r="ED3" s="1" t="e">
        <f>IF(AJ$48=0,NA(),AJ$48)</f>
        <v>#N/A</v>
      </c>
      <c r="EE3" s="1" t="e">
        <f>IF(AJ$49=0,NA(),AJ$49)</f>
        <v>#N/A</v>
      </c>
      <c r="EF3" s="1" t="e">
        <f>IF(AJ$50=0,NA(),AJ$50)</f>
        <v>#N/A</v>
      </c>
      <c r="EG3" s="1" t="e">
        <f>IF(AJ$51=0,NA(),AJ$51)</f>
        <v>#N/A</v>
      </c>
      <c r="EH3" s="1" t="e">
        <f>IF(AJ$52=0,NA(),AJ$52)</f>
        <v>#N/A</v>
      </c>
      <c r="EI3" s="1" t="e">
        <f>IF(AJ$53=0,NA(),AJ$53)</f>
        <v>#N/A</v>
      </c>
      <c r="EJ3" s="1" t="e">
        <f>IF(AJ$54=0,NA(),AJ$54)</f>
        <v>#N/A</v>
      </c>
      <c r="EK3" s="1" t="e">
        <f>IF(AJ$55=0,NA(),AJ$55)</f>
        <v>#N/A</v>
      </c>
      <c r="EL3" s="1" t="e">
        <f>IF(AJ$56=0,NA(),AJ$56)</f>
        <v>#N/A</v>
      </c>
      <c r="EM3" s="1" t="e">
        <f>IF(AJ$57=0,NA(),AJ$57)</f>
        <v>#N/A</v>
      </c>
    </row>
    <row r="4" spans="1:143" ht="15" customHeight="1" x14ac:dyDescent="0.3">
      <c r="A4" s="591">
        <v>2</v>
      </c>
      <c r="B4" s="736" t="s">
        <v>512</v>
      </c>
      <c r="C4" s="585">
        <v>2000000</v>
      </c>
      <c r="D4" s="584" t="s">
        <v>186</v>
      </c>
      <c r="E4" s="584">
        <v>2035</v>
      </c>
      <c r="F4" s="584"/>
      <c r="G4" s="587">
        <v>0.08</v>
      </c>
      <c r="H4" s="587"/>
      <c r="I4" s="588">
        <f>IF(H4&lt;&gt;0,(C4*(1+G4)^(E4-'Yearly Budget'!$B$2)),0)</f>
        <v>0</v>
      </c>
      <c r="J4" s="587"/>
      <c r="K4" s="588">
        <f>I4*J4</f>
        <v>0</v>
      </c>
      <c r="L4" s="588">
        <f>I4-K4</f>
        <v>0</v>
      </c>
      <c r="M4" s="593"/>
      <c r="N4" s="589"/>
      <c r="O4" s="591"/>
      <c r="AH4" s="1">
        <f t="shared" ref="AH4:AH28" si="4">G4</f>
        <v>0.08</v>
      </c>
      <c r="AI4" s="1">
        <f t="shared" ref="AI4:AI28" si="5">IF(D4="Recurring",E4+F4-1,)</f>
        <v>0</v>
      </c>
      <c r="AJ4" s="1">
        <f t="shared" ref="AJ4:AY28" si="6">IFERROR(IF($D4="Recurring",IF(AND($E4&lt;=AJ$2,AJ$2&lt;=$AI4),$C4,0),IF($J4=0,_xlfn.XLOOKUP(AJ$2,$E4,$C4),_xlfn.XLOOKUP(AJ$2,$E4,$C4*$J4))),0)</f>
        <v>0</v>
      </c>
      <c r="AK4" s="1">
        <f t="shared" si="6"/>
        <v>0</v>
      </c>
      <c r="AL4" s="1">
        <f t="shared" si="6"/>
        <v>0</v>
      </c>
      <c r="AM4" s="1">
        <f t="shared" si="6"/>
        <v>0</v>
      </c>
      <c r="AN4" s="1">
        <f t="shared" si="6"/>
        <v>0</v>
      </c>
      <c r="AO4" s="1">
        <f t="shared" si="6"/>
        <v>0</v>
      </c>
      <c r="AP4" s="1">
        <f t="shared" si="6"/>
        <v>0</v>
      </c>
      <c r="AQ4" s="1">
        <f t="shared" si="6"/>
        <v>0</v>
      </c>
      <c r="AR4" s="1">
        <f t="shared" si="6"/>
        <v>0</v>
      </c>
      <c r="AS4" s="1">
        <f t="shared" si="6"/>
        <v>0</v>
      </c>
      <c r="AT4" s="1">
        <f t="shared" si="6"/>
        <v>2000000</v>
      </c>
      <c r="AU4" s="1">
        <f t="shared" si="6"/>
        <v>0</v>
      </c>
      <c r="AV4" s="1">
        <f t="shared" si="6"/>
        <v>0</v>
      </c>
      <c r="AW4" s="1">
        <f t="shared" si="6"/>
        <v>0</v>
      </c>
      <c r="AX4" s="1">
        <f t="shared" si="6"/>
        <v>0</v>
      </c>
      <c r="AY4" s="1">
        <f t="shared" si="6"/>
        <v>0</v>
      </c>
      <c r="AZ4" s="1">
        <f t="shared" si="2"/>
        <v>0</v>
      </c>
      <c r="BA4" s="1">
        <f t="shared" si="2"/>
        <v>0</v>
      </c>
      <c r="BB4" s="1">
        <f t="shared" si="2"/>
        <v>0</v>
      </c>
      <c r="BC4" s="1">
        <f t="shared" si="2"/>
        <v>0</v>
      </c>
      <c r="BD4" s="1">
        <f t="shared" si="2"/>
        <v>0</v>
      </c>
      <c r="BE4" s="1">
        <f t="shared" si="2"/>
        <v>0</v>
      </c>
      <c r="BF4" s="1">
        <f t="shared" si="2"/>
        <v>0</v>
      </c>
      <c r="BG4" s="1">
        <f t="shared" si="2"/>
        <v>0</v>
      </c>
      <c r="BH4" s="1">
        <f t="shared" si="2"/>
        <v>0</v>
      </c>
      <c r="BI4" s="1">
        <f t="shared" si="2"/>
        <v>0</v>
      </c>
      <c r="BJ4" s="1">
        <f t="shared" si="2"/>
        <v>0</v>
      </c>
      <c r="BK4" s="1">
        <f t="shared" si="2"/>
        <v>0</v>
      </c>
      <c r="BL4" s="1">
        <f t="shared" si="2"/>
        <v>0</v>
      </c>
      <c r="BM4" s="1">
        <f t="shared" si="2"/>
        <v>0</v>
      </c>
      <c r="BN4" s="1">
        <f t="shared" si="2"/>
        <v>0</v>
      </c>
      <c r="BO4" s="1">
        <f t="shared" si="2"/>
        <v>0</v>
      </c>
      <c r="BP4" s="1">
        <f t="shared" si="2"/>
        <v>0</v>
      </c>
      <c r="BQ4" s="1">
        <f t="shared" si="2"/>
        <v>0</v>
      </c>
      <c r="BR4" s="1">
        <f t="shared" si="2"/>
        <v>0</v>
      </c>
      <c r="BS4" s="1">
        <f t="shared" si="2"/>
        <v>0</v>
      </c>
      <c r="BT4" s="1">
        <f t="shared" si="2"/>
        <v>0</v>
      </c>
      <c r="BU4" s="1">
        <f t="shared" si="2"/>
        <v>0</v>
      </c>
      <c r="BV4" s="1">
        <f t="shared" si="2"/>
        <v>0</v>
      </c>
      <c r="BW4" s="1">
        <f t="shared" si="2"/>
        <v>0</v>
      </c>
      <c r="BX4" s="1">
        <f t="shared" si="2"/>
        <v>0</v>
      </c>
      <c r="BY4" s="1">
        <f t="shared" si="2"/>
        <v>0</v>
      </c>
      <c r="BZ4" s="1">
        <f t="shared" si="2"/>
        <v>0</v>
      </c>
      <c r="CA4" s="1">
        <f t="shared" si="2"/>
        <v>0</v>
      </c>
      <c r="CB4" s="1">
        <f t="shared" si="2"/>
        <v>0</v>
      </c>
      <c r="CC4" s="1">
        <f t="shared" si="2"/>
        <v>0</v>
      </c>
      <c r="CD4" s="1">
        <f t="shared" si="2"/>
        <v>0</v>
      </c>
      <c r="CE4" s="1">
        <f t="shared" si="2"/>
        <v>0</v>
      </c>
      <c r="CF4" s="1">
        <f t="shared" si="2"/>
        <v>0</v>
      </c>
      <c r="CG4" s="1">
        <f t="shared" si="2"/>
        <v>0</v>
      </c>
      <c r="CH4" s="1">
        <f t="shared" si="2"/>
        <v>0</v>
      </c>
      <c r="CI4" s="1">
        <f t="shared" si="2"/>
        <v>0</v>
      </c>
      <c r="CJ4" s="1">
        <f t="shared" si="2"/>
        <v>0</v>
      </c>
      <c r="CK4" s="1">
        <f t="shared" si="2"/>
        <v>0</v>
      </c>
      <c r="CL4" s="1">
        <f t="shared" si="2"/>
        <v>0</v>
      </c>
      <c r="CM4" s="1">
        <f t="shared" si="2"/>
        <v>0</v>
      </c>
      <c r="CN4" s="1">
        <f t="shared" si="2"/>
        <v>0</v>
      </c>
      <c r="CO4" s="1">
        <f t="shared" si="2"/>
        <v>0</v>
      </c>
      <c r="CP4" s="1">
        <f t="shared" si="2"/>
        <v>0</v>
      </c>
      <c r="CQ4" s="1">
        <f t="shared" si="2"/>
        <v>0</v>
      </c>
      <c r="CR4" s="1">
        <f t="shared" si="2"/>
        <v>0</v>
      </c>
      <c r="CS4" s="1">
        <f t="shared" si="2"/>
        <v>0</v>
      </c>
      <c r="CT4" s="1">
        <f t="shared" si="2"/>
        <v>0</v>
      </c>
      <c r="CU4" s="1">
        <f t="shared" si="2"/>
        <v>0</v>
      </c>
      <c r="CV4" s="1">
        <f t="shared" si="2"/>
        <v>0</v>
      </c>
      <c r="CW4" s="1">
        <f t="shared" si="3"/>
        <v>0</v>
      </c>
      <c r="CX4" s="1">
        <f t="shared" si="3"/>
        <v>0</v>
      </c>
      <c r="CY4" s="1">
        <f t="shared" si="3"/>
        <v>0</v>
      </c>
      <c r="CZ4" s="1">
        <f t="shared" si="3"/>
        <v>0</v>
      </c>
      <c r="DA4" s="1">
        <f t="shared" si="3"/>
        <v>0</v>
      </c>
      <c r="DB4" s="1">
        <f t="shared" si="3"/>
        <v>0</v>
      </c>
      <c r="DC4" s="1">
        <f t="shared" si="3"/>
        <v>0</v>
      </c>
      <c r="DD4" s="1">
        <f t="shared" si="3"/>
        <v>0</v>
      </c>
      <c r="DE4" s="1">
        <f t="shared" si="3"/>
        <v>0</v>
      </c>
      <c r="DF4" s="1">
        <f t="shared" si="3"/>
        <v>0</v>
      </c>
      <c r="DG4" s="1">
        <f t="shared" si="3"/>
        <v>0</v>
      </c>
      <c r="DK4" s="1">
        <f t="shared" ref="DK4:DM4" si="7">DK3+1</f>
        <v>2026</v>
      </c>
      <c r="DL4" s="1">
        <f t="shared" ca="1" si="7"/>
        <v>46</v>
      </c>
      <c r="DM4" s="1">
        <f t="shared" ca="1" si="7"/>
        <v>51</v>
      </c>
      <c r="DN4" s="83" t="e">
        <f>IF(AK$32=0,NA(),AK$32)</f>
        <v>#N/A</v>
      </c>
      <c r="DO4" s="1" t="e">
        <f>IF(AK$33=0,NA(),AK$33)</f>
        <v>#N/A</v>
      </c>
      <c r="DP4" s="1" t="e">
        <f>IF(AK$34=0,NA(),AK$34)</f>
        <v>#N/A</v>
      </c>
      <c r="DQ4" s="1" t="e">
        <f>IF(AK$35=0,NA(),AK$35)</f>
        <v>#N/A</v>
      </c>
      <c r="DR4" s="1" t="e">
        <f>IF(AK$36=0,NA(),AK$36)</f>
        <v>#N/A</v>
      </c>
      <c r="DS4" s="1" t="e">
        <f>IF(AK$37=0,NA(),AK$37)</f>
        <v>#N/A</v>
      </c>
      <c r="DT4" s="1" t="e">
        <f>IF(AK$38=0,NA(),AK$38)</f>
        <v>#N/A</v>
      </c>
      <c r="DU4" s="1" t="e">
        <f>IF(AK$39=0,NA(),AK$39)</f>
        <v>#N/A</v>
      </c>
      <c r="DV4" s="1" t="e">
        <f>IF(AK$40=0,NA(),AK$40)</f>
        <v>#N/A</v>
      </c>
      <c r="DW4" s="1" t="e">
        <f>IF(AK$41=0,NA(),AK$41)</f>
        <v>#N/A</v>
      </c>
      <c r="DX4" s="1" t="e">
        <f>IF(AK$42=0,NA(),AK$42)</f>
        <v>#N/A</v>
      </c>
      <c r="DY4" s="1" t="e">
        <f>IF(AK$43=0,NA(),AK$43)</f>
        <v>#N/A</v>
      </c>
      <c r="DZ4" s="1" t="e">
        <f>IF(AK$44=0,NA(),AK$44)</f>
        <v>#N/A</v>
      </c>
      <c r="EA4" s="1" t="e">
        <f>IF(AK$45=0,NA(),AK$45)</f>
        <v>#N/A</v>
      </c>
      <c r="EB4" s="1" t="e">
        <f>IF(AK$46=0,NA(),AK$46)</f>
        <v>#N/A</v>
      </c>
      <c r="EC4" s="1" t="e">
        <f>IF(AK$47=0,NA(),AK$47)</f>
        <v>#N/A</v>
      </c>
      <c r="ED4" s="1" t="e">
        <f>IF(AK$48=0,NA(),AK$48)</f>
        <v>#N/A</v>
      </c>
      <c r="EE4" s="1" t="e">
        <f>IF(AK$49=0,NA(),AK$49)</f>
        <v>#N/A</v>
      </c>
      <c r="EF4" s="1" t="e">
        <f>IF(AK$50=0,NA(),AK$50)</f>
        <v>#N/A</v>
      </c>
      <c r="EG4" s="1" t="e">
        <f>IF(AK$51=0,NA(),AK$51)</f>
        <v>#N/A</v>
      </c>
      <c r="EH4" s="1" t="e">
        <f>IF(AK$52=0,NA(),AK$52)</f>
        <v>#N/A</v>
      </c>
      <c r="EI4" s="1" t="e">
        <f>IF(AK$53=0,NA(),AK$53)</f>
        <v>#N/A</v>
      </c>
      <c r="EJ4" s="1" t="e">
        <f>IF(AK$54=0,NA(),AK$54)</f>
        <v>#N/A</v>
      </c>
      <c r="EK4" s="1" t="e">
        <f>IF(AK$55=0,NA(),AK$55)</f>
        <v>#N/A</v>
      </c>
      <c r="EL4" s="1" t="e">
        <f>IF(AK$56=0,NA(),AK$56)</f>
        <v>#N/A</v>
      </c>
      <c r="EM4" s="1" t="e">
        <f>IF(AK$57=0,NA(),AK$57)</f>
        <v>#N/A</v>
      </c>
    </row>
    <row r="5" spans="1:143" ht="15" customHeight="1" x14ac:dyDescent="0.3">
      <c r="A5" s="591">
        <v>3</v>
      </c>
      <c r="B5" s="592" t="s">
        <v>187</v>
      </c>
      <c r="C5" s="585">
        <v>500000</v>
      </c>
      <c r="D5" s="584" t="s">
        <v>186</v>
      </c>
      <c r="E5" s="584">
        <v>2036</v>
      </c>
      <c r="F5" s="584"/>
      <c r="G5" s="587">
        <v>0.08</v>
      </c>
      <c r="H5" s="587"/>
      <c r="I5" s="588">
        <f>IF(H5&lt;&gt;0,(C5*(1+G5)^(E5-'Yearly Budget'!$B$2)),0)</f>
        <v>0</v>
      </c>
      <c r="J5" s="587"/>
      <c r="K5" s="588">
        <f t="shared" ref="K5:K28" si="8">I5*J5</f>
        <v>0</v>
      </c>
      <c r="L5" s="588">
        <f t="shared" ref="L5:L28" si="9">I5-K5</f>
        <v>0</v>
      </c>
      <c r="M5" s="593"/>
      <c r="N5" s="589"/>
      <c r="O5" s="591" t="s">
        <v>188</v>
      </c>
      <c r="AH5" s="1">
        <f t="shared" si="4"/>
        <v>0.08</v>
      </c>
      <c r="AI5" s="1">
        <f t="shared" si="5"/>
        <v>0</v>
      </c>
      <c r="AJ5" s="1">
        <f t="shared" si="6"/>
        <v>0</v>
      </c>
      <c r="AK5" s="1">
        <f t="shared" ref="AK5:CV8" si="10">IFERROR(IF($D5="Recurring",IF(AND($E5&lt;=AK$2,AK$2&lt;=$AI5),$C5,0),IF($J5=0,_xlfn.XLOOKUP(AK$2,$E5,$C5),_xlfn.XLOOKUP(AK$2,$E5,$C5*$J5))),0)</f>
        <v>0</v>
      </c>
      <c r="AL5" s="1">
        <f t="shared" si="10"/>
        <v>0</v>
      </c>
      <c r="AM5" s="1">
        <f t="shared" si="10"/>
        <v>0</v>
      </c>
      <c r="AN5" s="1">
        <f t="shared" si="10"/>
        <v>0</v>
      </c>
      <c r="AO5" s="1">
        <f t="shared" si="10"/>
        <v>0</v>
      </c>
      <c r="AP5" s="1">
        <f t="shared" si="10"/>
        <v>0</v>
      </c>
      <c r="AQ5" s="1">
        <f t="shared" si="10"/>
        <v>0</v>
      </c>
      <c r="AR5" s="1">
        <f t="shared" si="10"/>
        <v>0</v>
      </c>
      <c r="AS5" s="1">
        <f t="shared" si="10"/>
        <v>0</v>
      </c>
      <c r="AT5" s="1">
        <f t="shared" si="10"/>
        <v>0</v>
      </c>
      <c r="AU5" s="1">
        <f t="shared" si="10"/>
        <v>500000</v>
      </c>
      <c r="AV5" s="1">
        <f t="shared" si="10"/>
        <v>0</v>
      </c>
      <c r="AW5" s="1">
        <f t="shared" si="10"/>
        <v>0</v>
      </c>
      <c r="AX5" s="1">
        <f t="shared" si="10"/>
        <v>0</v>
      </c>
      <c r="AY5" s="1">
        <f t="shared" si="10"/>
        <v>0</v>
      </c>
      <c r="AZ5" s="1">
        <f t="shared" si="10"/>
        <v>0</v>
      </c>
      <c r="BA5" s="1">
        <f t="shared" si="10"/>
        <v>0</v>
      </c>
      <c r="BB5" s="1">
        <f t="shared" si="10"/>
        <v>0</v>
      </c>
      <c r="BC5" s="1">
        <f t="shared" si="10"/>
        <v>0</v>
      </c>
      <c r="BD5" s="1">
        <f t="shared" si="10"/>
        <v>0</v>
      </c>
      <c r="BE5" s="1">
        <f t="shared" si="10"/>
        <v>0</v>
      </c>
      <c r="BF5" s="1">
        <f t="shared" si="10"/>
        <v>0</v>
      </c>
      <c r="BG5" s="1">
        <f t="shared" si="10"/>
        <v>0</v>
      </c>
      <c r="BH5" s="1">
        <f t="shared" si="10"/>
        <v>0</v>
      </c>
      <c r="BI5" s="1">
        <f t="shared" si="10"/>
        <v>0</v>
      </c>
      <c r="BJ5" s="1">
        <f t="shared" si="10"/>
        <v>0</v>
      </c>
      <c r="BK5" s="1">
        <f t="shared" si="10"/>
        <v>0</v>
      </c>
      <c r="BL5" s="1">
        <f t="shared" si="10"/>
        <v>0</v>
      </c>
      <c r="BM5" s="1">
        <f t="shared" si="10"/>
        <v>0</v>
      </c>
      <c r="BN5" s="1">
        <f t="shared" si="10"/>
        <v>0</v>
      </c>
      <c r="BO5" s="1">
        <f t="shared" si="10"/>
        <v>0</v>
      </c>
      <c r="BP5" s="1">
        <f t="shared" si="10"/>
        <v>0</v>
      </c>
      <c r="BQ5" s="1">
        <f t="shared" si="10"/>
        <v>0</v>
      </c>
      <c r="BR5" s="1">
        <f t="shared" si="10"/>
        <v>0</v>
      </c>
      <c r="BS5" s="1">
        <f t="shared" si="10"/>
        <v>0</v>
      </c>
      <c r="BT5" s="1">
        <f t="shared" si="10"/>
        <v>0</v>
      </c>
      <c r="BU5" s="1">
        <f t="shared" si="10"/>
        <v>0</v>
      </c>
      <c r="BV5" s="1">
        <f t="shared" si="10"/>
        <v>0</v>
      </c>
      <c r="BW5" s="1">
        <f t="shared" si="10"/>
        <v>0</v>
      </c>
      <c r="BX5" s="1">
        <f t="shared" si="10"/>
        <v>0</v>
      </c>
      <c r="BY5" s="1">
        <f t="shared" si="10"/>
        <v>0</v>
      </c>
      <c r="BZ5" s="1">
        <f t="shared" si="10"/>
        <v>0</v>
      </c>
      <c r="CA5" s="1">
        <f t="shared" si="10"/>
        <v>0</v>
      </c>
      <c r="CB5" s="1">
        <f t="shared" si="10"/>
        <v>0</v>
      </c>
      <c r="CC5" s="1">
        <f t="shared" si="10"/>
        <v>0</v>
      </c>
      <c r="CD5" s="1">
        <f t="shared" si="10"/>
        <v>0</v>
      </c>
      <c r="CE5" s="1">
        <f t="shared" si="10"/>
        <v>0</v>
      </c>
      <c r="CF5" s="1">
        <f t="shared" si="10"/>
        <v>0</v>
      </c>
      <c r="CG5" s="1">
        <f t="shared" si="10"/>
        <v>0</v>
      </c>
      <c r="CH5" s="1">
        <f t="shared" si="10"/>
        <v>0</v>
      </c>
      <c r="CI5" s="1">
        <f t="shared" si="10"/>
        <v>0</v>
      </c>
      <c r="CJ5" s="1">
        <f t="shared" si="10"/>
        <v>0</v>
      </c>
      <c r="CK5" s="1">
        <f t="shared" si="10"/>
        <v>0</v>
      </c>
      <c r="CL5" s="1">
        <f t="shared" si="10"/>
        <v>0</v>
      </c>
      <c r="CM5" s="1">
        <f t="shared" si="10"/>
        <v>0</v>
      </c>
      <c r="CN5" s="1">
        <f t="shared" si="10"/>
        <v>0</v>
      </c>
      <c r="CO5" s="1">
        <f t="shared" si="10"/>
        <v>0</v>
      </c>
      <c r="CP5" s="1">
        <f t="shared" si="10"/>
        <v>0</v>
      </c>
      <c r="CQ5" s="1">
        <f t="shared" si="10"/>
        <v>0</v>
      </c>
      <c r="CR5" s="1">
        <f t="shared" si="10"/>
        <v>0</v>
      </c>
      <c r="CS5" s="1">
        <f t="shared" si="10"/>
        <v>0</v>
      </c>
      <c r="CT5" s="1">
        <f t="shared" si="10"/>
        <v>0</v>
      </c>
      <c r="CU5" s="1">
        <f t="shared" si="10"/>
        <v>0</v>
      </c>
      <c r="CV5" s="1">
        <f t="shared" si="10"/>
        <v>0</v>
      </c>
      <c r="CW5" s="1">
        <f t="shared" si="3"/>
        <v>0</v>
      </c>
      <c r="CX5" s="1">
        <f t="shared" si="3"/>
        <v>0</v>
      </c>
      <c r="CY5" s="1">
        <f t="shared" si="3"/>
        <v>0</v>
      </c>
      <c r="CZ5" s="1">
        <f t="shared" si="3"/>
        <v>0</v>
      </c>
      <c r="DA5" s="1">
        <f t="shared" si="3"/>
        <v>0</v>
      </c>
      <c r="DB5" s="1">
        <f t="shared" si="3"/>
        <v>0</v>
      </c>
      <c r="DC5" s="1">
        <f t="shared" si="3"/>
        <v>0</v>
      </c>
      <c r="DD5" s="1">
        <f t="shared" si="3"/>
        <v>0</v>
      </c>
      <c r="DE5" s="1">
        <f t="shared" si="3"/>
        <v>0</v>
      </c>
      <c r="DF5" s="1">
        <f t="shared" si="3"/>
        <v>0</v>
      </c>
      <c r="DG5" s="1">
        <f t="shared" si="3"/>
        <v>0</v>
      </c>
      <c r="DK5" s="1">
        <f t="shared" ref="DK5:DK68" si="11">DK4+1</f>
        <v>2027</v>
      </c>
      <c r="DL5" s="1">
        <f t="shared" ref="DL5:DL68" ca="1" si="12">DL4+1</f>
        <v>47</v>
      </c>
      <c r="DM5" s="1">
        <f t="shared" ref="DM5:DM68" ca="1" si="13">DM4+1</f>
        <v>52</v>
      </c>
      <c r="DN5" s="83" t="e">
        <f>IF(AL$32=0,NA(),AL$32)</f>
        <v>#N/A</v>
      </c>
      <c r="DO5" s="1" t="e">
        <f>IF(AL$33=0,NA(),AL$33)</f>
        <v>#N/A</v>
      </c>
      <c r="DP5" s="1" t="e">
        <f>IF(AL$34=0,NA(),AL$34)</f>
        <v>#N/A</v>
      </c>
      <c r="DQ5" s="1" t="e">
        <f>IF(AL$35=0,NA(),AL$35)</f>
        <v>#N/A</v>
      </c>
      <c r="DR5" s="1" t="e">
        <f>IF(AL$36=0,NA(),AL$36)</f>
        <v>#N/A</v>
      </c>
      <c r="DS5" s="1" t="e">
        <f>IF(AL$37=0,NA(),AL$37)</f>
        <v>#N/A</v>
      </c>
      <c r="DT5" s="1" t="e">
        <f>IF(AL$38=0,NA(),AL$38)</f>
        <v>#N/A</v>
      </c>
      <c r="DU5" s="1" t="e">
        <f>IF(AL$39=0,NA(),AL$39)</f>
        <v>#N/A</v>
      </c>
      <c r="DV5" s="1" t="e">
        <f>IF(AL$40=0,NA(),AL$40)</f>
        <v>#N/A</v>
      </c>
      <c r="DW5" s="1" t="e">
        <f>IF(AL$41=0,NA(),AL$41)</f>
        <v>#N/A</v>
      </c>
      <c r="DX5" s="1" t="e">
        <f>IF(AL$42=0,NA(),AL$42)</f>
        <v>#N/A</v>
      </c>
      <c r="DY5" s="1" t="e">
        <f>IF(AL$43=0,NA(),AL$43)</f>
        <v>#N/A</v>
      </c>
      <c r="DZ5" s="1" t="e">
        <f>IF(AL$44=0,NA(),AL$44)</f>
        <v>#N/A</v>
      </c>
      <c r="EA5" s="1" t="e">
        <f>IF(AL$45=0,NA(),AL$45)</f>
        <v>#N/A</v>
      </c>
      <c r="EB5" s="1" t="e">
        <f>IF(AL$46=0,NA(),AL$46)</f>
        <v>#N/A</v>
      </c>
      <c r="EC5" s="1" t="e">
        <f>IF(AL$47=0,NA(),AL$47)</f>
        <v>#N/A</v>
      </c>
      <c r="ED5" s="1" t="e">
        <f>IF(AL$48=0,NA(),AL$48)</f>
        <v>#N/A</v>
      </c>
      <c r="EE5" s="1" t="e">
        <f>IF(AL$49=0,NA(),AL$49)</f>
        <v>#N/A</v>
      </c>
      <c r="EF5" s="1" t="e">
        <f>IF(AL$50=0,NA(),AL$50)</f>
        <v>#N/A</v>
      </c>
      <c r="EG5" s="1" t="e">
        <f>IF(AL$51=0,NA(),AL$51)</f>
        <v>#N/A</v>
      </c>
      <c r="EH5" s="1" t="e">
        <f>IF(AL$52=0,NA(),AL$52)</f>
        <v>#N/A</v>
      </c>
      <c r="EI5" s="1" t="e">
        <f>IF(AL$53=0,NA(),AL$53)</f>
        <v>#N/A</v>
      </c>
      <c r="EJ5" s="1" t="e">
        <f>IF(AL$54=0,NA(),AL$54)</f>
        <v>#N/A</v>
      </c>
      <c r="EK5" s="1" t="e">
        <f>IF(AL$55=0,NA(),AL$55)</f>
        <v>#N/A</v>
      </c>
      <c r="EL5" s="1" t="e">
        <f>IF(AL$56=0,NA(),AL$56)</f>
        <v>#N/A</v>
      </c>
      <c r="EM5" s="1" t="e">
        <f>IF(AL$57=0,NA(),AL$57)</f>
        <v>#N/A</v>
      </c>
    </row>
    <row r="6" spans="1:143" ht="15" customHeight="1" x14ac:dyDescent="0.3">
      <c r="A6" s="584">
        <v>4</v>
      </c>
      <c r="B6" s="592" t="s">
        <v>189</v>
      </c>
      <c r="C6" s="585">
        <v>10000000</v>
      </c>
      <c r="D6" s="584" t="s">
        <v>186</v>
      </c>
      <c r="E6" s="584">
        <v>2030</v>
      </c>
      <c r="F6" s="584"/>
      <c r="G6" s="587">
        <v>0.03</v>
      </c>
      <c r="H6" s="587" t="s">
        <v>100</v>
      </c>
      <c r="I6" s="588">
        <f>IF(H6&lt;&gt;0,(C6*(1+G6)^(E6-'Yearly Budget'!$B$2)),0)</f>
        <v>11592740.742999999</v>
      </c>
      <c r="J6" s="587">
        <v>1</v>
      </c>
      <c r="K6" s="588">
        <f t="shared" si="8"/>
        <v>11592740.742999999</v>
      </c>
      <c r="L6" s="588">
        <f t="shared" si="9"/>
        <v>0</v>
      </c>
      <c r="M6" s="593"/>
      <c r="N6" s="589"/>
      <c r="O6" s="590" t="s">
        <v>190</v>
      </c>
      <c r="AH6" s="1">
        <f t="shared" si="4"/>
        <v>0.03</v>
      </c>
      <c r="AI6" s="1">
        <f t="shared" si="5"/>
        <v>0</v>
      </c>
      <c r="AJ6" s="1">
        <f t="shared" si="6"/>
        <v>0</v>
      </c>
      <c r="AK6" s="1">
        <f t="shared" si="10"/>
        <v>0</v>
      </c>
      <c r="AL6" s="1">
        <f t="shared" si="10"/>
        <v>0</v>
      </c>
      <c r="AM6" s="1">
        <f t="shared" si="10"/>
        <v>0</v>
      </c>
      <c r="AN6" s="1">
        <f t="shared" si="10"/>
        <v>0</v>
      </c>
      <c r="AO6" s="1">
        <f t="shared" si="10"/>
        <v>10000000</v>
      </c>
      <c r="AP6" s="1">
        <f t="shared" si="10"/>
        <v>0</v>
      </c>
      <c r="AQ6" s="1">
        <f t="shared" si="10"/>
        <v>0</v>
      </c>
      <c r="AR6" s="1">
        <f t="shared" si="10"/>
        <v>0</v>
      </c>
      <c r="AS6" s="1">
        <f t="shared" si="10"/>
        <v>0</v>
      </c>
      <c r="AT6" s="1">
        <f t="shared" si="10"/>
        <v>0</v>
      </c>
      <c r="AU6" s="1">
        <f t="shared" si="10"/>
        <v>0</v>
      </c>
      <c r="AV6" s="1">
        <f t="shared" si="10"/>
        <v>0</v>
      </c>
      <c r="AW6" s="1">
        <f t="shared" si="10"/>
        <v>0</v>
      </c>
      <c r="AX6" s="1">
        <f t="shared" si="10"/>
        <v>0</v>
      </c>
      <c r="AY6" s="1">
        <f t="shared" si="10"/>
        <v>0</v>
      </c>
      <c r="AZ6" s="1">
        <f t="shared" si="10"/>
        <v>0</v>
      </c>
      <c r="BA6" s="1">
        <f t="shared" si="10"/>
        <v>0</v>
      </c>
      <c r="BB6" s="1">
        <f t="shared" si="10"/>
        <v>0</v>
      </c>
      <c r="BC6" s="1">
        <f t="shared" si="10"/>
        <v>0</v>
      </c>
      <c r="BD6" s="1">
        <f t="shared" si="10"/>
        <v>0</v>
      </c>
      <c r="BE6" s="1">
        <f t="shared" si="10"/>
        <v>0</v>
      </c>
      <c r="BF6" s="1">
        <f t="shared" si="10"/>
        <v>0</v>
      </c>
      <c r="BG6" s="1">
        <f t="shared" si="10"/>
        <v>0</v>
      </c>
      <c r="BH6" s="1">
        <f t="shared" si="10"/>
        <v>0</v>
      </c>
      <c r="BI6" s="1">
        <f t="shared" si="10"/>
        <v>0</v>
      </c>
      <c r="BJ6" s="1">
        <f t="shared" si="10"/>
        <v>0</v>
      </c>
      <c r="BK6" s="1">
        <f t="shared" si="10"/>
        <v>0</v>
      </c>
      <c r="BL6" s="1">
        <f t="shared" si="10"/>
        <v>0</v>
      </c>
      <c r="BM6" s="1">
        <f t="shared" si="10"/>
        <v>0</v>
      </c>
      <c r="BN6" s="1">
        <f t="shared" si="10"/>
        <v>0</v>
      </c>
      <c r="BO6" s="1">
        <f t="shared" si="10"/>
        <v>0</v>
      </c>
      <c r="BP6" s="1">
        <f t="shared" si="10"/>
        <v>0</v>
      </c>
      <c r="BQ6" s="1">
        <f t="shared" si="10"/>
        <v>0</v>
      </c>
      <c r="BR6" s="1">
        <f t="shared" si="10"/>
        <v>0</v>
      </c>
      <c r="BS6" s="1">
        <f t="shared" si="10"/>
        <v>0</v>
      </c>
      <c r="BT6" s="1">
        <f t="shared" si="10"/>
        <v>0</v>
      </c>
      <c r="BU6" s="1">
        <f t="shared" si="10"/>
        <v>0</v>
      </c>
      <c r="BV6" s="1">
        <f t="shared" si="10"/>
        <v>0</v>
      </c>
      <c r="BW6" s="1">
        <f t="shared" si="10"/>
        <v>0</v>
      </c>
      <c r="BX6" s="1">
        <f t="shared" si="10"/>
        <v>0</v>
      </c>
      <c r="BY6" s="1">
        <f t="shared" si="10"/>
        <v>0</v>
      </c>
      <c r="BZ6" s="1">
        <f t="shared" si="10"/>
        <v>0</v>
      </c>
      <c r="CA6" s="1">
        <f t="shared" si="10"/>
        <v>0</v>
      </c>
      <c r="CB6" s="1">
        <f t="shared" si="10"/>
        <v>0</v>
      </c>
      <c r="CC6" s="1">
        <f t="shared" si="10"/>
        <v>0</v>
      </c>
      <c r="CD6" s="1">
        <f t="shared" si="10"/>
        <v>0</v>
      </c>
      <c r="CE6" s="1">
        <f t="shared" si="10"/>
        <v>0</v>
      </c>
      <c r="CF6" s="1">
        <f t="shared" si="10"/>
        <v>0</v>
      </c>
      <c r="CG6" s="1">
        <f t="shared" si="10"/>
        <v>0</v>
      </c>
      <c r="CH6" s="1">
        <f t="shared" si="10"/>
        <v>0</v>
      </c>
      <c r="CI6" s="1">
        <f t="shared" si="10"/>
        <v>0</v>
      </c>
      <c r="CJ6" s="1">
        <f t="shared" si="10"/>
        <v>0</v>
      </c>
      <c r="CK6" s="1">
        <f t="shared" si="10"/>
        <v>0</v>
      </c>
      <c r="CL6" s="1">
        <f t="shared" si="10"/>
        <v>0</v>
      </c>
      <c r="CM6" s="1">
        <f t="shared" si="10"/>
        <v>0</v>
      </c>
      <c r="CN6" s="1">
        <f t="shared" si="10"/>
        <v>0</v>
      </c>
      <c r="CO6" s="1">
        <f t="shared" si="10"/>
        <v>0</v>
      </c>
      <c r="CP6" s="1">
        <f t="shared" si="10"/>
        <v>0</v>
      </c>
      <c r="CQ6" s="1">
        <f t="shared" si="10"/>
        <v>0</v>
      </c>
      <c r="CR6" s="1">
        <f t="shared" si="10"/>
        <v>0</v>
      </c>
      <c r="CS6" s="1">
        <f t="shared" si="10"/>
        <v>0</v>
      </c>
      <c r="CT6" s="1">
        <f t="shared" si="10"/>
        <v>0</v>
      </c>
      <c r="CU6" s="1">
        <f t="shared" si="10"/>
        <v>0</v>
      </c>
      <c r="CV6" s="1">
        <f t="shared" si="10"/>
        <v>0</v>
      </c>
      <c r="CW6" s="1">
        <f t="shared" si="3"/>
        <v>0</v>
      </c>
      <c r="CX6" s="1">
        <f t="shared" si="3"/>
        <v>0</v>
      </c>
      <c r="CY6" s="1">
        <f t="shared" si="3"/>
        <v>0</v>
      </c>
      <c r="CZ6" s="1">
        <f t="shared" si="3"/>
        <v>0</v>
      </c>
      <c r="DA6" s="1">
        <f t="shared" si="3"/>
        <v>0</v>
      </c>
      <c r="DB6" s="1">
        <f t="shared" si="3"/>
        <v>0</v>
      </c>
      <c r="DC6" s="1">
        <f t="shared" si="3"/>
        <v>0</v>
      </c>
      <c r="DD6" s="1">
        <f t="shared" si="3"/>
        <v>0</v>
      </c>
      <c r="DE6" s="1">
        <f t="shared" si="3"/>
        <v>0</v>
      </c>
      <c r="DF6" s="1">
        <f t="shared" si="3"/>
        <v>0</v>
      </c>
      <c r="DG6" s="1">
        <f t="shared" si="3"/>
        <v>0</v>
      </c>
      <c r="DK6" s="1">
        <f t="shared" si="11"/>
        <v>2028</v>
      </c>
      <c r="DL6" s="1">
        <f t="shared" ca="1" si="12"/>
        <v>48</v>
      </c>
      <c r="DM6" s="1">
        <f t="shared" ca="1" si="13"/>
        <v>53</v>
      </c>
      <c r="DN6" s="83" t="e">
        <f>IF(AM$32=0,NA(),AM$32)</f>
        <v>#N/A</v>
      </c>
      <c r="DO6" s="1" t="e">
        <f>IF(AM$33=0,NA(),AM$33)</f>
        <v>#N/A</v>
      </c>
      <c r="DP6" s="1" t="e">
        <f>IF(AM$34=0,NA(),AM$34)</f>
        <v>#N/A</v>
      </c>
      <c r="DQ6" s="1" t="e">
        <f>IF(AM$35=0,NA(),AM$35)</f>
        <v>#N/A</v>
      </c>
      <c r="DR6" s="1" t="e">
        <f>IF(AM$36=0,NA(),AM$36)</f>
        <v>#N/A</v>
      </c>
      <c r="DS6" s="1" t="e">
        <f>IF(AM$37=0,NA(),AM$37)</f>
        <v>#N/A</v>
      </c>
      <c r="DT6" s="1" t="e">
        <f>IF(AM$38=0,NA(),AM$38)</f>
        <v>#N/A</v>
      </c>
      <c r="DU6" s="1" t="e">
        <f>IF(AM$39=0,NA(),AM$39)</f>
        <v>#N/A</v>
      </c>
      <c r="DV6" s="1" t="e">
        <f>IF(AM$40=0,NA(),AM$40)</f>
        <v>#N/A</v>
      </c>
      <c r="DW6" s="1" t="e">
        <f>IF(AM$41=0,NA(),AM$41)</f>
        <v>#N/A</v>
      </c>
      <c r="DX6" s="1" t="e">
        <f>IF(AM$42=0,NA(),AM$42)</f>
        <v>#N/A</v>
      </c>
      <c r="DY6" s="1" t="e">
        <f>IF(AM$43=0,NA(),AM$43)</f>
        <v>#N/A</v>
      </c>
      <c r="DZ6" s="1" t="e">
        <f>IF(AM$44=0,NA(),AM$44)</f>
        <v>#N/A</v>
      </c>
      <c r="EA6" s="1" t="e">
        <f>IF(AM$45=0,NA(),AM$45)</f>
        <v>#N/A</v>
      </c>
      <c r="EB6" s="1" t="e">
        <f>IF(AM$46=0,NA(),AM$46)</f>
        <v>#N/A</v>
      </c>
      <c r="EC6" s="1" t="e">
        <f>IF(AM$47=0,NA(),AM$47)</f>
        <v>#N/A</v>
      </c>
      <c r="ED6" s="1" t="e">
        <f>IF(AM$48=0,NA(),AM$48)</f>
        <v>#N/A</v>
      </c>
      <c r="EE6" s="1" t="e">
        <f>IF(AM$49=0,NA(),AM$49)</f>
        <v>#N/A</v>
      </c>
      <c r="EF6" s="1" t="e">
        <f>IF(AM$50=0,NA(),AM$50)</f>
        <v>#N/A</v>
      </c>
      <c r="EG6" s="1" t="e">
        <f>IF(AM$51=0,NA(),AM$51)</f>
        <v>#N/A</v>
      </c>
      <c r="EH6" s="1" t="e">
        <f>IF(AM$52=0,NA(),AM$52)</f>
        <v>#N/A</v>
      </c>
      <c r="EI6" s="1" t="e">
        <f>IF(AM$53=0,NA(),AM$53)</f>
        <v>#N/A</v>
      </c>
      <c r="EJ6" s="1" t="e">
        <f>IF(AM$54=0,NA(),AM$54)</f>
        <v>#N/A</v>
      </c>
      <c r="EK6" s="1" t="e">
        <f>IF(AM$55=0,NA(),AM$55)</f>
        <v>#N/A</v>
      </c>
      <c r="EL6" s="1" t="e">
        <f>IF(AM$56=0,NA(),AM$56)</f>
        <v>#N/A</v>
      </c>
      <c r="EM6" s="1" t="e">
        <f>IF(AM$57=0,NA(),AM$57)</f>
        <v>#N/A</v>
      </c>
    </row>
    <row r="7" spans="1:143" ht="15" customHeight="1" x14ac:dyDescent="0.3">
      <c r="A7" s="584">
        <v>5</v>
      </c>
      <c r="B7" s="592"/>
      <c r="C7" s="585"/>
      <c r="D7" s="584"/>
      <c r="E7" s="584"/>
      <c r="F7" s="584"/>
      <c r="G7" s="587"/>
      <c r="H7" s="587"/>
      <c r="I7" s="588">
        <f>IF(H7&lt;&gt;0,(C7*(1+G7)^(E7-'Yearly Budget'!$B$2)),0)</f>
        <v>0</v>
      </c>
      <c r="J7" s="587"/>
      <c r="K7" s="588">
        <f t="shared" si="8"/>
        <v>0</v>
      </c>
      <c r="L7" s="588">
        <f t="shared" si="9"/>
        <v>0</v>
      </c>
      <c r="M7" s="593"/>
      <c r="N7" s="589"/>
      <c r="O7" s="590"/>
      <c r="AH7" s="1">
        <f t="shared" si="4"/>
        <v>0</v>
      </c>
      <c r="AI7" s="1">
        <f t="shared" si="5"/>
        <v>0</v>
      </c>
      <c r="AJ7" s="1">
        <f t="shared" si="6"/>
        <v>0</v>
      </c>
      <c r="AK7" s="1">
        <f t="shared" si="10"/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0</v>
      </c>
      <c r="AU7" s="1">
        <f t="shared" si="10"/>
        <v>0</v>
      </c>
      <c r="AV7" s="1">
        <f t="shared" si="10"/>
        <v>0</v>
      </c>
      <c r="AW7" s="1">
        <f t="shared" si="10"/>
        <v>0</v>
      </c>
      <c r="AX7" s="1">
        <f t="shared" si="10"/>
        <v>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>
        <f t="shared" si="10"/>
        <v>0</v>
      </c>
      <c r="BQ7" s="1">
        <f t="shared" si="10"/>
        <v>0</v>
      </c>
      <c r="BR7" s="1">
        <f t="shared" si="10"/>
        <v>0</v>
      </c>
      <c r="BS7" s="1">
        <f t="shared" si="10"/>
        <v>0</v>
      </c>
      <c r="BT7" s="1">
        <f t="shared" si="10"/>
        <v>0</v>
      </c>
      <c r="BU7" s="1">
        <f t="shared" si="10"/>
        <v>0</v>
      </c>
      <c r="BV7" s="1">
        <f t="shared" si="10"/>
        <v>0</v>
      </c>
      <c r="BW7" s="1">
        <f t="shared" si="10"/>
        <v>0</v>
      </c>
      <c r="BX7" s="1">
        <f t="shared" si="10"/>
        <v>0</v>
      </c>
      <c r="BY7" s="1">
        <f t="shared" si="10"/>
        <v>0</v>
      </c>
      <c r="BZ7" s="1">
        <f t="shared" si="10"/>
        <v>0</v>
      </c>
      <c r="CA7" s="1">
        <f t="shared" si="10"/>
        <v>0</v>
      </c>
      <c r="CB7" s="1">
        <f t="shared" si="10"/>
        <v>0</v>
      </c>
      <c r="CC7" s="1">
        <f t="shared" si="10"/>
        <v>0</v>
      </c>
      <c r="CD7" s="1">
        <f t="shared" si="10"/>
        <v>0</v>
      </c>
      <c r="CE7" s="1">
        <f t="shared" si="10"/>
        <v>0</v>
      </c>
      <c r="CF7" s="1">
        <f t="shared" si="10"/>
        <v>0</v>
      </c>
      <c r="CG7" s="1">
        <f t="shared" si="10"/>
        <v>0</v>
      </c>
      <c r="CH7" s="1">
        <f t="shared" si="10"/>
        <v>0</v>
      </c>
      <c r="CI7" s="1">
        <f t="shared" si="10"/>
        <v>0</v>
      </c>
      <c r="CJ7" s="1">
        <f t="shared" si="10"/>
        <v>0</v>
      </c>
      <c r="CK7" s="1">
        <f t="shared" si="10"/>
        <v>0</v>
      </c>
      <c r="CL7" s="1">
        <f t="shared" si="10"/>
        <v>0</v>
      </c>
      <c r="CM7" s="1">
        <f t="shared" si="10"/>
        <v>0</v>
      </c>
      <c r="CN7" s="1">
        <f t="shared" si="10"/>
        <v>0</v>
      </c>
      <c r="CO7" s="1">
        <f t="shared" si="10"/>
        <v>0</v>
      </c>
      <c r="CP7" s="1">
        <f t="shared" si="10"/>
        <v>0</v>
      </c>
      <c r="CQ7" s="1">
        <f t="shared" si="10"/>
        <v>0</v>
      </c>
      <c r="CR7" s="1">
        <f t="shared" si="10"/>
        <v>0</v>
      </c>
      <c r="CS7" s="1">
        <f t="shared" si="10"/>
        <v>0</v>
      </c>
      <c r="CT7" s="1">
        <f t="shared" si="10"/>
        <v>0</v>
      </c>
      <c r="CU7" s="1">
        <f t="shared" si="10"/>
        <v>0</v>
      </c>
      <c r="CV7" s="1">
        <f t="shared" si="10"/>
        <v>0</v>
      </c>
      <c r="CW7" s="1">
        <f t="shared" si="3"/>
        <v>0</v>
      </c>
      <c r="CX7" s="1">
        <f t="shared" si="3"/>
        <v>0</v>
      </c>
      <c r="CY7" s="1">
        <f t="shared" si="3"/>
        <v>0</v>
      </c>
      <c r="CZ7" s="1">
        <f t="shared" si="3"/>
        <v>0</v>
      </c>
      <c r="DA7" s="1">
        <f t="shared" si="3"/>
        <v>0</v>
      </c>
      <c r="DB7" s="1">
        <f t="shared" si="3"/>
        <v>0</v>
      </c>
      <c r="DC7" s="1">
        <f t="shared" si="3"/>
        <v>0</v>
      </c>
      <c r="DD7" s="1">
        <f t="shared" si="3"/>
        <v>0</v>
      </c>
      <c r="DE7" s="1">
        <f t="shared" si="3"/>
        <v>0</v>
      </c>
      <c r="DF7" s="1">
        <f t="shared" si="3"/>
        <v>0</v>
      </c>
      <c r="DG7" s="1">
        <f t="shared" si="3"/>
        <v>0</v>
      </c>
      <c r="DK7" s="1">
        <f t="shared" si="11"/>
        <v>2029</v>
      </c>
      <c r="DL7" s="1">
        <f t="shared" ca="1" si="12"/>
        <v>49</v>
      </c>
      <c r="DM7" s="1">
        <f t="shared" ca="1" si="13"/>
        <v>54</v>
      </c>
      <c r="DN7" s="83">
        <f>IF(AN$32=0,NA(),AN$32)</f>
        <v>3509575.6800000006</v>
      </c>
      <c r="DO7" s="1" t="e">
        <f>IF(AN$33=0,NA(),AN$33)</f>
        <v>#N/A</v>
      </c>
      <c r="DP7" s="1" t="e">
        <f>IF(AN$34=0,NA(),AN$34)</f>
        <v>#N/A</v>
      </c>
      <c r="DQ7" s="1" t="e">
        <f>IF(AN$35=0,NA(),AN$35)</f>
        <v>#N/A</v>
      </c>
      <c r="DR7" s="1" t="e">
        <f>IF(AN$36=0,NA(),AN$36)</f>
        <v>#N/A</v>
      </c>
      <c r="DS7" s="1" t="e">
        <f>IF(AN$37=0,NA(),AN$37)</f>
        <v>#N/A</v>
      </c>
      <c r="DT7" s="1" t="e">
        <f>IF(AN$38=0,NA(),AN$38)</f>
        <v>#N/A</v>
      </c>
      <c r="DU7" s="1" t="e">
        <f>IF(AN$39=0,NA(),AN$39)</f>
        <v>#N/A</v>
      </c>
      <c r="DV7" s="1" t="e">
        <f>IF(AN$40=0,NA(),AN$40)</f>
        <v>#N/A</v>
      </c>
      <c r="DW7" s="1" t="e">
        <f>IF(AN$41=0,NA(),AN$41)</f>
        <v>#N/A</v>
      </c>
      <c r="DX7" s="1" t="e">
        <f>IF(AN$42=0,NA(),AN$42)</f>
        <v>#N/A</v>
      </c>
      <c r="DY7" s="1" t="e">
        <f>IF(AN$43=0,NA(),AN$43)</f>
        <v>#N/A</v>
      </c>
      <c r="DZ7" s="1" t="e">
        <f>IF(AN$44=0,NA(),AN$44)</f>
        <v>#N/A</v>
      </c>
      <c r="EA7" s="1" t="e">
        <f>IF(AN$45=0,NA(),AN$45)</f>
        <v>#N/A</v>
      </c>
      <c r="EB7" s="1" t="e">
        <f>IF(AN$46=0,NA(),AN$46)</f>
        <v>#N/A</v>
      </c>
      <c r="EC7" s="1" t="e">
        <f>IF(AN$47=0,NA(),AN$47)</f>
        <v>#N/A</v>
      </c>
      <c r="ED7" s="1" t="e">
        <f>IF(AN$48=0,NA(),AN$48)</f>
        <v>#N/A</v>
      </c>
      <c r="EE7" s="1" t="e">
        <f>IF(AN$49=0,NA(),AN$49)</f>
        <v>#N/A</v>
      </c>
      <c r="EF7" s="1" t="e">
        <f>IF(AN$50=0,NA(),AN$50)</f>
        <v>#N/A</v>
      </c>
      <c r="EG7" s="1" t="e">
        <f>IF(AN$51=0,NA(),AN$51)</f>
        <v>#N/A</v>
      </c>
      <c r="EH7" s="1" t="e">
        <f>IF(AN$52=0,NA(),AN$52)</f>
        <v>#N/A</v>
      </c>
      <c r="EI7" s="1" t="e">
        <f>IF(AN$53=0,NA(),AN$53)</f>
        <v>#N/A</v>
      </c>
      <c r="EJ7" s="1" t="e">
        <f>IF(AN$54=0,NA(),AN$54)</f>
        <v>#N/A</v>
      </c>
      <c r="EK7" s="1" t="e">
        <f>IF(AN$55=0,NA(),AN$55)</f>
        <v>#N/A</v>
      </c>
      <c r="EL7" s="1" t="e">
        <f>IF(AN$56=0,NA(),AN$56)</f>
        <v>#N/A</v>
      </c>
      <c r="EM7" s="1" t="e">
        <f>IF(AN$57=0,NA(),AN$57)</f>
        <v>#N/A</v>
      </c>
    </row>
    <row r="8" spans="1:143" ht="15" customHeight="1" x14ac:dyDescent="0.3">
      <c r="A8" s="584">
        <v>6</v>
      </c>
      <c r="B8" s="592"/>
      <c r="C8" s="585"/>
      <c r="D8" s="584"/>
      <c r="E8" s="584"/>
      <c r="F8" s="584"/>
      <c r="G8" s="594"/>
      <c r="H8" s="587"/>
      <c r="I8" s="588">
        <f>IF(H8&lt;&gt;0,(C8*(1+G8)^(E8-'Yearly Budget'!$B$2)),0)</f>
        <v>0</v>
      </c>
      <c r="J8" s="587"/>
      <c r="K8" s="588">
        <f t="shared" si="8"/>
        <v>0</v>
      </c>
      <c r="L8" s="588">
        <f t="shared" si="9"/>
        <v>0</v>
      </c>
      <c r="M8" s="593"/>
      <c r="N8" s="589"/>
      <c r="O8" s="590"/>
      <c r="AH8" s="1">
        <f t="shared" si="4"/>
        <v>0</v>
      </c>
      <c r="AI8" s="1">
        <f t="shared" si="5"/>
        <v>0</v>
      </c>
      <c r="AJ8" s="1">
        <f t="shared" si="6"/>
        <v>0</v>
      </c>
      <c r="AK8" s="1">
        <f t="shared" si="10"/>
        <v>0</v>
      </c>
      <c r="AL8" s="1">
        <f t="shared" si="10"/>
        <v>0</v>
      </c>
      <c r="AM8" s="1">
        <f t="shared" si="10"/>
        <v>0</v>
      </c>
      <c r="AN8" s="1">
        <f t="shared" si="10"/>
        <v>0</v>
      </c>
      <c r="AO8" s="1">
        <f t="shared" si="10"/>
        <v>0</v>
      </c>
      <c r="AP8" s="1">
        <f t="shared" si="10"/>
        <v>0</v>
      </c>
      <c r="AQ8" s="1">
        <f t="shared" si="10"/>
        <v>0</v>
      </c>
      <c r="AR8" s="1">
        <f t="shared" si="10"/>
        <v>0</v>
      </c>
      <c r="AS8" s="1">
        <f t="shared" si="10"/>
        <v>0</v>
      </c>
      <c r="AT8" s="1">
        <f t="shared" si="10"/>
        <v>0</v>
      </c>
      <c r="AU8" s="1">
        <f t="shared" si="10"/>
        <v>0</v>
      </c>
      <c r="AV8" s="1">
        <f t="shared" si="10"/>
        <v>0</v>
      </c>
      <c r="AW8" s="1">
        <f t="shared" si="10"/>
        <v>0</v>
      </c>
      <c r="AX8" s="1">
        <f t="shared" si="10"/>
        <v>0</v>
      </c>
      <c r="AY8" s="1">
        <f t="shared" si="10"/>
        <v>0</v>
      </c>
      <c r="AZ8" s="1">
        <f t="shared" si="10"/>
        <v>0</v>
      </c>
      <c r="BA8" s="1">
        <f t="shared" si="10"/>
        <v>0</v>
      </c>
      <c r="BB8" s="1">
        <f t="shared" si="10"/>
        <v>0</v>
      </c>
      <c r="BC8" s="1">
        <f t="shared" si="10"/>
        <v>0</v>
      </c>
      <c r="BD8" s="1">
        <f t="shared" si="10"/>
        <v>0</v>
      </c>
      <c r="BE8" s="1">
        <f t="shared" si="10"/>
        <v>0</v>
      </c>
      <c r="BF8" s="1">
        <f t="shared" si="10"/>
        <v>0</v>
      </c>
      <c r="BG8" s="1">
        <f t="shared" si="10"/>
        <v>0</v>
      </c>
      <c r="BH8" s="1">
        <f t="shared" si="10"/>
        <v>0</v>
      </c>
      <c r="BI8" s="1">
        <f t="shared" si="10"/>
        <v>0</v>
      </c>
      <c r="BJ8" s="1">
        <f t="shared" si="10"/>
        <v>0</v>
      </c>
      <c r="BK8" s="1">
        <f t="shared" si="10"/>
        <v>0</v>
      </c>
      <c r="BL8" s="1">
        <f t="shared" si="10"/>
        <v>0</v>
      </c>
      <c r="BM8" s="1">
        <f t="shared" si="10"/>
        <v>0</v>
      </c>
      <c r="BN8" s="1">
        <f t="shared" si="10"/>
        <v>0</v>
      </c>
      <c r="BO8" s="1">
        <f t="shared" si="10"/>
        <v>0</v>
      </c>
      <c r="BP8" s="1">
        <f t="shared" si="10"/>
        <v>0</v>
      </c>
      <c r="BQ8" s="1">
        <f t="shared" si="10"/>
        <v>0</v>
      </c>
      <c r="BR8" s="1">
        <f t="shared" si="10"/>
        <v>0</v>
      </c>
      <c r="BS8" s="1">
        <f t="shared" si="10"/>
        <v>0</v>
      </c>
      <c r="BT8" s="1">
        <f t="shared" si="10"/>
        <v>0</v>
      </c>
      <c r="BU8" s="1">
        <f t="shared" si="10"/>
        <v>0</v>
      </c>
      <c r="BV8" s="1">
        <f t="shared" si="10"/>
        <v>0</v>
      </c>
      <c r="BW8" s="1">
        <f t="shared" si="10"/>
        <v>0</v>
      </c>
      <c r="BX8" s="1">
        <f t="shared" si="10"/>
        <v>0</v>
      </c>
      <c r="BY8" s="1">
        <f t="shared" si="10"/>
        <v>0</v>
      </c>
      <c r="BZ8" s="1">
        <f t="shared" si="10"/>
        <v>0</v>
      </c>
      <c r="CA8" s="1">
        <f t="shared" si="10"/>
        <v>0</v>
      </c>
      <c r="CB8" s="1">
        <f t="shared" si="10"/>
        <v>0</v>
      </c>
      <c r="CC8" s="1">
        <f t="shared" si="10"/>
        <v>0</v>
      </c>
      <c r="CD8" s="1">
        <f t="shared" si="10"/>
        <v>0</v>
      </c>
      <c r="CE8" s="1">
        <f t="shared" si="10"/>
        <v>0</v>
      </c>
      <c r="CF8" s="1">
        <f t="shared" si="10"/>
        <v>0</v>
      </c>
      <c r="CG8" s="1">
        <f t="shared" si="10"/>
        <v>0</v>
      </c>
      <c r="CH8" s="1">
        <f t="shared" si="10"/>
        <v>0</v>
      </c>
      <c r="CI8" s="1">
        <f t="shared" si="10"/>
        <v>0</v>
      </c>
      <c r="CJ8" s="1">
        <f t="shared" si="10"/>
        <v>0</v>
      </c>
      <c r="CK8" s="1">
        <f t="shared" si="10"/>
        <v>0</v>
      </c>
      <c r="CL8" s="1">
        <f t="shared" si="10"/>
        <v>0</v>
      </c>
      <c r="CM8" s="1">
        <f t="shared" si="10"/>
        <v>0</v>
      </c>
      <c r="CN8" s="1">
        <f t="shared" si="10"/>
        <v>0</v>
      </c>
      <c r="CO8" s="1">
        <f t="shared" si="10"/>
        <v>0</v>
      </c>
      <c r="CP8" s="1">
        <f t="shared" si="10"/>
        <v>0</v>
      </c>
      <c r="CQ8" s="1">
        <f t="shared" si="10"/>
        <v>0</v>
      </c>
      <c r="CR8" s="1">
        <f t="shared" si="10"/>
        <v>0</v>
      </c>
      <c r="CS8" s="1">
        <f t="shared" si="10"/>
        <v>0</v>
      </c>
      <c r="CT8" s="1">
        <f t="shared" si="10"/>
        <v>0</v>
      </c>
      <c r="CU8" s="1">
        <f t="shared" si="10"/>
        <v>0</v>
      </c>
      <c r="CV8" s="1">
        <f t="shared" ref="CV8:DG11" si="14">IFERROR(IF($D8="Recurring",IF(AND($E8&lt;=CV$2,CV$2&lt;=$AI8),$C8,0),IF($J8=0,_xlfn.XLOOKUP(CV$2,$E8,$C8),_xlfn.XLOOKUP(CV$2,$E8,$C8*$J8))),0)</f>
        <v>0</v>
      </c>
      <c r="CW8" s="1">
        <f t="shared" si="14"/>
        <v>0</v>
      </c>
      <c r="CX8" s="1">
        <f t="shared" si="14"/>
        <v>0</v>
      </c>
      <c r="CY8" s="1">
        <f t="shared" si="14"/>
        <v>0</v>
      </c>
      <c r="CZ8" s="1">
        <f t="shared" si="14"/>
        <v>0</v>
      </c>
      <c r="DA8" s="1">
        <f t="shared" si="14"/>
        <v>0</v>
      </c>
      <c r="DB8" s="1">
        <f t="shared" si="14"/>
        <v>0</v>
      </c>
      <c r="DC8" s="1">
        <f t="shared" si="14"/>
        <v>0</v>
      </c>
      <c r="DD8" s="1">
        <f t="shared" si="14"/>
        <v>0</v>
      </c>
      <c r="DE8" s="1">
        <f t="shared" si="14"/>
        <v>0</v>
      </c>
      <c r="DF8" s="1">
        <f t="shared" si="14"/>
        <v>0</v>
      </c>
      <c r="DG8" s="1">
        <f t="shared" si="14"/>
        <v>0</v>
      </c>
      <c r="DK8" s="1">
        <f t="shared" si="11"/>
        <v>2030</v>
      </c>
      <c r="DL8" s="1">
        <f t="shared" ca="1" si="12"/>
        <v>50</v>
      </c>
      <c r="DM8" s="1">
        <f t="shared" ca="1" si="13"/>
        <v>55</v>
      </c>
      <c r="DN8" s="83">
        <f>IF(AO$32=0,NA(),AO$32)</f>
        <v>3649958.707200001</v>
      </c>
      <c r="DO8" s="1" t="e">
        <f>IF(AO$33=0,NA(),AO$33)</f>
        <v>#N/A</v>
      </c>
      <c r="DP8" s="1" t="e">
        <f>IF(AO$34=0,NA(),AO$34)</f>
        <v>#N/A</v>
      </c>
      <c r="DQ8" s="1">
        <f>IF(AO$35=0,NA(),AO$35)</f>
        <v>11592740.742999999</v>
      </c>
      <c r="DR8" s="1" t="e">
        <f>IF(AO$36=0,NA(),AO$36)</f>
        <v>#N/A</v>
      </c>
      <c r="DS8" s="1" t="e">
        <f>IF(AO$37=0,NA(),AO$37)</f>
        <v>#N/A</v>
      </c>
      <c r="DT8" s="1" t="e">
        <f>IF(AO$38=0,NA(),AO$38)</f>
        <v>#N/A</v>
      </c>
      <c r="DU8" s="1" t="e">
        <f>IF(AO$39=0,NA(),AO$39)</f>
        <v>#N/A</v>
      </c>
      <c r="DV8" s="1" t="e">
        <f>IF(AO$40=0,NA(),AO$40)</f>
        <v>#N/A</v>
      </c>
      <c r="DW8" s="1" t="e">
        <f>IF(AO$41=0,NA(),AO$41)</f>
        <v>#N/A</v>
      </c>
      <c r="DX8" s="1" t="e">
        <f>IF(AO$42=0,NA(),AO$42)</f>
        <v>#N/A</v>
      </c>
      <c r="DY8" s="1" t="e">
        <f>IF(AO$43=0,NA(),AO$43)</f>
        <v>#N/A</v>
      </c>
      <c r="DZ8" s="1" t="e">
        <f>IF(AO$44=0,NA(),AO$44)</f>
        <v>#N/A</v>
      </c>
      <c r="EA8" s="1" t="e">
        <f>IF(AO$45=0,NA(),AO$45)</f>
        <v>#N/A</v>
      </c>
      <c r="EB8" s="1" t="e">
        <f>IF(AO$46=0,NA(),AO$46)</f>
        <v>#N/A</v>
      </c>
      <c r="EC8" s="1" t="e">
        <f>IF(AO$47=0,NA(),AO$47)</f>
        <v>#N/A</v>
      </c>
      <c r="ED8" s="1" t="e">
        <f>IF(AO$48=0,NA(),AO$48)</f>
        <v>#N/A</v>
      </c>
      <c r="EE8" s="1" t="e">
        <f>IF(AO$49=0,NA(),AO$49)</f>
        <v>#N/A</v>
      </c>
      <c r="EF8" s="1" t="e">
        <f>IF(AO$50=0,NA(),AO$50)</f>
        <v>#N/A</v>
      </c>
      <c r="EG8" s="1" t="e">
        <f>IF(AO$51=0,NA(),AO$51)</f>
        <v>#N/A</v>
      </c>
      <c r="EH8" s="1" t="e">
        <f>IF(AO$52=0,NA(),AO$52)</f>
        <v>#N/A</v>
      </c>
      <c r="EI8" s="1" t="e">
        <f>IF(AO$53=0,NA(),AO$53)</f>
        <v>#N/A</v>
      </c>
      <c r="EJ8" s="1" t="e">
        <f>IF(AO$54=0,NA(),AO$54)</f>
        <v>#N/A</v>
      </c>
      <c r="EK8" s="1" t="e">
        <f>IF(AO$55=0,NA(),AO$55)</f>
        <v>#N/A</v>
      </c>
      <c r="EL8" s="1" t="e">
        <f>IF(AO$56=0,NA(),AO$56)</f>
        <v>#N/A</v>
      </c>
      <c r="EM8" s="1" t="e">
        <f>IF(AO$57=0,NA(),AO$57)</f>
        <v>#N/A</v>
      </c>
    </row>
    <row r="9" spans="1:143" ht="15" customHeight="1" x14ac:dyDescent="0.3">
      <c r="A9" s="584">
        <v>7</v>
      </c>
      <c r="B9" s="592"/>
      <c r="C9" s="585"/>
      <c r="D9" s="584"/>
      <c r="E9" s="584"/>
      <c r="F9" s="584"/>
      <c r="G9" s="594"/>
      <c r="H9" s="587"/>
      <c r="I9" s="588">
        <f>IF(H9&lt;&gt;0,(C9*(1+G9)^(E9-'Yearly Budget'!$B$2)),0)</f>
        <v>0</v>
      </c>
      <c r="J9" s="587"/>
      <c r="K9" s="588">
        <f t="shared" si="8"/>
        <v>0</v>
      </c>
      <c r="L9" s="588">
        <f t="shared" si="9"/>
        <v>0</v>
      </c>
      <c r="M9" s="593"/>
      <c r="N9" s="589"/>
      <c r="O9" s="590"/>
      <c r="AH9" s="1">
        <f t="shared" si="4"/>
        <v>0</v>
      </c>
      <c r="AI9" s="1">
        <f t="shared" si="5"/>
        <v>0</v>
      </c>
      <c r="AJ9" s="1">
        <f t="shared" si="6"/>
        <v>0</v>
      </c>
      <c r="AK9" s="1">
        <f t="shared" ref="AK9:CV12" si="15">IFERROR(IF($D9="Recurring",IF(AND($E9&lt;=AK$2,AK$2&lt;=$AI9),$C9,0),IF($J9=0,_xlfn.XLOOKUP(AK$2,$E9,$C9),_xlfn.XLOOKUP(AK$2,$E9,$C9*$J9))),0)</f>
        <v>0</v>
      </c>
      <c r="AL9" s="1">
        <f t="shared" si="15"/>
        <v>0</v>
      </c>
      <c r="AM9" s="1">
        <f t="shared" si="15"/>
        <v>0</v>
      </c>
      <c r="AN9" s="1">
        <f t="shared" si="15"/>
        <v>0</v>
      </c>
      <c r="AO9" s="1">
        <f t="shared" si="15"/>
        <v>0</v>
      </c>
      <c r="AP9" s="1">
        <f t="shared" si="15"/>
        <v>0</v>
      </c>
      <c r="AQ9" s="1">
        <f t="shared" si="15"/>
        <v>0</v>
      </c>
      <c r="AR9" s="1">
        <f t="shared" si="15"/>
        <v>0</v>
      </c>
      <c r="AS9" s="1">
        <f t="shared" si="15"/>
        <v>0</v>
      </c>
      <c r="AT9" s="1">
        <f t="shared" si="15"/>
        <v>0</v>
      </c>
      <c r="AU9" s="1">
        <f t="shared" si="15"/>
        <v>0</v>
      </c>
      <c r="AV9" s="1">
        <f t="shared" si="15"/>
        <v>0</v>
      </c>
      <c r="AW9" s="1">
        <f t="shared" si="15"/>
        <v>0</v>
      </c>
      <c r="AX9" s="1">
        <f t="shared" si="15"/>
        <v>0</v>
      </c>
      <c r="AY9" s="1">
        <f t="shared" si="15"/>
        <v>0</v>
      </c>
      <c r="AZ9" s="1">
        <f t="shared" si="15"/>
        <v>0</v>
      </c>
      <c r="BA9" s="1">
        <f t="shared" si="15"/>
        <v>0</v>
      </c>
      <c r="BB9" s="1">
        <f t="shared" si="15"/>
        <v>0</v>
      </c>
      <c r="BC9" s="1">
        <f t="shared" si="15"/>
        <v>0</v>
      </c>
      <c r="BD9" s="1">
        <f t="shared" si="15"/>
        <v>0</v>
      </c>
      <c r="BE9" s="1">
        <f t="shared" si="15"/>
        <v>0</v>
      </c>
      <c r="BF9" s="1">
        <f t="shared" si="15"/>
        <v>0</v>
      </c>
      <c r="BG9" s="1">
        <f t="shared" si="15"/>
        <v>0</v>
      </c>
      <c r="BH9" s="1">
        <f t="shared" si="15"/>
        <v>0</v>
      </c>
      <c r="BI9" s="1">
        <f t="shared" si="15"/>
        <v>0</v>
      </c>
      <c r="BJ9" s="1">
        <f t="shared" si="15"/>
        <v>0</v>
      </c>
      <c r="BK9" s="1">
        <f t="shared" si="15"/>
        <v>0</v>
      </c>
      <c r="BL9" s="1">
        <f t="shared" si="15"/>
        <v>0</v>
      </c>
      <c r="BM9" s="1">
        <f t="shared" si="15"/>
        <v>0</v>
      </c>
      <c r="BN9" s="1">
        <f t="shared" si="15"/>
        <v>0</v>
      </c>
      <c r="BO9" s="1">
        <f t="shared" si="15"/>
        <v>0</v>
      </c>
      <c r="BP9" s="1">
        <f t="shared" si="15"/>
        <v>0</v>
      </c>
      <c r="BQ9" s="1">
        <f t="shared" si="15"/>
        <v>0</v>
      </c>
      <c r="BR9" s="1">
        <f t="shared" si="15"/>
        <v>0</v>
      </c>
      <c r="BS9" s="1">
        <f t="shared" si="15"/>
        <v>0</v>
      </c>
      <c r="BT9" s="1">
        <f t="shared" si="15"/>
        <v>0</v>
      </c>
      <c r="BU9" s="1">
        <f t="shared" si="15"/>
        <v>0</v>
      </c>
      <c r="BV9" s="1">
        <f t="shared" si="15"/>
        <v>0</v>
      </c>
      <c r="BW9" s="1">
        <f t="shared" si="15"/>
        <v>0</v>
      </c>
      <c r="BX9" s="1">
        <f t="shared" si="15"/>
        <v>0</v>
      </c>
      <c r="BY9" s="1">
        <f t="shared" si="15"/>
        <v>0</v>
      </c>
      <c r="BZ9" s="1">
        <f t="shared" si="15"/>
        <v>0</v>
      </c>
      <c r="CA9" s="1">
        <f t="shared" si="15"/>
        <v>0</v>
      </c>
      <c r="CB9" s="1">
        <f t="shared" si="15"/>
        <v>0</v>
      </c>
      <c r="CC9" s="1">
        <f t="shared" si="15"/>
        <v>0</v>
      </c>
      <c r="CD9" s="1">
        <f t="shared" si="15"/>
        <v>0</v>
      </c>
      <c r="CE9" s="1">
        <f t="shared" si="15"/>
        <v>0</v>
      </c>
      <c r="CF9" s="1">
        <f t="shared" si="15"/>
        <v>0</v>
      </c>
      <c r="CG9" s="1">
        <f t="shared" si="15"/>
        <v>0</v>
      </c>
      <c r="CH9" s="1">
        <f t="shared" si="15"/>
        <v>0</v>
      </c>
      <c r="CI9" s="1">
        <f t="shared" si="15"/>
        <v>0</v>
      </c>
      <c r="CJ9" s="1">
        <f t="shared" si="15"/>
        <v>0</v>
      </c>
      <c r="CK9" s="1">
        <f t="shared" si="15"/>
        <v>0</v>
      </c>
      <c r="CL9" s="1">
        <f t="shared" si="15"/>
        <v>0</v>
      </c>
      <c r="CM9" s="1">
        <f t="shared" si="15"/>
        <v>0</v>
      </c>
      <c r="CN9" s="1">
        <f t="shared" si="15"/>
        <v>0</v>
      </c>
      <c r="CO9" s="1">
        <f t="shared" si="15"/>
        <v>0</v>
      </c>
      <c r="CP9" s="1">
        <f t="shared" si="15"/>
        <v>0</v>
      </c>
      <c r="CQ9" s="1">
        <f t="shared" si="15"/>
        <v>0</v>
      </c>
      <c r="CR9" s="1">
        <f t="shared" si="15"/>
        <v>0</v>
      </c>
      <c r="CS9" s="1">
        <f t="shared" si="15"/>
        <v>0</v>
      </c>
      <c r="CT9" s="1">
        <f t="shared" si="15"/>
        <v>0</v>
      </c>
      <c r="CU9" s="1">
        <f t="shared" si="15"/>
        <v>0</v>
      </c>
      <c r="CV9" s="1">
        <f t="shared" si="15"/>
        <v>0</v>
      </c>
      <c r="CW9" s="1">
        <f t="shared" si="14"/>
        <v>0</v>
      </c>
      <c r="CX9" s="1">
        <f t="shared" si="14"/>
        <v>0</v>
      </c>
      <c r="CY9" s="1">
        <f t="shared" si="14"/>
        <v>0</v>
      </c>
      <c r="CZ9" s="1">
        <f t="shared" si="14"/>
        <v>0</v>
      </c>
      <c r="DA9" s="1">
        <f t="shared" si="14"/>
        <v>0</v>
      </c>
      <c r="DB9" s="1">
        <f t="shared" si="14"/>
        <v>0</v>
      </c>
      <c r="DC9" s="1">
        <f t="shared" si="14"/>
        <v>0</v>
      </c>
      <c r="DD9" s="1">
        <f t="shared" si="14"/>
        <v>0</v>
      </c>
      <c r="DE9" s="1">
        <f t="shared" si="14"/>
        <v>0</v>
      </c>
      <c r="DF9" s="1">
        <f t="shared" si="14"/>
        <v>0</v>
      </c>
      <c r="DG9" s="1">
        <f t="shared" si="14"/>
        <v>0</v>
      </c>
      <c r="DK9" s="1">
        <f t="shared" si="11"/>
        <v>2031</v>
      </c>
      <c r="DL9" s="1">
        <f t="shared" ca="1" si="12"/>
        <v>51</v>
      </c>
      <c r="DM9" s="1">
        <f t="shared" ca="1" si="13"/>
        <v>56</v>
      </c>
      <c r="DN9" s="83">
        <f>IF(AP$32=0,NA(),AP$32)</f>
        <v>3795957.0554880011</v>
      </c>
      <c r="DO9" s="1" t="e">
        <f>IF(AP$33=0,NA(),AP$33)</f>
        <v>#N/A</v>
      </c>
      <c r="DP9" s="1" t="e">
        <f>IF(AP$34=0,NA(),AP$34)</f>
        <v>#N/A</v>
      </c>
      <c r="DQ9" s="1" t="e">
        <f>IF(AP$35=0,NA(),AP$35)</f>
        <v>#N/A</v>
      </c>
      <c r="DR9" s="1" t="e">
        <f>IF(AP$36=0,NA(),AP$36)</f>
        <v>#N/A</v>
      </c>
      <c r="DS9" s="1" t="e">
        <f>IF(AP$37=0,NA(),AP$37)</f>
        <v>#N/A</v>
      </c>
      <c r="DT9" s="1" t="e">
        <f>IF(AP$38=0,NA(),AP$38)</f>
        <v>#N/A</v>
      </c>
      <c r="DU9" s="1" t="e">
        <f>IF(AP$39=0,NA(),AP$39)</f>
        <v>#N/A</v>
      </c>
      <c r="DV9" s="1" t="e">
        <f>IF(AP$40=0,NA(),AP$40)</f>
        <v>#N/A</v>
      </c>
      <c r="DW9" s="1" t="e">
        <f>IF(AP$41=0,NA(),AP$41)</f>
        <v>#N/A</v>
      </c>
      <c r="DX9" s="1" t="e">
        <f>IF(AP$42=0,NA(),AP$42)</f>
        <v>#N/A</v>
      </c>
      <c r="DY9" s="1" t="e">
        <f>IF(AP$43=0,NA(),AP$43)</f>
        <v>#N/A</v>
      </c>
      <c r="DZ9" s="1" t="e">
        <f>IF(AP$44=0,NA(),AP$44)</f>
        <v>#N/A</v>
      </c>
      <c r="EA9" s="1" t="e">
        <f>IF(AP$45=0,NA(),AP$45)</f>
        <v>#N/A</v>
      </c>
      <c r="EB9" s="1" t="e">
        <f>IF(AP$46=0,NA(),AP$46)</f>
        <v>#N/A</v>
      </c>
      <c r="EC9" s="1" t="e">
        <f>IF(AP$47=0,NA(),AP$47)</f>
        <v>#N/A</v>
      </c>
      <c r="ED9" s="1" t="e">
        <f>IF(AP$48=0,NA(),AP$48)</f>
        <v>#N/A</v>
      </c>
      <c r="EE9" s="1" t="e">
        <f>IF(AP$49=0,NA(),AP$49)</f>
        <v>#N/A</v>
      </c>
      <c r="EF9" s="1" t="e">
        <f>IF(AP$50=0,NA(),AP$50)</f>
        <v>#N/A</v>
      </c>
      <c r="EG9" s="1" t="e">
        <f>IF(AP$51=0,NA(),AP$51)</f>
        <v>#N/A</v>
      </c>
      <c r="EH9" s="1" t="e">
        <f>IF(AP$52=0,NA(),AP$52)</f>
        <v>#N/A</v>
      </c>
      <c r="EI9" s="1" t="e">
        <f>IF(AP$53=0,NA(),AP$53)</f>
        <v>#N/A</v>
      </c>
      <c r="EJ9" s="1" t="e">
        <f>IF(AP$54=0,NA(),AP$54)</f>
        <v>#N/A</v>
      </c>
      <c r="EK9" s="1" t="e">
        <f>IF(AP$55=0,NA(),AP$55)</f>
        <v>#N/A</v>
      </c>
      <c r="EL9" s="1" t="e">
        <f>IF(AP$56=0,NA(),AP$56)</f>
        <v>#N/A</v>
      </c>
      <c r="EM9" s="1" t="e">
        <f>IF(AP$57=0,NA(),AP$57)</f>
        <v>#N/A</v>
      </c>
    </row>
    <row r="10" spans="1:143" ht="15" customHeight="1" x14ac:dyDescent="0.3">
      <c r="A10" s="584">
        <v>8</v>
      </c>
      <c r="B10" s="592"/>
      <c r="C10" s="585"/>
      <c r="D10" s="584"/>
      <c r="E10" s="584"/>
      <c r="F10" s="584"/>
      <c r="G10" s="594"/>
      <c r="H10" s="587"/>
      <c r="I10" s="588">
        <f>IF(H10&lt;&gt;0,(C10*(1+G10)^(E10-'Yearly Budget'!$B$2)),0)</f>
        <v>0</v>
      </c>
      <c r="J10" s="587"/>
      <c r="K10" s="588">
        <f t="shared" si="8"/>
        <v>0</v>
      </c>
      <c r="L10" s="588">
        <f t="shared" si="9"/>
        <v>0</v>
      </c>
      <c r="M10" s="593"/>
      <c r="N10" s="589"/>
      <c r="O10" s="590"/>
      <c r="AH10" s="1">
        <f t="shared" si="4"/>
        <v>0</v>
      </c>
      <c r="AI10" s="1">
        <f t="shared" si="5"/>
        <v>0</v>
      </c>
      <c r="AJ10" s="1">
        <f t="shared" si="6"/>
        <v>0</v>
      </c>
      <c r="AK10" s="1">
        <f t="shared" si="15"/>
        <v>0</v>
      </c>
      <c r="AL10" s="1">
        <f t="shared" si="15"/>
        <v>0</v>
      </c>
      <c r="AM10" s="1">
        <f t="shared" si="15"/>
        <v>0</v>
      </c>
      <c r="AN10" s="1">
        <f t="shared" si="15"/>
        <v>0</v>
      </c>
      <c r="AO10" s="1">
        <f t="shared" si="15"/>
        <v>0</v>
      </c>
      <c r="AP10" s="1">
        <f t="shared" si="15"/>
        <v>0</v>
      </c>
      <c r="AQ10" s="1">
        <f t="shared" si="15"/>
        <v>0</v>
      </c>
      <c r="AR10" s="1">
        <f t="shared" si="15"/>
        <v>0</v>
      </c>
      <c r="AS10" s="1">
        <f t="shared" si="15"/>
        <v>0</v>
      </c>
      <c r="AT10" s="1">
        <f t="shared" si="15"/>
        <v>0</v>
      </c>
      <c r="AU10" s="1">
        <f t="shared" si="15"/>
        <v>0</v>
      </c>
      <c r="AV10" s="1">
        <f t="shared" si="15"/>
        <v>0</v>
      </c>
      <c r="AW10" s="1">
        <f t="shared" si="15"/>
        <v>0</v>
      </c>
      <c r="AX10" s="1">
        <f t="shared" si="15"/>
        <v>0</v>
      </c>
      <c r="AY10" s="1">
        <f t="shared" si="15"/>
        <v>0</v>
      </c>
      <c r="AZ10" s="1">
        <f t="shared" si="15"/>
        <v>0</v>
      </c>
      <c r="BA10" s="1">
        <f t="shared" si="15"/>
        <v>0</v>
      </c>
      <c r="BB10" s="1">
        <f t="shared" si="15"/>
        <v>0</v>
      </c>
      <c r="BC10" s="1">
        <f t="shared" si="15"/>
        <v>0</v>
      </c>
      <c r="BD10" s="1">
        <f t="shared" si="15"/>
        <v>0</v>
      </c>
      <c r="BE10" s="1">
        <f t="shared" si="15"/>
        <v>0</v>
      </c>
      <c r="BF10" s="1">
        <f t="shared" si="15"/>
        <v>0</v>
      </c>
      <c r="BG10" s="1">
        <f t="shared" si="15"/>
        <v>0</v>
      </c>
      <c r="BH10" s="1">
        <f t="shared" si="15"/>
        <v>0</v>
      </c>
      <c r="BI10" s="1">
        <f t="shared" si="15"/>
        <v>0</v>
      </c>
      <c r="BJ10" s="1">
        <f t="shared" si="15"/>
        <v>0</v>
      </c>
      <c r="BK10" s="1">
        <f t="shared" si="15"/>
        <v>0</v>
      </c>
      <c r="BL10" s="1">
        <f t="shared" si="15"/>
        <v>0</v>
      </c>
      <c r="BM10" s="1">
        <f t="shared" si="15"/>
        <v>0</v>
      </c>
      <c r="BN10" s="1">
        <f t="shared" si="15"/>
        <v>0</v>
      </c>
      <c r="BO10" s="1">
        <f t="shared" si="15"/>
        <v>0</v>
      </c>
      <c r="BP10" s="1">
        <f t="shared" si="15"/>
        <v>0</v>
      </c>
      <c r="BQ10" s="1">
        <f t="shared" si="15"/>
        <v>0</v>
      </c>
      <c r="BR10" s="1">
        <f t="shared" si="15"/>
        <v>0</v>
      </c>
      <c r="BS10" s="1">
        <f t="shared" si="15"/>
        <v>0</v>
      </c>
      <c r="BT10" s="1">
        <f t="shared" si="15"/>
        <v>0</v>
      </c>
      <c r="BU10" s="1">
        <f t="shared" si="15"/>
        <v>0</v>
      </c>
      <c r="BV10" s="1">
        <f t="shared" si="15"/>
        <v>0</v>
      </c>
      <c r="BW10" s="1">
        <f t="shared" si="15"/>
        <v>0</v>
      </c>
      <c r="BX10" s="1">
        <f t="shared" si="15"/>
        <v>0</v>
      </c>
      <c r="BY10" s="1">
        <f t="shared" si="15"/>
        <v>0</v>
      </c>
      <c r="BZ10" s="1">
        <f t="shared" si="15"/>
        <v>0</v>
      </c>
      <c r="CA10" s="1">
        <f t="shared" si="15"/>
        <v>0</v>
      </c>
      <c r="CB10" s="1">
        <f t="shared" si="15"/>
        <v>0</v>
      </c>
      <c r="CC10" s="1">
        <f t="shared" si="15"/>
        <v>0</v>
      </c>
      <c r="CD10" s="1">
        <f t="shared" si="15"/>
        <v>0</v>
      </c>
      <c r="CE10" s="1">
        <f t="shared" si="15"/>
        <v>0</v>
      </c>
      <c r="CF10" s="1">
        <f t="shared" si="15"/>
        <v>0</v>
      </c>
      <c r="CG10" s="1">
        <f t="shared" si="15"/>
        <v>0</v>
      </c>
      <c r="CH10" s="1">
        <f t="shared" si="15"/>
        <v>0</v>
      </c>
      <c r="CI10" s="1">
        <f t="shared" si="15"/>
        <v>0</v>
      </c>
      <c r="CJ10" s="1">
        <f t="shared" si="15"/>
        <v>0</v>
      </c>
      <c r="CK10" s="1">
        <f t="shared" si="15"/>
        <v>0</v>
      </c>
      <c r="CL10" s="1">
        <f t="shared" si="15"/>
        <v>0</v>
      </c>
      <c r="CM10" s="1">
        <f t="shared" si="15"/>
        <v>0</v>
      </c>
      <c r="CN10" s="1">
        <f t="shared" si="15"/>
        <v>0</v>
      </c>
      <c r="CO10" s="1">
        <f t="shared" si="15"/>
        <v>0</v>
      </c>
      <c r="CP10" s="1">
        <f t="shared" si="15"/>
        <v>0</v>
      </c>
      <c r="CQ10" s="1">
        <f t="shared" si="15"/>
        <v>0</v>
      </c>
      <c r="CR10" s="1">
        <f t="shared" si="15"/>
        <v>0</v>
      </c>
      <c r="CS10" s="1">
        <f t="shared" si="15"/>
        <v>0</v>
      </c>
      <c r="CT10" s="1">
        <f t="shared" si="15"/>
        <v>0</v>
      </c>
      <c r="CU10" s="1">
        <f t="shared" si="15"/>
        <v>0</v>
      </c>
      <c r="CV10" s="1">
        <f t="shared" si="15"/>
        <v>0</v>
      </c>
      <c r="CW10" s="1">
        <f t="shared" si="14"/>
        <v>0</v>
      </c>
      <c r="CX10" s="1">
        <f t="shared" si="14"/>
        <v>0</v>
      </c>
      <c r="CY10" s="1">
        <f t="shared" si="14"/>
        <v>0</v>
      </c>
      <c r="CZ10" s="1">
        <f t="shared" si="14"/>
        <v>0</v>
      </c>
      <c r="DA10" s="1">
        <f t="shared" si="14"/>
        <v>0</v>
      </c>
      <c r="DB10" s="1">
        <f t="shared" si="14"/>
        <v>0</v>
      </c>
      <c r="DC10" s="1">
        <f t="shared" si="14"/>
        <v>0</v>
      </c>
      <c r="DD10" s="1">
        <f t="shared" si="14"/>
        <v>0</v>
      </c>
      <c r="DE10" s="1">
        <f t="shared" si="14"/>
        <v>0</v>
      </c>
      <c r="DF10" s="1">
        <f t="shared" si="14"/>
        <v>0</v>
      </c>
      <c r="DG10" s="1">
        <f t="shared" si="14"/>
        <v>0</v>
      </c>
      <c r="DK10" s="1">
        <f t="shared" si="11"/>
        <v>2032</v>
      </c>
      <c r="DL10" s="1">
        <f t="shared" ca="1" si="12"/>
        <v>52</v>
      </c>
      <c r="DM10" s="1">
        <f t="shared" ca="1" si="13"/>
        <v>57</v>
      </c>
      <c r="DN10" s="83">
        <f>IF(AQ$32=0,NA(),AQ$32)</f>
        <v>3947795.3377075209</v>
      </c>
      <c r="DO10" s="1" t="e">
        <f>IF(AQ$33=0,NA(),AQ$33)</f>
        <v>#N/A</v>
      </c>
      <c r="DP10" s="1" t="e">
        <f>IF(AQ$34=0,NA(),AQ$34)</f>
        <v>#N/A</v>
      </c>
      <c r="DQ10" s="1" t="e">
        <f>IF(AQ$35=0,NA(),AQ$35)</f>
        <v>#N/A</v>
      </c>
      <c r="DR10" s="1" t="e">
        <f>IF(AQ$36=0,NA(),AQ$36)</f>
        <v>#N/A</v>
      </c>
      <c r="DS10" s="1" t="e">
        <f>IF(AQ$37=0,NA(),AQ$37)</f>
        <v>#N/A</v>
      </c>
      <c r="DT10" s="1" t="e">
        <f>IF(AQ$38=0,NA(),AQ$38)</f>
        <v>#N/A</v>
      </c>
      <c r="DU10" s="1" t="e">
        <f>IF(AQ$39=0,NA(),AQ$39)</f>
        <v>#N/A</v>
      </c>
      <c r="DV10" s="1" t="e">
        <f>IF(AQ$40=0,NA(),AQ$40)</f>
        <v>#N/A</v>
      </c>
      <c r="DW10" s="1" t="e">
        <f>IF(AQ$41=0,NA(),AQ$41)</f>
        <v>#N/A</v>
      </c>
      <c r="DX10" s="1" t="e">
        <f>IF(AQ$42=0,NA(),AQ$42)</f>
        <v>#N/A</v>
      </c>
      <c r="DY10" s="1" t="e">
        <f>IF(AQ$43=0,NA(),AQ$43)</f>
        <v>#N/A</v>
      </c>
      <c r="DZ10" s="1" t="e">
        <f>IF(AQ$44=0,NA(),AQ$44)</f>
        <v>#N/A</v>
      </c>
      <c r="EA10" s="1" t="e">
        <f>IF(AQ$45=0,NA(),AQ$45)</f>
        <v>#N/A</v>
      </c>
      <c r="EB10" s="1" t="e">
        <f>IF(AQ$46=0,NA(),AQ$46)</f>
        <v>#N/A</v>
      </c>
      <c r="EC10" s="1" t="e">
        <f>IF(AQ$47=0,NA(),AQ$47)</f>
        <v>#N/A</v>
      </c>
      <c r="ED10" s="1" t="e">
        <f>IF(AQ$48=0,NA(),AQ$48)</f>
        <v>#N/A</v>
      </c>
      <c r="EE10" s="1" t="e">
        <f>IF(AQ$49=0,NA(),AQ$49)</f>
        <v>#N/A</v>
      </c>
      <c r="EF10" s="1" t="e">
        <f>IF(AQ$50=0,NA(),AQ$50)</f>
        <v>#N/A</v>
      </c>
      <c r="EG10" s="1" t="e">
        <f>IF(AQ$51=0,NA(),AQ$51)</f>
        <v>#N/A</v>
      </c>
      <c r="EH10" s="1" t="e">
        <f>IF(AQ$52=0,NA(),AQ$52)</f>
        <v>#N/A</v>
      </c>
      <c r="EI10" s="1" t="e">
        <f>IF(AQ$53=0,NA(),AQ$53)</f>
        <v>#N/A</v>
      </c>
      <c r="EJ10" s="1" t="e">
        <f>IF(AQ$54=0,NA(),AQ$54)</f>
        <v>#N/A</v>
      </c>
      <c r="EK10" s="1" t="e">
        <f>IF(AQ$55=0,NA(),AQ$55)</f>
        <v>#N/A</v>
      </c>
      <c r="EL10" s="1" t="e">
        <f>IF(AQ$56=0,NA(),AQ$56)</f>
        <v>#N/A</v>
      </c>
      <c r="EM10" s="1" t="e">
        <f>IF(AQ$57=0,NA(),AQ$57)</f>
        <v>#N/A</v>
      </c>
    </row>
    <row r="11" spans="1:143" ht="15" customHeight="1" x14ac:dyDescent="0.3">
      <c r="A11" s="584">
        <v>9</v>
      </c>
      <c r="B11" s="592"/>
      <c r="C11" s="585"/>
      <c r="D11" s="584"/>
      <c r="E11" s="584"/>
      <c r="F11" s="584"/>
      <c r="G11" s="594"/>
      <c r="H11" s="587"/>
      <c r="I11" s="588">
        <f>IF(H11&lt;&gt;0,(C11*(1+G11)^(E11-'Yearly Budget'!$B$2)),0)</f>
        <v>0</v>
      </c>
      <c r="J11" s="587"/>
      <c r="K11" s="588">
        <f t="shared" si="8"/>
        <v>0</v>
      </c>
      <c r="L11" s="588">
        <f t="shared" si="9"/>
        <v>0</v>
      </c>
      <c r="M11" s="593"/>
      <c r="N11" s="589"/>
      <c r="O11" s="590"/>
      <c r="AH11" s="1">
        <f t="shared" si="4"/>
        <v>0</v>
      </c>
      <c r="AI11" s="1">
        <f t="shared" si="5"/>
        <v>0</v>
      </c>
      <c r="AJ11" s="1">
        <f t="shared" si="6"/>
        <v>0</v>
      </c>
      <c r="AK11" s="1">
        <f t="shared" si="15"/>
        <v>0</v>
      </c>
      <c r="AL11" s="1">
        <f t="shared" si="15"/>
        <v>0</v>
      </c>
      <c r="AM11" s="1">
        <f t="shared" si="15"/>
        <v>0</v>
      </c>
      <c r="AN11" s="1">
        <f t="shared" si="15"/>
        <v>0</v>
      </c>
      <c r="AO11" s="1">
        <f t="shared" si="15"/>
        <v>0</v>
      </c>
      <c r="AP11" s="1">
        <f t="shared" si="15"/>
        <v>0</v>
      </c>
      <c r="AQ11" s="1">
        <f t="shared" si="15"/>
        <v>0</v>
      </c>
      <c r="AR11" s="1">
        <f t="shared" si="15"/>
        <v>0</v>
      </c>
      <c r="AS11" s="1">
        <f t="shared" si="15"/>
        <v>0</v>
      </c>
      <c r="AT11" s="1">
        <f t="shared" si="15"/>
        <v>0</v>
      </c>
      <c r="AU11" s="1">
        <f t="shared" si="15"/>
        <v>0</v>
      </c>
      <c r="AV11" s="1">
        <f t="shared" si="15"/>
        <v>0</v>
      </c>
      <c r="AW11" s="1">
        <f t="shared" si="15"/>
        <v>0</v>
      </c>
      <c r="AX11" s="1">
        <f t="shared" si="15"/>
        <v>0</v>
      </c>
      <c r="AY11" s="1">
        <f t="shared" si="15"/>
        <v>0</v>
      </c>
      <c r="AZ11" s="1">
        <f t="shared" si="15"/>
        <v>0</v>
      </c>
      <c r="BA11" s="1">
        <f t="shared" si="15"/>
        <v>0</v>
      </c>
      <c r="BB11" s="1">
        <f t="shared" si="15"/>
        <v>0</v>
      </c>
      <c r="BC11" s="1">
        <f t="shared" si="15"/>
        <v>0</v>
      </c>
      <c r="BD11" s="1">
        <f t="shared" si="15"/>
        <v>0</v>
      </c>
      <c r="BE11" s="1">
        <f t="shared" si="15"/>
        <v>0</v>
      </c>
      <c r="BF11" s="1">
        <f t="shared" si="15"/>
        <v>0</v>
      </c>
      <c r="BG11" s="1">
        <f t="shared" si="15"/>
        <v>0</v>
      </c>
      <c r="BH11" s="1">
        <f t="shared" si="15"/>
        <v>0</v>
      </c>
      <c r="BI11" s="1">
        <f t="shared" si="15"/>
        <v>0</v>
      </c>
      <c r="BJ11" s="1">
        <f t="shared" si="15"/>
        <v>0</v>
      </c>
      <c r="BK11" s="1">
        <f t="shared" si="15"/>
        <v>0</v>
      </c>
      <c r="BL11" s="1">
        <f t="shared" si="15"/>
        <v>0</v>
      </c>
      <c r="BM11" s="1">
        <f t="shared" si="15"/>
        <v>0</v>
      </c>
      <c r="BN11" s="1">
        <f t="shared" si="15"/>
        <v>0</v>
      </c>
      <c r="BO11" s="1">
        <f t="shared" si="15"/>
        <v>0</v>
      </c>
      <c r="BP11" s="1">
        <f t="shared" si="15"/>
        <v>0</v>
      </c>
      <c r="BQ11" s="1">
        <f t="shared" si="15"/>
        <v>0</v>
      </c>
      <c r="BR11" s="1">
        <f t="shared" si="15"/>
        <v>0</v>
      </c>
      <c r="BS11" s="1">
        <f t="shared" si="15"/>
        <v>0</v>
      </c>
      <c r="BT11" s="1">
        <f t="shared" si="15"/>
        <v>0</v>
      </c>
      <c r="BU11" s="1">
        <f t="shared" si="15"/>
        <v>0</v>
      </c>
      <c r="BV11" s="1">
        <f t="shared" si="15"/>
        <v>0</v>
      </c>
      <c r="BW11" s="1">
        <f t="shared" si="15"/>
        <v>0</v>
      </c>
      <c r="BX11" s="1">
        <f t="shared" si="15"/>
        <v>0</v>
      </c>
      <c r="BY11" s="1">
        <f t="shared" si="15"/>
        <v>0</v>
      </c>
      <c r="BZ11" s="1">
        <f t="shared" si="15"/>
        <v>0</v>
      </c>
      <c r="CA11" s="1">
        <f t="shared" si="15"/>
        <v>0</v>
      </c>
      <c r="CB11" s="1">
        <f t="shared" si="15"/>
        <v>0</v>
      </c>
      <c r="CC11" s="1">
        <f t="shared" si="15"/>
        <v>0</v>
      </c>
      <c r="CD11" s="1">
        <f t="shared" si="15"/>
        <v>0</v>
      </c>
      <c r="CE11" s="1">
        <f t="shared" si="15"/>
        <v>0</v>
      </c>
      <c r="CF11" s="1">
        <f t="shared" si="15"/>
        <v>0</v>
      </c>
      <c r="CG11" s="1">
        <f t="shared" si="15"/>
        <v>0</v>
      </c>
      <c r="CH11" s="1">
        <f t="shared" si="15"/>
        <v>0</v>
      </c>
      <c r="CI11" s="1">
        <f t="shared" si="15"/>
        <v>0</v>
      </c>
      <c r="CJ11" s="1">
        <f t="shared" si="15"/>
        <v>0</v>
      </c>
      <c r="CK11" s="1">
        <f t="shared" si="15"/>
        <v>0</v>
      </c>
      <c r="CL11" s="1">
        <f t="shared" si="15"/>
        <v>0</v>
      </c>
      <c r="CM11" s="1">
        <f t="shared" si="15"/>
        <v>0</v>
      </c>
      <c r="CN11" s="1">
        <f t="shared" si="15"/>
        <v>0</v>
      </c>
      <c r="CO11" s="1">
        <f t="shared" si="15"/>
        <v>0</v>
      </c>
      <c r="CP11" s="1">
        <f t="shared" si="15"/>
        <v>0</v>
      </c>
      <c r="CQ11" s="1">
        <f t="shared" si="15"/>
        <v>0</v>
      </c>
      <c r="CR11" s="1">
        <f t="shared" si="15"/>
        <v>0</v>
      </c>
      <c r="CS11" s="1">
        <f t="shared" si="15"/>
        <v>0</v>
      </c>
      <c r="CT11" s="1">
        <f t="shared" si="15"/>
        <v>0</v>
      </c>
      <c r="CU11" s="1">
        <f t="shared" si="15"/>
        <v>0</v>
      </c>
      <c r="CV11" s="1">
        <f t="shared" si="15"/>
        <v>0</v>
      </c>
      <c r="CW11" s="1">
        <f t="shared" si="14"/>
        <v>0</v>
      </c>
      <c r="CX11" s="1">
        <f t="shared" si="14"/>
        <v>0</v>
      </c>
      <c r="CY11" s="1">
        <f t="shared" si="14"/>
        <v>0</v>
      </c>
      <c r="CZ11" s="1">
        <f t="shared" si="14"/>
        <v>0</v>
      </c>
      <c r="DA11" s="1">
        <f t="shared" si="14"/>
        <v>0</v>
      </c>
      <c r="DB11" s="1">
        <f t="shared" si="14"/>
        <v>0</v>
      </c>
      <c r="DC11" s="1">
        <f t="shared" si="14"/>
        <v>0</v>
      </c>
      <c r="DD11" s="1">
        <f t="shared" si="14"/>
        <v>0</v>
      </c>
      <c r="DE11" s="1">
        <f t="shared" si="14"/>
        <v>0</v>
      </c>
      <c r="DF11" s="1">
        <f t="shared" si="14"/>
        <v>0</v>
      </c>
      <c r="DG11" s="1">
        <f t="shared" si="14"/>
        <v>0</v>
      </c>
      <c r="DK11" s="1">
        <f t="shared" si="11"/>
        <v>2033</v>
      </c>
      <c r="DL11" s="1">
        <f t="shared" ca="1" si="12"/>
        <v>53</v>
      </c>
      <c r="DM11" s="1">
        <f t="shared" ca="1" si="13"/>
        <v>58</v>
      </c>
      <c r="DN11" s="83" t="e">
        <f>IF(AR$32=0,NA(),AR$32)</f>
        <v>#N/A</v>
      </c>
      <c r="DO11" s="1" t="e">
        <f>IF(AR$33=0,NA(),AR$33)</f>
        <v>#N/A</v>
      </c>
      <c r="DP11" s="1" t="e">
        <f>IF(AR$34=0,NA(),AR$34)</f>
        <v>#N/A</v>
      </c>
      <c r="DQ11" s="1" t="e">
        <f>IF(AR$35=0,NA(),AR$35)</f>
        <v>#N/A</v>
      </c>
      <c r="DR11" s="1" t="e">
        <f>IF(AR$36=0,NA(),AR$36)</f>
        <v>#N/A</v>
      </c>
      <c r="DS11" s="1" t="e">
        <f>IF(AR$37=0,NA(),AR$37)</f>
        <v>#N/A</v>
      </c>
      <c r="DT11" s="1" t="e">
        <f>IF(AR$38=0,NA(),AR$38)</f>
        <v>#N/A</v>
      </c>
      <c r="DU11" s="1" t="e">
        <f>IF(AR$39=0,NA(),AR$39)</f>
        <v>#N/A</v>
      </c>
      <c r="DV11" s="1" t="e">
        <f>IF(AR$40=0,NA(),AR$40)</f>
        <v>#N/A</v>
      </c>
      <c r="DW11" s="1" t="e">
        <f>IF(AR$41=0,NA(),AR$41)</f>
        <v>#N/A</v>
      </c>
      <c r="DX11" s="1" t="e">
        <f>IF(AR$42=0,NA(),AR$42)</f>
        <v>#N/A</v>
      </c>
      <c r="DY11" s="1" t="e">
        <f>IF(AR$43=0,NA(),AR$43)</f>
        <v>#N/A</v>
      </c>
      <c r="DZ11" s="1" t="e">
        <f>IF(AR$44=0,NA(),AR$44)</f>
        <v>#N/A</v>
      </c>
      <c r="EA11" s="1" t="e">
        <f>IF(AR$45=0,NA(),AR$45)</f>
        <v>#N/A</v>
      </c>
      <c r="EB11" s="1" t="e">
        <f>IF(AR$46=0,NA(),AR$46)</f>
        <v>#N/A</v>
      </c>
      <c r="EC11" s="1" t="e">
        <f>IF(AR$47=0,NA(),AR$47)</f>
        <v>#N/A</v>
      </c>
      <c r="ED11" s="1" t="e">
        <f>IF(AR$48=0,NA(),AR$48)</f>
        <v>#N/A</v>
      </c>
      <c r="EE11" s="1" t="e">
        <f>IF(AR$49=0,NA(),AR$49)</f>
        <v>#N/A</v>
      </c>
      <c r="EF11" s="1" t="e">
        <f>IF(AR$50=0,NA(),AR$50)</f>
        <v>#N/A</v>
      </c>
      <c r="EG11" s="1" t="e">
        <f>IF(AR$51=0,NA(),AR$51)</f>
        <v>#N/A</v>
      </c>
      <c r="EH11" s="1" t="e">
        <f>IF(AR$52=0,NA(),AR$52)</f>
        <v>#N/A</v>
      </c>
      <c r="EI11" s="1" t="e">
        <f>IF(AR$53=0,NA(),AR$53)</f>
        <v>#N/A</v>
      </c>
      <c r="EJ11" s="1" t="e">
        <f>IF(AR$54=0,NA(),AR$54)</f>
        <v>#N/A</v>
      </c>
      <c r="EK11" s="1" t="e">
        <f>IF(AR$55=0,NA(),AR$55)</f>
        <v>#N/A</v>
      </c>
      <c r="EL11" s="1" t="e">
        <f>IF(AR$56=0,NA(),AR$56)</f>
        <v>#N/A</v>
      </c>
      <c r="EM11" s="1" t="e">
        <f>IF(AR$57=0,NA(),AR$57)</f>
        <v>#N/A</v>
      </c>
    </row>
    <row r="12" spans="1:143" ht="15" customHeight="1" x14ac:dyDescent="0.3">
      <c r="A12" s="584">
        <v>10</v>
      </c>
      <c r="B12" s="592"/>
      <c r="C12" s="585"/>
      <c r="D12" s="584"/>
      <c r="E12" s="584"/>
      <c r="F12" s="584"/>
      <c r="G12" s="594"/>
      <c r="H12" s="587"/>
      <c r="I12" s="588">
        <f>IF(H12&lt;&gt;0,(C12*(1+G12)^(E12-'Yearly Budget'!$B$2)),0)</f>
        <v>0</v>
      </c>
      <c r="J12" s="587"/>
      <c r="K12" s="588">
        <f t="shared" si="8"/>
        <v>0</v>
      </c>
      <c r="L12" s="588">
        <f t="shared" si="9"/>
        <v>0</v>
      </c>
      <c r="M12" s="593"/>
      <c r="N12" s="589"/>
      <c r="O12" s="590"/>
      <c r="AH12" s="1">
        <f t="shared" si="4"/>
        <v>0</v>
      </c>
      <c r="AI12" s="1">
        <f t="shared" si="5"/>
        <v>0</v>
      </c>
      <c r="AJ12" s="1">
        <f t="shared" si="6"/>
        <v>0</v>
      </c>
      <c r="AK12" s="1">
        <f t="shared" si="15"/>
        <v>0</v>
      </c>
      <c r="AL12" s="1">
        <f t="shared" si="15"/>
        <v>0</v>
      </c>
      <c r="AM12" s="1">
        <f t="shared" si="15"/>
        <v>0</v>
      </c>
      <c r="AN12" s="1">
        <f t="shared" si="15"/>
        <v>0</v>
      </c>
      <c r="AO12" s="1">
        <f t="shared" si="15"/>
        <v>0</v>
      </c>
      <c r="AP12" s="1">
        <f t="shared" si="15"/>
        <v>0</v>
      </c>
      <c r="AQ12" s="1">
        <f t="shared" si="15"/>
        <v>0</v>
      </c>
      <c r="AR12" s="1">
        <f t="shared" si="15"/>
        <v>0</v>
      </c>
      <c r="AS12" s="1">
        <f t="shared" si="15"/>
        <v>0</v>
      </c>
      <c r="AT12" s="1">
        <f t="shared" si="15"/>
        <v>0</v>
      </c>
      <c r="AU12" s="1">
        <f t="shared" si="15"/>
        <v>0</v>
      </c>
      <c r="AV12" s="1">
        <f t="shared" si="15"/>
        <v>0</v>
      </c>
      <c r="AW12" s="1">
        <f t="shared" si="15"/>
        <v>0</v>
      </c>
      <c r="AX12" s="1">
        <f t="shared" si="15"/>
        <v>0</v>
      </c>
      <c r="AY12" s="1">
        <f t="shared" si="15"/>
        <v>0</v>
      </c>
      <c r="AZ12" s="1">
        <f t="shared" si="15"/>
        <v>0</v>
      </c>
      <c r="BA12" s="1">
        <f t="shared" si="15"/>
        <v>0</v>
      </c>
      <c r="BB12" s="1">
        <f t="shared" si="15"/>
        <v>0</v>
      </c>
      <c r="BC12" s="1">
        <f t="shared" si="15"/>
        <v>0</v>
      </c>
      <c r="BD12" s="1">
        <f t="shared" si="15"/>
        <v>0</v>
      </c>
      <c r="BE12" s="1">
        <f t="shared" si="15"/>
        <v>0</v>
      </c>
      <c r="BF12" s="1">
        <f t="shared" si="15"/>
        <v>0</v>
      </c>
      <c r="BG12" s="1">
        <f t="shared" si="15"/>
        <v>0</v>
      </c>
      <c r="BH12" s="1">
        <f t="shared" si="15"/>
        <v>0</v>
      </c>
      <c r="BI12" s="1">
        <f t="shared" si="15"/>
        <v>0</v>
      </c>
      <c r="BJ12" s="1">
        <f t="shared" si="15"/>
        <v>0</v>
      </c>
      <c r="BK12" s="1">
        <f t="shared" si="15"/>
        <v>0</v>
      </c>
      <c r="BL12" s="1">
        <f t="shared" si="15"/>
        <v>0</v>
      </c>
      <c r="BM12" s="1">
        <f t="shared" si="15"/>
        <v>0</v>
      </c>
      <c r="BN12" s="1">
        <f t="shared" si="15"/>
        <v>0</v>
      </c>
      <c r="BO12" s="1">
        <f t="shared" si="15"/>
        <v>0</v>
      </c>
      <c r="BP12" s="1">
        <f t="shared" si="15"/>
        <v>0</v>
      </c>
      <c r="BQ12" s="1">
        <f t="shared" si="15"/>
        <v>0</v>
      </c>
      <c r="BR12" s="1">
        <f t="shared" si="15"/>
        <v>0</v>
      </c>
      <c r="BS12" s="1">
        <f t="shared" si="15"/>
        <v>0</v>
      </c>
      <c r="BT12" s="1">
        <f t="shared" si="15"/>
        <v>0</v>
      </c>
      <c r="BU12" s="1">
        <f t="shared" si="15"/>
        <v>0</v>
      </c>
      <c r="BV12" s="1">
        <f t="shared" si="15"/>
        <v>0</v>
      </c>
      <c r="BW12" s="1">
        <f t="shared" si="15"/>
        <v>0</v>
      </c>
      <c r="BX12" s="1">
        <f t="shared" si="15"/>
        <v>0</v>
      </c>
      <c r="BY12" s="1">
        <f t="shared" si="15"/>
        <v>0</v>
      </c>
      <c r="BZ12" s="1">
        <f t="shared" si="15"/>
        <v>0</v>
      </c>
      <c r="CA12" s="1">
        <f t="shared" si="15"/>
        <v>0</v>
      </c>
      <c r="CB12" s="1">
        <f t="shared" si="15"/>
        <v>0</v>
      </c>
      <c r="CC12" s="1">
        <f t="shared" si="15"/>
        <v>0</v>
      </c>
      <c r="CD12" s="1">
        <f t="shared" si="15"/>
        <v>0</v>
      </c>
      <c r="CE12" s="1">
        <f t="shared" si="15"/>
        <v>0</v>
      </c>
      <c r="CF12" s="1">
        <f t="shared" si="15"/>
        <v>0</v>
      </c>
      <c r="CG12" s="1">
        <f t="shared" si="15"/>
        <v>0</v>
      </c>
      <c r="CH12" s="1">
        <f t="shared" si="15"/>
        <v>0</v>
      </c>
      <c r="CI12" s="1">
        <f t="shared" si="15"/>
        <v>0</v>
      </c>
      <c r="CJ12" s="1">
        <f t="shared" si="15"/>
        <v>0</v>
      </c>
      <c r="CK12" s="1">
        <f t="shared" si="15"/>
        <v>0</v>
      </c>
      <c r="CL12" s="1">
        <f t="shared" si="15"/>
        <v>0</v>
      </c>
      <c r="CM12" s="1">
        <f t="shared" si="15"/>
        <v>0</v>
      </c>
      <c r="CN12" s="1">
        <f t="shared" si="15"/>
        <v>0</v>
      </c>
      <c r="CO12" s="1">
        <f t="shared" si="15"/>
        <v>0</v>
      </c>
      <c r="CP12" s="1">
        <f t="shared" si="15"/>
        <v>0</v>
      </c>
      <c r="CQ12" s="1">
        <f t="shared" si="15"/>
        <v>0</v>
      </c>
      <c r="CR12" s="1">
        <f t="shared" si="15"/>
        <v>0</v>
      </c>
      <c r="CS12" s="1">
        <f t="shared" si="15"/>
        <v>0</v>
      </c>
      <c r="CT12" s="1">
        <f t="shared" si="15"/>
        <v>0</v>
      </c>
      <c r="CU12" s="1">
        <f t="shared" si="15"/>
        <v>0</v>
      </c>
      <c r="CV12" s="1">
        <f t="shared" ref="CV12:DG15" si="16">IFERROR(IF($D12="Recurring",IF(AND($E12&lt;=CV$2,CV$2&lt;=$AI12),$C12,0),IF($J12=0,_xlfn.XLOOKUP(CV$2,$E12,$C12),_xlfn.XLOOKUP(CV$2,$E12,$C12*$J12))),0)</f>
        <v>0</v>
      </c>
      <c r="CW12" s="1">
        <f t="shared" si="16"/>
        <v>0</v>
      </c>
      <c r="CX12" s="1">
        <f t="shared" si="16"/>
        <v>0</v>
      </c>
      <c r="CY12" s="1">
        <f t="shared" si="16"/>
        <v>0</v>
      </c>
      <c r="CZ12" s="1">
        <f t="shared" si="16"/>
        <v>0</v>
      </c>
      <c r="DA12" s="1">
        <f t="shared" si="16"/>
        <v>0</v>
      </c>
      <c r="DB12" s="1">
        <f t="shared" si="16"/>
        <v>0</v>
      </c>
      <c r="DC12" s="1">
        <f t="shared" si="16"/>
        <v>0</v>
      </c>
      <c r="DD12" s="1">
        <f t="shared" si="16"/>
        <v>0</v>
      </c>
      <c r="DE12" s="1">
        <f t="shared" si="16"/>
        <v>0</v>
      </c>
      <c r="DF12" s="1">
        <f t="shared" si="16"/>
        <v>0</v>
      </c>
      <c r="DG12" s="1">
        <f t="shared" si="16"/>
        <v>0</v>
      </c>
      <c r="DK12" s="1">
        <f t="shared" si="11"/>
        <v>2034</v>
      </c>
      <c r="DL12" s="1">
        <f t="shared" ca="1" si="12"/>
        <v>54</v>
      </c>
      <c r="DM12" s="1">
        <f t="shared" ca="1" si="13"/>
        <v>59</v>
      </c>
      <c r="DN12" s="83" t="e">
        <f>IF(AS$32=0,NA(),AS$32)</f>
        <v>#N/A</v>
      </c>
      <c r="DO12" s="1" t="e">
        <f>IF(AS$33=0,NA(),AS$33)</f>
        <v>#N/A</v>
      </c>
      <c r="DP12" s="1" t="e">
        <f>IF(AS$34=0,NA(),AS$34)</f>
        <v>#N/A</v>
      </c>
      <c r="DQ12" s="1" t="e">
        <f>IF(AS$35=0,NA(),AS$35)</f>
        <v>#N/A</v>
      </c>
      <c r="DR12" s="1" t="e">
        <f>IF(AS$36=0,NA(),AS$36)</f>
        <v>#N/A</v>
      </c>
      <c r="DS12" s="1" t="e">
        <f>IF(AS$37=0,NA(),AS$37)</f>
        <v>#N/A</v>
      </c>
      <c r="DT12" s="1" t="e">
        <f>IF(AS$38=0,NA(),AS$38)</f>
        <v>#N/A</v>
      </c>
      <c r="DU12" s="1" t="e">
        <f>IF(AS$39=0,NA(),AS$39)</f>
        <v>#N/A</v>
      </c>
      <c r="DV12" s="1" t="e">
        <f>IF(AS$40=0,NA(),AS$40)</f>
        <v>#N/A</v>
      </c>
      <c r="DW12" s="1" t="e">
        <f>IF(AS$41=0,NA(),AS$41)</f>
        <v>#N/A</v>
      </c>
      <c r="DX12" s="1" t="e">
        <f>IF(AS$42=0,NA(),AS$42)</f>
        <v>#N/A</v>
      </c>
      <c r="DY12" s="1" t="e">
        <f>IF(AS$43=0,NA(),AS$43)</f>
        <v>#N/A</v>
      </c>
      <c r="DZ12" s="1" t="e">
        <f>IF(AS$44=0,NA(),AS$44)</f>
        <v>#N/A</v>
      </c>
      <c r="EA12" s="1" t="e">
        <f>IF(AS$45=0,NA(),AS$45)</f>
        <v>#N/A</v>
      </c>
      <c r="EB12" s="1" t="e">
        <f>IF(AS$46=0,NA(),AS$46)</f>
        <v>#N/A</v>
      </c>
      <c r="EC12" s="1" t="e">
        <f>IF(AS$47=0,NA(),AS$47)</f>
        <v>#N/A</v>
      </c>
      <c r="ED12" s="1" t="e">
        <f>IF(AS$48=0,NA(),AS$48)</f>
        <v>#N/A</v>
      </c>
      <c r="EE12" s="1" t="e">
        <f>IF(AS$49=0,NA(),AS$49)</f>
        <v>#N/A</v>
      </c>
      <c r="EF12" s="1" t="e">
        <f>IF(AS$50=0,NA(),AS$50)</f>
        <v>#N/A</v>
      </c>
      <c r="EG12" s="1" t="e">
        <f>IF(AS$51=0,NA(),AS$51)</f>
        <v>#N/A</v>
      </c>
      <c r="EH12" s="1" t="e">
        <f>IF(AS$52=0,NA(),AS$52)</f>
        <v>#N/A</v>
      </c>
      <c r="EI12" s="1" t="e">
        <f>IF(AS$53=0,NA(),AS$53)</f>
        <v>#N/A</v>
      </c>
      <c r="EJ12" s="1" t="e">
        <f>IF(AS$54=0,NA(),AS$54)</f>
        <v>#N/A</v>
      </c>
      <c r="EK12" s="1" t="e">
        <f>IF(AS$55=0,NA(),AS$55)</f>
        <v>#N/A</v>
      </c>
      <c r="EL12" s="1" t="e">
        <f>IF(AS$56=0,NA(),AS$56)</f>
        <v>#N/A</v>
      </c>
      <c r="EM12" s="1" t="e">
        <f>IF(AS$57=0,NA(),AS$57)</f>
        <v>#N/A</v>
      </c>
    </row>
    <row r="13" spans="1:143" ht="15" customHeight="1" x14ac:dyDescent="0.3">
      <c r="A13" s="584">
        <v>11</v>
      </c>
      <c r="B13" s="592"/>
      <c r="C13" s="585"/>
      <c r="D13" s="584"/>
      <c r="E13" s="584"/>
      <c r="F13" s="584"/>
      <c r="G13" s="594"/>
      <c r="H13" s="587"/>
      <c r="I13" s="588">
        <f>IF(H13&lt;&gt;0,(C13*(1+G13)^(E13-'Yearly Budget'!$B$2)),0)</f>
        <v>0</v>
      </c>
      <c r="J13" s="587"/>
      <c r="K13" s="588">
        <f t="shared" si="8"/>
        <v>0</v>
      </c>
      <c r="L13" s="588">
        <f t="shared" si="9"/>
        <v>0</v>
      </c>
      <c r="M13" s="593"/>
      <c r="N13" s="589"/>
      <c r="O13" s="590"/>
      <c r="AH13" s="1">
        <f t="shared" si="4"/>
        <v>0</v>
      </c>
      <c r="AI13" s="1">
        <f t="shared" si="5"/>
        <v>0</v>
      </c>
      <c r="AJ13" s="1">
        <f t="shared" si="6"/>
        <v>0</v>
      </c>
      <c r="AK13" s="1">
        <f t="shared" ref="AK13:CV16" si="17">IFERROR(IF($D13="Recurring",IF(AND($E13&lt;=AK$2,AK$2&lt;=$AI13),$C13,0),IF($J13=0,_xlfn.XLOOKUP(AK$2,$E13,$C13),_xlfn.XLOOKUP(AK$2,$E13,$C13*$J13))),0)</f>
        <v>0</v>
      </c>
      <c r="AL13" s="1">
        <f t="shared" si="17"/>
        <v>0</v>
      </c>
      <c r="AM13" s="1">
        <f t="shared" si="17"/>
        <v>0</v>
      </c>
      <c r="AN13" s="1">
        <f t="shared" si="17"/>
        <v>0</v>
      </c>
      <c r="AO13" s="1">
        <f t="shared" si="17"/>
        <v>0</v>
      </c>
      <c r="AP13" s="1">
        <f t="shared" si="17"/>
        <v>0</v>
      </c>
      <c r="AQ13" s="1">
        <f t="shared" si="17"/>
        <v>0</v>
      </c>
      <c r="AR13" s="1">
        <f t="shared" si="17"/>
        <v>0</v>
      </c>
      <c r="AS13" s="1">
        <f t="shared" si="17"/>
        <v>0</v>
      </c>
      <c r="AT13" s="1">
        <f t="shared" si="17"/>
        <v>0</v>
      </c>
      <c r="AU13" s="1">
        <f t="shared" si="17"/>
        <v>0</v>
      </c>
      <c r="AV13" s="1">
        <f t="shared" si="17"/>
        <v>0</v>
      </c>
      <c r="AW13" s="1">
        <f t="shared" si="17"/>
        <v>0</v>
      </c>
      <c r="AX13" s="1">
        <f t="shared" si="17"/>
        <v>0</v>
      </c>
      <c r="AY13" s="1">
        <f t="shared" si="17"/>
        <v>0</v>
      </c>
      <c r="AZ13" s="1">
        <f t="shared" si="17"/>
        <v>0</v>
      </c>
      <c r="BA13" s="1">
        <f t="shared" si="17"/>
        <v>0</v>
      </c>
      <c r="BB13" s="1">
        <f t="shared" si="17"/>
        <v>0</v>
      </c>
      <c r="BC13" s="1">
        <f t="shared" si="17"/>
        <v>0</v>
      </c>
      <c r="BD13" s="1">
        <f t="shared" si="17"/>
        <v>0</v>
      </c>
      <c r="BE13" s="1">
        <f t="shared" si="17"/>
        <v>0</v>
      </c>
      <c r="BF13" s="1">
        <f t="shared" si="17"/>
        <v>0</v>
      </c>
      <c r="BG13" s="1">
        <f t="shared" si="17"/>
        <v>0</v>
      </c>
      <c r="BH13" s="1">
        <f t="shared" si="17"/>
        <v>0</v>
      </c>
      <c r="BI13" s="1">
        <f t="shared" si="17"/>
        <v>0</v>
      </c>
      <c r="BJ13" s="1">
        <f t="shared" si="17"/>
        <v>0</v>
      </c>
      <c r="BK13" s="1">
        <f t="shared" si="17"/>
        <v>0</v>
      </c>
      <c r="BL13" s="1">
        <f t="shared" si="17"/>
        <v>0</v>
      </c>
      <c r="BM13" s="1">
        <f t="shared" si="17"/>
        <v>0</v>
      </c>
      <c r="BN13" s="1">
        <f t="shared" si="17"/>
        <v>0</v>
      </c>
      <c r="BO13" s="1">
        <f t="shared" si="17"/>
        <v>0</v>
      </c>
      <c r="BP13" s="1">
        <f t="shared" si="17"/>
        <v>0</v>
      </c>
      <c r="BQ13" s="1">
        <f t="shared" si="17"/>
        <v>0</v>
      </c>
      <c r="BR13" s="1">
        <f t="shared" si="17"/>
        <v>0</v>
      </c>
      <c r="BS13" s="1">
        <f t="shared" si="17"/>
        <v>0</v>
      </c>
      <c r="BT13" s="1">
        <f t="shared" si="17"/>
        <v>0</v>
      </c>
      <c r="BU13" s="1">
        <f t="shared" si="17"/>
        <v>0</v>
      </c>
      <c r="BV13" s="1">
        <f t="shared" si="17"/>
        <v>0</v>
      </c>
      <c r="BW13" s="1">
        <f t="shared" si="17"/>
        <v>0</v>
      </c>
      <c r="BX13" s="1">
        <f t="shared" si="17"/>
        <v>0</v>
      </c>
      <c r="BY13" s="1">
        <f t="shared" si="17"/>
        <v>0</v>
      </c>
      <c r="BZ13" s="1">
        <f t="shared" si="17"/>
        <v>0</v>
      </c>
      <c r="CA13" s="1">
        <f t="shared" si="17"/>
        <v>0</v>
      </c>
      <c r="CB13" s="1">
        <f t="shared" si="17"/>
        <v>0</v>
      </c>
      <c r="CC13" s="1">
        <f t="shared" si="17"/>
        <v>0</v>
      </c>
      <c r="CD13" s="1">
        <f t="shared" si="17"/>
        <v>0</v>
      </c>
      <c r="CE13" s="1">
        <f t="shared" si="17"/>
        <v>0</v>
      </c>
      <c r="CF13" s="1">
        <f t="shared" si="17"/>
        <v>0</v>
      </c>
      <c r="CG13" s="1">
        <f t="shared" si="17"/>
        <v>0</v>
      </c>
      <c r="CH13" s="1">
        <f t="shared" si="17"/>
        <v>0</v>
      </c>
      <c r="CI13" s="1">
        <f t="shared" si="17"/>
        <v>0</v>
      </c>
      <c r="CJ13" s="1">
        <f t="shared" si="17"/>
        <v>0</v>
      </c>
      <c r="CK13" s="1">
        <f t="shared" si="17"/>
        <v>0</v>
      </c>
      <c r="CL13" s="1">
        <f t="shared" si="17"/>
        <v>0</v>
      </c>
      <c r="CM13" s="1">
        <f t="shared" si="17"/>
        <v>0</v>
      </c>
      <c r="CN13" s="1">
        <f t="shared" si="17"/>
        <v>0</v>
      </c>
      <c r="CO13" s="1">
        <f t="shared" si="17"/>
        <v>0</v>
      </c>
      <c r="CP13" s="1">
        <f t="shared" si="17"/>
        <v>0</v>
      </c>
      <c r="CQ13" s="1">
        <f t="shared" si="17"/>
        <v>0</v>
      </c>
      <c r="CR13" s="1">
        <f t="shared" si="17"/>
        <v>0</v>
      </c>
      <c r="CS13" s="1">
        <f t="shared" si="17"/>
        <v>0</v>
      </c>
      <c r="CT13" s="1">
        <f t="shared" si="17"/>
        <v>0</v>
      </c>
      <c r="CU13" s="1">
        <f t="shared" si="17"/>
        <v>0</v>
      </c>
      <c r="CV13" s="1">
        <f t="shared" si="17"/>
        <v>0</v>
      </c>
      <c r="CW13" s="1">
        <f t="shared" si="16"/>
        <v>0</v>
      </c>
      <c r="CX13" s="1">
        <f t="shared" si="16"/>
        <v>0</v>
      </c>
      <c r="CY13" s="1">
        <f t="shared" si="16"/>
        <v>0</v>
      </c>
      <c r="CZ13" s="1">
        <f t="shared" si="16"/>
        <v>0</v>
      </c>
      <c r="DA13" s="1">
        <f t="shared" si="16"/>
        <v>0</v>
      </c>
      <c r="DB13" s="1">
        <f t="shared" si="16"/>
        <v>0</v>
      </c>
      <c r="DC13" s="1">
        <f t="shared" si="16"/>
        <v>0</v>
      </c>
      <c r="DD13" s="1">
        <f t="shared" si="16"/>
        <v>0</v>
      </c>
      <c r="DE13" s="1">
        <f t="shared" si="16"/>
        <v>0</v>
      </c>
      <c r="DF13" s="1">
        <f t="shared" si="16"/>
        <v>0</v>
      </c>
      <c r="DG13" s="1">
        <f t="shared" si="16"/>
        <v>0</v>
      </c>
      <c r="DK13" s="1">
        <f t="shared" si="11"/>
        <v>2035</v>
      </c>
      <c r="DL13" s="1">
        <f t="shared" ca="1" si="12"/>
        <v>55</v>
      </c>
      <c r="DM13" s="1">
        <f t="shared" ca="1" si="13"/>
        <v>60</v>
      </c>
      <c r="DN13" s="83" t="e">
        <f>IF(AT$32=0,NA(),AT$32)</f>
        <v>#N/A</v>
      </c>
      <c r="DO13" s="1">
        <f>IF(AT$33=0,NA(),AT$33)</f>
        <v>4317849.9945455752</v>
      </c>
      <c r="DP13" s="1" t="e">
        <f>IF(AT$34=0,NA(),AT$34)</f>
        <v>#N/A</v>
      </c>
      <c r="DQ13" s="1" t="e">
        <f>IF(AT$35=0,NA(),AT$35)</f>
        <v>#N/A</v>
      </c>
      <c r="DR13" s="1" t="e">
        <f>IF(AT$36=0,NA(),AT$36)</f>
        <v>#N/A</v>
      </c>
      <c r="DS13" s="1" t="e">
        <f>IF(AT$37=0,NA(),AT$37)</f>
        <v>#N/A</v>
      </c>
      <c r="DT13" s="1" t="e">
        <f>IF(AT$38=0,NA(),AT$38)</f>
        <v>#N/A</v>
      </c>
      <c r="DU13" s="1" t="e">
        <f>IF(AT$39=0,NA(),AT$39)</f>
        <v>#N/A</v>
      </c>
      <c r="DV13" s="1" t="e">
        <f>IF(AT$40=0,NA(),AT$40)</f>
        <v>#N/A</v>
      </c>
      <c r="DW13" s="1" t="e">
        <f>IF(AT$41=0,NA(),AT$41)</f>
        <v>#N/A</v>
      </c>
      <c r="DX13" s="1" t="e">
        <f>IF(AT$42=0,NA(),AT$42)</f>
        <v>#N/A</v>
      </c>
      <c r="DY13" s="1" t="e">
        <f>IF(AT$43=0,NA(),AT$43)</f>
        <v>#N/A</v>
      </c>
      <c r="DZ13" s="1" t="e">
        <f>IF(AT$44=0,NA(),AT$44)</f>
        <v>#N/A</v>
      </c>
      <c r="EA13" s="1" t="e">
        <f>IF(AT$45=0,NA(),AT$45)</f>
        <v>#N/A</v>
      </c>
      <c r="EB13" s="1" t="e">
        <f>IF(AT$46=0,NA(),AT$46)</f>
        <v>#N/A</v>
      </c>
      <c r="EC13" s="1" t="e">
        <f>IF(AT$47=0,NA(),AT$47)</f>
        <v>#N/A</v>
      </c>
      <c r="ED13" s="1" t="e">
        <f>IF(AT$48=0,NA(),AT$48)</f>
        <v>#N/A</v>
      </c>
      <c r="EE13" s="1" t="e">
        <f>IF(AT$49=0,NA(),AT$49)</f>
        <v>#N/A</v>
      </c>
      <c r="EF13" s="1" t="e">
        <f>IF(AT$50=0,NA(),AT$50)</f>
        <v>#N/A</v>
      </c>
      <c r="EG13" s="1" t="e">
        <f>IF(AT$51=0,NA(),AT$51)</f>
        <v>#N/A</v>
      </c>
      <c r="EH13" s="1" t="e">
        <f>IF(AT$52=0,NA(),AT$52)</f>
        <v>#N/A</v>
      </c>
      <c r="EI13" s="1" t="e">
        <f>IF(AT$53=0,NA(),AT$53)</f>
        <v>#N/A</v>
      </c>
      <c r="EJ13" s="1" t="e">
        <f>IF(AT$54=0,NA(),AT$54)</f>
        <v>#N/A</v>
      </c>
      <c r="EK13" s="1" t="e">
        <f>IF(AT$55=0,NA(),AT$55)</f>
        <v>#N/A</v>
      </c>
      <c r="EL13" s="1" t="e">
        <f>IF(AT$56=0,NA(),AT$56)</f>
        <v>#N/A</v>
      </c>
      <c r="EM13" s="1" t="e">
        <f>IF(AT$57=0,NA(),AT$57)</f>
        <v>#N/A</v>
      </c>
    </row>
    <row r="14" spans="1:143" ht="15" customHeight="1" x14ac:dyDescent="0.3">
      <c r="A14" s="584">
        <v>12</v>
      </c>
      <c r="B14" s="592"/>
      <c r="C14" s="585"/>
      <c r="D14" s="584"/>
      <c r="E14" s="584"/>
      <c r="F14" s="584"/>
      <c r="G14" s="594"/>
      <c r="H14" s="587"/>
      <c r="I14" s="588">
        <f>IF(H14&lt;&gt;0,(C14*(1+G14)^(E14-'Yearly Budget'!$B$2)),0)</f>
        <v>0</v>
      </c>
      <c r="J14" s="587"/>
      <c r="K14" s="588">
        <f t="shared" si="8"/>
        <v>0</v>
      </c>
      <c r="L14" s="588">
        <f t="shared" si="9"/>
        <v>0</v>
      </c>
      <c r="M14" s="593"/>
      <c r="N14" s="589"/>
      <c r="O14" s="590"/>
      <c r="AH14" s="1">
        <f t="shared" si="4"/>
        <v>0</v>
      </c>
      <c r="AI14" s="1">
        <f t="shared" si="5"/>
        <v>0</v>
      </c>
      <c r="AJ14" s="1">
        <f t="shared" si="6"/>
        <v>0</v>
      </c>
      <c r="AK14" s="1">
        <f t="shared" si="17"/>
        <v>0</v>
      </c>
      <c r="AL14" s="1">
        <f t="shared" si="17"/>
        <v>0</v>
      </c>
      <c r="AM14" s="1">
        <f t="shared" si="17"/>
        <v>0</v>
      </c>
      <c r="AN14" s="1">
        <f t="shared" si="17"/>
        <v>0</v>
      </c>
      <c r="AO14" s="1">
        <f t="shared" si="17"/>
        <v>0</v>
      </c>
      <c r="AP14" s="1">
        <f t="shared" si="17"/>
        <v>0</v>
      </c>
      <c r="AQ14" s="1">
        <f t="shared" si="17"/>
        <v>0</v>
      </c>
      <c r="AR14" s="1">
        <f t="shared" si="17"/>
        <v>0</v>
      </c>
      <c r="AS14" s="1">
        <f t="shared" si="17"/>
        <v>0</v>
      </c>
      <c r="AT14" s="1">
        <f t="shared" si="17"/>
        <v>0</v>
      </c>
      <c r="AU14" s="1">
        <f t="shared" si="17"/>
        <v>0</v>
      </c>
      <c r="AV14" s="1">
        <f t="shared" si="17"/>
        <v>0</v>
      </c>
      <c r="AW14" s="1">
        <f t="shared" si="17"/>
        <v>0</v>
      </c>
      <c r="AX14" s="1">
        <f t="shared" si="17"/>
        <v>0</v>
      </c>
      <c r="AY14" s="1">
        <f t="shared" si="17"/>
        <v>0</v>
      </c>
      <c r="AZ14" s="1">
        <f t="shared" si="17"/>
        <v>0</v>
      </c>
      <c r="BA14" s="1">
        <f t="shared" si="17"/>
        <v>0</v>
      </c>
      <c r="BB14" s="1">
        <f t="shared" si="17"/>
        <v>0</v>
      </c>
      <c r="BC14" s="1">
        <f t="shared" si="17"/>
        <v>0</v>
      </c>
      <c r="BD14" s="1">
        <f t="shared" si="17"/>
        <v>0</v>
      </c>
      <c r="BE14" s="1">
        <f t="shared" si="17"/>
        <v>0</v>
      </c>
      <c r="BF14" s="1">
        <f t="shared" si="17"/>
        <v>0</v>
      </c>
      <c r="BG14" s="1">
        <f t="shared" si="17"/>
        <v>0</v>
      </c>
      <c r="BH14" s="1">
        <f t="shared" si="17"/>
        <v>0</v>
      </c>
      <c r="BI14" s="1">
        <f t="shared" si="17"/>
        <v>0</v>
      </c>
      <c r="BJ14" s="1">
        <f t="shared" si="17"/>
        <v>0</v>
      </c>
      <c r="BK14" s="1">
        <f t="shared" si="17"/>
        <v>0</v>
      </c>
      <c r="BL14" s="1">
        <f t="shared" si="17"/>
        <v>0</v>
      </c>
      <c r="BM14" s="1">
        <f t="shared" si="17"/>
        <v>0</v>
      </c>
      <c r="BN14" s="1">
        <f t="shared" si="17"/>
        <v>0</v>
      </c>
      <c r="BO14" s="1">
        <f t="shared" si="17"/>
        <v>0</v>
      </c>
      <c r="BP14" s="1">
        <f t="shared" si="17"/>
        <v>0</v>
      </c>
      <c r="BQ14" s="1">
        <f t="shared" si="17"/>
        <v>0</v>
      </c>
      <c r="BR14" s="1">
        <f t="shared" si="17"/>
        <v>0</v>
      </c>
      <c r="BS14" s="1">
        <f t="shared" si="17"/>
        <v>0</v>
      </c>
      <c r="BT14" s="1">
        <f t="shared" si="17"/>
        <v>0</v>
      </c>
      <c r="BU14" s="1">
        <f t="shared" si="17"/>
        <v>0</v>
      </c>
      <c r="BV14" s="1">
        <f t="shared" si="17"/>
        <v>0</v>
      </c>
      <c r="BW14" s="1">
        <f t="shared" si="17"/>
        <v>0</v>
      </c>
      <c r="BX14" s="1">
        <f t="shared" si="17"/>
        <v>0</v>
      </c>
      <c r="BY14" s="1">
        <f t="shared" si="17"/>
        <v>0</v>
      </c>
      <c r="BZ14" s="1">
        <f t="shared" si="17"/>
        <v>0</v>
      </c>
      <c r="CA14" s="1">
        <f t="shared" si="17"/>
        <v>0</v>
      </c>
      <c r="CB14" s="1">
        <f t="shared" si="17"/>
        <v>0</v>
      </c>
      <c r="CC14" s="1">
        <f t="shared" si="17"/>
        <v>0</v>
      </c>
      <c r="CD14" s="1">
        <f t="shared" si="17"/>
        <v>0</v>
      </c>
      <c r="CE14" s="1">
        <f t="shared" si="17"/>
        <v>0</v>
      </c>
      <c r="CF14" s="1">
        <f t="shared" si="17"/>
        <v>0</v>
      </c>
      <c r="CG14" s="1">
        <f t="shared" si="17"/>
        <v>0</v>
      </c>
      <c r="CH14" s="1">
        <f t="shared" si="17"/>
        <v>0</v>
      </c>
      <c r="CI14" s="1">
        <f t="shared" si="17"/>
        <v>0</v>
      </c>
      <c r="CJ14" s="1">
        <f t="shared" si="17"/>
        <v>0</v>
      </c>
      <c r="CK14" s="1">
        <f t="shared" si="17"/>
        <v>0</v>
      </c>
      <c r="CL14" s="1">
        <f t="shared" si="17"/>
        <v>0</v>
      </c>
      <c r="CM14" s="1">
        <f t="shared" si="17"/>
        <v>0</v>
      </c>
      <c r="CN14" s="1">
        <f t="shared" si="17"/>
        <v>0</v>
      </c>
      <c r="CO14" s="1">
        <f t="shared" si="17"/>
        <v>0</v>
      </c>
      <c r="CP14" s="1">
        <f t="shared" si="17"/>
        <v>0</v>
      </c>
      <c r="CQ14" s="1">
        <f t="shared" si="17"/>
        <v>0</v>
      </c>
      <c r="CR14" s="1">
        <f t="shared" si="17"/>
        <v>0</v>
      </c>
      <c r="CS14" s="1">
        <f t="shared" si="17"/>
        <v>0</v>
      </c>
      <c r="CT14" s="1">
        <f t="shared" si="17"/>
        <v>0</v>
      </c>
      <c r="CU14" s="1">
        <f t="shared" si="17"/>
        <v>0</v>
      </c>
      <c r="CV14" s="1">
        <f t="shared" si="17"/>
        <v>0</v>
      </c>
      <c r="CW14" s="1">
        <f t="shared" si="16"/>
        <v>0</v>
      </c>
      <c r="CX14" s="1">
        <f t="shared" si="16"/>
        <v>0</v>
      </c>
      <c r="CY14" s="1">
        <f t="shared" si="16"/>
        <v>0</v>
      </c>
      <c r="CZ14" s="1">
        <f t="shared" si="16"/>
        <v>0</v>
      </c>
      <c r="DA14" s="1">
        <f t="shared" si="16"/>
        <v>0</v>
      </c>
      <c r="DB14" s="1">
        <f t="shared" si="16"/>
        <v>0</v>
      </c>
      <c r="DC14" s="1">
        <f t="shared" si="16"/>
        <v>0</v>
      </c>
      <c r="DD14" s="1">
        <f t="shared" si="16"/>
        <v>0</v>
      </c>
      <c r="DE14" s="1">
        <f t="shared" si="16"/>
        <v>0</v>
      </c>
      <c r="DF14" s="1">
        <f t="shared" si="16"/>
        <v>0</v>
      </c>
      <c r="DG14" s="1">
        <f t="shared" si="16"/>
        <v>0</v>
      </c>
      <c r="DK14" s="1">
        <f t="shared" si="11"/>
        <v>2036</v>
      </c>
      <c r="DL14" s="1">
        <f t="shared" ca="1" si="12"/>
        <v>56</v>
      </c>
      <c r="DM14" s="1">
        <f t="shared" ca="1" si="13"/>
        <v>61</v>
      </c>
      <c r="DN14" s="83" t="e">
        <f>IF(AU$32=0,NA(),AU$32)</f>
        <v>#N/A</v>
      </c>
      <c r="DO14" s="1" t="e">
        <f>IF(AU$33=0,NA(),AU$33)</f>
        <v>#N/A</v>
      </c>
      <c r="DP14" s="1">
        <f>IF(AU$34=0,NA(),AU$34)</f>
        <v>1165819.4985273054</v>
      </c>
      <c r="DQ14" s="1" t="e">
        <f>IF(AU$35=0,NA(),AU$35)</f>
        <v>#N/A</v>
      </c>
      <c r="DR14" s="1" t="e">
        <f>IF(AU$36=0,NA(),AU$36)</f>
        <v>#N/A</v>
      </c>
      <c r="DS14" s="1" t="e">
        <f>IF(AU$37=0,NA(),AU$37)</f>
        <v>#N/A</v>
      </c>
      <c r="DT14" s="1" t="e">
        <f>IF(AU$38=0,NA(),AU$38)</f>
        <v>#N/A</v>
      </c>
      <c r="DU14" s="1" t="e">
        <f>IF(AU$39=0,NA(),AU$39)</f>
        <v>#N/A</v>
      </c>
      <c r="DV14" s="1" t="e">
        <f>IF(AU$40=0,NA(),AU$40)</f>
        <v>#N/A</v>
      </c>
      <c r="DW14" s="1" t="e">
        <f>IF(AU$41=0,NA(),AU$41)</f>
        <v>#N/A</v>
      </c>
      <c r="DX14" s="1" t="e">
        <f>IF(AU$42=0,NA(),AU$42)</f>
        <v>#N/A</v>
      </c>
      <c r="DY14" s="1" t="e">
        <f>IF(AU$43=0,NA(),AU$43)</f>
        <v>#N/A</v>
      </c>
      <c r="DZ14" s="1" t="e">
        <f>IF(AU$44=0,NA(),AU$44)</f>
        <v>#N/A</v>
      </c>
      <c r="EA14" s="1" t="e">
        <f>IF(AU$45=0,NA(),AU$45)</f>
        <v>#N/A</v>
      </c>
      <c r="EB14" s="1" t="e">
        <f>IF(AU$46=0,NA(),AU$46)</f>
        <v>#N/A</v>
      </c>
      <c r="EC14" s="1" t="e">
        <f>IF(AU$47=0,NA(),AU$47)</f>
        <v>#N/A</v>
      </c>
      <c r="ED14" s="1" t="e">
        <f>IF(AU$48=0,NA(),AU$48)</f>
        <v>#N/A</v>
      </c>
      <c r="EE14" s="1" t="e">
        <f>IF(AU$49=0,NA(),AU$49)</f>
        <v>#N/A</v>
      </c>
      <c r="EF14" s="1" t="e">
        <f>IF(AU$50=0,NA(),AU$50)</f>
        <v>#N/A</v>
      </c>
      <c r="EG14" s="1" t="e">
        <f>IF(AU$51=0,NA(),AU$51)</f>
        <v>#N/A</v>
      </c>
      <c r="EH14" s="1" t="e">
        <f>IF(AU$52=0,NA(),AU$52)</f>
        <v>#N/A</v>
      </c>
      <c r="EI14" s="1" t="e">
        <f>IF(AU$53=0,NA(),AU$53)</f>
        <v>#N/A</v>
      </c>
      <c r="EJ14" s="1" t="e">
        <f>IF(AU$54=0,NA(),AU$54)</f>
        <v>#N/A</v>
      </c>
      <c r="EK14" s="1" t="e">
        <f>IF(AU$55=0,NA(),AU$55)</f>
        <v>#N/A</v>
      </c>
      <c r="EL14" s="1" t="e">
        <f>IF(AU$56=0,NA(),AU$56)</f>
        <v>#N/A</v>
      </c>
      <c r="EM14" s="1" t="e">
        <f>IF(AU$57=0,NA(),AU$57)</f>
        <v>#N/A</v>
      </c>
    </row>
    <row r="15" spans="1:143" ht="15" customHeight="1" x14ac:dyDescent="0.3">
      <c r="A15" s="584">
        <v>13</v>
      </c>
      <c r="B15" s="592"/>
      <c r="C15" s="585"/>
      <c r="D15" s="584"/>
      <c r="E15" s="584"/>
      <c r="F15" s="584"/>
      <c r="G15" s="594"/>
      <c r="H15" s="587"/>
      <c r="I15" s="588">
        <f>IF(H15&lt;&gt;0,(C15*(1+G15)^(E15-'Yearly Budget'!$B$2)),0)</f>
        <v>0</v>
      </c>
      <c r="J15" s="587"/>
      <c r="K15" s="588">
        <f t="shared" si="8"/>
        <v>0</v>
      </c>
      <c r="L15" s="588">
        <f t="shared" si="9"/>
        <v>0</v>
      </c>
      <c r="M15" s="593"/>
      <c r="N15" s="589"/>
      <c r="O15" s="590"/>
      <c r="AH15" s="1">
        <f t="shared" si="4"/>
        <v>0</v>
      </c>
      <c r="AI15" s="1">
        <f t="shared" si="5"/>
        <v>0</v>
      </c>
      <c r="AJ15" s="1">
        <f t="shared" si="6"/>
        <v>0</v>
      </c>
      <c r="AK15" s="1">
        <f t="shared" si="17"/>
        <v>0</v>
      </c>
      <c r="AL15" s="1">
        <f t="shared" si="17"/>
        <v>0</v>
      </c>
      <c r="AM15" s="1">
        <f t="shared" si="17"/>
        <v>0</v>
      </c>
      <c r="AN15" s="1">
        <f t="shared" si="17"/>
        <v>0</v>
      </c>
      <c r="AO15" s="1">
        <f t="shared" si="17"/>
        <v>0</v>
      </c>
      <c r="AP15" s="1">
        <f t="shared" si="17"/>
        <v>0</v>
      </c>
      <c r="AQ15" s="1">
        <f t="shared" si="17"/>
        <v>0</v>
      </c>
      <c r="AR15" s="1">
        <f t="shared" si="17"/>
        <v>0</v>
      </c>
      <c r="AS15" s="1">
        <f t="shared" si="17"/>
        <v>0</v>
      </c>
      <c r="AT15" s="1">
        <f t="shared" si="17"/>
        <v>0</v>
      </c>
      <c r="AU15" s="1">
        <f t="shared" si="17"/>
        <v>0</v>
      </c>
      <c r="AV15" s="1">
        <f t="shared" si="17"/>
        <v>0</v>
      </c>
      <c r="AW15" s="1">
        <f t="shared" si="17"/>
        <v>0</v>
      </c>
      <c r="AX15" s="1">
        <f t="shared" si="17"/>
        <v>0</v>
      </c>
      <c r="AY15" s="1">
        <f t="shared" si="17"/>
        <v>0</v>
      </c>
      <c r="AZ15" s="1">
        <f t="shared" si="17"/>
        <v>0</v>
      </c>
      <c r="BA15" s="1">
        <f t="shared" si="17"/>
        <v>0</v>
      </c>
      <c r="BB15" s="1">
        <f t="shared" si="17"/>
        <v>0</v>
      </c>
      <c r="BC15" s="1">
        <f t="shared" si="17"/>
        <v>0</v>
      </c>
      <c r="BD15" s="1">
        <f t="shared" si="17"/>
        <v>0</v>
      </c>
      <c r="BE15" s="1">
        <f t="shared" si="17"/>
        <v>0</v>
      </c>
      <c r="BF15" s="1">
        <f t="shared" si="17"/>
        <v>0</v>
      </c>
      <c r="BG15" s="1">
        <f t="shared" si="17"/>
        <v>0</v>
      </c>
      <c r="BH15" s="1">
        <f t="shared" si="17"/>
        <v>0</v>
      </c>
      <c r="BI15" s="1">
        <f t="shared" si="17"/>
        <v>0</v>
      </c>
      <c r="BJ15" s="1">
        <f t="shared" si="17"/>
        <v>0</v>
      </c>
      <c r="BK15" s="1">
        <f t="shared" si="17"/>
        <v>0</v>
      </c>
      <c r="BL15" s="1">
        <f t="shared" si="17"/>
        <v>0</v>
      </c>
      <c r="BM15" s="1">
        <f t="shared" si="17"/>
        <v>0</v>
      </c>
      <c r="BN15" s="1">
        <f t="shared" si="17"/>
        <v>0</v>
      </c>
      <c r="BO15" s="1">
        <f t="shared" si="17"/>
        <v>0</v>
      </c>
      <c r="BP15" s="1">
        <f t="shared" si="17"/>
        <v>0</v>
      </c>
      <c r="BQ15" s="1">
        <f t="shared" si="17"/>
        <v>0</v>
      </c>
      <c r="BR15" s="1">
        <f t="shared" si="17"/>
        <v>0</v>
      </c>
      <c r="BS15" s="1">
        <f t="shared" si="17"/>
        <v>0</v>
      </c>
      <c r="BT15" s="1">
        <f t="shared" si="17"/>
        <v>0</v>
      </c>
      <c r="BU15" s="1">
        <f t="shared" si="17"/>
        <v>0</v>
      </c>
      <c r="BV15" s="1">
        <f t="shared" si="17"/>
        <v>0</v>
      </c>
      <c r="BW15" s="1">
        <f t="shared" si="17"/>
        <v>0</v>
      </c>
      <c r="BX15" s="1">
        <f t="shared" si="17"/>
        <v>0</v>
      </c>
      <c r="BY15" s="1">
        <f t="shared" si="17"/>
        <v>0</v>
      </c>
      <c r="BZ15" s="1">
        <f t="shared" si="17"/>
        <v>0</v>
      </c>
      <c r="CA15" s="1">
        <f t="shared" si="17"/>
        <v>0</v>
      </c>
      <c r="CB15" s="1">
        <f t="shared" si="17"/>
        <v>0</v>
      </c>
      <c r="CC15" s="1">
        <f t="shared" si="17"/>
        <v>0</v>
      </c>
      <c r="CD15" s="1">
        <f t="shared" si="17"/>
        <v>0</v>
      </c>
      <c r="CE15" s="1">
        <f t="shared" si="17"/>
        <v>0</v>
      </c>
      <c r="CF15" s="1">
        <f t="shared" si="17"/>
        <v>0</v>
      </c>
      <c r="CG15" s="1">
        <f t="shared" si="17"/>
        <v>0</v>
      </c>
      <c r="CH15" s="1">
        <f t="shared" si="17"/>
        <v>0</v>
      </c>
      <c r="CI15" s="1">
        <f t="shared" si="17"/>
        <v>0</v>
      </c>
      <c r="CJ15" s="1">
        <f t="shared" si="17"/>
        <v>0</v>
      </c>
      <c r="CK15" s="1">
        <f t="shared" si="17"/>
        <v>0</v>
      </c>
      <c r="CL15" s="1">
        <f t="shared" si="17"/>
        <v>0</v>
      </c>
      <c r="CM15" s="1">
        <f t="shared" si="17"/>
        <v>0</v>
      </c>
      <c r="CN15" s="1">
        <f t="shared" si="17"/>
        <v>0</v>
      </c>
      <c r="CO15" s="1">
        <f t="shared" si="17"/>
        <v>0</v>
      </c>
      <c r="CP15" s="1">
        <f t="shared" si="17"/>
        <v>0</v>
      </c>
      <c r="CQ15" s="1">
        <f t="shared" si="17"/>
        <v>0</v>
      </c>
      <c r="CR15" s="1">
        <f t="shared" si="17"/>
        <v>0</v>
      </c>
      <c r="CS15" s="1">
        <f t="shared" si="17"/>
        <v>0</v>
      </c>
      <c r="CT15" s="1">
        <f t="shared" si="17"/>
        <v>0</v>
      </c>
      <c r="CU15" s="1">
        <f t="shared" si="17"/>
        <v>0</v>
      </c>
      <c r="CV15" s="1">
        <f t="shared" si="17"/>
        <v>0</v>
      </c>
      <c r="CW15" s="1">
        <f t="shared" si="16"/>
        <v>0</v>
      </c>
      <c r="CX15" s="1">
        <f t="shared" si="16"/>
        <v>0</v>
      </c>
      <c r="CY15" s="1">
        <f t="shared" si="16"/>
        <v>0</v>
      </c>
      <c r="CZ15" s="1">
        <f t="shared" si="16"/>
        <v>0</v>
      </c>
      <c r="DA15" s="1">
        <f t="shared" si="16"/>
        <v>0</v>
      </c>
      <c r="DB15" s="1">
        <f t="shared" si="16"/>
        <v>0</v>
      </c>
      <c r="DC15" s="1">
        <f t="shared" si="16"/>
        <v>0</v>
      </c>
      <c r="DD15" s="1">
        <f t="shared" si="16"/>
        <v>0</v>
      </c>
      <c r="DE15" s="1">
        <f t="shared" si="16"/>
        <v>0</v>
      </c>
      <c r="DF15" s="1">
        <f t="shared" si="16"/>
        <v>0</v>
      </c>
      <c r="DG15" s="1">
        <f t="shared" si="16"/>
        <v>0</v>
      </c>
      <c r="DK15" s="1">
        <f t="shared" si="11"/>
        <v>2037</v>
      </c>
      <c r="DL15" s="1">
        <f t="shared" ca="1" si="12"/>
        <v>57</v>
      </c>
      <c r="DM15" s="1">
        <f t="shared" ca="1" si="13"/>
        <v>62</v>
      </c>
      <c r="DN15" s="83" t="e">
        <f>IF(AV$32=0,NA(),AV$32)</f>
        <v>#N/A</v>
      </c>
      <c r="DO15" s="1" t="e">
        <f>IF(AV$33=0,NA(),AV$33)</f>
        <v>#N/A</v>
      </c>
      <c r="DP15" s="1" t="e">
        <f>IF(AV$34=0,NA(),AV$34)</f>
        <v>#N/A</v>
      </c>
      <c r="DQ15" s="1" t="e">
        <f>IF(AV$35=0,NA(),AV$35)</f>
        <v>#N/A</v>
      </c>
      <c r="DR15" s="1" t="e">
        <f>IF(AV$36=0,NA(),AV$36)</f>
        <v>#N/A</v>
      </c>
      <c r="DS15" s="1" t="e">
        <f>IF(AV$37=0,NA(),AV$37)</f>
        <v>#N/A</v>
      </c>
      <c r="DT15" s="1" t="e">
        <f>IF(AV$38=0,NA(),AV$38)</f>
        <v>#N/A</v>
      </c>
      <c r="DU15" s="1" t="e">
        <f>IF(AV$39=0,NA(),AV$39)</f>
        <v>#N/A</v>
      </c>
      <c r="DV15" s="1" t="e">
        <f>IF(AV$40=0,NA(),AV$40)</f>
        <v>#N/A</v>
      </c>
      <c r="DW15" s="1" t="e">
        <f>IF(AV$41=0,NA(),AV$41)</f>
        <v>#N/A</v>
      </c>
      <c r="DX15" s="1" t="e">
        <f>IF(AV$42=0,NA(),AV$42)</f>
        <v>#N/A</v>
      </c>
      <c r="DY15" s="1" t="e">
        <f>IF(AV$43=0,NA(),AV$43)</f>
        <v>#N/A</v>
      </c>
      <c r="DZ15" s="1" t="e">
        <f>IF(AV$44=0,NA(),AV$44)</f>
        <v>#N/A</v>
      </c>
      <c r="EA15" s="1" t="e">
        <f>IF(AV$45=0,NA(),AV$45)</f>
        <v>#N/A</v>
      </c>
      <c r="EB15" s="1" t="e">
        <f>IF(AV$46=0,NA(),AV$46)</f>
        <v>#N/A</v>
      </c>
      <c r="EC15" s="1" t="e">
        <f>IF(AV$47=0,NA(),AV$47)</f>
        <v>#N/A</v>
      </c>
      <c r="ED15" s="1" t="e">
        <f>IF(AV$48=0,NA(),AV$48)</f>
        <v>#N/A</v>
      </c>
      <c r="EE15" s="1" t="e">
        <f>IF(AV$49=0,NA(),AV$49)</f>
        <v>#N/A</v>
      </c>
      <c r="EF15" s="1" t="e">
        <f>IF(AV$50=0,NA(),AV$50)</f>
        <v>#N/A</v>
      </c>
      <c r="EG15" s="1" t="e">
        <f>IF(AV$51=0,NA(),AV$51)</f>
        <v>#N/A</v>
      </c>
      <c r="EH15" s="1" t="e">
        <f>IF(AV$52=0,NA(),AV$52)</f>
        <v>#N/A</v>
      </c>
      <c r="EI15" s="1" t="e">
        <f>IF(AV$53=0,NA(),AV$53)</f>
        <v>#N/A</v>
      </c>
      <c r="EJ15" s="1" t="e">
        <f>IF(AV$54=0,NA(),AV$54)</f>
        <v>#N/A</v>
      </c>
      <c r="EK15" s="1" t="e">
        <f>IF(AV$55=0,NA(),AV$55)</f>
        <v>#N/A</v>
      </c>
      <c r="EL15" s="1" t="e">
        <f>IF(AV$56=0,NA(),AV$56)</f>
        <v>#N/A</v>
      </c>
      <c r="EM15" s="1" t="e">
        <f>IF(AV$57=0,NA(),AV$57)</f>
        <v>#N/A</v>
      </c>
    </row>
    <row r="16" spans="1:143" ht="15" customHeight="1" x14ac:dyDescent="0.3">
      <c r="A16" s="584">
        <v>14</v>
      </c>
      <c r="B16" s="592"/>
      <c r="C16" s="585"/>
      <c r="D16" s="584"/>
      <c r="E16" s="584"/>
      <c r="F16" s="584"/>
      <c r="G16" s="594"/>
      <c r="H16" s="587"/>
      <c r="I16" s="588">
        <f>IF(H16&lt;&gt;0,(C16*(1+G16)^(E16-'Yearly Budget'!$B$2)),0)</f>
        <v>0</v>
      </c>
      <c r="J16" s="587"/>
      <c r="K16" s="588">
        <f t="shared" si="8"/>
        <v>0</v>
      </c>
      <c r="L16" s="588">
        <f t="shared" si="9"/>
        <v>0</v>
      </c>
      <c r="M16" s="593"/>
      <c r="N16" s="589"/>
      <c r="O16" s="590"/>
      <c r="AH16" s="1">
        <f t="shared" si="4"/>
        <v>0</v>
      </c>
      <c r="AI16" s="1">
        <f t="shared" si="5"/>
        <v>0</v>
      </c>
      <c r="AJ16" s="1">
        <f t="shared" si="6"/>
        <v>0</v>
      </c>
      <c r="AK16" s="1">
        <f t="shared" si="17"/>
        <v>0</v>
      </c>
      <c r="AL16" s="1">
        <f t="shared" si="17"/>
        <v>0</v>
      </c>
      <c r="AM16" s="1">
        <f t="shared" si="17"/>
        <v>0</v>
      </c>
      <c r="AN16" s="1">
        <f t="shared" si="17"/>
        <v>0</v>
      </c>
      <c r="AO16" s="1">
        <f t="shared" si="17"/>
        <v>0</v>
      </c>
      <c r="AP16" s="1">
        <f t="shared" si="17"/>
        <v>0</v>
      </c>
      <c r="AQ16" s="1">
        <f t="shared" si="17"/>
        <v>0</v>
      </c>
      <c r="AR16" s="1">
        <f t="shared" si="17"/>
        <v>0</v>
      </c>
      <c r="AS16" s="1">
        <f t="shared" si="17"/>
        <v>0</v>
      </c>
      <c r="AT16" s="1">
        <f t="shared" si="17"/>
        <v>0</v>
      </c>
      <c r="AU16" s="1">
        <f t="shared" si="17"/>
        <v>0</v>
      </c>
      <c r="AV16" s="1">
        <f t="shared" si="17"/>
        <v>0</v>
      </c>
      <c r="AW16" s="1">
        <f t="shared" si="17"/>
        <v>0</v>
      </c>
      <c r="AX16" s="1">
        <f t="shared" si="17"/>
        <v>0</v>
      </c>
      <c r="AY16" s="1">
        <f t="shared" si="17"/>
        <v>0</v>
      </c>
      <c r="AZ16" s="1">
        <f t="shared" si="17"/>
        <v>0</v>
      </c>
      <c r="BA16" s="1">
        <f t="shared" si="17"/>
        <v>0</v>
      </c>
      <c r="BB16" s="1">
        <f t="shared" si="17"/>
        <v>0</v>
      </c>
      <c r="BC16" s="1">
        <f t="shared" si="17"/>
        <v>0</v>
      </c>
      <c r="BD16" s="1">
        <f t="shared" si="17"/>
        <v>0</v>
      </c>
      <c r="BE16" s="1">
        <f t="shared" si="17"/>
        <v>0</v>
      </c>
      <c r="BF16" s="1">
        <f t="shared" si="17"/>
        <v>0</v>
      </c>
      <c r="BG16" s="1">
        <f t="shared" si="17"/>
        <v>0</v>
      </c>
      <c r="BH16" s="1">
        <f t="shared" si="17"/>
        <v>0</v>
      </c>
      <c r="BI16" s="1">
        <f t="shared" si="17"/>
        <v>0</v>
      </c>
      <c r="BJ16" s="1">
        <f t="shared" si="17"/>
        <v>0</v>
      </c>
      <c r="BK16" s="1">
        <f t="shared" si="17"/>
        <v>0</v>
      </c>
      <c r="BL16" s="1">
        <f t="shared" si="17"/>
        <v>0</v>
      </c>
      <c r="BM16" s="1">
        <f t="shared" si="17"/>
        <v>0</v>
      </c>
      <c r="BN16" s="1">
        <f t="shared" si="17"/>
        <v>0</v>
      </c>
      <c r="BO16" s="1">
        <f t="shared" si="17"/>
        <v>0</v>
      </c>
      <c r="BP16" s="1">
        <f t="shared" si="17"/>
        <v>0</v>
      </c>
      <c r="BQ16" s="1">
        <f t="shared" si="17"/>
        <v>0</v>
      </c>
      <c r="BR16" s="1">
        <f t="shared" si="17"/>
        <v>0</v>
      </c>
      <c r="BS16" s="1">
        <f t="shared" si="17"/>
        <v>0</v>
      </c>
      <c r="BT16" s="1">
        <f t="shared" si="17"/>
        <v>0</v>
      </c>
      <c r="BU16" s="1">
        <f t="shared" si="17"/>
        <v>0</v>
      </c>
      <c r="BV16" s="1">
        <f t="shared" si="17"/>
        <v>0</v>
      </c>
      <c r="BW16" s="1">
        <f t="shared" si="17"/>
        <v>0</v>
      </c>
      <c r="BX16" s="1">
        <f t="shared" si="17"/>
        <v>0</v>
      </c>
      <c r="BY16" s="1">
        <f t="shared" si="17"/>
        <v>0</v>
      </c>
      <c r="BZ16" s="1">
        <f t="shared" si="17"/>
        <v>0</v>
      </c>
      <c r="CA16" s="1">
        <f t="shared" si="17"/>
        <v>0</v>
      </c>
      <c r="CB16" s="1">
        <f t="shared" si="17"/>
        <v>0</v>
      </c>
      <c r="CC16" s="1">
        <f t="shared" si="17"/>
        <v>0</v>
      </c>
      <c r="CD16" s="1">
        <f t="shared" si="17"/>
        <v>0</v>
      </c>
      <c r="CE16" s="1">
        <f t="shared" si="17"/>
        <v>0</v>
      </c>
      <c r="CF16" s="1">
        <f t="shared" si="17"/>
        <v>0</v>
      </c>
      <c r="CG16" s="1">
        <f t="shared" si="17"/>
        <v>0</v>
      </c>
      <c r="CH16" s="1">
        <f t="shared" si="17"/>
        <v>0</v>
      </c>
      <c r="CI16" s="1">
        <f t="shared" si="17"/>
        <v>0</v>
      </c>
      <c r="CJ16" s="1">
        <f t="shared" si="17"/>
        <v>0</v>
      </c>
      <c r="CK16" s="1">
        <f t="shared" si="17"/>
        <v>0</v>
      </c>
      <c r="CL16" s="1">
        <f t="shared" si="17"/>
        <v>0</v>
      </c>
      <c r="CM16" s="1">
        <f t="shared" si="17"/>
        <v>0</v>
      </c>
      <c r="CN16" s="1">
        <f t="shared" si="17"/>
        <v>0</v>
      </c>
      <c r="CO16" s="1">
        <f t="shared" si="17"/>
        <v>0</v>
      </c>
      <c r="CP16" s="1">
        <f t="shared" si="17"/>
        <v>0</v>
      </c>
      <c r="CQ16" s="1">
        <f t="shared" si="17"/>
        <v>0</v>
      </c>
      <c r="CR16" s="1">
        <f t="shared" si="17"/>
        <v>0</v>
      </c>
      <c r="CS16" s="1">
        <f t="shared" si="17"/>
        <v>0</v>
      </c>
      <c r="CT16" s="1">
        <f t="shared" si="17"/>
        <v>0</v>
      </c>
      <c r="CU16" s="1">
        <f t="shared" si="17"/>
        <v>0</v>
      </c>
      <c r="CV16" s="1">
        <f t="shared" ref="CV16:DG19" si="18">IFERROR(IF($D16="Recurring",IF(AND($E16&lt;=CV$2,CV$2&lt;=$AI16),$C16,0),IF($J16=0,_xlfn.XLOOKUP(CV$2,$E16,$C16),_xlfn.XLOOKUP(CV$2,$E16,$C16*$J16))),0)</f>
        <v>0</v>
      </c>
      <c r="CW16" s="1">
        <f t="shared" si="18"/>
        <v>0</v>
      </c>
      <c r="CX16" s="1">
        <f t="shared" si="18"/>
        <v>0</v>
      </c>
      <c r="CY16" s="1">
        <f t="shared" si="18"/>
        <v>0</v>
      </c>
      <c r="CZ16" s="1">
        <f t="shared" si="18"/>
        <v>0</v>
      </c>
      <c r="DA16" s="1">
        <f t="shared" si="18"/>
        <v>0</v>
      </c>
      <c r="DB16" s="1">
        <f t="shared" si="18"/>
        <v>0</v>
      </c>
      <c r="DC16" s="1">
        <f t="shared" si="18"/>
        <v>0</v>
      </c>
      <c r="DD16" s="1">
        <f t="shared" si="18"/>
        <v>0</v>
      </c>
      <c r="DE16" s="1">
        <f t="shared" si="18"/>
        <v>0</v>
      </c>
      <c r="DF16" s="1">
        <f t="shared" si="18"/>
        <v>0</v>
      </c>
      <c r="DG16" s="1">
        <f t="shared" si="18"/>
        <v>0</v>
      </c>
      <c r="DK16" s="1">
        <f t="shared" si="11"/>
        <v>2038</v>
      </c>
      <c r="DL16" s="1">
        <f t="shared" ca="1" si="12"/>
        <v>58</v>
      </c>
      <c r="DM16" s="1">
        <f t="shared" ca="1" si="13"/>
        <v>63</v>
      </c>
      <c r="DN16" s="83" t="e">
        <f>IF(AW$32=0,NA(),AW$32)</f>
        <v>#N/A</v>
      </c>
      <c r="DO16" s="1" t="e">
        <f>IF(AW$33=0,NA(),AW$33)</f>
        <v>#N/A</v>
      </c>
      <c r="DP16" s="1" t="e">
        <f>IF(AW$34=0,NA(),AW$34)</f>
        <v>#N/A</v>
      </c>
      <c r="DQ16" s="1" t="e">
        <f>IF(AW$35=0,NA(),AW$35)</f>
        <v>#N/A</v>
      </c>
      <c r="DR16" s="1" t="e">
        <f>IF(AW$36=0,NA(),AW$36)</f>
        <v>#N/A</v>
      </c>
      <c r="DS16" s="1" t="e">
        <f>IF(AW$37=0,NA(),AW$37)</f>
        <v>#N/A</v>
      </c>
      <c r="DT16" s="1" t="e">
        <f>IF(AW$38=0,NA(),AW$38)</f>
        <v>#N/A</v>
      </c>
      <c r="DU16" s="1" t="e">
        <f>IF(AW$39=0,NA(),AW$39)</f>
        <v>#N/A</v>
      </c>
      <c r="DV16" s="1" t="e">
        <f>IF(AW$40=0,NA(),AW$40)</f>
        <v>#N/A</v>
      </c>
      <c r="DW16" s="1" t="e">
        <f>IF(AW$41=0,NA(),AW$41)</f>
        <v>#N/A</v>
      </c>
      <c r="DX16" s="1" t="e">
        <f>IF(AW$42=0,NA(),AW$42)</f>
        <v>#N/A</v>
      </c>
      <c r="DY16" s="1" t="e">
        <f>IF(AW$43=0,NA(),AW$43)</f>
        <v>#N/A</v>
      </c>
      <c r="DZ16" s="1" t="e">
        <f>IF(AW$44=0,NA(),AW$44)</f>
        <v>#N/A</v>
      </c>
      <c r="EA16" s="1" t="e">
        <f>IF(AW$45=0,NA(),AW$45)</f>
        <v>#N/A</v>
      </c>
      <c r="EB16" s="1" t="e">
        <f>IF(AW$46=0,NA(),AW$46)</f>
        <v>#N/A</v>
      </c>
      <c r="EC16" s="1" t="e">
        <f>IF(AW$47=0,NA(),AW$47)</f>
        <v>#N/A</v>
      </c>
      <c r="ED16" s="1" t="e">
        <f>IF(AW$48=0,NA(),AW$48)</f>
        <v>#N/A</v>
      </c>
      <c r="EE16" s="1" t="e">
        <f>IF(AW$49=0,NA(),AW$49)</f>
        <v>#N/A</v>
      </c>
      <c r="EF16" s="1" t="e">
        <f>IF(AW$50=0,NA(),AW$50)</f>
        <v>#N/A</v>
      </c>
      <c r="EG16" s="1" t="e">
        <f>IF(AW$51=0,NA(),AW$51)</f>
        <v>#N/A</v>
      </c>
      <c r="EH16" s="1" t="e">
        <f>IF(AW$52=0,NA(),AW$52)</f>
        <v>#N/A</v>
      </c>
      <c r="EI16" s="1" t="e">
        <f>IF(AW$53=0,NA(),AW$53)</f>
        <v>#N/A</v>
      </c>
      <c r="EJ16" s="1" t="e">
        <f>IF(AW$54=0,NA(),AW$54)</f>
        <v>#N/A</v>
      </c>
      <c r="EK16" s="1" t="e">
        <f>IF(AW$55=0,NA(),AW$55)</f>
        <v>#N/A</v>
      </c>
      <c r="EL16" s="1" t="e">
        <f>IF(AW$56=0,NA(),AW$56)</f>
        <v>#N/A</v>
      </c>
      <c r="EM16" s="1" t="e">
        <f>IF(AW$57=0,NA(),AW$57)</f>
        <v>#N/A</v>
      </c>
    </row>
    <row r="17" spans="1:143" ht="15" customHeight="1" x14ac:dyDescent="0.3">
      <c r="A17" s="584">
        <v>15</v>
      </c>
      <c r="B17" s="592"/>
      <c r="C17" s="585"/>
      <c r="D17" s="584"/>
      <c r="E17" s="584"/>
      <c r="F17" s="584"/>
      <c r="G17" s="594"/>
      <c r="H17" s="587"/>
      <c r="I17" s="588">
        <f>IF(H17&lt;&gt;0,(C17*(1+G17)^(E17-'Yearly Budget'!$B$2)),0)</f>
        <v>0</v>
      </c>
      <c r="J17" s="587"/>
      <c r="K17" s="588">
        <f t="shared" si="8"/>
        <v>0</v>
      </c>
      <c r="L17" s="588">
        <f t="shared" si="9"/>
        <v>0</v>
      </c>
      <c r="M17" s="593"/>
      <c r="N17" s="589"/>
      <c r="O17" s="590"/>
      <c r="AH17" s="1">
        <f t="shared" si="4"/>
        <v>0</v>
      </c>
      <c r="AI17" s="1">
        <f t="shared" si="5"/>
        <v>0</v>
      </c>
      <c r="AJ17" s="1">
        <f t="shared" si="6"/>
        <v>0</v>
      </c>
      <c r="AK17" s="1">
        <f t="shared" ref="AK17:CV20" si="19">IFERROR(IF($D17="Recurring",IF(AND($E17&lt;=AK$2,AK$2&lt;=$AI17),$C17,0),IF($J17=0,_xlfn.XLOOKUP(AK$2,$E17,$C17),_xlfn.XLOOKUP(AK$2,$E17,$C17*$J17))),0)</f>
        <v>0</v>
      </c>
      <c r="AL17" s="1">
        <f t="shared" si="19"/>
        <v>0</v>
      </c>
      <c r="AM17" s="1">
        <f t="shared" si="19"/>
        <v>0</v>
      </c>
      <c r="AN17" s="1">
        <f t="shared" si="19"/>
        <v>0</v>
      </c>
      <c r="AO17" s="1">
        <f t="shared" si="19"/>
        <v>0</v>
      </c>
      <c r="AP17" s="1">
        <f t="shared" si="19"/>
        <v>0</v>
      </c>
      <c r="AQ17" s="1">
        <f t="shared" si="19"/>
        <v>0</v>
      </c>
      <c r="AR17" s="1">
        <f t="shared" si="19"/>
        <v>0</v>
      </c>
      <c r="AS17" s="1">
        <f t="shared" si="19"/>
        <v>0</v>
      </c>
      <c r="AT17" s="1">
        <f t="shared" si="19"/>
        <v>0</v>
      </c>
      <c r="AU17" s="1">
        <f t="shared" si="19"/>
        <v>0</v>
      </c>
      <c r="AV17" s="1">
        <f t="shared" si="19"/>
        <v>0</v>
      </c>
      <c r="AW17" s="1">
        <f t="shared" si="19"/>
        <v>0</v>
      </c>
      <c r="AX17" s="1">
        <f t="shared" si="19"/>
        <v>0</v>
      </c>
      <c r="AY17" s="1">
        <f t="shared" si="19"/>
        <v>0</v>
      </c>
      <c r="AZ17" s="1">
        <f t="shared" si="19"/>
        <v>0</v>
      </c>
      <c r="BA17" s="1">
        <f t="shared" si="19"/>
        <v>0</v>
      </c>
      <c r="BB17" s="1">
        <f t="shared" si="19"/>
        <v>0</v>
      </c>
      <c r="BC17" s="1">
        <f t="shared" si="19"/>
        <v>0</v>
      </c>
      <c r="BD17" s="1">
        <f t="shared" si="19"/>
        <v>0</v>
      </c>
      <c r="BE17" s="1">
        <f t="shared" si="19"/>
        <v>0</v>
      </c>
      <c r="BF17" s="1">
        <f t="shared" si="19"/>
        <v>0</v>
      </c>
      <c r="BG17" s="1">
        <f t="shared" si="19"/>
        <v>0</v>
      </c>
      <c r="BH17" s="1">
        <f t="shared" si="19"/>
        <v>0</v>
      </c>
      <c r="BI17" s="1">
        <f t="shared" si="19"/>
        <v>0</v>
      </c>
      <c r="BJ17" s="1">
        <f t="shared" si="19"/>
        <v>0</v>
      </c>
      <c r="BK17" s="1">
        <f t="shared" si="19"/>
        <v>0</v>
      </c>
      <c r="BL17" s="1">
        <f t="shared" si="19"/>
        <v>0</v>
      </c>
      <c r="BM17" s="1">
        <f t="shared" si="19"/>
        <v>0</v>
      </c>
      <c r="BN17" s="1">
        <f t="shared" si="19"/>
        <v>0</v>
      </c>
      <c r="BO17" s="1">
        <f t="shared" si="19"/>
        <v>0</v>
      </c>
      <c r="BP17" s="1">
        <f t="shared" si="19"/>
        <v>0</v>
      </c>
      <c r="BQ17" s="1">
        <f t="shared" si="19"/>
        <v>0</v>
      </c>
      <c r="BR17" s="1">
        <f t="shared" si="19"/>
        <v>0</v>
      </c>
      <c r="BS17" s="1">
        <f t="shared" si="19"/>
        <v>0</v>
      </c>
      <c r="BT17" s="1">
        <f t="shared" si="19"/>
        <v>0</v>
      </c>
      <c r="BU17" s="1">
        <f t="shared" si="19"/>
        <v>0</v>
      </c>
      <c r="BV17" s="1">
        <f t="shared" si="19"/>
        <v>0</v>
      </c>
      <c r="BW17" s="1">
        <f t="shared" si="19"/>
        <v>0</v>
      </c>
      <c r="BX17" s="1">
        <f t="shared" si="19"/>
        <v>0</v>
      </c>
      <c r="BY17" s="1">
        <f t="shared" si="19"/>
        <v>0</v>
      </c>
      <c r="BZ17" s="1">
        <f t="shared" si="19"/>
        <v>0</v>
      </c>
      <c r="CA17" s="1">
        <f t="shared" si="19"/>
        <v>0</v>
      </c>
      <c r="CB17" s="1">
        <f t="shared" si="19"/>
        <v>0</v>
      </c>
      <c r="CC17" s="1">
        <f t="shared" si="19"/>
        <v>0</v>
      </c>
      <c r="CD17" s="1">
        <f t="shared" si="19"/>
        <v>0</v>
      </c>
      <c r="CE17" s="1">
        <f t="shared" si="19"/>
        <v>0</v>
      </c>
      <c r="CF17" s="1">
        <f t="shared" si="19"/>
        <v>0</v>
      </c>
      <c r="CG17" s="1">
        <f t="shared" si="19"/>
        <v>0</v>
      </c>
      <c r="CH17" s="1">
        <f t="shared" si="19"/>
        <v>0</v>
      </c>
      <c r="CI17" s="1">
        <f t="shared" si="19"/>
        <v>0</v>
      </c>
      <c r="CJ17" s="1">
        <f t="shared" si="19"/>
        <v>0</v>
      </c>
      <c r="CK17" s="1">
        <f t="shared" si="19"/>
        <v>0</v>
      </c>
      <c r="CL17" s="1">
        <f t="shared" si="19"/>
        <v>0</v>
      </c>
      <c r="CM17" s="1">
        <f t="shared" si="19"/>
        <v>0</v>
      </c>
      <c r="CN17" s="1">
        <f t="shared" si="19"/>
        <v>0</v>
      </c>
      <c r="CO17" s="1">
        <f t="shared" si="19"/>
        <v>0</v>
      </c>
      <c r="CP17" s="1">
        <f t="shared" si="19"/>
        <v>0</v>
      </c>
      <c r="CQ17" s="1">
        <f t="shared" si="19"/>
        <v>0</v>
      </c>
      <c r="CR17" s="1">
        <f t="shared" si="19"/>
        <v>0</v>
      </c>
      <c r="CS17" s="1">
        <f t="shared" si="19"/>
        <v>0</v>
      </c>
      <c r="CT17" s="1">
        <f t="shared" si="19"/>
        <v>0</v>
      </c>
      <c r="CU17" s="1">
        <f t="shared" si="19"/>
        <v>0</v>
      </c>
      <c r="CV17" s="1">
        <f t="shared" si="19"/>
        <v>0</v>
      </c>
      <c r="CW17" s="1">
        <f t="shared" si="18"/>
        <v>0</v>
      </c>
      <c r="CX17" s="1">
        <f t="shared" si="18"/>
        <v>0</v>
      </c>
      <c r="CY17" s="1">
        <f t="shared" si="18"/>
        <v>0</v>
      </c>
      <c r="CZ17" s="1">
        <f t="shared" si="18"/>
        <v>0</v>
      </c>
      <c r="DA17" s="1">
        <f t="shared" si="18"/>
        <v>0</v>
      </c>
      <c r="DB17" s="1">
        <f t="shared" si="18"/>
        <v>0</v>
      </c>
      <c r="DC17" s="1">
        <f t="shared" si="18"/>
        <v>0</v>
      </c>
      <c r="DD17" s="1">
        <f t="shared" si="18"/>
        <v>0</v>
      </c>
      <c r="DE17" s="1">
        <f t="shared" si="18"/>
        <v>0</v>
      </c>
      <c r="DF17" s="1">
        <f t="shared" si="18"/>
        <v>0</v>
      </c>
      <c r="DG17" s="1">
        <f t="shared" si="18"/>
        <v>0</v>
      </c>
      <c r="DK17" s="1">
        <f t="shared" si="11"/>
        <v>2039</v>
      </c>
      <c r="DL17" s="1">
        <f t="shared" ca="1" si="12"/>
        <v>59</v>
      </c>
      <c r="DM17" s="1">
        <f t="shared" ca="1" si="13"/>
        <v>64</v>
      </c>
      <c r="DN17" s="83" t="e">
        <f>IF(AX$32=0,NA(),AX$32)</f>
        <v>#N/A</v>
      </c>
      <c r="DO17" s="1" t="e">
        <f>IF(AX$33=0,NA(),AX$33)</f>
        <v>#N/A</v>
      </c>
      <c r="DP17" s="1" t="e">
        <f>IF(AX$34=0,NA(),AX$34)</f>
        <v>#N/A</v>
      </c>
      <c r="DQ17" s="1" t="e">
        <f>IF(AX$35=0,NA(),AX$35)</f>
        <v>#N/A</v>
      </c>
      <c r="DR17" s="1" t="e">
        <f>IF(AX$36=0,NA(),AX$36)</f>
        <v>#N/A</v>
      </c>
      <c r="DS17" s="1" t="e">
        <f>IF(AX$37=0,NA(),AX$37)</f>
        <v>#N/A</v>
      </c>
      <c r="DT17" s="1" t="e">
        <f>IF(AX$38=0,NA(),AX$38)</f>
        <v>#N/A</v>
      </c>
      <c r="DU17" s="1" t="e">
        <f>IF(AX$39=0,NA(),AX$39)</f>
        <v>#N/A</v>
      </c>
      <c r="DV17" s="1" t="e">
        <f>IF(AX$40=0,NA(),AX$40)</f>
        <v>#N/A</v>
      </c>
      <c r="DW17" s="1" t="e">
        <f>IF(AX$41=0,NA(),AX$41)</f>
        <v>#N/A</v>
      </c>
      <c r="DX17" s="1" t="e">
        <f>IF(AX$42=0,NA(),AX$42)</f>
        <v>#N/A</v>
      </c>
      <c r="DY17" s="1" t="e">
        <f>IF(AX$43=0,NA(),AX$43)</f>
        <v>#N/A</v>
      </c>
      <c r="DZ17" s="1" t="e">
        <f>IF(AX$44=0,NA(),AX$44)</f>
        <v>#N/A</v>
      </c>
      <c r="EA17" s="1" t="e">
        <f>IF(AX$45=0,NA(),AX$45)</f>
        <v>#N/A</v>
      </c>
      <c r="EB17" s="1" t="e">
        <f>IF(AX$46=0,NA(),AX$46)</f>
        <v>#N/A</v>
      </c>
      <c r="EC17" s="1" t="e">
        <f>IF(AX$47=0,NA(),AX$47)</f>
        <v>#N/A</v>
      </c>
      <c r="ED17" s="1" t="e">
        <f>IF(AX$48=0,NA(),AX$48)</f>
        <v>#N/A</v>
      </c>
      <c r="EE17" s="1" t="e">
        <f>IF(AX$49=0,NA(),AX$49)</f>
        <v>#N/A</v>
      </c>
      <c r="EF17" s="1" t="e">
        <f>IF(AX$50=0,NA(),AX$50)</f>
        <v>#N/A</v>
      </c>
      <c r="EG17" s="1" t="e">
        <f>IF(AX$51=0,NA(),AX$51)</f>
        <v>#N/A</v>
      </c>
      <c r="EH17" s="1" t="e">
        <f>IF(AX$52=0,NA(),AX$52)</f>
        <v>#N/A</v>
      </c>
      <c r="EI17" s="1" t="e">
        <f>IF(AX$53=0,NA(),AX$53)</f>
        <v>#N/A</v>
      </c>
      <c r="EJ17" s="1" t="e">
        <f>IF(AX$54=0,NA(),AX$54)</f>
        <v>#N/A</v>
      </c>
      <c r="EK17" s="1" t="e">
        <f>IF(AX$55=0,NA(),AX$55)</f>
        <v>#N/A</v>
      </c>
      <c r="EL17" s="1" t="e">
        <f>IF(AX$56=0,NA(),AX$56)</f>
        <v>#N/A</v>
      </c>
      <c r="EM17" s="1" t="e">
        <f>IF(AX$57=0,NA(),AX$57)</f>
        <v>#N/A</v>
      </c>
    </row>
    <row r="18" spans="1:143" ht="15" customHeight="1" x14ac:dyDescent="0.3">
      <c r="A18" s="584">
        <v>16</v>
      </c>
      <c r="B18" s="592"/>
      <c r="C18" s="585"/>
      <c r="D18" s="584"/>
      <c r="E18" s="584"/>
      <c r="F18" s="584"/>
      <c r="G18" s="594"/>
      <c r="H18" s="587"/>
      <c r="I18" s="588">
        <f>IF(H18&lt;&gt;0,(C18*(1+G18)^(E18-'Yearly Budget'!$B$2)),0)</f>
        <v>0</v>
      </c>
      <c r="J18" s="587"/>
      <c r="K18" s="588">
        <f t="shared" si="8"/>
        <v>0</v>
      </c>
      <c r="L18" s="588">
        <f t="shared" si="9"/>
        <v>0</v>
      </c>
      <c r="M18" s="593"/>
      <c r="N18" s="589"/>
      <c r="O18" s="590"/>
      <c r="AH18" s="1">
        <f t="shared" si="4"/>
        <v>0</v>
      </c>
      <c r="AI18" s="1">
        <f t="shared" si="5"/>
        <v>0</v>
      </c>
      <c r="AJ18" s="1">
        <f t="shared" si="6"/>
        <v>0</v>
      </c>
      <c r="AK18" s="1">
        <f t="shared" si="19"/>
        <v>0</v>
      </c>
      <c r="AL18" s="1">
        <f t="shared" si="19"/>
        <v>0</v>
      </c>
      <c r="AM18" s="1">
        <f t="shared" si="19"/>
        <v>0</v>
      </c>
      <c r="AN18" s="1">
        <f t="shared" si="19"/>
        <v>0</v>
      </c>
      <c r="AO18" s="1">
        <f t="shared" si="19"/>
        <v>0</v>
      </c>
      <c r="AP18" s="1">
        <f t="shared" si="19"/>
        <v>0</v>
      </c>
      <c r="AQ18" s="1">
        <f t="shared" si="19"/>
        <v>0</v>
      </c>
      <c r="AR18" s="1">
        <f t="shared" si="19"/>
        <v>0</v>
      </c>
      <c r="AS18" s="1">
        <f t="shared" si="19"/>
        <v>0</v>
      </c>
      <c r="AT18" s="1">
        <f t="shared" si="19"/>
        <v>0</v>
      </c>
      <c r="AU18" s="1">
        <f t="shared" si="19"/>
        <v>0</v>
      </c>
      <c r="AV18" s="1">
        <f t="shared" si="19"/>
        <v>0</v>
      </c>
      <c r="AW18" s="1">
        <f t="shared" si="19"/>
        <v>0</v>
      </c>
      <c r="AX18" s="1">
        <f t="shared" si="19"/>
        <v>0</v>
      </c>
      <c r="AY18" s="1">
        <f t="shared" si="19"/>
        <v>0</v>
      </c>
      <c r="AZ18" s="1">
        <f t="shared" si="19"/>
        <v>0</v>
      </c>
      <c r="BA18" s="1">
        <f t="shared" si="19"/>
        <v>0</v>
      </c>
      <c r="BB18" s="1">
        <f t="shared" si="19"/>
        <v>0</v>
      </c>
      <c r="BC18" s="1">
        <f t="shared" si="19"/>
        <v>0</v>
      </c>
      <c r="BD18" s="1">
        <f t="shared" si="19"/>
        <v>0</v>
      </c>
      <c r="BE18" s="1">
        <f t="shared" si="19"/>
        <v>0</v>
      </c>
      <c r="BF18" s="1">
        <f t="shared" si="19"/>
        <v>0</v>
      </c>
      <c r="BG18" s="1">
        <f t="shared" si="19"/>
        <v>0</v>
      </c>
      <c r="BH18" s="1">
        <f t="shared" si="19"/>
        <v>0</v>
      </c>
      <c r="BI18" s="1">
        <f t="shared" si="19"/>
        <v>0</v>
      </c>
      <c r="BJ18" s="1">
        <f t="shared" si="19"/>
        <v>0</v>
      </c>
      <c r="BK18" s="1">
        <f t="shared" si="19"/>
        <v>0</v>
      </c>
      <c r="BL18" s="1">
        <f t="shared" si="19"/>
        <v>0</v>
      </c>
      <c r="BM18" s="1">
        <f t="shared" si="19"/>
        <v>0</v>
      </c>
      <c r="BN18" s="1">
        <f t="shared" si="19"/>
        <v>0</v>
      </c>
      <c r="BO18" s="1">
        <f t="shared" si="19"/>
        <v>0</v>
      </c>
      <c r="BP18" s="1">
        <f t="shared" si="19"/>
        <v>0</v>
      </c>
      <c r="BQ18" s="1">
        <f t="shared" si="19"/>
        <v>0</v>
      </c>
      <c r="BR18" s="1">
        <f t="shared" si="19"/>
        <v>0</v>
      </c>
      <c r="BS18" s="1">
        <f t="shared" si="19"/>
        <v>0</v>
      </c>
      <c r="BT18" s="1">
        <f t="shared" si="19"/>
        <v>0</v>
      </c>
      <c r="BU18" s="1">
        <f t="shared" si="19"/>
        <v>0</v>
      </c>
      <c r="BV18" s="1">
        <f t="shared" si="19"/>
        <v>0</v>
      </c>
      <c r="BW18" s="1">
        <f t="shared" si="19"/>
        <v>0</v>
      </c>
      <c r="BX18" s="1">
        <f t="shared" si="19"/>
        <v>0</v>
      </c>
      <c r="BY18" s="1">
        <f t="shared" si="19"/>
        <v>0</v>
      </c>
      <c r="BZ18" s="1">
        <f t="shared" si="19"/>
        <v>0</v>
      </c>
      <c r="CA18" s="1">
        <f t="shared" si="19"/>
        <v>0</v>
      </c>
      <c r="CB18" s="1">
        <f t="shared" si="19"/>
        <v>0</v>
      </c>
      <c r="CC18" s="1">
        <f t="shared" si="19"/>
        <v>0</v>
      </c>
      <c r="CD18" s="1">
        <f t="shared" si="19"/>
        <v>0</v>
      </c>
      <c r="CE18" s="1">
        <f t="shared" si="19"/>
        <v>0</v>
      </c>
      <c r="CF18" s="1">
        <f t="shared" si="19"/>
        <v>0</v>
      </c>
      <c r="CG18" s="1">
        <f t="shared" si="19"/>
        <v>0</v>
      </c>
      <c r="CH18" s="1">
        <f t="shared" si="19"/>
        <v>0</v>
      </c>
      <c r="CI18" s="1">
        <f t="shared" si="19"/>
        <v>0</v>
      </c>
      <c r="CJ18" s="1">
        <f t="shared" si="19"/>
        <v>0</v>
      </c>
      <c r="CK18" s="1">
        <f t="shared" si="19"/>
        <v>0</v>
      </c>
      <c r="CL18" s="1">
        <f t="shared" si="19"/>
        <v>0</v>
      </c>
      <c r="CM18" s="1">
        <f t="shared" si="19"/>
        <v>0</v>
      </c>
      <c r="CN18" s="1">
        <f t="shared" si="19"/>
        <v>0</v>
      </c>
      <c r="CO18" s="1">
        <f t="shared" si="19"/>
        <v>0</v>
      </c>
      <c r="CP18" s="1">
        <f t="shared" si="19"/>
        <v>0</v>
      </c>
      <c r="CQ18" s="1">
        <f t="shared" si="19"/>
        <v>0</v>
      </c>
      <c r="CR18" s="1">
        <f t="shared" si="19"/>
        <v>0</v>
      </c>
      <c r="CS18" s="1">
        <f t="shared" si="19"/>
        <v>0</v>
      </c>
      <c r="CT18" s="1">
        <f t="shared" si="19"/>
        <v>0</v>
      </c>
      <c r="CU18" s="1">
        <f t="shared" si="19"/>
        <v>0</v>
      </c>
      <c r="CV18" s="1">
        <f t="shared" si="19"/>
        <v>0</v>
      </c>
      <c r="CW18" s="1">
        <f t="shared" si="18"/>
        <v>0</v>
      </c>
      <c r="CX18" s="1">
        <f t="shared" si="18"/>
        <v>0</v>
      </c>
      <c r="CY18" s="1">
        <f t="shared" si="18"/>
        <v>0</v>
      </c>
      <c r="CZ18" s="1">
        <f t="shared" si="18"/>
        <v>0</v>
      </c>
      <c r="DA18" s="1">
        <f t="shared" si="18"/>
        <v>0</v>
      </c>
      <c r="DB18" s="1">
        <f t="shared" si="18"/>
        <v>0</v>
      </c>
      <c r="DC18" s="1">
        <f t="shared" si="18"/>
        <v>0</v>
      </c>
      <c r="DD18" s="1">
        <f t="shared" si="18"/>
        <v>0</v>
      </c>
      <c r="DE18" s="1">
        <f t="shared" si="18"/>
        <v>0</v>
      </c>
      <c r="DF18" s="1">
        <f t="shared" si="18"/>
        <v>0</v>
      </c>
      <c r="DG18" s="1">
        <f t="shared" si="18"/>
        <v>0</v>
      </c>
      <c r="DK18" s="1">
        <f t="shared" si="11"/>
        <v>2040</v>
      </c>
      <c r="DL18" s="1">
        <f t="shared" ca="1" si="12"/>
        <v>60</v>
      </c>
      <c r="DM18" s="1">
        <f t="shared" ca="1" si="13"/>
        <v>65</v>
      </c>
      <c r="DN18" s="83" t="e">
        <f>IF(AY$32=0,NA(),AY$32)</f>
        <v>#N/A</v>
      </c>
      <c r="DO18" s="1" t="e">
        <f>IF(AY$33=0,NA(),AY$33)</f>
        <v>#N/A</v>
      </c>
      <c r="DP18" s="1" t="e">
        <f>IF(AY$34=0,NA(),AY$34)</f>
        <v>#N/A</v>
      </c>
      <c r="DQ18" s="1" t="e">
        <f>IF(AY$35=0,NA(),AY$35)</f>
        <v>#N/A</v>
      </c>
      <c r="DR18" s="1" t="e">
        <f>IF(AY$36=0,NA(),AY$36)</f>
        <v>#N/A</v>
      </c>
      <c r="DS18" s="1" t="e">
        <f>IF(AY$37=0,NA(),AY$37)</f>
        <v>#N/A</v>
      </c>
      <c r="DT18" s="1" t="e">
        <f>IF(AY$38=0,NA(),AY$38)</f>
        <v>#N/A</v>
      </c>
      <c r="DU18" s="1" t="e">
        <f>IF(AY$39=0,NA(),AY$39)</f>
        <v>#N/A</v>
      </c>
      <c r="DV18" s="1" t="e">
        <f>IF(AY$40=0,NA(),AY$40)</f>
        <v>#N/A</v>
      </c>
      <c r="DW18" s="1" t="e">
        <f>IF(AY$41=0,NA(),AY$41)</f>
        <v>#N/A</v>
      </c>
      <c r="DX18" s="1" t="e">
        <f>IF(AY$42=0,NA(),AY$42)</f>
        <v>#N/A</v>
      </c>
      <c r="DY18" s="1" t="e">
        <f>IF(AY$43=0,NA(),AY$43)</f>
        <v>#N/A</v>
      </c>
      <c r="DZ18" s="1" t="e">
        <f>IF(AY$44=0,NA(),AY$44)</f>
        <v>#N/A</v>
      </c>
      <c r="EA18" s="1" t="e">
        <f>IF(AY$45=0,NA(),AY$45)</f>
        <v>#N/A</v>
      </c>
      <c r="EB18" s="1" t="e">
        <f>IF(AY$46=0,NA(),AY$46)</f>
        <v>#N/A</v>
      </c>
      <c r="EC18" s="1" t="e">
        <f>IF(AY$47=0,NA(),AY$47)</f>
        <v>#N/A</v>
      </c>
      <c r="ED18" s="1" t="e">
        <f>IF(AY$48=0,NA(),AY$48)</f>
        <v>#N/A</v>
      </c>
      <c r="EE18" s="1" t="e">
        <f>IF(AY$49=0,NA(),AY$49)</f>
        <v>#N/A</v>
      </c>
      <c r="EF18" s="1" t="e">
        <f>IF(AY$50=0,NA(),AY$50)</f>
        <v>#N/A</v>
      </c>
      <c r="EG18" s="1" t="e">
        <f>IF(AY$51=0,NA(),AY$51)</f>
        <v>#N/A</v>
      </c>
      <c r="EH18" s="1" t="e">
        <f>IF(AY$52=0,NA(),AY$52)</f>
        <v>#N/A</v>
      </c>
      <c r="EI18" s="1" t="e">
        <f>IF(AY$53=0,NA(),AY$53)</f>
        <v>#N/A</v>
      </c>
      <c r="EJ18" s="1" t="e">
        <f>IF(AY$54=0,NA(),AY$54)</f>
        <v>#N/A</v>
      </c>
      <c r="EK18" s="1" t="e">
        <f>IF(AY$55=0,NA(),AY$55)</f>
        <v>#N/A</v>
      </c>
      <c r="EL18" s="1" t="e">
        <f>IF(AY$56=0,NA(),AY$56)</f>
        <v>#N/A</v>
      </c>
      <c r="EM18" s="1" t="e">
        <f>IF(AY$57=0,NA(),AY$57)</f>
        <v>#N/A</v>
      </c>
    </row>
    <row r="19" spans="1:143" ht="15" customHeight="1" x14ac:dyDescent="0.3">
      <c r="A19" s="584">
        <v>17</v>
      </c>
      <c r="B19" s="592"/>
      <c r="C19" s="585"/>
      <c r="D19" s="584"/>
      <c r="E19" s="584"/>
      <c r="F19" s="584"/>
      <c r="G19" s="594"/>
      <c r="H19" s="587"/>
      <c r="I19" s="588">
        <f>IF(H19&lt;&gt;0,(C19*(1+G19)^(E19-'Yearly Budget'!$B$2)),0)</f>
        <v>0</v>
      </c>
      <c r="J19" s="587"/>
      <c r="K19" s="588">
        <f t="shared" si="8"/>
        <v>0</v>
      </c>
      <c r="L19" s="588">
        <f t="shared" si="9"/>
        <v>0</v>
      </c>
      <c r="M19" s="593"/>
      <c r="N19" s="589"/>
      <c r="O19" s="590"/>
      <c r="AH19" s="1">
        <f t="shared" si="4"/>
        <v>0</v>
      </c>
      <c r="AI19" s="1">
        <f t="shared" si="5"/>
        <v>0</v>
      </c>
      <c r="AJ19" s="1">
        <f t="shared" si="6"/>
        <v>0</v>
      </c>
      <c r="AK19" s="1">
        <f t="shared" si="19"/>
        <v>0</v>
      </c>
      <c r="AL19" s="1">
        <f t="shared" si="19"/>
        <v>0</v>
      </c>
      <c r="AM19" s="1">
        <f t="shared" si="19"/>
        <v>0</v>
      </c>
      <c r="AN19" s="1">
        <f t="shared" si="19"/>
        <v>0</v>
      </c>
      <c r="AO19" s="1">
        <f t="shared" si="19"/>
        <v>0</v>
      </c>
      <c r="AP19" s="1">
        <f t="shared" si="19"/>
        <v>0</v>
      </c>
      <c r="AQ19" s="1">
        <f t="shared" si="19"/>
        <v>0</v>
      </c>
      <c r="AR19" s="1">
        <f t="shared" si="19"/>
        <v>0</v>
      </c>
      <c r="AS19" s="1">
        <f t="shared" si="19"/>
        <v>0</v>
      </c>
      <c r="AT19" s="1">
        <f t="shared" si="19"/>
        <v>0</v>
      </c>
      <c r="AU19" s="1">
        <f t="shared" si="19"/>
        <v>0</v>
      </c>
      <c r="AV19" s="1">
        <f t="shared" si="19"/>
        <v>0</v>
      </c>
      <c r="AW19" s="1">
        <f t="shared" si="19"/>
        <v>0</v>
      </c>
      <c r="AX19" s="1">
        <f t="shared" si="19"/>
        <v>0</v>
      </c>
      <c r="AY19" s="1">
        <f t="shared" si="19"/>
        <v>0</v>
      </c>
      <c r="AZ19" s="1">
        <f t="shared" si="19"/>
        <v>0</v>
      </c>
      <c r="BA19" s="1">
        <f t="shared" si="19"/>
        <v>0</v>
      </c>
      <c r="BB19" s="1">
        <f t="shared" si="19"/>
        <v>0</v>
      </c>
      <c r="BC19" s="1">
        <f t="shared" si="19"/>
        <v>0</v>
      </c>
      <c r="BD19" s="1">
        <f t="shared" si="19"/>
        <v>0</v>
      </c>
      <c r="BE19" s="1">
        <f t="shared" si="19"/>
        <v>0</v>
      </c>
      <c r="BF19" s="1">
        <f t="shared" si="19"/>
        <v>0</v>
      </c>
      <c r="BG19" s="1">
        <f t="shared" si="19"/>
        <v>0</v>
      </c>
      <c r="BH19" s="1">
        <f t="shared" si="19"/>
        <v>0</v>
      </c>
      <c r="BI19" s="1">
        <f t="shared" si="19"/>
        <v>0</v>
      </c>
      <c r="BJ19" s="1">
        <f t="shared" si="19"/>
        <v>0</v>
      </c>
      <c r="BK19" s="1">
        <f t="shared" si="19"/>
        <v>0</v>
      </c>
      <c r="BL19" s="1">
        <f t="shared" si="19"/>
        <v>0</v>
      </c>
      <c r="BM19" s="1">
        <f t="shared" si="19"/>
        <v>0</v>
      </c>
      <c r="BN19" s="1">
        <f t="shared" si="19"/>
        <v>0</v>
      </c>
      <c r="BO19" s="1">
        <f t="shared" si="19"/>
        <v>0</v>
      </c>
      <c r="BP19" s="1">
        <f t="shared" si="19"/>
        <v>0</v>
      </c>
      <c r="BQ19" s="1">
        <f t="shared" si="19"/>
        <v>0</v>
      </c>
      <c r="BR19" s="1">
        <f t="shared" si="19"/>
        <v>0</v>
      </c>
      <c r="BS19" s="1">
        <f t="shared" si="19"/>
        <v>0</v>
      </c>
      <c r="BT19" s="1">
        <f t="shared" si="19"/>
        <v>0</v>
      </c>
      <c r="BU19" s="1">
        <f t="shared" si="19"/>
        <v>0</v>
      </c>
      <c r="BV19" s="1">
        <f t="shared" si="19"/>
        <v>0</v>
      </c>
      <c r="BW19" s="1">
        <f t="shared" si="19"/>
        <v>0</v>
      </c>
      <c r="BX19" s="1">
        <f t="shared" si="19"/>
        <v>0</v>
      </c>
      <c r="BY19" s="1">
        <f t="shared" si="19"/>
        <v>0</v>
      </c>
      <c r="BZ19" s="1">
        <f t="shared" si="19"/>
        <v>0</v>
      </c>
      <c r="CA19" s="1">
        <f t="shared" si="19"/>
        <v>0</v>
      </c>
      <c r="CB19" s="1">
        <f t="shared" si="19"/>
        <v>0</v>
      </c>
      <c r="CC19" s="1">
        <f t="shared" si="19"/>
        <v>0</v>
      </c>
      <c r="CD19" s="1">
        <f t="shared" si="19"/>
        <v>0</v>
      </c>
      <c r="CE19" s="1">
        <f t="shared" si="19"/>
        <v>0</v>
      </c>
      <c r="CF19" s="1">
        <f t="shared" si="19"/>
        <v>0</v>
      </c>
      <c r="CG19" s="1">
        <f t="shared" si="19"/>
        <v>0</v>
      </c>
      <c r="CH19" s="1">
        <f t="shared" si="19"/>
        <v>0</v>
      </c>
      <c r="CI19" s="1">
        <f t="shared" si="19"/>
        <v>0</v>
      </c>
      <c r="CJ19" s="1">
        <f t="shared" si="19"/>
        <v>0</v>
      </c>
      <c r="CK19" s="1">
        <f t="shared" si="19"/>
        <v>0</v>
      </c>
      <c r="CL19" s="1">
        <f t="shared" si="19"/>
        <v>0</v>
      </c>
      <c r="CM19" s="1">
        <f t="shared" si="19"/>
        <v>0</v>
      </c>
      <c r="CN19" s="1">
        <f t="shared" si="19"/>
        <v>0</v>
      </c>
      <c r="CO19" s="1">
        <f t="shared" si="19"/>
        <v>0</v>
      </c>
      <c r="CP19" s="1">
        <f t="shared" si="19"/>
        <v>0</v>
      </c>
      <c r="CQ19" s="1">
        <f t="shared" si="19"/>
        <v>0</v>
      </c>
      <c r="CR19" s="1">
        <f t="shared" si="19"/>
        <v>0</v>
      </c>
      <c r="CS19" s="1">
        <f t="shared" si="19"/>
        <v>0</v>
      </c>
      <c r="CT19" s="1">
        <f t="shared" si="19"/>
        <v>0</v>
      </c>
      <c r="CU19" s="1">
        <f t="shared" si="19"/>
        <v>0</v>
      </c>
      <c r="CV19" s="1">
        <f t="shared" si="19"/>
        <v>0</v>
      </c>
      <c r="CW19" s="1">
        <f t="shared" si="18"/>
        <v>0</v>
      </c>
      <c r="CX19" s="1">
        <f t="shared" si="18"/>
        <v>0</v>
      </c>
      <c r="CY19" s="1">
        <f t="shared" si="18"/>
        <v>0</v>
      </c>
      <c r="CZ19" s="1">
        <f t="shared" si="18"/>
        <v>0</v>
      </c>
      <c r="DA19" s="1">
        <f t="shared" si="18"/>
        <v>0</v>
      </c>
      <c r="DB19" s="1">
        <f t="shared" si="18"/>
        <v>0</v>
      </c>
      <c r="DC19" s="1">
        <f t="shared" si="18"/>
        <v>0</v>
      </c>
      <c r="DD19" s="1">
        <f t="shared" si="18"/>
        <v>0</v>
      </c>
      <c r="DE19" s="1">
        <f t="shared" si="18"/>
        <v>0</v>
      </c>
      <c r="DF19" s="1">
        <f t="shared" si="18"/>
        <v>0</v>
      </c>
      <c r="DG19" s="1">
        <f t="shared" si="18"/>
        <v>0</v>
      </c>
      <c r="DK19" s="1">
        <f t="shared" si="11"/>
        <v>2041</v>
      </c>
      <c r="DL19" s="1">
        <f t="shared" ca="1" si="12"/>
        <v>61</v>
      </c>
      <c r="DM19" s="1">
        <f t="shared" ca="1" si="13"/>
        <v>66</v>
      </c>
      <c r="DN19" s="83" t="e">
        <f>IF(AZ$32=0,NA(),AZ$32)</f>
        <v>#N/A</v>
      </c>
      <c r="DO19" s="1" t="e">
        <f>IF(AZ$33=0,NA(),AZ$33)</f>
        <v>#N/A</v>
      </c>
      <c r="DP19" s="1" t="e">
        <f>IF(AZ$34=0,NA(),AZ$34)</f>
        <v>#N/A</v>
      </c>
      <c r="DQ19" s="1" t="e">
        <f>IF(AZ$35=0,NA(),AZ$35)</f>
        <v>#N/A</v>
      </c>
      <c r="DR19" s="1" t="e">
        <f>IF(AZ$36=0,NA(),AZ$36)</f>
        <v>#N/A</v>
      </c>
      <c r="DS19" s="1" t="e">
        <f>IF(AZ$37=0,NA(),AZ$37)</f>
        <v>#N/A</v>
      </c>
      <c r="DT19" s="1" t="e">
        <f>IF(AZ$38=0,NA(),AZ$38)</f>
        <v>#N/A</v>
      </c>
      <c r="DU19" s="1" t="e">
        <f>IF(AZ$39=0,NA(),AZ$39)</f>
        <v>#N/A</v>
      </c>
      <c r="DV19" s="1" t="e">
        <f>IF(AZ$40=0,NA(),AZ$40)</f>
        <v>#N/A</v>
      </c>
      <c r="DW19" s="1" t="e">
        <f>IF(AZ$41=0,NA(),AZ$41)</f>
        <v>#N/A</v>
      </c>
      <c r="DX19" s="1" t="e">
        <f>IF(AZ$42=0,NA(),AZ$42)</f>
        <v>#N/A</v>
      </c>
      <c r="DY19" s="1" t="e">
        <f>IF(AZ$43=0,NA(),AZ$43)</f>
        <v>#N/A</v>
      </c>
      <c r="DZ19" s="1" t="e">
        <f>IF(AZ$44=0,NA(),AZ$44)</f>
        <v>#N/A</v>
      </c>
      <c r="EA19" s="1" t="e">
        <f>IF(AZ$45=0,NA(),AZ$45)</f>
        <v>#N/A</v>
      </c>
      <c r="EB19" s="1" t="e">
        <f>IF(AZ$46=0,NA(),AZ$46)</f>
        <v>#N/A</v>
      </c>
      <c r="EC19" s="1" t="e">
        <f>IF(AZ$47=0,NA(),AZ$47)</f>
        <v>#N/A</v>
      </c>
      <c r="ED19" s="1" t="e">
        <f>IF(AZ$48=0,NA(),AZ$48)</f>
        <v>#N/A</v>
      </c>
      <c r="EE19" s="1" t="e">
        <f>IF(AZ$49=0,NA(),AZ$49)</f>
        <v>#N/A</v>
      </c>
      <c r="EF19" s="1" t="e">
        <f>IF(AZ$50=0,NA(),AZ$50)</f>
        <v>#N/A</v>
      </c>
      <c r="EG19" s="1" t="e">
        <f>IF(AZ$51=0,NA(),AZ$51)</f>
        <v>#N/A</v>
      </c>
      <c r="EH19" s="1" t="e">
        <f>IF(AZ$52=0,NA(),AZ$52)</f>
        <v>#N/A</v>
      </c>
      <c r="EI19" s="1" t="e">
        <f>IF(AZ$53=0,NA(),AZ$53)</f>
        <v>#N/A</v>
      </c>
      <c r="EJ19" s="1" t="e">
        <f>IF(AZ$54=0,NA(),AZ$54)</f>
        <v>#N/A</v>
      </c>
      <c r="EK19" s="1" t="e">
        <f>IF(AZ$55=0,NA(),AZ$55)</f>
        <v>#N/A</v>
      </c>
      <c r="EL19" s="1" t="e">
        <f>IF(AZ$56=0,NA(),AZ$56)</f>
        <v>#N/A</v>
      </c>
      <c r="EM19" s="1" t="e">
        <f>IF(AZ$57=0,NA(),AZ$57)</f>
        <v>#N/A</v>
      </c>
    </row>
    <row r="20" spans="1:143" ht="15" customHeight="1" x14ac:dyDescent="0.3">
      <c r="A20" s="584">
        <v>18</v>
      </c>
      <c r="B20" s="592"/>
      <c r="C20" s="585"/>
      <c r="D20" s="584"/>
      <c r="E20" s="584"/>
      <c r="F20" s="584"/>
      <c r="G20" s="594"/>
      <c r="H20" s="587"/>
      <c r="I20" s="588">
        <f>IF(H20&lt;&gt;0,(C20*(1+G20)^(E20-'Yearly Budget'!$B$2)),0)</f>
        <v>0</v>
      </c>
      <c r="J20" s="587"/>
      <c r="K20" s="588">
        <f t="shared" si="8"/>
        <v>0</v>
      </c>
      <c r="L20" s="588">
        <f t="shared" si="9"/>
        <v>0</v>
      </c>
      <c r="M20" s="593"/>
      <c r="N20" s="589"/>
      <c r="O20" s="590"/>
      <c r="AH20" s="1">
        <f t="shared" si="4"/>
        <v>0</v>
      </c>
      <c r="AI20" s="1">
        <f t="shared" si="5"/>
        <v>0</v>
      </c>
      <c r="AJ20" s="1">
        <f t="shared" si="6"/>
        <v>0</v>
      </c>
      <c r="AK20" s="1">
        <f t="shared" si="19"/>
        <v>0</v>
      </c>
      <c r="AL20" s="1">
        <f t="shared" si="19"/>
        <v>0</v>
      </c>
      <c r="AM20" s="1">
        <f t="shared" si="19"/>
        <v>0</v>
      </c>
      <c r="AN20" s="1">
        <f t="shared" si="19"/>
        <v>0</v>
      </c>
      <c r="AO20" s="1">
        <f t="shared" si="19"/>
        <v>0</v>
      </c>
      <c r="AP20" s="1">
        <f t="shared" si="19"/>
        <v>0</v>
      </c>
      <c r="AQ20" s="1">
        <f t="shared" si="19"/>
        <v>0</v>
      </c>
      <c r="AR20" s="1">
        <f t="shared" si="19"/>
        <v>0</v>
      </c>
      <c r="AS20" s="1">
        <f t="shared" si="19"/>
        <v>0</v>
      </c>
      <c r="AT20" s="1">
        <f t="shared" si="19"/>
        <v>0</v>
      </c>
      <c r="AU20" s="1">
        <f t="shared" si="19"/>
        <v>0</v>
      </c>
      <c r="AV20" s="1">
        <f t="shared" si="19"/>
        <v>0</v>
      </c>
      <c r="AW20" s="1">
        <f t="shared" si="19"/>
        <v>0</v>
      </c>
      <c r="AX20" s="1">
        <f t="shared" si="19"/>
        <v>0</v>
      </c>
      <c r="AY20" s="1">
        <f t="shared" si="19"/>
        <v>0</v>
      </c>
      <c r="AZ20" s="1">
        <f t="shared" si="19"/>
        <v>0</v>
      </c>
      <c r="BA20" s="1">
        <f t="shared" si="19"/>
        <v>0</v>
      </c>
      <c r="BB20" s="1">
        <f t="shared" si="19"/>
        <v>0</v>
      </c>
      <c r="BC20" s="1">
        <f t="shared" si="19"/>
        <v>0</v>
      </c>
      <c r="BD20" s="1">
        <f t="shared" si="19"/>
        <v>0</v>
      </c>
      <c r="BE20" s="1">
        <f t="shared" si="19"/>
        <v>0</v>
      </c>
      <c r="BF20" s="1">
        <f t="shared" si="19"/>
        <v>0</v>
      </c>
      <c r="BG20" s="1">
        <f t="shared" si="19"/>
        <v>0</v>
      </c>
      <c r="BH20" s="1">
        <f t="shared" si="19"/>
        <v>0</v>
      </c>
      <c r="BI20" s="1">
        <f t="shared" si="19"/>
        <v>0</v>
      </c>
      <c r="BJ20" s="1">
        <f t="shared" si="19"/>
        <v>0</v>
      </c>
      <c r="BK20" s="1">
        <f t="shared" si="19"/>
        <v>0</v>
      </c>
      <c r="BL20" s="1">
        <f t="shared" si="19"/>
        <v>0</v>
      </c>
      <c r="BM20" s="1">
        <f t="shared" si="19"/>
        <v>0</v>
      </c>
      <c r="BN20" s="1">
        <f t="shared" si="19"/>
        <v>0</v>
      </c>
      <c r="BO20" s="1">
        <f t="shared" si="19"/>
        <v>0</v>
      </c>
      <c r="BP20" s="1">
        <f t="shared" si="19"/>
        <v>0</v>
      </c>
      <c r="BQ20" s="1">
        <f t="shared" si="19"/>
        <v>0</v>
      </c>
      <c r="BR20" s="1">
        <f t="shared" si="19"/>
        <v>0</v>
      </c>
      <c r="BS20" s="1">
        <f t="shared" si="19"/>
        <v>0</v>
      </c>
      <c r="BT20" s="1">
        <f t="shared" si="19"/>
        <v>0</v>
      </c>
      <c r="BU20" s="1">
        <f t="shared" si="19"/>
        <v>0</v>
      </c>
      <c r="BV20" s="1">
        <f t="shared" si="19"/>
        <v>0</v>
      </c>
      <c r="BW20" s="1">
        <f t="shared" si="19"/>
        <v>0</v>
      </c>
      <c r="BX20" s="1">
        <f t="shared" si="19"/>
        <v>0</v>
      </c>
      <c r="BY20" s="1">
        <f t="shared" si="19"/>
        <v>0</v>
      </c>
      <c r="BZ20" s="1">
        <f t="shared" si="19"/>
        <v>0</v>
      </c>
      <c r="CA20" s="1">
        <f t="shared" si="19"/>
        <v>0</v>
      </c>
      <c r="CB20" s="1">
        <f t="shared" si="19"/>
        <v>0</v>
      </c>
      <c r="CC20" s="1">
        <f t="shared" si="19"/>
        <v>0</v>
      </c>
      <c r="CD20" s="1">
        <f t="shared" si="19"/>
        <v>0</v>
      </c>
      <c r="CE20" s="1">
        <f t="shared" si="19"/>
        <v>0</v>
      </c>
      <c r="CF20" s="1">
        <f t="shared" si="19"/>
        <v>0</v>
      </c>
      <c r="CG20" s="1">
        <f t="shared" si="19"/>
        <v>0</v>
      </c>
      <c r="CH20" s="1">
        <f t="shared" si="19"/>
        <v>0</v>
      </c>
      <c r="CI20" s="1">
        <f t="shared" si="19"/>
        <v>0</v>
      </c>
      <c r="CJ20" s="1">
        <f t="shared" si="19"/>
        <v>0</v>
      </c>
      <c r="CK20" s="1">
        <f t="shared" si="19"/>
        <v>0</v>
      </c>
      <c r="CL20" s="1">
        <f t="shared" si="19"/>
        <v>0</v>
      </c>
      <c r="CM20" s="1">
        <f t="shared" si="19"/>
        <v>0</v>
      </c>
      <c r="CN20" s="1">
        <f t="shared" si="19"/>
        <v>0</v>
      </c>
      <c r="CO20" s="1">
        <f t="shared" si="19"/>
        <v>0</v>
      </c>
      <c r="CP20" s="1">
        <f t="shared" si="19"/>
        <v>0</v>
      </c>
      <c r="CQ20" s="1">
        <f t="shared" si="19"/>
        <v>0</v>
      </c>
      <c r="CR20" s="1">
        <f t="shared" si="19"/>
        <v>0</v>
      </c>
      <c r="CS20" s="1">
        <f t="shared" si="19"/>
        <v>0</v>
      </c>
      <c r="CT20" s="1">
        <f t="shared" si="19"/>
        <v>0</v>
      </c>
      <c r="CU20" s="1">
        <f t="shared" si="19"/>
        <v>0</v>
      </c>
      <c r="CV20" s="1">
        <f t="shared" ref="CV20:DG23" si="20">IFERROR(IF($D20="Recurring",IF(AND($E20&lt;=CV$2,CV$2&lt;=$AI20),$C20,0),IF($J20=0,_xlfn.XLOOKUP(CV$2,$E20,$C20),_xlfn.XLOOKUP(CV$2,$E20,$C20*$J20))),0)</f>
        <v>0</v>
      </c>
      <c r="CW20" s="1">
        <f t="shared" si="20"/>
        <v>0</v>
      </c>
      <c r="CX20" s="1">
        <f t="shared" si="20"/>
        <v>0</v>
      </c>
      <c r="CY20" s="1">
        <f t="shared" si="20"/>
        <v>0</v>
      </c>
      <c r="CZ20" s="1">
        <f t="shared" si="20"/>
        <v>0</v>
      </c>
      <c r="DA20" s="1">
        <f t="shared" si="20"/>
        <v>0</v>
      </c>
      <c r="DB20" s="1">
        <f t="shared" si="20"/>
        <v>0</v>
      </c>
      <c r="DC20" s="1">
        <f t="shared" si="20"/>
        <v>0</v>
      </c>
      <c r="DD20" s="1">
        <f t="shared" si="20"/>
        <v>0</v>
      </c>
      <c r="DE20" s="1">
        <f t="shared" si="20"/>
        <v>0</v>
      </c>
      <c r="DF20" s="1">
        <f t="shared" si="20"/>
        <v>0</v>
      </c>
      <c r="DG20" s="1">
        <f t="shared" si="20"/>
        <v>0</v>
      </c>
      <c r="DK20" s="1">
        <f t="shared" si="11"/>
        <v>2042</v>
      </c>
      <c r="DL20" s="1">
        <f t="shared" ca="1" si="12"/>
        <v>62</v>
      </c>
      <c r="DM20" s="1">
        <f t="shared" ca="1" si="13"/>
        <v>67</v>
      </c>
      <c r="DN20" s="83" t="e">
        <f>IF(BA$32=0,NA(),BA$32)</f>
        <v>#N/A</v>
      </c>
      <c r="DO20" s="1" t="e">
        <f>IF(BA$33=0,NA(),BA$33)</f>
        <v>#N/A</v>
      </c>
      <c r="DP20" s="1" t="e">
        <f>IF(BA$34=0,NA(),BA$34)</f>
        <v>#N/A</v>
      </c>
      <c r="DQ20" s="1" t="e">
        <f>IF(BA$35=0,NA(),BA$35)</f>
        <v>#N/A</v>
      </c>
      <c r="DR20" s="1" t="e">
        <f>IF(BA$36=0,NA(),BA$36)</f>
        <v>#N/A</v>
      </c>
      <c r="DS20" s="1" t="e">
        <f>IF(BA$37=0,NA(),BA$37)</f>
        <v>#N/A</v>
      </c>
      <c r="DT20" s="1" t="e">
        <f>IF(BA$38=0,NA(),BA$38)</f>
        <v>#N/A</v>
      </c>
      <c r="DU20" s="1" t="e">
        <f>IF(BA$39=0,NA(),BA$39)</f>
        <v>#N/A</v>
      </c>
      <c r="DV20" s="1" t="e">
        <f>IF(BA$40=0,NA(),BA$40)</f>
        <v>#N/A</v>
      </c>
      <c r="DW20" s="1" t="e">
        <f>IF(BA$41=0,NA(),BA$41)</f>
        <v>#N/A</v>
      </c>
      <c r="DX20" s="1" t="e">
        <f>IF(BA$42=0,NA(),BA$42)</f>
        <v>#N/A</v>
      </c>
      <c r="DY20" s="1" t="e">
        <f>IF(BA$43=0,NA(),BA$43)</f>
        <v>#N/A</v>
      </c>
      <c r="DZ20" s="1" t="e">
        <f>IF(BA$44=0,NA(),BA$44)</f>
        <v>#N/A</v>
      </c>
      <c r="EA20" s="1" t="e">
        <f>IF(BA$45=0,NA(),BA$45)</f>
        <v>#N/A</v>
      </c>
      <c r="EB20" s="1" t="e">
        <f>IF(BA$46=0,NA(),BA$46)</f>
        <v>#N/A</v>
      </c>
      <c r="EC20" s="1" t="e">
        <f>IF(BA$47=0,NA(),BA$47)</f>
        <v>#N/A</v>
      </c>
      <c r="ED20" s="1" t="e">
        <f>IF(BA$48=0,NA(),BA$48)</f>
        <v>#N/A</v>
      </c>
      <c r="EE20" s="1" t="e">
        <f>IF(BA$49=0,NA(),BA$49)</f>
        <v>#N/A</v>
      </c>
      <c r="EF20" s="1" t="e">
        <f>IF(BA$50=0,NA(),BA$50)</f>
        <v>#N/A</v>
      </c>
      <c r="EG20" s="1" t="e">
        <f>IF(BA$51=0,NA(),BA$51)</f>
        <v>#N/A</v>
      </c>
      <c r="EH20" s="1" t="e">
        <f>IF(BA$52=0,NA(),BA$52)</f>
        <v>#N/A</v>
      </c>
      <c r="EI20" s="1" t="e">
        <f>IF(BA$53=0,NA(),BA$53)</f>
        <v>#N/A</v>
      </c>
      <c r="EJ20" s="1" t="e">
        <f>IF(BA$54=0,NA(),BA$54)</f>
        <v>#N/A</v>
      </c>
      <c r="EK20" s="1" t="e">
        <f>IF(BA$55=0,NA(),BA$55)</f>
        <v>#N/A</v>
      </c>
      <c r="EL20" s="1" t="e">
        <f>IF(BA$56=0,NA(),BA$56)</f>
        <v>#N/A</v>
      </c>
      <c r="EM20" s="1" t="e">
        <f>IF(BA$57=0,NA(),BA$57)</f>
        <v>#N/A</v>
      </c>
    </row>
    <row r="21" spans="1:143" ht="15" customHeight="1" x14ac:dyDescent="0.3">
      <c r="A21" s="584">
        <v>19</v>
      </c>
      <c r="B21" s="595"/>
      <c r="C21" s="596"/>
      <c r="D21" s="590"/>
      <c r="E21" s="590"/>
      <c r="F21" s="590"/>
      <c r="G21" s="597"/>
      <c r="H21" s="587"/>
      <c r="I21" s="588">
        <f>IF(H21&lt;&gt;0,(C21*(1+G21)^(E21-'Yearly Budget'!$B$2)),0)</f>
        <v>0</v>
      </c>
      <c r="J21" s="598"/>
      <c r="K21" s="588">
        <f t="shared" si="8"/>
        <v>0</v>
      </c>
      <c r="L21" s="588">
        <f t="shared" si="9"/>
        <v>0</v>
      </c>
      <c r="M21" s="599"/>
      <c r="N21" s="589"/>
      <c r="O21" s="590"/>
      <c r="AH21" s="1">
        <f t="shared" si="4"/>
        <v>0</v>
      </c>
      <c r="AI21" s="1">
        <f t="shared" si="5"/>
        <v>0</v>
      </c>
      <c r="AJ21" s="1">
        <f t="shared" si="6"/>
        <v>0</v>
      </c>
      <c r="AK21" s="1">
        <f t="shared" ref="AK21:CV24" si="21">IFERROR(IF($D21="Recurring",IF(AND($E21&lt;=AK$2,AK$2&lt;=$AI21),$C21,0),IF($J21=0,_xlfn.XLOOKUP(AK$2,$E21,$C21),_xlfn.XLOOKUP(AK$2,$E21,$C21*$J21))),0)</f>
        <v>0</v>
      </c>
      <c r="AL21" s="1">
        <f t="shared" si="21"/>
        <v>0</v>
      </c>
      <c r="AM21" s="1">
        <f t="shared" si="21"/>
        <v>0</v>
      </c>
      <c r="AN21" s="1">
        <f t="shared" si="21"/>
        <v>0</v>
      </c>
      <c r="AO21" s="1">
        <f t="shared" si="21"/>
        <v>0</v>
      </c>
      <c r="AP21" s="1">
        <f t="shared" si="21"/>
        <v>0</v>
      </c>
      <c r="AQ21" s="1">
        <f t="shared" si="21"/>
        <v>0</v>
      </c>
      <c r="AR21" s="1">
        <f t="shared" si="21"/>
        <v>0</v>
      </c>
      <c r="AS21" s="1">
        <f t="shared" si="21"/>
        <v>0</v>
      </c>
      <c r="AT21" s="1">
        <f t="shared" si="21"/>
        <v>0</v>
      </c>
      <c r="AU21" s="1">
        <f t="shared" si="21"/>
        <v>0</v>
      </c>
      <c r="AV21" s="1">
        <f t="shared" si="21"/>
        <v>0</v>
      </c>
      <c r="AW21" s="1">
        <f t="shared" si="21"/>
        <v>0</v>
      </c>
      <c r="AX21" s="1">
        <f t="shared" si="21"/>
        <v>0</v>
      </c>
      <c r="AY21" s="1">
        <f t="shared" si="21"/>
        <v>0</v>
      </c>
      <c r="AZ21" s="1">
        <f t="shared" si="21"/>
        <v>0</v>
      </c>
      <c r="BA21" s="1">
        <f t="shared" si="21"/>
        <v>0</v>
      </c>
      <c r="BB21" s="1">
        <f t="shared" si="21"/>
        <v>0</v>
      </c>
      <c r="BC21" s="1">
        <f t="shared" si="21"/>
        <v>0</v>
      </c>
      <c r="BD21" s="1">
        <f t="shared" si="21"/>
        <v>0</v>
      </c>
      <c r="BE21" s="1">
        <f t="shared" si="21"/>
        <v>0</v>
      </c>
      <c r="BF21" s="1">
        <f t="shared" si="21"/>
        <v>0</v>
      </c>
      <c r="BG21" s="1">
        <f t="shared" si="21"/>
        <v>0</v>
      </c>
      <c r="BH21" s="1">
        <f t="shared" si="21"/>
        <v>0</v>
      </c>
      <c r="BI21" s="1">
        <f t="shared" si="21"/>
        <v>0</v>
      </c>
      <c r="BJ21" s="1">
        <f t="shared" si="21"/>
        <v>0</v>
      </c>
      <c r="BK21" s="1">
        <f t="shared" si="21"/>
        <v>0</v>
      </c>
      <c r="BL21" s="1">
        <f t="shared" si="21"/>
        <v>0</v>
      </c>
      <c r="BM21" s="1">
        <f t="shared" si="21"/>
        <v>0</v>
      </c>
      <c r="BN21" s="1">
        <f t="shared" si="21"/>
        <v>0</v>
      </c>
      <c r="BO21" s="1">
        <f t="shared" si="21"/>
        <v>0</v>
      </c>
      <c r="BP21" s="1">
        <f t="shared" si="21"/>
        <v>0</v>
      </c>
      <c r="BQ21" s="1">
        <f t="shared" si="21"/>
        <v>0</v>
      </c>
      <c r="BR21" s="1">
        <f t="shared" si="21"/>
        <v>0</v>
      </c>
      <c r="BS21" s="1">
        <f t="shared" si="21"/>
        <v>0</v>
      </c>
      <c r="BT21" s="1">
        <f t="shared" si="21"/>
        <v>0</v>
      </c>
      <c r="BU21" s="1">
        <f t="shared" si="21"/>
        <v>0</v>
      </c>
      <c r="BV21" s="1">
        <f t="shared" si="21"/>
        <v>0</v>
      </c>
      <c r="BW21" s="1">
        <f t="shared" si="21"/>
        <v>0</v>
      </c>
      <c r="BX21" s="1">
        <f t="shared" si="21"/>
        <v>0</v>
      </c>
      <c r="BY21" s="1">
        <f t="shared" si="21"/>
        <v>0</v>
      </c>
      <c r="BZ21" s="1">
        <f t="shared" si="21"/>
        <v>0</v>
      </c>
      <c r="CA21" s="1">
        <f t="shared" si="21"/>
        <v>0</v>
      </c>
      <c r="CB21" s="1">
        <f t="shared" si="21"/>
        <v>0</v>
      </c>
      <c r="CC21" s="1">
        <f t="shared" si="21"/>
        <v>0</v>
      </c>
      <c r="CD21" s="1">
        <f t="shared" si="21"/>
        <v>0</v>
      </c>
      <c r="CE21" s="1">
        <f t="shared" si="21"/>
        <v>0</v>
      </c>
      <c r="CF21" s="1">
        <f t="shared" si="21"/>
        <v>0</v>
      </c>
      <c r="CG21" s="1">
        <f t="shared" si="21"/>
        <v>0</v>
      </c>
      <c r="CH21" s="1">
        <f t="shared" si="21"/>
        <v>0</v>
      </c>
      <c r="CI21" s="1">
        <f t="shared" si="21"/>
        <v>0</v>
      </c>
      <c r="CJ21" s="1">
        <f t="shared" si="21"/>
        <v>0</v>
      </c>
      <c r="CK21" s="1">
        <f t="shared" si="21"/>
        <v>0</v>
      </c>
      <c r="CL21" s="1">
        <f t="shared" si="21"/>
        <v>0</v>
      </c>
      <c r="CM21" s="1">
        <f t="shared" si="21"/>
        <v>0</v>
      </c>
      <c r="CN21" s="1">
        <f t="shared" si="21"/>
        <v>0</v>
      </c>
      <c r="CO21" s="1">
        <f t="shared" si="21"/>
        <v>0</v>
      </c>
      <c r="CP21" s="1">
        <f t="shared" si="21"/>
        <v>0</v>
      </c>
      <c r="CQ21" s="1">
        <f t="shared" si="21"/>
        <v>0</v>
      </c>
      <c r="CR21" s="1">
        <f t="shared" si="21"/>
        <v>0</v>
      </c>
      <c r="CS21" s="1">
        <f t="shared" si="21"/>
        <v>0</v>
      </c>
      <c r="CT21" s="1">
        <f t="shared" si="21"/>
        <v>0</v>
      </c>
      <c r="CU21" s="1">
        <f t="shared" si="21"/>
        <v>0</v>
      </c>
      <c r="CV21" s="1">
        <f t="shared" si="21"/>
        <v>0</v>
      </c>
      <c r="CW21" s="1">
        <f t="shared" si="20"/>
        <v>0</v>
      </c>
      <c r="CX21" s="1">
        <f t="shared" si="20"/>
        <v>0</v>
      </c>
      <c r="CY21" s="1">
        <f t="shared" si="20"/>
        <v>0</v>
      </c>
      <c r="CZ21" s="1">
        <f t="shared" si="20"/>
        <v>0</v>
      </c>
      <c r="DA21" s="1">
        <f t="shared" si="20"/>
        <v>0</v>
      </c>
      <c r="DB21" s="1">
        <f t="shared" si="20"/>
        <v>0</v>
      </c>
      <c r="DC21" s="1">
        <f t="shared" si="20"/>
        <v>0</v>
      </c>
      <c r="DD21" s="1">
        <f t="shared" si="20"/>
        <v>0</v>
      </c>
      <c r="DE21" s="1">
        <f t="shared" si="20"/>
        <v>0</v>
      </c>
      <c r="DF21" s="1">
        <f t="shared" si="20"/>
        <v>0</v>
      </c>
      <c r="DG21" s="1">
        <f t="shared" si="20"/>
        <v>0</v>
      </c>
      <c r="DK21" s="1">
        <f t="shared" si="11"/>
        <v>2043</v>
      </c>
      <c r="DL21" s="1">
        <f t="shared" ca="1" si="12"/>
        <v>63</v>
      </c>
      <c r="DM21" s="1">
        <f t="shared" ca="1" si="13"/>
        <v>68</v>
      </c>
      <c r="DN21" s="83" t="e">
        <f>IF(BB$32=0,NA(),BB$32)</f>
        <v>#N/A</v>
      </c>
      <c r="DO21" s="1" t="e">
        <f>IF(BB$33=0,NA(),BB$33)</f>
        <v>#N/A</v>
      </c>
      <c r="DP21" s="1" t="e">
        <f>IF(BB$34=0,NA(),BB$34)</f>
        <v>#N/A</v>
      </c>
      <c r="DQ21" s="1" t="e">
        <f>IF(BB$35=0,NA(),BB$35)</f>
        <v>#N/A</v>
      </c>
      <c r="DR21" s="1" t="e">
        <f>IF(BB$36=0,NA(),BB$36)</f>
        <v>#N/A</v>
      </c>
      <c r="DS21" s="1" t="e">
        <f>IF(BB$37=0,NA(),BB$37)</f>
        <v>#N/A</v>
      </c>
      <c r="DT21" s="1" t="e">
        <f>IF(BB$38=0,NA(),BB$38)</f>
        <v>#N/A</v>
      </c>
      <c r="DU21" s="1" t="e">
        <f>IF(BB$39=0,NA(),BB$39)</f>
        <v>#N/A</v>
      </c>
      <c r="DV21" s="1" t="e">
        <f>IF(BB$40=0,NA(),BB$40)</f>
        <v>#N/A</v>
      </c>
      <c r="DW21" s="1" t="e">
        <f>IF(BB$41=0,NA(),BB$41)</f>
        <v>#N/A</v>
      </c>
      <c r="DX21" s="1" t="e">
        <f>IF(BB$42=0,NA(),BB$42)</f>
        <v>#N/A</v>
      </c>
      <c r="DY21" s="1" t="e">
        <f>IF(BB$43=0,NA(),BB$43)</f>
        <v>#N/A</v>
      </c>
      <c r="DZ21" s="1" t="e">
        <f>IF(BB$44=0,NA(),BB$44)</f>
        <v>#N/A</v>
      </c>
      <c r="EA21" s="1" t="e">
        <f>IF(BB$45=0,NA(),BB$45)</f>
        <v>#N/A</v>
      </c>
      <c r="EB21" s="1" t="e">
        <f>IF(BB$46=0,NA(),BB$46)</f>
        <v>#N/A</v>
      </c>
      <c r="EC21" s="1" t="e">
        <f>IF(BB$47=0,NA(),BB$47)</f>
        <v>#N/A</v>
      </c>
      <c r="ED21" s="1" t="e">
        <f>IF(BB$48=0,NA(),BB$48)</f>
        <v>#N/A</v>
      </c>
      <c r="EE21" s="1" t="e">
        <f>IF(BB$49=0,NA(),BB$49)</f>
        <v>#N/A</v>
      </c>
      <c r="EF21" s="1" t="e">
        <f>IF(BB$50=0,NA(),BB$50)</f>
        <v>#N/A</v>
      </c>
      <c r="EG21" s="1" t="e">
        <f>IF(BB$51=0,NA(),BB$51)</f>
        <v>#N/A</v>
      </c>
      <c r="EH21" s="1" t="e">
        <f>IF(BB$52=0,NA(),BB$52)</f>
        <v>#N/A</v>
      </c>
      <c r="EI21" s="1" t="e">
        <f>IF(BB$53=0,NA(),BB$53)</f>
        <v>#N/A</v>
      </c>
      <c r="EJ21" s="1" t="e">
        <f>IF(BB$54=0,NA(),BB$54)</f>
        <v>#N/A</v>
      </c>
      <c r="EK21" s="1" t="e">
        <f>IF(BB$55=0,NA(),BB$55)</f>
        <v>#N/A</v>
      </c>
      <c r="EL21" s="1" t="e">
        <f>IF(BB$56=0,NA(),BB$56)</f>
        <v>#N/A</v>
      </c>
      <c r="EM21" s="1" t="e">
        <f>IF(BB$57=0,NA(),BB$57)</f>
        <v>#N/A</v>
      </c>
    </row>
    <row r="22" spans="1:143" ht="15" customHeight="1" x14ac:dyDescent="0.3">
      <c r="A22" s="584">
        <v>20</v>
      </c>
      <c r="B22" s="595"/>
      <c r="C22" s="596"/>
      <c r="D22" s="590"/>
      <c r="E22" s="590"/>
      <c r="F22" s="590"/>
      <c r="G22" s="597"/>
      <c r="H22" s="587"/>
      <c r="I22" s="588">
        <f>IF(H22&lt;&gt;0,(C22*(1+G22)^(E22-'Yearly Budget'!$B$2)),0)</f>
        <v>0</v>
      </c>
      <c r="J22" s="598"/>
      <c r="K22" s="588">
        <f t="shared" si="8"/>
        <v>0</v>
      </c>
      <c r="L22" s="588">
        <f t="shared" si="9"/>
        <v>0</v>
      </c>
      <c r="M22" s="599"/>
      <c r="N22" s="589"/>
      <c r="O22" s="590"/>
      <c r="AH22" s="1">
        <f t="shared" si="4"/>
        <v>0</v>
      </c>
      <c r="AI22" s="1">
        <f t="shared" si="5"/>
        <v>0</v>
      </c>
      <c r="AJ22" s="1">
        <f t="shared" si="6"/>
        <v>0</v>
      </c>
      <c r="AK22" s="1">
        <f t="shared" si="21"/>
        <v>0</v>
      </c>
      <c r="AL22" s="1">
        <f t="shared" si="21"/>
        <v>0</v>
      </c>
      <c r="AM22" s="1">
        <f t="shared" si="21"/>
        <v>0</v>
      </c>
      <c r="AN22" s="1">
        <f t="shared" si="21"/>
        <v>0</v>
      </c>
      <c r="AO22" s="1">
        <f t="shared" si="21"/>
        <v>0</v>
      </c>
      <c r="AP22" s="1">
        <f t="shared" si="21"/>
        <v>0</v>
      </c>
      <c r="AQ22" s="1">
        <f t="shared" si="21"/>
        <v>0</v>
      </c>
      <c r="AR22" s="1">
        <f t="shared" si="21"/>
        <v>0</v>
      </c>
      <c r="AS22" s="1">
        <f t="shared" si="21"/>
        <v>0</v>
      </c>
      <c r="AT22" s="1">
        <f t="shared" si="21"/>
        <v>0</v>
      </c>
      <c r="AU22" s="1">
        <f t="shared" si="21"/>
        <v>0</v>
      </c>
      <c r="AV22" s="1">
        <f t="shared" si="21"/>
        <v>0</v>
      </c>
      <c r="AW22" s="1">
        <f t="shared" si="21"/>
        <v>0</v>
      </c>
      <c r="AX22" s="1">
        <f t="shared" si="21"/>
        <v>0</v>
      </c>
      <c r="AY22" s="1">
        <f t="shared" si="21"/>
        <v>0</v>
      </c>
      <c r="AZ22" s="1">
        <f t="shared" si="21"/>
        <v>0</v>
      </c>
      <c r="BA22" s="1">
        <f t="shared" si="21"/>
        <v>0</v>
      </c>
      <c r="BB22" s="1">
        <f t="shared" si="21"/>
        <v>0</v>
      </c>
      <c r="BC22" s="1">
        <f t="shared" si="21"/>
        <v>0</v>
      </c>
      <c r="BD22" s="1">
        <f t="shared" si="21"/>
        <v>0</v>
      </c>
      <c r="BE22" s="1">
        <f t="shared" si="21"/>
        <v>0</v>
      </c>
      <c r="BF22" s="1">
        <f t="shared" si="21"/>
        <v>0</v>
      </c>
      <c r="BG22" s="1">
        <f t="shared" si="21"/>
        <v>0</v>
      </c>
      <c r="BH22" s="1">
        <f t="shared" si="21"/>
        <v>0</v>
      </c>
      <c r="BI22" s="1">
        <f t="shared" si="21"/>
        <v>0</v>
      </c>
      <c r="BJ22" s="1">
        <f t="shared" si="21"/>
        <v>0</v>
      </c>
      <c r="BK22" s="1">
        <f t="shared" si="21"/>
        <v>0</v>
      </c>
      <c r="BL22" s="1">
        <f t="shared" si="21"/>
        <v>0</v>
      </c>
      <c r="BM22" s="1">
        <f t="shared" si="21"/>
        <v>0</v>
      </c>
      <c r="BN22" s="1">
        <f t="shared" si="21"/>
        <v>0</v>
      </c>
      <c r="BO22" s="1">
        <f t="shared" si="21"/>
        <v>0</v>
      </c>
      <c r="BP22" s="1">
        <f t="shared" si="21"/>
        <v>0</v>
      </c>
      <c r="BQ22" s="1">
        <f t="shared" si="21"/>
        <v>0</v>
      </c>
      <c r="BR22" s="1">
        <f t="shared" si="21"/>
        <v>0</v>
      </c>
      <c r="BS22" s="1">
        <f t="shared" si="21"/>
        <v>0</v>
      </c>
      <c r="BT22" s="1">
        <f t="shared" si="21"/>
        <v>0</v>
      </c>
      <c r="BU22" s="1">
        <f t="shared" si="21"/>
        <v>0</v>
      </c>
      <c r="BV22" s="1">
        <f t="shared" si="21"/>
        <v>0</v>
      </c>
      <c r="BW22" s="1">
        <f t="shared" si="21"/>
        <v>0</v>
      </c>
      <c r="BX22" s="1">
        <f t="shared" si="21"/>
        <v>0</v>
      </c>
      <c r="BY22" s="1">
        <f t="shared" si="21"/>
        <v>0</v>
      </c>
      <c r="BZ22" s="1">
        <f t="shared" si="21"/>
        <v>0</v>
      </c>
      <c r="CA22" s="1">
        <f t="shared" si="21"/>
        <v>0</v>
      </c>
      <c r="CB22" s="1">
        <f t="shared" si="21"/>
        <v>0</v>
      </c>
      <c r="CC22" s="1">
        <f t="shared" si="21"/>
        <v>0</v>
      </c>
      <c r="CD22" s="1">
        <f t="shared" si="21"/>
        <v>0</v>
      </c>
      <c r="CE22" s="1">
        <f t="shared" si="21"/>
        <v>0</v>
      </c>
      <c r="CF22" s="1">
        <f t="shared" si="21"/>
        <v>0</v>
      </c>
      <c r="CG22" s="1">
        <f t="shared" si="21"/>
        <v>0</v>
      </c>
      <c r="CH22" s="1">
        <f t="shared" si="21"/>
        <v>0</v>
      </c>
      <c r="CI22" s="1">
        <f t="shared" si="21"/>
        <v>0</v>
      </c>
      <c r="CJ22" s="1">
        <f t="shared" si="21"/>
        <v>0</v>
      </c>
      <c r="CK22" s="1">
        <f t="shared" si="21"/>
        <v>0</v>
      </c>
      <c r="CL22" s="1">
        <f t="shared" si="21"/>
        <v>0</v>
      </c>
      <c r="CM22" s="1">
        <f t="shared" si="21"/>
        <v>0</v>
      </c>
      <c r="CN22" s="1">
        <f t="shared" si="21"/>
        <v>0</v>
      </c>
      <c r="CO22" s="1">
        <f t="shared" si="21"/>
        <v>0</v>
      </c>
      <c r="CP22" s="1">
        <f t="shared" si="21"/>
        <v>0</v>
      </c>
      <c r="CQ22" s="1">
        <f t="shared" si="21"/>
        <v>0</v>
      </c>
      <c r="CR22" s="1">
        <f t="shared" si="21"/>
        <v>0</v>
      </c>
      <c r="CS22" s="1">
        <f t="shared" si="21"/>
        <v>0</v>
      </c>
      <c r="CT22" s="1">
        <f t="shared" si="21"/>
        <v>0</v>
      </c>
      <c r="CU22" s="1">
        <f t="shared" si="21"/>
        <v>0</v>
      </c>
      <c r="CV22" s="1">
        <f t="shared" si="21"/>
        <v>0</v>
      </c>
      <c r="CW22" s="1">
        <f t="shared" si="20"/>
        <v>0</v>
      </c>
      <c r="CX22" s="1">
        <f t="shared" si="20"/>
        <v>0</v>
      </c>
      <c r="CY22" s="1">
        <f t="shared" si="20"/>
        <v>0</v>
      </c>
      <c r="CZ22" s="1">
        <f t="shared" si="20"/>
        <v>0</v>
      </c>
      <c r="DA22" s="1">
        <f t="shared" si="20"/>
        <v>0</v>
      </c>
      <c r="DB22" s="1">
        <f t="shared" si="20"/>
        <v>0</v>
      </c>
      <c r="DC22" s="1">
        <f t="shared" si="20"/>
        <v>0</v>
      </c>
      <c r="DD22" s="1">
        <f t="shared" si="20"/>
        <v>0</v>
      </c>
      <c r="DE22" s="1">
        <f t="shared" si="20"/>
        <v>0</v>
      </c>
      <c r="DF22" s="1">
        <f t="shared" si="20"/>
        <v>0</v>
      </c>
      <c r="DG22" s="1">
        <f t="shared" si="20"/>
        <v>0</v>
      </c>
      <c r="DK22" s="1">
        <f t="shared" si="11"/>
        <v>2044</v>
      </c>
      <c r="DL22" s="1">
        <f t="shared" ca="1" si="12"/>
        <v>64</v>
      </c>
      <c r="DM22" s="1">
        <f t="shared" ca="1" si="13"/>
        <v>69</v>
      </c>
      <c r="DN22" s="83" t="e">
        <f>IF(BC$32=0,NA(),BC$32)</f>
        <v>#N/A</v>
      </c>
      <c r="DO22" s="1" t="e">
        <f>IF(BC$33=0,NA(),BC$33)</f>
        <v>#N/A</v>
      </c>
      <c r="DP22" s="1" t="e">
        <f>IF(BC$34=0,NA(),BC$34)</f>
        <v>#N/A</v>
      </c>
      <c r="DQ22" s="1" t="e">
        <f>IF(BC$35=0,NA(),BC$35)</f>
        <v>#N/A</v>
      </c>
      <c r="DR22" s="1" t="e">
        <f>IF(BC$36=0,NA(),BC$36)</f>
        <v>#N/A</v>
      </c>
      <c r="DS22" s="1" t="e">
        <f>IF(BC$37=0,NA(),BC$37)</f>
        <v>#N/A</v>
      </c>
      <c r="DT22" s="1" t="e">
        <f>IF(BC$38=0,NA(),BC$38)</f>
        <v>#N/A</v>
      </c>
      <c r="DU22" s="1" t="e">
        <f>IF(BC$39=0,NA(),BC$39)</f>
        <v>#N/A</v>
      </c>
      <c r="DV22" s="1" t="e">
        <f>IF(BC$40=0,NA(),BC$40)</f>
        <v>#N/A</v>
      </c>
      <c r="DW22" s="1" t="e">
        <f>IF(BC$41=0,NA(),BC$41)</f>
        <v>#N/A</v>
      </c>
      <c r="DX22" s="1" t="e">
        <f>IF(BC$42=0,NA(),BC$42)</f>
        <v>#N/A</v>
      </c>
      <c r="DY22" s="1" t="e">
        <f>IF(BC$43=0,NA(),BC$43)</f>
        <v>#N/A</v>
      </c>
      <c r="DZ22" s="1" t="e">
        <f>IF(BC$44=0,NA(),BC$44)</f>
        <v>#N/A</v>
      </c>
      <c r="EA22" s="1" t="e">
        <f>IF(BC$45=0,NA(),BC$45)</f>
        <v>#N/A</v>
      </c>
      <c r="EB22" s="1" t="e">
        <f>IF(BC$46=0,NA(),BC$46)</f>
        <v>#N/A</v>
      </c>
      <c r="EC22" s="1" t="e">
        <f>IF(BC$47=0,NA(),BC$47)</f>
        <v>#N/A</v>
      </c>
      <c r="ED22" s="1" t="e">
        <f>IF(BC$48=0,NA(),BC$48)</f>
        <v>#N/A</v>
      </c>
      <c r="EE22" s="1" t="e">
        <f>IF(BC$49=0,NA(),BC$49)</f>
        <v>#N/A</v>
      </c>
      <c r="EF22" s="1" t="e">
        <f>IF(BC$50=0,NA(),BC$50)</f>
        <v>#N/A</v>
      </c>
      <c r="EG22" s="1" t="e">
        <f>IF(BC$51=0,NA(),BC$51)</f>
        <v>#N/A</v>
      </c>
      <c r="EH22" s="1" t="e">
        <f>IF(BC$52=0,NA(),BC$52)</f>
        <v>#N/A</v>
      </c>
      <c r="EI22" s="1" t="e">
        <f>IF(BC$53=0,NA(),BC$53)</f>
        <v>#N/A</v>
      </c>
      <c r="EJ22" s="1" t="e">
        <f>IF(BC$54=0,NA(),BC$54)</f>
        <v>#N/A</v>
      </c>
      <c r="EK22" s="1" t="e">
        <f>IF(BC$55=0,NA(),BC$55)</f>
        <v>#N/A</v>
      </c>
      <c r="EL22" s="1" t="e">
        <f>IF(BC$56=0,NA(),BC$56)</f>
        <v>#N/A</v>
      </c>
      <c r="EM22" s="1" t="e">
        <f>IF(BC$57=0,NA(),BC$57)</f>
        <v>#N/A</v>
      </c>
    </row>
    <row r="23" spans="1:143" ht="15" customHeight="1" x14ac:dyDescent="0.3">
      <c r="A23" s="584"/>
      <c r="B23" s="595"/>
      <c r="C23" s="596"/>
      <c r="D23" s="590"/>
      <c r="E23" s="590"/>
      <c r="F23" s="590"/>
      <c r="G23" s="597"/>
      <c r="H23" s="587"/>
      <c r="I23" s="588">
        <f>IF(H23&lt;&gt;0,(C23*(1+G23)^(E23-'Yearly Budget'!$B$2)),0)</f>
        <v>0</v>
      </c>
      <c r="J23" s="598"/>
      <c r="K23" s="588">
        <f t="shared" si="8"/>
        <v>0</v>
      </c>
      <c r="L23" s="588">
        <f t="shared" si="9"/>
        <v>0</v>
      </c>
      <c r="M23" s="599"/>
      <c r="N23" s="589"/>
      <c r="O23" s="590"/>
      <c r="AH23" s="1">
        <f t="shared" si="4"/>
        <v>0</v>
      </c>
      <c r="AI23" s="1">
        <f t="shared" si="5"/>
        <v>0</v>
      </c>
      <c r="AJ23" s="1">
        <f t="shared" si="6"/>
        <v>0</v>
      </c>
      <c r="AK23" s="1">
        <f t="shared" si="21"/>
        <v>0</v>
      </c>
      <c r="AL23" s="1">
        <f t="shared" si="21"/>
        <v>0</v>
      </c>
      <c r="AM23" s="1">
        <f t="shared" si="21"/>
        <v>0</v>
      </c>
      <c r="AN23" s="1">
        <f t="shared" si="21"/>
        <v>0</v>
      </c>
      <c r="AO23" s="1">
        <f t="shared" si="21"/>
        <v>0</v>
      </c>
      <c r="AP23" s="1">
        <f t="shared" si="21"/>
        <v>0</v>
      </c>
      <c r="AQ23" s="1">
        <f t="shared" si="21"/>
        <v>0</v>
      </c>
      <c r="AR23" s="1">
        <f t="shared" si="21"/>
        <v>0</v>
      </c>
      <c r="AS23" s="1">
        <f t="shared" si="21"/>
        <v>0</v>
      </c>
      <c r="AT23" s="1">
        <f t="shared" si="21"/>
        <v>0</v>
      </c>
      <c r="AU23" s="1">
        <f t="shared" si="21"/>
        <v>0</v>
      </c>
      <c r="AV23" s="1">
        <f t="shared" si="21"/>
        <v>0</v>
      </c>
      <c r="AW23" s="1">
        <f t="shared" si="21"/>
        <v>0</v>
      </c>
      <c r="AX23" s="1">
        <f t="shared" si="21"/>
        <v>0</v>
      </c>
      <c r="AY23" s="1">
        <f t="shared" si="21"/>
        <v>0</v>
      </c>
      <c r="AZ23" s="1">
        <f t="shared" si="21"/>
        <v>0</v>
      </c>
      <c r="BA23" s="1">
        <f t="shared" si="21"/>
        <v>0</v>
      </c>
      <c r="BB23" s="1">
        <f t="shared" si="21"/>
        <v>0</v>
      </c>
      <c r="BC23" s="1">
        <f t="shared" si="21"/>
        <v>0</v>
      </c>
      <c r="BD23" s="1">
        <f t="shared" si="21"/>
        <v>0</v>
      </c>
      <c r="BE23" s="1">
        <f t="shared" si="21"/>
        <v>0</v>
      </c>
      <c r="BF23" s="1">
        <f t="shared" si="21"/>
        <v>0</v>
      </c>
      <c r="BG23" s="1">
        <f t="shared" si="21"/>
        <v>0</v>
      </c>
      <c r="BH23" s="1">
        <f t="shared" si="21"/>
        <v>0</v>
      </c>
      <c r="BI23" s="1">
        <f t="shared" si="21"/>
        <v>0</v>
      </c>
      <c r="BJ23" s="1">
        <f t="shared" si="21"/>
        <v>0</v>
      </c>
      <c r="BK23" s="1">
        <f t="shared" si="21"/>
        <v>0</v>
      </c>
      <c r="BL23" s="1">
        <f t="shared" si="21"/>
        <v>0</v>
      </c>
      <c r="BM23" s="1">
        <f t="shared" si="21"/>
        <v>0</v>
      </c>
      <c r="BN23" s="1">
        <f t="shared" si="21"/>
        <v>0</v>
      </c>
      <c r="BO23" s="1">
        <f t="shared" si="21"/>
        <v>0</v>
      </c>
      <c r="BP23" s="1">
        <f t="shared" si="21"/>
        <v>0</v>
      </c>
      <c r="BQ23" s="1">
        <f t="shared" si="21"/>
        <v>0</v>
      </c>
      <c r="BR23" s="1">
        <f t="shared" si="21"/>
        <v>0</v>
      </c>
      <c r="BS23" s="1">
        <f t="shared" si="21"/>
        <v>0</v>
      </c>
      <c r="BT23" s="1">
        <f t="shared" si="21"/>
        <v>0</v>
      </c>
      <c r="BU23" s="1">
        <f t="shared" si="21"/>
        <v>0</v>
      </c>
      <c r="BV23" s="1">
        <f t="shared" si="21"/>
        <v>0</v>
      </c>
      <c r="BW23" s="1">
        <f t="shared" si="21"/>
        <v>0</v>
      </c>
      <c r="BX23" s="1">
        <f t="shared" si="21"/>
        <v>0</v>
      </c>
      <c r="BY23" s="1">
        <f t="shared" si="21"/>
        <v>0</v>
      </c>
      <c r="BZ23" s="1">
        <f t="shared" si="21"/>
        <v>0</v>
      </c>
      <c r="CA23" s="1">
        <f t="shared" si="21"/>
        <v>0</v>
      </c>
      <c r="CB23" s="1">
        <f t="shared" si="21"/>
        <v>0</v>
      </c>
      <c r="CC23" s="1">
        <f t="shared" si="21"/>
        <v>0</v>
      </c>
      <c r="CD23" s="1">
        <f t="shared" si="21"/>
        <v>0</v>
      </c>
      <c r="CE23" s="1">
        <f t="shared" si="21"/>
        <v>0</v>
      </c>
      <c r="CF23" s="1">
        <f t="shared" si="21"/>
        <v>0</v>
      </c>
      <c r="CG23" s="1">
        <f t="shared" si="21"/>
        <v>0</v>
      </c>
      <c r="CH23" s="1">
        <f t="shared" si="21"/>
        <v>0</v>
      </c>
      <c r="CI23" s="1">
        <f t="shared" si="21"/>
        <v>0</v>
      </c>
      <c r="CJ23" s="1">
        <f t="shared" si="21"/>
        <v>0</v>
      </c>
      <c r="CK23" s="1">
        <f t="shared" si="21"/>
        <v>0</v>
      </c>
      <c r="CL23" s="1">
        <f t="shared" si="21"/>
        <v>0</v>
      </c>
      <c r="CM23" s="1">
        <f t="shared" si="21"/>
        <v>0</v>
      </c>
      <c r="CN23" s="1">
        <f t="shared" si="21"/>
        <v>0</v>
      </c>
      <c r="CO23" s="1">
        <f t="shared" si="21"/>
        <v>0</v>
      </c>
      <c r="CP23" s="1">
        <f t="shared" si="21"/>
        <v>0</v>
      </c>
      <c r="CQ23" s="1">
        <f t="shared" si="21"/>
        <v>0</v>
      </c>
      <c r="CR23" s="1">
        <f t="shared" si="21"/>
        <v>0</v>
      </c>
      <c r="CS23" s="1">
        <f t="shared" si="21"/>
        <v>0</v>
      </c>
      <c r="CT23" s="1">
        <f t="shared" si="21"/>
        <v>0</v>
      </c>
      <c r="CU23" s="1">
        <f t="shared" si="21"/>
        <v>0</v>
      </c>
      <c r="CV23" s="1">
        <f t="shared" si="21"/>
        <v>0</v>
      </c>
      <c r="CW23" s="1">
        <f t="shared" si="20"/>
        <v>0</v>
      </c>
      <c r="CX23" s="1">
        <f t="shared" si="20"/>
        <v>0</v>
      </c>
      <c r="CY23" s="1">
        <f t="shared" si="20"/>
        <v>0</v>
      </c>
      <c r="CZ23" s="1">
        <f t="shared" si="20"/>
        <v>0</v>
      </c>
      <c r="DA23" s="1">
        <f t="shared" si="20"/>
        <v>0</v>
      </c>
      <c r="DB23" s="1">
        <f t="shared" si="20"/>
        <v>0</v>
      </c>
      <c r="DC23" s="1">
        <f t="shared" si="20"/>
        <v>0</v>
      </c>
      <c r="DD23" s="1">
        <f t="shared" si="20"/>
        <v>0</v>
      </c>
      <c r="DE23" s="1">
        <f t="shared" si="20"/>
        <v>0</v>
      </c>
      <c r="DF23" s="1">
        <f t="shared" si="20"/>
        <v>0</v>
      </c>
      <c r="DG23" s="1">
        <f t="shared" si="20"/>
        <v>0</v>
      </c>
      <c r="DK23" s="1">
        <f t="shared" si="11"/>
        <v>2045</v>
      </c>
      <c r="DL23" s="1">
        <f t="shared" ca="1" si="12"/>
        <v>65</v>
      </c>
      <c r="DM23" s="1">
        <f t="shared" ca="1" si="13"/>
        <v>70</v>
      </c>
      <c r="DN23" s="83" t="e">
        <f>IF(BD$32=0,NA(),BD$32)</f>
        <v>#N/A</v>
      </c>
      <c r="DO23" s="1" t="e">
        <f>IF(BD$33=0,NA(),BD$33)</f>
        <v>#N/A</v>
      </c>
      <c r="DP23" s="1" t="e">
        <f>IF(BD$34=0,NA(),BD$34)</f>
        <v>#N/A</v>
      </c>
      <c r="DQ23" s="1" t="e">
        <f>IF(BD$35=0,NA(),BD$35)</f>
        <v>#N/A</v>
      </c>
      <c r="DR23" s="1" t="e">
        <f>IF(BD$36=0,NA(),BD$36)</f>
        <v>#N/A</v>
      </c>
      <c r="DS23" s="1" t="e">
        <f>IF(BD$37=0,NA(),BD$37)</f>
        <v>#N/A</v>
      </c>
      <c r="DT23" s="1" t="e">
        <f>IF(BD$38=0,NA(),BD$38)</f>
        <v>#N/A</v>
      </c>
      <c r="DU23" s="1" t="e">
        <f>IF(BD$39=0,NA(),BD$39)</f>
        <v>#N/A</v>
      </c>
      <c r="DV23" s="1" t="e">
        <f>IF(BD$40=0,NA(),BD$40)</f>
        <v>#N/A</v>
      </c>
      <c r="DW23" s="1" t="e">
        <f>IF(BD$41=0,NA(),BD$41)</f>
        <v>#N/A</v>
      </c>
      <c r="DX23" s="1" t="e">
        <f>IF(BD$42=0,NA(),BD$42)</f>
        <v>#N/A</v>
      </c>
      <c r="DY23" s="1" t="e">
        <f>IF(BD$43=0,NA(),BD$43)</f>
        <v>#N/A</v>
      </c>
      <c r="DZ23" s="1" t="e">
        <f>IF(BD$44=0,NA(),BD$44)</f>
        <v>#N/A</v>
      </c>
      <c r="EA23" s="1" t="e">
        <f>IF(BD$45=0,NA(),BD$45)</f>
        <v>#N/A</v>
      </c>
      <c r="EB23" s="1" t="e">
        <f>IF(BD$46=0,NA(),BD$46)</f>
        <v>#N/A</v>
      </c>
      <c r="EC23" s="1" t="e">
        <f>IF(BD$47=0,NA(),BD$47)</f>
        <v>#N/A</v>
      </c>
      <c r="ED23" s="1" t="e">
        <f>IF(BD$48=0,NA(),BD$48)</f>
        <v>#N/A</v>
      </c>
      <c r="EE23" s="1" t="e">
        <f>IF(BD$49=0,NA(),BD$49)</f>
        <v>#N/A</v>
      </c>
      <c r="EF23" s="1" t="e">
        <f>IF(BD$50=0,NA(),BD$50)</f>
        <v>#N/A</v>
      </c>
      <c r="EG23" s="1" t="e">
        <f>IF(BD$51=0,NA(),BD$51)</f>
        <v>#N/A</v>
      </c>
      <c r="EH23" s="1" t="e">
        <f>IF(BD$52=0,NA(),BD$52)</f>
        <v>#N/A</v>
      </c>
      <c r="EI23" s="1" t="e">
        <f>IF(BD$53=0,NA(),BD$53)</f>
        <v>#N/A</v>
      </c>
      <c r="EJ23" s="1" t="e">
        <f>IF(BD$54=0,NA(),BD$54)</f>
        <v>#N/A</v>
      </c>
      <c r="EK23" s="1" t="e">
        <f>IF(BD$55=0,NA(),BD$55)</f>
        <v>#N/A</v>
      </c>
      <c r="EL23" s="1" t="e">
        <f>IF(BD$56=0,NA(),BD$56)</f>
        <v>#N/A</v>
      </c>
      <c r="EM23" s="1" t="e">
        <f>IF(BD$57=0,NA(),BD$57)</f>
        <v>#N/A</v>
      </c>
    </row>
    <row r="24" spans="1:143" ht="15" customHeight="1" x14ac:dyDescent="0.3">
      <c r="A24" s="584"/>
      <c r="B24" s="600"/>
      <c r="C24" s="596"/>
      <c r="D24" s="590"/>
      <c r="E24" s="590"/>
      <c r="F24" s="590"/>
      <c r="G24" s="597"/>
      <c r="H24" s="587"/>
      <c r="I24" s="588">
        <f>IF(H24&lt;&gt;0,(C24*(1+G24)^(E24-'Yearly Budget'!$B$2)),0)</f>
        <v>0</v>
      </c>
      <c r="J24" s="598"/>
      <c r="K24" s="588">
        <f t="shared" si="8"/>
        <v>0</v>
      </c>
      <c r="L24" s="588">
        <f t="shared" si="9"/>
        <v>0</v>
      </c>
      <c r="M24" s="599"/>
      <c r="N24" s="589"/>
      <c r="O24" s="590"/>
      <c r="AH24" s="1">
        <f t="shared" si="4"/>
        <v>0</v>
      </c>
      <c r="AI24" s="1">
        <f t="shared" si="5"/>
        <v>0</v>
      </c>
      <c r="AJ24" s="1">
        <f t="shared" si="6"/>
        <v>0</v>
      </c>
      <c r="AK24" s="1">
        <f t="shared" si="21"/>
        <v>0</v>
      </c>
      <c r="AL24" s="1">
        <f t="shared" si="21"/>
        <v>0</v>
      </c>
      <c r="AM24" s="1">
        <f t="shared" si="21"/>
        <v>0</v>
      </c>
      <c r="AN24" s="1">
        <f t="shared" si="21"/>
        <v>0</v>
      </c>
      <c r="AO24" s="1">
        <f t="shared" si="21"/>
        <v>0</v>
      </c>
      <c r="AP24" s="1">
        <f t="shared" si="21"/>
        <v>0</v>
      </c>
      <c r="AQ24" s="1">
        <f t="shared" si="21"/>
        <v>0</v>
      </c>
      <c r="AR24" s="1">
        <f t="shared" si="21"/>
        <v>0</v>
      </c>
      <c r="AS24" s="1">
        <f t="shared" si="21"/>
        <v>0</v>
      </c>
      <c r="AT24" s="1">
        <f t="shared" si="21"/>
        <v>0</v>
      </c>
      <c r="AU24" s="1">
        <f t="shared" si="21"/>
        <v>0</v>
      </c>
      <c r="AV24" s="1">
        <f t="shared" si="21"/>
        <v>0</v>
      </c>
      <c r="AW24" s="1">
        <f t="shared" si="21"/>
        <v>0</v>
      </c>
      <c r="AX24" s="1">
        <f t="shared" si="21"/>
        <v>0</v>
      </c>
      <c r="AY24" s="1">
        <f t="shared" si="21"/>
        <v>0</v>
      </c>
      <c r="AZ24" s="1">
        <f t="shared" si="21"/>
        <v>0</v>
      </c>
      <c r="BA24" s="1">
        <f t="shared" si="21"/>
        <v>0</v>
      </c>
      <c r="BB24" s="1">
        <f t="shared" si="21"/>
        <v>0</v>
      </c>
      <c r="BC24" s="1">
        <f t="shared" si="21"/>
        <v>0</v>
      </c>
      <c r="BD24" s="1">
        <f t="shared" si="21"/>
        <v>0</v>
      </c>
      <c r="BE24" s="1">
        <f t="shared" si="21"/>
        <v>0</v>
      </c>
      <c r="BF24" s="1">
        <f t="shared" si="21"/>
        <v>0</v>
      </c>
      <c r="BG24" s="1">
        <f t="shared" si="21"/>
        <v>0</v>
      </c>
      <c r="BH24" s="1">
        <f t="shared" si="21"/>
        <v>0</v>
      </c>
      <c r="BI24" s="1">
        <f t="shared" si="21"/>
        <v>0</v>
      </c>
      <c r="BJ24" s="1">
        <f t="shared" si="21"/>
        <v>0</v>
      </c>
      <c r="BK24" s="1">
        <f t="shared" si="21"/>
        <v>0</v>
      </c>
      <c r="BL24" s="1">
        <f t="shared" si="21"/>
        <v>0</v>
      </c>
      <c r="BM24" s="1">
        <f t="shared" si="21"/>
        <v>0</v>
      </c>
      <c r="BN24" s="1">
        <f t="shared" si="21"/>
        <v>0</v>
      </c>
      <c r="BO24" s="1">
        <f t="shared" si="21"/>
        <v>0</v>
      </c>
      <c r="BP24" s="1">
        <f t="shared" si="21"/>
        <v>0</v>
      </c>
      <c r="BQ24" s="1">
        <f t="shared" si="21"/>
        <v>0</v>
      </c>
      <c r="BR24" s="1">
        <f t="shared" si="21"/>
        <v>0</v>
      </c>
      <c r="BS24" s="1">
        <f t="shared" si="21"/>
        <v>0</v>
      </c>
      <c r="BT24" s="1">
        <f t="shared" si="21"/>
        <v>0</v>
      </c>
      <c r="BU24" s="1">
        <f t="shared" si="21"/>
        <v>0</v>
      </c>
      <c r="BV24" s="1">
        <f t="shared" si="21"/>
        <v>0</v>
      </c>
      <c r="BW24" s="1">
        <f t="shared" si="21"/>
        <v>0</v>
      </c>
      <c r="BX24" s="1">
        <f t="shared" si="21"/>
        <v>0</v>
      </c>
      <c r="BY24" s="1">
        <f t="shared" si="21"/>
        <v>0</v>
      </c>
      <c r="BZ24" s="1">
        <f t="shared" si="21"/>
        <v>0</v>
      </c>
      <c r="CA24" s="1">
        <f t="shared" si="21"/>
        <v>0</v>
      </c>
      <c r="CB24" s="1">
        <f t="shared" si="21"/>
        <v>0</v>
      </c>
      <c r="CC24" s="1">
        <f t="shared" si="21"/>
        <v>0</v>
      </c>
      <c r="CD24" s="1">
        <f t="shared" si="21"/>
        <v>0</v>
      </c>
      <c r="CE24" s="1">
        <f t="shared" si="21"/>
        <v>0</v>
      </c>
      <c r="CF24" s="1">
        <f t="shared" si="21"/>
        <v>0</v>
      </c>
      <c r="CG24" s="1">
        <f t="shared" si="21"/>
        <v>0</v>
      </c>
      <c r="CH24" s="1">
        <f t="shared" si="21"/>
        <v>0</v>
      </c>
      <c r="CI24" s="1">
        <f t="shared" si="21"/>
        <v>0</v>
      </c>
      <c r="CJ24" s="1">
        <f t="shared" si="21"/>
        <v>0</v>
      </c>
      <c r="CK24" s="1">
        <f t="shared" si="21"/>
        <v>0</v>
      </c>
      <c r="CL24" s="1">
        <f t="shared" si="21"/>
        <v>0</v>
      </c>
      <c r="CM24" s="1">
        <f t="shared" si="21"/>
        <v>0</v>
      </c>
      <c r="CN24" s="1">
        <f t="shared" si="21"/>
        <v>0</v>
      </c>
      <c r="CO24" s="1">
        <f t="shared" si="21"/>
        <v>0</v>
      </c>
      <c r="CP24" s="1">
        <f t="shared" si="21"/>
        <v>0</v>
      </c>
      <c r="CQ24" s="1">
        <f t="shared" si="21"/>
        <v>0</v>
      </c>
      <c r="CR24" s="1">
        <f t="shared" si="21"/>
        <v>0</v>
      </c>
      <c r="CS24" s="1">
        <f t="shared" si="21"/>
        <v>0</v>
      </c>
      <c r="CT24" s="1">
        <f t="shared" si="21"/>
        <v>0</v>
      </c>
      <c r="CU24" s="1">
        <f t="shared" si="21"/>
        <v>0</v>
      </c>
      <c r="CV24" s="1">
        <f t="shared" ref="CV24:DG27" si="22">IFERROR(IF($D24="Recurring",IF(AND($E24&lt;=CV$2,CV$2&lt;=$AI24),$C24,0),IF($J24=0,_xlfn.XLOOKUP(CV$2,$E24,$C24),_xlfn.XLOOKUP(CV$2,$E24,$C24*$J24))),0)</f>
        <v>0</v>
      </c>
      <c r="CW24" s="1">
        <f t="shared" si="22"/>
        <v>0</v>
      </c>
      <c r="CX24" s="1">
        <f t="shared" si="22"/>
        <v>0</v>
      </c>
      <c r="CY24" s="1">
        <f t="shared" si="22"/>
        <v>0</v>
      </c>
      <c r="CZ24" s="1">
        <f t="shared" si="22"/>
        <v>0</v>
      </c>
      <c r="DA24" s="1">
        <f t="shared" si="22"/>
        <v>0</v>
      </c>
      <c r="DB24" s="1">
        <f t="shared" si="22"/>
        <v>0</v>
      </c>
      <c r="DC24" s="1">
        <f t="shared" si="22"/>
        <v>0</v>
      </c>
      <c r="DD24" s="1">
        <f t="shared" si="22"/>
        <v>0</v>
      </c>
      <c r="DE24" s="1">
        <f t="shared" si="22"/>
        <v>0</v>
      </c>
      <c r="DF24" s="1">
        <f t="shared" si="22"/>
        <v>0</v>
      </c>
      <c r="DG24" s="1">
        <f t="shared" si="22"/>
        <v>0</v>
      </c>
      <c r="DK24" s="1">
        <f t="shared" si="11"/>
        <v>2046</v>
      </c>
      <c r="DL24" s="1">
        <f t="shared" ca="1" si="12"/>
        <v>66</v>
      </c>
      <c r="DM24" s="1">
        <f t="shared" ca="1" si="13"/>
        <v>71</v>
      </c>
      <c r="DN24" s="83" t="e">
        <f>IF(BE$32=0,NA(),BE$32)</f>
        <v>#N/A</v>
      </c>
      <c r="DO24" s="1" t="e">
        <f>IF(BE$33=0,NA(),BE$33)</f>
        <v>#N/A</v>
      </c>
      <c r="DP24" s="1" t="e">
        <f>IF(BE$34=0,NA(),BE$34)</f>
        <v>#N/A</v>
      </c>
      <c r="DQ24" s="1" t="e">
        <f>IF(BE$35=0,NA(),BE$35)</f>
        <v>#N/A</v>
      </c>
      <c r="DR24" s="1" t="e">
        <f>IF(BE$36=0,NA(),BE$36)</f>
        <v>#N/A</v>
      </c>
      <c r="DS24" s="1" t="e">
        <f>IF(BE$37=0,NA(),BE$37)</f>
        <v>#N/A</v>
      </c>
      <c r="DT24" s="1" t="e">
        <f>IF(BE$38=0,NA(),BE$38)</f>
        <v>#N/A</v>
      </c>
      <c r="DU24" s="1" t="e">
        <f>IF(BE$39=0,NA(),BE$39)</f>
        <v>#N/A</v>
      </c>
      <c r="DV24" s="1" t="e">
        <f>IF(BE$40=0,NA(),BE$40)</f>
        <v>#N/A</v>
      </c>
      <c r="DW24" s="1" t="e">
        <f>IF(BE$41=0,NA(),BE$41)</f>
        <v>#N/A</v>
      </c>
      <c r="DX24" s="1" t="e">
        <f>IF(BE$42=0,NA(),BE$42)</f>
        <v>#N/A</v>
      </c>
      <c r="DY24" s="1" t="e">
        <f>IF(BE$43=0,NA(),BE$43)</f>
        <v>#N/A</v>
      </c>
      <c r="DZ24" s="1" t="e">
        <f>IF(BE$44=0,NA(),BE$44)</f>
        <v>#N/A</v>
      </c>
      <c r="EA24" s="1" t="e">
        <f>IF(BE$45=0,NA(),BE$45)</f>
        <v>#N/A</v>
      </c>
      <c r="EB24" s="1" t="e">
        <f>IF(BE$46=0,NA(),BE$46)</f>
        <v>#N/A</v>
      </c>
      <c r="EC24" s="1" t="e">
        <f>IF(BE$47=0,NA(),BE$47)</f>
        <v>#N/A</v>
      </c>
      <c r="ED24" s="1" t="e">
        <f>IF(BE$48=0,NA(),BE$48)</f>
        <v>#N/A</v>
      </c>
      <c r="EE24" s="1" t="e">
        <f>IF(BE$49=0,NA(),BE$49)</f>
        <v>#N/A</v>
      </c>
      <c r="EF24" s="1" t="e">
        <f>IF(BE$50=0,NA(),BE$50)</f>
        <v>#N/A</v>
      </c>
      <c r="EG24" s="1" t="e">
        <f>IF(BE$51=0,NA(),BE$51)</f>
        <v>#N/A</v>
      </c>
      <c r="EH24" s="1" t="e">
        <f>IF(BE$52=0,NA(),BE$52)</f>
        <v>#N/A</v>
      </c>
      <c r="EI24" s="1" t="e">
        <f>IF(BE$53=0,NA(),BE$53)</f>
        <v>#N/A</v>
      </c>
      <c r="EJ24" s="1" t="e">
        <f>IF(BE$54=0,NA(),BE$54)</f>
        <v>#N/A</v>
      </c>
      <c r="EK24" s="1" t="e">
        <f>IF(BE$55=0,NA(),BE$55)</f>
        <v>#N/A</v>
      </c>
      <c r="EL24" s="1" t="e">
        <f>IF(BE$56=0,NA(),BE$56)</f>
        <v>#N/A</v>
      </c>
      <c r="EM24" s="1" t="e">
        <f>IF(BE$57=0,NA(),BE$57)</f>
        <v>#N/A</v>
      </c>
    </row>
    <row r="25" spans="1:143" ht="15" customHeight="1" x14ac:dyDescent="0.3">
      <c r="A25" s="584"/>
      <c r="B25" s="600"/>
      <c r="C25" s="596"/>
      <c r="D25" s="590"/>
      <c r="E25" s="590"/>
      <c r="F25" s="590"/>
      <c r="G25" s="597"/>
      <c r="H25" s="587"/>
      <c r="I25" s="588">
        <f>IF(H25&lt;&gt;0,(C25*(1+G25)^(E25-'Yearly Budget'!$B$2)),0)</f>
        <v>0</v>
      </c>
      <c r="J25" s="598"/>
      <c r="K25" s="588">
        <f t="shared" si="8"/>
        <v>0</v>
      </c>
      <c r="L25" s="588">
        <f t="shared" si="9"/>
        <v>0</v>
      </c>
      <c r="M25" s="599"/>
      <c r="N25" s="589"/>
      <c r="O25" s="590"/>
      <c r="AH25" s="1">
        <f t="shared" si="4"/>
        <v>0</v>
      </c>
      <c r="AI25" s="1">
        <f t="shared" si="5"/>
        <v>0</v>
      </c>
      <c r="AJ25" s="1">
        <f t="shared" si="6"/>
        <v>0</v>
      </c>
      <c r="AK25" s="1">
        <f t="shared" ref="AK25:CV28" si="23">IFERROR(IF($D25="Recurring",IF(AND($E25&lt;=AK$2,AK$2&lt;=$AI25),$C25,0),IF($J25=0,_xlfn.XLOOKUP(AK$2,$E25,$C25),_xlfn.XLOOKUP(AK$2,$E25,$C25*$J25))),0)</f>
        <v>0</v>
      </c>
      <c r="AL25" s="1">
        <f t="shared" si="23"/>
        <v>0</v>
      </c>
      <c r="AM25" s="1">
        <f t="shared" si="23"/>
        <v>0</v>
      </c>
      <c r="AN25" s="1">
        <f t="shared" si="23"/>
        <v>0</v>
      </c>
      <c r="AO25" s="1">
        <f t="shared" si="23"/>
        <v>0</v>
      </c>
      <c r="AP25" s="1">
        <f t="shared" si="23"/>
        <v>0</v>
      </c>
      <c r="AQ25" s="1">
        <f t="shared" si="23"/>
        <v>0</v>
      </c>
      <c r="AR25" s="1">
        <f t="shared" si="23"/>
        <v>0</v>
      </c>
      <c r="AS25" s="1">
        <f t="shared" si="23"/>
        <v>0</v>
      </c>
      <c r="AT25" s="1">
        <f t="shared" si="23"/>
        <v>0</v>
      </c>
      <c r="AU25" s="1">
        <f t="shared" si="23"/>
        <v>0</v>
      </c>
      <c r="AV25" s="1">
        <f t="shared" si="23"/>
        <v>0</v>
      </c>
      <c r="AW25" s="1">
        <f t="shared" si="23"/>
        <v>0</v>
      </c>
      <c r="AX25" s="1">
        <f t="shared" si="23"/>
        <v>0</v>
      </c>
      <c r="AY25" s="1">
        <f t="shared" si="23"/>
        <v>0</v>
      </c>
      <c r="AZ25" s="1">
        <f t="shared" si="23"/>
        <v>0</v>
      </c>
      <c r="BA25" s="1">
        <f t="shared" si="23"/>
        <v>0</v>
      </c>
      <c r="BB25" s="1">
        <f t="shared" si="23"/>
        <v>0</v>
      </c>
      <c r="BC25" s="1">
        <f t="shared" si="23"/>
        <v>0</v>
      </c>
      <c r="BD25" s="1">
        <f t="shared" si="23"/>
        <v>0</v>
      </c>
      <c r="BE25" s="1">
        <f t="shared" si="23"/>
        <v>0</v>
      </c>
      <c r="BF25" s="1">
        <f t="shared" si="23"/>
        <v>0</v>
      </c>
      <c r="BG25" s="1">
        <f t="shared" si="23"/>
        <v>0</v>
      </c>
      <c r="BH25" s="1">
        <f t="shared" si="23"/>
        <v>0</v>
      </c>
      <c r="BI25" s="1">
        <f t="shared" si="23"/>
        <v>0</v>
      </c>
      <c r="BJ25" s="1">
        <f t="shared" si="23"/>
        <v>0</v>
      </c>
      <c r="BK25" s="1">
        <f t="shared" si="23"/>
        <v>0</v>
      </c>
      <c r="BL25" s="1">
        <f t="shared" si="23"/>
        <v>0</v>
      </c>
      <c r="BM25" s="1">
        <f t="shared" si="23"/>
        <v>0</v>
      </c>
      <c r="BN25" s="1">
        <f t="shared" si="23"/>
        <v>0</v>
      </c>
      <c r="BO25" s="1">
        <f t="shared" si="23"/>
        <v>0</v>
      </c>
      <c r="BP25" s="1">
        <f t="shared" si="23"/>
        <v>0</v>
      </c>
      <c r="BQ25" s="1">
        <f t="shared" si="23"/>
        <v>0</v>
      </c>
      <c r="BR25" s="1">
        <f t="shared" si="23"/>
        <v>0</v>
      </c>
      <c r="BS25" s="1">
        <f t="shared" si="23"/>
        <v>0</v>
      </c>
      <c r="BT25" s="1">
        <f t="shared" si="23"/>
        <v>0</v>
      </c>
      <c r="BU25" s="1">
        <f t="shared" si="23"/>
        <v>0</v>
      </c>
      <c r="BV25" s="1">
        <f t="shared" si="23"/>
        <v>0</v>
      </c>
      <c r="BW25" s="1">
        <f t="shared" si="23"/>
        <v>0</v>
      </c>
      <c r="BX25" s="1">
        <f t="shared" si="23"/>
        <v>0</v>
      </c>
      <c r="BY25" s="1">
        <f t="shared" si="23"/>
        <v>0</v>
      </c>
      <c r="BZ25" s="1">
        <f t="shared" si="23"/>
        <v>0</v>
      </c>
      <c r="CA25" s="1">
        <f t="shared" si="23"/>
        <v>0</v>
      </c>
      <c r="CB25" s="1">
        <f t="shared" si="23"/>
        <v>0</v>
      </c>
      <c r="CC25" s="1">
        <f t="shared" si="23"/>
        <v>0</v>
      </c>
      <c r="CD25" s="1">
        <f t="shared" si="23"/>
        <v>0</v>
      </c>
      <c r="CE25" s="1">
        <f t="shared" si="23"/>
        <v>0</v>
      </c>
      <c r="CF25" s="1">
        <f t="shared" si="23"/>
        <v>0</v>
      </c>
      <c r="CG25" s="1">
        <f t="shared" si="23"/>
        <v>0</v>
      </c>
      <c r="CH25" s="1">
        <f t="shared" si="23"/>
        <v>0</v>
      </c>
      <c r="CI25" s="1">
        <f t="shared" si="23"/>
        <v>0</v>
      </c>
      <c r="CJ25" s="1">
        <f t="shared" si="23"/>
        <v>0</v>
      </c>
      <c r="CK25" s="1">
        <f t="shared" si="23"/>
        <v>0</v>
      </c>
      <c r="CL25" s="1">
        <f t="shared" si="23"/>
        <v>0</v>
      </c>
      <c r="CM25" s="1">
        <f t="shared" si="23"/>
        <v>0</v>
      </c>
      <c r="CN25" s="1">
        <f t="shared" si="23"/>
        <v>0</v>
      </c>
      <c r="CO25" s="1">
        <f t="shared" si="23"/>
        <v>0</v>
      </c>
      <c r="CP25" s="1">
        <f t="shared" si="23"/>
        <v>0</v>
      </c>
      <c r="CQ25" s="1">
        <f t="shared" si="23"/>
        <v>0</v>
      </c>
      <c r="CR25" s="1">
        <f t="shared" si="23"/>
        <v>0</v>
      </c>
      <c r="CS25" s="1">
        <f t="shared" si="23"/>
        <v>0</v>
      </c>
      <c r="CT25" s="1">
        <f t="shared" si="23"/>
        <v>0</v>
      </c>
      <c r="CU25" s="1">
        <f t="shared" si="23"/>
        <v>0</v>
      </c>
      <c r="CV25" s="1">
        <f t="shared" si="23"/>
        <v>0</v>
      </c>
      <c r="CW25" s="1">
        <f t="shared" si="22"/>
        <v>0</v>
      </c>
      <c r="CX25" s="1">
        <f t="shared" si="22"/>
        <v>0</v>
      </c>
      <c r="CY25" s="1">
        <f t="shared" si="22"/>
        <v>0</v>
      </c>
      <c r="CZ25" s="1">
        <f t="shared" si="22"/>
        <v>0</v>
      </c>
      <c r="DA25" s="1">
        <f t="shared" si="22"/>
        <v>0</v>
      </c>
      <c r="DB25" s="1">
        <f t="shared" si="22"/>
        <v>0</v>
      </c>
      <c r="DC25" s="1">
        <f t="shared" si="22"/>
        <v>0</v>
      </c>
      <c r="DD25" s="1">
        <f t="shared" si="22"/>
        <v>0</v>
      </c>
      <c r="DE25" s="1">
        <f t="shared" si="22"/>
        <v>0</v>
      </c>
      <c r="DF25" s="1">
        <f t="shared" si="22"/>
        <v>0</v>
      </c>
      <c r="DG25" s="1">
        <f t="shared" si="22"/>
        <v>0</v>
      </c>
      <c r="DK25" s="1">
        <f t="shared" si="11"/>
        <v>2047</v>
      </c>
      <c r="DL25" s="1">
        <f t="shared" ca="1" si="12"/>
        <v>67</v>
      </c>
      <c r="DM25" s="1">
        <f t="shared" ca="1" si="13"/>
        <v>72</v>
      </c>
      <c r="DN25" s="83" t="e">
        <f>IF(BF$32=0,NA(),BF$32)</f>
        <v>#N/A</v>
      </c>
      <c r="DO25" s="1" t="e">
        <f>IF(BF$33=0,NA(),BF$33)</f>
        <v>#N/A</v>
      </c>
      <c r="DP25" s="1" t="e">
        <f>IF(BF$34=0,NA(),BF$34)</f>
        <v>#N/A</v>
      </c>
      <c r="DQ25" s="1" t="e">
        <f>IF(BF$35=0,NA(),BF$35)</f>
        <v>#N/A</v>
      </c>
      <c r="DR25" s="1" t="e">
        <f>IF(BF$36=0,NA(),BF$36)</f>
        <v>#N/A</v>
      </c>
      <c r="DS25" s="1" t="e">
        <f>IF(BF$37=0,NA(),BF$37)</f>
        <v>#N/A</v>
      </c>
      <c r="DT25" s="1" t="e">
        <f>IF(BF$38=0,NA(),BF$38)</f>
        <v>#N/A</v>
      </c>
      <c r="DU25" s="1" t="e">
        <f>IF(BF$39=0,NA(),BF$39)</f>
        <v>#N/A</v>
      </c>
      <c r="DV25" s="1" t="e">
        <f>IF(BF$40=0,NA(),BF$40)</f>
        <v>#N/A</v>
      </c>
      <c r="DW25" s="1" t="e">
        <f>IF(BF$41=0,NA(),BF$41)</f>
        <v>#N/A</v>
      </c>
      <c r="DX25" s="1" t="e">
        <f>IF(BF$42=0,NA(),BF$42)</f>
        <v>#N/A</v>
      </c>
      <c r="DY25" s="1" t="e">
        <f>IF(BF$43=0,NA(),BF$43)</f>
        <v>#N/A</v>
      </c>
      <c r="DZ25" s="1" t="e">
        <f>IF(BF$44=0,NA(),BF$44)</f>
        <v>#N/A</v>
      </c>
      <c r="EA25" s="1" t="e">
        <f>IF(BF$45=0,NA(),BF$45)</f>
        <v>#N/A</v>
      </c>
      <c r="EB25" s="1" t="e">
        <f>IF(BF$46=0,NA(),BF$46)</f>
        <v>#N/A</v>
      </c>
      <c r="EC25" s="1" t="e">
        <f>IF(BF$47=0,NA(),BF$47)</f>
        <v>#N/A</v>
      </c>
      <c r="ED25" s="1" t="e">
        <f>IF(BF$48=0,NA(),BF$48)</f>
        <v>#N/A</v>
      </c>
      <c r="EE25" s="1" t="e">
        <f>IF(BF$49=0,NA(),BF$49)</f>
        <v>#N/A</v>
      </c>
      <c r="EF25" s="1" t="e">
        <f>IF(BF$50=0,NA(),BF$50)</f>
        <v>#N/A</v>
      </c>
      <c r="EG25" s="1" t="e">
        <f>IF(BF$51=0,NA(),BF$51)</f>
        <v>#N/A</v>
      </c>
      <c r="EH25" s="1" t="e">
        <f>IF(BF$52=0,NA(),BF$52)</f>
        <v>#N/A</v>
      </c>
      <c r="EI25" s="1" t="e">
        <f>IF(BF$53=0,NA(),BF$53)</f>
        <v>#N/A</v>
      </c>
      <c r="EJ25" s="1" t="e">
        <f>IF(BF$54=0,NA(),BF$54)</f>
        <v>#N/A</v>
      </c>
      <c r="EK25" s="1" t="e">
        <f>IF(BF$55=0,NA(),BF$55)</f>
        <v>#N/A</v>
      </c>
      <c r="EL25" s="1" t="e">
        <f>IF(BF$56=0,NA(),BF$56)</f>
        <v>#N/A</v>
      </c>
      <c r="EM25" s="1" t="e">
        <f>IF(BF$57=0,NA(),BF$57)</f>
        <v>#N/A</v>
      </c>
    </row>
    <row r="26" spans="1:143" ht="15" customHeight="1" x14ac:dyDescent="0.3">
      <c r="A26" s="584"/>
      <c r="B26" s="600"/>
      <c r="C26" s="596"/>
      <c r="D26" s="590"/>
      <c r="E26" s="590"/>
      <c r="F26" s="590"/>
      <c r="G26" s="597"/>
      <c r="H26" s="587"/>
      <c r="I26" s="588">
        <f>IF(H26&lt;&gt;0,(C26*(1+G26)^(E26-'Yearly Budget'!$B$2)),0)</f>
        <v>0</v>
      </c>
      <c r="J26" s="598"/>
      <c r="K26" s="588">
        <f t="shared" si="8"/>
        <v>0</v>
      </c>
      <c r="L26" s="588">
        <f t="shared" si="9"/>
        <v>0</v>
      </c>
      <c r="M26" s="599"/>
      <c r="N26" s="589"/>
      <c r="O26" s="590"/>
      <c r="AH26" s="1">
        <f t="shared" si="4"/>
        <v>0</v>
      </c>
      <c r="AI26" s="1">
        <f t="shared" si="5"/>
        <v>0</v>
      </c>
      <c r="AJ26" s="1">
        <f t="shared" si="6"/>
        <v>0</v>
      </c>
      <c r="AK26" s="1">
        <f t="shared" si="23"/>
        <v>0</v>
      </c>
      <c r="AL26" s="1">
        <f t="shared" si="23"/>
        <v>0</v>
      </c>
      <c r="AM26" s="1">
        <f t="shared" si="23"/>
        <v>0</v>
      </c>
      <c r="AN26" s="1">
        <f t="shared" si="23"/>
        <v>0</v>
      </c>
      <c r="AO26" s="1">
        <f t="shared" si="23"/>
        <v>0</v>
      </c>
      <c r="AP26" s="1">
        <f t="shared" si="23"/>
        <v>0</v>
      </c>
      <c r="AQ26" s="1">
        <f t="shared" si="23"/>
        <v>0</v>
      </c>
      <c r="AR26" s="1">
        <f t="shared" si="23"/>
        <v>0</v>
      </c>
      <c r="AS26" s="1">
        <f t="shared" si="23"/>
        <v>0</v>
      </c>
      <c r="AT26" s="1">
        <f t="shared" si="23"/>
        <v>0</v>
      </c>
      <c r="AU26" s="1">
        <f t="shared" si="23"/>
        <v>0</v>
      </c>
      <c r="AV26" s="1">
        <f t="shared" si="23"/>
        <v>0</v>
      </c>
      <c r="AW26" s="1">
        <f t="shared" si="23"/>
        <v>0</v>
      </c>
      <c r="AX26" s="1">
        <f t="shared" si="23"/>
        <v>0</v>
      </c>
      <c r="AY26" s="1">
        <f t="shared" si="23"/>
        <v>0</v>
      </c>
      <c r="AZ26" s="1">
        <f t="shared" si="23"/>
        <v>0</v>
      </c>
      <c r="BA26" s="1">
        <f t="shared" si="23"/>
        <v>0</v>
      </c>
      <c r="BB26" s="1">
        <f t="shared" si="23"/>
        <v>0</v>
      </c>
      <c r="BC26" s="1">
        <f t="shared" si="23"/>
        <v>0</v>
      </c>
      <c r="BD26" s="1">
        <f t="shared" si="23"/>
        <v>0</v>
      </c>
      <c r="BE26" s="1">
        <f t="shared" si="23"/>
        <v>0</v>
      </c>
      <c r="BF26" s="1">
        <f t="shared" si="23"/>
        <v>0</v>
      </c>
      <c r="BG26" s="1">
        <f t="shared" si="23"/>
        <v>0</v>
      </c>
      <c r="BH26" s="1">
        <f t="shared" si="23"/>
        <v>0</v>
      </c>
      <c r="BI26" s="1">
        <f t="shared" si="23"/>
        <v>0</v>
      </c>
      <c r="BJ26" s="1">
        <f t="shared" si="23"/>
        <v>0</v>
      </c>
      <c r="BK26" s="1">
        <f t="shared" si="23"/>
        <v>0</v>
      </c>
      <c r="BL26" s="1">
        <f t="shared" si="23"/>
        <v>0</v>
      </c>
      <c r="BM26" s="1">
        <f t="shared" si="23"/>
        <v>0</v>
      </c>
      <c r="BN26" s="1">
        <f t="shared" si="23"/>
        <v>0</v>
      </c>
      <c r="BO26" s="1">
        <f t="shared" si="23"/>
        <v>0</v>
      </c>
      <c r="BP26" s="1">
        <f t="shared" si="23"/>
        <v>0</v>
      </c>
      <c r="BQ26" s="1">
        <f t="shared" si="23"/>
        <v>0</v>
      </c>
      <c r="BR26" s="1">
        <f t="shared" si="23"/>
        <v>0</v>
      </c>
      <c r="BS26" s="1">
        <f t="shared" si="23"/>
        <v>0</v>
      </c>
      <c r="BT26" s="1">
        <f t="shared" si="23"/>
        <v>0</v>
      </c>
      <c r="BU26" s="1">
        <f t="shared" si="23"/>
        <v>0</v>
      </c>
      <c r="BV26" s="1">
        <f t="shared" si="23"/>
        <v>0</v>
      </c>
      <c r="BW26" s="1">
        <f t="shared" si="23"/>
        <v>0</v>
      </c>
      <c r="BX26" s="1">
        <f t="shared" si="23"/>
        <v>0</v>
      </c>
      <c r="BY26" s="1">
        <f t="shared" si="23"/>
        <v>0</v>
      </c>
      <c r="BZ26" s="1">
        <f t="shared" si="23"/>
        <v>0</v>
      </c>
      <c r="CA26" s="1">
        <f t="shared" si="23"/>
        <v>0</v>
      </c>
      <c r="CB26" s="1">
        <f t="shared" si="23"/>
        <v>0</v>
      </c>
      <c r="CC26" s="1">
        <f t="shared" si="23"/>
        <v>0</v>
      </c>
      <c r="CD26" s="1">
        <f t="shared" si="23"/>
        <v>0</v>
      </c>
      <c r="CE26" s="1">
        <f t="shared" si="23"/>
        <v>0</v>
      </c>
      <c r="CF26" s="1">
        <f t="shared" si="23"/>
        <v>0</v>
      </c>
      <c r="CG26" s="1">
        <f t="shared" si="23"/>
        <v>0</v>
      </c>
      <c r="CH26" s="1">
        <f t="shared" si="23"/>
        <v>0</v>
      </c>
      <c r="CI26" s="1">
        <f t="shared" si="23"/>
        <v>0</v>
      </c>
      <c r="CJ26" s="1">
        <f t="shared" si="23"/>
        <v>0</v>
      </c>
      <c r="CK26" s="1">
        <f t="shared" si="23"/>
        <v>0</v>
      </c>
      <c r="CL26" s="1">
        <f t="shared" si="23"/>
        <v>0</v>
      </c>
      <c r="CM26" s="1">
        <f t="shared" si="23"/>
        <v>0</v>
      </c>
      <c r="CN26" s="1">
        <f t="shared" si="23"/>
        <v>0</v>
      </c>
      <c r="CO26" s="1">
        <f t="shared" si="23"/>
        <v>0</v>
      </c>
      <c r="CP26" s="1">
        <f t="shared" si="23"/>
        <v>0</v>
      </c>
      <c r="CQ26" s="1">
        <f t="shared" si="23"/>
        <v>0</v>
      </c>
      <c r="CR26" s="1">
        <f t="shared" si="23"/>
        <v>0</v>
      </c>
      <c r="CS26" s="1">
        <f t="shared" si="23"/>
        <v>0</v>
      </c>
      <c r="CT26" s="1">
        <f t="shared" si="23"/>
        <v>0</v>
      </c>
      <c r="CU26" s="1">
        <f t="shared" si="23"/>
        <v>0</v>
      </c>
      <c r="CV26" s="1">
        <f t="shared" si="23"/>
        <v>0</v>
      </c>
      <c r="CW26" s="1">
        <f t="shared" si="22"/>
        <v>0</v>
      </c>
      <c r="CX26" s="1">
        <f t="shared" si="22"/>
        <v>0</v>
      </c>
      <c r="CY26" s="1">
        <f t="shared" si="22"/>
        <v>0</v>
      </c>
      <c r="CZ26" s="1">
        <f t="shared" si="22"/>
        <v>0</v>
      </c>
      <c r="DA26" s="1">
        <f t="shared" si="22"/>
        <v>0</v>
      </c>
      <c r="DB26" s="1">
        <f t="shared" si="22"/>
        <v>0</v>
      </c>
      <c r="DC26" s="1">
        <f t="shared" si="22"/>
        <v>0</v>
      </c>
      <c r="DD26" s="1">
        <f t="shared" si="22"/>
        <v>0</v>
      </c>
      <c r="DE26" s="1">
        <f t="shared" si="22"/>
        <v>0</v>
      </c>
      <c r="DF26" s="1">
        <f t="shared" si="22"/>
        <v>0</v>
      </c>
      <c r="DG26" s="1">
        <f t="shared" si="22"/>
        <v>0</v>
      </c>
      <c r="DK26" s="1">
        <f t="shared" si="11"/>
        <v>2048</v>
      </c>
      <c r="DL26" s="1">
        <f t="shared" ca="1" si="12"/>
        <v>68</v>
      </c>
      <c r="DM26" s="1">
        <f t="shared" ca="1" si="13"/>
        <v>73</v>
      </c>
      <c r="DN26" s="83" t="e">
        <f>IF(BG$32=0,NA(),BG$32)</f>
        <v>#N/A</v>
      </c>
      <c r="DO26" s="1" t="e">
        <f>IF(BG$33=0,NA(),BG$33)</f>
        <v>#N/A</v>
      </c>
      <c r="DP26" s="1" t="e">
        <f>IF(BG$34=0,NA(),BG$34)</f>
        <v>#N/A</v>
      </c>
      <c r="DQ26" s="1" t="e">
        <f>IF(BG$35=0,NA(),BG$35)</f>
        <v>#N/A</v>
      </c>
      <c r="DR26" s="1" t="e">
        <f>IF(BG$36=0,NA(),BG$36)</f>
        <v>#N/A</v>
      </c>
      <c r="DS26" s="1" t="e">
        <f>IF(BG$37=0,NA(),BG$37)</f>
        <v>#N/A</v>
      </c>
      <c r="DT26" s="1" t="e">
        <f>IF(BG$38=0,NA(),BG$38)</f>
        <v>#N/A</v>
      </c>
      <c r="DU26" s="1" t="e">
        <f>IF(BG$39=0,NA(),BG$39)</f>
        <v>#N/A</v>
      </c>
      <c r="DV26" s="1" t="e">
        <f>IF(BG$40=0,NA(),BG$40)</f>
        <v>#N/A</v>
      </c>
      <c r="DW26" s="1" t="e">
        <f>IF(BG$41=0,NA(),BG$41)</f>
        <v>#N/A</v>
      </c>
      <c r="DX26" s="1" t="e">
        <f>IF(BG$42=0,NA(),BG$42)</f>
        <v>#N/A</v>
      </c>
      <c r="DY26" s="1" t="e">
        <f>IF(BG$43=0,NA(),BG$43)</f>
        <v>#N/A</v>
      </c>
      <c r="DZ26" s="1" t="e">
        <f>IF(BG$44=0,NA(),BG$44)</f>
        <v>#N/A</v>
      </c>
      <c r="EA26" s="1" t="e">
        <f>IF(BG$45=0,NA(),BG$45)</f>
        <v>#N/A</v>
      </c>
      <c r="EB26" s="1" t="e">
        <f>IF(BG$46=0,NA(),BG$46)</f>
        <v>#N/A</v>
      </c>
      <c r="EC26" s="1" t="e">
        <f>IF(BG$47=0,NA(),BG$47)</f>
        <v>#N/A</v>
      </c>
      <c r="ED26" s="1" t="e">
        <f>IF(BG$48=0,NA(),BG$48)</f>
        <v>#N/A</v>
      </c>
      <c r="EE26" s="1" t="e">
        <f>IF(BG$49=0,NA(),BG$49)</f>
        <v>#N/A</v>
      </c>
      <c r="EF26" s="1" t="e">
        <f>IF(BG$50=0,NA(),BG$50)</f>
        <v>#N/A</v>
      </c>
      <c r="EG26" s="1" t="e">
        <f>IF(BG$51=0,NA(),BG$51)</f>
        <v>#N/A</v>
      </c>
      <c r="EH26" s="1" t="e">
        <f>IF(BG$52=0,NA(),BG$52)</f>
        <v>#N/A</v>
      </c>
      <c r="EI26" s="1" t="e">
        <f>IF(BG$53=0,NA(),BG$53)</f>
        <v>#N/A</v>
      </c>
      <c r="EJ26" s="1" t="e">
        <f>IF(BG$54=0,NA(),BG$54)</f>
        <v>#N/A</v>
      </c>
      <c r="EK26" s="1" t="e">
        <f>IF(BG$55=0,NA(),BG$55)</f>
        <v>#N/A</v>
      </c>
      <c r="EL26" s="1" t="e">
        <f>IF(BG$56=0,NA(),BG$56)</f>
        <v>#N/A</v>
      </c>
      <c r="EM26" s="1" t="e">
        <f>IF(BG$57=0,NA(),BG$57)</f>
        <v>#N/A</v>
      </c>
    </row>
    <row r="27" spans="1:143" ht="15" customHeight="1" x14ac:dyDescent="0.3">
      <c r="A27" s="584"/>
      <c r="B27" s="600"/>
      <c r="C27" s="596"/>
      <c r="D27" s="590"/>
      <c r="E27" s="590"/>
      <c r="F27" s="590"/>
      <c r="G27" s="597"/>
      <c r="H27" s="587"/>
      <c r="I27" s="588">
        <f>IF(H27&lt;&gt;0,(C27*(1+G27)^(E27-'Yearly Budget'!$B$2)),0)</f>
        <v>0</v>
      </c>
      <c r="J27" s="598"/>
      <c r="K27" s="588">
        <f t="shared" si="8"/>
        <v>0</v>
      </c>
      <c r="L27" s="588">
        <f t="shared" si="9"/>
        <v>0</v>
      </c>
      <c r="M27" s="599"/>
      <c r="N27" s="589"/>
      <c r="O27" s="590"/>
      <c r="AH27" s="1">
        <f t="shared" si="4"/>
        <v>0</v>
      </c>
      <c r="AI27" s="1">
        <f t="shared" si="5"/>
        <v>0</v>
      </c>
      <c r="AJ27" s="1">
        <f t="shared" si="6"/>
        <v>0</v>
      </c>
      <c r="AK27" s="1">
        <f t="shared" si="23"/>
        <v>0</v>
      </c>
      <c r="AL27" s="1">
        <f t="shared" si="23"/>
        <v>0</v>
      </c>
      <c r="AM27" s="1">
        <f t="shared" si="23"/>
        <v>0</v>
      </c>
      <c r="AN27" s="1">
        <f t="shared" si="23"/>
        <v>0</v>
      </c>
      <c r="AO27" s="1">
        <f t="shared" si="23"/>
        <v>0</v>
      </c>
      <c r="AP27" s="1">
        <f t="shared" si="23"/>
        <v>0</v>
      </c>
      <c r="AQ27" s="1">
        <f t="shared" si="23"/>
        <v>0</v>
      </c>
      <c r="AR27" s="1">
        <f t="shared" si="23"/>
        <v>0</v>
      </c>
      <c r="AS27" s="1">
        <f t="shared" si="23"/>
        <v>0</v>
      </c>
      <c r="AT27" s="1">
        <f t="shared" si="23"/>
        <v>0</v>
      </c>
      <c r="AU27" s="1">
        <f t="shared" si="23"/>
        <v>0</v>
      </c>
      <c r="AV27" s="1">
        <f t="shared" si="23"/>
        <v>0</v>
      </c>
      <c r="AW27" s="1">
        <f t="shared" si="23"/>
        <v>0</v>
      </c>
      <c r="AX27" s="1">
        <f t="shared" si="23"/>
        <v>0</v>
      </c>
      <c r="AY27" s="1">
        <f t="shared" si="23"/>
        <v>0</v>
      </c>
      <c r="AZ27" s="1">
        <f t="shared" si="23"/>
        <v>0</v>
      </c>
      <c r="BA27" s="1">
        <f t="shared" si="23"/>
        <v>0</v>
      </c>
      <c r="BB27" s="1">
        <f t="shared" si="23"/>
        <v>0</v>
      </c>
      <c r="BC27" s="1">
        <f t="shared" si="23"/>
        <v>0</v>
      </c>
      <c r="BD27" s="1">
        <f t="shared" si="23"/>
        <v>0</v>
      </c>
      <c r="BE27" s="1">
        <f t="shared" si="23"/>
        <v>0</v>
      </c>
      <c r="BF27" s="1">
        <f t="shared" si="23"/>
        <v>0</v>
      </c>
      <c r="BG27" s="1">
        <f t="shared" si="23"/>
        <v>0</v>
      </c>
      <c r="BH27" s="1">
        <f t="shared" si="23"/>
        <v>0</v>
      </c>
      <c r="BI27" s="1">
        <f t="shared" si="23"/>
        <v>0</v>
      </c>
      <c r="BJ27" s="1">
        <f t="shared" si="23"/>
        <v>0</v>
      </c>
      <c r="BK27" s="1">
        <f t="shared" si="23"/>
        <v>0</v>
      </c>
      <c r="BL27" s="1">
        <f t="shared" si="23"/>
        <v>0</v>
      </c>
      <c r="BM27" s="1">
        <f t="shared" si="23"/>
        <v>0</v>
      </c>
      <c r="BN27" s="1">
        <f t="shared" si="23"/>
        <v>0</v>
      </c>
      <c r="BO27" s="1">
        <f t="shared" si="23"/>
        <v>0</v>
      </c>
      <c r="BP27" s="1">
        <f t="shared" si="23"/>
        <v>0</v>
      </c>
      <c r="BQ27" s="1">
        <f t="shared" si="23"/>
        <v>0</v>
      </c>
      <c r="BR27" s="1">
        <f t="shared" si="23"/>
        <v>0</v>
      </c>
      <c r="BS27" s="1">
        <f t="shared" si="23"/>
        <v>0</v>
      </c>
      <c r="BT27" s="1">
        <f t="shared" si="23"/>
        <v>0</v>
      </c>
      <c r="BU27" s="1">
        <f t="shared" si="23"/>
        <v>0</v>
      </c>
      <c r="BV27" s="1">
        <f t="shared" si="23"/>
        <v>0</v>
      </c>
      <c r="BW27" s="1">
        <f t="shared" si="23"/>
        <v>0</v>
      </c>
      <c r="BX27" s="1">
        <f t="shared" si="23"/>
        <v>0</v>
      </c>
      <c r="BY27" s="1">
        <f t="shared" si="23"/>
        <v>0</v>
      </c>
      <c r="BZ27" s="1">
        <f t="shared" si="23"/>
        <v>0</v>
      </c>
      <c r="CA27" s="1">
        <f t="shared" si="23"/>
        <v>0</v>
      </c>
      <c r="CB27" s="1">
        <f t="shared" si="23"/>
        <v>0</v>
      </c>
      <c r="CC27" s="1">
        <f t="shared" si="23"/>
        <v>0</v>
      </c>
      <c r="CD27" s="1">
        <f t="shared" si="23"/>
        <v>0</v>
      </c>
      <c r="CE27" s="1">
        <f t="shared" si="23"/>
        <v>0</v>
      </c>
      <c r="CF27" s="1">
        <f t="shared" si="23"/>
        <v>0</v>
      </c>
      <c r="CG27" s="1">
        <f t="shared" si="23"/>
        <v>0</v>
      </c>
      <c r="CH27" s="1">
        <f t="shared" si="23"/>
        <v>0</v>
      </c>
      <c r="CI27" s="1">
        <f t="shared" si="23"/>
        <v>0</v>
      </c>
      <c r="CJ27" s="1">
        <f t="shared" si="23"/>
        <v>0</v>
      </c>
      <c r="CK27" s="1">
        <f t="shared" si="23"/>
        <v>0</v>
      </c>
      <c r="CL27" s="1">
        <f t="shared" si="23"/>
        <v>0</v>
      </c>
      <c r="CM27" s="1">
        <f t="shared" si="23"/>
        <v>0</v>
      </c>
      <c r="CN27" s="1">
        <f t="shared" si="23"/>
        <v>0</v>
      </c>
      <c r="CO27" s="1">
        <f t="shared" si="23"/>
        <v>0</v>
      </c>
      <c r="CP27" s="1">
        <f t="shared" si="23"/>
        <v>0</v>
      </c>
      <c r="CQ27" s="1">
        <f t="shared" si="23"/>
        <v>0</v>
      </c>
      <c r="CR27" s="1">
        <f t="shared" si="23"/>
        <v>0</v>
      </c>
      <c r="CS27" s="1">
        <f t="shared" si="23"/>
        <v>0</v>
      </c>
      <c r="CT27" s="1">
        <f t="shared" si="23"/>
        <v>0</v>
      </c>
      <c r="CU27" s="1">
        <f t="shared" si="23"/>
        <v>0</v>
      </c>
      <c r="CV27" s="1">
        <f t="shared" si="23"/>
        <v>0</v>
      </c>
      <c r="CW27" s="1">
        <f t="shared" si="22"/>
        <v>0</v>
      </c>
      <c r="CX27" s="1">
        <f t="shared" si="22"/>
        <v>0</v>
      </c>
      <c r="CY27" s="1">
        <f t="shared" si="22"/>
        <v>0</v>
      </c>
      <c r="CZ27" s="1">
        <f t="shared" si="22"/>
        <v>0</v>
      </c>
      <c r="DA27" s="1">
        <f t="shared" si="22"/>
        <v>0</v>
      </c>
      <c r="DB27" s="1">
        <f t="shared" si="22"/>
        <v>0</v>
      </c>
      <c r="DC27" s="1">
        <f t="shared" si="22"/>
        <v>0</v>
      </c>
      <c r="DD27" s="1">
        <f t="shared" si="22"/>
        <v>0</v>
      </c>
      <c r="DE27" s="1">
        <f t="shared" si="22"/>
        <v>0</v>
      </c>
      <c r="DF27" s="1">
        <f t="shared" si="22"/>
        <v>0</v>
      </c>
      <c r="DG27" s="1">
        <f t="shared" si="22"/>
        <v>0</v>
      </c>
      <c r="DK27" s="1">
        <f t="shared" si="11"/>
        <v>2049</v>
      </c>
      <c r="DL27" s="1">
        <f t="shared" ca="1" si="12"/>
        <v>69</v>
      </c>
      <c r="DM27" s="1">
        <f t="shared" ca="1" si="13"/>
        <v>74</v>
      </c>
      <c r="DN27" s="83" t="e">
        <f>IF(BH$32=0,NA(),BH$32)</f>
        <v>#N/A</v>
      </c>
      <c r="DO27" s="1" t="e">
        <f>IF(BH$33=0,NA(),BH$33)</f>
        <v>#N/A</v>
      </c>
      <c r="DP27" s="1" t="e">
        <f>IF(BH$34=0,NA(),BH$34)</f>
        <v>#N/A</v>
      </c>
      <c r="DQ27" s="1" t="e">
        <f>IF(BH$35=0,NA(),BH$35)</f>
        <v>#N/A</v>
      </c>
      <c r="DR27" s="1" t="e">
        <f>IF(BH$36=0,NA(),BH$36)</f>
        <v>#N/A</v>
      </c>
      <c r="DS27" s="1" t="e">
        <f>IF(BH$37=0,NA(),BH$37)</f>
        <v>#N/A</v>
      </c>
      <c r="DT27" s="1" t="e">
        <f>IF(BH$38=0,NA(),BH$38)</f>
        <v>#N/A</v>
      </c>
      <c r="DU27" s="1" t="e">
        <f>IF(BH$39=0,NA(),BH$39)</f>
        <v>#N/A</v>
      </c>
      <c r="DV27" s="1" t="e">
        <f>IF(BH$40=0,NA(),BH$40)</f>
        <v>#N/A</v>
      </c>
      <c r="DW27" s="1" t="e">
        <f>IF(BH$41=0,NA(),BH$41)</f>
        <v>#N/A</v>
      </c>
      <c r="DX27" s="1" t="e">
        <f>IF(BH$42=0,NA(),BH$42)</f>
        <v>#N/A</v>
      </c>
      <c r="DY27" s="1" t="e">
        <f>IF(BH$43=0,NA(),BH$43)</f>
        <v>#N/A</v>
      </c>
      <c r="DZ27" s="1" t="e">
        <f>IF(BH$44=0,NA(),BH$44)</f>
        <v>#N/A</v>
      </c>
      <c r="EA27" s="1" t="e">
        <f>IF(BH$45=0,NA(),BH$45)</f>
        <v>#N/A</v>
      </c>
      <c r="EB27" s="1" t="e">
        <f>IF(BH$46=0,NA(),BH$46)</f>
        <v>#N/A</v>
      </c>
      <c r="EC27" s="1" t="e">
        <f>IF(BH$47=0,NA(),BH$47)</f>
        <v>#N/A</v>
      </c>
      <c r="ED27" s="1" t="e">
        <f>IF(BH$48=0,NA(),BH$48)</f>
        <v>#N/A</v>
      </c>
      <c r="EE27" s="1" t="e">
        <f>IF(BH$49=0,NA(),BH$49)</f>
        <v>#N/A</v>
      </c>
      <c r="EF27" s="1" t="e">
        <f>IF(BH$50=0,NA(),BH$50)</f>
        <v>#N/A</v>
      </c>
      <c r="EG27" s="1" t="e">
        <f>IF(BH$51=0,NA(),BH$51)</f>
        <v>#N/A</v>
      </c>
      <c r="EH27" s="1" t="e">
        <f>IF(BH$52=0,NA(),BH$52)</f>
        <v>#N/A</v>
      </c>
      <c r="EI27" s="1" t="e">
        <f>IF(BH$53=0,NA(),BH$53)</f>
        <v>#N/A</v>
      </c>
      <c r="EJ27" s="1" t="e">
        <f>IF(BH$54=0,NA(),BH$54)</f>
        <v>#N/A</v>
      </c>
      <c r="EK27" s="1" t="e">
        <f>IF(BH$55=0,NA(),BH$55)</f>
        <v>#N/A</v>
      </c>
      <c r="EL27" s="1" t="e">
        <f>IF(BH$56=0,NA(),BH$56)</f>
        <v>#N/A</v>
      </c>
      <c r="EM27" s="1" t="e">
        <f>IF(BH$57=0,NA(),BH$57)</f>
        <v>#N/A</v>
      </c>
    </row>
    <row r="28" spans="1:143" ht="15" customHeight="1" x14ac:dyDescent="0.3">
      <c r="A28" s="584"/>
      <c r="B28" s="600"/>
      <c r="C28" s="596"/>
      <c r="D28" s="590"/>
      <c r="E28" s="590"/>
      <c r="F28" s="590"/>
      <c r="G28" s="597"/>
      <c r="H28" s="587"/>
      <c r="I28" s="588">
        <f>IF(H28&lt;&gt;0,(C28*(1+G28)^(E28-'Yearly Budget'!$B$2)),0)</f>
        <v>0</v>
      </c>
      <c r="J28" s="598"/>
      <c r="K28" s="588">
        <f t="shared" si="8"/>
        <v>0</v>
      </c>
      <c r="L28" s="588">
        <f t="shared" si="9"/>
        <v>0</v>
      </c>
      <c r="M28" s="599"/>
      <c r="N28" s="589"/>
      <c r="O28" s="590"/>
      <c r="AH28" s="1">
        <f t="shared" si="4"/>
        <v>0</v>
      </c>
      <c r="AI28" s="1">
        <f t="shared" si="5"/>
        <v>0</v>
      </c>
      <c r="AJ28" s="1">
        <f t="shared" si="6"/>
        <v>0</v>
      </c>
      <c r="AK28" s="1">
        <f t="shared" si="23"/>
        <v>0</v>
      </c>
      <c r="AL28" s="1">
        <f t="shared" si="23"/>
        <v>0</v>
      </c>
      <c r="AM28" s="1">
        <f t="shared" si="23"/>
        <v>0</v>
      </c>
      <c r="AN28" s="1">
        <f t="shared" si="23"/>
        <v>0</v>
      </c>
      <c r="AO28" s="1">
        <f t="shared" si="23"/>
        <v>0</v>
      </c>
      <c r="AP28" s="1">
        <f t="shared" si="23"/>
        <v>0</v>
      </c>
      <c r="AQ28" s="1">
        <f t="shared" si="23"/>
        <v>0</v>
      </c>
      <c r="AR28" s="1">
        <f t="shared" si="23"/>
        <v>0</v>
      </c>
      <c r="AS28" s="1">
        <f t="shared" si="23"/>
        <v>0</v>
      </c>
      <c r="AT28" s="1">
        <f t="shared" si="23"/>
        <v>0</v>
      </c>
      <c r="AU28" s="1">
        <f t="shared" si="23"/>
        <v>0</v>
      </c>
      <c r="AV28" s="1">
        <f t="shared" si="23"/>
        <v>0</v>
      </c>
      <c r="AW28" s="1">
        <f t="shared" si="23"/>
        <v>0</v>
      </c>
      <c r="AX28" s="1">
        <f t="shared" si="23"/>
        <v>0</v>
      </c>
      <c r="AY28" s="1">
        <f t="shared" si="23"/>
        <v>0</v>
      </c>
      <c r="AZ28" s="1">
        <f t="shared" si="23"/>
        <v>0</v>
      </c>
      <c r="BA28" s="1">
        <f t="shared" si="23"/>
        <v>0</v>
      </c>
      <c r="BB28" s="1">
        <f t="shared" si="23"/>
        <v>0</v>
      </c>
      <c r="BC28" s="1">
        <f t="shared" si="23"/>
        <v>0</v>
      </c>
      <c r="BD28" s="1">
        <f t="shared" si="23"/>
        <v>0</v>
      </c>
      <c r="BE28" s="1">
        <f t="shared" si="23"/>
        <v>0</v>
      </c>
      <c r="BF28" s="1">
        <f t="shared" si="23"/>
        <v>0</v>
      </c>
      <c r="BG28" s="1">
        <f t="shared" si="23"/>
        <v>0</v>
      </c>
      <c r="BH28" s="1">
        <f t="shared" si="23"/>
        <v>0</v>
      </c>
      <c r="BI28" s="1">
        <f t="shared" si="23"/>
        <v>0</v>
      </c>
      <c r="BJ28" s="1">
        <f t="shared" si="23"/>
        <v>0</v>
      </c>
      <c r="BK28" s="1">
        <f t="shared" si="23"/>
        <v>0</v>
      </c>
      <c r="BL28" s="1">
        <f t="shared" si="23"/>
        <v>0</v>
      </c>
      <c r="BM28" s="1">
        <f t="shared" si="23"/>
        <v>0</v>
      </c>
      <c r="BN28" s="1">
        <f t="shared" si="23"/>
        <v>0</v>
      </c>
      <c r="BO28" s="1">
        <f t="shared" si="23"/>
        <v>0</v>
      </c>
      <c r="BP28" s="1">
        <f t="shared" si="23"/>
        <v>0</v>
      </c>
      <c r="BQ28" s="1">
        <f t="shared" si="23"/>
        <v>0</v>
      </c>
      <c r="BR28" s="1">
        <f t="shared" si="23"/>
        <v>0</v>
      </c>
      <c r="BS28" s="1">
        <f t="shared" si="23"/>
        <v>0</v>
      </c>
      <c r="BT28" s="1">
        <f t="shared" si="23"/>
        <v>0</v>
      </c>
      <c r="BU28" s="1">
        <f t="shared" si="23"/>
        <v>0</v>
      </c>
      <c r="BV28" s="1">
        <f t="shared" si="23"/>
        <v>0</v>
      </c>
      <c r="BW28" s="1">
        <f t="shared" si="23"/>
        <v>0</v>
      </c>
      <c r="BX28" s="1">
        <f t="shared" si="23"/>
        <v>0</v>
      </c>
      <c r="BY28" s="1">
        <f t="shared" si="23"/>
        <v>0</v>
      </c>
      <c r="BZ28" s="1">
        <f t="shared" si="23"/>
        <v>0</v>
      </c>
      <c r="CA28" s="1">
        <f t="shared" si="23"/>
        <v>0</v>
      </c>
      <c r="CB28" s="1">
        <f t="shared" si="23"/>
        <v>0</v>
      </c>
      <c r="CC28" s="1">
        <f t="shared" si="23"/>
        <v>0</v>
      </c>
      <c r="CD28" s="1">
        <f t="shared" si="23"/>
        <v>0</v>
      </c>
      <c r="CE28" s="1">
        <f t="shared" si="23"/>
        <v>0</v>
      </c>
      <c r="CF28" s="1">
        <f t="shared" si="23"/>
        <v>0</v>
      </c>
      <c r="CG28" s="1">
        <f t="shared" si="23"/>
        <v>0</v>
      </c>
      <c r="CH28" s="1">
        <f t="shared" si="23"/>
        <v>0</v>
      </c>
      <c r="CI28" s="1">
        <f t="shared" si="23"/>
        <v>0</v>
      </c>
      <c r="CJ28" s="1">
        <f t="shared" si="23"/>
        <v>0</v>
      </c>
      <c r="CK28" s="1">
        <f t="shared" si="23"/>
        <v>0</v>
      </c>
      <c r="CL28" s="1">
        <f t="shared" si="23"/>
        <v>0</v>
      </c>
      <c r="CM28" s="1">
        <f t="shared" si="23"/>
        <v>0</v>
      </c>
      <c r="CN28" s="1">
        <f t="shared" si="23"/>
        <v>0</v>
      </c>
      <c r="CO28" s="1">
        <f t="shared" si="23"/>
        <v>0</v>
      </c>
      <c r="CP28" s="1">
        <f t="shared" si="23"/>
        <v>0</v>
      </c>
      <c r="CQ28" s="1">
        <f t="shared" si="23"/>
        <v>0</v>
      </c>
      <c r="CR28" s="1">
        <f t="shared" si="23"/>
        <v>0</v>
      </c>
      <c r="CS28" s="1">
        <f t="shared" si="23"/>
        <v>0</v>
      </c>
      <c r="CT28" s="1">
        <f t="shared" si="23"/>
        <v>0</v>
      </c>
      <c r="CU28" s="1">
        <f t="shared" si="23"/>
        <v>0</v>
      </c>
      <c r="CV28" s="1">
        <f t="shared" ref="CV28:DG28" si="24">IFERROR(IF($D28="Recurring",IF(AND($E28&lt;=CV$2,CV$2&lt;=$AI28),$C28,0),IF($J28=0,_xlfn.XLOOKUP(CV$2,$E28,$C28),_xlfn.XLOOKUP(CV$2,$E28,$C28*$J28))),0)</f>
        <v>0</v>
      </c>
      <c r="CW28" s="1">
        <f t="shared" si="24"/>
        <v>0</v>
      </c>
      <c r="CX28" s="1">
        <f t="shared" si="24"/>
        <v>0</v>
      </c>
      <c r="CY28" s="1">
        <f t="shared" si="24"/>
        <v>0</v>
      </c>
      <c r="CZ28" s="1">
        <f t="shared" si="24"/>
        <v>0</v>
      </c>
      <c r="DA28" s="1">
        <f t="shared" si="24"/>
        <v>0</v>
      </c>
      <c r="DB28" s="1">
        <f t="shared" si="24"/>
        <v>0</v>
      </c>
      <c r="DC28" s="1">
        <f t="shared" si="24"/>
        <v>0</v>
      </c>
      <c r="DD28" s="1">
        <f t="shared" si="24"/>
        <v>0</v>
      </c>
      <c r="DE28" s="1">
        <f t="shared" si="24"/>
        <v>0</v>
      </c>
      <c r="DF28" s="1">
        <f t="shared" si="24"/>
        <v>0</v>
      </c>
      <c r="DG28" s="1">
        <f t="shared" si="24"/>
        <v>0</v>
      </c>
      <c r="DK28" s="1">
        <f t="shared" si="11"/>
        <v>2050</v>
      </c>
      <c r="DL28" s="1">
        <f t="shared" ca="1" si="12"/>
        <v>70</v>
      </c>
      <c r="DM28" s="1">
        <f t="shared" ca="1" si="13"/>
        <v>75</v>
      </c>
      <c r="DN28" s="83" t="e">
        <f>IF(BI$32=0,NA(),BI$32)</f>
        <v>#N/A</v>
      </c>
      <c r="DO28" s="1" t="e">
        <f>IF(BI$33=0,NA(),BI$33)</f>
        <v>#N/A</v>
      </c>
      <c r="DP28" s="1" t="e">
        <f>IF(BI$34=0,NA(),BI$34)</f>
        <v>#N/A</v>
      </c>
      <c r="DQ28" s="1" t="e">
        <f>IF(BI$35=0,NA(),BI$35)</f>
        <v>#N/A</v>
      </c>
      <c r="DR28" s="1" t="e">
        <f>IF(BI$36=0,NA(),BI$36)</f>
        <v>#N/A</v>
      </c>
      <c r="DS28" s="1" t="e">
        <f>IF(BI$37=0,NA(),BI$37)</f>
        <v>#N/A</v>
      </c>
      <c r="DT28" s="1" t="e">
        <f>IF(BI$38=0,NA(),BI$38)</f>
        <v>#N/A</v>
      </c>
      <c r="DU28" s="1" t="e">
        <f>IF(BI$39=0,NA(),BI$39)</f>
        <v>#N/A</v>
      </c>
      <c r="DV28" s="1" t="e">
        <f>IF(BI$40=0,NA(),BI$40)</f>
        <v>#N/A</v>
      </c>
      <c r="DW28" s="1" t="e">
        <f>IF(BI$41=0,NA(),BI$41)</f>
        <v>#N/A</v>
      </c>
      <c r="DX28" s="1" t="e">
        <f>IF(BI$42=0,NA(),BI$42)</f>
        <v>#N/A</v>
      </c>
      <c r="DY28" s="1" t="e">
        <f>IF(BI$43=0,NA(),BI$43)</f>
        <v>#N/A</v>
      </c>
      <c r="DZ28" s="1" t="e">
        <f>IF(BI$44=0,NA(),BI$44)</f>
        <v>#N/A</v>
      </c>
      <c r="EA28" s="1" t="e">
        <f>IF(BI$45=0,NA(),BI$45)</f>
        <v>#N/A</v>
      </c>
      <c r="EB28" s="1" t="e">
        <f>IF(BI$46=0,NA(),BI$46)</f>
        <v>#N/A</v>
      </c>
      <c r="EC28" s="1" t="e">
        <f>IF(BI$47=0,NA(),BI$47)</f>
        <v>#N/A</v>
      </c>
      <c r="ED28" s="1" t="e">
        <f>IF(BI$48=0,NA(),BI$48)</f>
        <v>#N/A</v>
      </c>
      <c r="EE28" s="1" t="e">
        <f>IF(BI$49=0,NA(),BI$49)</f>
        <v>#N/A</v>
      </c>
      <c r="EF28" s="1" t="e">
        <f>IF(BI$50=0,NA(),BI$50)</f>
        <v>#N/A</v>
      </c>
      <c r="EG28" s="1" t="e">
        <f>IF(BI$51=0,NA(),BI$51)</f>
        <v>#N/A</v>
      </c>
      <c r="EH28" s="1" t="e">
        <f>IF(BI$52=0,NA(),BI$52)</f>
        <v>#N/A</v>
      </c>
      <c r="EI28" s="1" t="e">
        <f>IF(BI$53=0,NA(),BI$53)</f>
        <v>#N/A</v>
      </c>
      <c r="EJ28" s="1" t="e">
        <f>IF(BI$54=0,NA(),BI$54)</f>
        <v>#N/A</v>
      </c>
      <c r="EK28" s="1" t="e">
        <f>IF(BI$55=0,NA(),BI$55)</f>
        <v>#N/A</v>
      </c>
      <c r="EL28" s="1" t="e">
        <f>IF(BI$56=0,NA(),BI$56)</f>
        <v>#N/A</v>
      </c>
      <c r="EM28" s="1" t="e">
        <f>IF(BI$57=0,NA(),BI$57)</f>
        <v>#N/A</v>
      </c>
    </row>
    <row r="29" spans="1:143" ht="15" customHeight="1" x14ac:dyDescent="0.3">
      <c r="A29" s="601"/>
      <c r="B29" s="601"/>
      <c r="C29" s="601"/>
      <c r="D29" s="601"/>
      <c r="E29" s="601"/>
      <c r="F29" s="601"/>
      <c r="G29" s="601"/>
      <c r="H29" s="601"/>
      <c r="I29" s="601"/>
      <c r="J29" s="601"/>
      <c r="K29" s="601"/>
      <c r="L29" s="601"/>
      <c r="M29" s="601"/>
      <c r="N29" s="601"/>
      <c r="O29" s="601"/>
      <c r="AJ29" s="162">
        <f>SUM(AJ3:AJ28)</f>
        <v>0</v>
      </c>
      <c r="AK29" s="162">
        <f t="shared" ref="AK29:CV29" si="25">SUM(AK3:AK28)</f>
        <v>0</v>
      </c>
      <c r="AL29" s="162">
        <f t="shared" si="25"/>
        <v>0</v>
      </c>
      <c r="AM29" s="162">
        <f t="shared" si="25"/>
        <v>0</v>
      </c>
      <c r="AN29" s="162">
        <f t="shared" si="25"/>
        <v>3000000</v>
      </c>
      <c r="AO29" s="162">
        <f t="shared" si="25"/>
        <v>13000000</v>
      </c>
      <c r="AP29" s="162">
        <f t="shared" si="25"/>
        <v>3000000</v>
      </c>
      <c r="AQ29" s="162">
        <f t="shared" si="25"/>
        <v>3000000</v>
      </c>
      <c r="AR29" s="162">
        <f t="shared" si="25"/>
        <v>0</v>
      </c>
      <c r="AS29" s="162">
        <f t="shared" si="25"/>
        <v>0</v>
      </c>
      <c r="AT29" s="162">
        <f t="shared" si="25"/>
        <v>2000000</v>
      </c>
      <c r="AU29" s="162">
        <f t="shared" si="25"/>
        <v>500000</v>
      </c>
      <c r="AV29" s="162">
        <f t="shared" si="25"/>
        <v>0</v>
      </c>
      <c r="AW29" s="162">
        <f t="shared" si="25"/>
        <v>0</v>
      </c>
      <c r="AX29" s="162">
        <f t="shared" si="25"/>
        <v>0</v>
      </c>
      <c r="AY29" s="162">
        <f t="shared" si="25"/>
        <v>0</v>
      </c>
      <c r="AZ29" s="162">
        <f t="shared" si="25"/>
        <v>0</v>
      </c>
      <c r="BA29" s="162">
        <f t="shared" si="25"/>
        <v>0</v>
      </c>
      <c r="BB29" s="162">
        <f t="shared" si="25"/>
        <v>0</v>
      </c>
      <c r="BC29" s="162">
        <f t="shared" si="25"/>
        <v>0</v>
      </c>
      <c r="BD29" s="162">
        <f t="shared" si="25"/>
        <v>0</v>
      </c>
      <c r="BE29" s="162">
        <f t="shared" si="25"/>
        <v>0</v>
      </c>
      <c r="BF29" s="162">
        <f t="shared" si="25"/>
        <v>0</v>
      </c>
      <c r="BG29" s="162">
        <f t="shared" si="25"/>
        <v>0</v>
      </c>
      <c r="BH29" s="162">
        <f t="shared" si="25"/>
        <v>0</v>
      </c>
      <c r="BI29" s="162">
        <f t="shared" si="25"/>
        <v>0</v>
      </c>
      <c r="BJ29" s="162">
        <f t="shared" si="25"/>
        <v>0</v>
      </c>
      <c r="BK29" s="162">
        <f t="shared" si="25"/>
        <v>0</v>
      </c>
      <c r="BL29" s="162">
        <f t="shared" si="25"/>
        <v>0</v>
      </c>
      <c r="BM29" s="162">
        <f t="shared" si="25"/>
        <v>0</v>
      </c>
      <c r="BN29" s="162">
        <f t="shared" si="25"/>
        <v>0</v>
      </c>
      <c r="BO29" s="162">
        <f t="shared" si="25"/>
        <v>0</v>
      </c>
      <c r="BP29" s="162">
        <f t="shared" si="25"/>
        <v>0</v>
      </c>
      <c r="BQ29" s="162">
        <f t="shared" si="25"/>
        <v>0</v>
      </c>
      <c r="BR29" s="162">
        <f t="shared" si="25"/>
        <v>0</v>
      </c>
      <c r="BS29" s="162">
        <f t="shared" si="25"/>
        <v>0</v>
      </c>
      <c r="BT29" s="162">
        <f t="shared" si="25"/>
        <v>0</v>
      </c>
      <c r="BU29" s="162">
        <f t="shared" si="25"/>
        <v>0</v>
      </c>
      <c r="BV29" s="162">
        <f t="shared" si="25"/>
        <v>0</v>
      </c>
      <c r="BW29" s="162">
        <f t="shared" si="25"/>
        <v>0</v>
      </c>
      <c r="BX29" s="162">
        <f t="shared" si="25"/>
        <v>0</v>
      </c>
      <c r="BY29" s="162">
        <f t="shared" si="25"/>
        <v>0</v>
      </c>
      <c r="BZ29" s="162">
        <f t="shared" si="25"/>
        <v>0</v>
      </c>
      <c r="CA29" s="162">
        <f t="shared" si="25"/>
        <v>0</v>
      </c>
      <c r="CB29" s="162">
        <f t="shared" si="25"/>
        <v>0</v>
      </c>
      <c r="CC29" s="162">
        <f t="shared" si="25"/>
        <v>0</v>
      </c>
      <c r="CD29" s="162">
        <f t="shared" si="25"/>
        <v>0</v>
      </c>
      <c r="CE29" s="162">
        <f t="shared" si="25"/>
        <v>0</v>
      </c>
      <c r="CF29" s="162">
        <f t="shared" si="25"/>
        <v>0</v>
      </c>
      <c r="CG29" s="162">
        <f t="shared" si="25"/>
        <v>0</v>
      </c>
      <c r="CH29" s="162">
        <f t="shared" si="25"/>
        <v>0</v>
      </c>
      <c r="CI29" s="162">
        <f t="shared" si="25"/>
        <v>0</v>
      </c>
      <c r="CJ29" s="162">
        <f t="shared" si="25"/>
        <v>0</v>
      </c>
      <c r="CK29" s="162">
        <f t="shared" si="25"/>
        <v>0</v>
      </c>
      <c r="CL29" s="162">
        <f t="shared" si="25"/>
        <v>0</v>
      </c>
      <c r="CM29" s="162">
        <f t="shared" si="25"/>
        <v>0</v>
      </c>
      <c r="CN29" s="162">
        <f t="shared" si="25"/>
        <v>0</v>
      </c>
      <c r="CO29" s="162">
        <f t="shared" si="25"/>
        <v>0</v>
      </c>
      <c r="CP29" s="162">
        <f t="shared" si="25"/>
        <v>0</v>
      </c>
      <c r="CQ29" s="162">
        <f t="shared" si="25"/>
        <v>0</v>
      </c>
      <c r="CR29" s="162">
        <f t="shared" si="25"/>
        <v>0</v>
      </c>
      <c r="CS29" s="162">
        <f t="shared" si="25"/>
        <v>0</v>
      </c>
      <c r="CT29" s="162">
        <f t="shared" si="25"/>
        <v>0</v>
      </c>
      <c r="CU29" s="162">
        <f t="shared" si="25"/>
        <v>0</v>
      </c>
      <c r="CV29" s="162">
        <f t="shared" si="25"/>
        <v>0</v>
      </c>
      <c r="CW29" s="162">
        <f t="shared" ref="CW29:DG29" si="26">SUM(CW3:CW28)</f>
        <v>0</v>
      </c>
      <c r="CX29" s="162">
        <f t="shared" si="26"/>
        <v>0</v>
      </c>
      <c r="CY29" s="162">
        <f t="shared" si="26"/>
        <v>0</v>
      </c>
      <c r="CZ29" s="162">
        <f t="shared" si="26"/>
        <v>0</v>
      </c>
      <c r="DA29" s="162">
        <f t="shared" si="26"/>
        <v>0</v>
      </c>
      <c r="DB29" s="162">
        <f t="shared" si="26"/>
        <v>0</v>
      </c>
      <c r="DC29" s="162">
        <f t="shared" si="26"/>
        <v>0</v>
      </c>
      <c r="DD29" s="162">
        <f t="shared" si="26"/>
        <v>0</v>
      </c>
      <c r="DE29" s="162">
        <f t="shared" si="26"/>
        <v>0</v>
      </c>
      <c r="DF29" s="162">
        <f t="shared" si="26"/>
        <v>0</v>
      </c>
      <c r="DG29" s="162">
        <f t="shared" si="26"/>
        <v>0</v>
      </c>
      <c r="DK29" s="1">
        <f t="shared" si="11"/>
        <v>2051</v>
      </c>
      <c r="DL29" s="1">
        <f t="shared" ca="1" si="12"/>
        <v>71</v>
      </c>
      <c r="DM29" s="1">
        <f t="shared" ca="1" si="13"/>
        <v>76</v>
      </c>
      <c r="DN29" s="1" t="e">
        <f>IF(BJ$32=0,NA(),BJ$32)</f>
        <v>#N/A</v>
      </c>
      <c r="DO29" s="1" t="e">
        <f>IF(BJ$33=0,NA(),BJ$33)</f>
        <v>#N/A</v>
      </c>
      <c r="DP29" s="1" t="e">
        <f>IF(BJ$34=0,NA(),BJ$34)</f>
        <v>#N/A</v>
      </c>
      <c r="DQ29" s="1" t="e">
        <f>IF(BJ$35=0,NA(),BJ$35)</f>
        <v>#N/A</v>
      </c>
      <c r="DR29" s="1" t="e">
        <f>IF(BJ$36=0,NA(),BJ$36)</f>
        <v>#N/A</v>
      </c>
      <c r="DS29" s="1" t="e">
        <f>IF(BJ$37=0,NA(),BJ$37)</f>
        <v>#N/A</v>
      </c>
      <c r="DT29" s="1" t="e">
        <f>IF(BJ$38=0,NA(),BJ$38)</f>
        <v>#N/A</v>
      </c>
      <c r="DU29" s="1" t="e">
        <f>IF(BJ$39=0,NA(),BJ$39)</f>
        <v>#N/A</v>
      </c>
      <c r="DV29" s="1" t="e">
        <f>IF(BJ$40=0,NA(),BJ$40)</f>
        <v>#N/A</v>
      </c>
      <c r="DW29" s="1" t="e">
        <f>IF(BJ$41=0,NA(),BJ$41)</f>
        <v>#N/A</v>
      </c>
      <c r="DX29" s="1" t="e">
        <f>IF(BJ$42=0,NA(),BJ$42)</f>
        <v>#N/A</v>
      </c>
      <c r="DY29" s="1" t="e">
        <f>IF(BJ$43=0,NA(),BJ$43)</f>
        <v>#N/A</v>
      </c>
      <c r="DZ29" s="1" t="e">
        <f>IF(BJ$44=0,NA(),BJ$44)</f>
        <v>#N/A</v>
      </c>
      <c r="EA29" s="1" t="e">
        <f>IF(BJ$45=0,NA(),BJ$45)</f>
        <v>#N/A</v>
      </c>
      <c r="EB29" s="1" t="e">
        <f>IF(BJ$46=0,NA(),BJ$46)</f>
        <v>#N/A</v>
      </c>
      <c r="EC29" s="1" t="e">
        <f>IF(BJ$47=0,NA(),BJ$47)</f>
        <v>#N/A</v>
      </c>
      <c r="ED29" s="1" t="e">
        <f>IF(BJ$48=0,NA(),BJ$48)</f>
        <v>#N/A</v>
      </c>
      <c r="EE29" s="1" t="e">
        <f>IF(BJ$49=0,NA(),BJ$49)</f>
        <v>#N/A</v>
      </c>
      <c r="EF29" s="1" t="e">
        <f>IF(BJ$50=0,NA(),BJ$50)</f>
        <v>#N/A</v>
      </c>
      <c r="EG29" s="1" t="e">
        <f>IF(BJ$51=0,NA(),BJ$51)</f>
        <v>#N/A</v>
      </c>
      <c r="EH29" s="1" t="e">
        <f>IF(BJ$52=0,NA(),BJ$52)</f>
        <v>#N/A</v>
      </c>
      <c r="EI29" s="1" t="e">
        <f>IF(BJ$53=0,NA(),BJ$53)</f>
        <v>#N/A</v>
      </c>
      <c r="EJ29" s="1" t="e">
        <f>IF(BJ$54=0,NA(),BJ$54)</f>
        <v>#N/A</v>
      </c>
      <c r="EK29" s="1" t="e">
        <f>IF(BJ$55=0,NA(),BJ$55)</f>
        <v>#N/A</v>
      </c>
      <c r="EL29" s="1" t="e">
        <f>IF(BJ$56=0,NA(),BJ$56)</f>
        <v>#N/A</v>
      </c>
      <c r="EM29" s="1" t="e">
        <f>IF(BJ$57=0,NA(),BJ$57)</f>
        <v>#N/A</v>
      </c>
    </row>
    <row r="30" spans="1:143" ht="15" customHeight="1" x14ac:dyDescent="0.3">
      <c r="A30" s="601"/>
      <c r="B30" s="601"/>
      <c r="C30" s="601"/>
      <c r="D30" s="601"/>
      <c r="E30" s="601"/>
      <c r="F30" s="601"/>
      <c r="G30" s="601"/>
      <c r="H30" s="601"/>
      <c r="I30" s="601"/>
      <c r="J30" s="601"/>
      <c r="K30" s="601"/>
      <c r="L30" s="601"/>
      <c r="M30" s="601"/>
      <c r="N30" s="601"/>
      <c r="O30" s="601"/>
      <c r="DK30" s="1">
        <f t="shared" si="11"/>
        <v>2052</v>
      </c>
      <c r="DL30" s="1">
        <f t="shared" ca="1" si="12"/>
        <v>72</v>
      </c>
      <c r="DM30" s="1">
        <f t="shared" ca="1" si="13"/>
        <v>77</v>
      </c>
      <c r="DN30" s="1" t="e">
        <f>IF(BK$32=0,NA(),BK$32)</f>
        <v>#N/A</v>
      </c>
      <c r="DO30" s="1" t="e">
        <f>IF(BK$33=0,NA(),BK$33)</f>
        <v>#N/A</v>
      </c>
      <c r="DP30" s="1" t="e">
        <f>IF(BK$34=0,NA(),BK$34)</f>
        <v>#N/A</v>
      </c>
      <c r="DQ30" s="1" t="e">
        <f>IF(BK$35=0,NA(),BK$35)</f>
        <v>#N/A</v>
      </c>
      <c r="DR30" s="1" t="e">
        <f>IF(BK$36=0,NA(),BK$36)</f>
        <v>#N/A</v>
      </c>
      <c r="DS30" s="1" t="e">
        <f>IF(BK$37=0,NA(),BK$37)</f>
        <v>#N/A</v>
      </c>
      <c r="DT30" s="1" t="e">
        <f>IF(BK$38=0,NA(),BK$38)</f>
        <v>#N/A</v>
      </c>
      <c r="DU30" s="1" t="e">
        <f>IF(BK$39=0,NA(),BK$39)</f>
        <v>#N/A</v>
      </c>
      <c r="DV30" s="1" t="e">
        <f>IF(BK$40=0,NA(),BK$40)</f>
        <v>#N/A</v>
      </c>
      <c r="DW30" s="1" t="e">
        <f>IF(BK$41=0,NA(),BK$41)</f>
        <v>#N/A</v>
      </c>
      <c r="DX30" s="1" t="e">
        <f>IF(BK$42=0,NA(),BK$42)</f>
        <v>#N/A</v>
      </c>
      <c r="DY30" s="1" t="e">
        <f>IF(BK$43=0,NA(),BK$43)</f>
        <v>#N/A</v>
      </c>
      <c r="DZ30" s="1" t="e">
        <f>IF(BK$44=0,NA(),BK$44)</f>
        <v>#N/A</v>
      </c>
      <c r="EA30" s="1" t="e">
        <f>IF(BK$45=0,NA(),BK$45)</f>
        <v>#N/A</v>
      </c>
      <c r="EB30" s="1" t="e">
        <f>IF(BK$46=0,NA(),BK$46)</f>
        <v>#N/A</v>
      </c>
      <c r="EC30" s="1" t="e">
        <f>IF(BK$47=0,NA(),BK$47)</f>
        <v>#N/A</v>
      </c>
      <c r="ED30" s="1" t="e">
        <f>IF(BK$48=0,NA(),BK$48)</f>
        <v>#N/A</v>
      </c>
      <c r="EE30" s="1" t="e">
        <f>IF(BK$49=0,NA(),BK$49)</f>
        <v>#N/A</v>
      </c>
      <c r="EF30" s="1" t="e">
        <f>IF(BK$50=0,NA(),BK$50)</f>
        <v>#N/A</v>
      </c>
      <c r="EG30" s="1" t="e">
        <f>IF(BK$51=0,NA(),BK$51)</f>
        <v>#N/A</v>
      </c>
      <c r="EH30" s="1" t="e">
        <f>IF(BK$52=0,NA(),BK$52)</f>
        <v>#N/A</v>
      </c>
      <c r="EI30" s="1" t="e">
        <f>IF(BK$53=0,NA(),BK$53)</f>
        <v>#N/A</v>
      </c>
      <c r="EJ30" s="1" t="e">
        <f>IF(BK$54=0,NA(),BK$54)</f>
        <v>#N/A</v>
      </c>
      <c r="EK30" s="1" t="e">
        <f>IF(BK$55=0,NA(),BK$55)</f>
        <v>#N/A</v>
      </c>
      <c r="EL30" s="1" t="e">
        <f>IF(BK$56=0,NA(),BK$56)</f>
        <v>#N/A</v>
      </c>
      <c r="EM30" s="1" t="e">
        <f>IF(BK$57=0,NA(),BK$57)</f>
        <v>#N/A</v>
      </c>
    </row>
    <row r="31" spans="1:143" ht="15" customHeight="1" x14ac:dyDescent="0.3">
      <c r="A31" s="601"/>
      <c r="B31" s="601"/>
      <c r="C31" s="601"/>
      <c r="D31" s="601"/>
      <c r="E31" s="601"/>
      <c r="F31" s="601"/>
      <c r="G31" s="601"/>
      <c r="H31" s="601"/>
      <c r="I31" s="601"/>
      <c r="J31" s="601"/>
      <c r="K31" s="601"/>
      <c r="L31" s="601"/>
      <c r="M31" s="601"/>
      <c r="N31" s="601"/>
      <c r="O31" s="601"/>
      <c r="AH31" s="519" t="s">
        <v>191</v>
      </c>
      <c r="AI31" s="83" t="s">
        <v>183</v>
      </c>
      <c r="AJ31" s="1">
        <f>AJ2</f>
        <v>2025</v>
      </c>
      <c r="AK31" s="1">
        <f t="shared" ref="AK31:CV31" si="27">AK2</f>
        <v>2026</v>
      </c>
      <c r="AL31" s="1">
        <f t="shared" si="27"/>
        <v>2027</v>
      </c>
      <c r="AM31" s="1">
        <f t="shared" si="27"/>
        <v>2028</v>
      </c>
      <c r="AN31" s="1">
        <f t="shared" si="27"/>
        <v>2029</v>
      </c>
      <c r="AO31" s="1">
        <f t="shared" si="27"/>
        <v>2030</v>
      </c>
      <c r="AP31" s="1">
        <f t="shared" si="27"/>
        <v>2031</v>
      </c>
      <c r="AQ31" s="1">
        <f t="shared" si="27"/>
        <v>2032</v>
      </c>
      <c r="AR31" s="1">
        <f t="shared" si="27"/>
        <v>2033</v>
      </c>
      <c r="AS31" s="1">
        <f t="shared" si="27"/>
        <v>2034</v>
      </c>
      <c r="AT31" s="1">
        <f t="shared" si="27"/>
        <v>2035</v>
      </c>
      <c r="AU31" s="1">
        <f t="shared" si="27"/>
        <v>2036</v>
      </c>
      <c r="AV31" s="1">
        <f t="shared" si="27"/>
        <v>2037</v>
      </c>
      <c r="AW31" s="1">
        <f t="shared" si="27"/>
        <v>2038</v>
      </c>
      <c r="AX31" s="1">
        <f t="shared" si="27"/>
        <v>2039</v>
      </c>
      <c r="AY31" s="1">
        <f t="shared" si="27"/>
        <v>2040</v>
      </c>
      <c r="AZ31" s="1">
        <f t="shared" si="27"/>
        <v>2041</v>
      </c>
      <c r="BA31" s="1">
        <f t="shared" si="27"/>
        <v>2042</v>
      </c>
      <c r="BB31" s="1">
        <f t="shared" si="27"/>
        <v>2043</v>
      </c>
      <c r="BC31" s="1">
        <f t="shared" si="27"/>
        <v>2044</v>
      </c>
      <c r="BD31" s="1">
        <f t="shared" si="27"/>
        <v>2045</v>
      </c>
      <c r="BE31" s="1">
        <f t="shared" si="27"/>
        <v>2046</v>
      </c>
      <c r="BF31" s="1">
        <f t="shared" si="27"/>
        <v>2047</v>
      </c>
      <c r="BG31" s="1">
        <f t="shared" si="27"/>
        <v>2048</v>
      </c>
      <c r="BH31" s="1">
        <f t="shared" si="27"/>
        <v>2049</v>
      </c>
      <c r="BI31" s="1">
        <f t="shared" si="27"/>
        <v>2050</v>
      </c>
      <c r="BJ31" s="1">
        <f t="shared" si="27"/>
        <v>2051</v>
      </c>
      <c r="BK31" s="1">
        <f t="shared" si="27"/>
        <v>2052</v>
      </c>
      <c r="BL31" s="1">
        <f t="shared" si="27"/>
        <v>2053</v>
      </c>
      <c r="BM31" s="1">
        <f t="shared" si="27"/>
        <v>2054</v>
      </c>
      <c r="BN31" s="1">
        <f t="shared" si="27"/>
        <v>2055</v>
      </c>
      <c r="BO31" s="1">
        <f t="shared" si="27"/>
        <v>2056</v>
      </c>
      <c r="BP31" s="1">
        <f t="shared" si="27"/>
        <v>2057</v>
      </c>
      <c r="BQ31" s="1">
        <f t="shared" si="27"/>
        <v>2058</v>
      </c>
      <c r="BR31" s="1">
        <f t="shared" si="27"/>
        <v>2059</v>
      </c>
      <c r="BS31" s="1">
        <f t="shared" si="27"/>
        <v>2060</v>
      </c>
      <c r="BT31" s="1">
        <f t="shared" si="27"/>
        <v>2061</v>
      </c>
      <c r="BU31" s="1">
        <f t="shared" si="27"/>
        <v>2062</v>
      </c>
      <c r="BV31" s="1">
        <f t="shared" si="27"/>
        <v>2063</v>
      </c>
      <c r="BW31" s="1">
        <f t="shared" si="27"/>
        <v>2064</v>
      </c>
      <c r="BX31" s="1">
        <f t="shared" si="27"/>
        <v>2065</v>
      </c>
      <c r="BY31" s="1">
        <f t="shared" si="27"/>
        <v>2066</v>
      </c>
      <c r="BZ31" s="1">
        <f t="shared" si="27"/>
        <v>2067</v>
      </c>
      <c r="CA31" s="1">
        <f t="shared" si="27"/>
        <v>2068</v>
      </c>
      <c r="CB31" s="1">
        <f t="shared" si="27"/>
        <v>2069</v>
      </c>
      <c r="CC31" s="1">
        <f t="shared" si="27"/>
        <v>2070</v>
      </c>
      <c r="CD31" s="1">
        <f t="shared" si="27"/>
        <v>2071</v>
      </c>
      <c r="CE31" s="1">
        <f t="shared" si="27"/>
        <v>2072</v>
      </c>
      <c r="CF31" s="1">
        <f t="shared" si="27"/>
        <v>2073</v>
      </c>
      <c r="CG31" s="1">
        <f t="shared" si="27"/>
        <v>2074</v>
      </c>
      <c r="CH31" s="1">
        <f t="shared" si="27"/>
        <v>2075</v>
      </c>
      <c r="CI31" s="1">
        <f t="shared" si="27"/>
        <v>2076</v>
      </c>
      <c r="CJ31" s="1">
        <f t="shared" si="27"/>
        <v>2077</v>
      </c>
      <c r="CK31" s="1">
        <f t="shared" si="27"/>
        <v>2078</v>
      </c>
      <c r="CL31" s="1">
        <f t="shared" si="27"/>
        <v>2079</v>
      </c>
      <c r="CM31" s="1">
        <f t="shared" si="27"/>
        <v>2080</v>
      </c>
      <c r="CN31" s="1">
        <f t="shared" si="27"/>
        <v>2081</v>
      </c>
      <c r="CO31" s="1" t="e">
        <f t="shared" si="27"/>
        <v>#REF!</v>
      </c>
      <c r="CP31" s="1" t="e">
        <f t="shared" si="27"/>
        <v>#REF!</v>
      </c>
      <c r="CQ31" s="1" t="e">
        <f t="shared" si="27"/>
        <v>#REF!</v>
      </c>
      <c r="CR31" s="1" t="e">
        <f t="shared" si="27"/>
        <v>#REF!</v>
      </c>
      <c r="CS31" s="1" t="e">
        <f t="shared" si="27"/>
        <v>#REF!</v>
      </c>
      <c r="CT31" s="1" t="e">
        <f t="shared" si="27"/>
        <v>#REF!</v>
      </c>
      <c r="CU31" s="1" t="e">
        <f t="shared" si="27"/>
        <v>#REF!</v>
      </c>
      <c r="CV31" s="1" t="e">
        <f t="shared" si="27"/>
        <v>#REF!</v>
      </c>
      <c r="CW31" s="1" t="e">
        <f t="shared" ref="CW31:DG31" si="28">CW2</f>
        <v>#REF!</v>
      </c>
      <c r="CX31" s="1" t="e">
        <f t="shared" si="28"/>
        <v>#REF!</v>
      </c>
      <c r="CY31" s="1" t="e">
        <f t="shared" si="28"/>
        <v>#REF!</v>
      </c>
      <c r="CZ31" s="1" t="e">
        <f t="shared" si="28"/>
        <v>#REF!</v>
      </c>
      <c r="DA31" s="1" t="e">
        <f t="shared" si="28"/>
        <v>#REF!</v>
      </c>
      <c r="DB31" s="1" t="e">
        <f t="shared" si="28"/>
        <v>#REF!</v>
      </c>
      <c r="DC31" s="1" t="e">
        <f t="shared" si="28"/>
        <v>#REF!</v>
      </c>
      <c r="DD31" s="1" t="e">
        <f t="shared" si="28"/>
        <v>#REF!</v>
      </c>
      <c r="DE31" s="1" t="e">
        <f t="shared" si="28"/>
        <v>#REF!</v>
      </c>
      <c r="DF31" s="1" t="e">
        <f t="shared" si="28"/>
        <v>#REF!</v>
      </c>
      <c r="DG31" s="1" t="e">
        <f t="shared" si="28"/>
        <v>#REF!</v>
      </c>
      <c r="DK31" s="1">
        <f t="shared" si="11"/>
        <v>2053</v>
      </c>
      <c r="DL31" s="1">
        <f t="shared" ca="1" si="12"/>
        <v>73</v>
      </c>
      <c r="DM31" s="1">
        <f t="shared" ca="1" si="13"/>
        <v>78</v>
      </c>
      <c r="DN31" s="1" t="e">
        <f>IF(BL$32=0,NA(),BL$32)</f>
        <v>#N/A</v>
      </c>
      <c r="DO31" s="1" t="e">
        <f>IF(BL$33=0,NA(),BL$33)</f>
        <v>#N/A</v>
      </c>
      <c r="DP31" s="1" t="e">
        <f>IF(BL$34=0,NA(),BL$34)</f>
        <v>#N/A</v>
      </c>
      <c r="DQ31" s="1" t="e">
        <f>IF(BL$35=0,NA(),BL$35)</f>
        <v>#N/A</v>
      </c>
      <c r="DR31" s="1" t="e">
        <f>IF(BL$36=0,NA(),BL$36)</f>
        <v>#N/A</v>
      </c>
      <c r="DS31" s="1" t="e">
        <f>IF(BL$37=0,NA(),BL$37)</f>
        <v>#N/A</v>
      </c>
      <c r="DT31" s="1" t="e">
        <f>IF(BL$38=0,NA(),BL$38)</f>
        <v>#N/A</v>
      </c>
      <c r="DU31" s="1" t="e">
        <f>IF(BL$39=0,NA(),BL$39)</f>
        <v>#N/A</v>
      </c>
      <c r="DV31" s="1" t="e">
        <f>IF(BL$40=0,NA(),BL$40)</f>
        <v>#N/A</v>
      </c>
      <c r="DW31" s="1" t="e">
        <f>IF(BL$41=0,NA(),BL$41)</f>
        <v>#N/A</v>
      </c>
      <c r="DX31" s="1" t="e">
        <f>IF(BL$42=0,NA(),BL$42)</f>
        <v>#N/A</v>
      </c>
      <c r="DY31" s="1" t="e">
        <f>IF(BL$43=0,NA(),BL$43)</f>
        <v>#N/A</v>
      </c>
      <c r="DZ31" s="1" t="e">
        <f>IF(BL$44=0,NA(),BL$44)</f>
        <v>#N/A</v>
      </c>
      <c r="EA31" s="1" t="e">
        <f>IF(BL$45=0,NA(),BL$45)</f>
        <v>#N/A</v>
      </c>
      <c r="EB31" s="1" t="e">
        <f>IF(BL$46=0,NA(),BL$46)</f>
        <v>#N/A</v>
      </c>
      <c r="EC31" s="1" t="e">
        <f>IF(BL$47=0,NA(),BL$47)</f>
        <v>#N/A</v>
      </c>
      <c r="ED31" s="1" t="e">
        <f>IF(BL$48=0,NA(),BL$48)</f>
        <v>#N/A</v>
      </c>
      <c r="EE31" s="1" t="e">
        <f>IF(BL$49=0,NA(),BL$49)</f>
        <v>#N/A</v>
      </c>
      <c r="EF31" s="1" t="e">
        <f>IF(BL$50=0,NA(),BL$50)</f>
        <v>#N/A</v>
      </c>
      <c r="EG31" s="1" t="e">
        <f>IF(BL$51=0,NA(),BL$51)</f>
        <v>#N/A</v>
      </c>
      <c r="EH31" s="1" t="e">
        <f>IF(BL$52=0,NA(),BL$52)</f>
        <v>#N/A</v>
      </c>
      <c r="EI31" s="1" t="e">
        <f>IF(BL$53=0,NA(),BL$53)</f>
        <v>#N/A</v>
      </c>
      <c r="EJ31" s="1" t="e">
        <f>IF(BL$54=0,NA(),BL$54)</f>
        <v>#N/A</v>
      </c>
      <c r="EK31" s="1" t="e">
        <f>IF(BL$55=0,NA(),BL$55)</f>
        <v>#N/A</v>
      </c>
      <c r="EL31" s="1" t="e">
        <f>IF(BL$56=0,NA(),BL$56)</f>
        <v>#N/A</v>
      </c>
      <c r="EM31" s="1" t="e">
        <f>IF(BL$57=0,NA(),BL$57)</f>
        <v>#N/A</v>
      </c>
    </row>
    <row r="32" spans="1:143" ht="15" customHeight="1" x14ac:dyDescent="0.3">
      <c r="AJ32" s="1">
        <f>AJ3</f>
        <v>0</v>
      </c>
      <c r="AK32" s="1">
        <f>AK3*(1+$AH3)^(AK$31-$AJ$31)</f>
        <v>0</v>
      </c>
      <c r="AL32" s="1">
        <f t="shared" ref="AL32:CW32" si="29">AL3*(1+$AH3)^(AL$31-$AJ$31)</f>
        <v>0</v>
      </c>
      <c r="AM32" s="1">
        <f t="shared" si="29"/>
        <v>0</v>
      </c>
      <c r="AN32" s="1">
        <f t="shared" si="29"/>
        <v>3509575.6800000006</v>
      </c>
      <c r="AO32" s="1">
        <f t="shared" si="29"/>
        <v>3649958.707200001</v>
      </c>
      <c r="AP32" s="1">
        <f t="shared" si="29"/>
        <v>3795957.0554880011</v>
      </c>
      <c r="AQ32" s="1">
        <f t="shared" si="29"/>
        <v>3947795.3377075209</v>
      </c>
      <c r="AR32" s="1">
        <f t="shared" si="29"/>
        <v>0</v>
      </c>
      <c r="AS32" s="1">
        <f t="shared" si="29"/>
        <v>0</v>
      </c>
      <c r="AT32" s="1">
        <f t="shared" si="29"/>
        <v>0</v>
      </c>
      <c r="AU32" s="1">
        <f t="shared" si="29"/>
        <v>0</v>
      </c>
      <c r="AV32" s="1">
        <f t="shared" si="29"/>
        <v>0</v>
      </c>
      <c r="AW32" s="1">
        <f t="shared" si="29"/>
        <v>0</v>
      </c>
      <c r="AX32" s="1">
        <f t="shared" si="29"/>
        <v>0</v>
      </c>
      <c r="AY32" s="1">
        <f t="shared" si="29"/>
        <v>0</v>
      </c>
      <c r="AZ32" s="1">
        <f t="shared" si="29"/>
        <v>0</v>
      </c>
      <c r="BA32" s="1">
        <f t="shared" si="29"/>
        <v>0</v>
      </c>
      <c r="BB32" s="1">
        <f t="shared" si="29"/>
        <v>0</v>
      </c>
      <c r="BC32" s="1">
        <f t="shared" si="29"/>
        <v>0</v>
      </c>
      <c r="BD32" s="1">
        <f t="shared" si="29"/>
        <v>0</v>
      </c>
      <c r="BE32" s="1">
        <f t="shared" si="29"/>
        <v>0</v>
      </c>
      <c r="BF32" s="1">
        <f t="shared" si="29"/>
        <v>0</v>
      </c>
      <c r="BG32" s="1">
        <f t="shared" si="29"/>
        <v>0</v>
      </c>
      <c r="BH32" s="1">
        <f t="shared" si="29"/>
        <v>0</v>
      </c>
      <c r="BI32" s="1">
        <f t="shared" si="29"/>
        <v>0</v>
      </c>
      <c r="BJ32" s="1">
        <f t="shared" si="29"/>
        <v>0</v>
      </c>
      <c r="BK32" s="1">
        <f t="shared" si="29"/>
        <v>0</v>
      </c>
      <c r="BL32" s="1">
        <f t="shared" si="29"/>
        <v>0</v>
      </c>
      <c r="BM32" s="1">
        <f t="shared" si="29"/>
        <v>0</v>
      </c>
      <c r="BN32" s="1">
        <f t="shared" si="29"/>
        <v>0</v>
      </c>
      <c r="BO32" s="1">
        <f t="shared" si="29"/>
        <v>0</v>
      </c>
      <c r="BP32" s="1">
        <f t="shared" si="29"/>
        <v>0</v>
      </c>
      <c r="BQ32" s="1">
        <f t="shared" si="29"/>
        <v>0</v>
      </c>
      <c r="BR32" s="1">
        <f t="shared" si="29"/>
        <v>0</v>
      </c>
      <c r="BS32" s="1">
        <f t="shared" si="29"/>
        <v>0</v>
      </c>
      <c r="BT32" s="1">
        <f t="shared" si="29"/>
        <v>0</v>
      </c>
      <c r="BU32" s="1">
        <f t="shared" si="29"/>
        <v>0</v>
      </c>
      <c r="BV32" s="1">
        <f t="shared" si="29"/>
        <v>0</v>
      </c>
      <c r="BW32" s="1">
        <f t="shared" si="29"/>
        <v>0</v>
      </c>
      <c r="BX32" s="1">
        <f t="shared" si="29"/>
        <v>0</v>
      </c>
      <c r="BY32" s="1">
        <f t="shared" si="29"/>
        <v>0</v>
      </c>
      <c r="BZ32" s="1">
        <f t="shared" si="29"/>
        <v>0</v>
      </c>
      <c r="CA32" s="1">
        <f t="shared" si="29"/>
        <v>0</v>
      </c>
      <c r="CB32" s="1">
        <f t="shared" si="29"/>
        <v>0</v>
      </c>
      <c r="CC32" s="1">
        <f t="shared" si="29"/>
        <v>0</v>
      </c>
      <c r="CD32" s="1">
        <f t="shared" si="29"/>
        <v>0</v>
      </c>
      <c r="CE32" s="1">
        <f t="shared" si="29"/>
        <v>0</v>
      </c>
      <c r="CF32" s="1">
        <f t="shared" si="29"/>
        <v>0</v>
      </c>
      <c r="CG32" s="1">
        <f t="shared" si="29"/>
        <v>0</v>
      </c>
      <c r="CH32" s="1">
        <f t="shared" si="29"/>
        <v>0</v>
      </c>
      <c r="CI32" s="1">
        <f t="shared" si="29"/>
        <v>0</v>
      </c>
      <c r="CJ32" s="1">
        <f t="shared" si="29"/>
        <v>0</v>
      </c>
      <c r="CK32" s="1">
        <f t="shared" si="29"/>
        <v>0</v>
      </c>
      <c r="CL32" s="1">
        <f t="shared" si="29"/>
        <v>0</v>
      </c>
      <c r="CM32" s="1">
        <f t="shared" si="29"/>
        <v>0</v>
      </c>
      <c r="CN32" s="1">
        <f t="shared" si="29"/>
        <v>0</v>
      </c>
      <c r="CO32" s="1" t="e">
        <f t="shared" si="29"/>
        <v>#REF!</v>
      </c>
      <c r="CP32" s="1" t="e">
        <f t="shared" si="29"/>
        <v>#REF!</v>
      </c>
      <c r="CQ32" s="1" t="e">
        <f t="shared" si="29"/>
        <v>#REF!</v>
      </c>
      <c r="CR32" s="1" t="e">
        <f t="shared" si="29"/>
        <v>#REF!</v>
      </c>
      <c r="CS32" s="1" t="e">
        <f t="shared" si="29"/>
        <v>#REF!</v>
      </c>
      <c r="CT32" s="1" t="e">
        <f t="shared" si="29"/>
        <v>#REF!</v>
      </c>
      <c r="CU32" s="1" t="e">
        <f t="shared" si="29"/>
        <v>#REF!</v>
      </c>
      <c r="CV32" s="1" t="e">
        <f t="shared" si="29"/>
        <v>#REF!</v>
      </c>
      <c r="CW32" s="1" t="e">
        <f t="shared" si="29"/>
        <v>#REF!</v>
      </c>
      <c r="CX32" s="1" t="e">
        <f t="shared" ref="CX32:DG32" si="30">CX3*(1+$AH3)^(CX$31-$AJ$31)</f>
        <v>#REF!</v>
      </c>
      <c r="CY32" s="1" t="e">
        <f t="shared" si="30"/>
        <v>#REF!</v>
      </c>
      <c r="CZ32" s="1" t="e">
        <f t="shared" si="30"/>
        <v>#REF!</v>
      </c>
      <c r="DA32" s="1" t="e">
        <f t="shared" si="30"/>
        <v>#REF!</v>
      </c>
      <c r="DB32" s="1" t="e">
        <f t="shared" si="30"/>
        <v>#REF!</v>
      </c>
      <c r="DC32" s="1" t="e">
        <f t="shared" si="30"/>
        <v>#REF!</v>
      </c>
      <c r="DD32" s="1" t="e">
        <f t="shared" si="30"/>
        <v>#REF!</v>
      </c>
      <c r="DE32" s="1" t="e">
        <f t="shared" si="30"/>
        <v>#REF!</v>
      </c>
      <c r="DF32" s="1" t="e">
        <f t="shared" si="30"/>
        <v>#REF!</v>
      </c>
      <c r="DG32" s="1" t="e">
        <f t="shared" si="30"/>
        <v>#REF!</v>
      </c>
      <c r="DK32" s="1">
        <f t="shared" si="11"/>
        <v>2054</v>
      </c>
      <c r="DL32" s="1">
        <f t="shared" ca="1" si="12"/>
        <v>74</v>
      </c>
      <c r="DM32" s="1">
        <f t="shared" ca="1" si="13"/>
        <v>79</v>
      </c>
      <c r="DN32" s="1" t="e">
        <f>IF(BM$32=0,NA(),BM$32)</f>
        <v>#N/A</v>
      </c>
      <c r="DO32" s="1" t="e">
        <f>IF(BM$33=0,NA(),BM$33)</f>
        <v>#N/A</v>
      </c>
      <c r="DP32" s="1" t="e">
        <f>IF(BM$34=0,NA(),BM$34)</f>
        <v>#N/A</v>
      </c>
      <c r="DQ32" s="1" t="e">
        <f>IF(BM$35=0,NA(),BM$35)</f>
        <v>#N/A</v>
      </c>
      <c r="DR32" s="1" t="e">
        <f>IF(BM$36=0,NA(),BM$36)</f>
        <v>#N/A</v>
      </c>
      <c r="DS32" s="1" t="e">
        <f>IF(BM$37=0,NA(),BM$37)</f>
        <v>#N/A</v>
      </c>
      <c r="DT32" s="1" t="e">
        <f>IF(BM$38=0,NA(),BM$38)</f>
        <v>#N/A</v>
      </c>
      <c r="DU32" s="1" t="e">
        <f>IF(BM$39=0,NA(),BM$39)</f>
        <v>#N/A</v>
      </c>
      <c r="DV32" s="1" t="e">
        <f>IF(BM$40=0,NA(),BM$40)</f>
        <v>#N/A</v>
      </c>
      <c r="DW32" s="1" t="e">
        <f>IF(BM$41=0,NA(),BM$41)</f>
        <v>#N/A</v>
      </c>
      <c r="DX32" s="1" t="e">
        <f>IF(BM$42=0,NA(),BM$42)</f>
        <v>#N/A</v>
      </c>
      <c r="DY32" s="1" t="e">
        <f>IF(BM$43=0,NA(),BM$43)</f>
        <v>#N/A</v>
      </c>
      <c r="DZ32" s="1" t="e">
        <f>IF(BM$44=0,NA(),BM$44)</f>
        <v>#N/A</v>
      </c>
      <c r="EA32" s="1" t="e">
        <f>IF(BM$45=0,NA(),BM$45)</f>
        <v>#N/A</v>
      </c>
      <c r="EB32" s="1" t="e">
        <f>IF(BM$46=0,NA(),BM$46)</f>
        <v>#N/A</v>
      </c>
      <c r="EC32" s="1" t="e">
        <f>IF(BM$47=0,NA(),BM$47)</f>
        <v>#N/A</v>
      </c>
      <c r="ED32" s="1" t="e">
        <f>IF(BM$48=0,NA(),BM$48)</f>
        <v>#N/A</v>
      </c>
      <c r="EE32" s="1" t="e">
        <f>IF(BM$49=0,NA(),BM$49)</f>
        <v>#N/A</v>
      </c>
      <c r="EF32" s="1" t="e">
        <f>IF(BM$50=0,NA(),BM$50)</f>
        <v>#N/A</v>
      </c>
      <c r="EG32" s="1" t="e">
        <f>IF(BM$51=0,NA(),BM$51)</f>
        <v>#N/A</v>
      </c>
      <c r="EH32" s="1" t="e">
        <f>IF(BM$52=0,NA(),BM$52)</f>
        <v>#N/A</v>
      </c>
      <c r="EI32" s="1" t="e">
        <f>IF(BM$53=0,NA(),BM$53)</f>
        <v>#N/A</v>
      </c>
      <c r="EJ32" s="1" t="e">
        <f>IF(BM$54=0,NA(),BM$54)</f>
        <v>#N/A</v>
      </c>
      <c r="EK32" s="1" t="e">
        <f>IF(BM$55=0,NA(),BM$55)</f>
        <v>#N/A</v>
      </c>
      <c r="EL32" s="1" t="e">
        <f>IF(BM$56=0,NA(),BM$56)</f>
        <v>#N/A</v>
      </c>
      <c r="EM32" s="1" t="e">
        <f>IF(BM$57=0,NA(),BM$57)</f>
        <v>#N/A</v>
      </c>
    </row>
    <row r="33" spans="2:143" ht="15.75" customHeight="1" x14ac:dyDescent="0.3">
      <c r="B33" s="43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AJ33" s="1">
        <f t="shared" ref="AJ33:AJ56" si="31">AJ4</f>
        <v>0</v>
      </c>
      <c r="AK33" s="1">
        <f>AK4*(1+$AH4)^(AK$31-$AJ$31)</f>
        <v>0</v>
      </c>
      <c r="AL33" s="1">
        <f t="shared" ref="AL33:CW34" si="32">AL4*(1+$AH4)^(AL$31-$AJ$31)</f>
        <v>0</v>
      </c>
      <c r="AM33" s="1">
        <f t="shared" si="32"/>
        <v>0</v>
      </c>
      <c r="AN33" s="1">
        <f t="shared" si="32"/>
        <v>0</v>
      </c>
      <c r="AO33" s="1">
        <f t="shared" si="32"/>
        <v>0</v>
      </c>
      <c r="AP33" s="1">
        <f t="shared" si="32"/>
        <v>0</v>
      </c>
      <c r="AQ33" s="1">
        <f t="shared" si="32"/>
        <v>0</v>
      </c>
      <c r="AR33" s="1">
        <f t="shared" si="32"/>
        <v>0</v>
      </c>
      <c r="AS33" s="1">
        <f t="shared" si="32"/>
        <v>0</v>
      </c>
      <c r="AT33" s="1">
        <f t="shared" si="32"/>
        <v>4317849.9945455752</v>
      </c>
      <c r="AU33" s="1">
        <f t="shared" si="32"/>
        <v>0</v>
      </c>
      <c r="AV33" s="1">
        <f t="shared" si="32"/>
        <v>0</v>
      </c>
      <c r="AW33" s="1">
        <f t="shared" si="32"/>
        <v>0</v>
      </c>
      <c r="AX33" s="1">
        <f t="shared" si="32"/>
        <v>0</v>
      </c>
      <c r="AY33" s="1">
        <f t="shared" si="32"/>
        <v>0</v>
      </c>
      <c r="AZ33" s="1">
        <f t="shared" si="32"/>
        <v>0</v>
      </c>
      <c r="BA33" s="1">
        <f t="shared" si="32"/>
        <v>0</v>
      </c>
      <c r="BB33" s="1">
        <f t="shared" si="32"/>
        <v>0</v>
      </c>
      <c r="BC33" s="1">
        <f t="shared" si="32"/>
        <v>0</v>
      </c>
      <c r="BD33" s="1">
        <f t="shared" si="32"/>
        <v>0</v>
      </c>
      <c r="BE33" s="1">
        <f t="shared" si="32"/>
        <v>0</v>
      </c>
      <c r="BF33" s="1">
        <f t="shared" si="32"/>
        <v>0</v>
      </c>
      <c r="BG33" s="1">
        <f t="shared" si="32"/>
        <v>0</v>
      </c>
      <c r="BH33" s="1">
        <f t="shared" si="32"/>
        <v>0</v>
      </c>
      <c r="BI33" s="1">
        <f t="shared" si="32"/>
        <v>0</v>
      </c>
      <c r="BJ33" s="1">
        <f t="shared" si="32"/>
        <v>0</v>
      </c>
      <c r="BK33" s="1">
        <f t="shared" si="32"/>
        <v>0</v>
      </c>
      <c r="BL33" s="1">
        <f t="shared" si="32"/>
        <v>0</v>
      </c>
      <c r="BM33" s="1">
        <f t="shared" si="32"/>
        <v>0</v>
      </c>
      <c r="BN33" s="1">
        <f t="shared" si="32"/>
        <v>0</v>
      </c>
      <c r="BO33" s="1">
        <f t="shared" si="32"/>
        <v>0</v>
      </c>
      <c r="BP33" s="1">
        <f t="shared" si="32"/>
        <v>0</v>
      </c>
      <c r="BQ33" s="1">
        <f t="shared" si="32"/>
        <v>0</v>
      </c>
      <c r="BR33" s="1">
        <f t="shared" si="32"/>
        <v>0</v>
      </c>
      <c r="BS33" s="1">
        <f t="shared" si="32"/>
        <v>0</v>
      </c>
      <c r="BT33" s="1">
        <f>BT4*(1+$AH4)^(BT$31-$AJ$31)</f>
        <v>0</v>
      </c>
      <c r="BU33" s="1">
        <f t="shared" si="32"/>
        <v>0</v>
      </c>
      <c r="BV33" s="1">
        <f t="shared" si="32"/>
        <v>0</v>
      </c>
      <c r="BW33" s="1">
        <f t="shared" si="32"/>
        <v>0</v>
      </c>
      <c r="BX33" s="1">
        <f t="shared" si="32"/>
        <v>0</v>
      </c>
      <c r="BY33" s="1">
        <f t="shared" si="32"/>
        <v>0</v>
      </c>
      <c r="BZ33" s="1">
        <f t="shared" si="32"/>
        <v>0</v>
      </c>
      <c r="CA33" s="1">
        <f t="shared" si="32"/>
        <v>0</v>
      </c>
      <c r="CB33" s="1">
        <f t="shared" si="32"/>
        <v>0</v>
      </c>
      <c r="CC33" s="1">
        <f t="shared" si="32"/>
        <v>0</v>
      </c>
      <c r="CD33" s="1">
        <f t="shared" si="32"/>
        <v>0</v>
      </c>
      <c r="CE33" s="1">
        <f t="shared" si="32"/>
        <v>0</v>
      </c>
      <c r="CF33" s="1">
        <f t="shared" si="32"/>
        <v>0</v>
      </c>
      <c r="CG33" s="1">
        <f t="shared" si="32"/>
        <v>0</v>
      </c>
      <c r="CH33" s="1">
        <f t="shared" si="32"/>
        <v>0</v>
      </c>
      <c r="CI33" s="1">
        <f t="shared" si="32"/>
        <v>0</v>
      </c>
      <c r="CJ33" s="1">
        <f t="shared" si="32"/>
        <v>0</v>
      </c>
      <c r="CK33" s="1">
        <f t="shared" si="32"/>
        <v>0</v>
      </c>
      <c r="CL33" s="1">
        <f t="shared" si="32"/>
        <v>0</v>
      </c>
      <c r="CM33" s="1">
        <f t="shared" si="32"/>
        <v>0</v>
      </c>
      <c r="CN33" s="1">
        <f t="shared" si="32"/>
        <v>0</v>
      </c>
      <c r="CO33" s="1" t="e">
        <f t="shared" si="32"/>
        <v>#REF!</v>
      </c>
      <c r="CP33" s="1" t="e">
        <f t="shared" si="32"/>
        <v>#REF!</v>
      </c>
      <c r="CQ33" s="1" t="e">
        <f t="shared" si="32"/>
        <v>#REF!</v>
      </c>
      <c r="CR33" s="1" t="e">
        <f t="shared" si="32"/>
        <v>#REF!</v>
      </c>
      <c r="CS33" s="1" t="e">
        <f t="shared" si="32"/>
        <v>#REF!</v>
      </c>
      <c r="CT33" s="1" t="e">
        <f t="shared" si="32"/>
        <v>#REF!</v>
      </c>
      <c r="CU33" s="1" t="e">
        <f t="shared" si="32"/>
        <v>#REF!</v>
      </c>
      <c r="CV33" s="1" t="e">
        <f t="shared" si="32"/>
        <v>#REF!</v>
      </c>
      <c r="CW33" s="1" t="e">
        <f t="shared" si="32"/>
        <v>#REF!</v>
      </c>
      <c r="CX33" s="1" t="e">
        <f t="shared" ref="CX33:DG37" si="33">CX4*(1+$AH4)^(CX$31-$AJ$31)</f>
        <v>#REF!</v>
      </c>
      <c r="CY33" s="1" t="e">
        <f t="shared" si="33"/>
        <v>#REF!</v>
      </c>
      <c r="CZ33" s="1" t="e">
        <f t="shared" si="33"/>
        <v>#REF!</v>
      </c>
      <c r="DA33" s="1" t="e">
        <f t="shared" si="33"/>
        <v>#REF!</v>
      </c>
      <c r="DB33" s="1" t="e">
        <f t="shared" si="33"/>
        <v>#REF!</v>
      </c>
      <c r="DC33" s="1" t="e">
        <f t="shared" si="33"/>
        <v>#REF!</v>
      </c>
      <c r="DD33" s="1" t="e">
        <f t="shared" si="33"/>
        <v>#REF!</v>
      </c>
      <c r="DE33" s="1" t="e">
        <f t="shared" si="33"/>
        <v>#REF!</v>
      </c>
      <c r="DF33" s="1" t="e">
        <f t="shared" si="33"/>
        <v>#REF!</v>
      </c>
      <c r="DG33" s="1" t="e">
        <f t="shared" si="33"/>
        <v>#REF!</v>
      </c>
      <c r="DK33" s="1">
        <f t="shared" si="11"/>
        <v>2055</v>
      </c>
      <c r="DL33" s="1">
        <f t="shared" ca="1" si="12"/>
        <v>75</v>
      </c>
      <c r="DM33" s="1">
        <f t="shared" ca="1" si="13"/>
        <v>80</v>
      </c>
      <c r="DN33" s="1" t="e">
        <f>IF(BN$32=0,NA(),BN$32)</f>
        <v>#N/A</v>
      </c>
      <c r="DO33" s="1" t="e">
        <f>IF(BN$33=0,NA(),BN$33)</f>
        <v>#N/A</v>
      </c>
      <c r="DP33" s="1" t="e">
        <f>IF(BN$34=0,NA(),BN$34)</f>
        <v>#N/A</v>
      </c>
      <c r="DQ33" s="1" t="e">
        <f>IF(BN$35=0,NA(),BN$35)</f>
        <v>#N/A</v>
      </c>
      <c r="DR33" s="1" t="e">
        <f>IF(BN$36=0,NA(),BN$36)</f>
        <v>#N/A</v>
      </c>
      <c r="DS33" s="1" t="e">
        <f>IF(BN$37=0,NA(),BN$37)</f>
        <v>#N/A</v>
      </c>
      <c r="DT33" s="1" t="e">
        <f>IF(BN$38=0,NA(),BN$38)</f>
        <v>#N/A</v>
      </c>
      <c r="DU33" s="1" t="e">
        <f>IF(BN$39=0,NA(),BN$39)</f>
        <v>#N/A</v>
      </c>
      <c r="DV33" s="1" t="e">
        <f>IF(BN$40=0,NA(),BN$40)</f>
        <v>#N/A</v>
      </c>
      <c r="DW33" s="1" t="e">
        <f>IF(BN$41=0,NA(),BN$41)</f>
        <v>#N/A</v>
      </c>
      <c r="DX33" s="1" t="e">
        <f>IF(BN$42=0,NA(),BN$42)</f>
        <v>#N/A</v>
      </c>
      <c r="DY33" s="1" t="e">
        <f>IF(BN$43=0,NA(),BN$43)</f>
        <v>#N/A</v>
      </c>
      <c r="DZ33" s="1" t="e">
        <f>IF(BN$44=0,NA(),BN$44)</f>
        <v>#N/A</v>
      </c>
      <c r="EA33" s="1" t="e">
        <f>IF(BN$45=0,NA(),BN$45)</f>
        <v>#N/A</v>
      </c>
      <c r="EB33" s="1" t="e">
        <f>IF(BN$46=0,NA(),BN$46)</f>
        <v>#N/A</v>
      </c>
      <c r="EC33" s="1" t="e">
        <f>IF(BN$47=0,NA(),BN$47)</f>
        <v>#N/A</v>
      </c>
      <c r="ED33" s="1" t="e">
        <f>IF(BN$48=0,NA(),BN$48)</f>
        <v>#N/A</v>
      </c>
      <c r="EE33" s="1" t="e">
        <f>IF(BN$49=0,NA(),BN$49)</f>
        <v>#N/A</v>
      </c>
      <c r="EF33" s="1" t="e">
        <f>IF(BN$50=0,NA(),BN$50)</f>
        <v>#N/A</v>
      </c>
      <c r="EG33" s="1" t="e">
        <f>IF(BN$51=0,NA(),BN$51)</f>
        <v>#N/A</v>
      </c>
      <c r="EH33" s="1" t="e">
        <f>IF(BN$52=0,NA(),BN$52)</f>
        <v>#N/A</v>
      </c>
      <c r="EI33" s="1" t="e">
        <f>IF(BN$53=0,NA(),BN$53)</f>
        <v>#N/A</v>
      </c>
      <c r="EJ33" s="1" t="e">
        <f>IF(BN$54=0,NA(),BN$54)</f>
        <v>#N/A</v>
      </c>
      <c r="EK33" s="1" t="e">
        <f>IF(BN$55=0,NA(),BN$55)</f>
        <v>#N/A</v>
      </c>
      <c r="EL33" s="1" t="e">
        <f>IF(BN$56=0,NA(),BN$56)</f>
        <v>#N/A</v>
      </c>
      <c r="EM33" s="1" t="e">
        <f>IF(BN$57=0,NA(),BN$57)</f>
        <v>#N/A</v>
      </c>
    </row>
    <row r="34" spans="2:143" ht="15.75" customHeight="1" x14ac:dyDescent="0.3">
      <c r="B34" s="431"/>
      <c r="C34" s="431"/>
      <c r="D34" s="431"/>
      <c r="E34" s="431"/>
      <c r="F34" s="431"/>
      <c r="G34" s="431"/>
      <c r="H34" s="431"/>
      <c r="I34" s="431"/>
      <c r="J34" s="431"/>
      <c r="K34" s="431"/>
      <c r="L34" s="431"/>
      <c r="M34" s="431"/>
      <c r="N34" s="431"/>
      <c r="AJ34" s="1">
        <f t="shared" si="31"/>
        <v>0</v>
      </c>
      <c r="AK34" s="1">
        <f t="shared" ref="AK34:AZ57" si="34">AK5*(1+$AH5)^(AK$31-$AJ$31)</f>
        <v>0</v>
      </c>
      <c r="AL34" s="1">
        <f t="shared" si="34"/>
        <v>0</v>
      </c>
      <c r="AM34" s="1">
        <f t="shared" si="34"/>
        <v>0</v>
      </c>
      <c r="AN34" s="1">
        <f t="shared" si="34"/>
        <v>0</v>
      </c>
      <c r="AO34" s="1">
        <f t="shared" si="34"/>
        <v>0</v>
      </c>
      <c r="AP34" s="1">
        <f t="shared" si="34"/>
        <v>0</v>
      </c>
      <c r="AQ34" s="1">
        <f t="shared" si="34"/>
        <v>0</v>
      </c>
      <c r="AR34" s="1">
        <f t="shared" si="34"/>
        <v>0</v>
      </c>
      <c r="AS34" s="1">
        <f t="shared" si="34"/>
        <v>0</v>
      </c>
      <c r="AT34" s="1">
        <f t="shared" si="34"/>
        <v>0</v>
      </c>
      <c r="AU34" s="1">
        <f t="shared" si="34"/>
        <v>1165819.4985273054</v>
      </c>
      <c r="AV34" s="1">
        <f t="shared" si="34"/>
        <v>0</v>
      </c>
      <c r="AW34" s="1">
        <f t="shared" si="34"/>
        <v>0</v>
      </c>
      <c r="AX34" s="1">
        <f t="shared" si="34"/>
        <v>0</v>
      </c>
      <c r="AY34" s="1">
        <f t="shared" si="34"/>
        <v>0</v>
      </c>
      <c r="AZ34" s="1">
        <f t="shared" si="34"/>
        <v>0</v>
      </c>
      <c r="BA34" s="1">
        <f t="shared" si="32"/>
        <v>0</v>
      </c>
      <c r="BB34" s="1">
        <f t="shared" si="32"/>
        <v>0</v>
      </c>
      <c r="BC34" s="1">
        <f t="shared" si="32"/>
        <v>0</v>
      </c>
      <c r="BD34" s="1">
        <f t="shared" si="32"/>
        <v>0</v>
      </c>
      <c r="BE34" s="1">
        <f t="shared" si="32"/>
        <v>0</v>
      </c>
      <c r="BF34" s="1">
        <f t="shared" si="32"/>
        <v>0</v>
      </c>
      <c r="BG34" s="1">
        <f t="shared" si="32"/>
        <v>0</v>
      </c>
      <c r="BH34" s="1">
        <f t="shared" si="32"/>
        <v>0</v>
      </c>
      <c r="BI34" s="1">
        <f t="shared" si="32"/>
        <v>0</v>
      </c>
      <c r="BJ34" s="1">
        <f t="shared" si="32"/>
        <v>0</v>
      </c>
      <c r="BK34" s="1">
        <f t="shared" si="32"/>
        <v>0</v>
      </c>
      <c r="BL34" s="1">
        <f t="shared" si="32"/>
        <v>0</v>
      </c>
      <c r="BM34" s="1">
        <f t="shared" si="32"/>
        <v>0</v>
      </c>
      <c r="BN34" s="1">
        <f t="shared" si="32"/>
        <v>0</v>
      </c>
      <c r="BO34" s="1">
        <f t="shared" si="32"/>
        <v>0</v>
      </c>
      <c r="BP34" s="1">
        <f t="shared" si="32"/>
        <v>0</v>
      </c>
      <c r="BQ34" s="1">
        <f t="shared" si="32"/>
        <v>0</v>
      </c>
      <c r="BR34" s="1">
        <f t="shared" si="32"/>
        <v>0</v>
      </c>
      <c r="BS34" s="1">
        <f t="shared" si="32"/>
        <v>0</v>
      </c>
      <c r="BT34" s="1">
        <f t="shared" si="32"/>
        <v>0</v>
      </c>
      <c r="BU34" s="1">
        <f t="shared" si="32"/>
        <v>0</v>
      </c>
      <c r="BV34" s="1">
        <f t="shared" si="32"/>
        <v>0</v>
      </c>
      <c r="BW34" s="1">
        <f t="shared" si="32"/>
        <v>0</v>
      </c>
      <c r="BX34" s="1">
        <f t="shared" si="32"/>
        <v>0</v>
      </c>
      <c r="BY34" s="1">
        <f t="shared" si="32"/>
        <v>0</v>
      </c>
      <c r="BZ34" s="1">
        <f t="shared" si="32"/>
        <v>0</v>
      </c>
      <c r="CA34" s="1">
        <f t="shared" si="32"/>
        <v>0</v>
      </c>
      <c r="CB34" s="1">
        <f t="shared" si="32"/>
        <v>0</v>
      </c>
      <c r="CC34" s="1">
        <f t="shared" si="32"/>
        <v>0</v>
      </c>
      <c r="CD34" s="1">
        <f t="shared" si="32"/>
        <v>0</v>
      </c>
      <c r="CE34" s="1">
        <f t="shared" si="32"/>
        <v>0</v>
      </c>
      <c r="CF34" s="1">
        <f t="shared" si="32"/>
        <v>0</v>
      </c>
      <c r="CG34" s="1">
        <f t="shared" si="32"/>
        <v>0</v>
      </c>
      <c r="CH34" s="1">
        <f t="shared" si="32"/>
        <v>0</v>
      </c>
      <c r="CI34" s="1">
        <f t="shared" si="32"/>
        <v>0</v>
      </c>
      <c r="CJ34" s="1">
        <f t="shared" si="32"/>
        <v>0</v>
      </c>
      <c r="CK34" s="1">
        <f t="shared" si="32"/>
        <v>0</v>
      </c>
      <c r="CL34" s="1">
        <f t="shared" si="32"/>
        <v>0</v>
      </c>
      <c r="CM34" s="1">
        <f t="shared" si="32"/>
        <v>0</v>
      </c>
      <c r="CN34" s="1">
        <f t="shared" si="32"/>
        <v>0</v>
      </c>
      <c r="CO34" s="1" t="e">
        <f t="shared" si="32"/>
        <v>#REF!</v>
      </c>
      <c r="CP34" s="1" t="e">
        <f t="shared" si="32"/>
        <v>#REF!</v>
      </c>
      <c r="CQ34" s="1" t="e">
        <f t="shared" si="32"/>
        <v>#REF!</v>
      </c>
      <c r="CR34" s="1" t="e">
        <f t="shared" si="32"/>
        <v>#REF!</v>
      </c>
      <c r="CS34" s="1" t="e">
        <f t="shared" si="32"/>
        <v>#REF!</v>
      </c>
      <c r="CT34" s="1" t="e">
        <f t="shared" si="32"/>
        <v>#REF!</v>
      </c>
      <c r="CU34" s="1" t="e">
        <f t="shared" si="32"/>
        <v>#REF!</v>
      </c>
      <c r="CV34" s="1" t="e">
        <f t="shared" si="32"/>
        <v>#REF!</v>
      </c>
      <c r="CW34" s="1" t="e">
        <f t="shared" si="32"/>
        <v>#REF!</v>
      </c>
      <c r="CX34" s="1" t="e">
        <f t="shared" si="33"/>
        <v>#REF!</v>
      </c>
      <c r="CY34" s="1" t="e">
        <f t="shared" si="33"/>
        <v>#REF!</v>
      </c>
      <c r="CZ34" s="1" t="e">
        <f t="shared" si="33"/>
        <v>#REF!</v>
      </c>
      <c r="DA34" s="1" t="e">
        <f t="shared" si="33"/>
        <v>#REF!</v>
      </c>
      <c r="DB34" s="1" t="e">
        <f t="shared" si="33"/>
        <v>#REF!</v>
      </c>
      <c r="DC34" s="1" t="e">
        <f t="shared" si="33"/>
        <v>#REF!</v>
      </c>
      <c r="DD34" s="1" t="e">
        <f t="shared" si="33"/>
        <v>#REF!</v>
      </c>
      <c r="DE34" s="1" t="e">
        <f t="shared" si="33"/>
        <v>#REF!</v>
      </c>
      <c r="DF34" s="1" t="e">
        <f t="shared" si="33"/>
        <v>#REF!</v>
      </c>
      <c r="DG34" s="1" t="e">
        <f t="shared" si="33"/>
        <v>#REF!</v>
      </c>
      <c r="DK34" s="1">
        <f t="shared" si="11"/>
        <v>2056</v>
      </c>
      <c r="DL34" s="1">
        <f t="shared" ca="1" si="12"/>
        <v>76</v>
      </c>
      <c r="DM34" s="1">
        <f t="shared" ca="1" si="13"/>
        <v>81</v>
      </c>
      <c r="DN34" s="1" t="e">
        <f>IF(BO$32=0,NA(),BO$32)</f>
        <v>#N/A</v>
      </c>
      <c r="DO34" s="1" t="e">
        <f>IF(BO$33=0,NA(),BO$33)</f>
        <v>#N/A</v>
      </c>
      <c r="DP34" s="1" t="e">
        <f>IF(BO$34=0,NA(),BO$34)</f>
        <v>#N/A</v>
      </c>
      <c r="DQ34" s="1" t="e">
        <f>IF(BO$35=0,NA(),BO$35)</f>
        <v>#N/A</v>
      </c>
      <c r="DR34" s="1" t="e">
        <f>IF(BO$36=0,NA(),BO$36)</f>
        <v>#N/A</v>
      </c>
      <c r="DS34" s="1" t="e">
        <f>IF(BO$37=0,NA(),BO$37)</f>
        <v>#N/A</v>
      </c>
      <c r="DT34" s="1" t="e">
        <f>IF(BO$38=0,NA(),BO$38)</f>
        <v>#N/A</v>
      </c>
      <c r="DU34" s="1" t="e">
        <f>IF(BO$39=0,NA(),BO$39)</f>
        <v>#N/A</v>
      </c>
      <c r="DV34" s="1" t="e">
        <f>IF(BO$40=0,NA(),BO$40)</f>
        <v>#N/A</v>
      </c>
      <c r="DW34" s="1" t="e">
        <f>IF(BO$41=0,NA(),BO$41)</f>
        <v>#N/A</v>
      </c>
      <c r="DX34" s="1" t="e">
        <f>IF(BO$42=0,NA(),BO$42)</f>
        <v>#N/A</v>
      </c>
      <c r="DY34" s="1" t="e">
        <f>IF(BO$43=0,NA(),BO$43)</f>
        <v>#N/A</v>
      </c>
      <c r="DZ34" s="1" t="e">
        <f>IF(BO$44=0,NA(),BO$44)</f>
        <v>#N/A</v>
      </c>
      <c r="EA34" s="1" t="e">
        <f>IF(BO$45=0,NA(),BO$45)</f>
        <v>#N/A</v>
      </c>
      <c r="EB34" s="1" t="e">
        <f>IF(BO$46=0,NA(),BO$46)</f>
        <v>#N/A</v>
      </c>
      <c r="EC34" s="1" t="e">
        <f>IF(BO$47=0,NA(),BO$47)</f>
        <v>#N/A</v>
      </c>
      <c r="ED34" s="1" t="e">
        <f>IF(BO$48=0,NA(),BO$48)</f>
        <v>#N/A</v>
      </c>
      <c r="EE34" s="1" t="e">
        <f>IF(BO$49=0,NA(),BO$49)</f>
        <v>#N/A</v>
      </c>
      <c r="EF34" s="1" t="e">
        <f>IF(BO$50=0,NA(),BO$50)</f>
        <v>#N/A</v>
      </c>
      <c r="EG34" s="1" t="e">
        <f>IF(BO$51=0,NA(),BO$51)</f>
        <v>#N/A</v>
      </c>
      <c r="EH34" s="1" t="e">
        <f>IF(BO$52=0,NA(),BO$52)</f>
        <v>#N/A</v>
      </c>
      <c r="EI34" s="1" t="e">
        <f>IF(BO$53=0,NA(),BO$53)</f>
        <v>#N/A</v>
      </c>
      <c r="EJ34" s="1" t="e">
        <f>IF(BO$54=0,NA(),BO$54)</f>
        <v>#N/A</v>
      </c>
      <c r="EK34" s="1" t="e">
        <f>IF(BO$55=0,NA(),BO$55)</f>
        <v>#N/A</v>
      </c>
      <c r="EL34" s="1" t="e">
        <f>IF(BO$56=0,NA(),BO$56)</f>
        <v>#N/A</v>
      </c>
      <c r="EM34" s="1" t="e">
        <f>IF(BO$57=0,NA(),BO$57)</f>
        <v>#N/A</v>
      </c>
    </row>
    <row r="35" spans="2:143" ht="15" customHeight="1" x14ac:dyDescent="0.3">
      <c r="AJ35" s="1">
        <f t="shared" si="31"/>
        <v>0</v>
      </c>
      <c r="AK35" s="1">
        <f t="shared" si="34"/>
        <v>0</v>
      </c>
      <c r="AL35" s="1">
        <f t="shared" ref="AL35:CW38" si="35">AL6*(1+$AH6)^(AL$31-$AJ$31)</f>
        <v>0</v>
      </c>
      <c r="AM35" s="1">
        <f t="shared" si="35"/>
        <v>0</v>
      </c>
      <c r="AN35" s="1">
        <f t="shared" si="35"/>
        <v>0</v>
      </c>
      <c r="AO35" s="1">
        <f t="shared" si="35"/>
        <v>11592740.742999999</v>
      </c>
      <c r="AP35" s="1">
        <f t="shared" si="35"/>
        <v>0</v>
      </c>
      <c r="AQ35" s="1">
        <f t="shared" si="35"/>
        <v>0</v>
      </c>
      <c r="AR35" s="1">
        <f t="shared" si="35"/>
        <v>0</v>
      </c>
      <c r="AS35" s="1">
        <f t="shared" si="35"/>
        <v>0</v>
      </c>
      <c r="AT35" s="1">
        <f t="shared" si="35"/>
        <v>0</v>
      </c>
      <c r="AU35" s="1">
        <f t="shared" si="35"/>
        <v>0</v>
      </c>
      <c r="AV35" s="1">
        <f t="shared" si="35"/>
        <v>0</v>
      </c>
      <c r="AW35" s="1">
        <f t="shared" si="35"/>
        <v>0</v>
      </c>
      <c r="AX35" s="1">
        <f t="shared" si="35"/>
        <v>0</v>
      </c>
      <c r="AY35" s="1">
        <f t="shared" si="35"/>
        <v>0</v>
      </c>
      <c r="AZ35" s="1">
        <f t="shared" si="35"/>
        <v>0</v>
      </c>
      <c r="BA35" s="1">
        <f t="shared" si="35"/>
        <v>0</v>
      </c>
      <c r="BB35" s="1">
        <f t="shared" si="35"/>
        <v>0</v>
      </c>
      <c r="BC35" s="1">
        <f t="shared" si="35"/>
        <v>0</v>
      </c>
      <c r="BD35" s="1">
        <f t="shared" si="35"/>
        <v>0</v>
      </c>
      <c r="BE35" s="1">
        <f t="shared" si="35"/>
        <v>0</v>
      </c>
      <c r="BF35" s="1">
        <f t="shared" si="35"/>
        <v>0</v>
      </c>
      <c r="BG35" s="1">
        <f t="shared" si="35"/>
        <v>0</v>
      </c>
      <c r="BH35" s="1">
        <f t="shared" si="35"/>
        <v>0</v>
      </c>
      <c r="BI35" s="1">
        <f t="shared" si="35"/>
        <v>0</v>
      </c>
      <c r="BJ35" s="1">
        <f t="shared" si="35"/>
        <v>0</v>
      </c>
      <c r="BK35" s="1">
        <f t="shared" si="35"/>
        <v>0</v>
      </c>
      <c r="BL35" s="1">
        <f t="shared" si="35"/>
        <v>0</v>
      </c>
      <c r="BM35" s="1">
        <f t="shared" si="35"/>
        <v>0</v>
      </c>
      <c r="BN35" s="1">
        <f t="shared" si="35"/>
        <v>0</v>
      </c>
      <c r="BO35" s="1">
        <f t="shared" si="35"/>
        <v>0</v>
      </c>
      <c r="BP35" s="1">
        <f t="shared" si="35"/>
        <v>0</v>
      </c>
      <c r="BQ35" s="1">
        <f t="shared" si="35"/>
        <v>0</v>
      </c>
      <c r="BR35" s="1">
        <f t="shared" si="35"/>
        <v>0</v>
      </c>
      <c r="BS35" s="1">
        <f t="shared" si="35"/>
        <v>0</v>
      </c>
      <c r="BT35" s="1">
        <f t="shared" si="35"/>
        <v>0</v>
      </c>
      <c r="BU35" s="1">
        <f t="shared" si="35"/>
        <v>0</v>
      </c>
      <c r="BV35" s="1">
        <f t="shared" si="35"/>
        <v>0</v>
      </c>
      <c r="BW35" s="1">
        <f t="shared" si="35"/>
        <v>0</v>
      </c>
      <c r="BX35" s="1">
        <f t="shared" si="35"/>
        <v>0</v>
      </c>
      <c r="BY35" s="1">
        <f t="shared" si="35"/>
        <v>0</v>
      </c>
      <c r="BZ35" s="1">
        <f t="shared" si="35"/>
        <v>0</v>
      </c>
      <c r="CA35" s="1">
        <f t="shared" si="35"/>
        <v>0</v>
      </c>
      <c r="CB35" s="1">
        <f t="shared" si="35"/>
        <v>0</v>
      </c>
      <c r="CC35" s="1">
        <f t="shared" si="35"/>
        <v>0</v>
      </c>
      <c r="CD35" s="1">
        <f t="shared" si="35"/>
        <v>0</v>
      </c>
      <c r="CE35" s="1">
        <f t="shared" si="35"/>
        <v>0</v>
      </c>
      <c r="CF35" s="1">
        <f t="shared" si="35"/>
        <v>0</v>
      </c>
      <c r="CG35" s="1">
        <f t="shared" si="35"/>
        <v>0</v>
      </c>
      <c r="CH35" s="1">
        <f t="shared" si="35"/>
        <v>0</v>
      </c>
      <c r="CI35" s="1">
        <f t="shared" si="35"/>
        <v>0</v>
      </c>
      <c r="CJ35" s="1">
        <f t="shared" si="35"/>
        <v>0</v>
      </c>
      <c r="CK35" s="1">
        <f t="shared" si="35"/>
        <v>0</v>
      </c>
      <c r="CL35" s="1">
        <f t="shared" si="35"/>
        <v>0</v>
      </c>
      <c r="CM35" s="1">
        <f t="shared" si="35"/>
        <v>0</v>
      </c>
      <c r="CN35" s="1">
        <f t="shared" si="35"/>
        <v>0</v>
      </c>
      <c r="CO35" s="1" t="e">
        <f t="shared" si="35"/>
        <v>#REF!</v>
      </c>
      <c r="CP35" s="1" t="e">
        <f t="shared" si="35"/>
        <v>#REF!</v>
      </c>
      <c r="CQ35" s="1" t="e">
        <f t="shared" si="35"/>
        <v>#REF!</v>
      </c>
      <c r="CR35" s="1" t="e">
        <f t="shared" si="35"/>
        <v>#REF!</v>
      </c>
      <c r="CS35" s="1" t="e">
        <f t="shared" si="35"/>
        <v>#REF!</v>
      </c>
      <c r="CT35" s="1" t="e">
        <f t="shared" si="35"/>
        <v>#REF!</v>
      </c>
      <c r="CU35" s="1" t="e">
        <f t="shared" si="35"/>
        <v>#REF!</v>
      </c>
      <c r="CV35" s="1" t="e">
        <f t="shared" si="35"/>
        <v>#REF!</v>
      </c>
      <c r="CW35" s="1" t="e">
        <f t="shared" si="35"/>
        <v>#REF!</v>
      </c>
      <c r="CX35" s="1" t="e">
        <f t="shared" si="33"/>
        <v>#REF!</v>
      </c>
      <c r="CY35" s="1" t="e">
        <f t="shared" si="33"/>
        <v>#REF!</v>
      </c>
      <c r="CZ35" s="1" t="e">
        <f t="shared" si="33"/>
        <v>#REF!</v>
      </c>
      <c r="DA35" s="1" t="e">
        <f t="shared" si="33"/>
        <v>#REF!</v>
      </c>
      <c r="DB35" s="1" t="e">
        <f t="shared" si="33"/>
        <v>#REF!</v>
      </c>
      <c r="DC35" s="1" t="e">
        <f t="shared" si="33"/>
        <v>#REF!</v>
      </c>
      <c r="DD35" s="1" t="e">
        <f t="shared" si="33"/>
        <v>#REF!</v>
      </c>
      <c r="DE35" s="1" t="e">
        <f t="shared" si="33"/>
        <v>#REF!</v>
      </c>
      <c r="DF35" s="1" t="e">
        <f t="shared" si="33"/>
        <v>#REF!</v>
      </c>
      <c r="DG35" s="1" t="e">
        <f t="shared" si="33"/>
        <v>#REF!</v>
      </c>
      <c r="DK35" s="1">
        <f t="shared" si="11"/>
        <v>2057</v>
      </c>
      <c r="DL35" s="1">
        <f t="shared" ca="1" si="12"/>
        <v>77</v>
      </c>
      <c r="DM35" s="1">
        <f t="shared" ca="1" si="13"/>
        <v>82</v>
      </c>
      <c r="DN35" s="1" t="e">
        <f>IF(BP$32=0,NA(),BP$32)</f>
        <v>#N/A</v>
      </c>
      <c r="DO35" s="1" t="e">
        <f>IF(BP$33=0,NA(),BP$33)</f>
        <v>#N/A</v>
      </c>
      <c r="DP35" s="1" t="e">
        <f>IF(BP$34=0,NA(),BP$34)</f>
        <v>#N/A</v>
      </c>
      <c r="DQ35" s="1" t="e">
        <f>IF(BP$35=0,NA(),BP$35)</f>
        <v>#N/A</v>
      </c>
      <c r="DR35" s="1" t="e">
        <f>IF(BP$36=0,NA(),BP$36)</f>
        <v>#N/A</v>
      </c>
      <c r="DS35" s="1" t="e">
        <f>IF(BP$37=0,NA(),BP$37)</f>
        <v>#N/A</v>
      </c>
      <c r="DT35" s="1" t="e">
        <f>IF(BP$38=0,NA(),BP$38)</f>
        <v>#N/A</v>
      </c>
      <c r="DU35" s="1" t="e">
        <f>IF(BP$39=0,NA(),BP$39)</f>
        <v>#N/A</v>
      </c>
      <c r="DV35" s="1" t="e">
        <f>IF(BP$40=0,NA(),BP$40)</f>
        <v>#N/A</v>
      </c>
      <c r="DW35" s="1" t="e">
        <f>IF(BP$41=0,NA(),BP$41)</f>
        <v>#N/A</v>
      </c>
      <c r="DX35" s="1" t="e">
        <f>IF(BP$42=0,NA(),BP$42)</f>
        <v>#N/A</v>
      </c>
      <c r="DY35" s="1" t="e">
        <f>IF(BP$43=0,NA(),BP$43)</f>
        <v>#N/A</v>
      </c>
      <c r="DZ35" s="1" t="e">
        <f>IF(BP$44=0,NA(),BP$44)</f>
        <v>#N/A</v>
      </c>
      <c r="EA35" s="1" t="e">
        <f>IF(BP$45=0,NA(),BP$45)</f>
        <v>#N/A</v>
      </c>
      <c r="EB35" s="1" t="e">
        <f>IF(BP$46=0,NA(),BP$46)</f>
        <v>#N/A</v>
      </c>
      <c r="EC35" s="1" t="e">
        <f>IF(BP$47=0,NA(),BP$47)</f>
        <v>#N/A</v>
      </c>
      <c r="ED35" s="1" t="e">
        <f>IF(BP$48=0,NA(),BP$48)</f>
        <v>#N/A</v>
      </c>
      <c r="EE35" s="1" t="e">
        <f>IF(BP$49=0,NA(),BP$49)</f>
        <v>#N/A</v>
      </c>
      <c r="EF35" s="1" t="e">
        <f>IF(BP$50=0,NA(),BP$50)</f>
        <v>#N/A</v>
      </c>
      <c r="EG35" s="1" t="e">
        <f>IF(BP$51=0,NA(),BP$51)</f>
        <v>#N/A</v>
      </c>
      <c r="EH35" s="1" t="e">
        <f>IF(BP$52=0,NA(),BP$52)</f>
        <v>#N/A</v>
      </c>
      <c r="EI35" s="1" t="e">
        <f>IF(BP$53=0,NA(),BP$53)</f>
        <v>#N/A</v>
      </c>
      <c r="EJ35" s="1" t="e">
        <f>IF(BP$54=0,NA(),BP$54)</f>
        <v>#N/A</v>
      </c>
      <c r="EK35" s="1" t="e">
        <f>IF(BP$55=0,NA(),BP$55)</f>
        <v>#N/A</v>
      </c>
      <c r="EL35" s="1" t="e">
        <f>IF(BP$56=0,NA(),BP$56)</f>
        <v>#N/A</v>
      </c>
      <c r="EM35" s="1" t="e">
        <f>IF(BP$57=0,NA(),BP$57)</f>
        <v>#N/A</v>
      </c>
    </row>
    <row r="36" spans="2:143" ht="15" customHeight="1" x14ac:dyDescent="0.3">
      <c r="AJ36" s="1">
        <f t="shared" si="31"/>
        <v>0</v>
      </c>
      <c r="AK36" s="1">
        <f t="shared" si="34"/>
        <v>0</v>
      </c>
      <c r="AL36" s="1">
        <f t="shared" si="35"/>
        <v>0</v>
      </c>
      <c r="AM36" s="1">
        <f t="shared" si="35"/>
        <v>0</v>
      </c>
      <c r="AN36" s="1">
        <f t="shared" si="35"/>
        <v>0</v>
      </c>
      <c r="AO36" s="1">
        <f t="shared" si="35"/>
        <v>0</v>
      </c>
      <c r="AP36" s="1">
        <f t="shared" si="35"/>
        <v>0</v>
      </c>
      <c r="AQ36" s="1">
        <f t="shared" si="35"/>
        <v>0</v>
      </c>
      <c r="AR36" s="1">
        <f t="shared" si="35"/>
        <v>0</v>
      </c>
      <c r="AS36" s="1">
        <f t="shared" si="35"/>
        <v>0</v>
      </c>
      <c r="AT36" s="1">
        <f t="shared" si="35"/>
        <v>0</v>
      </c>
      <c r="AU36" s="1">
        <f t="shared" si="35"/>
        <v>0</v>
      </c>
      <c r="AV36" s="1">
        <f t="shared" si="35"/>
        <v>0</v>
      </c>
      <c r="AW36" s="1">
        <f t="shared" si="35"/>
        <v>0</v>
      </c>
      <c r="AX36" s="1">
        <f t="shared" si="35"/>
        <v>0</v>
      </c>
      <c r="AY36" s="1">
        <f t="shared" si="35"/>
        <v>0</v>
      </c>
      <c r="AZ36" s="1">
        <f t="shared" si="35"/>
        <v>0</v>
      </c>
      <c r="BA36" s="1">
        <f t="shared" si="35"/>
        <v>0</v>
      </c>
      <c r="BB36" s="1">
        <f t="shared" si="35"/>
        <v>0</v>
      </c>
      <c r="BC36" s="1">
        <f t="shared" si="35"/>
        <v>0</v>
      </c>
      <c r="BD36" s="1">
        <f t="shared" si="35"/>
        <v>0</v>
      </c>
      <c r="BE36" s="1">
        <f t="shared" si="35"/>
        <v>0</v>
      </c>
      <c r="BF36" s="1">
        <f t="shared" si="35"/>
        <v>0</v>
      </c>
      <c r="BG36" s="1">
        <f t="shared" si="35"/>
        <v>0</v>
      </c>
      <c r="BH36" s="1">
        <f t="shared" si="35"/>
        <v>0</v>
      </c>
      <c r="BI36" s="1">
        <f t="shared" si="35"/>
        <v>0</v>
      </c>
      <c r="BJ36" s="1">
        <f t="shared" si="35"/>
        <v>0</v>
      </c>
      <c r="BK36" s="1">
        <f t="shared" si="35"/>
        <v>0</v>
      </c>
      <c r="BL36" s="1">
        <f t="shared" si="35"/>
        <v>0</v>
      </c>
      <c r="BM36" s="1">
        <f t="shared" si="35"/>
        <v>0</v>
      </c>
      <c r="BN36" s="1">
        <f t="shared" si="35"/>
        <v>0</v>
      </c>
      <c r="BO36" s="1">
        <f t="shared" si="35"/>
        <v>0</v>
      </c>
      <c r="BP36" s="1">
        <f t="shared" si="35"/>
        <v>0</v>
      </c>
      <c r="BQ36" s="1">
        <f t="shared" si="35"/>
        <v>0</v>
      </c>
      <c r="BR36" s="1">
        <f t="shared" si="35"/>
        <v>0</v>
      </c>
      <c r="BS36" s="1">
        <f t="shared" si="35"/>
        <v>0</v>
      </c>
      <c r="BT36" s="1">
        <f t="shared" si="35"/>
        <v>0</v>
      </c>
      <c r="BU36" s="1">
        <f t="shared" si="35"/>
        <v>0</v>
      </c>
      <c r="BV36" s="1">
        <f t="shared" si="35"/>
        <v>0</v>
      </c>
      <c r="BW36" s="1">
        <f t="shared" si="35"/>
        <v>0</v>
      </c>
      <c r="BX36" s="1">
        <f t="shared" si="35"/>
        <v>0</v>
      </c>
      <c r="BY36" s="1">
        <f t="shared" si="35"/>
        <v>0</v>
      </c>
      <c r="BZ36" s="1">
        <f t="shared" si="35"/>
        <v>0</v>
      </c>
      <c r="CA36" s="1">
        <f t="shared" si="35"/>
        <v>0</v>
      </c>
      <c r="CB36" s="1">
        <f t="shared" si="35"/>
        <v>0</v>
      </c>
      <c r="CC36" s="1">
        <f t="shared" si="35"/>
        <v>0</v>
      </c>
      <c r="CD36" s="1">
        <f t="shared" si="35"/>
        <v>0</v>
      </c>
      <c r="CE36" s="1">
        <f t="shared" si="35"/>
        <v>0</v>
      </c>
      <c r="CF36" s="1">
        <f t="shared" si="35"/>
        <v>0</v>
      </c>
      <c r="CG36" s="1">
        <f t="shared" si="35"/>
        <v>0</v>
      </c>
      <c r="CH36" s="1">
        <f t="shared" si="35"/>
        <v>0</v>
      </c>
      <c r="CI36" s="1">
        <f t="shared" si="35"/>
        <v>0</v>
      </c>
      <c r="CJ36" s="1">
        <f t="shared" si="35"/>
        <v>0</v>
      </c>
      <c r="CK36" s="1">
        <f t="shared" si="35"/>
        <v>0</v>
      </c>
      <c r="CL36" s="1">
        <f t="shared" si="35"/>
        <v>0</v>
      </c>
      <c r="CM36" s="1">
        <f t="shared" si="35"/>
        <v>0</v>
      </c>
      <c r="CN36" s="1">
        <f t="shared" si="35"/>
        <v>0</v>
      </c>
      <c r="CO36" s="1" t="e">
        <f t="shared" si="35"/>
        <v>#REF!</v>
      </c>
      <c r="CP36" s="1" t="e">
        <f t="shared" si="35"/>
        <v>#REF!</v>
      </c>
      <c r="CQ36" s="1" t="e">
        <f t="shared" si="35"/>
        <v>#REF!</v>
      </c>
      <c r="CR36" s="1" t="e">
        <f t="shared" si="35"/>
        <v>#REF!</v>
      </c>
      <c r="CS36" s="1" t="e">
        <f t="shared" si="35"/>
        <v>#REF!</v>
      </c>
      <c r="CT36" s="1" t="e">
        <f t="shared" si="35"/>
        <v>#REF!</v>
      </c>
      <c r="CU36" s="1" t="e">
        <f t="shared" si="35"/>
        <v>#REF!</v>
      </c>
      <c r="CV36" s="1" t="e">
        <f t="shared" si="35"/>
        <v>#REF!</v>
      </c>
      <c r="CW36" s="1" t="e">
        <f t="shared" si="35"/>
        <v>#REF!</v>
      </c>
      <c r="CX36" s="1" t="e">
        <f t="shared" si="33"/>
        <v>#REF!</v>
      </c>
      <c r="CY36" s="1" t="e">
        <f t="shared" si="33"/>
        <v>#REF!</v>
      </c>
      <c r="CZ36" s="1" t="e">
        <f t="shared" si="33"/>
        <v>#REF!</v>
      </c>
      <c r="DA36" s="1" t="e">
        <f t="shared" si="33"/>
        <v>#REF!</v>
      </c>
      <c r="DB36" s="1" t="e">
        <f t="shared" si="33"/>
        <v>#REF!</v>
      </c>
      <c r="DC36" s="1" t="e">
        <f t="shared" si="33"/>
        <v>#REF!</v>
      </c>
      <c r="DD36" s="1" t="e">
        <f t="shared" si="33"/>
        <v>#REF!</v>
      </c>
      <c r="DE36" s="1" t="e">
        <f t="shared" si="33"/>
        <v>#REF!</v>
      </c>
      <c r="DF36" s="1" t="e">
        <f t="shared" si="33"/>
        <v>#REF!</v>
      </c>
      <c r="DG36" s="1" t="e">
        <f t="shared" si="33"/>
        <v>#REF!</v>
      </c>
      <c r="DK36" s="1">
        <f t="shared" si="11"/>
        <v>2058</v>
      </c>
      <c r="DL36" s="1">
        <f t="shared" ca="1" si="12"/>
        <v>78</v>
      </c>
      <c r="DM36" s="1">
        <f t="shared" ca="1" si="13"/>
        <v>83</v>
      </c>
      <c r="DN36" s="1" t="e">
        <f>IF(BQ$32=0,NA(),BQ$32)</f>
        <v>#N/A</v>
      </c>
      <c r="DO36" s="1" t="e">
        <f>IF(BQ$33=0,NA(),BQ$33)</f>
        <v>#N/A</v>
      </c>
      <c r="DP36" s="1" t="e">
        <f>IF(BQ$34=0,NA(),BQ$34)</f>
        <v>#N/A</v>
      </c>
      <c r="DQ36" s="1" t="e">
        <f>IF(BQ$35=0,NA(),BQ$35)</f>
        <v>#N/A</v>
      </c>
      <c r="DR36" s="1" t="e">
        <f>IF(BQ$36=0,NA(),BQ$36)</f>
        <v>#N/A</v>
      </c>
      <c r="DS36" s="1" t="e">
        <f>IF(BQ$37=0,NA(),BQ$37)</f>
        <v>#N/A</v>
      </c>
      <c r="DT36" s="1" t="e">
        <f>IF(BQ$38=0,NA(),BQ$38)</f>
        <v>#N/A</v>
      </c>
      <c r="DU36" s="1" t="e">
        <f>IF(BQ$39=0,NA(),BQ$39)</f>
        <v>#N/A</v>
      </c>
      <c r="DV36" s="1" t="e">
        <f>IF(BQ$40=0,NA(),BQ$40)</f>
        <v>#N/A</v>
      </c>
      <c r="DW36" s="1" t="e">
        <f>IF(BQ$41=0,NA(),BQ$41)</f>
        <v>#N/A</v>
      </c>
      <c r="DX36" s="1" t="e">
        <f>IF(BQ$42=0,NA(),BQ$42)</f>
        <v>#N/A</v>
      </c>
      <c r="DY36" s="1" t="e">
        <f>IF(BQ$43=0,NA(),BQ$43)</f>
        <v>#N/A</v>
      </c>
      <c r="DZ36" s="1" t="e">
        <f>IF(BQ$44=0,NA(),BQ$44)</f>
        <v>#N/A</v>
      </c>
      <c r="EA36" s="1" t="e">
        <f>IF(BQ$45=0,NA(),BQ$45)</f>
        <v>#N/A</v>
      </c>
      <c r="EB36" s="1" t="e">
        <f>IF(BQ$46=0,NA(),BQ$46)</f>
        <v>#N/A</v>
      </c>
      <c r="EC36" s="1" t="e">
        <f>IF(BQ$47=0,NA(),BQ$47)</f>
        <v>#N/A</v>
      </c>
      <c r="ED36" s="1" t="e">
        <f>IF(BQ$48=0,NA(),BQ$48)</f>
        <v>#N/A</v>
      </c>
      <c r="EE36" s="1" t="e">
        <f>IF(BQ$49=0,NA(),BQ$49)</f>
        <v>#N/A</v>
      </c>
      <c r="EF36" s="1" t="e">
        <f>IF(BQ$50=0,NA(),BQ$50)</f>
        <v>#N/A</v>
      </c>
      <c r="EG36" s="1" t="e">
        <f>IF(BQ$51=0,NA(),BQ$51)</f>
        <v>#N/A</v>
      </c>
      <c r="EH36" s="1" t="e">
        <f>IF(BQ$52=0,NA(),BQ$52)</f>
        <v>#N/A</v>
      </c>
      <c r="EI36" s="1" t="e">
        <f>IF(BQ$53=0,NA(),BQ$53)</f>
        <v>#N/A</v>
      </c>
      <c r="EJ36" s="1" t="e">
        <f>IF(BQ$54=0,NA(),BQ$54)</f>
        <v>#N/A</v>
      </c>
      <c r="EK36" s="1" t="e">
        <f>IF(BQ$55=0,NA(),BQ$55)</f>
        <v>#N/A</v>
      </c>
      <c r="EL36" s="1" t="e">
        <f>IF(BQ$56=0,NA(),BQ$56)</f>
        <v>#N/A</v>
      </c>
      <c r="EM36" s="1" t="e">
        <f>IF(BQ$57=0,NA(),BQ$57)</f>
        <v>#N/A</v>
      </c>
    </row>
    <row r="37" spans="2:143" ht="15" customHeight="1" x14ac:dyDescent="0.3">
      <c r="AJ37" s="1">
        <f t="shared" si="31"/>
        <v>0</v>
      </c>
      <c r="AK37" s="1">
        <f t="shared" si="34"/>
        <v>0</v>
      </c>
      <c r="AL37" s="1">
        <f t="shared" si="35"/>
        <v>0</v>
      </c>
      <c r="AM37" s="1">
        <f t="shared" si="35"/>
        <v>0</v>
      </c>
      <c r="AN37" s="1">
        <f t="shared" si="35"/>
        <v>0</v>
      </c>
      <c r="AO37" s="1">
        <f t="shared" si="35"/>
        <v>0</v>
      </c>
      <c r="AP37" s="1">
        <f t="shared" si="35"/>
        <v>0</v>
      </c>
      <c r="AQ37" s="1">
        <f t="shared" si="35"/>
        <v>0</v>
      </c>
      <c r="AR37" s="1">
        <f t="shared" si="35"/>
        <v>0</v>
      </c>
      <c r="AS37" s="1">
        <f t="shared" si="35"/>
        <v>0</v>
      </c>
      <c r="AT37" s="1">
        <f t="shared" si="35"/>
        <v>0</v>
      </c>
      <c r="AU37" s="1">
        <f t="shared" si="35"/>
        <v>0</v>
      </c>
      <c r="AV37" s="1">
        <f t="shared" si="35"/>
        <v>0</v>
      </c>
      <c r="AW37" s="1">
        <f t="shared" si="35"/>
        <v>0</v>
      </c>
      <c r="AX37" s="1">
        <f t="shared" si="35"/>
        <v>0</v>
      </c>
      <c r="AY37" s="1">
        <f t="shared" si="35"/>
        <v>0</v>
      </c>
      <c r="AZ37" s="1">
        <f t="shared" si="35"/>
        <v>0</v>
      </c>
      <c r="BA37" s="1">
        <f t="shared" si="35"/>
        <v>0</v>
      </c>
      <c r="BB37" s="1">
        <f t="shared" si="35"/>
        <v>0</v>
      </c>
      <c r="BC37" s="1">
        <f t="shared" si="35"/>
        <v>0</v>
      </c>
      <c r="BD37" s="1">
        <f t="shared" si="35"/>
        <v>0</v>
      </c>
      <c r="BE37" s="1">
        <f t="shared" si="35"/>
        <v>0</v>
      </c>
      <c r="BF37" s="1">
        <f t="shared" si="35"/>
        <v>0</v>
      </c>
      <c r="BG37" s="1">
        <f t="shared" si="35"/>
        <v>0</v>
      </c>
      <c r="BH37" s="1">
        <f t="shared" si="35"/>
        <v>0</v>
      </c>
      <c r="BI37" s="1">
        <f t="shared" si="35"/>
        <v>0</v>
      </c>
      <c r="BJ37" s="1">
        <f t="shared" si="35"/>
        <v>0</v>
      </c>
      <c r="BK37" s="1">
        <f t="shared" si="35"/>
        <v>0</v>
      </c>
      <c r="BL37" s="1">
        <f t="shared" si="35"/>
        <v>0</v>
      </c>
      <c r="BM37" s="1">
        <f t="shared" si="35"/>
        <v>0</v>
      </c>
      <c r="BN37" s="1">
        <f t="shared" si="35"/>
        <v>0</v>
      </c>
      <c r="BO37" s="1">
        <f t="shared" si="35"/>
        <v>0</v>
      </c>
      <c r="BP37" s="1">
        <f t="shared" si="35"/>
        <v>0</v>
      </c>
      <c r="BQ37" s="1">
        <f t="shared" si="35"/>
        <v>0</v>
      </c>
      <c r="BR37" s="1">
        <f t="shared" si="35"/>
        <v>0</v>
      </c>
      <c r="BS37" s="1">
        <f t="shared" si="35"/>
        <v>0</v>
      </c>
      <c r="BT37" s="1">
        <f t="shared" si="35"/>
        <v>0</v>
      </c>
      <c r="BU37" s="1">
        <f t="shared" si="35"/>
        <v>0</v>
      </c>
      <c r="BV37" s="1">
        <f t="shared" si="35"/>
        <v>0</v>
      </c>
      <c r="BW37" s="1">
        <f t="shared" si="35"/>
        <v>0</v>
      </c>
      <c r="BX37" s="1">
        <f t="shared" si="35"/>
        <v>0</v>
      </c>
      <c r="BY37" s="1">
        <f t="shared" si="35"/>
        <v>0</v>
      </c>
      <c r="BZ37" s="1">
        <f t="shared" si="35"/>
        <v>0</v>
      </c>
      <c r="CA37" s="1">
        <f t="shared" si="35"/>
        <v>0</v>
      </c>
      <c r="CB37" s="1">
        <f t="shared" si="35"/>
        <v>0</v>
      </c>
      <c r="CC37" s="1">
        <f t="shared" si="35"/>
        <v>0</v>
      </c>
      <c r="CD37" s="1">
        <f t="shared" si="35"/>
        <v>0</v>
      </c>
      <c r="CE37" s="1">
        <f t="shared" si="35"/>
        <v>0</v>
      </c>
      <c r="CF37" s="1">
        <f t="shared" si="35"/>
        <v>0</v>
      </c>
      <c r="CG37" s="1">
        <f t="shared" si="35"/>
        <v>0</v>
      </c>
      <c r="CH37" s="1">
        <f t="shared" si="35"/>
        <v>0</v>
      </c>
      <c r="CI37" s="1">
        <f t="shared" si="35"/>
        <v>0</v>
      </c>
      <c r="CJ37" s="1">
        <f t="shared" si="35"/>
        <v>0</v>
      </c>
      <c r="CK37" s="1">
        <f t="shared" si="35"/>
        <v>0</v>
      </c>
      <c r="CL37" s="1">
        <f t="shared" si="35"/>
        <v>0</v>
      </c>
      <c r="CM37" s="1">
        <f t="shared" si="35"/>
        <v>0</v>
      </c>
      <c r="CN37" s="1">
        <f t="shared" si="35"/>
        <v>0</v>
      </c>
      <c r="CO37" s="1" t="e">
        <f t="shared" si="35"/>
        <v>#REF!</v>
      </c>
      <c r="CP37" s="1" t="e">
        <f t="shared" si="35"/>
        <v>#REF!</v>
      </c>
      <c r="CQ37" s="1" t="e">
        <f t="shared" si="35"/>
        <v>#REF!</v>
      </c>
      <c r="CR37" s="1" t="e">
        <f t="shared" si="35"/>
        <v>#REF!</v>
      </c>
      <c r="CS37" s="1" t="e">
        <f t="shared" si="35"/>
        <v>#REF!</v>
      </c>
      <c r="CT37" s="1" t="e">
        <f t="shared" si="35"/>
        <v>#REF!</v>
      </c>
      <c r="CU37" s="1" t="e">
        <f t="shared" si="35"/>
        <v>#REF!</v>
      </c>
      <c r="CV37" s="1" t="e">
        <f t="shared" si="35"/>
        <v>#REF!</v>
      </c>
      <c r="CW37" s="1" t="e">
        <f t="shared" si="35"/>
        <v>#REF!</v>
      </c>
      <c r="CX37" s="1" t="e">
        <f t="shared" si="33"/>
        <v>#REF!</v>
      </c>
      <c r="CY37" s="1" t="e">
        <f t="shared" si="33"/>
        <v>#REF!</v>
      </c>
      <c r="CZ37" s="1" t="e">
        <f t="shared" si="33"/>
        <v>#REF!</v>
      </c>
      <c r="DA37" s="1" t="e">
        <f t="shared" si="33"/>
        <v>#REF!</v>
      </c>
      <c r="DB37" s="1" t="e">
        <f t="shared" si="33"/>
        <v>#REF!</v>
      </c>
      <c r="DC37" s="1" t="e">
        <f t="shared" si="33"/>
        <v>#REF!</v>
      </c>
      <c r="DD37" s="1" t="e">
        <f t="shared" si="33"/>
        <v>#REF!</v>
      </c>
      <c r="DE37" s="1" t="e">
        <f t="shared" si="33"/>
        <v>#REF!</v>
      </c>
      <c r="DF37" s="1" t="e">
        <f t="shared" si="33"/>
        <v>#REF!</v>
      </c>
      <c r="DG37" s="1" t="e">
        <f t="shared" si="33"/>
        <v>#REF!</v>
      </c>
      <c r="DK37" s="1">
        <f t="shared" si="11"/>
        <v>2059</v>
      </c>
      <c r="DL37" s="1">
        <f t="shared" ca="1" si="12"/>
        <v>79</v>
      </c>
      <c r="DM37" s="1">
        <f t="shared" ca="1" si="13"/>
        <v>84</v>
      </c>
      <c r="DN37" s="1" t="e">
        <f>IF(BR$32=0,NA(),BR$32)</f>
        <v>#N/A</v>
      </c>
      <c r="DO37" s="1" t="e">
        <f>IF(BR$33=0,NA(),BR$33)</f>
        <v>#N/A</v>
      </c>
      <c r="DP37" s="1" t="e">
        <f>IF(BR$34=0,NA(),BR$34)</f>
        <v>#N/A</v>
      </c>
      <c r="DQ37" s="1" t="e">
        <f>IF(BR$35=0,NA(),BR$35)</f>
        <v>#N/A</v>
      </c>
      <c r="DR37" s="1" t="e">
        <f>IF(BR$36=0,NA(),BR$36)</f>
        <v>#N/A</v>
      </c>
      <c r="DS37" s="1" t="e">
        <f>IF(BR$37=0,NA(),BR$37)</f>
        <v>#N/A</v>
      </c>
      <c r="DT37" s="1" t="e">
        <f>IF(BR$38=0,NA(),BR$38)</f>
        <v>#N/A</v>
      </c>
      <c r="DU37" s="1" t="e">
        <f>IF(BR$39=0,NA(),BR$39)</f>
        <v>#N/A</v>
      </c>
      <c r="DV37" s="1" t="e">
        <f>IF(BR$40=0,NA(),BR$40)</f>
        <v>#N/A</v>
      </c>
      <c r="DW37" s="1" t="e">
        <f>IF(BR$41=0,NA(),BR$41)</f>
        <v>#N/A</v>
      </c>
      <c r="DX37" s="1" t="e">
        <f>IF(BR$42=0,NA(),BR$42)</f>
        <v>#N/A</v>
      </c>
      <c r="DY37" s="1" t="e">
        <f>IF(BR$43=0,NA(),BR$43)</f>
        <v>#N/A</v>
      </c>
      <c r="DZ37" s="1" t="e">
        <f>IF(BR$44=0,NA(),BR$44)</f>
        <v>#N/A</v>
      </c>
      <c r="EA37" s="1" t="e">
        <f>IF(BR$45=0,NA(),BR$45)</f>
        <v>#N/A</v>
      </c>
      <c r="EB37" s="1" t="e">
        <f>IF(BR$46=0,NA(),BR$46)</f>
        <v>#N/A</v>
      </c>
      <c r="EC37" s="1" t="e">
        <f>IF(BR$47=0,NA(),BR$47)</f>
        <v>#N/A</v>
      </c>
      <c r="ED37" s="1" t="e">
        <f>IF(BR$48=0,NA(),BR$48)</f>
        <v>#N/A</v>
      </c>
      <c r="EE37" s="1" t="e">
        <f>IF(BR$49=0,NA(),BR$49)</f>
        <v>#N/A</v>
      </c>
      <c r="EF37" s="1" t="e">
        <f>IF(BR$50=0,NA(),BR$50)</f>
        <v>#N/A</v>
      </c>
      <c r="EG37" s="1" t="e">
        <f>IF(BR$51=0,NA(),BR$51)</f>
        <v>#N/A</v>
      </c>
      <c r="EH37" s="1" t="e">
        <f>IF(BR$52=0,NA(),BR$52)</f>
        <v>#N/A</v>
      </c>
      <c r="EI37" s="1" t="e">
        <f>IF(BR$53=0,NA(),BR$53)</f>
        <v>#N/A</v>
      </c>
      <c r="EJ37" s="1" t="e">
        <f>IF(BR$54=0,NA(),BR$54)</f>
        <v>#N/A</v>
      </c>
      <c r="EK37" s="1" t="e">
        <f>IF(BR$55=0,NA(),BR$55)</f>
        <v>#N/A</v>
      </c>
      <c r="EL37" s="1" t="e">
        <f>IF(BR$56=0,NA(),BR$56)</f>
        <v>#N/A</v>
      </c>
      <c r="EM37" s="1" t="e">
        <f>IF(BR$57=0,NA(),BR$57)</f>
        <v>#N/A</v>
      </c>
    </row>
    <row r="38" spans="2:143" ht="15" customHeight="1" x14ac:dyDescent="0.3">
      <c r="AJ38" s="1">
        <f t="shared" si="31"/>
        <v>0</v>
      </c>
      <c r="AK38" s="1">
        <f t="shared" si="34"/>
        <v>0</v>
      </c>
      <c r="AL38" s="1">
        <f t="shared" si="35"/>
        <v>0</v>
      </c>
      <c r="AM38" s="1">
        <f t="shared" si="35"/>
        <v>0</v>
      </c>
      <c r="AN38" s="1">
        <f t="shared" si="35"/>
        <v>0</v>
      </c>
      <c r="AO38" s="1">
        <f t="shared" si="35"/>
        <v>0</v>
      </c>
      <c r="AP38" s="1">
        <f t="shared" si="35"/>
        <v>0</v>
      </c>
      <c r="AQ38" s="1">
        <f t="shared" si="35"/>
        <v>0</v>
      </c>
      <c r="AR38" s="1">
        <f t="shared" si="35"/>
        <v>0</v>
      </c>
      <c r="AS38" s="1">
        <f t="shared" si="35"/>
        <v>0</v>
      </c>
      <c r="AT38" s="1">
        <f t="shared" si="35"/>
        <v>0</v>
      </c>
      <c r="AU38" s="1">
        <f t="shared" si="35"/>
        <v>0</v>
      </c>
      <c r="AV38" s="1">
        <f t="shared" si="35"/>
        <v>0</v>
      </c>
      <c r="AW38" s="1">
        <f t="shared" si="35"/>
        <v>0</v>
      </c>
      <c r="AX38" s="1">
        <f t="shared" si="35"/>
        <v>0</v>
      </c>
      <c r="AY38" s="1">
        <f t="shared" si="35"/>
        <v>0</v>
      </c>
      <c r="AZ38" s="1">
        <f t="shared" si="35"/>
        <v>0</v>
      </c>
      <c r="BA38" s="1">
        <f t="shared" si="35"/>
        <v>0</v>
      </c>
      <c r="BB38" s="1">
        <f t="shared" si="35"/>
        <v>0</v>
      </c>
      <c r="BC38" s="1">
        <f t="shared" si="35"/>
        <v>0</v>
      </c>
      <c r="BD38" s="1">
        <f t="shared" si="35"/>
        <v>0</v>
      </c>
      <c r="BE38" s="1">
        <f t="shared" si="35"/>
        <v>0</v>
      </c>
      <c r="BF38" s="1">
        <f t="shared" si="35"/>
        <v>0</v>
      </c>
      <c r="BG38" s="1">
        <f t="shared" si="35"/>
        <v>0</v>
      </c>
      <c r="BH38" s="1">
        <f t="shared" si="35"/>
        <v>0</v>
      </c>
      <c r="BI38" s="1">
        <f t="shared" si="35"/>
        <v>0</v>
      </c>
      <c r="BJ38" s="1">
        <f t="shared" si="35"/>
        <v>0</v>
      </c>
      <c r="BK38" s="1">
        <f t="shared" si="35"/>
        <v>0</v>
      </c>
      <c r="BL38" s="1">
        <f t="shared" si="35"/>
        <v>0</v>
      </c>
      <c r="BM38" s="1">
        <f t="shared" si="35"/>
        <v>0</v>
      </c>
      <c r="BN38" s="1">
        <f t="shared" si="35"/>
        <v>0</v>
      </c>
      <c r="BO38" s="1">
        <f t="shared" si="35"/>
        <v>0</v>
      </c>
      <c r="BP38" s="1">
        <f t="shared" si="35"/>
        <v>0</v>
      </c>
      <c r="BQ38" s="1">
        <f t="shared" si="35"/>
        <v>0</v>
      </c>
      <c r="BR38" s="1">
        <f t="shared" si="35"/>
        <v>0</v>
      </c>
      <c r="BS38" s="1">
        <f t="shared" si="35"/>
        <v>0</v>
      </c>
      <c r="BT38" s="1">
        <f t="shared" si="35"/>
        <v>0</v>
      </c>
      <c r="BU38" s="1">
        <f t="shared" si="35"/>
        <v>0</v>
      </c>
      <c r="BV38" s="1">
        <f t="shared" si="35"/>
        <v>0</v>
      </c>
      <c r="BW38" s="1">
        <f t="shared" si="35"/>
        <v>0</v>
      </c>
      <c r="BX38" s="1">
        <f t="shared" si="35"/>
        <v>0</v>
      </c>
      <c r="BY38" s="1">
        <f t="shared" si="35"/>
        <v>0</v>
      </c>
      <c r="BZ38" s="1">
        <f t="shared" si="35"/>
        <v>0</v>
      </c>
      <c r="CA38" s="1">
        <f t="shared" si="35"/>
        <v>0</v>
      </c>
      <c r="CB38" s="1">
        <f t="shared" si="35"/>
        <v>0</v>
      </c>
      <c r="CC38" s="1">
        <f t="shared" si="35"/>
        <v>0</v>
      </c>
      <c r="CD38" s="1">
        <f t="shared" si="35"/>
        <v>0</v>
      </c>
      <c r="CE38" s="1">
        <f t="shared" si="35"/>
        <v>0</v>
      </c>
      <c r="CF38" s="1">
        <f t="shared" si="35"/>
        <v>0</v>
      </c>
      <c r="CG38" s="1">
        <f t="shared" si="35"/>
        <v>0</v>
      </c>
      <c r="CH38" s="1">
        <f t="shared" si="35"/>
        <v>0</v>
      </c>
      <c r="CI38" s="1">
        <f t="shared" si="35"/>
        <v>0</v>
      </c>
      <c r="CJ38" s="1">
        <f t="shared" si="35"/>
        <v>0</v>
      </c>
      <c r="CK38" s="1">
        <f t="shared" si="35"/>
        <v>0</v>
      </c>
      <c r="CL38" s="1">
        <f t="shared" si="35"/>
        <v>0</v>
      </c>
      <c r="CM38" s="1">
        <f t="shared" si="35"/>
        <v>0</v>
      </c>
      <c r="CN38" s="1">
        <f t="shared" si="35"/>
        <v>0</v>
      </c>
      <c r="CO38" s="1" t="e">
        <f t="shared" si="35"/>
        <v>#REF!</v>
      </c>
      <c r="CP38" s="1" t="e">
        <f t="shared" si="35"/>
        <v>#REF!</v>
      </c>
      <c r="CQ38" s="1" t="e">
        <f t="shared" si="35"/>
        <v>#REF!</v>
      </c>
      <c r="CR38" s="1" t="e">
        <f t="shared" si="35"/>
        <v>#REF!</v>
      </c>
      <c r="CS38" s="1" t="e">
        <f t="shared" si="35"/>
        <v>#REF!</v>
      </c>
      <c r="CT38" s="1" t="e">
        <f t="shared" si="35"/>
        <v>#REF!</v>
      </c>
      <c r="CU38" s="1" t="e">
        <f t="shared" si="35"/>
        <v>#REF!</v>
      </c>
      <c r="CV38" s="1" t="e">
        <f t="shared" si="35"/>
        <v>#REF!</v>
      </c>
      <c r="CW38" s="1" t="e">
        <f t="shared" ref="CW38:DG41" si="36">CW9*(1+$AH9)^(CW$31-$AJ$31)</f>
        <v>#REF!</v>
      </c>
      <c r="CX38" s="1" t="e">
        <f t="shared" si="36"/>
        <v>#REF!</v>
      </c>
      <c r="CY38" s="1" t="e">
        <f t="shared" si="36"/>
        <v>#REF!</v>
      </c>
      <c r="CZ38" s="1" t="e">
        <f t="shared" si="36"/>
        <v>#REF!</v>
      </c>
      <c r="DA38" s="1" t="e">
        <f t="shared" si="36"/>
        <v>#REF!</v>
      </c>
      <c r="DB38" s="1" t="e">
        <f t="shared" si="36"/>
        <v>#REF!</v>
      </c>
      <c r="DC38" s="1" t="e">
        <f t="shared" si="36"/>
        <v>#REF!</v>
      </c>
      <c r="DD38" s="1" t="e">
        <f t="shared" si="36"/>
        <v>#REF!</v>
      </c>
      <c r="DE38" s="1" t="e">
        <f t="shared" si="36"/>
        <v>#REF!</v>
      </c>
      <c r="DF38" s="1" t="e">
        <f t="shared" si="36"/>
        <v>#REF!</v>
      </c>
      <c r="DG38" s="1" t="e">
        <f t="shared" si="36"/>
        <v>#REF!</v>
      </c>
      <c r="DK38" s="1">
        <f t="shared" si="11"/>
        <v>2060</v>
      </c>
      <c r="DL38" s="1">
        <f t="shared" ca="1" si="12"/>
        <v>80</v>
      </c>
      <c r="DM38" s="1">
        <f t="shared" ca="1" si="13"/>
        <v>85</v>
      </c>
      <c r="DN38" s="1" t="e">
        <f>IF(BS$32=0,NA(),BS$32)</f>
        <v>#N/A</v>
      </c>
      <c r="DO38" s="1" t="e">
        <f>IF(BS$33=0,NA(),BS$33)</f>
        <v>#N/A</v>
      </c>
      <c r="DP38" s="1" t="e">
        <f>IF(BS$34=0,NA(),BS$34)</f>
        <v>#N/A</v>
      </c>
      <c r="DQ38" s="1" t="e">
        <f>IF(BS$35=0,NA(),BS$35)</f>
        <v>#N/A</v>
      </c>
      <c r="DR38" s="1" t="e">
        <f>IF(BS$36=0,NA(),BS$36)</f>
        <v>#N/A</v>
      </c>
      <c r="DS38" s="1" t="e">
        <f>IF(BS$37=0,NA(),BS$37)</f>
        <v>#N/A</v>
      </c>
      <c r="DT38" s="1" t="e">
        <f>IF(BS$38=0,NA(),BS$38)</f>
        <v>#N/A</v>
      </c>
      <c r="DU38" s="1" t="e">
        <f>IF(BS$39=0,NA(),BS$39)</f>
        <v>#N/A</v>
      </c>
      <c r="DV38" s="1" t="e">
        <f>IF(BS$40=0,NA(),BS$40)</f>
        <v>#N/A</v>
      </c>
      <c r="DW38" s="1" t="e">
        <f>IF(BS$41=0,NA(),BS$41)</f>
        <v>#N/A</v>
      </c>
      <c r="DX38" s="1" t="e">
        <f>IF(BS$42=0,NA(),BS$42)</f>
        <v>#N/A</v>
      </c>
      <c r="DY38" s="1" t="e">
        <f>IF(BS$43=0,NA(),BS$43)</f>
        <v>#N/A</v>
      </c>
      <c r="DZ38" s="1" t="e">
        <f>IF(BS$44=0,NA(),BS$44)</f>
        <v>#N/A</v>
      </c>
      <c r="EA38" s="1" t="e">
        <f>IF(BS$45=0,NA(),BS$45)</f>
        <v>#N/A</v>
      </c>
      <c r="EB38" s="1" t="e">
        <f>IF(BS$46=0,NA(),BS$46)</f>
        <v>#N/A</v>
      </c>
      <c r="EC38" s="1" t="e">
        <f>IF(BS$47=0,NA(),BS$47)</f>
        <v>#N/A</v>
      </c>
      <c r="ED38" s="1" t="e">
        <f>IF(BS$48=0,NA(),BS$48)</f>
        <v>#N/A</v>
      </c>
      <c r="EE38" s="1" t="e">
        <f>IF(BS$49=0,NA(),BS$49)</f>
        <v>#N/A</v>
      </c>
      <c r="EF38" s="1" t="e">
        <f>IF(BS$50=0,NA(),BS$50)</f>
        <v>#N/A</v>
      </c>
      <c r="EG38" s="1" t="e">
        <f>IF(BS$51=0,NA(),BS$51)</f>
        <v>#N/A</v>
      </c>
      <c r="EH38" s="1" t="e">
        <f>IF(BS$52=0,NA(),BS$52)</f>
        <v>#N/A</v>
      </c>
      <c r="EI38" s="1" t="e">
        <f>IF(BS$53=0,NA(),BS$53)</f>
        <v>#N/A</v>
      </c>
      <c r="EJ38" s="1" t="e">
        <f>IF(BS$54=0,NA(),BS$54)</f>
        <v>#N/A</v>
      </c>
      <c r="EK38" s="1" t="e">
        <f>IF(BS$55=0,NA(),BS$55)</f>
        <v>#N/A</v>
      </c>
      <c r="EL38" s="1" t="e">
        <f>IF(BS$56=0,NA(),BS$56)</f>
        <v>#N/A</v>
      </c>
      <c r="EM38" s="1" t="e">
        <f>IF(BS$57=0,NA(),BS$57)</f>
        <v>#N/A</v>
      </c>
    </row>
    <row r="39" spans="2:143" ht="15" customHeight="1" x14ac:dyDescent="0.3">
      <c r="AJ39" s="1">
        <f t="shared" si="31"/>
        <v>0</v>
      </c>
      <c r="AK39" s="1">
        <f t="shared" si="34"/>
        <v>0</v>
      </c>
      <c r="AL39" s="1">
        <f t="shared" ref="AL39:CW42" si="37">AL10*(1+$AH10)^(AL$31-$AJ$31)</f>
        <v>0</v>
      </c>
      <c r="AM39" s="1">
        <f t="shared" si="37"/>
        <v>0</v>
      </c>
      <c r="AN39" s="1">
        <f t="shared" si="37"/>
        <v>0</v>
      </c>
      <c r="AO39" s="1">
        <f t="shared" si="37"/>
        <v>0</v>
      </c>
      <c r="AP39" s="1">
        <f t="shared" si="37"/>
        <v>0</v>
      </c>
      <c r="AQ39" s="1">
        <f t="shared" si="37"/>
        <v>0</v>
      </c>
      <c r="AR39" s="1">
        <f t="shared" si="37"/>
        <v>0</v>
      </c>
      <c r="AS39" s="1">
        <f t="shared" si="37"/>
        <v>0</v>
      </c>
      <c r="AT39" s="1">
        <f t="shared" si="37"/>
        <v>0</v>
      </c>
      <c r="AU39" s="1">
        <f t="shared" si="37"/>
        <v>0</v>
      </c>
      <c r="AV39" s="1">
        <f t="shared" si="37"/>
        <v>0</v>
      </c>
      <c r="AW39" s="1">
        <f t="shared" si="37"/>
        <v>0</v>
      </c>
      <c r="AX39" s="1">
        <f t="shared" si="37"/>
        <v>0</v>
      </c>
      <c r="AY39" s="1">
        <f t="shared" si="37"/>
        <v>0</v>
      </c>
      <c r="AZ39" s="1">
        <f t="shared" si="37"/>
        <v>0</v>
      </c>
      <c r="BA39" s="1">
        <f t="shared" si="37"/>
        <v>0</v>
      </c>
      <c r="BB39" s="1">
        <f t="shared" si="37"/>
        <v>0</v>
      </c>
      <c r="BC39" s="1">
        <f t="shared" si="37"/>
        <v>0</v>
      </c>
      <c r="BD39" s="1">
        <f t="shared" si="37"/>
        <v>0</v>
      </c>
      <c r="BE39" s="1">
        <f t="shared" si="37"/>
        <v>0</v>
      </c>
      <c r="BF39" s="1">
        <f t="shared" si="37"/>
        <v>0</v>
      </c>
      <c r="BG39" s="1">
        <f t="shared" si="37"/>
        <v>0</v>
      </c>
      <c r="BH39" s="1">
        <f t="shared" si="37"/>
        <v>0</v>
      </c>
      <c r="BI39" s="1">
        <f t="shared" si="37"/>
        <v>0</v>
      </c>
      <c r="BJ39" s="1">
        <f t="shared" si="37"/>
        <v>0</v>
      </c>
      <c r="BK39" s="1">
        <f t="shared" si="37"/>
        <v>0</v>
      </c>
      <c r="BL39" s="1">
        <f t="shared" si="37"/>
        <v>0</v>
      </c>
      <c r="BM39" s="1">
        <f t="shared" si="37"/>
        <v>0</v>
      </c>
      <c r="BN39" s="1">
        <f t="shared" si="37"/>
        <v>0</v>
      </c>
      <c r="BO39" s="1">
        <f t="shared" si="37"/>
        <v>0</v>
      </c>
      <c r="BP39" s="1">
        <f t="shared" si="37"/>
        <v>0</v>
      </c>
      <c r="BQ39" s="1">
        <f t="shared" si="37"/>
        <v>0</v>
      </c>
      <c r="BR39" s="1">
        <f t="shared" si="37"/>
        <v>0</v>
      </c>
      <c r="BS39" s="1">
        <f t="shared" si="37"/>
        <v>0</v>
      </c>
      <c r="BT39" s="1">
        <f t="shared" si="37"/>
        <v>0</v>
      </c>
      <c r="BU39" s="1">
        <f t="shared" si="37"/>
        <v>0</v>
      </c>
      <c r="BV39" s="1">
        <f t="shared" si="37"/>
        <v>0</v>
      </c>
      <c r="BW39" s="1">
        <f t="shared" si="37"/>
        <v>0</v>
      </c>
      <c r="BX39" s="1">
        <f t="shared" si="37"/>
        <v>0</v>
      </c>
      <c r="BY39" s="1">
        <f t="shared" si="37"/>
        <v>0</v>
      </c>
      <c r="BZ39" s="1">
        <f t="shared" si="37"/>
        <v>0</v>
      </c>
      <c r="CA39" s="1">
        <f t="shared" si="37"/>
        <v>0</v>
      </c>
      <c r="CB39" s="1">
        <f t="shared" si="37"/>
        <v>0</v>
      </c>
      <c r="CC39" s="1">
        <f t="shared" si="37"/>
        <v>0</v>
      </c>
      <c r="CD39" s="1">
        <f t="shared" si="37"/>
        <v>0</v>
      </c>
      <c r="CE39" s="1">
        <f t="shared" si="37"/>
        <v>0</v>
      </c>
      <c r="CF39" s="1">
        <f t="shared" si="37"/>
        <v>0</v>
      </c>
      <c r="CG39" s="1">
        <f t="shared" si="37"/>
        <v>0</v>
      </c>
      <c r="CH39" s="1">
        <f t="shared" si="37"/>
        <v>0</v>
      </c>
      <c r="CI39" s="1">
        <f t="shared" si="37"/>
        <v>0</v>
      </c>
      <c r="CJ39" s="1">
        <f t="shared" si="37"/>
        <v>0</v>
      </c>
      <c r="CK39" s="1">
        <f t="shared" si="37"/>
        <v>0</v>
      </c>
      <c r="CL39" s="1">
        <f t="shared" si="37"/>
        <v>0</v>
      </c>
      <c r="CM39" s="1">
        <f t="shared" si="37"/>
        <v>0</v>
      </c>
      <c r="CN39" s="1">
        <f t="shared" si="37"/>
        <v>0</v>
      </c>
      <c r="CO39" s="1" t="e">
        <f t="shared" si="37"/>
        <v>#REF!</v>
      </c>
      <c r="CP39" s="1" t="e">
        <f t="shared" si="37"/>
        <v>#REF!</v>
      </c>
      <c r="CQ39" s="1" t="e">
        <f t="shared" si="37"/>
        <v>#REF!</v>
      </c>
      <c r="CR39" s="1" t="e">
        <f t="shared" si="37"/>
        <v>#REF!</v>
      </c>
      <c r="CS39" s="1" t="e">
        <f t="shared" si="37"/>
        <v>#REF!</v>
      </c>
      <c r="CT39" s="1" t="e">
        <f t="shared" si="37"/>
        <v>#REF!</v>
      </c>
      <c r="CU39" s="1" t="e">
        <f t="shared" si="37"/>
        <v>#REF!</v>
      </c>
      <c r="CV39" s="1" t="e">
        <f t="shared" si="37"/>
        <v>#REF!</v>
      </c>
      <c r="CW39" s="1" t="e">
        <f t="shared" si="37"/>
        <v>#REF!</v>
      </c>
      <c r="CX39" s="1" t="e">
        <f t="shared" si="36"/>
        <v>#REF!</v>
      </c>
      <c r="CY39" s="1" t="e">
        <f t="shared" si="36"/>
        <v>#REF!</v>
      </c>
      <c r="CZ39" s="1" t="e">
        <f t="shared" si="36"/>
        <v>#REF!</v>
      </c>
      <c r="DA39" s="1" t="e">
        <f t="shared" si="36"/>
        <v>#REF!</v>
      </c>
      <c r="DB39" s="1" t="e">
        <f t="shared" si="36"/>
        <v>#REF!</v>
      </c>
      <c r="DC39" s="1" t="e">
        <f t="shared" si="36"/>
        <v>#REF!</v>
      </c>
      <c r="DD39" s="1" t="e">
        <f t="shared" si="36"/>
        <v>#REF!</v>
      </c>
      <c r="DE39" s="1" t="e">
        <f t="shared" si="36"/>
        <v>#REF!</v>
      </c>
      <c r="DF39" s="1" t="e">
        <f t="shared" si="36"/>
        <v>#REF!</v>
      </c>
      <c r="DG39" s="1" t="e">
        <f t="shared" si="36"/>
        <v>#REF!</v>
      </c>
      <c r="DK39" s="1">
        <f t="shared" si="11"/>
        <v>2061</v>
      </c>
      <c r="DL39" s="1">
        <f t="shared" ca="1" si="12"/>
        <v>81</v>
      </c>
      <c r="DM39" s="1">
        <f t="shared" ca="1" si="13"/>
        <v>86</v>
      </c>
      <c r="DN39" s="1" t="e">
        <f>IF(BT$32=0,NA(),BT$32)</f>
        <v>#N/A</v>
      </c>
      <c r="DO39" s="1" t="e">
        <f>IF(BT$33=0,NA(),BT$33)</f>
        <v>#N/A</v>
      </c>
      <c r="DP39" s="1" t="e">
        <f>IF(BT$34=0,NA(),BT$34)</f>
        <v>#N/A</v>
      </c>
      <c r="DQ39" s="1" t="e">
        <f>IF(BT$35=0,NA(),BT$35)</f>
        <v>#N/A</v>
      </c>
      <c r="DR39" s="1" t="e">
        <f>IF(BT$36=0,NA(),BT$36)</f>
        <v>#N/A</v>
      </c>
      <c r="DS39" s="1" t="e">
        <f>IF(BT$37=0,NA(),BT$37)</f>
        <v>#N/A</v>
      </c>
      <c r="DT39" s="1" t="e">
        <f>IF(BT$38=0,NA(),BT$38)</f>
        <v>#N/A</v>
      </c>
      <c r="DU39" s="1" t="e">
        <f>IF(BT$39=0,NA(),BT$39)</f>
        <v>#N/A</v>
      </c>
      <c r="DV39" s="1" t="e">
        <f>IF(BT$40=0,NA(),BT$40)</f>
        <v>#N/A</v>
      </c>
      <c r="DW39" s="1" t="e">
        <f>IF(BT$41=0,NA(),BT$41)</f>
        <v>#N/A</v>
      </c>
      <c r="DX39" s="1" t="e">
        <f>IF(BT$42=0,NA(),BT$42)</f>
        <v>#N/A</v>
      </c>
      <c r="DY39" s="1" t="e">
        <f>IF(BT$43=0,NA(),BT$43)</f>
        <v>#N/A</v>
      </c>
      <c r="DZ39" s="1" t="e">
        <f>IF(BT$44=0,NA(),BT$44)</f>
        <v>#N/A</v>
      </c>
      <c r="EA39" s="1" t="e">
        <f>IF(BT$45=0,NA(),BT$45)</f>
        <v>#N/A</v>
      </c>
      <c r="EB39" s="1" t="e">
        <f>IF(BT$46=0,NA(),BT$46)</f>
        <v>#N/A</v>
      </c>
      <c r="EC39" s="1" t="e">
        <f>IF(BT$47=0,NA(),BT$47)</f>
        <v>#N/A</v>
      </c>
      <c r="ED39" s="1" t="e">
        <f>IF(BT$48=0,NA(),BT$48)</f>
        <v>#N/A</v>
      </c>
      <c r="EE39" s="1" t="e">
        <f>IF(BT$49=0,NA(),BT$49)</f>
        <v>#N/A</v>
      </c>
      <c r="EF39" s="1" t="e">
        <f>IF(BT$50=0,NA(),BT$50)</f>
        <v>#N/A</v>
      </c>
      <c r="EG39" s="1" t="e">
        <f>IF(BT$51=0,NA(),BT$51)</f>
        <v>#N/A</v>
      </c>
      <c r="EH39" s="1" t="e">
        <f>IF(BT$52=0,NA(),BT$52)</f>
        <v>#N/A</v>
      </c>
      <c r="EI39" s="1" t="e">
        <f>IF(BT$53=0,NA(),BT$53)</f>
        <v>#N/A</v>
      </c>
      <c r="EJ39" s="1" t="e">
        <f>IF(BT$54=0,NA(),BT$54)</f>
        <v>#N/A</v>
      </c>
      <c r="EK39" s="1" t="e">
        <f>IF(BT$55=0,NA(),BT$55)</f>
        <v>#N/A</v>
      </c>
      <c r="EL39" s="1" t="e">
        <f>IF(BT$56=0,NA(),BT$56)</f>
        <v>#N/A</v>
      </c>
      <c r="EM39" s="1" t="e">
        <f>IF(BT$57=0,NA(),BT$57)</f>
        <v>#N/A</v>
      </c>
    </row>
    <row r="40" spans="2:143" ht="15" customHeight="1" x14ac:dyDescent="0.3">
      <c r="AJ40" s="1">
        <f t="shared" si="31"/>
        <v>0</v>
      </c>
      <c r="AK40" s="1">
        <f t="shared" si="34"/>
        <v>0</v>
      </c>
      <c r="AL40" s="1">
        <f t="shared" si="37"/>
        <v>0</v>
      </c>
      <c r="AM40" s="1">
        <f t="shared" si="37"/>
        <v>0</v>
      </c>
      <c r="AN40" s="1">
        <f t="shared" si="37"/>
        <v>0</v>
      </c>
      <c r="AO40" s="1">
        <f t="shared" si="37"/>
        <v>0</v>
      </c>
      <c r="AP40" s="1">
        <f t="shared" si="37"/>
        <v>0</v>
      </c>
      <c r="AQ40" s="1">
        <f t="shared" si="37"/>
        <v>0</v>
      </c>
      <c r="AR40" s="1">
        <f t="shared" si="37"/>
        <v>0</v>
      </c>
      <c r="AS40" s="1">
        <f t="shared" si="37"/>
        <v>0</v>
      </c>
      <c r="AT40" s="1">
        <f t="shared" si="37"/>
        <v>0</v>
      </c>
      <c r="AU40" s="1">
        <f t="shared" si="37"/>
        <v>0</v>
      </c>
      <c r="AV40" s="1">
        <f t="shared" si="37"/>
        <v>0</v>
      </c>
      <c r="AW40" s="1">
        <f t="shared" si="37"/>
        <v>0</v>
      </c>
      <c r="AX40" s="1">
        <f t="shared" si="37"/>
        <v>0</v>
      </c>
      <c r="AY40" s="1">
        <f t="shared" si="37"/>
        <v>0</v>
      </c>
      <c r="AZ40" s="1">
        <f t="shared" si="37"/>
        <v>0</v>
      </c>
      <c r="BA40" s="1">
        <f t="shared" si="37"/>
        <v>0</v>
      </c>
      <c r="BB40" s="1">
        <f t="shared" si="37"/>
        <v>0</v>
      </c>
      <c r="BC40" s="1">
        <f t="shared" si="37"/>
        <v>0</v>
      </c>
      <c r="BD40" s="1">
        <f t="shared" si="37"/>
        <v>0</v>
      </c>
      <c r="BE40" s="1">
        <f t="shared" si="37"/>
        <v>0</v>
      </c>
      <c r="BF40" s="1">
        <f t="shared" si="37"/>
        <v>0</v>
      </c>
      <c r="BG40" s="1">
        <f t="shared" si="37"/>
        <v>0</v>
      </c>
      <c r="BH40" s="1">
        <f t="shared" si="37"/>
        <v>0</v>
      </c>
      <c r="BI40" s="1">
        <f t="shared" si="37"/>
        <v>0</v>
      </c>
      <c r="BJ40" s="1">
        <f t="shared" si="37"/>
        <v>0</v>
      </c>
      <c r="BK40" s="1">
        <f t="shared" si="37"/>
        <v>0</v>
      </c>
      <c r="BL40" s="1">
        <f t="shared" si="37"/>
        <v>0</v>
      </c>
      <c r="BM40" s="1">
        <f t="shared" si="37"/>
        <v>0</v>
      </c>
      <c r="BN40" s="1">
        <f t="shared" si="37"/>
        <v>0</v>
      </c>
      <c r="BO40" s="1">
        <f t="shared" si="37"/>
        <v>0</v>
      </c>
      <c r="BP40" s="1">
        <f t="shared" si="37"/>
        <v>0</v>
      </c>
      <c r="BQ40" s="1">
        <f t="shared" si="37"/>
        <v>0</v>
      </c>
      <c r="BR40" s="1">
        <f t="shared" si="37"/>
        <v>0</v>
      </c>
      <c r="BS40" s="1">
        <f t="shared" si="37"/>
        <v>0</v>
      </c>
      <c r="BT40" s="1">
        <f t="shared" si="37"/>
        <v>0</v>
      </c>
      <c r="BU40" s="1">
        <f t="shared" si="37"/>
        <v>0</v>
      </c>
      <c r="BV40" s="1">
        <f t="shared" si="37"/>
        <v>0</v>
      </c>
      <c r="BW40" s="1">
        <f t="shared" si="37"/>
        <v>0</v>
      </c>
      <c r="BX40" s="1">
        <f t="shared" si="37"/>
        <v>0</v>
      </c>
      <c r="BY40" s="1">
        <f t="shared" si="37"/>
        <v>0</v>
      </c>
      <c r="BZ40" s="1">
        <f t="shared" si="37"/>
        <v>0</v>
      </c>
      <c r="CA40" s="1">
        <f t="shared" si="37"/>
        <v>0</v>
      </c>
      <c r="CB40" s="1">
        <f t="shared" si="37"/>
        <v>0</v>
      </c>
      <c r="CC40" s="1">
        <f t="shared" si="37"/>
        <v>0</v>
      </c>
      <c r="CD40" s="1">
        <f t="shared" si="37"/>
        <v>0</v>
      </c>
      <c r="CE40" s="1">
        <f t="shared" si="37"/>
        <v>0</v>
      </c>
      <c r="CF40" s="1">
        <f t="shared" si="37"/>
        <v>0</v>
      </c>
      <c r="CG40" s="1">
        <f t="shared" si="37"/>
        <v>0</v>
      </c>
      <c r="CH40" s="1">
        <f t="shared" si="37"/>
        <v>0</v>
      </c>
      <c r="CI40" s="1">
        <f t="shared" si="37"/>
        <v>0</v>
      </c>
      <c r="CJ40" s="1">
        <f t="shared" si="37"/>
        <v>0</v>
      </c>
      <c r="CK40" s="1">
        <f t="shared" si="37"/>
        <v>0</v>
      </c>
      <c r="CL40" s="1">
        <f t="shared" si="37"/>
        <v>0</v>
      </c>
      <c r="CM40" s="1">
        <f t="shared" si="37"/>
        <v>0</v>
      </c>
      <c r="CN40" s="1">
        <f t="shared" si="37"/>
        <v>0</v>
      </c>
      <c r="CO40" s="1" t="e">
        <f t="shared" si="37"/>
        <v>#REF!</v>
      </c>
      <c r="CP40" s="1" t="e">
        <f t="shared" si="37"/>
        <v>#REF!</v>
      </c>
      <c r="CQ40" s="1" t="e">
        <f t="shared" si="37"/>
        <v>#REF!</v>
      </c>
      <c r="CR40" s="1" t="e">
        <f t="shared" si="37"/>
        <v>#REF!</v>
      </c>
      <c r="CS40" s="1" t="e">
        <f t="shared" si="37"/>
        <v>#REF!</v>
      </c>
      <c r="CT40" s="1" t="e">
        <f t="shared" si="37"/>
        <v>#REF!</v>
      </c>
      <c r="CU40" s="1" t="e">
        <f t="shared" si="37"/>
        <v>#REF!</v>
      </c>
      <c r="CV40" s="1" t="e">
        <f t="shared" si="37"/>
        <v>#REF!</v>
      </c>
      <c r="CW40" s="1" t="e">
        <f t="shared" si="37"/>
        <v>#REF!</v>
      </c>
      <c r="CX40" s="1" t="e">
        <f t="shared" si="36"/>
        <v>#REF!</v>
      </c>
      <c r="CY40" s="1" t="e">
        <f t="shared" si="36"/>
        <v>#REF!</v>
      </c>
      <c r="CZ40" s="1" t="e">
        <f t="shared" si="36"/>
        <v>#REF!</v>
      </c>
      <c r="DA40" s="1" t="e">
        <f t="shared" si="36"/>
        <v>#REF!</v>
      </c>
      <c r="DB40" s="1" t="e">
        <f t="shared" si="36"/>
        <v>#REF!</v>
      </c>
      <c r="DC40" s="1" t="e">
        <f t="shared" si="36"/>
        <v>#REF!</v>
      </c>
      <c r="DD40" s="1" t="e">
        <f t="shared" si="36"/>
        <v>#REF!</v>
      </c>
      <c r="DE40" s="1" t="e">
        <f t="shared" si="36"/>
        <v>#REF!</v>
      </c>
      <c r="DF40" s="1" t="e">
        <f t="shared" si="36"/>
        <v>#REF!</v>
      </c>
      <c r="DG40" s="1" t="e">
        <f t="shared" si="36"/>
        <v>#REF!</v>
      </c>
      <c r="DK40" s="1">
        <f t="shared" si="11"/>
        <v>2062</v>
      </c>
      <c r="DL40" s="1">
        <f t="shared" ca="1" si="12"/>
        <v>82</v>
      </c>
      <c r="DM40" s="1">
        <f t="shared" ca="1" si="13"/>
        <v>87</v>
      </c>
      <c r="DN40" s="1" t="e">
        <f>IF(BU$32=0,NA(),BU$32)</f>
        <v>#N/A</v>
      </c>
      <c r="DO40" s="1" t="e">
        <f>IF(BU$33=0,NA(),BU$33)</f>
        <v>#N/A</v>
      </c>
      <c r="DP40" s="1" t="e">
        <f>IF(BU$34=0,NA(),BU$34)</f>
        <v>#N/A</v>
      </c>
      <c r="DQ40" s="1" t="e">
        <f>IF(BU$35=0,NA(),BU$35)</f>
        <v>#N/A</v>
      </c>
      <c r="DR40" s="1" t="e">
        <f>IF(BU$36=0,NA(),BU$36)</f>
        <v>#N/A</v>
      </c>
      <c r="DS40" s="1" t="e">
        <f>IF(BU$37=0,NA(),BU$37)</f>
        <v>#N/A</v>
      </c>
      <c r="DT40" s="1" t="e">
        <f>IF(BU$38=0,NA(),BU$38)</f>
        <v>#N/A</v>
      </c>
      <c r="DU40" s="1" t="e">
        <f>IF(BU$39=0,NA(),BU$39)</f>
        <v>#N/A</v>
      </c>
      <c r="DV40" s="1" t="e">
        <f>IF(BU$40=0,NA(),BU$40)</f>
        <v>#N/A</v>
      </c>
      <c r="DW40" s="1" t="e">
        <f>IF(BU$41=0,NA(),BU$41)</f>
        <v>#N/A</v>
      </c>
      <c r="DX40" s="1" t="e">
        <f>IF(BU$42=0,NA(),BU$42)</f>
        <v>#N/A</v>
      </c>
      <c r="DY40" s="1" t="e">
        <f>IF(BU$43=0,NA(),BU$43)</f>
        <v>#N/A</v>
      </c>
      <c r="DZ40" s="1" t="e">
        <f>IF(BU$44=0,NA(),BU$44)</f>
        <v>#N/A</v>
      </c>
      <c r="EA40" s="1" t="e">
        <f>IF(BU$45=0,NA(),BU$45)</f>
        <v>#N/A</v>
      </c>
      <c r="EB40" s="1" t="e">
        <f>IF(BU$46=0,NA(),BU$46)</f>
        <v>#N/A</v>
      </c>
      <c r="EC40" s="1" t="e">
        <f>IF(BU$47=0,NA(),BU$47)</f>
        <v>#N/A</v>
      </c>
      <c r="ED40" s="1" t="e">
        <f>IF(BU$48=0,NA(),BU$48)</f>
        <v>#N/A</v>
      </c>
      <c r="EE40" s="1" t="e">
        <f>IF(BU$49=0,NA(),BU$49)</f>
        <v>#N/A</v>
      </c>
      <c r="EF40" s="1" t="e">
        <f>IF(BU$50=0,NA(),BU$50)</f>
        <v>#N/A</v>
      </c>
      <c r="EG40" s="1" t="e">
        <f>IF(BU$51=0,NA(),BU$51)</f>
        <v>#N/A</v>
      </c>
      <c r="EH40" s="1" t="e">
        <f>IF(BU$52=0,NA(),BU$52)</f>
        <v>#N/A</v>
      </c>
      <c r="EI40" s="1" t="e">
        <f>IF(BU$53=0,NA(),BU$53)</f>
        <v>#N/A</v>
      </c>
      <c r="EJ40" s="1" t="e">
        <f>IF(BU$54=0,NA(),BU$54)</f>
        <v>#N/A</v>
      </c>
      <c r="EK40" s="1" t="e">
        <f>IF(BU$55=0,NA(),BU$55)</f>
        <v>#N/A</v>
      </c>
      <c r="EL40" s="1" t="e">
        <f>IF(BU$56=0,NA(),BU$56)</f>
        <v>#N/A</v>
      </c>
      <c r="EM40" s="1" t="e">
        <f>IF(BU$57=0,NA(),BU$57)</f>
        <v>#N/A</v>
      </c>
    </row>
    <row r="41" spans="2:143" ht="16.5" customHeight="1" x14ac:dyDescent="0.3">
      <c r="B41" s="43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AJ41" s="1">
        <f t="shared" si="31"/>
        <v>0</v>
      </c>
      <c r="AK41" s="1">
        <f t="shared" si="34"/>
        <v>0</v>
      </c>
      <c r="AL41" s="1">
        <f t="shared" si="37"/>
        <v>0</v>
      </c>
      <c r="AM41" s="1">
        <f t="shared" si="37"/>
        <v>0</v>
      </c>
      <c r="AN41" s="1">
        <f t="shared" si="37"/>
        <v>0</v>
      </c>
      <c r="AO41" s="1">
        <f t="shared" si="37"/>
        <v>0</v>
      </c>
      <c r="AP41" s="1">
        <f t="shared" si="37"/>
        <v>0</v>
      </c>
      <c r="AQ41" s="1">
        <f t="shared" si="37"/>
        <v>0</v>
      </c>
      <c r="AR41" s="1">
        <f t="shared" si="37"/>
        <v>0</v>
      </c>
      <c r="AS41" s="1">
        <f t="shared" si="37"/>
        <v>0</v>
      </c>
      <c r="AT41" s="1">
        <f t="shared" si="37"/>
        <v>0</v>
      </c>
      <c r="AU41" s="1">
        <f t="shared" si="37"/>
        <v>0</v>
      </c>
      <c r="AV41" s="1">
        <f t="shared" si="37"/>
        <v>0</v>
      </c>
      <c r="AW41" s="1">
        <f t="shared" si="37"/>
        <v>0</v>
      </c>
      <c r="AX41" s="1">
        <f t="shared" si="37"/>
        <v>0</v>
      </c>
      <c r="AY41" s="1">
        <f t="shared" si="37"/>
        <v>0</v>
      </c>
      <c r="AZ41" s="1">
        <f t="shared" si="37"/>
        <v>0</v>
      </c>
      <c r="BA41" s="1">
        <f t="shared" si="37"/>
        <v>0</v>
      </c>
      <c r="BB41" s="1">
        <f t="shared" si="37"/>
        <v>0</v>
      </c>
      <c r="BC41" s="1">
        <f t="shared" si="37"/>
        <v>0</v>
      </c>
      <c r="BD41" s="1">
        <f t="shared" si="37"/>
        <v>0</v>
      </c>
      <c r="BE41" s="1">
        <f t="shared" si="37"/>
        <v>0</v>
      </c>
      <c r="BF41" s="1">
        <f t="shared" si="37"/>
        <v>0</v>
      </c>
      <c r="BG41" s="1">
        <f t="shared" si="37"/>
        <v>0</v>
      </c>
      <c r="BH41" s="1">
        <f t="shared" si="37"/>
        <v>0</v>
      </c>
      <c r="BI41" s="1">
        <f t="shared" si="37"/>
        <v>0</v>
      </c>
      <c r="BJ41" s="1">
        <f t="shared" si="37"/>
        <v>0</v>
      </c>
      <c r="BK41" s="1">
        <f t="shared" si="37"/>
        <v>0</v>
      </c>
      <c r="BL41" s="1">
        <f t="shared" si="37"/>
        <v>0</v>
      </c>
      <c r="BM41" s="1">
        <f t="shared" si="37"/>
        <v>0</v>
      </c>
      <c r="BN41" s="1">
        <f t="shared" si="37"/>
        <v>0</v>
      </c>
      <c r="BO41" s="1">
        <f t="shared" si="37"/>
        <v>0</v>
      </c>
      <c r="BP41" s="1">
        <f t="shared" si="37"/>
        <v>0</v>
      </c>
      <c r="BQ41" s="1">
        <f t="shared" si="37"/>
        <v>0</v>
      </c>
      <c r="BR41" s="1">
        <f t="shared" si="37"/>
        <v>0</v>
      </c>
      <c r="BS41" s="1">
        <f t="shared" si="37"/>
        <v>0</v>
      </c>
      <c r="BT41" s="1">
        <f t="shared" si="37"/>
        <v>0</v>
      </c>
      <c r="BU41" s="1">
        <f t="shared" si="37"/>
        <v>0</v>
      </c>
      <c r="BV41" s="1">
        <f t="shared" si="37"/>
        <v>0</v>
      </c>
      <c r="BW41" s="1">
        <f t="shared" si="37"/>
        <v>0</v>
      </c>
      <c r="BX41" s="1">
        <f t="shared" si="37"/>
        <v>0</v>
      </c>
      <c r="BY41" s="1">
        <f t="shared" si="37"/>
        <v>0</v>
      </c>
      <c r="BZ41" s="1">
        <f t="shared" si="37"/>
        <v>0</v>
      </c>
      <c r="CA41" s="1">
        <f t="shared" si="37"/>
        <v>0</v>
      </c>
      <c r="CB41" s="1">
        <f t="shared" si="37"/>
        <v>0</v>
      </c>
      <c r="CC41" s="1">
        <f t="shared" si="37"/>
        <v>0</v>
      </c>
      <c r="CD41" s="1">
        <f t="shared" si="37"/>
        <v>0</v>
      </c>
      <c r="CE41" s="1">
        <f t="shared" si="37"/>
        <v>0</v>
      </c>
      <c r="CF41" s="1">
        <f t="shared" si="37"/>
        <v>0</v>
      </c>
      <c r="CG41" s="1">
        <f t="shared" si="37"/>
        <v>0</v>
      </c>
      <c r="CH41" s="1">
        <f t="shared" si="37"/>
        <v>0</v>
      </c>
      <c r="CI41" s="1">
        <f t="shared" si="37"/>
        <v>0</v>
      </c>
      <c r="CJ41" s="1">
        <f t="shared" si="37"/>
        <v>0</v>
      </c>
      <c r="CK41" s="1">
        <f t="shared" si="37"/>
        <v>0</v>
      </c>
      <c r="CL41" s="1">
        <f t="shared" si="37"/>
        <v>0</v>
      </c>
      <c r="CM41" s="1">
        <f t="shared" si="37"/>
        <v>0</v>
      </c>
      <c r="CN41" s="1">
        <f t="shared" si="37"/>
        <v>0</v>
      </c>
      <c r="CO41" s="1" t="e">
        <f t="shared" si="37"/>
        <v>#REF!</v>
      </c>
      <c r="CP41" s="1" t="e">
        <f t="shared" si="37"/>
        <v>#REF!</v>
      </c>
      <c r="CQ41" s="1" t="e">
        <f t="shared" si="37"/>
        <v>#REF!</v>
      </c>
      <c r="CR41" s="1" t="e">
        <f t="shared" si="37"/>
        <v>#REF!</v>
      </c>
      <c r="CS41" s="1" t="e">
        <f t="shared" si="37"/>
        <v>#REF!</v>
      </c>
      <c r="CT41" s="1" t="e">
        <f t="shared" si="37"/>
        <v>#REF!</v>
      </c>
      <c r="CU41" s="1" t="e">
        <f t="shared" si="37"/>
        <v>#REF!</v>
      </c>
      <c r="CV41" s="1" t="e">
        <f t="shared" si="37"/>
        <v>#REF!</v>
      </c>
      <c r="CW41" s="1" t="e">
        <f t="shared" si="37"/>
        <v>#REF!</v>
      </c>
      <c r="CX41" s="1" t="e">
        <f t="shared" si="36"/>
        <v>#REF!</v>
      </c>
      <c r="CY41" s="1" t="e">
        <f t="shared" si="36"/>
        <v>#REF!</v>
      </c>
      <c r="CZ41" s="1" t="e">
        <f t="shared" si="36"/>
        <v>#REF!</v>
      </c>
      <c r="DA41" s="1" t="e">
        <f t="shared" si="36"/>
        <v>#REF!</v>
      </c>
      <c r="DB41" s="1" t="e">
        <f t="shared" si="36"/>
        <v>#REF!</v>
      </c>
      <c r="DC41" s="1" t="e">
        <f t="shared" si="36"/>
        <v>#REF!</v>
      </c>
      <c r="DD41" s="1" t="e">
        <f t="shared" si="36"/>
        <v>#REF!</v>
      </c>
      <c r="DE41" s="1" t="e">
        <f t="shared" si="36"/>
        <v>#REF!</v>
      </c>
      <c r="DF41" s="1" t="e">
        <f t="shared" si="36"/>
        <v>#REF!</v>
      </c>
      <c r="DG41" s="1" t="e">
        <f t="shared" si="36"/>
        <v>#REF!</v>
      </c>
      <c r="DK41" s="1">
        <f t="shared" si="11"/>
        <v>2063</v>
      </c>
      <c r="DL41" s="1">
        <f t="shared" ca="1" si="12"/>
        <v>83</v>
      </c>
      <c r="DM41" s="1">
        <f t="shared" ca="1" si="13"/>
        <v>88</v>
      </c>
      <c r="DN41" s="1" t="e">
        <f>IF(BV$32=0,NA(),BV$32)</f>
        <v>#N/A</v>
      </c>
      <c r="DO41" s="1" t="e">
        <f>IF(BV$33=0,NA(),BV$33)</f>
        <v>#N/A</v>
      </c>
      <c r="DP41" s="1" t="e">
        <f>IF(BV$34=0,NA(),BV$34)</f>
        <v>#N/A</v>
      </c>
      <c r="DQ41" s="1" t="e">
        <f>IF(BV$35=0,NA(),BV$35)</f>
        <v>#N/A</v>
      </c>
      <c r="DR41" s="1" t="e">
        <f>IF(BV$36=0,NA(),BV$36)</f>
        <v>#N/A</v>
      </c>
      <c r="DS41" s="1" t="e">
        <f>IF(BV$37=0,NA(),BV$37)</f>
        <v>#N/A</v>
      </c>
      <c r="DT41" s="1" t="e">
        <f>IF(BV$38=0,NA(),BV$38)</f>
        <v>#N/A</v>
      </c>
      <c r="DU41" s="1" t="e">
        <f>IF(BV$39=0,NA(),BV$39)</f>
        <v>#N/A</v>
      </c>
      <c r="DV41" s="1" t="e">
        <f>IF(BV$40=0,NA(),BV$40)</f>
        <v>#N/A</v>
      </c>
      <c r="DW41" s="1" t="e">
        <f>IF(BV$41=0,NA(),BV$41)</f>
        <v>#N/A</v>
      </c>
      <c r="DX41" s="1" t="e">
        <f>IF(BV$42=0,NA(),BV$42)</f>
        <v>#N/A</v>
      </c>
      <c r="DY41" s="1" t="e">
        <f>IF(BV$43=0,NA(),BV$43)</f>
        <v>#N/A</v>
      </c>
      <c r="DZ41" s="1" t="e">
        <f>IF(BV$44=0,NA(),BV$44)</f>
        <v>#N/A</v>
      </c>
      <c r="EA41" s="1" t="e">
        <f>IF(BV$45=0,NA(),BV$45)</f>
        <v>#N/A</v>
      </c>
      <c r="EB41" s="1" t="e">
        <f>IF(BV$46=0,NA(),BV$46)</f>
        <v>#N/A</v>
      </c>
      <c r="EC41" s="1" t="e">
        <f>IF(BV$47=0,NA(),BV$47)</f>
        <v>#N/A</v>
      </c>
      <c r="ED41" s="1" t="e">
        <f>IF(BV$48=0,NA(),BV$48)</f>
        <v>#N/A</v>
      </c>
      <c r="EE41" s="1" t="e">
        <f>IF(BV$49=0,NA(),BV$49)</f>
        <v>#N/A</v>
      </c>
      <c r="EF41" s="1" t="e">
        <f>IF(BV$50=0,NA(),BV$50)</f>
        <v>#N/A</v>
      </c>
      <c r="EG41" s="1" t="e">
        <f>IF(BV$51=0,NA(),BV$51)</f>
        <v>#N/A</v>
      </c>
      <c r="EH41" s="1" t="e">
        <f>IF(BV$52=0,NA(),BV$52)</f>
        <v>#N/A</v>
      </c>
      <c r="EI41" s="1" t="e">
        <f>IF(BV$53=0,NA(),BV$53)</f>
        <v>#N/A</v>
      </c>
      <c r="EJ41" s="1" t="e">
        <f>IF(BV$54=0,NA(),BV$54)</f>
        <v>#N/A</v>
      </c>
      <c r="EK41" s="1" t="e">
        <f>IF(BV$55=0,NA(),BV$55)</f>
        <v>#N/A</v>
      </c>
      <c r="EL41" s="1" t="e">
        <f>IF(BV$56=0,NA(),BV$56)</f>
        <v>#N/A</v>
      </c>
      <c r="EM41" s="1" t="e">
        <f>IF(BV$57=0,NA(),BV$57)</f>
        <v>#N/A</v>
      </c>
    </row>
    <row r="42" spans="2:143" ht="15.75" customHeight="1" x14ac:dyDescent="0.3">
      <c r="B42" s="431"/>
      <c r="C42" s="431"/>
      <c r="D42" s="431"/>
      <c r="E42" s="431"/>
      <c r="F42" s="431"/>
      <c r="G42" s="431"/>
      <c r="H42" s="431"/>
      <c r="I42" s="431"/>
      <c r="J42" s="431"/>
      <c r="K42" s="431"/>
      <c r="L42" s="431"/>
      <c r="M42" s="431"/>
      <c r="N42" s="431"/>
      <c r="AJ42" s="1">
        <f t="shared" si="31"/>
        <v>0</v>
      </c>
      <c r="AK42" s="1">
        <f t="shared" si="34"/>
        <v>0</v>
      </c>
      <c r="AL42" s="1">
        <f t="shared" si="37"/>
        <v>0</v>
      </c>
      <c r="AM42" s="1">
        <f t="shared" si="37"/>
        <v>0</v>
      </c>
      <c r="AN42" s="1">
        <f t="shared" si="37"/>
        <v>0</v>
      </c>
      <c r="AO42" s="1">
        <f t="shared" si="37"/>
        <v>0</v>
      </c>
      <c r="AP42" s="1">
        <f t="shared" si="37"/>
        <v>0</v>
      </c>
      <c r="AQ42" s="1">
        <f t="shared" si="37"/>
        <v>0</v>
      </c>
      <c r="AR42" s="1">
        <f t="shared" si="37"/>
        <v>0</v>
      </c>
      <c r="AS42" s="1">
        <f t="shared" si="37"/>
        <v>0</v>
      </c>
      <c r="AT42" s="1">
        <f t="shared" si="37"/>
        <v>0</v>
      </c>
      <c r="AU42" s="1">
        <f t="shared" si="37"/>
        <v>0</v>
      </c>
      <c r="AV42" s="1">
        <f t="shared" si="37"/>
        <v>0</v>
      </c>
      <c r="AW42" s="1">
        <f t="shared" si="37"/>
        <v>0</v>
      </c>
      <c r="AX42" s="1">
        <f t="shared" si="37"/>
        <v>0</v>
      </c>
      <c r="AY42" s="1">
        <f t="shared" si="37"/>
        <v>0</v>
      </c>
      <c r="AZ42" s="1">
        <f t="shared" si="37"/>
        <v>0</v>
      </c>
      <c r="BA42" s="1">
        <f t="shared" si="37"/>
        <v>0</v>
      </c>
      <c r="BB42" s="1">
        <f t="shared" si="37"/>
        <v>0</v>
      </c>
      <c r="BC42" s="1">
        <f t="shared" si="37"/>
        <v>0</v>
      </c>
      <c r="BD42" s="1">
        <f t="shared" si="37"/>
        <v>0</v>
      </c>
      <c r="BE42" s="1">
        <f t="shared" si="37"/>
        <v>0</v>
      </c>
      <c r="BF42" s="1">
        <f t="shared" si="37"/>
        <v>0</v>
      </c>
      <c r="BG42" s="1">
        <f t="shared" si="37"/>
        <v>0</v>
      </c>
      <c r="BH42" s="1">
        <f t="shared" si="37"/>
        <v>0</v>
      </c>
      <c r="BI42" s="1">
        <f t="shared" si="37"/>
        <v>0</v>
      </c>
      <c r="BJ42" s="1">
        <f t="shared" si="37"/>
        <v>0</v>
      </c>
      <c r="BK42" s="1">
        <f t="shared" si="37"/>
        <v>0</v>
      </c>
      <c r="BL42" s="1">
        <f t="shared" si="37"/>
        <v>0</v>
      </c>
      <c r="BM42" s="1">
        <f t="shared" si="37"/>
        <v>0</v>
      </c>
      <c r="BN42" s="1">
        <f t="shared" si="37"/>
        <v>0</v>
      </c>
      <c r="BO42" s="1">
        <f t="shared" si="37"/>
        <v>0</v>
      </c>
      <c r="BP42" s="1">
        <f t="shared" si="37"/>
        <v>0</v>
      </c>
      <c r="BQ42" s="1">
        <f t="shared" si="37"/>
        <v>0</v>
      </c>
      <c r="BR42" s="1">
        <f t="shared" si="37"/>
        <v>0</v>
      </c>
      <c r="BS42" s="1">
        <f t="shared" si="37"/>
        <v>0</v>
      </c>
      <c r="BT42" s="1">
        <f t="shared" si="37"/>
        <v>0</v>
      </c>
      <c r="BU42" s="1">
        <f t="shared" si="37"/>
        <v>0</v>
      </c>
      <c r="BV42" s="1">
        <f t="shared" si="37"/>
        <v>0</v>
      </c>
      <c r="BW42" s="1">
        <f t="shared" si="37"/>
        <v>0</v>
      </c>
      <c r="BX42" s="1">
        <f t="shared" si="37"/>
        <v>0</v>
      </c>
      <c r="BY42" s="1">
        <f t="shared" si="37"/>
        <v>0</v>
      </c>
      <c r="BZ42" s="1">
        <f t="shared" si="37"/>
        <v>0</v>
      </c>
      <c r="CA42" s="1">
        <f t="shared" si="37"/>
        <v>0</v>
      </c>
      <c r="CB42" s="1">
        <f t="shared" si="37"/>
        <v>0</v>
      </c>
      <c r="CC42" s="1">
        <f t="shared" si="37"/>
        <v>0</v>
      </c>
      <c r="CD42" s="1">
        <f t="shared" si="37"/>
        <v>0</v>
      </c>
      <c r="CE42" s="1">
        <f t="shared" si="37"/>
        <v>0</v>
      </c>
      <c r="CF42" s="1">
        <f t="shared" si="37"/>
        <v>0</v>
      </c>
      <c r="CG42" s="1">
        <f t="shared" si="37"/>
        <v>0</v>
      </c>
      <c r="CH42" s="1">
        <f t="shared" si="37"/>
        <v>0</v>
      </c>
      <c r="CI42" s="1">
        <f t="shared" si="37"/>
        <v>0</v>
      </c>
      <c r="CJ42" s="1">
        <f t="shared" si="37"/>
        <v>0</v>
      </c>
      <c r="CK42" s="1">
        <f t="shared" si="37"/>
        <v>0</v>
      </c>
      <c r="CL42" s="1">
        <f t="shared" si="37"/>
        <v>0</v>
      </c>
      <c r="CM42" s="1">
        <f t="shared" si="37"/>
        <v>0</v>
      </c>
      <c r="CN42" s="1">
        <f t="shared" si="37"/>
        <v>0</v>
      </c>
      <c r="CO42" s="1" t="e">
        <f t="shared" si="37"/>
        <v>#REF!</v>
      </c>
      <c r="CP42" s="1" t="e">
        <f t="shared" si="37"/>
        <v>#REF!</v>
      </c>
      <c r="CQ42" s="1" t="e">
        <f t="shared" si="37"/>
        <v>#REF!</v>
      </c>
      <c r="CR42" s="1" t="e">
        <f t="shared" si="37"/>
        <v>#REF!</v>
      </c>
      <c r="CS42" s="1" t="e">
        <f t="shared" si="37"/>
        <v>#REF!</v>
      </c>
      <c r="CT42" s="1" t="e">
        <f t="shared" si="37"/>
        <v>#REF!</v>
      </c>
      <c r="CU42" s="1" t="e">
        <f t="shared" si="37"/>
        <v>#REF!</v>
      </c>
      <c r="CV42" s="1" t="e">
        <f t="shared" si="37"/>
        <v>#REF!</v>
      </c>
      <c r="CW42" s="1" t="e">
        <f t="shared" ref="CW42:DG45" si="38">CW13*(1+$AH13)^(CW$31-$AJ$31)</f>
        <v>#REF!</v>
      </c>
      <c r="CX42" s="1" t="e">
        <f t="shared" si="38"/>
        <v>#REF!</v>
      </c>
      <c r="CY42" s="1" t="e">
        <f t="shared" si="38"/>
        <v>#REF!</v>
      </c>
      <c r="CZ42" s="1" t="e">
        <f t="shared" si="38"/>
        <v>#REF!</v>
      </c>
      <c r="DA42" s="1" t="e">
        <f t="shared" si="38"/>
        <v>#REF!</v>
      </c>
      <c r="DB42" s="1" t="e">
        <f t="shared" si="38"/>
        <v>#REF!</v>
      </c>
      <c r="DC42" s="1" t="e">
        <f t="shared" si="38"/>
        <v>#REF!</v>
      </c>
      <c r="DD42" s="1" t="e">
        <f t="shared" si="38"/>
        <v>#REF!</v>
      </c>
      <c r="DE42" s="1" t="e">
        <f t="shared" si="38"/>
        <v>#REF!</v>
      </c>
      <c r="DF42" s="1" t="e">
        <f t="shared" si="38"/>
        <v>#REF!</v>
      </c>
      <c r="DG42" s="1" t="e">
        <f t="shared" si="38"/>
        <v>#REF!</v>
      </c>
      <c r="DK42" s="1">
        <f t="shared" si="11"/>
        <v>2064</v>
      </c>
      <c r="DL42" s="1">
        <f t="shared" ca="1" si="12"/>
        <v>84</v>
      </c>
      <c r="DM42" s="1">
        <f t="shared" ca="1" si="13"/>
        <v>89</v>
      </c>
      <c r="DN42" s="1" t="e">
        <f>IF(BW$32=0,NA(),BW$32)</f>
        <v>#N/A</v>
      </c>
      <c r="DO42" s="1" t="e">
        <f>IF(BW$33=0,NA(),BW$33)</f>
        <v>#N/A</v>
      </c>
      <c r="DP42" s="1" t="e">
        <f>IF(BW$34=0,NA(),BW$34)</f>
        <v>#N/A</v>
      </c>
      <c r="DQ42" s="1" t="e">
        <f>IF(BW$35=0,NA(),BW$35)</f>
        <v>#N/A</v>
      </c>
      <c r="DR42" s="1" t="e">
        <f>IF(BW$36=0,NA(),BW$36)</f>
        <v>#N/A</v>
      </c>
      <c r="DS42" s="1" t="e">
        <f>IF(BW$37=0,NA(),BW$37)</f>
        <v>#N/A</v>
      </c>
      <c r="DT42" s="1" t="e">
        <f>IF(BW$38=0,NA(),BW$38)</f>
        <v>#N/A</v>
      </c>
      <c r="DU42" s="1" t="e">
        <f>IF(BW$39=0,NA(),BW$39)</f>
        <v>#N/A</v>
      </c>
      <c r="DV42" s="1" t="e">
        <f>IF(BW$40=0,NA(),BW$40)</f>
        <v>#N/A</v>
      </c>
      <c r="DW42" s="1" t="e">
        <f>IF(BW$41=0,NA(),BW$41)</f>
        <v>#N/A</v>
      </c>
      <c r="DX42" s="1" t="e">
        <f>IF(BW$42=0,NA(),BW$42)</f>
        <v>#N/A</v>
      </c>
      <c r="DY42" s="1" t="e">
        <f>IF(BW$43=0,NA(),BW$43)</f>
        <v>#N/A</v>
      </c>
      <c r="DZ42" s="1" t="e">
        <f>IF(BW$44=0,NA(),BW$44)</f>
        <v>#N/A</v>
      </c>
      <c r="EA42" s="1" t="e">
        <f>IF(BW$45=0,NA(),BW$45)</f>
        <v>#N/A</v>
      </c>
      <c r="EB42" s="1" t="e">
        <f>IF(BW$46=0,NA(),BW$46)</f>
        <v>#N/A</v>
      </c>
      <c r="EC42" s="1" t="e">
        <f>IF(BW$47=0,NA(),BW$47)</f>
        <v>#N/A</v>
      </c>
      <c r="ED42" s="1" t="e">
        <f>IF(BW$48=0,NA(),BW$48)</f>
        <v>#N/A</v>
      </c>
      <c r="EE42" s="1" t="e">
        <f>IF(BW$49=0,NA(),BW$49)</f>
        <v>#N/A</v>
      </c>
      <c r="EF42" s="1" t="e">
        <f>IF(BW$50=0,NA(),BW$50)</f>
        <v>#N/A</v>
      </c>
      <c r="EG42" s="1" t="e">
        <f>IF(BW$51=0,NA(),BW$51)</f>
        <v>#N/A</v>
      </c>
      <c r="EH42" s="1" t="e">
        <f>IF(BW$52=0,NA(),BW$52)</f>
        <v>#N/A</v>
      </c>
      <c r="EI42" s="1" t="e">
        <f>IF(BW$53=0,NA(),BW$53)</f>
        <v>#N/A</v>
      </c>
      <c r="EJ42" s="1" t="e">
        <f>IF(BW$54=0,NA(),BW$54)</f>
        <v>#N/A</v>
      </c>
      <c r="EK42" s="1" t="e">
        <f>IF(BW$55=0,NA(),BW$55)</f>
        <v>#N/A</v>
      </c>
      <c r="EL42" s="1" t="e">
        <f>IF(BW$56=0,NA(),BW$56)</f>
        <v>#N/A</v>
      </c>
      <c r="EM42" s="1" t="e">
        <f>IF(BW$57=0,NA(),BW$57)</f>
        <v>#N/A</v>
      </c>
    </row>
    <row r="43" spans="2:143" ht="15" customHeight="1" x14ac:dyDescent="0.3">
      <c r="AJ43" s="1">
        <f t="shared" si="31"/>
        <v>0</v>
      </c>
      <c r="AK43" s="1">
        <f t="shared" si="34"/>
        <v>0</v>
      </c>
      <c r="AL43" s="1">
        <f t="shared" ref="AL43:CW46" si="39">AL14*(1+$AH14)^(AL$31-$AJ$31)</f>
        <v>0</v>
      </c>
      <c r="AM43" s="1">
        <f t="shared" si="39"/>
        <v>0</v>
      </c>
      <c r="AN43" s="1">
        <f t="shared" si="39"/>
        <v>0</v>
      </c>
      <c r="AO43" s="1">
        <f t="shared" si="39"/>
        <v>0</v>
      </c>
      <c r="AP43" s="1">
        <f t="shared" si="39"/>
        <v>0</v>
      </c>
      <c r="AQ43" s="1">
        <f t="shared" si="39"/>
        <v>0</v>
      </c>
      <c r="AR43" s="1">
        <f t="shared" si="39"/>
        <v>0</v>
      </c>
      <c r="AS43" s="1">
        <f t="shared" si="39"/>
        <v>0</v>
      </c>
      <c r="AT43" s="1">
        <f t="shared" si="39"/>
        <v>0</v>
      </c>
      <c r="AU43" s="1">
        <f t="shared" si="39"/>
        <v>0</v>
      </c>
      <c r="AV43" s="1">
        <f t="shared" si="39"/>
        <v>0</v>
      </c>
      <c r="AW43" s="1">
        <f t="shared" si="39"/>
        <v>0</v>
      </c>
      <c r="AX43" s="1">
        <f t="shared" si="39"/>
        <v>0</v>
      </c>
      <c r="AY43" s="1">
        <f t="shared" si="39"/>
        <v>0</v>
      </c>
      <c r="AZ43" s="1">
        <f t="shared" si="39"/>
        <v>0</v>
      </c>
      <c r="BA43" s="1">
        <f t="shared" si="39"/>
        <v>0</v>
      </c>
      <c r="BB43" s="1">
        <f t="shared" si="39"/>
        <v>0</v>
      </c>
      <c r="BC43" s="1">
        <f t="shared" si="39"/>
        <v>0</v>
      </c>
      <c r="BD43" s="1">
        <f t="shared" si="39"/>
        <v>0</v>
      </c>
      <c r="BE43" s="1">
        <f t="shared" si="39"/>
        <v>0</v>
      </c>
      <c r="BF43" s="1">
        <f t="shared" si="39"/>
        <v>0</v>
      </c>
      <c r="BG43" s="1">
        <f t="shared" si="39"/>
        <v>0</v>
      </c>
      <c r="BH43" s="1">
        <f t="shared" si="39"/>
        <v>0</v>
      </c>
      <c r="BI43" s="1">
        <f t="shared" si="39"/>
        <v>0</v>
      </c>
      <c r="BJ43" s="1">
        <f t="shared" si="39"/>
        <v>0</v>
      </c>
      <c r="BK43" s="1">
        <f t="shared" si="39"/>
        <v>0</v>
      </c>
      <c r="BL43" s="1">
        <f t="shared" si="39"/>
        <v>0</v>
      </c>
      <c r="BM43" s="1">
        <f t="shared" si="39"/>
        <v>0</v>
      </c>
      <c r="BN43" s="1">
        <f t="shared" si="39"/>
        <v>0</v>
      </c>
      <c r="BO43" s="1">
        <f t="shared" si="39"/>
        <v>0</v>
      </c>
      <c r="BP43" s="1">
        <f t="shared" si="39"/>
        <v>0</v>
      </c>
      <c r="BQ43" s="1">
        <f t="shared" si="39"/>
        <v>0</v>
      </c>
      <c r="BR43" s="1">
        <f t="shared" si="39"/>
        <v>0</v>
      </c>
      <c r="BS43" s="1">
        <f t="shared" si="39"/>
        <v>0</v>
      </c>
      <c r="BT43" s="1">
        <f t="shared" si="39"/>
        <v>0</v>
      </c>
      <c r="BU43" s="1">
        <f t="shared" si="39"/>
        <v>0</v>
      </c>
      <c r="BV43" s="1">
        <f t="shared" si="39"/>
        <v>0</v>
      </c>
      <c r="BW43" s="1">
        <f t="shared" si="39"/>
        <v>0</v>
      </c>
      <c r="BX43" s="1">
        <f t="shared" si="39"/>
        <v>0</v>
      </c>
      <c r="BY43" s="1">
        <f t="shared" si="39"/>
        <v>0</v>
      </c>
      <c r="BZ43" s="1">
        <f t="shared" si="39"/>
        <v>0</v>
      </c>
      <c r="CA43" s="1">
        <f t="shared" si="39"/>
        <v>0</v>
      </c>
      <c r="CB43" s="1">
        <f t="shared" si="39"/>
        <v>0</v>
      </c>
      <c r="CC43" s="1">
        <f t="shared" si="39"/>
        <v>0</v>
      </c>
      <c r="CD43" s="1">
        <f t="shared" si="39"/>
        <v>0</v>
      </c>
      <c r="CE43" s="1">
        <f t="shared" si="39"/>
        <v>0</v>
      </c>
      <c r="CF43" s="1">
        <f t="shared" si="39"/>
        <v>0</v>
      </c>
      <c r="CG43" s="1">
        <f t="shared" si="39"/>
        <v>0</v>
      </c>
      <c r="CH43" s="1">
        <f t="shared" si="39"/>
        <v>0</v>
      </c>
      <c r="CI43" s="1">
        <f t="shared" si="39"/>
        <v>0</v>
      </c>
      <c r="CJ43" s="1">
        <f t="shared" si="39"/>
        <v>0</v>
      </c>
      <c r="CK43" s="1">
        <f t="shared" si="39"/>
        <v>0</v>
      </c>
      <c r="CL43" s="1">
        <f t="shared" si="39"/>
        <v>0</v>
      </c>
      <c r="CM43" s="1">
        <f t="shared" si="39"/>
        <v>0</v>
      </c>
      <c r="CN43" s="1">
        <f t="shared" si="39"/>
        <v>0</v>
      </c>
      <c r="CO43" s="1" t="e">
        <f t="shared" si="39"/>
        <v>#REF!</v>
      </c>
      <c r="CP43" s="1" t="e">
        <f t="shared" si="39"/>
        <v>#REF!</v>
      </c>
      <c r="CQ43" s="1" t="e">
        <f t="shared" si="39"/>
        <v>#REF!</v>
      </c>
      <c r="CR43" s="1" t="e">
        <f t="shared" si="39"/>
        <v>#REF!</v>
      </c>
      <c r="CS43" s="1" t="e">
        <f t="shared" si="39"/>
        <v>#REF!</v>
      </c>
      <c r="CT43" s="1" t="e">
        <f t="shared" si="39"/>
        <v>#REF!</v>
      </c>
      <c r="CU43" s="1" t="e">
        <f t="shared" si="39"/>
        <v>#REF!</v>
      </c>
      <c r="CV43" s="1" t="e">
        <f t="shared" si="39"/>
        <v>#REF!</v>
      </c>
      <c r="CW43" s="1" t="e">
        <f t="shared" si="39"/>
        <v>#REF!</v>
      </c>
      <c r="CX43" s="1" t="e">
        <f t="shared" si="38"/>
        <v>#REF!</v>
      </c>
      <c r="CY43" s="1" t="e">
        <f t="shared" si="38"/>
        <v>#REF!</v>
      </c>
      <c r="CZ43" s="1" t="e">
        <f t="shared" si="38"/>
        <v>#REF!</v>
      </c>
      <c r="DA43" s="1" t="e">
        <f t="shared" si="38"/>
        <v>#REF!</v>
      </c>
      <c r="DB43" s="1" t="e">
        <f t="shared" si="38"/>
        <v>#REF!</v>
      </c>
      <c r="DC43" s="1" t="e">
        <f t="shared" si="38"/>
        <v>#REF!</v>
      </c>
      <c r="DD43" s="1" t="e">
        <f t="shared" si="38"/>
        <v>#REF!</v>
      </c>
      <c r="DE43" s="1" t="e">
        <f t="shared" si="38"/>
        <v>#REF!</v>
      </c>
      <c r="DF43" s="1" t="e">
        <f t="shared" si="38"/>
        <v>#REF!</v>
      </c>
      <c r="DG43" s="1" t="e">
        <f t="shared" si="38"/>
        <v>#REF!</v>
      </c>
      <c r="DK43" s="1">
        <f t="shared" si="11"/>
        <v>2065</v>
      </c>
      <c r="DL43" s="1">
        <f t="shared" ca="1" si="12"/>
        <v>85</v>
      </c>
      <c r="DM43" s="1">
        <f t="shared" ca="1" si="13"/>
        <v>90</v>
      </c>
      <c r="DN43" s="1" t="e">
        <f>IF(BX$32=0,NA(),BX$32)</f>
        <v>#N/A</v>
      </c>
      <c r="DO43" s="1" t="e">
        <f>IF(BX$33=0,NA(),BX$33)</f>
        <v>#N/A</v>
      </c>
      <c r="DP43" s="1" t="e">
        <f>IF(BX$34=0,NA(),BX$34)</f>
        <v>#N/A</v>
      </c>
      <c r="DQ43" s="1" t="e">
        <f>IF(BX$35=0,NA(),BX$35)</f>
        <v>#N/A</v>
      </c>
      <c r="DR43" s="1" t="e">
        <f>IF(BX$36=0,NA(),BX$36)</f>
        <v>#N/A</v>
      </c>
      <c r="DS43" s="1" t="e">
        <f>IF(BX$37=0,NA(),BX$37)</f>
        <v>#N/A</v>
      </c>
      <c r="DT43" s="1" t="e">
        <f>IF(BX$38=0,NA(),BX$38)</f>
        <v>#N/A</v>
      </c>
      <c r="DU43" s="1" t="e">
        <f>IF(BX$39=0,NA(),BX$39)</f>
        <v>#N/A</v>
      </c>
      <c r="DV43" s="1" t="e">
        <f>IF(BX$40=0,NA(),BX$40)</f>
        <v>#N/A</v>
      </c>
      <c r="DW43" s="1" t="e">
        <f>IF(BX$41=0,NA(),BX$41)</f>
        <v>#N/A</v>
      </c>
      <c r="DX43" s="1" t="e">
        <f>IF(BX$42=0,NA(),BX$42)</f>
        <v>#N/A</v>
      </c>
      <c r="DY43" s="1" t="e">
        <f>IF(BX$43=0,NA(),BX$43)</f>
        <v>#N/A</v>
      </c>
      <c r="DZ43" s="1" t="e">
        <f>IF(BX$44=0,NA(),BX$44)</f>
        <v>#N/A</v>
      </c>
      <c r="EA43" s="1" t="e">
        <f>IF(BX$45=0,NA(),BX$45)</f>
        <v>#N/A</v>
      </c>
      <c r="EB43" s="1" t="e">
        <f>IF(BX$46=0,NA(),BX$46)</f>
        <v>#N/A</v>
      </c>
      <c r="EC43" s="1" t="e">
        <f>IF(BX$47=0,NA(),BX$47)</f>
        <v>#N/A</v>
      </c>
      <c r="ED43" s="1" t="e">
        <f>IF(BX$48=0,NA(),BX$48)</f>
        <v>#N/A</v>
      </c>
      <c r="EE43" s="1" t="e">
        <f>IF(BX$49=0,NA(),BX$49)</f>
        <v>#N/A</v>
      </c>
      <c r="EF43" s="1" t="e">
        <f>IF(BX$50=0,NA(),BX$50)</f>
        <v>#N/A</v>
      </c>
      <c r="EG43" s="1" t="e">
        <f>IF(BX$51=0,NA(),BX$51)</f>
        <v>#N/A</v>
      </c>
      <c r="EH43" s="1" t="e">
        <f>IF(BX$52=0,NA(),BX$52)</f>
        <v>#N/A</v>
      </c>
      <c r="EI43" s="1" t="e">
        <f>IF(BX$53=0,NA(),BX$53)</f>
        <v>#N/A</v>
      </c>
      <c r="EJ43" s="1" t="e">
        <f>IF(BX$54=0,NA(),BX$54)</f>
        <v>#N/A</v>
      </c>
      <c r="EK43" s="1" t="e">
        <f>IF(BX$55=0,NA(),BX$55)</f>
        <v>#N/A</v>
      </c>
      <c r="EL43" s="1" t="e">
        <f>IF(BX$56=0,NA(),BX$56)</f>
        <v>#N/A</v>
      </c>
      <c r="EM43" s="1" t="e">
        <f>IF(BX$57=0,NA(),BX$57)</f>
        <v>#N/A</v>
      </c>
    </row>
    <row r="44" spans="2:143" ht="15" customHeight="1" x14ac:dyDescent="0.3">
      <c r="AJ44" s="1">
        <f t="shared" si="31"/>
        <v>0</v>
      </c>
      <c r="AK44" s="1">
        <f t="shared" si="34"/>
        <v>0</v>
      </c>
      <c r="AL44" s="1">
        <f t="shared" si="39"/>
        <v>0</v>
      </c>
      <c r="AM44" s="1">
        <f t="shared" si="39"/>
        <v>0</v>
      </c>
      <c r="AN44" s="1">
        <f t="shared" si="39"/>
        <v>0</v>
      </c>
      <c r="AO44" s="1">
        <f t="shared" si="39"/>
        <v>0</v>
      </c>
      <c r="AP44" s="1">
        <f t="shared" si="39"/>
        <v>0</v>
      </c>
      <c r="AQ44" s="1">
        <f t="shared" si="39"/>
        <v>0</v>
      </c>
      <c r="AR44" s="1">
        <f t="shared" si="39"/>
        <v>0</v>
      </c>
      <c r="AS44" s="1">
        <f t="shared" si="39"/>
        <v>0</v>
      </c>
      <c r="AT44" s="1">
        <f t="shared" si="39"/>
        <v>0</v>
      </c>
      <c r="AU44" s="1">
        <f t="shared" si="39"/>
        <v>0</v>
      </c>
      <c r="AV44" s="1">
        <f t="shared" si="39"/>
        <v>0</v>
      </c>
      <c r="AW44" s="1">
        <f t="shared" si="39"/>
        <v>0</v>
      </c>
      <c r="AX44" s="1">
        <f t="shared" si="39"/>
        <v>0</v>
      </c>
      <c r="AY44" s="1">
        <f t="shared" si="39"/>
        <v>0</v>
      </c>
      <c r="AZ44" s="1">
        <f t="shared" si="39"/>
        <v>0</v>
      </c>
      <c r="BA44" s="1">
        <f t="shared" si="39"/>
        <v>0</v>
      </c>
      <c r="BB44" s="1">
        <f t="shared" si="39"/>
        <v>0</v>
      </c>
      <c r="BC44" s="1">
        <f t="shared" si="39"/>
        <v>0</v>
      </c>
      <c r="BD44" s="1">
        <f t="shared" si="39"/>
        <v>0</v>
      </c>
      <c r="BE44" s="1">
        <f t="shared" si="39"/>
        <v>0</v>
      </c>
      <c r="BF44" s="1">
        <f t="shared" si="39"/>
        <v>0</v>
      </c>
      <c r="BG44" s="1">
        <f t="shared" si="39"/>
        <v>0</v>
      </c>
      <c r="BH44" s="1">
        <f t="shared" si="39"/>
        <v>0</v>
      </c>
      <c r="BI44" s="1">
        <f t="shared" si="39"/>
        <v>0</v>
      </c>
      <c r="BJ44" s="1">
        <f t="shared" si="39"/>
        <v>0</v>
      </c>
      <c r="BK44" s="1">
        <f t="shared" si="39"/>
        <v>0</v>
      </c>
      <c r="BL44" s="1">
        <f t="shared" si="39"/>
        <v>0</v>
      </c>
      <c r="BM44" s="1">
        <f t="shared" si="39"/>
        <v>0</v>
      </c>
      <c r="BN44" s="1">
        <f t="shared" si="39"/>
        <v>0</v>
      </c>
      <c r="BO44" s="1">
        <f t="shared" si="39"/>
        <v>0</v>
      </c>
      <c r="BP44" s="1">
        <f t="shared" si="39"/>
        <v>0</v>
      </c>
      <c r="BQ44" s="1">
        <f t="shared" si="39"/>
        <v>0</v>
      </c>
      <c r="BR44" s="1">
        <f t="shared" si="39"/>
        <v>0</v>
      </c>
      <c r="BS44" s="1">
        <f t="shared" si="39"/>
        <v>0</v>
      </c>
      <c r="BT44" s="1">
        <f t="shared" si="39"/>
        <v>0</v>
      </c>
      <c r="BU44" s="1">
        <f t="shared" si="39"/>
        <v>0</v>
      </c>
      <c r="BV44" s="1">
        <f t="shared" si="39"/>
        <v>0</v>
      </c>
      <c r="BW44" s="1">
        <f t="shared" si="39"/>
        <v>0</v>
      </c>
      <c r="BX44" s="1">
        <f t="shared" si="39"/>
        <v>0</v>
      </c>
      <c r="BY44" s="1">
        <f t="shared" si="39"/>
        <v>0</v>
      </c>
      <c r="BZ44" s="1">
        <f t="shared" si="39"/>
        <v>0</v>
      </c>
      <c r="CA44" s="1">
        <f t="shared" si="39"/>
        <v>0</v>
      </c>
      <c r="CB44" s="1">
        <f t="shared" si="39"/>
        <v>0</v>
      </c>
      <c r="CC44" s="1">
        <f t="shared" si="39"/>
        <v>0</v>
      </c>
      <c r="CD44" s="1">
        <f t="shared" si="39"/>
        <v>0</v>
      </c>
      <c r="CE44" s="1">
        <f t="shared" si="39"/>
        <v>0</v>
      </c>
      <c r="CF44" s="1">
        <f t="shared" si="39"/>
        <v>0</v>
      </c>
      <c r="CG44" s="1">
        <f t="shared" si="39"/>
        <v>0</v>
      </c>
      <c r="CH44" s="1">
        <f t="shared" si="39"/>
        <v>0</v>
      </c>
      <c r="CI44" s="1">
        <f t="shared" si="39"/>
        <v>0</v>
      </c>
      <c r="CJ44" s="1">
        <f t="shared" si="39"/>
        <v>0</v>
      </c>
      <c r="CK44" s="1">
        <f t="shared" si="39"/>
        <v>0</v>
      </c>
      <c r="CL44" s="1">
        <f t="shared" si="39"/>
        <v>0</v>
      </c>
      <c r="CM44" s="1">
        <f t="shared" si="39"/>
        <v>0</v>
      </c>
      <c r="CN44" s="1">
        <f t="shared" si="39"/>
        <v>0</v>
      </c>
      <c r="CO44" s="1" t="e">
        <f t="shared" si="39"/>
        <v>#REF!</v>
      </c>
      <c r="CP44" s="1" t="e">
        <f t="shared" si="39"/>
        <v>#REF!</v>
      </c>
      <c r="CQ44" s="1" t="e">
        <f t="shared" si="39"/>
        <v>#REF!</v>
      </c>
      <c r="CR44" s="1" t="e">
        <f t="shared" si="39"/>
        <v>#REF!</v>
      </c>
      <c r="CS44" s="1" t="e">
        <f t="shared" si="39"/>
        <v>#REF!</v>
      </c>
      <c r="CT44" s="1" t="e">
        <f t="shared" si="39"/>
        <v>#REF!</v>
      </c>
      <c r="CU44" s="1" t="e">
        <f t="shared" si="39"/>
        <v>#REF!</v>
      </c>
      <c r="CV44" s="1" t="e">
        <f t="shared" si="39"/>
        <v>#REF!</v>
      </c>
      <c r="CW44" s="1" t="e">
        <f t="shared" si="39"/>
        <v>#REF!</v>
      </c>
      <c r="CX44" s="1" t="e">
        <f t="shared" si="38"/>
        <v>#REF!</v>
      </c>
      <c r="CY44" s="1" t="e">
        <f t="shared" si="38"/>
        <v>#REF!</v>
      </c>
      <c r="CZ44" s="1" t="e">
        <f t="shared" si="38"/>
        <v>#REF!</v>
      </c>
      <c r="DA44" s="1" t="e">
        <f t="shared" si="38"/>
        <v>#REF!</v>
      </c>
      <c r="DB44" s="1" t="e">
        <f t="shared" si="38"/>
        <v>#REF!</v>
      </c>
      <c r="DC44" s="1" t="e">
        <f t="shared" si="38"/>
        <v>#REF!</v>
      </c>
      <c r="DD44" s="1" t="e">
        <f t="shared" si="38"/>
        <v>#REF!</v>
      </c>
      <c r="DE44" s="1" t="e">
        <f t="shared" si="38"/>
        <v>#REF!</v>
      </c>
      <c r="DF44" s="1" t="e">
        <f t="shared" si="38"/>
        <v>#REF!</v>
      </c>
      <c r="DG44" s="1" t="e">
        <f t="shared" si="38"/>
        <v>#REF!</v>
      </c>
      <c r="DK44" s="1">
        <f t="shared" si="11"/>
        <v>2066</v>
      </c>
      <c r="DL44" s="1">
        <f t="shared" ca="1" si="12"/>
        <v>86</v>
      </c>
      <c r="DM44" s="1">
        <f t="shared" ca="1" si="13"/>
        <v>91</v>
      </c>
      <c r="DN44" s="1" t="e">
        <f>IF(BY$32=0,NA(),BY$32)</f>
        <v>#N/A</v>
      </c>
      <c r="DO44" s="1" t="e">
        <f>IF(BY$33=0,NA(),BY$33)</f>
        <v>#N/A</v>
      </c>
      <c r="DP44" s="1" t="e">
        <f>IF(BY$34=0,NA(),BY$34)</f>
        <v>#N/A</v>
      </c>
      <c r="DQ44" s="1" t="e">
        <f>IF(BY$35=0,NA(),BY$35)</f>
        <v>#N/A</v>
      </c>
      <c r="DR44" s="1" t="e">
        <f>IF(BY$36=0,NA(),BY$36)</f>
        <v>#N/A</v>
      </c>
      <c r="DS44" s="1" t="e">
        <f>IF(BY$37=0,NA(),BY$37)</f>
        <v>#N/A</v>
      </c>
      <c r="DT44" s="1" t="e">
        <f>IF(BY$38=0,NA(),BY$38)</f>
        <v>#N/A</v>
      </c>
      <c r="DU44" s="1" t="e">
        <f>IF(BY$39=0,NA(),BY$39)</f>
        <v>#N/A</v>
      </c>
      <c r="DV44" s="1" t="e">
        <f>IF(BY$40=0,NA(),BY$40)</f>
        <v>#N/A</v>
      </c>
      <c r="DW44" s="1" t="e">
        <f>IF(BY$41=0,NA(),BY$41)</f>
        <v>#N/A</v>
      </c>
      <c r="DX44" s="1" t="e">
        <f>IF(BY$42=0,NA(),BY$42)</f>
        <v>#N/A</v>
      </c>
      <c r="DY44" s="1" t="e">
        <f>IF(BY$43=0,NA(),BY$43)</f>
        <v>#N/A</v>
      </c>
      <c r="DZ44" s="1" t="e">
        <f>IF(BY$44=0,NA(),BY$44)</f>
        <v>#N/A</v>
      </c>
      <c r="EA44" s="1" t="e">
        <f>IF(BY$45=0,NA(),BY$45)</f>
        <v>#N/A</v>
      </c>
      <c r="EB44" s="1" t="e">
        <f>IF(BY$46=0,NA(),BY$46)</f>
        <v>#N/A</v>
      </c>
      <c r="EC44" s="1" t="e">
        <f>IF(BY$47=0,NA(),BY$47)</f>
        <v>#N/A</v>
      </c>
      <c r="ED44" s="1" t="e">
        <f>IF(BY$48=0,NA(),BY$48)</f>
        <v>#N/A</v>
      </c>
      <c r="EE44" s="1" t="e">
        <f>IF(BY$49=0,NA(),BY$49)</f>
        <v>#N/A</v>
      </c>
      <c r="EF44" s="1" t="e">
        <f>IF(BY$50=0,NA(),BY$50)</f>
        <v>#N/A</v>
      </c>
      <c r="EG44" s="1" t="e">
        <f>IF(BY$51=0,NA(),BY$51)</f>
        <v>#N/A</v>
      </c>
      <c r="EH44" s="1" t="e">
        <f>IF(BY$52=0,NA(),BY$52)</f>
        <v>#N/A</v>
      </c>
      <c r="EI44" s="1" t="e">
        <f>IF(BY$53=0,NA(),BY$53)</f>
        <v>#N/A</v>
      </c>
      <c r="EJ44" s="1" t="e">
        <f>IF(BY$54=0,NA(),BY$54)</f>
        <v>#N/A</v>
      </c>
      <c r="EK44" s="1" t="e">
        <f>IF(BY$55=0,NA(),BY$55)</f>
        <v>#N/A</v>
      </c>
      <c r="EL44" s="1" t="e">
        <f>IF(BY$56=0,NA(),BY$56)</f>
        <v>#N/A</v>
      </c>
      <c r="EM44" s="1" t="e">
        <f>IF(BY$57=0,NA(),BY$57)</f>
        <v>#N/A</v>
      </c>
    </row>
    <row r="45" spans="2:143" ht="15" customHeight="1" x14ac:dyDescent="0.3">
      <c r="AJ45" s="1">
        <f t="shared" si="31"/>
        <v>0</v>
      </c>
      <c r="AK45" s="1">
        <f t="shared" si="34"/>
        <v>0</v>
      </c>
      <c r="AL45" s="1">
        <f t="shared" si="39"/>
        <v>0</v>
      </c>
      <c r="AM45" s="1">
        <f t="shared" si="39"/>
        <v>0</v>
      </c>
      <c r="AN45" s="1">
        <f t="shared" si="39"/>
        <v>0</v>
      </c>
      <c r="AO45" s="1">
        <f t="shared" si="39"/>
        <v>0</v>
      </c>
      <c r="AP45" s="1">
        <f t="shared" si="39"/>
        <v>0</v>
      </c>
      <c r="AQ45" s="1">
        <f t="shared" si="39"/>
        <v>0</v>
      </c>
      <c r="AR45" s="1">
        <f t="shared" si="39"/>
        <v>0</v>
      </c>
      <c r="AS45" s="1">
        <f t="shared" si="39"/>
        <v>0</v>
      </c>
      <c r="AT45" s="1">
        <f t="shared" si="39"/>
        <v>0</v>
      </c>
      <c r="AU45" s="1">
        <f t="shared" si="39"/>
        <v>0</v>
      </c>
      <c r="AV45" s="1">
        <f t="shared" si="39"/>
        <v>0</v>
      </c>
      <c r="AW45" s="1">
        <f t="shared" si="39"/>
        <v>0</v>
      </c>
      <c r="AX45" s="1">
        <f t="shared" si="39"/>
        <v>0</v>
      </c>
      <c r="AY45" s="1">
        <f t="shared" si="39"/>
        <v>0</v>
      </c>
      <c r="AZ45" s="1">
        <f t="shared" si="39"/>
        <v>0</v>
      </c>
      <c r="BA45" s="1">
        <f t="shared" si="39"/>
        <v>0</v>
      </c>
      <c r="BB45" s="1">
        <f t="shared" si="39"/>
        <v>0</v>
      </c>
      <c r="BC45" s="1">
        <f t="shared" si="39"/>
        <v>0</v>
      </c>
      <c r="BD45" s="1">
        <f t="shared" si="39"/>
        <v>0</v>
      </c>
      <c r="BE45" s="1">
        <f t="shared" si="39"/>
        <v>0</v>
      </c>
      <c r="BF45" s="1">
        <f t="shared" si="39"/>
        <v>0</v>
      </c>
      <c r="BG45" s="1">
        <f t="shared" si="39"/>
        <v>0</v>
      </c>
      <c r="BH45" s="1">
        <f t="shared" si="39"/>
        <v>0</v>
      </c>
      <c r="BI45" s="1">
        <f t="shared" si="39"/>
        <v>0</v>
      </c>
      <c r="BJ45" s="1">
        <f t="shared" si="39"/>
        <v>0</v>
      </c>
      <c r="BK45" s="1">
        <f t="shared" si="39"/>
        <v>0</v>
      </c>
      <c r="BL45" s="1">
        <f t="shared" si="39"/>
        <v>0</v>
      </c>
      <c r="BM45" s="1">
        <f t="shared" si="39"/>
        <v>0</v>
      </c>
      <c r="BN45" s="1">
        <f t="shared" si="39"/>
        <v>0</v>
      </c>
      <c r="BO45" s="1">
        <f t="shared" si="39"/>
        <v>0</v>
      </c>
      <c r="BP45" s="1">
        <f t="shared" si="39"/>
        <v>0</v>
      </c>
      <c r="BQ45" s="1">
        <f t="shared" si="39"/>
        <v>0</v>
      </c>
      <c r="BR45" s="1">
        <f t="shared" si="39"/>
        <v>0</v>
      </c>
      <c r="BS45" s="1">
        <f t="shared" si="39"/>
        <v>0</v>
      </c>
      <c r="BT45" s="1">
        <f t="shared" si="39"/>
        <v>0</v>
      </c>
      <c r="BU45" s="1">
        <f t="shared" si="39"/>
        <v>0</v>
      </c>
      <c r="BV45" s="1">
        <f t="shared" si="39"/>
        <v>0</v>
      </c>
      <c r="BW45" s="1">
        <f t="shared" si="39"/>
        <v>0</v>
      </c>
      <c r="BX45" s="1">
        <f t="shared" si="39"/>
        <v>0</v>
      </c>
      <c r="BY45" s="1">
        <f t="shared" si="39"/>
        <v>0</v>
      </c>
      <c r="BZ45" s="1">
        <f t="shared" si="39"/>
        <v>0</v>
      </c>
      <c r="CA45" s="1">
        <f t="shared" si="39"/>
        <v>0</v>
      </c>
      <c r="CB45" s="1">
        <f t="shared" si="39"/>
        <v>0</v>
      </c>
      <c r="CC45" s="1">
        <f t="shared" si="39"/>
        <v>0</v>
      </c>
      <c r="CD45" s="1">
        <f t="shared" si="39"/>
        <v>0</v>
      </c>
      <c r="CE45" s="1">
        <f t="shared" si="39"/>
        <v>0</v>
      </c>
      <c r="CF45" s="1">
        <f t="shared" si="39"/>
        <v>0</v>
      </c>
      <c r="CG45" s="1">
        <f t="shared" si="39"/>
        <v>0</v>
      </c>
      <c r="CH45" s="1">
        <f t="shared" si="39"/>
        <v>0</v>
      </c>
      <c r="CI45" s="1">
        <f t="shared" si="39"/>
        <v>0</v>
      </c>
      <c r="CJ45" s="1">
        <f t="shared" si="39"/>
        <v>0</v>
      </c>
      <c r="CK45" s="1">
        <f t="shared" si="39"/>
        <v>0</v>
      </c>
      <c r="CL45" s="1">
        <f t="shared" si="39"/>
        <v>0</v>
      </c>
      <c r="CM45" s="1">
        <f t="shared" si="39"/>
        <v>0</v>
      </c>
      <c r="CN45" s="1">
        <f t="shared" si="39"/>
        <v>0</v>
      </c>
      <c r="CO45" s="1" t="e">
        <f t="shared" si="39"/>
        <v>#REF!</v>
      </c>
      <c r="CP45" s="1" t="e">
        <f t="shared" si="39"/>
        <v>#REF!</v>
      </c>
      <c r="CQ45" s="1" t="e">
        <f t="shared" si="39"/>
        <v>#REF!</v>
      </c>
      <c r="CR45" s="1" t="e">
        <f t="shared" si="39"/>
        <v>#REF!</v>
      </c>
      <c r="CS45" s="1" t="e">
        <f t="shared" si="39"/>
        <v>#REF!</v>
      </c>
      <c r="CT45" s="1" t="e">
        <f t="shared" si="39"/>
        <v>#REF!</v>
      </c>
      <c r="CU45" s="1" t="e">
        <f t="shared" si="39"/>
        <v>#REF!</v>
      </c>
      <c r="CV45" s="1" t="e">
        <f t="shared" si="39"/>
        <v>#REF!</v>
      </c>
      <c r="CW45" s="1" t="e">
        <f t="shared" si="39"/>
        <v>#REF!</v>
      </c>
      <c r="CX45" s="1" t="e">
        <f t="shared" si="38"/>
        <v>#REF!</v>
      </c>
      <c r="CY45" s="1" t="e">
        <f t="shared" si="38"/>
        <v>#REF!</v>
      </c>
      <c r="CZ45" s="1" t="e">
        <f t="shared" si="38"/>
        <v>#REF!</v>
      </c>
      <c r="DA45" s="1" t="e">
        <f t="shared" si="38"/>
        <v>#REF!</v>
      </c>
      <c r="DB45" s="1" t="e">
        <f t="shared" si="38"/>
        <v>#REF!</v>
      </c>
      <c r="DC45" s="1" t="e">
        <f t="shared" si="38"/>
        <v>#REF!</v>
      </c>
      <c r="DD45" s="1" t="e">
        <f t="shared" si="38"/>
        <v>#REF!</v>
      </c>
      <c r="DE45" s="1" t="e">
        <f t="shared" si="38"/>
        <v>#REF!</v>
      </c>
      <c r="DF45" s="1" t="e">
        <f t="shared" si="38"/>
        <v>#REF!</v>
      </c>
      <c r="DG45" s="1" t="e">
        <f t="shared" si="38"/>
        <v>#REF!</v>
      </c>
      <c r="DK45" s="1">
        <f t="shared" si="11"/>
        <v>2067</v>
      </c>
      <c r="DL45" s="1">
        <f t="shared" ca="1" si="12"/>
        <v>87</v>
      </c>
      <c r="DM45" s="1">
        <f t="shared" ca="1" si="13"/>
        <v>92</v>
      </c>
      <c r="DN45" s="1" t="e">
        <f>IF(BZ$32=0,NA(),BZ$32)</f>
        <v>#N/A</v>
      </c>
      <c r="DO45" s="1" t="e">
        <f>IF(BZ$33=0,NA(),BZ$33)</f>
        <v>#N/A</v>
      </c>
      <c r="DP45" s="1" t="e">
        <f>IF(BZ$34=0,NA(),BZ$34)</f>
        <v>#N/A</v>
      </c>
      <c r="DQ45" s="1" t="e">
        <f>IF(BZ$35=0,NA(),BZ$35)</f>
        <v>#N/A</v>
      </c>
      <c r="DR45" s="1" t="e">
        <f>IF(BZ$36=0,NA(),BZ$36)</f>
        <v>#N/A</v>
      </c>
      <c r="DS45" s="1" t="e">
        <f>IF(BZ$37=0,NA(),BZ$37)</f>
        <v>#N/A</v>
      </c>
      <c r="DT45" s="1" t="e">
        <f>IF(BZ$38=0,NA(),BZ$38)</f>
        <v>#N/A</v>
      </c>
      <c r="DU45" s="1" t="e">
        <f>IF(BZ$39=0,NA(),BZ$39)</f>
        <v>#N/A</v>
      </c>
      <c r="DV45" s="1" t="e">
        <f>IF(BZ$40=0,NA(),BZ$40)</f>
        <v>#N/A</v>
      </c>
      <c r="DW45" s="1" t="e">
        <f>IF(BZ$41=0,NA(),BZ$41)</f>
        <v>#N/A</v>
      </c>
      <c r="DX45" s="1" t="e">
        <f>IF(BZ$42=0,NA(),BZ$42)</f>
        <v>#N/A</v>
      </c>
      <c r="DY45" s="1" t="e">
        <f>IF(BZ$43=0,NA(),BZ$43)</f>
        <v>#N/A</v>
      </c>
      <c r="DZ45" s="1" t="e">
        <f>IF(BZ$44=0,NA(),BZ$44)</f>
        <v>#N/A</v>
      </c>
      <c r="EA45" s="1" t="e">
        <f>IF(BZ$45=0,NA(),BZ$45)</f>
        <v>#N/A</v>
      </c>
      <c r="EB45" s="1" t="e">
        <f>IF(BZ$46=0,NA(),BZ$46)</f>
        <v>#N/A</v>
      </c>
      <c r="EC45" s="1" t="e">
        <f>IF(BZ$47=0,NA(),BZ$47)</f>
        <v>#N/A</v>
      </c>
      <c r="ED45" s="1" t="e">
        <f>IF(BZ$48=0,NA(),BZ$48)</f>
        <v>#N/A</v>
      </c>
      <c r="EE45" s="1" t="e">
        <f>IF(BZ$49=0,NA(),BZ$49)</f>
        <v>#N/A</v>
      </c>
      <c r="EF45" s="1" t="e">
        <f>IF(BZ$50=0,NA(),BZ$50)</f>
        <v>#N/A</v>
      </c>
      <c r="EG45" s="1" t="e">
        <f>IF(BZ$51=0,NA(),BZ$51)</f>
        <v>#N/A</v>
      </c>
      <c r="EH45" s="1" t="e">
        <f>IF(BZ$52=0,NA(),BZ$52)</f>
        <v>#N/A</v>
      </c>
      <c r="EI45" s="1" t="e">
        <f>IF(BZ$53=0,NA(),BZ$53)</f>
        <v>#N/A</v>
      </c>
      <c r="EJ45" s="1" t="e">
        <f>IF(BZ$54=0,NA(),BZ$54)</f>
        <v>#N/A</v>
      </c>
      <c r="EK45" s="1" t="e">
        <f>IF(BZ$55=0,NA(),BZ$55)</f>
        <v>#N/A</v>
      </c>
      <c r="EL45" s="1" t="e">
        <f>IF(BZ$56=0,NA(),BZ$56)</f>
        <v>#N/A</v>
      </c>
      <c r="EM45" s="1" t="e">
        <f>IF(BZ$57=0,NA(),BZ$57)</f>
        <v>#N/A</v>
      </c>
    </row>
    <row r="46" spans="2:143" ht="15" customHeight="1" x14ac:dyDescent="0.3">
      <c r="AJ46" s="1">
        <f t="shared" si="31"/>
        <v>0</v>
      </c>
      <c r="AK46" s="1">
        <f t="shared" si="34"/>
        <v>0</v>
      </c>
      <c r="AL46" s="1">
        <f t="shared" si="39"/>
        <v>0</v>
      </c>
      <c r="AM46" s="1">
        <f t="shared" si="39"/>
        <v>0</v>
      </c>
      <c r="AN46" s="1">
        <f t="shared" si="39"/>
        <v>0</v>
      </c>
      <c r="AO46" s="1">
        <f t="shared" si="39"/>
        <v>0</v>
      </c>
      <c r="AP46" s="1">
        <f t="shared" si="39"/>
        <v>0</v>
      </c>
      <c r="AQ46" s="1">
        <f t="shared" si="39"/>
        <v>0</v>
      </c>
      <c r="AR46" s="1">
        <f t="shared" si="39"/>
        <v>0</v>
      </c>
      <c r="AS46" s="1">
        <f t="shared" si="39"/>
        <v>0</v>
      </c>
      <c r="AT46" s="1">
        <f t="shared" si="39"/>
        <v>0</v>
      </c>
      <c r="AU46" s="1">
        <f t="shared" si="39"/>
        <v>0</v>
      </c>
      <c r="AV46" s="1">
        <f t="shared" si="39"/>
        <v>0</v>
      </c>
      <c r="AW46" s="1">
        <f t="shared" si="39"/>
        <v>0</v>
      </c>
      <c r="AX46" s="1">
        <f t="shared" si="39"/>
        <v>0</v>
      </c>
      <c r="AY46" s="1">
        <f t="shared" si="39"/>
        <v>0</v>
      </c>
      <c r="AZ46" s="1">
        <f t="shared" si="39"/>
        <v>0</v>
      </c>
      <c r="BA46" s="1">
        <f t="shared" si="39"/>
        <v>0</v>
      </c>
      <c r="BB46" s="1">
        <f t="shared" si="39"/>
        <v>0</v>
      </c>
      <c r="BC46" s="1">
        <f t="shared" si="39"/>
        <v>0</v>
      </c>
      <c r="BD46" s="1">
        <f t="shared" si="39"/>
        <v>0</v>
      </c>
      <c r="BE46" s="1">
        <f t="shared" si="39"/>
        <v>0</v>
      </c>
      <c r="BF46" s="1">
        <f t="shared" si="39"/>
        <v>0</v>
      </c>
      <c r="BG46" s="1">
        <f t="shared" si="39"/>
        <v>0</v>
      </c>
      <c r="BH46" s="1">
        <f t="shared" si="39"/>
        <v>0</v>
      </c>
      <c r="BI46" s="1">
        <f t="shared" si="39"/>
        <v>0</v>
      </c>
      <c r="BJ46" s="1">
        <f t="shared" si="39"/>
        <v>0</v>
      </c>
      <c r="BK46" s="1">
        <f t="shared" si="39"/>
        <v>0</v>
      </c>
      <c r="BL46" s="1">
        <f t="shared" si="39"/>
        <v>0</v>
      </c>
      <c r="BM46" s="1">
        <f t="shared" si="39"/>
        <v>0</v>
      </c>
      <c r="BN46" s="1">
        <f t="shared" si="39"/>
        <v>0</v>
      </c>
      <c r="BO46" s="1">
        <f t="shared" si="39"/>
        <v>0</v>
      </c>
      <c r="BP46" s="1">
        <f t="shared" si="39"/>
        <v>0</v>
      </c>
      <c r="BQ46" s="1">
        <f t="shared" si="39"/>
        <v>0</v>
      </c>
      <c r="BR46" s="1">
        <f t="shared" si="39"/>
        <v>0</v>
      </c>
      <c r="BS46" s="1">
        <f t="shared" si="39"/>
        <v>0</v>
      </c>
      <c r="BT46" s="1">
        <f t="shared" si="39"/>
        <v>0</v>
      </c>
      <c r="BU46" s="1">
        <f t="shared" si="39"/>
        <v>0</v>
      </c>
      <c r="BV46" s="1">
        <f t="shared" si="39"/>
        <v>0</v>
      </c>
      <c r="BW46" s="1">
        <f t="shared" si="39"/>
        <v>0</v>
      </c>
      <c r="BX46" s="1">
        <f t="shared" si="39"/>
        <v>0</v>
      </c>
      <c r="BY46" s="1">
        <f t="shared" si="39"/>
        <v>0</v>
      </c>
      <c r="BZ46" s="1">
        <f t="shared" si="39"/>
        <v>0</v>
      </c>
      <c r="CA46" s="1">
        <f t="shared" si="39"/>
        <v>0</v>
      </c>
      <c r="CB46" s="1">
        <f t="shared" si="39"/>
        <v>0</v>
      </c>
      <c r="CC46" s="1">
        <f t="shared" si="39"/>
        <v>0</v>
      </c>
      <c r="CD46" s="1">
        <f t="shared" si="39"/>
        <v>0</v>
      </c>
      <c r="CE46" s="1">
        <f t="shared" si="39"/>
        <v>0</v>
      </c>
      <c r="CF46" s="1">
        <f t="shared" si="39"/>
        <v>0</v>
      </c>
      <c r="CG46" s="1">
        <f t="shared" si="39"/>
        <v>0</v>
      </c>
      <c r="CH46" s="1">
        <f t="shared" si="39"/>
        <v>0</v>
      </c>
      <c r="CI46" s="1">
        <f t="shared" si="39"/>
        <v>0</v>
      </c>
      <c r="CJ46" s="1">
        <f t="shared" si="39"/>
        <v>0</v>
      </c>
      <c r="CK46" s="1">
        <f t="shared" si="39"/>
        <v>0</v>
      </c>
      <c r="CL46" s="1">
        <f t="shared" si="39"/>
        <v>0</v>
      </c>
      <c r="CM46" s="1">
        <f t="shared" si="39"/>
        <v>0</v>
      </c>
      <c r="CN46" s="1">
        <f t="shared" si="39"/>
        <v>0</v>
      </c>
      <c r="CO46" s="1" t="e">
        <f t="shared" si="39"/>
        <v>#REF!</v>
      </c>
      <c r="CP46" s="1" t="e">
        <f t="shared" si="39"/>
        <v>#REF!</v>
      </c>
      <c r="CQ46" s="1" t="e">
        <f t="shared" si="39"/>
        <v>#REF!</v>
      </c>
      <c r="CR46" s="1" t="e">
        <f t="shared" si="39"/>
        <v>#REF!</v>
      </c>
      <c r="CS46" s="1" t="e">
        <f t="shared" si="39"/>
        <v>#REF!</v>
      </c>
      <c r="CT46" s="1" t="e">
        <f t="shared" si="39"/>
        <v>#REF!</v>
      </c>
      <c r="CU46" s="1" t="e">
        <f t="shared" si="39"/>
        <v>#REF!</v>
      </c>
      <c r="CV46" s="1" t="e">
        <f t="shared" si="39"/>
        <v>#REF!</v>
      </c>
      <c r="CW46" s="1" t="e">
        <f t="shared" ref="CW46:DG49" si="40">CW17*(1+$AH17)^(CW$31-$AJ$31)</f>
        <v>#REF!</v>
      </c>
      <c r="CX46" s="1" t="e">
        <f t="shared" si="40"/>
        <v>#REF!</v>
      </c>
      <c r="CY46" s="1" t="e">
        <f t="shared" si="40"/>
        <v>#REF!</v>
      </c>
      <c r="CZ46" s="1" t="e">
        <f t="shared" si="40"/>
        <v>#REF!</v>
      </c>
      <c r="DA46" s="1" t="e">
        <f t="shared" si="40"/>
        <v>#REF!</v>
      </c>
      <c r="DB46" s="1" t="e">
        <f t="shared" si="40"/>
        <v>#REF!</v>
      </c>
      <c r="DC46" s="1" t="e">
        <f t="shared" si="40"/>
        <v>#REF!</v>
      </c>
      <c r="DD46" s="1" t="e">
        <f t="shared" si="40"/>
        <v>#REF!</v>
      </c>
      <c r="DE46" s="1" t="e">
        <f t="shared" si="40"/>
        <v>#REF!</v>
      </c>
      <c r="DF46" s="1" t="e">
        <f t="shared" si="40"/>
        <v>#REF!</v>
      </c>
      <c r="DG46" s="1" t="e">
        <f t="shared" si="40"/>
        <v>#REF!</v>
      </c>
      <c r="DK46" s="1">
        <f t="shared" si="11"/>
        <v>2068</v>
      </c>
      <c r="DL46" s="1">
        <f t="shared" ca="1" si="12"/>
        <v>88</v>
      </c>
      <c r="DM46" s="1">
        <f t="shared" ca="1" si="13"/>
        <v>93</v>
      </c>
      <c r="DN46" s="1" t="e">
        <f>IF(CA$32=0,NA(),CA$32)</f>
        <v>#N/A</v>
      </c>
      <c r="DO46" s="1" t="e">
        <f>IF(CA$33=0,NA(),CA$33)</f>
        <v>#N/A</v>
      </c>
      <c r="DP46" s="1" t="e">
        <f>IF(CA$34=0,NA(),CA$34)</f>
        <v>#N/A</v>
      </c>
      <c r="DQ46" s="1" t="e">
        <f>IF(CA$35=0,NA(),CA$35)</f>
        <v>#N/A</v>
      </c>
      <c r="DR46" s="1" t="e">
        <f>IF(CA$36=0,NA(),CA$36)</f>
        <v>#N/A</v>
      </c>
      <c r="DS46" s="1" t="e">
        <f>IF(CA$37=0,NA(),CA$37)</f>
        <v>#N/A</v>
      </c>
      <c r="DT46" s="1" t="e">
        <f>IF(CA$38=0,NA(),CA$38)</f>
        <v>#N/A</v>
      </c>
      <c r="DU46" s="1" t="e">
        <f>IF(CA$39=0,NA(),CA$39)</f>
        <v>#N/A</v>
      </c>
      <c r="DV46" s="1" t="e">
        <f>IF(CA$40=0,NA(),CA$40)</f>
        <v>#N/A</v>
      </c>
      <c r="DW46" s="1" t="e">
        <f>IF(CA$41=0,NA(),CA$41)</f>
        <v>#N/A</v>
      </c>
      <c r="DX46" s="1" t="e">
        <f>IF(CA$42=0,NA(),CA$42)</f>
        <v>#N/A</v>
      </c>
      <c r="DY46" s="1" t="e">
        <f>IF(CA$43=0,NA(),CA$43)</f>
        <v>#N/A</v>
      </c>
      <c r="DZ46" s="1" t="e">
        <f>IF(CA$44=0,NA(),CA$44)</f>
        <v>#N/A</v>
      </c>
      <c r="EA46" s="1" t="e">
        <f>IF(CA$45=0,NA(),CA$45)</f>
        <v>#N/A</v>
      </c>
      <c r="EB46" s="1" t="e">
        <f>IF(CA$46=0,NA(),CA$46)</f>
        <v>#N/A</v>
      </c>
      <c r="EC46" s="1" t="e">
        <f>IF(CA$47=0,NA(),CA$47)</f>
        <v>#N/A</v>
      </c>
      <c r="ED46" s="1" t="e">
        <f>IF(CA$48=0,NA(),CA$48)</f>
        <v>#N/A</v>
      </c>
      <c r="EE46" s="1" t="e">
        <f>IF(CA$49=0,NA(),CA$49)</f>
        <v>#N/A</v>
      </c>
      <c r="EF46" s="1" t="e">
        <f>IF(CA$50=0,NA(),CA$50)</f>
        <v>#N/A</v>
      </c>
      <c r="EG46" s="1" t="e">
        <f>IF(CA$51=0,NA(),CA$51)</f>
        <v>#N/A</v>
      </c>
      <c r="EH46" s="1" t="e">
        <f>IF(CA$52=0,NA(),CA$52)</f>
        <v>#N/A</v>
      </c>
      <c r="EI46" s="1" t="e">
        <f>IF(CA$53=0,NA(),CA$53)</f>
        <v>#N/A</v>
      </c>
      <c r="EJ46" s="1" t="e">
        <f>IF(CA$54=0,NA(),CA$54)</f>
        <v>#N/A</v>
      </c>
      <c r="EK46" s="1" t="e">
        <f>IF(CA$55=0,NA(),CA$55)</f>
        <v>#N/A</v>
      </c>
      <c r="EL46" s="1" t="e">
        <f>IF(CA$56=0,NA(),CA$56)</f>
        <v>#N/A</v>
      </c>
      <c r="EM46" s="1" t="e">
        <f>IF(CA$57=0,NA(),CA$57)</f>
        <v>#N/A</v>
      </c>
    </row>
    <row r="47" spans="2:143" ht="16.5" customHeight="1" x14ac:dyDescent="0.3">
      <c r="B47" s="43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AJ47" s="1">
        <f t="shared" si="31"/>
        <v>0</v>
      </c>
      <c r="AK47" s="1">
        <f t="shared" si="34"/>
        <v>0</v>
      </c>
      <c r="AL47" s="1">
        <f t="shared" ref="AL47:CW50" si="41">AL18*(1+$AH18)^(AL$31-$AJ$31)</f>
        <v>0</v>
      </c>
      <c r="AM47" s="1">
        <f t="shared" si="41"/>
        <v>0</v>
      </c>
      <c r="AN47" s="1">
        <f t="shared" si="41"/>
        <v>0</v>
      </c>
      <c r="AO47" s="1">
        <f t="shared" si="41"/>
        <v>0</v>
      </c>
      <c r="AP47" s="1">
        <f t="shared" si="41"/>
        <v>0</v>
      </c>
      <c r="AQ47" s="1">
        <f t="shared" si="41"/>
        <v>0</v>
      </c>
      <c r="AR47" s="1">
        <f t="shared" si="41"/>
        <v>0</v>
      </c>
      <c r="AS47" s="1">
        <f t="shared" si="41"/>
        <v>0</v>
      </c>
      <c r="AT47" s="1">
        <f t="shared" si="41"/>
        <v>0</v>
      </c>
      <c r="AU47" s="1">
        <f t="shared" si="41"/>
        <v>0</v>
      </c>
      <c r="AV47" s="1">
        <f t="shared" si="41"/>
        <v>0</v>
      </c>
      <c r="AW47" s="1">
        <f t="shared" si="41"/>
        <v>0</v>
      </c>
      <c r="AX47" s="1">
        <f t="shared" si="41"/>
        <v>0</v>
      </c>
      <c r="AY47" s="1">
        <f t="shared" si="41"/>
        <v>0</v>
      </c>
      <c r="AZ47" s="1">
        <f t="shared" si="41"/>
        <v>0</v>
      </c>
      <c r="BA47" s="1">
        <f t="shared" si="41"/>
        <v>0</v>
      </c>
      <c r="BB47" s="1">
        <f t="shared" si="41"/>
        <v>0</v>
      </c>
      <c r="BC47" s="1">
        <f t="shared" si="41"/>
        <v>0</v>
      </c>
      <c r="BD47" s="1">
        <f t="shared" si="41"/>
        <v>0</v>
      </c>
      <c r="BE47" s="1">
        <f t="shared" si="41"/>
        <v>0</v>
      </c>
      <c r="BF47" s="1">
        <f t="shared" si="41"/>
        <v>0</v>
      </c>
      <c r="BG47" s="1">
        <f t="shared" si="41"/>
        <v>0</v>
      </c>
      <c r="BH47" s="1">
        <f t="shared" si="41"/>
        <v>0</v>
      </c>
      <c r="BI47" s="1">
        <f t="shared" si="41"/>
        <v>0</v>
      </c>
      <c r="BJ47" s="1">
        <f t="shared" si="41"/>
        <v>0</v>
      </c>
      <c r="BK47" s="1">
        <f t="shared" si="41"/>
        <v>0</v>
      </c>
      <c r="BL47" s="1">
        <f t="shared" si="41"/>
        <v>0</v>
      </c>
      <c r="BM47" s="1">
        <f t="shared" si="41"/>
        <v>0</v>
      </c>
      <c r="BN47" s="1">
        <f t="shared" si="41"/>
        <v>0</v>
      </c>
      <c r="BO47" s="1">
        <f t="shared" si="41"/>
        <v>0</v>
      </c>
      <c r="BP47" s="1">
        <f t="shared" si="41"/>
        <v>0</v>
      </c>
      <c r="BQ47" s="1">
        <f t="shared" si="41"/>
        <v>0</v>
      </c>
      <c r="BR47" s="1">
        <f t="shared" si="41"/>
        <v>0</v>
      </c>
      <c r="BS47" s="1">
        <f t="shared" si="41"/>
        <v>0</v>
      </c>
      <c r="BT47" s="1">
        <f t="shared" si="41"/>
        <v>0</v>
      </c>
      <c r="BU47" s="1">
        <f t="shared" si="41"/>
        <v>0</v>
      </c>
      <c r="BV47" s="1">
        <f t="shared" si="41"/>
        <v>0</v>
      </c>
      <c r="BW47" s="1">
        <f t="shared" si="41"/>
        <v>0</v>
      </c>
      <c r="BX47" s="1">
        <f t="shared" si="41"/>
        <v>0</v>
      </c>
      <c r="BY47" s="1">
        <f t="shared" si="41"/>
        <v>0</v>
      </c>
      <c r="BZ47" s="1">
        <f t="shared" si="41"/>
        <v>0</v>
      </c>
      <c r="CA47" s="1">
        <f t="shared" si="41"/>
        <v>0</v>
      </c>
      <c r="CB47" s="1">
        <f t="shared" si="41"/>
        <v>0</v>
      </c>
      <c r="CC47" s="1">
        <f t="shared" si="41"/>
        <v>0</v>
      </c>
      <c r="CD47" s="1">
        <f t="shared" si="41"/>
        <v>0</v>
      </c>
      <c r="CE47" s="1">
        <f t="shared" si="41"/>
        <v>0</v>
      </c>
      <c r="CF47" s="1">
        <f t="shared" si="41"/>
        <v>0</v>
      </c>
      <c r="CG47" s="1">
        <f t="shared" si="41"/>
        <v>0</v>
      </c>
      <c r="CH47" s="1">
        <f t="shared" si="41"/>
        <v>0</v>
      </c>
      <c r="CI47" s="1">
        <f t="shared" si="41"/>
        <v>0</v>
      </c>
      <c r="CJ47" s="1">
        <f t="shared" si="41"/>
        <v>0</v>
      </c>
      <c r="CK47" s="1">
        <f t="shared" si="41"/>
        <v>0</v>
      </c>
      <c r="CL47" s="1">
        <f t="shared" si="41"/>
        <v>0</v>
      </c>
      <c r="CM47" s="1">
        <f t="shared" si="41"/>
        <v>0</v>
      </c>
      <c r="CN47" s="1">
        <f t="shared" si="41"/>
        <v>0</v>
      </c>
      <c r="CO47" s="1" t="e">
        <f t="shared" si="41"/>
        <v>#REF!</v>
      </c>
      <c r="CP47" s="1" t="e">
        <f t="shared" si="41"/>
        <v>#REF!</v>
      </c>
      <c r="CQ47" s="1" t="e">
        <f t="shared" si="41"/>
        <v>#REF!</v>
      </c>
      <c r="CR47" s="1" t="e">
        <f t="shared" si="41"/>
        <v>#REF!</v>
      </c>
      <c r="CS47" s="1" t="e">
        <f t="shared" si="41"/>
        <v>#REF!</v>
      </c>
      <c r="CT47" s="1" t="e">
        <f t="shared" si="41"/>
        <v>#REF!</v>
      </c>
      <c r="CU47" s="1" t="e">
        <f t="shared" si="41"/>
        <v>#REF!</v>
      </c>
      <c r="CV47" s="1" t="e">
        <f t="shared" si="41"/>
        <v>#REF!</v>
      </c>
      <c r="CW47" s="1" t="e">
        <f t="shared" si="41"/>
        <v>#REF!</v>
      </c>
      <c r="CX47" s="1" t="e">
        <f t="shared" si="40"/>
        <v>#REF!</v>
      </c>
      <c r="CY47" s="1" t="e">
        <f t="shared" si="40"/>
        <v>#REF!</v>
      </c>
      <c r="CZ47" s="1" t="e">
        <f t="shared" si="40"/>
        <v>#REF!</v>
      </c>
      <c r="DA47" s="1" t="e">
        <f t="shared" si="40"/>
        <v>#REF!</v>
      </c>
      <c r="DB47" s="1" t="e">
        <f t="shared" si="40"/>
        <v>#REF!</v>
      </c>
      <c r="DC47" s="1" t="e">
        <f t="shared" si="40"/>
        <v>#REF!</v>
      </c>
      <c r="DD47" s="1" t="e">
        <f t="shared" si="40"/>
        <v>#REF!</v>
      </c>
      <c r="DE47" s="1" t="e">
        <f t="shared" si="40"/>
        <v>#REF!</v>
      </c>
      <c r="DF47" s="1" t="e">
        <f t="shared" si="40"/>
        <v>#REF!</v>
      </c>
      <c r="DG47" s="1" t="e">
        <f t="shared" si="40"/>
        <v>#REF!</v>
      </c>
      <c r="DK47" s="1">
        <f t="shared" si="11"/>
        <v>2069</v>
      </c>
      <c r="DL47" s="1">
        <f t="shared" ca="1" si="12"/>
        <v>89</v>
      </c>
      <c r="DM47" s="1">
        <f t="shared" ca="1" si="13"/>
        <v>94</v>
      </c>
      <c r="DN47" s="1" t="e">
        <f>IF(CB$32=0,NA(),CB$32)</f>
        <v>#N/A</v>
      </c>
      <c r="DO47" s="1" t="e">
        <f>IF(CB$33=0,NA(),CB$33)</f>
        <v>#N/A</v>
      </c>
      <c r="DP47" s="1" t="e">
        <f>IF(CB$34=0,NA(),CB$34)</f>
        <v>#N/A</v>
      </c>
      <c r="DQ47" s="1" t="e">
        <f>IF(CB$35=0,NA(),CB$35)</f>
        <v>#N/A</v>
      </c>
      <c r="DR47" s="1" t="e">
        <f>IF(CB$36=0,NA(),CB$36)</f>
        <v>#N/A</v>
      </c>
      <c r="DS47" s="1" t="e">
        <f>IF(CB$37=0,NA(),CB$37)</f>
        <v>#N/A</v>
      </c>
      <c r="DT47" s="1" t="e">
        <f>IF(CB$38=0,NA(),CB$38)</f>
        <v>#N/A</v>
      </c>
      <c r="DU47" s="1" t="e">
        <f>IF(CB$39=0,NA(),CB$39)</f>
        <v>#N/A</v>
      </c>
      <c r="DV47" s="1" t="e">
        <f>IF(CB$40=0,NA(),CB$40)</f>
        <v>#N/A</v>
      </c>
      <c r="DW47" s="1" t="e">
        <f>IF(CB$41=0,NA(),CB$41)</f>
        <v>#N/A</v>
      </c>
      <c r="DX47" s="1" t="e">
        <f>IF(CB$42=0,NA(),CB$42)</f>
        <v>#N/A</v>
      </c>
      <c r="DY47" s="1" t="e">
        <f>IF(CB$43=0,NA(),CB$43)</f>
        <v>#N/A</v>
      </c>
      <c r="DZ47" s="1" t="e">
        <f>IF(CB$44=0,NA(),CB$44)</f>
        <v>#N/A</v>
      </c>
      <c r="EA47" s="1" t="e">
        <f>IF(CB$45=0,NA(),CB$45)</f>
        <v>#N/A</v>
      </c>
      <c r="EB47" s="1" t="e">
        <f>IF(CB$46=0,NA(),CB$46)</f>
        <v>#N/A</v>
      </c>
      <c r="EC47" s="1" t="e">
        <f>IF(CB$47=0,NA(),CB$47)</f>
        <v>#N/A</v>
      </c>
      <c r="ED47" s="1" t="e">
        <f>IF(CB$48=0,NA(),CB$48)</f>
        <v>#N/A</v>
      </c>
      <c r="EE47" s="1" t="e">
        <f>IF(CB$49=0,NA(),CB$49)</f>
        <v>#N/A</v>
      </c>
      <c r="EF47" s="1" t="e">
        <f>IF(CB$50=0,NA(),CB$50)</f>
        <v>#N/A</v>
      </c>
      <c r="EG47" s="1" t="e">
        <f>IF(CB$51=0,NA(),CB$51)</f>
        <v>#N/A</v>
      </c>
      <c r="EH47" s="1" t="e">
        <f>IF(CB$52=0,NA(),CB$52)</f>
        <v>#N/A</v>
      </c>
      <c r="EI47" s="1" t="e">
        <f>IF(CB$53=0,NA(),CB$53)</f>
        <v>#N/A</v>
      </c>
      <c r="EJ47" s="1" t="e">
        <f>IF(CB$54=0,NA(),CB$54)</f>
        <v>#N/A</v>
      </c>
      <c r="EK47" s="1" t="e">
        <f>IF(CB$55=0,NA(),CB$55)</f>
        <v>#N/A</v>
      </c>
      <c r="EL47" s="1" t="e">
        <f>IF(CB$56=0,NA(),CB$56)</f>
        <v>#N/A</v>
      </c>
      <c r="EM47" s="1" t="e">
        <f>IF(CB$57=0,NA(),CB$57)</f>
        <v>#N/A</v>
      </c>
    </row>
    <row r="48" spans="2:143" ht="15.75" customHeight="1" x14ac:dyDescent="0.3">
      <c r="B48" s="431"/>
      <c r="C48" s="431"/>
      <c r="D48" s="431"/>
      <c r="E48" s="431"/>
      <c r="F48" s="431"/>
      <c r="G48" s="431"/>
      <c r="H48" s="431"/>
      <c r="I48" s="431"/>
      <c r="J48" s="431"/>
      <c r="K48" s="431"/>
      <c r="L48" s="431"/>
      <c r="M48" s="431"/>
      <c r="N48" s="431"/>
      <c r="AJ48" s="1">
        <f t="shared" si="31"/>
        <v>0</v>
      </c>
      <c r="AK48" s="1">
        <f t="shared" si="34"/>
        <v>0</v>
      </c>
      <c r="AL48" s="1">
        <f t="shared" si="41"/>
        <v>0</v>
      </c>
      <c r="AM48" s="1">
        <f t="shared" si="41"/>
        <v>0</v>
      </c>
      <c r="AN48" s="1">
        <f t="shared" si="41"/>
        <v>0</v>
      </c>
      <c r="AO48" s="1">
        <f t="shared" si="41"/>
        <v>0</v>
      </c>
      <c r="AP48" s="1">
        <f t="shared" si="41"/>
        <v>0</v>
      </c>
      <c r="AQ48" s="1">
        <f t="shared" si="41"/>
        <v>0</v>
      </c>
      <c r="AR48" s="1">
        <f t="shared" si="41"/>
        <v>0</v>
      </c>
      <c r="AS48" s="1">
        <f t="shared" si="41"/>
        <v>0</v>
      </c>
      <c r="AT48" s="1">
        <f t="shared" si="41"/>
        <v>0</v>
      </c>
      <c r="AU48" s="1">
        <f t="shared" si="41"/>
        <v>0</v>
      </c>
      <c r="AV48" s="1">
        <f t="shared" si="41"/>
        <v>0</v>
      </c>
      <c r="AW48" s="1">
        <f t="shared" si="41"/>
        <v>0</v>
      </c>
      <c r="AX48" s="1">
        <f t="shared" si="41"/>
        <v>0</v>
      </c>
      <c r="AY48" s="1">
        <f t="shared" si="41"/>
        <v>0</v>
      </c>
      <c r="AZ48" s="1">
        <f t="shared" si="41"/>
        <v>0</v>
      </c>
      <c r="BA48" s="1">
        <f t="shared" si="41"/>
        <v>0</v>
      </c>
      <c r="BB48" s="1">
        <f t="shared" si="41"/>
        <v>0</v>
      </c>
      <c r="BC48" s="1">
        <f t="shared" si="41"/>
        <v>0</v>
      </c>
      <c r="BD48" s="1">
        <f t="shared" si="41"/>
        <v>0</v>
      </c>
      <c r="BE48" s="1">
        <f t="shared" si="41"/>
        <v>0</v>
      </c>
      <c r="BF48" s="1">
        <f t="shared" si="41"/>
        <v>0</v>
      </c>
      <c r="BG48" s="1">
        <f t="shared" si="41"/>
        <v>0</v>
      </c>
      <c r="BH48" s="1">
        <f t="shared" si="41"/>
        <v>0</v>
      </c>
      <c r="BI48" s="1">
        <f t="shared" si="41"/>
        <v>0</v>
      </c>
      <c r="BJ48" s="1">
        <f t="shared" si="41"/>
        <v>0</v>
      </c>
      <c r="BK48" s="1">
        <f t="shared" si="41"/>
        <v>0</v>
      </c>
      <c r="BL48" s="1">
        <f t="shared" si="41"/>
        <v>0</v>
      </c>
      <c r="BM48" s="1">
        <f t="shared" si="41"/>
        <v>0</v>
      </c>
      <c r="BN48" s="1">
        <f t="shared" si="41"/>
        <v>0</v>
      </c>
      <c r="BO48" s="1">
        <f t="shared" si="41"/>
        <v>0</v>
      </c>
      <c r="BP48" s="1">
        <f t="shared" si="41"/>
        <v>0</v>
      </c>
      <c r="BQ48" s="1">
        <f t="shared" si="41"/>
        <v>0</v>
      </c>
      <c r="BR48" s="1">
        <f t="shared" si="41"/>
        <v>0</v>
      </c>
      <c r="BS48" s="1">
        <f t="shared" si="41"/>
        <v>0</v>
      </c>
      <c r="BT48" s="1">
        <f t="shared" si="41"/>
        <v>0</v>
      </c>
      <c r="BU48" s="1">
        <f t="shared" si="41"/>
        <v>0</v>
      </c>
      <c r="BV48" s="1">
        <f t="shared" si="41"/>
        <v>0</v>
      </c>
      <c r="BW48" s="1">
        <f t="shared" si="41"/>
        <v>0</v>
      </c>
      <c r="BX48" s="1">
        <f t="shared" si="41"/>
        <v>0</v>
      </c>
      <c r="BY48" s="1">
        <f t="shared" si="41"/>
        <v>0</v>
      </c>
      <c r="BZ48" s="1">
        <f t="shared" si="41"/>
        <v>0</v>
      </c>
      <c r="CA48" s="1">
        <f t="shared" si="41"/>
        <v>0</v>
      </c>
      <c r="CB48" s="1">
        <f t="shared" si="41"/>
        <v>0</v>
      </c>
      <c r="CC48" s="1">
        <f t="shared" si="41"/>
        <v>0</v>
      </c>
      <c r="CD48" s="1">
        <f t="shared" si="41"/>
        <v>0</v>
      </c>
      <c r="CE48" s="1">
        <f t="shared" si="41"/>
        <v>0</v>
      </c>
      <c r="CF48" s="1">
        <f t="shared" si="41"/>
        <v>0</v>
      </c>
      <c r="CG48" s="1">
        <f t="shared" si="41"/>
        <v>0</v>
      </c>
      <c r="CH48" s="1">
        <f t="shared" si="41"/>
        <v>0</v>
      </c>
      <c r="CI48" s="1">
        <f t="shared" si="41"/>
        <v>0</v>
      </c>
      <c r="CJ48" s="1">
        <f t="shared" si="41"/>
        <v>0</v>
      </c>
      <c r="CK48" s="1">
        <f t="shared" si="41"/>
        <v>0</v>
      </c>
      <c r="CL48" s="1">
        <f t="shared" si="41"/>
        <v>0</v>
      </c>
      <c r="CM48" s="1">
        <f t="shared" si="41"/>
        <v>0</v>
      </c>
      <c r="CN48" s="1">
        <f t="shared" si="41"/>
        <v>0</v>
      </c>
      <c r="CO48" s="1" t="e">
        <f t="shared" si="41"/>
        <v>#REF!</v>
      </c>
      <c r="CP48" s="1" t="e">
        <f t="shared" si="41"/>
        <v>#REF!</v>
      </c>
      <c r="CQ48" s="1" t="e">
        <f t="shared" si="41"/>
        <v>#REF!</v>
      </c>
      <c r="CR48" s="1" t="e">
        <f t="shared" si="41"/>
        <v>#REF!</v>
      </c>
      <c r="CS48" s="1" t="e">
        <f t="shared" si="41"/>
        <v>#REF!</v>
      </c>
      <c r="CT48" s="1" t="e">
        <f t="shared" si="41"/>
        <v>#REF!</v>
      </c>
      <c r="CU48" s="1" t="e">
        <f t="shared" si="41"/>
        <v>#REF!</v>
      </c>
      <c r="CV48" s="1" t="e">
        <f t="shared" si="41"/>
        <v>#REF!</v>
      </c>
      <c r="CW48" s="1" t="e">
        <f t="shared" si="41"/>
        <v>#REF!</v>
      </c>
      <c r="CX48" s="1" t="e">
        <f t="shared" si="40"/>
        <v>#REF!</v>
      </c>
      <c r="CY48" s="1" t="e">
        <f t="shared" si="40"/>
        <v>#REF!</v>
      </c>
      <c r="CZ48" s="1" t="e">
        <f t="shared" si="40"/>
        <v>#REF!</v>
      </c>
      <c r="DA48" s="1" t="e">
        <f t="shared" si="40"/>
        <v>#REF!</v>
      </c>
      <c r="DB48" s="1" t="e">
        <f t="shared" si="40"/>
        <v>#REF!</v>
      </c>
      <c r="DC48" s="1" t="e">
        <f t="shared" si="40"/>
        <v>#REF!</v>
      </c>
      <c r="DD48" s="1" t="e">
        <f t="shared" si="40"/>
        <v>#REF!</v>
      </c>
      <c r="DE48" s="1" t="e">
        <f t="shared" si="40"/>
        <v>#REF!</v>
      </c>
      <c r="DF48" s="1" t="e">
        <f t="shared" si="40"/>
        <v>#REF!</v>
      </c>
      <c r="DG48" s="1" t="e">
        <f t="shared" si="40"/>
        <v>#REF!</v>
      </c>
      <c r="DK48" s="1">
        <f t="shared" si="11"/>
        <v>2070</v>
      </c>
      <c r="DL48" s="1">
        <f t="shared" ca="1" si="12"/>
        <v>90</v>
      </c>
      <c r="DM48" s="1">
        <f t="shared" ca="1" si="13"/>
        <v>95</v>
      </c>
      <c r="DN48" s="1" t="e">
        <f>IF(CC$32=0,NA(),CC$32)</f>
        <v>#N/A</v>
      </c>
      <c r="DO48" s="1" t="e">
        <f>IF(CC$33=0,NA(),CC$33)</f>
        <v>#N/A</v>
      </c>
      <c r="DP48" s="1" t="e">
        <f>IF(CC$34=0,NA(),CC$34)</f>
        <v>#N/A</v>
      </c>
      <c r="DQ48" s="1" t="e">
        <f>IF(CC$35=0,NA(),CC$35)</f>
        <v>#N/A</v>
      </c>
      <c r="DR48" s="1" t="e">
        <f>IF(CC$36=0,NA(),CC$36)</f>
        <v>#N/A</v>
      </c>
      <c r="DS48" s="1" t="e">
        <f>IF(CC$37=0,NA(),CC$37)</f>
        <v>#N/A</v>
      </c>
      <c r="DT48" s="1" t="e">
        <f>IF(CC$38=0,NA(),CC$38)</f>
        <v>#N/A</v>
      </c>
      <c r="DU48" s="1" t="e">
        <f>IF(CC$39=0,NA(),CC$39)</f>
        <v>#N/A</v>
      </c>
      <c r="DV48" s="1" t="e">
        <f>IF(CC$40=0,NA(),CC$40)</f>
        <v>#N/A</v>
      </c>
      <c r="DW48" s="1" t="e">
        <f>IF(CC$41=0,NA(),CC$41)</f>
        <v>#N/A</v>
      </c>
      <c r="DX48" s="1" t="e">
        <f>IF(CC$42=0,NA(),CC$42)</f>
        <v>#N/A</v>
      </c>
      <c r="DY48" s="1" t="e">
        <f>IF(CC$43=0,NA(),CC$43)</f>
        <v>#N/A</v>
      </c>
      <c r="DZ48" s="1" t="e">
        <f>IF(CC$44=0,NA(),CC$44)</f>
        <v>#N/A</v>
      </c>
      <c r="EA48" s="1" t="e">
        <f>IF(CC$45=0,NA(),CC$45)</f>
        <v>#N/A</v>
      </c>
      <c r="EB48" s="1" t="e">
        <f>IF(CC$46=0,NA(),CC$46)</f>
        <v>#N/A</v>
      </c>
      <c r="EC48" s="1" t="e">
        <f>IF(CC$47=0,NA(),CC$47)</f>
        <v>#N/A</v>
      </c>
      <c r="ED48" s="1" t="e">
        <f>IF(CC$48=0,NA(),CC$48)</f>
        <v>#N/A</v>
      </c>
      <c r="EE48" s="1" t="e">
        <f>IF(CC$49=0,NA(),CC$49)</f>
        <v>#N/A</v>
      </c>
      <c r="EF48" s="1" t="e">
        <f>IF(CC$50=0,NA(),CC$50)</f>
        <v>#N/A</v>
      </c>
      <c r="EG48" s="1" t="e">
        <f>IF(CC$51=0,NA(),CC$51)</f>
        <v>#N/A</v>
      </c>
      <c r="EH48" s="1" t="e">
        <f>IF(CC$52=0,NA(),CC$52)</f>
        <v>#N/A</v>
      </c>
      <c r="EI48" s="1" t="e">
        <f>IF(CC$53=0,NA(),CC$53)</f>
        <v>#N/A</v>
      </c>
      <c r="EJ48" s="1" t="e">
        <f>IF(CC$54=0,NA(),CC$54)</f>
        <v>#N/A</v>
      </c>
      <c r="EK48" s="1" t="e">
        <f>IF(CC$55=0,NA(),CC$55)</f>
        <v>#N/A</v>
      </c>
      <c r="EL48" s="1" t="e">
        <f>IF(CC$56=0,NA(),CC$56)</f>
        <v>#N/A</v>
      </c>
      <c r="EM48" s="1" t="e">
        <f>IF(CC$57=0,NA(),CC$57)</f>
        <v>#N/A</v>
      </c>
    </row>
    <row r="49" spans="36:143" ht="15" customHeight="1" x14ac:dyDescent="0.3">
      <c r="AJ49" s="1">
        <f t="shared" si="31"/>
        <v>0</v>
      </c>
      <c r="AK49" s="1">
        <f t="shared" si="34"/>
        <v>0</v>
      </c>
      <c r="AL49" s="1">
        <f t="shared" si="41"/>
        <v>0</v>
      </c>
      <c r="AM49" s="1">
        <f t="shared" si="41"/>
        <v>0</v>
      </c>
      <c r="AN49" s="1">
        <f t="shared" si="41"/>
        <v>0</v>
      </c>
      <c r="AO49" s="1">
        <f t="shared" si="41"/>
        <v>0</v>
      </c>
      <c r="AP49" s="1">
        <f t="shared" si="41"/>
        <v>0</v>
      </c>
      <c r="AQ49" s="1">
        <f t="shared" si="41"/>
        <v>0</v>
      </c>
      <c r="AR49" s="1">
        <f t="shared" si="41"/>
        <v>0</v>
      </c>
      <c r="AS49" s="1">
        <f t="shared" si="41"/>
        <v>0</v>
      </c>
      <c r="AT49" s="1">
        <f t="shared" si="41"/>
        <v>0</v>
      </c>
      <c r="AU49" s="1">
        <f t="shared" si="41"/>
        <v>0</v>
      </c>
      <c r="AV49" s="1">
        <f t="shared" si="41"/>
        <v>0</v>
      </c>
      <c r="AW49" s="1">
        <f t="shared" si="41"/>
        <v>0</v>
      </c>
      <c r="AX49" s="1">
        <f t="shared" si="41"/>
        <v>0</v>
      </c>
      <c r="AY49" s="1">
        <f t="shared" si="41"/>
        <v>0</v>
      </c>
      <c r="AZ49" s="1">
        <f t="shared" si="41"/>
        <v>0</v>
      </c>
      <c r="BA49" s="1">
        <f t="shared" si="41"/>
        <v>0</v>
      </c>
      <c r="BB49" s="1">
        <f t="shared" si="41"/>
        <v>0</v>
      </c>
      <c r="BC49" s="1">
        <f t="shared" si="41"/>
        <v>0</v>
      </c>
      <c r="BD49" s="1">
        <f t="shared" si="41"/>
        <v>0</v>
      </c>
      <c r="BE49" s="1">
        <f t="shared" si="41"/>
        <v>0</v>
      </c>
      <c r="BF49" s="1">
        <f t="shared" si="41"/>
        <v>0</v>
      </c>
      <c r="BG49" s="1">
        <f t="shared" si="41"/>
        <v>0</v>
      </c>
      <c r="BH49" s="1">
        <f t="shared" si="41"/>
        <v>0</v>
      </c>
      <c r="BI49" s="1">
        <f t="shared" si="41"/>
        <v>0</v>
      </c>
      <c r="BJ49" s="1">
        <f t="shared" si="41"/>
        <v>0</v>
      </c>
      <c r="BK49" s="1">
        <f t="shared" si="41"/>
        <v>0</v>
      </c>
      <c r="BL49" s="1">
        <f t="shared" si="41"/>
        <v>0</v>
      </c>
      <c r="BM49" s="1">
        <f t="shared" si="41"/>
        <v>0</v>
      </c>
      <c r="BN49" s="1">
        <f t="shared" si="41"/>
        <v>0</v>
      </c>
      <c r="BO49" s="1">
        <f t="shared" si="41"/>
        <v>0</v>
      </c>
      <c r="BP49" s="1">
        <f t="shared" si="41"/>
        <v>0</v>
      </c>
      <c r="BQ49" s="1">
        <f t="shared" si="41"/>
        <v>0</v>
      </c>
      <c r="BR49" s="1">
        <f t="shared" si="41"/>
        <v>0</v>
      </c>
      <c r="BS49" s="1">
        <f t="shared" si="41"/>
        <v>0</v>
      </c>
      <c r="BT49" s="1">
        <f t="shared" si="41"/>
        <v>0</v>
      </c>
      <c r="BU49" s="1">
        <f t="shared" si="41"/>
        <v>0</v>
      </c>
      <c r="BV49" s="1">
        <f t="shared" si="41"/>
        <v>0</v>
      </c>
      <c r="BW49" s="1">
        <f t="shared" si="41"/>
        <v>0</v>
      </c>
      <c r="BX49" s="1">
        <f t="shared" si="41"/>
        <v>0</v>
      </c>
      <c r="BY49" s="1">
        <f t="shared" si="41"/>
        <v>0</v>
      </c>
      <c r="BZ49" s="1">
        <f t="shared" si="41"/>
        <v>0</v>
      </c>
      <c r="CA49" s="1">
        <f t="shared" si="41"/>
        <v>0</v>
      </c>
      <c r="CB49" s="1">
        <f t="shared" si="41"/>
        <v>0</v>
      </c>
      <c r="CC49" s="1">
        <f t="shared" si="41"/>
        <v>0</v>
      </c>
      <c r="CD49" s="1">
        <f t="shared" si="41"/>
        <v>0</v>
      </c>
      <c r="CE49" s="1">
        <f t="shared" si="41"/>
        <v>0</v>
      </c>
      <c r="CF49" s="1">
        <f t="shared" si="41"/>
        <v>0</v>
      </c>
      <c r="CG49" s="1">
        <f t="shared" si="41"/>
        <v>0</v>
      </c>
      <c r="CH49" s="1">
        <f t="shared" si="41"/>
        <v>0</v>
      </c>
      <c r="CI49" s="1">
        <f t="shared" si="41"/>
        <v>0</v>
      </c>
      <c r="CJ49" s="1">
        <f t="shared" si="41"/>
        <v>0</v>
      </c>
      <c r="CK49" s="1">
        <f t="shared" si="41"/>
        <v>0</v>
      </c>
      <c r="CL49" s="1">
        <f t="shared" si="41"/>
        <v>0</v>
      </c>
      <c r="CM49" s="1">
        <f t="shared" si="41"/>
        <v>0</v>
      </c>
      <c r="CN49" s="1">
        <f t="shared" si="41"/>
        <v>0</v>
      </c>
      <c r="CO49" s="1" t="e">
        <f t="shared" si="41"/>
        <v>#REF!</v>
      </c>
      <c r="CP49" s="1" t="e">
        <f t="shared" si="41"/>
        <v>#REF!</v>
      </c>
      <c r="CQ49" s="1" t="e">
        <f t="shared" si="41"/>
        <v>#REF!</v>
      </c>
      <c r="CR49" s="1" t="e">
        <f t="shared" si="41"/>
        <v>#REF!</v>
      </c>
      <c r="CS49" s="1" t="e">
        <f t="shared" si="41"/>
        <v>#REF!</v>
      </c>
      <c r="CT49" s="1" t="e">
        <f t="shared" si="41"/>
        <v>#REF!</v>
      </c>
      <c r="CU49" s="1" t="e">
        <f t="shared" si="41"/>
        <v>#REF!</v>
      </c>
      <c r="CV49" s="1" t="e">
        <f t="shared" si="41"/>
        <v>#REF!</v>
      </c>
      <c r="CW49" s="1" t="e">
        <f t="shared" si="41"/>
        <v>#REF!</v>
      </c>
      <c r="CX49" s="1" t="e">
        <f t="shared" si="40"/>
        <v>#REF!</v>
      </c>
      <c r="CY49" s="1" t="e">
        <f t="shared" si="40"/>
        <v>#REF!</v>
      </c>
      <c r="CZ49" s="1" t="e">
        <f t="shared" si="40"/>
        <v>#REF!</v>
      </c>
      <c r="DA49" s="1" t="e">
        <f t="shared" si="40"/>
        <v>#REF!</v>
      </c>
      <c r="DB49" s="1" t="e">
        <f t="shared" si="40"/>
        <v>#REF!</v>
      </c>
      <c r="DC49" s="1" t="e">
        <f t="shared" si="40"/>
        <v>#REF!</v>
      </c>
      <c r="DD49" s="1" t="e">
        <f t="shared" si="40"/>
        <v>#REF!</v>
      </c>
      <c r="DE49" s="1" t="e">
        <f t="shared" si="40"/>
        <v>#REF!</v>
      </c>
      <c r="DF49" s="1" t="e">
        <f t="shared" si="40"/>
        <v>#REF!</v>
      </c>
      <c r="DG49" s="1" t="e">
        <f t="shared" si="40"/>
        <v>#REF!</v>
      </c>
      <c r="DK49" s="1">
        <f t="shared" si="11"/>
        <v>2071</v>
      </c>
      <c r="DL49" s="1">
        <f t="shared" ca="1" si="12"/>
        <v>91</v>
      </c>
      <c r="DM49" s="1">
        <f t="shared" ca="1" si="13"/>
        <v>96</v>
      </c>
      <c r="DN49" s="1" t="e">
        <f>IF(CD$32=0,NA(),CD$32)</f>
        <v>#N/A</v>
      </c>
      <c r="DO49" s="1" t="e">
        <f>IF(CD$33=0,NA(),CD$33)</f>
        <v>#N/A</v>
      </c>
      <c r="DP49" s="1" t="e">
        <f>IF(CD$34=0,NA(),CD$34)</f>
        <v>#N/A</v>
      </c>
      <c r="DQ49" s="1" t="e">
        <f>IF(CD$35=0,NA(),CD$35)</f>
        <v>#N/A</v>
      </c>
      <c r="DR49" s="1" t="e">
        <f>IF(CD$36=0,NA(),CD$36)</f>
        <v>#N/A</v>
      </c>
      <c r="DS49" s="1" t="e">
        <f>IF(CD$37=0,NA(),CD$37)</f>
        <v>#N/A</v>
      </c>
      <c r="DT49" s="1" t="e">
        <f>IF(CD$38=0,NA(),CD$38)</f>
        <v>#N/A</v>
      </c>
      <c r="DU49" s="1" t="e">
        <f>IF(CD$39=0,NA(),CD$39)</f>
        <v>#N/A</v>
      </c>
      <c r="DV49" s="1" t="e">
        <f>IF(CD$40=0,NA(),CD$40)</f>
        <v>#N/A</v>
      </c>
      <c r="DW49" s="1" t="e">
        <f>IF(CD$41=0,NA(),CD$41)</f>
        <v>#N/A</v>
      </c>
      <c r="DX49" s="1" t="e">
        <f>IF(CD$42=0,NA(),CD$42)</f>
        <v>#N/A</v>
      </c>
      <c r="DY49" s="1" t="e">
        <f>IF(CD$43=0,NA(),CD$43)</f>
        <v>#N/A</v>
      </c>
      <c r="DZ49" s="1" t="e">
        <f>IF(CD$44=0,NA(),CD$44)</f>
        <v>#N/A</v>
      </c>
      <c r="EA49" s="1" t="e">
        <f>IF(CD$45=0,NA(),CD$45)</f>
        <v>#N/A</v>
      </c>
      <c r="EB49" s="1" t="e">
        <f>IF(CD$46=0,NA(),CD$46)</f>
        <v>#N/A</v>
      </c>
      <c r="EC49" s="1" t="e">
        <f>IF(CD$47=0,NA(),CD$47)</f>
        <v>#N/A</v>
      </c>
      <c r="ED49" s="1" t="e">
        <f>IF(CD$48=0,NA(),CD$48)</f>
        <v>#N/A</v>
      </c>
      <c r="EE49" s="1" t="e">
        <f>IF(CD$49=0,NA(),CD$49)</f>
        <v>#N/A</v>
      </c>
      <c r="EF49" s="1" t="e">
        <f>IF(CD$50=0,NA(),CD$50)</f>
        <v>#N/A</v>
      </c>
      <c r="EG49" s="1" t="e">
        <f>IF(CD$51=0,NA(),CD$51)</f>
        <v>#N/A</v>
      </c>
      <c r="EH49" s="1" t="e">
        <f>IF(CD$52=0,NA(),CD$52)</f>
        <v>#N/A</v>
      </c>
      <c r="EI49" s="1" t="e">
        <f>IF(CD$53=0,NA(),CD$53)</f>
        <v>#N/A</v>
      </c>
      <c r="EJ49" s="1" t="e">
        <f>IF(CD$54=0,NA(),CD$54)</f>
        <v>#N/A</v>
      </c>
      <c r="EK49" s="1" t="e">
        <f>IF(CD$55=0,NA(),CD$55)</f>
        <v>#N/A</v>
      </c>
      <c r="EL49" s="1" t="e">
        <f>IF(CD$56=0,NA(),CD$56)</f>
        <v>#N/A</v>
      </c>
      <c r="EM49" s="1" t="e">
        <f>IF(CD$57=0,NA(),CD$57)</f>
        <v>#N/A</v>
      </c>
    </row>
    <row r="50" spans="36:143" ht="15" customHeight="1" x14ac:dyDescent="0.3">
      <c r="AJ50" s="1">
        <f t="shared" si="31"/>
        <v>0</v>
      </c>
      <c r="AK50" s="1">
        <f t="shared" si="34"/>
        <v>0</v>
      </c>
      <c r="AL50" s="1">
        <f t="shared" si="41"/>
        <v>0</v>
      </c>
      <c r="AM50" s="1">
        <f t="shared" si="41"/>
        <v>0</v>
      </c>
      <c r="AN50" s="1">
        <f t="shared" si="41"/>
        <v>0</v>
      </c>
      <c r="AO50" s="1">
        <f t="shared" si="41"/>
        <v>0</v>
      </c>
      <c r="AP50" s="1">
        <f t="shared" si="41"/>
        <v>0</v>
      </c>
      <c r="AQ50" s="1">
        <f t="shared" si="41"/>
        <v>0</v>
      </c>
      <c r="AR50" s="1">
        <f t="shared" si="41"/>
        <v>0</v>
      </c>
      <c r="AS50" s="1">
        <f t="shared" si="41"/>
        <v>0</v>
      </c>
      <c r="AT50" s="1">
        <f t="shared" si="41"/>
        <v>0</v>
      </c>
      <c r="AU50" s="1">
        <f t="shared" si="41"/>
        <v>0</v>
      </c>
      <c r="AV50" s="1">
        <f t="shared" si="41"/>
        <v>0</v>
      </c>
      <c r="AW50" s="1">
        <f t="shared" si="41"/>
        <v>0</v>
      </c>
      <c r="AX50" s="1">
        <f t="shared" si="41"/>
        <v>0</v>
      </c>
      <c r="AY50" s="1">
        <f t="shared" si="41"/>
        <v>0</v>
      </c>
      <c r="AZ50" s="1">
        <f t="shared" si="41"/>
        <v>0</v>
      </c>
      <c r="BA50" s="1">
        <f t="shared" si="41"/>
        <v>0</v>
      </c>
      <c r="BB50" s="1">
        <f t="shared" si="41"/>
        <v>0</v>
      </c>
      <c r="BC50" s="1">
        <f t="shared" si="41"/>
        <v>0</v>
      </c>
      <c r="BD50" s="1">
        <f t="shared" si="41"/>
        <v>0</v>
      </c>
      <c r="BE50" s="1">
        <f t="shared" si="41"/>
        <v>0</v>
      </c>
      <c r="BF50" s="1">
        <f t="shared" si="41"/>
        <v>0</v>
      </c>
      <c r="BG50" s="1">
        <f t="shared" si="41"/>
        <v>0</v>
      </c>
      <c r="BH50" s="1">
        <f t="shared" si="41"/>
        <v>0</v>
      </c>
      <c r="BI50" s="1">
        <f t="shared" si="41"/>
        <v>0</v>
      </c>
      <c r="BJ50" s="1">
        <f t="shared" si="41"/>
        <v>0</v>
      </c>
      <c r="BK50" s="1">
        <f t="shared" si="41"/>
        <v>0</v>
      </c>
      <c r="BL50" s="1">
        <f t="shared" si="41"/>
        <v>0</v>
      </c>
      <c r="BM50" s="1">
        <f t="shared" si="41"/>
        <v>0</v>
      </c>
      <c r="BN50" s="1">
        <f t="shared" si="41"/>
        <v>0</v>
      </c>
      <c r="BO50" s="1">
        <f t="shared" si="41"/>
        <v>0</v>
      </c>
      <c r="BP50" s="1">
        <f t="shared" si="41"/>
        <v>0</v>
      </c>
      <c r="BQ50" s="1">
        <f t="shared" si="41"/>
        <v>0</v>
      </c>
      <c r="BR50" s="1">
        <f t="shared" si="41"/>
        <v>0</v>
      </c>
      <c r="BS50" s="1">
        <f t="shared" si="41"/>
        <v>0</v>
      </c>
      <c r="BT50" s="1">
        <f t="shared" si="41"/>
        <v>0</v>
      </c>
      <c r="BU50" s="1">
        <f t="shared" si="41"/>
        <v>0</v>
      </c>
      <c r="BV50" s="1">
        <f t="shared" si="41"/>
        <v>0</v>
      </c>
      <c r="BW50" s="1">
        <f t="shared" si="41"/>
        <v>0</v>
      </c>
      <c r="BX50" s="1">
        <f t="shared" si="41"/>
        <v>0</v>
      </c>
      <c r="BY50" s="1">
        <f t="shared" si="41"/>
        <v>0</v>
      </c>
      <c r="BZ50" s="1">
        <f t="shared" si="41"/>
        <v>0</v>
      </c>
      <c r="CA50" s="1">
        <f t="shared" si="41"/>
        <v>0</v>
      </c>
      <c r="CB50" s="1">
        <f t="shared" si="41"/>
        <v>0</v>
      </c>
      <c r="CC50" s="1">
        <f t="shared" si="41"/>
        <v>0</v>
      </c>
      <c r="CD50" s="1">
        <f t="shared" si="41"/>
        <v>0</v>
      </c>
      <c r="CE50" s="1">
        <f t="shared" si="41"/>
        <v>0</v>
      </c>
      <c r="CF50" s="1">
        <f t="shared" si="41"/>
        <v>0</v>
      </c>
      <c r="CG50" s="1">
        <f t="shared" si="41"/>
        <v>0</v>
      </c>
      <c r="CH50" s="1">
        <f t="shared" si="41"/>
        <v>0</v>
      </c>
      <c r="CI50" s="1">
        <f t="shared" si="41"/>
        <v>0</v>
      </c>
      <c r="CJ50" s="1">
        <f t="shared" si="41"/>
        <v>0</v>
      </c>
      <c r="CK50" s="1">
        <f t="shared" si="41"/>
        <v>0</v>
      </c>
      <c r="CL50" s="1">
        <f t="shared" si="41"/>
        <v>0</v>
      </c>
      <c r="CM50" s="1">
        <f t="shared" si="41"/>
        <v>0</v>
      </c>
      <c r="CN50" s="1">
        <f t="shared" si="41"/>
        <v>0</v>
      </c>
      <c r="CO50" s="1" t="e">
        <f t="shared" si="41"/>
        <v>#REF!</v>
      </c>
      <c r="CP50" s="1" t="e">
        <f t="shared" si="41"/>
        <v>#REF!</v>
      </c>
      <c r="CQ50" s="1" t="e">
        <f t="shared" si="41"/>
        <v>#REF!</v>
      </c>
      <c r="CR50" s="1" t="e">
        <f t="shared" si="41"/>
        <v>#REF!</v>
      </c>
      <c r="CS50" s="1" t="e">
        <f t="shared" si="41"/>
        <v>#REF!</v>
      </c>
      <c r="CT50" s="1" t="e">
        <f t="shared" si="41"/>
        <v>#REF!</v>
      </c>
      <c r="CU50" s="1" t="e">
        <f t="shared" si="41"/>
        <v>#REF!</v>
      </c>
      <c r="CV50" s="1" t="e">
        <f t="shared" si="41"/>
        <v>#REF!</v>
      </c>
      <c r="CW50" s="1" t="e">
        <f t="shared" ref="CW50:DG53" si="42">CW21*(1+$AH21)^(CW$31-$AJ$31)</f>
        <v>#REF!</v>
      </c>
      <c r="CX50" s="1" t="e">
        <f t="shared" si="42"/>
        <v>#REF!</v>
      </c>
      <c r="CY50" s="1" t="e">
        <f t="shared" si="42"/>
        <v>#REF!</v>
      </c>
      <c r="CZ50" s="1" t="e">
        <f t="shared" si="42"/>
        <v>#REF!</v>
      </c>
      <c r="DA50" s="1" t="e">
        <f t="shared" si="42"/>
        <v>#REF!</v>
      </c>
      <c r="DB50" s="1" t="e">
        <f t="shared" si="42"/>
        <v>#REF!</v>
      </c>
      <c r="DC50" s="1" t="e">
        <f t="shared" si="42"/>
        <v>#REF!</v>
      </c>
      <c r="DD50" s="1" t="e">
        <f t="shared" si="42"/>
        <v>#REF!</v>
      </c>
      <c r="DE50" s="1" t="e">
        <f t="shared" si="42"/>
        <v>#REF!</v>
      </c>
      <c r="DF50" s="1" t="e">
        <f t="shared" si="42"/>
        <v>#REF!</v>
      </c>
      <c r="DG50" s="1" t="e">
        <f t="shared" si="42"/>
        <v>#REF!</v>
      </c>
      <c r="DK50" s="1">
        <f t="shared" si="11"/>
        <v>2072</v>
      </c>
      <c r="DL50" s="1">
        <f t="shared" ca="1" si="12"/>
        <v>92</v>
      </c>
      <c r="DM50" s="1">
        <f t="shared" ca="1" si="13"/>
        <v>97</v>
      </c>
      <c r="DN50" s="1" t="e">
        <f>IF(CE$32=0,NA(),CE$32)</f>
        <v>#N/A</v>
      </c>
      <c r="DO50" s="1" t="e">
        <f>IF(CE$33=0,NA(),CE$33)</f>
        <v>#N/A</v>
      </c>
      <c r="DP50" s="1" t="e">
        <f>IF(CE$34=0,NA(),CE$34)</f>
        <v>#N/A</v>
      </c>
      <c r="DQ50" s="1" t="e">
        <f>IF(CE$35=0,NA(),CE$35)</f>
        <v>#N/A</v>
      </c>
      <c r="DR50" s="1" t="e">
        <f>IF(CE$36=0,NA(),CE$36)</f>
        <v>#N/A</v>
      </c>
      <c r="DS50" s="1" t="e">
        <f>IF(CE$37=0,NA(),CE$37)</f>
        <v>#N/A</v>
      </c>
      <c r="DT50" s="1" t="e">
        <f>IF(CE$38=0,NA(),CE$38)</f>
        <v>#N/A</v>
      </c>
      <c r="DU50" s="1" t="e">
        <f>IF(CE$39=0,NA(),CE$39)</f>
        <v>#N/A</v>
      </c>
      <c r="DV50" s="1" t="e">
        <f>IF(CE$40=0,NA(),CE$40)</f>
        <v>#N/A</v>
      </c>
      <c r="DW50" s="1" t="e">
        <f>IF(CE$41=0,NA(),CE$41)</f>
        <v>#N/A</v>
      </c>
      <c r="DX50" s="1" t="e">
        <f>IF(CE$42=0,NA(),CE$42)</f>
        <v>#N/A</v>
      </c>
      <c r="DY50" s="1" t="e">
        <f>IF(CE$43=0,NA(),CE$43)</f>
        <v>#N/A</v>
      </c>
      <c r="DZ50" s="1" t="e">
        <f>IF(CE$44=0,NA(),CE$44)</f>
        <v>#N/A</v>
      </c>
      <c r="EA50" s="1" t="e">
        <f>IF(CE$45=0,NA(),CE$45)</f>
        <v>#N/A</v>
      </c>
      <c r="EB50" s="1" t="e">
        <f>IF(CE$46=0,NA(),CE$46)</f>
        <v>#N/A</v>
      </c>
      <c r="EC50" s="1" t="e">
        <f>IF(CE$47=0,NA(),CE$47)</f>
        <v>#N/A</v>
      </c>
      <c r="ED50" s="1" t="e">
        <f>IF(CE$48=0,NA(),CE$48)</f>
        <v>#N/A</v>
      </c>
      <c r="EE50" s="1" t="e">
        <f>IF(CE$49=0,NA(),CE$49)</f>
        <v>#N/A</v>
      </c>
      <c r="EF50" s="1" t="e">
        <f>IF(CE$50=0,NA(),CE$50)</f>
        <v>#N/A</v>
      </c>
      <c r="EG50" s="1" t="e">
        <f>IF(CE$51=0,NA(),CE$51)</f>
        <v>#N/A</v>
      </c>
      <c r="EH50" s="1" t="e">
        <f>IF(CE$52=0,NA(),CE$52)</f>
        <v>#N/A</v>
      </c>
      <c r="EI50" s="1" t="e">
        <f>IF(CE$53=0,NA(),CE$53)</f>
        <v>#N/A</v>
      </c>
      <c r="EJ50" s="1" t="e">
        <f>IF(CE$54=0,NA(),CE$54)</f>
        <v>#N/A</v>
      </c>
      <c r="EK50" s="1" t="e">
        <f>IF(CE$55=0,NA(),CE$55)</f>
        <v>#N/A</v>
      </c>
      <c r="EL50" s="1" t="e">
        <f>IF(CE$56=0,NA(),CE$56)</f>
        <v>#N/A</v>
      </c>
      <c r="EM50" s="1" t="e">
        <f>IF(CE$57=0,NA(),CE$57)</f>
        <v>#N/A</v>
      </c>
    </row>
    <row r="51" spans="36:143" x14ac:dyDescent="0.3">
      <c r="AJ51" s="1">
        <f t="shared" si="31"/>
        <v>0</v>
      </c>
      <c r="AK51" s="1">
        <f t="shared" si="34"/>
        <v>0</v>
      </c>
      <c r="AL51" s="1">
        <f t="shared" ref="AL51:CW54" si="43">AL22*(1+$AH22)^(AL$31-$AJ$31)</f>
        <v>0</v>
      </c>
      <c r="AM51" s="1">
        <f t="shared" si="43"/>
        <v>0</v>
      </c>
      <c r="AN51" s="1">
        <f t="shared" si="43"/>
        <v>0</v>
      </c>
      <c r="AO51" s="1">
        <f t="shared" si="43"/>
        <v>0</v>
      </c>
      <c r="AP51" s="1">
        <f t="shared" si="43"/>
        <v>0</v>
      </c>
      <c r="AQ51" s="1">
        <f t="shared" si="43"/>
        <v>0</v>
      </c>
      <c r="AR51" s="1">
        <f t="shared" si="43"/>
        <v>0</v>
      </c>
      <c r="AS51" s="1">
        <f t="shared" si="43"/>
        <v>0</v>
      </c>
      <c r="AT51" s="1">
        <f t="shared" si="43"/>
        <v>0</v>
      </c>
      <c r="AU51" s="1">
        <f t="shared" si="43"/>
        <v>0</v>
      </c>
      <c r="AV51" s="1">
        <f t="shared" si="43"/>
        <v>0</v>
      </c>
      <c r="AW51" s="1">
        <f t="shared" si="43"/>
        <v>0</v>
      </c>
      <c r="AX51" s="1">
        <f t="shared" si="43"/>
        <v>0</v>
      </c>
      <c r="AY51" s="1">
        <f t="shared" si="43"/>
        <v>0</v>
      </c>
      <c r="AZ51" s="1">
        <f t="shared" si="43"/>
        <v>0</v>
      </c>
      <c r="BA51" s="1">
        <f t="shared" si="43"/>
        <v>0</v>
      </c>
      <c r="BB51" s="1">
        <f t="shared" si="43"/>
        <v>0</v>
      </c>
      <c r="BC51" s="1">
        <f t="shared" si="43"/>
        <v>0</v>
      </c>
      <c r="BD51" s="1">
        <f t="shared" si="43"/>
        <v>0</v>
      </c>
      <c r="BE51" s="1">
        <f t="shared" si="43"/>
        <v>0</v>
      </c>
      <c r="BF51" s="1">
        <f t="shared" si="43"/>
        <v>0</v>
      </c>
      <c r="BG51" s="1">
        <f t="shared" si="43"/>
        <v>0</v>
      </c>
      <c r="BH51" s="1">
        <f t="shared" si="43"/>
        <v>0</v>
      </c>
      <c r="BI51" s="1">
        <f t="shared" si="43"/>
        <v>0</v>
      </c>
      <c r="BJ51" s="1">
        <f t="shared" si="43"/>
        <v>0</v>
      </c>
      <c r="BK51" s="1">
        <f t="shared" si="43"/>
        <v>0</v>
      </c>
      <c r="BL51" s="1">
        <f t="shared" si="43"/>
        <v>0</v>
      </c>
      <c r="BM51" s="1">
        <f t="shared" si="43"/>
        <v>0</v>
      </c>
      <c r="BN51" s="1">
        <f t="shared" si="43"/>
        <v>0</v>
      </c>
      <c r="BO51" s="1">
        <f t="shared" si="43"/>
        <v>0</v>
      </c>
      <c r="BP51" s="1">
        <f t="shared" si="43"/>
        <v>0</v>
      </c>
      <c r="BQ51" s="1">
        <f t="shared" si="43"/>
        <v>0</v>
      </c>
      <c r="BR51" s="1">
        <f t="shared" si="43"/>
        <v>0</v>
      </c>
      <c r="BS51" s="1">
        <f t="shared" si="43"/>
        <v>0</v>
      </c>
      <c r="BT51" s="1">
        <f t="shared" si="43"/>
        <v>0</v>
      </c>
      <c r="BU51" s="1">
        <f t="shared" si="43"/>
        <v>0</v>
      </c>
      <c r="BV51" s="1">
        <f t="shared" si="43"/>
        <v>0</v>
      </c>
      <c r="BW51" s="1">
        <f t="shared" si="43"/>
        <v>0</v>
      </c>
      <c r="BX51" s="1">
        <f t="shared" si="43"/>
        <v>0</v>
      </c>
      <c r="BY51" s="1">
        <f t="shared" si="43"/>
        <v>0</v>
      </c>
      <c r="BZ51" s="1">
        <f t="shared" si="43"/>
        <v>0</v>
      </c>
      <c r="CA51" s="1">
        <f t="shared" si="43"/>
        <v>0</v>
      </c>
      <c r="CB51" s="1">
        <f t="shared" si="43"/>
        <v>0</v>
      </c>
      <c r="CC51" s="1">
        <f t="shared" si="43"/>
        <v>0</v>
      </c>
      <c r="CD51" s="1">
        <f t="shared" si="43"/>
        <v>0</v>
      </c>
      <c r="CE51" s="1">
        <f t="shared" si="43"/>
        <v>0</v>
      </c>
      <c r="CF51" s="1">
        <f t="shared" si="43"/>
        <v>0</v>
      </c>
      <c r="CG51" s="1">
        <f t="shared" si="43"/>
        <v>0</v>
      </c>
      <c r="CH51" s="1">
        <f t="shared" si="43"/>
        <v>0</v>
      </c>
      <c r="CI51" s="1">
        <f t="shared" si="43"/>
        <v>0</v>
      </c>
      <c r="CJ51" s="1">
        <f t="shared" si="43"/>
        <v>0</v>
      </c>
      <c r="CK51" s="1">
        <f t="shared" si="43"/>
        <v>0</v>
      </c>
      <c r="CL51" s="1">
        <f t="shared" si="43"/>
        <v>0</v>
      </c>
      <c r="CM51" s="1">
        <f t="shared" si="43"/>
        <v>0</v>
      </c>
      <c r="CN51" s="1">
        <f t="shared" si="43"/>
        <v>0</v>
      </c>
      <c r="CO51" s="1" t="e">
        <f t="shared" si="43"/>
        <v>#REF!</v>
      </c>
      <c r="CP51" s="1" t="e">
        <f t="shared" si="43"/>
        <v>#REF!</v>
      </c>
      <c r="CQ51" s="1" t="e">
        <f t="shared" si="43"/>
        <v>#REF!</v>
      </c>
      <c r="CR51" s="1" t="e">
        <f t="shared" si="43"/>
        <v>#REF!</v>
      </c>
      <c r="CS51" s="1" t="e">
        <f t="shared" si="43"/>
        <v>#REF!</v>
      </c>
      <c r="CT51" s="1" t="e">
        <f t="shared" si="43"/>
        <v>#REF!</v>
      </c>
      <c r="CU51" s="1" t="e">
        <f t="shared" si="43"/>
        <v>#REF!</v>
      </c>
      <c r="CV51" s="1" t="e">
        <f t="shared" si="43"/>
        <v>#REF!</v>
      </c>
      <c r="CW51" s="1" t="e">
        <f t="shared" si="43"/>
        <v>#REF!</v>
      </c>
      <c r="CX51" s="1" t="e">
        <f t="shared" si="42"/>
        <v>#REF!</v>
      </c>
      <c r="CY51" s="1" t="e">
        <f t="shared" si="42"/>
        <v>#REF!</v>
      </c>
      <c r="CZ51" s="1" t="e">
        <f t="shared" si="42"/>
        <v>#REF!</v>
      </c>
      <c r="DA51" s="1" t="e">
        <f t="shared" si="42"/>
        <v>#REF!</v>
      </c>
      <c r="DB51" s="1" t="e">
        <f t="shared" si="42"/>
        <v>#REF!</v>
      </c>
      <c r="DC51" s="1" t="e">
        <f t="shared" si="42"/>
        <v>#REF!</v>
      </c>
      <c r="DD51" s="1" t="e">
        <f t="shared" si="42"/>
        <v>#REF!</v>
      </c>
      <c r="DE51" s="1" t="e">
        <f t="shared" si="42"/>
        <v>#REF!</v>
      </c>
      <c r="DF51" s="1" t="e">
        <f t="shared" si="42"/>
        <v>#REF!</v>
      </c>
      <c r="DG51" s="1" t="e">
        <f t="shared" si="42"/>
        <v>#REF!</v>
      </c>
      <c r="DK51" s="1">
        <f t="shared" si="11"/>
        <v>2073</v>
      </c>
      <c r="DL51" s="1">
        <f t="shared" ca="1" si="12"/>
        <v>93</v>
      </c>
      <c r="DM51" s="1">
        <f t="shared" ca="1" si="13"/>
        <v>98</v>
      </c>
      <c r="DN51" s="1" t="e">
        <f>IF(CF$32=0,NA(),CF$32)</f>
        <v>#N/A</v>
      </c>
      <c r="DO51" s="1" t="e">
        <f>IF(CF$33=0,NA(),CF$33)</f>
        <v>#N/A</v>
      </c>
      <c r="DP51" s="1" t="e">
        <f>IF(CF$34=0,NA(),CF$34)</f>
        <v>#N/A</v>
      </c>
      <c r="DQ51" s="1" t="e">
        <f>IF(CF$35=0,NA(),CF$35)</f>
        <v>#N/A</v>
      </c>
      <c r="DR51" s="1" t="e">
        <f>IF(CF$36=0,NA(),CF$36)</f>
        <v>#N/A</v>
      </c>
      <c r="DS51" s="1" t="e">
        <f>IF(CF$37=0,NA(),CF$37)</f>
        <v>#N/A</v>
      </c>
      <c r="DT51" s="1" t="e">
        <f>IF(CF$38=0,NA(),CF$38)</f>
        <v>#N/A</v>
      </c>
      <c r="DU51" s="1" t="e">
        <f>IF(CF$39=0,NA(),CF$39)</f>
        <v>#N/A</v>
      </c>
      <c r="DV51" s="1" t="e">
        <f>IF(CF$40=0,NA(),CF$40)</f>
        <v>#N/A</v>
      </c>
      <c r="DW51" s="1" t="e">
        <f>IF(CF$41=0,NA(),CF$41)</f>
        <v>#N/A</v>
      </c>
      <c r="DX51" s="1" t="e">
        <f>IF(CF$42=0,NA(),CF$42)</f>
        <v>#N/A</v>
      </c>
      <c r="DY51" s="1" t="e">
        <f>IF(CF$43=0,NA(),CF$43)</f>
        <v>#N/A</v>
      </c>
      <c r="DZ51" s="1" t="e">
        <f>IF(CF$44=0,NA(),CF$44)</f>
        <v>#N/A</v>
      </c>
      <c r="EA51" s="1" t="e">
        <f>IF(CF$45=0,NA(),CF$45)</f>
        <v>#N/A</v>
      </c>
      <c r="EB51" s="1" t="e">
        <f>IF(CF$46=0,NA(),CF$46)</f>
        <v>#N/A</v>
      </c>
      <c r="EC51" s="1" t="e">
        <f>IF(CF$47=0,NA(),CF$47)</f>
        <v>#N/A</v>
      </c>
      <c r="ED51" s="1" t="e">
        <f>IF(CF$48=0,NA(),CF$48)</f>
        <v>#N/A</v>
      </c>
      <c r="EE51" s="1" t="e">
        <f>IF(CF$49=0,NA(),CF$49)</f>
        <v>#N/A</v>
      </c>
      <c r="EF51" s="1" t="e">
        <f>IF(CF$50=0,NA(),CF$50)</f>
        <v>#N/A</v>
      </c>
      <c r="EG51" s="1" t="e">
        <f>IF(CF$51=0,NA(),CF$51)</f>
        <v>#N/A</v>
      </c>
      <c r="EH51" s="1" t="e">
        <f>IF(CF$52=0,NA(),CF$52)</f>
        <v>#N/A</v>
      </c>
      <c r="EI51" s="1" t="e">
        <f>IF(CF$53=0,NA(),CF$53)</f>
        <v>#N/A</v>
      </c>
      <c r="EJ51" s="1" t="e">
        <f>IF(CF$54=0,NA(),CF$54)</f>
        <v>#N/A</v>
      </c>
      <c r="EK51" s="1" t="e">
        <f>IF(CF$55=0,NA(),CF$55)</f>
        <v>#N/A</v>
      </c>
      <c r="EL51" s="1" t="e">
        <f>IF(CF$56=0,NA(),CF$56)</f>
        <v>#N/A</v>
      </c>
      <c r="EM51" s="1" t="e">
        <f>IF(CF$57=0,NA(),CF$57)</f>
        <v>#N/A</v>
      </c>
    </row>
    <row r="52" spans="36:143" x14ac:dyDescent="0.3">
      <c r="AJ52" s="1">
        <f t="shared" si="31"/>
        <v>0</v>
      </c>
      <c r="AK52" s="1">
        <f t="shared" si="34"/>
        <v>0</v>
      </c>
      <c r="AL52" s="1">
        <f t="shared" si="43"/>
        <v>0</v>
      </c>
      <c r="AM52" s="1">
        <f t="shared" si="43"/>
        <v>0</v>
      </c>
      <c r="AN52" s="1">
        <f t="shared" si="43"/>
        <v>0</v>
      </c>
      <c r="AO52" s="1">
        <f t="shared" si="43"/>
        <v>0</v>
      </c>
      <c r="AP52" s="1">
        <f t="shared" si="43"/>
        <v>0</v>
      </c>
      <c r="AQ52" s="1">
        <f t="shared" si="43"/>
        <v>0</v>
      </c>
      <c r="AR52" s="1">
        <f t="shared" si="43"/>
        <v>0</v>
      </c>
      <c r="AS52" s="1">
        <f t="shared" si="43"/>
        <v>0</v>
      </c>
      <c r="AT52" s="1">
        <f t="shared" si="43"/>
        <v>0</v>
      </c>
      <c r="AU52" s="1">
        <f t="shared" si="43"/>
        <v>0</v>
      </c>
      <c r="AV52" s="1">
        <f t="shared" si="43"/>
        <v>0</v>
      </c>
      <c r="AW52" s="1">
        <f t="shared" si="43"/>
        <v>0</v>
      </c>
      <c r="AX52" s="1">
        <f t="shared" si="43"/>
        <v>0</v>
      </c>
      <c r="AY52" s="1">
        <f t="shared" si="43"/>
        <v>0</v>
      </c>
      <c r="AZ52" s="1">
        <f t="shared" si="43"/>
        <v>0</v>
      </c>
      <c r="BA52" s="1">
        <f t="shared" si="43"/>
        <v>0</v>
      </c>
      <c r="BB52" s="1">
        <f t="shared" si="43"/>
        <v>0</v>
      </c>
      <c r="BC52" s="1">
        <f t="shared" si="43"/>
        <v>0</v>
      </c>
      <c r="BD52" s="1">
        <f t="shared" si="43"/>
        <v>0</v>
      </c>
      <c r="BE52" s="1">
        <f t="shared" si="43"/>
        <v>0</v>
      </c>
      <c r="BF52" s="1">
        <f t="shared" si="43"/>
        <v>0</v>
      </c>
      <c r="BG52" s="1">
        <f t="shared" si="43"/>
        <v>0</v>
      </c>
      <c r="BH52" s="1">
        <f t="shared" si="43"/>
        <v>0</v>
      </c>
      <c r="BI52" s="1">
        <f t="shared" si="43"/>
        <v>0</v>
      </c>
      <c r="BJ52" s="1">
        <f t="shared" si="43"/>
        <v>0</v>
      </c>
      <c r="BK52" s="1">
        <f t="shared" si="43"/>
        <v>0</v>
      </c>
      <c r="BL52" s="1">
        <f t="shared" si="43"/>
        <v>0</v>
      </c>
      <c r="BM52" s="1">
        <f t="shared" si="43"/>
        <v>0</v>
      </c>
      <c r="BN52" s="1">
        <f t="shared" si="43"/>
        <v>0</v>
      </c>
      <c r="BO52" s="1">
        <f t="shared" si="43"/>
        <v>0</v>
      </c>
      <c r="BP52" s="1">
        <f t="shared" si="43"/>
        <v>0</v>
      </c>
      <c r="BQ52" s="1">
        <f t="shared" si="43"/>
        <v>0</v>
      </c>
      <c r="BR52" s="1">
        <f t="shared" si="43"/>
        <v>0</v>
      </c>
      <c r="BS52" s="1">
        <f t="shared" si="43"/>
        <v>0</v>
      </c>
      <c r="BT52" s="1">
        <f t="shared" si="43"/>
        <v>0</v>
      </c>
      <c r="BU52" s="1">
        <f t="shared" si="43"/>
        <v>0</v>
      </c>
      <c r="BV52" s="1">
        <f t="shared" si="43"/>
        <v>0</v>
      </c>
      <c r="BW52" s="1">
        <f t="shared" si="43"/>
        <v>0</v>
      </c>
      <c r="BX52" s="1">
        <f t="shared" si="43"/>
        <v>0</v>
      </c>
      <c r="BY52" s="1">
        <f t="shared" si="43"/>
        <v>0</v>
      </c>
      <c r="BZ52" s="1">
        <f t="shared" si="43"/>
        <v>0</v>
      </c>
      <c r="CA52" s="1">
        <f t="shared" si="43"/>
        <v>0</v>
      </c>
      <c r="CB52" s="1">
        <f t="shared" si="43"/>
        <v>0</v>
      </c>
      <c r="CC52" s="1">
        <f t="shared" si="43"/>
        <v>0</v>
      </c>
      <c r="CD52" s="1">
        <f t="shared" si="43"/>
        <v>0</v>
      </c>
      <c r="CE52" s="1">
        <f t="shared" si="43"/>
        <v>0</v>
      </c>
      <c r="CF52" s="1">
        <f t="shared" si="43"/>
        <v>0</v>
      </c>
      <c r="CG52" s="1">
        <f t="shared" si="43"/>
        <v>0</v>
      </c>
      <c r="CH52" s="1">
        <f t="shared" si="43"/>
        <v>0</v>
      </c>
      <c r="CI52" s="1">
        <f t="shared" si="43"/>
        <v>0</v>
      </c>
      <c r="CJ52" s="1">
        <f t="shared" si="43"/>
        <v>0</v>
      </c>
      <c r="CK52" s="1">
        <f t="shared" si="43"/>
        <v>0</v>
      </c>
      <c r="CL52" s="1">
        <f t="shared" si="43"/>
        <v>0</v>
      </c>
      <c r="CM52" s="1">
        <f t="shared" si="43"/>
        <v>0</v>
      </c>
      <c r="CN52" s="1">
        <f t="shared" si="43"/>
        <v>0</v>
      </c>
      <c r="CO52" s="1" t="e">
        <f t="shared" si="43"/>
        <v>#REF!</v>
      </c>
      <c r="CP52" s="1" t="e">
        <f t="shared" si="43"/>
        <v>#REF!</v>
      </c>
      <c r="CQ52" s="1" t="e">
        <f t="shared" si="43"/>
        <v>#REF!</v>
      </c>
      <c r="CR52" s="1" t="e">
        <f t="shared" si="43"/>
        <v>#REF!</v>
      </c>
      <c r="CS52" s="1" t="e">
        <f t="shared" si="43"/>
        <v>#REF!</v>
      </c>
      <c r="CT52" s="1" t="e">
        <f t="shared" si="43"/>
        <v>#REF!</v>
      </c>
      <c r="CU52" s="1" t="e">
        <f t="shared" si="43"/>
        <v>#REF!</v>
      </c>
      <c r="CV52" s="1" t="e">
        <f t="shared" si="43"/>
        <v>#REF!</v>
      </c>
      <c r="CW52" s="1" t="e">
        <f t="shared" si="43"/>
        <v>#REF!</v>
      </c>
      <c r="CX52" s="1" t="e">
        <f t="shared" si="42"/>
        <v>#REF!</v>
      </c>
      <c r="CY52" s="1" t="e">
        <f t="shared" si="42"/>
        <v>#REF!</v>
      </c>
      <c r="CZ52" s="1" t="e">
        <f t="shared" si="42"/>
        <v>#REF!</v>
      </c>
      <c r="DA52" s="1" t="e">
        <f t="shared" si="42"/>
        <v>#REF!</v>
      </c>
      <c r="DB52" s="1" t="e">
        <f t="shared" si="42"/>
        <v>#REF!</v>
      </c>
      <c r="DC52" s="1" t="e">
        <f t="shared" si="42"/>
        <v>#REF!</v>
      </c>
      <c r="DD52" s="1" t="e">
        <f t="shared" si="42"/>
        <v>#REF!</v>
      </c>
      <c r="DE52" s="1" t="e">
        <f t="shared" si="42"/>
        <v>#REF!</v>
      </c>
      <c r="DF52" s="1" t="e">
        <f t="shared" si="42"/>
        <v>#REF!</v>
      </c>
      <c r="DG52" s="1" t="e">
        <f t="shared" si="42"/>
        <v>#REF!</v>
      </c>
      <c r="DK52" s="1">
        <f t="shared" si="11"/>
        <v>2074</v>
      </c>
      <c r="DL52" s="1">
        <f t="shared" ca="1" si="12"/>
        <v>94</v>
      </c>
      <c r="DM52" s="1">
        <f t="shared" ca="1" si="13"/>
        <v>99</v>
      </c>
      <c r="DN52" s="1" t="e">
        <f>IF(CG$32=0,NA(),CG$32)</f>
        <v>#N/A</v>
      </c>
      <c r="DO52" s="1" t="e">
        <f>IF(CG$33=0,NA(),CG$33)</f>
        <v>#N/A</v>
      </c>
      <c r="DP52" s="1" t="e">
        <f>IF(CG$34=0,NA(),CG$34)</f>
        <v>#N/A</v>
      </c>
      <c r="DQ52" s="1" t="e">
        <f>IF(CG$35=0,NA(),CG$35)</f>
        <v>#N/A</v>
      </c>
      <c r="DR52" s="1" t="e">
        <f>IF(CG$36=0,NA(),CG$36)</f>
        <v>#N/A</v>
      </c>
      <c r="DS52" s="1" t="e">
        <f>IF(CG$37=0,NA(),CG$37)</f>
        <v>#N/A</v>
      </c>
      <c r="DT52" s="1" t="e">
        <f>IF(CG$38=0,NA(),CG$38)</f>
        <v>#N/A</v>
      </c>
      <c r="DU52" s="1" t="e">
        <f>IF(CG$39=0,NA(),CG$39)</f>
        <v>#N/A</v>
      </c>
      <c r="DV52" s="1" t="e">
        <f>IF(CG$40=0,NA(),CG$40)</f>
        <v>#N/A</v>
      </c>
      <c r="DW52" s="1" t="e">
        <f>IF(CG$41=0,NA(),CG$41)</f>
        <v>#N/A</v>
      </c>
      <c r="DX52" s="1" t="e">
        <f>IF(CG$42=0,NA(),CG$42)</f>
        <v>#N/A</v>
      </c>
      <c r="DY52" s="1" t="e">
        <f>IF(CG$43=0,NA(),CG$43)</f>
        <v>#N/A</v>
      </c>
      <c r="DZ52" s="1" t="e">
        <f>IF(CG$44=0,NA(),CG$44)</f>
        <v>#N/A</v>
      </c>
      <c r="EA52" s="1" t="e">
        <f>IF(CG$45=0,NA(),CG$45)</f>
        <v>#N/A</v>
      </c>
      <c r="EB52" s="1" t="e">
        <f>IF(CG$46=0,NA(),CG$46)</f>
        <v>#N/A</v>
      </c>
      <c r="EC52" s="1" t="e">
        <f>IF(CG$47=0,NA(),CG$47)</f>
        <v>#N/A</v>
      </c>
      <c r="ED52" s="1" t="e">
        <f>IF(CG$48=0,NA(),CG$48)</f>
        <v>#N/A</v>
      </c>
      <c r="EE52" s="1" t="e">
        <f>IF(CG$49=0,NA(),CG$49)</f>
        <v>#N/A</v>
      </c>
      <c r="EF52" s="1" t="e">
        <f>IF(CG$50=0,NA(),CG$50)</f>
        <v>#N/A</v>
      </c>
      <c r="EG52" s="1" t="e">
        <f>IF(CG$51=0,NA(),CG$51)</f>
        <v>#N/A</v>
      </c>
      <c r="EH52" s="1" t="e">
        <f>IF(CG$52=0,NA(),CG$52)</f>
        <v>#N/A</v>
      </c>
      <c r="EI52" s="1" t="e">
        <f>IF(CG$53=0,NA(),CG$53)</f>
        <v>#N/A</v>
      </c>
      <c r="EJ52" s="1" t="e">
        <f>IF(CG$54=0,NA(),CG$54)</f>
        <v>#N/A</v>
      </c>
      <c r="EK52" s="1" t="e">
        <f>IF(CG$55=0,NA(),CG$55)</f>
        <v>#N/A</v>
      </c>
      <c r="EL52" s="1" t="e">
        <f>IF(CG$56=0,NA(),CG$56)</f>
        <v>#N/A</v>
      </c>
      <c r="EM52" s="1" t="e">
        <f>IF(CG$57=0,NA(),CG$57)</f>
        <v>#N/A</v>
      </c>
    </row>
    <row r="53" spans="36:143" x14ac:dyDescent="0.3">
      <c r="AJ53" s="1">
        <f t="shared" si="31"/>
        <v>0</v>
      </c>
      <c r="AK53" s="1">
        <f t="shared" si="34"/>
        <v>0</v>
      </c>
      <c r="AL53" s="1">
        <f t="shared" si="43"/>
        <v>0</v>
      </c>
      <c r="AM53" s="1">
        <f t="shared" si="43"/>
        <v>0</v>
      </c>
      <c r="AN53" s="1">
        <f t="shared" si="43"/>
        <v>0</v>
      </c>
      <c r="AO53" s="1">
        <f t="shared" si="43"/>
        <v>0</v>
      </c>
      <c r="AP53" s="1">
        <f t="shared" si="43"/>
        <v>0</v>
      </c>
      <c r="AQ53" s="1">
        <f t="shared" si="43"/>
        <v>0</v>
      </c>
      <c r="AR53" s="1">
        <f t="shared" si="43"/>
        <v>0</v>
      </c>
      <c r="AS53" s="1">
        <f t="shared" si="43"/>
        <v>0</v>
      </c>
      <c r="AT53" s="1">
        <f t="shared" si="43"/>
        <v>0</v>
      </c>
      <c r="AU53" s="1">
        <f t="shared" si="43"/>
        <v>0</v>
      </c>
      <c r="AV53" s="1">
        <f t="shared" si="43"/>
        <v>0</v>
      </c>
      <c r="AW53" s="1">
        <f t="shared" si="43"/>
        <v>0</v>
      </c>
      <c r="AX53" s="1">
        <f t="shared" si="43"/>
        <v>0</v>
      </c>
      <c r="AY53" s="1">
        <f t="shared" si="43"/>
        <v>0</v>
      </c>
      <c r="AZ53" s="1">
        <f t="shared" si="43"/>
        <v>0</v>
      </c>
      <c r="BA53" s="1">
        <f t="shared" si="43"/>
        <v>0</v>
      </c>
      <c r="BB53" s="1">
        <f t="shared" si="43"/>
        <v>0</v>
      </c>
      <c r="BC53" s="1">
        <f t="shared" si="43"/>
        <v>0</v>
      </c>
      <c r="BD53" s="1">
        <f t="shared" si="43"/>
        <v>0</v>
      </c>
      <c r="BE53" s="1">
        <f t="shared" si="43"/>
        <v>0</v>
      </c>
      <c r="BF53" s="1">
        <f t="shared" si="43"/>
        <v>0</v>
      </c>
      <c r="BG53" s="1">
        <f t="shared" si="43"/>
        <v>0</v>
      </c>
      <c r="BH53" s="1">
        <f t="shared" si="43"/>
        <v>0</v>
      </c>
      <c r="BI53" s="1">
        <f t="shared" si="43"/>
        <v>0</v>
      </c>
      <c r="BJ53" s="1">
        <f t="shared" si="43"/>
        <v>0</v>
      </c>
      <c r="BK53" s="1">
        <f t="shared" si="43"/>
        <v>0</v>
      </c>
      <c r="BL53" s="1">
        <f t="shared" si="43"/>
        <v>0</v>
      </c>
      <c r="BM53" s="1">
        <f t="shared" si="43"/>
        <v>0</v>
      </c>
      <c r="BN53" s="1">
        <f t="shared" si="43"/>
        <v>0</v>
      </c>
      <c r="BO53" s="1">
        <f t="shared" si="43"/>
        <v>0</v>
      </c>
      <c r="BP53" s="1">
        <f t="shared" si="43"/>
        <v>0</v>
      </c>
      <c r="BQ53" s="1">
        <f t="shared" si="43"/>
        <v>0</v>
      </c>
      <c r="BR53" s="1">
        <f t="shared" si="43"/>
        <v>0</v>
      </c>
      <c r="BS53" s="1">
        <f t="shared" si="43"/>
        <v>0</v>
      </c>
      <c r="BT53" s="1">
        <f t="shared" si="43"/>
        <v>0</v>
      </c>
      <c r="BU53" s="1">
        <f t="shared" si="43"/>
        <v>0</v>
      </c>
      <c r="BV53" s="1">
        <f t="shared" si="43"/>
        <v>0</v>
      </c>
      <c r="BW53" s="1">
        <f t="shared" si="43"/>
        <v>0</v>
      </c>
      <c r="BX53" s="1">
        <f t="shared" si="43"/>
        <v>0</v>
      </c>
      <c r="BY53" s="1">
        <f t="shared" si="43"/>
        <v>0</v>
      </c>
      <c r="BZ53" s="1">
        <f t="shared" si="43"/>
        <v>0</v>
      </c>
      <c r="CA53" s="1">
        <f t="shared" si="43"/>
        <v>0</v>
      </c>
      <c r="CB53" s="1">
        <f t="shared" si="43"/>
        <v>0</v>
      </c>
      <c r="CC53" s="1">
        <f t="shared" si="43"/>
        <v>0</v>
      </c>
      <c r="CD53" s="1">
        <f t="shared" si="43"/>
        <v>0</v>
      </c>
      <c r="CE53" s="1">
        <f t="shared" si="43"/>
        <v>0</v>
      </c>
      <c r="CF53" s="1">
        <f t="shared" si="43"/>
        <v>0</v>
      </c>
      <c r="CG53" s="1">
        <f t="shared" si="43"/>
        <v>0</v>
      </c>
      <c r="CH53" s="1">
        <f t="shared" si="43"/>
        <v>0</v>
      </c>
      <c r="CI53" s="1">
        <f t="shared" si="43"/>
        <v>0</v>
      </c>
      <c r="CJ53" s="1">
        <f t="shared" si="43"/>
        <v>0</v>
      </c>
      <c r="CK53" s="1">
        <f t="shared" si="43"/>
        <v>0</v>
      </c>
      <c r="CL53" s="1">
        <f t="shared" si="43"/>
        <v>0</v>
      </c>
      <c r="CM53" s="1">
        <f t="shared" si="43"/>
        <v>0</v>
      </c>
      <c r="CN53" s="1">
        <f t="shared" si="43"/>
        <v>0</v>
      </c>
      <c r="CO53" s="1" t="e">
        <f t="shared" si="43"/>
        <v>#REF!</v>
      </c>
      <c r="CP53" s="1" t="e">
        <f t="shared" si="43"/>
        <v>#REF!</v>
      </c>
      <c r="CQ53" s="1" t="e">
        <f t="shared" si="43"/>
        <v>#REF!</v>
      </c>
      <c r="CR53" s="1" t="e">
        <f t="shared" si="43"/>
        <v>#REF!</v>
      </c>
      <c r="CS53" s="1" t="e">
        <f t="shared" si="43"/>
        <v>#REF!</v>
      </c>
      <c r="CT53" s="1" t="e">
        <f t="shared" si="43"/>
        <v>#REF!</v>
      </c>
      <c r="CU53" s="1" t="e">
        <f t="shared" si="43"/>
        <v>#REF!</v>
      </c>
      <c r="CV53" s="1" t="e">
        <f t="shared" si="43"/>
        <v>#REF!</v>
      </c>
      <c r="CW53" s="1" t="e">
        <f t="shared" si="43"/>
        <v>#REF!</v>
      </c>
      <c r="CX53" s="1" t="e">
        <f t="shared" si="42"/>
        <v>#REF!</v>
      </c>
      <c r="CY53" s="1" t="e">
        <f t="shared" si="42"/>
        <v>#REF!</v>
      </c>
      <c r="CZ53" s="1" t="e">
        <f t="shared" si="42"/>
        <v>#REF!</v>
      </c>
      <c r="DA53" s="1" t="e">
        <f t="shared" si="42"/>
        <v>#REF!</v>
      </c>
      <c r="DB53" s="1" t="e">
        <f t="shared" si="42"/>
        <v>#REF!</v>
      </c>
      <c r="DC53" s="1" t="e">
        <f t="shared" si="42"/>
        <v>#REF!</v>
      </c>
      <c r="DD53" s="1" t="e">
        <f t="shared" si="42"/>
        <v>#REF!</v>
      </c>
      <c r="DE53" s="1" t="e">
        <f t="shared" si="42"/>
        <v>#REF!</v>
      </c>
      <c r="DF53" s="1" t="e">
        <f t="shared" si="42"/>
        <v>#REF!</v>
      </c>
      <c r="DG53" s="1" t="e">
        <f t="shared" si="42"/>
        <v>#REF!</v>
      </c>
      <c r="DK53" s="1">
        <f t="shared" si="11"/>
        <v>2075</v>
      </c>
      <c r="DL53" s="1">
        <f t="shared" ca="1" si="12"/>
        <v>95</v>
      </c>
      <c r="DM53" s="1">
        <f t="shared" ca="1" si="13"/>
        <v>100</v>
      </c>
      <c r="DN53" s="1" t="e">
        <f>IF(CH$32=0,NA(),CH$32)</f>
        <v>#N/A</v>
      </c>
      <c r="DO53" s="1" t="e">
        <f>IF(CH$33=0,NA(),CH$33)</f>
        <v>#N/A</v>
      </c>
      <c r="DP53" s="1" t="e">
        <f>IF(CH$34=0,NA(),CH$34)</f>
        <v>#N/A</v>
      </c>
      <c r="DQ53" s="1" t="e">
        <f>IF(CH$35=0,NA(),CH$35)</f>
        <v>#N/A</v>
      </c>
      <c r="DR53" s="1" t="e">
        <f>IF(CH$36=0,NA(),CH$36)</f>
        <v>#N/A</v>
      </c>
      <c r="DS53" s="1" t="e">
        <f>IF(CH$37=0,NA(),CH$37)</f>
        <v>#N/A</v>
      </c>
      <c r="DT53" s="1" t="e">
        <f>IF(CH$38=0,NA(),CH$38)</f>
        <v>#N/A</v>
      </c>
      <c r="DU53" s="1" t="e">
        <f>IF(CH$39=0,NA(),CH$39)</f>
        <v>#N/A</v>
      </c>
      <c r="DV53" s="1" t="e">
        <f>IF(CH$40=0,NA(),CH$40)</f>
        <v>#N/A</v>
      </c>
      <c r="DW53" s="1" t="e">
        <f>IF(CH$41=0,NA(),CH$41)</f>
        <v>#N/A</v>
      </c>
      <c r="DX53" s="1" t="e">
        <f>IF(CH$42=0,NA(),CH$42)</f>
        <v>#N/A</v>
      </c>
      <c r="DY53" s="1" t="e">
        <f>IF(CH$43=0,NA(),CH$43)</f>
        <v>#N/A</v>
      </c>
      <c r="DZ53" s="1" t="e">
        <f>IF(CH$44=0,NA(),CH$44)</f>
        <v>#N/A</v>
      </c>
      <c r="EA53" s="1" t="e">
        <f>IF(CH$45=0,NA(),CH$45)</f>
        <v>#N/A</v>
      </c>
      <c r="EB53" s="1" t="e">
        <f>IF(CH$46=0,NA(),CH$46)</f>
        <v>#N/A</v>
      </c>
      <c r="EC53" s="1" t="e">
        <f>IF(CH$47=0,NA(),CH$47)</f>
        <v>#N/A</v>
      </c>
      <c r="ED53" s="1" t="e">
        <f>IF(CH$48=0,NA(),CH$48)</f>
        <v>#N/A</v>
      </c>
      <c r="EE53" s="1" t="e">
        <f>IF(CH$49=0,NA(),CH$49)</f>
        <v>#N/A</v>
      </c>
      <c r="EF53" s="1" t="e">
        <f>IF(CH$50=0,NA(),CH$50)</f>
        <v>#N/A</v>
      </c>
      <c r="EG53" s="1" t="e">
        <f>IF(CH$51=0,NA(),CH$51)</f>
        <v>#N/A</v>
      </c>
      <c r="EH53" s="1" t="e">
        <f>IF(CH$52=0,NA(),CH$52)</f>
        <v>#N/A</v>
      </c>
      <c r="EI53" s="1" t="e">
        <f>IF(CH$53=0,NA(),CH$53)</f>
        <v>#N/A</v>
      </c>
      <c r="EJ53" s="1" t="e">
        <f>IF(CH$54=0,NA(),CH$54)</f>
        <v>#N/A</v>
      </c>
      <c r="EK53" s="1" t="e">
        <f>IF(CH$55=0,NA(),CH$55)</f>
        <v>#N/A</v>
      </c>
      <c r="EL53" s="1" t="e">
        <f>IF(CH$56=0,NA(),CH$56)</f>
        <v>#N/A</v>
      </c>
      <c r="EM53" s="1" t="e">
        <f>IF(CH$57=0,NA(),CH$57)</f>
        <v>#N/A</v>
      </c>
    </row>
    <row r="54" spans="36:143" x14ac:dyDescent="0.3">
      <c r="AJ54" s="1">
        <f t="shared" si="31"/>
        <v>0</v>
      </c>
      <c r="AK54" s="1">
        <f t="shared" si="34"/>
        <v>0</v>
      </c>
      <c r="AL54" s="1">
        <f t="shared" si="43"/>
        <v>0</v>
      </c>
      <c r="AM54" s="1">
        <f t="shared" si="43"/>
        <v>0</v>
      </c>
      <c r="AN54" s="1">
        <f t="shared" si="43"/>
        <v>0</v>
      </c>
      <c r="AO54" s="1">
        <f t="shared" si="43"/>
        <v>0</v>
      </c>
      <c r="AP54" s="1">
        <f t="shared" si="43"/>
        <v>0</v>
      </c>
      <c r="AQ54" s="1">
        <f t="shared" si="43"/>
        <v>0</v>
      </c>
      <c r="AR54" s="1">
        <f t="shared" si="43"/>
        <v>0</v>
      </c>
      <c r="AS54" s="1">
        <f t="shared" si="43"/>
        <v>0</v>
      </c>
      <c r="AT54" s="1">
        <f t="shared" si="43"/>
        <v>0</v>
      </c>
      <c r="AU54" s="1">
        <f t="shared" si="43"/>
        <v>0</v>
      </c>
      <c r="AV54" s="1">
        <f t="shared" si="43"/>
        <v>0</v>
      </c>
      <c r="AW54" s="1">
        <f t="shared" si="43"/>
        <v>0</v>
      </c>
      <c r="AX54" s="1">
        <f t="shared" si="43"/>
        <v>0</v>
      </c>
      <c r="AY54" s="1">
        <f t="shared" si="43"/>
        <v>0</v>
      </c>
      <c r="AZ54" s="1">
        <f t="shared" si="43"/>
        <v>0</v>
      </c>
      <c r="BA54" s="1">
        <f t="shared" si="43"/>
        <v>0</v>
      </c>
      <c r="BB54" s="1">
        <f t="shared" si="43"/>
        <v>0</v>
      </c>
      <c r="BC54" s="1">
        <f t="shared" si="43"/>
        <v>0</v>
      </c>
      <c r="BD54" s="1">
        <f t="shared" si="43"/>
        <v>0</v>
      </c>
      <c r="BE54" s="1">
        <f t="shared" si="43"/>
        <v>0</v>
      </c>
      <c r="BF54" s="1">
        <f t="shared" si="43"/>
        <v>0</v>
      </c>
      <c r="BG54" s="1">
        <f t="shared" si="43"/>
        <v>0</v>
      </c>
      <c r="BH54" s="1">
        <f t="shared" si="43"/>
        <v>0</v>
      </c>
      <c r="BI54" s="1">
        <f t="shared" si="43"/>
        <v>0</v>
      </c>
      <c r="BJ54" s="1">
        <f t="shared" si="43"/>
        <v>0</v>
      </c>
      <c r="BK54" s="1">
        <f t="shared" si="43"/>
        <v>0</v>
      </c>
      <c r="BL54" s="1">
        <f t="shared" si="43"/>
        <v>0</v>
      </c>
      <c r="BM54" s="1">
        <f t="shared" si="43"/>
        <v>0</v>
      </c>
      <c r="BN54" s="1">
        <f t="shared" si="43"/>
        <v>0</v>
      </c>
      <c r="BO54" s="1">
        <f t="shared" si="43"/>
        <v>0</v>
      </c>
      <c r="BP54" s="1">
        <f t="shared" si="43"/>
        <v>0</v>
      </c>
      <c r="BQ54" s="1">
        <f t="shared" si="43"/>
        <v>0</v>
      </c>
      <c r="BR54" s="1">
        <f t="shared" si="43"/>
        <v>0</v>
      </c>
      <c r="BS54" s="1">
        <f t="shared" si="43"/>
        <v>0</v>
      </c>
      <c r="BT54" s="1">
        <f t="shared" si="43"/>
        <v>0</v>
      </c>
      <c r="BU54" s="1">
        <f t="shared" si="43"/>
        <v>0</v>
      </c>
      <c r="BV54" s="1">
        <f t="shared" si="43"/>
        <v>0</v>
      </c>
      <c r="BW54" s="1">
        <f t="shared" si="43"/>
        <v>0</v>
      </c>
      <c r="BX54" s="1">
        <f t="shared" si="43"/>
        <v>0</v>
      </c>
      <c r="BY54" s="1">
        <f t="shared" si="43"/>
        <v>0</v>
      </c>
      <c r="BZ54" s="1">
        <f t="shared" si="43"/>
        <v>0</v>
      </c>
      <c r="CA54" s="1">
        <f t="shared" si="43"/>
        <v>0</v>
      </c>
      <c r="CB54" s="1">
        <f t="shared" si="43"/>
        <v>0</v>
      </c>
      <c r="CC54" s="1">
        <f t="shared" si="43"/>
        <v>0</v>
      </c>
      <c r="CD54" s="1">
        <f t="shared" si="43"/>
        <v>0</v>
      </c>
      <c r="CE54" s="1">
        <f t="shared" si="43"/>
        <v>0</v>
      </c>
      <c r="CF54" s="1">
        <f t="shared" si="43"/>
        <v>0</v>
      </c>
      <c r="CG54" s="1">
        <f t="shared" si="43"/>
        <v>0</v>
      </c>
      <c r="CH54" s="1">
        <f t="shared" si="43"/>
        <v>0</v>
      </c>
      <c r="CI54" s="1">
        <f t="shared" si="43"/>
        <v>0</v>
      </c>
      <c r="CJ54" s="1">
        <f t="shared" si="43"/>
        <v>0</v>
      </c>
      <c r="CK54" s="1">
        <f t="shared" si="43"/>
        <v>0</v>
      </c>
      <c r="CL54" s="1">
        <f t="shared" si="43"/>
        <v>0</v>
      </c>
      <c r="CM54" s="1">
        <f t="shared" si="43"/>
        <v>0</v>
      </c>
      <c r="CN54" s="1">
        <f t="shared" si="43"/>
        <v>0</v>
      </c>
      <c r="CO54" s="1" t="e">
        <f t="shared" si="43"/>
        <v>#REF!</v>
      </c>
      <c r="CP54" s="1" t="e">
        <f t="shared" si="43"/>
        <v>#REF!</v>
      </c>
      <c r="CQ54" s="1" t="e">
        <f t="shared" si="43"/>
        <v>#REF!</v>
      </c>
      <c r="CR54" s="1" t="e">
        <f t="shared" si="43"/>
        <v>#REF!</v>
      </c>
      <c r="CS54" s="1" t="e">
        <f t="shared" si="43"/>
        <v>#REF!</v>
      </c>
      <c r="CT54" s="1" t="e">
        <f t="shared" si="43"/>
        <v>#REF!</v>
      </c>
      <c r="CU54" s="1" t="e">
        <f t="shared" si="43"/>
        <v>#REF!</v>
      </c>
      <c r="CV54" s="1" t="e">
        <f t="shared" si="43"/>
        <v>#REF!</v>
      </c>
      <c r="CW54" s="1" t="e">
        <f t="shared" ref="CW54:DG57" si="44">CW25*(1+$AH25)^(CW$31-$AJ$31)</f>
        <v>#REF!</v>
      </c>
      <c r="CX54" s="1" t="e">
        <f t="shared" si="44"/>
        <v>#REF!</v>
      </c>
      <c r="CY54" s="1" t="e">
        <f t="shared" si="44"/>
        <v>#REF!</v>
      </c>
      <c r="CZ54" s="1" t="e">
        <f t="shared" si="44"/>
        <v>#REF!</v>
      </c>
      <c r="DA54" s="1" t="e">
        <f t="shared" si="44"/>
        <v>#REF!</v>
      </c>
      <c r="DB54" s="1" t="e">
        <f t="shared" si="44"/>
        <v>#REF!</v>
      </c>
      <c r="DC54" s="1" t="e">
        <f t="shared" si="44"/>
        <v>#REF!</v>
      </c>
      <c r="DD54" s="1" t="e">
        <f t="shared" si="44"/>
        <v>#REF!</v>
      </c>
      <c r="DE54" s="1" t="e">
        <f t="shared" si="44"/>
        <v>#REF!</v>
      </c>
      <c r="DF54" s="1" t="e">
        <f t="shared" si="44"/>
        <v>#REF!</v>
      </c>
      <c r="DG54" s="1" t="e">
        <f t="shared" si="44"/>
        <v>#REF!</v>
      </c>
      <c r="DK54" s="1">
        <f t="shared" si="11"/>
        <v>2076</v>
      </c>
      <c r="DL54" s="1">
        <f t="shared" ca="1" si="12"/>
        <v>96</v>
      </c>
      <c r="DM54" s="1">
        <f t="shared" ca="1" si="13"/>
        <v>101</v>
      </c>
      <c r="DN54" s="1" t="e">
        <f>IF(CI$32=0,NA(),CI$32)</f>
        <v>#N/A</v>
      </c>
      <c r="DO54" s="1" t="e">
        <f>IF(CI$33=0,NA(),CI$33)</f>
        <v>#N/A</v>
      </c>
      <c r="DP54" s="1" t="e">
        <f>IF(CI$34=0,NA(),CI$34)</f>
        <v>#N/A</v>
      </c>
      <c r="DQ54" s="1" t="e">
        <f>IF(CI$35=0,NA(),CI$35)</f>
        <v>#N/A</v>
      </c>
      <c r="DR54" s="1" t="e">
        <f>IF(CI$36=0,NA(),CI$36)</f>
        <v>#N/A</v>
      </c>
      <c r="DS54" s="1" t="e">
        <f>IF(CI$37=0,NA(),CI$37)</f>
        <v>#N/A</v>
      </c>
      <c r="DT54" s="1" t="e">
        <f>IF(CI$38=0,NA(),CI$38)</f>
        <v>#N/A</v>
      </c>
      <c r="DU54" s="1" t="e">
        <f>IF(CI$39=0,NA(),CI$39)</f>
        <v>#N/A</v>
      </c>
      <c r="DV54" s="1" t="e">
        <f>IF(CI$40=0,NA(),CI$40)</f>
        <v>#N/A</v>
      </c>
      <c r="DW54" s="1" t="e">
        <f>IF(CI$41=0,NA(),CI$41)</f>
        <v>#N/A</v>
      </c>
      <c r="DX54" s="1" t="e">
        <f>IF(CI$42=0,NA(),CI$42)</f>
        <v>#N/A</v>
      </c>
      <c r="DY54" s="1" t="e">
        <f>IF(CI$43=0,NA(),CI$43)</f>
        <v>#N/A</v>
      </c>
      <c r="DZ54" s="1" t="e">
        <f>IF(CI$44=0,NA(),CI$44)</f>
        <v>#N/A</v>
      </c>
      <c r="EA54" s="1" t="e">
        <f>IF(CI$45=0,NA(),CI$45)</f>
        <v>#N/A</v>
      </c>
      <c r="EB54" s="1" t="e">
        <f>IF(CI$46=0,NA(),CI$46)</f>
        <v>#N/A</v>
      </c>
      <c r="EC54" s="1" t="e">
        <f>IF(CI$47=0,NA(),CI$47)</f>
        <v>#N/A</v>
      </c>
      <c r="ED54" s="1" t="e">
        <f>IF(CI$48=0,NA(),CI$48)</f>
        <v>#N/A</v>
      </c>
      <c r="EE54" s="1" t="e">
        <f>IF(CI$49=0,NA(),CI$49)</f>
        <v>#N/A</v>
      </c>
      <c r="EF54" s="1" t="e">
        <f>IF(CI$50=0,NA(),CI$50)</f>
        <v>#N/A</v>
      </c>
      <c r="EG54" s="1" t="e">
        <f>IF(CI$51=0,NA(),CI$51)</f>
        <v>#N/A</v>
      </c>
      <c r="EH54" s="1" t="e">
        <f>IF(CI$52=0,NA(),CI$52)</f>
        <v>#N/A</v>
      </c>
      <c r="EI54" s="1" t="e">
        <f>IF(CI$53=0,NA(),CI$53)</f>
        <v>#N/A</v>
      </c>
      <c r="EJ54" s="1" t="e">
        <f>IF(CI$54=0,NA(),CI$54)</f>
        <v>#N/A</v>
      </c>
      <c r="EK54" s="1" t="e">
        <f>IF(CI$55=0,NA(),CI$55)</f>
        <v>#N/A</v>
      </c>
      <c r="EL54" s="1" t="e">
        <f>IF(CI$56=0,NA(),CI$56)</f>
        <v>#N/A</v>
      </c>
      <c r="EM54" s="1" t="e">
        <f>IF(CI$57=0,NA(),CI$57)</f>
        <v>#N/A</v>
      </c>
    </row>
    <row r="55" spans="36:143" x14ac:dyDescent="0.3">
      <c r="AJ55" s="1">
        <f t="shared" si="31"/>
        <v>0</v>
      </c>
      <c r="AK55" s="1">
        <f t="shared" si="34"/>
        <v>0</v>
      </c>
      <c r="AL55" s="1">
        <f t="shared" ref="AL55:CW57" si="45">AL26*(1+$AH26)^(AL$31-$AJ$31)</f>
        <v>0</v>
      </c>
      <c r="AM55" s="1">
        <f t="shared" si="45"/>
        <v>0</v>
      </c>
      <c r="AN55" s="1">
        <f t="shared" si="45"/>
        <v>0</v>
      </c>
      <c r="AO55" s="1">
        <f t="shared" si="45"/>
        <v>0</v>
      </c>
      <c r="AP55" s="1">
        <f t="shared" si="45"/>
        <v>0</v>
      </c>
      <c r="AQ55" s="1">
        <f t="shared" si="45"/>
        <v>0</v>
      </c>
      <c r="AR55" s="1">
        <f t="shared" si="45"/>
        <v>0</v>
      </c>
      <c r="AS55" s="1">
        <f t="shared" si="45"/>
        <v>0</v>
      </c>
      <c r="AT55" s="1">
        <f t="shared" si="45"/>
        <v>0</v>
      </c>
      <c r="AU55" s="1">
        <f t="shared" si="45"/>
        <v>0</v>
      </c>
      <c r="AV55" s="1">
        <f t="shared" si="45"/>
        <v>0</v>
      </c>
      <c r="AW55" s="1">
        <f t="shared" si="45"/>
        <v>0</v>
      </c>
      <c r="AX55" s="1">
        <f t="shared" si="45"/>
        <v>0</v>
      </c>
      <c r="AY55" s="1">
        <f t="shared" si="45"/>
        <v>0</v>
      </c>
      <c r="AZ55" s="1">
        <f t="shared" si="45"/>
        <v>0</v>
      </c>
      <c r="BA55" s="1">
        <f t="shared" si="45"/>
        <v>0</v>
      </c>
      <c r="BB55" s="1">
        <f t="shared" si="45"/>
        <v>0</v>
      </c>
      <c r="BC55" s="1">
        <f t="shared" si="45"/>
        <v>0</v>
      </c>
      <c r="BD55" s="1">
        <f t="shared" si="45"/>
        <v>0</v>
      </c>
      <c r="BE55" s="1">
        <f t="shared" si="45"/>
        <v>0</v>
      </c>
      <c r="BF55" s="1">
        <f t="shared" si="45"/>
        <v>0</v>
      </c>
      <c r="BG55" s="1">
        <f t="shared" si="45"/>
        <v>0</v>
      </c>
      <c r="BH55" s="1">
        <f t="shared" si="45"/>
        <v>0</v>
      </c>
      <c r="BI55" s="1">
        <f t="shared" si="45"/>
        <v>0</v>
      </c>
      <c r="BJ55" s="1">
        <f t="shared" si="45"/>
        <v>0</v>
      </c>
      <c r="BK55" s="1">
        <f t="shared" si="45"/>
        <v>0</v>
      </c>
      <c r="BL55" s="1">
        <f t="shared" si="45"/>
        <v>0</v>
      </c>
      <c r="BM55" s="1">
        <f t="shared" si="45"/>
        <v>0</v>
      </c>
      <c r="BN55" s="1">
        <f t="shared" si="45"/>
        <v>0</v>
      </c>
      <c r="BO55" s="1">
        <f t="shared" si="45"/>
        <v>0</v>
      </c>
      <c r="BP55" s="1">
        <f t="shared" si="45"/>
        <v>0</v>
      </c>
      <c r="BQ55" s="1">
        <f t="shared" si="45"/>
        <v>0</v>
      </c>
      <c r="BR55" s="1">
        <f t="shared" si="45"/>
        <v>0</v>
      </c>
      <c r="BS55" s="1">
        <f t="shared" si="45"/>
        <v>0</v>
      </c>
      <c r="BT55" s="1">
        <f t="shared" si="45"/>
        <v>0</v>
      </c>
      <c r="BU55" s="1">
        <f t="shared" si="45"/>
        <v>0</v>
      </c>
      <c r="BV55" s="1">
        <f t="shared" si="45"/>
        <v>0</v>
      </c>
      <c r="BW55" s="1">
        <f t="shared" si="45"/>
        <v>0</v>
      </c>
      <c r="BX55" s="1">
        <f t="shared" si="45"/>
        <v>0</v>
      </c>
      <c r="BY55" s="1">
        <f t="shared" si="45"/>
        <v>0</v>
      </c>
      <c r="BZ55" s="1">
        <f t="shared" si="45"/>
        <v>0</v>
      </c>
      <c r="CA55" s="1">
        <f t="shared" si="45"/>
        <v>0</v>
      </c>
      <c r="CB55" s="1">
        <f t="shared" si="45"/>
        <v>0</v>
      </c>
      <c r="CC55" s="1">
        <f t="shared" si="45"/>
        <v>0</v>
      </c>
      <c r="CD55" s="1">
        <f t="shared" si="45"/>
        <v>0</v>
      </c>
      <c r="CE55" s="1">
        <f t="shared" si="45"/>
        <v>0</v>
      </c>
      <c r="CF55" s="1">
        <f t="shared" si="45"/>
        <v>0</v>
      </c>
      <c r="CG55" s="1">
        <f t="shared" si="45"/>
        <v>0</v>
      </c>
      <c r="CH55" s="1">
        <f t="shared" si="45"/>
        <v>0</v>
      </c>
      <c r="CI55" s="1">
        <f t="shared" si="45"/>
        <v>0</v>
      </c>
      <c r="CJ55" s="1">
        <f t="shared" si="45"/>
        <v>0</v>
      </c>
      <c r="CK55" s="1">
        <f t="shared" si="45"/>
        <v>0</v>
      </c>
      <c r="CL55" s="1">
        <f t="shared" si="45"/>
        <v>0</v>
      </c>
      <c r="CM55" s="1">
        <f t="shared" si="45"/>
        <v>0</v>
      </c>
      <c r="CN55" s="1">
        <f t="shared" si="45"/>
        <v>0</v>
      </c>
      <c r="CO55" s="1" t="e">
        <f t="shared" si="45"/>
        <v>#REF!</v>
      </c>
      <c r="CP55" s="1" t="e">
        <f t="shared" si="45"/>
        <v>#REF!</v>
      </c>
      <c r="CQ55" s="1" t="e">
        <f t="shared" si="45"/>
        <v>#REF!</v>
      </c>
      <c r="CR55" s="1" t="e">
        <f t="shared" si="45"/>
        <v>#REF!</v>
      </c>
      <c r="CS55" s="1" t="e">
        <f t="shared" si="45"/>
        <v>#REF!</v>
      </c>
      <c r="CT55" s="1" t="e">
        <f t="shared" si="45"/>
        <v>#REF!</v>
      </c>
      <c r="CU55" s="1" t="e">
        <f t="shared" si="45"/>
        <v>#REF!</v>
      </c>
      <c r="CV55" s="1" t="e">
        <f t="shared" si="45"/>
        <v>#REF!</v>
      </c>
      <c r="CW55" s="1" t="e">
        <f t="shared" si="45"/>
        <v>#REF!</v>
      </c>
      <c r="CX55" s="1" t="e">
        <f t="shared" si="44"/>
        <v>#REF!</v>
      </c>
      <c r="CY55" s="1" t="e">
        <f t="shared" si="44"/>
        <v>#REF!</v>
      </c>
      <c r="CZ55" s="1" t="e">
        <f t="shared" si="44"/>
        <v>#REF!</v>
      </c>
      <c r="DA55" s="1" t="e">
        <f t="shared" si="44"/>
        <v>#REF!</v>
      </c>
      <c r="DB55" s="1" t="e">
        <f t="shared" si="44"/>
        <v>#REF!</v>
      </c>
      <c r="DC55" s="1" t="e">
        <f t="shared" si="44"/>
        <v>#REF!</v>
      </c>
      <c r="DD55" s="1" t="e">
        <f t="shared" si="44"/>
        <v>#REF!</v>
      </c>
      <c r="DE55" s="1" t="e">
        <f t="shared" si="44"/>
        <v>#REF!</v>
      </c>
      <c r="DF55" s="1" t="e">
        <f t="shared" si="44"/>
        <v>#REF!</v>
      </c>
      <c r="DG55" s="1" t="e">
        <f t="shared" si="44"/>
        <v>#REF!</v>
      </c>
      <c r="DK55" s="1">
        <f t="shared" si="11"/>
        <v>2077</v>
      </c>
      <c r="DL55" s="1">
        <f t="shared" ca="1" si="12"/>
        <v>97</v>
      </c>
      <c r="DM55" s="1">
        <f t="shared" ca="1" si="13"/>
        <v>102</v>
      </c>
      <c r="DN55" s="1" t="e">
        <f>IF(CJ$32=0,NA(),CJ$32)</f>
        <v>#N/A</v>
      </c>
      <c r="DO55" s="1" t="e">
        <f>IF(CJ$33=0,NA(),CJ$33)</f>
        <v>#N/A</v>
      </c>
      <c r="DP55" s="1" t="e">
        <f>IF(CJ$34=0,NA(),CJ$34)</f>
        <v>#N/A</v>
      </c>
      <c r="DQ55" s="1" t="e">
        <f>IF(CJ$35=0,NA(),CJ$35)</f>
        <v>#N/A</v>
      </c>
      <c r="DR55" s="1" t="e">
        <f>IF(CJ$36=0,NA(),CJ$36)</f>
        <v>#N/A</v>
      </c>
      <c r="DS55" s="1" t="e">
        <f>IF(CJ$37=0,NA(),CJ$37)</f>
        <v>#N/A</v>
      </c>
      <c r="DT55" s="1" t="e">
        <f>IF(CJ$38=0,NA(),CJ$38)</f>
        <v>#N/A</v>
      </c>
      <c r="DU55" s="1" t="e">
        <f>IF(CJ$39=0,NA(),CJ$39)</f>
        <v>#N/A</v>
      </c>
      <c r="DV55" s="1" t="e">
        <f>IF(CJ$40=0,NA(),CJ$40)</f>
        <v>#N/A</v>
      </c>
      <c r="DW55" s="1" t="e">
        <f>IF(CJ$41=0,NA(),CJ$41)</f>
        <v>#N/A</v>
      </c>
      <c r="DX55" s="1" t="e">
        <f>IF(CJ$42=0,NA(),CJ$42)</f>
        <v>#N/A</v>
      </c>
      <c r="DY55" s="1" t="e">
        <f>IF(CJ$43=0,NA(),CJ$43)</f>
        <v>#N/A</v>
      </c>
      <c r="DZ55" s="1" t="e">
        <f>IF(CJ$44=0,NA(),CJ$44)</f>
        <v>#N/A</v>
      </c>
      <c r="EA55" s="1" t="e">
        <f>IF(CJ$45=0,NA(),CJ$45)</f>
        <v>#N/A</v>
      </c>
      <c r="EB55" s="1" t="e">
        <f>IF(CJ$46=0,NA(),CJ$46)</f>
        <v>#N/A</v>
      </c>
      <c r="EC55" s="1" t="e">
        <f>IF(CJ$47=0,NA(),CJ$47)</f>
        <v>#N/A</v>
      </c>
      <c r="ED55" s="1" t="e">
        <f>IF(CJ$48=0,NA(),CJ$48)</f>
        <v>#N/A</v>
      </c>
      <c r="EE55" s="1" t="e">
        <f>IF(CJ$49=0,NA(),CJ$49)</f>
        <v>#N/A</v>
      </c>
      <c r="EF55" s="1" t="e">
        <f>IF(CJ$50=0,NA(),CJ$50)</f>
        <v>#N/A</v>
      </c>
      <c r="EG55" s="1" t="e">
        <f>IF(CJ$51=0,NA(),CJ$51)</f>
        <v>#N/A</v>
      </c>
      <c r="EH55" s="1" t="e">
        <f>IF(CJ$52=0,NA(),CJ$52)</f>
        <v>#N/A</v>
      </c>
      <c r="EI55" s="1" t="e">
        <f>IF(CJ$53=0,NA(),CJ$53)</f>
        <v>#N/A</v>
      </c>
      <c r="EJ55" s="1" t="e">
        <f>IF(CJ$54=0,NA(),CJ$54)</f>
        <v>#N/A</v>
      </c>
      <c r="EK55" s="1" t="e">
        <f>IF(CJ$55=0,NA(),CJ$55)</f>
        <v>#N/A</v>
      </c>
      <c r="EL55" s="1" t="e">
        <f>IF(CJ$56=0,NA(),CJ$56)</f>
        <v>#N/A</v>
      </c>
      <c r="EM55" s="1" t="e">
        <f>IF(CJ$57=0,NA(),CJ$57)</f>
        <v>#N/A</v>
      </c>
    </row>
    <row r="56" spans="36:143" x14ac:dyDescent="0.3">
      <c r="AJ56" s="1">
        <f t="shared" si="31"/>
        <v>0</v>
      </c>
      <c r="AK56" s="1">
        <f t="shared" si="34"/>
        <v>0</v>
      </c>
      <c r="AL56" s="1">
        <f t="shared" si="45"/>
        <v>0</v>
      </c>
      <c r="AM56" s="1">
        <f t="shared" si="45"/>
        <v>0</v>
      </c>
      <c r="AN56" s="1">
        <f t="shared" si="45"/>
        <v>0</v>
      </c>
      <c r="AO56" s="1">
        <f t="shared" si="45"/>
        <v>0</v>
      </c>
      <c r="AP56" s="1">
        <f t="shared" si="45"/>
        <v>0</v>
      </c>
      <c r="AQ56" s="1">
        <f t="shared" si="45"/>
        <v>0</v>
      </c>
      <c r="AR56" s="1">
        <f t="shared" si="45"/>
        <v>0</v>
      </c>
      <c r="AS56" s="1">
        <f t="shared" si="45"/>
        <v>0</v>
      </c>
      <c r="AT56" s="1">
        <f t="shared" si="45"/>
        <v>0</v>
      </c>
      <c r="AU56" s="1">
        <f t="shared" si="45"/>
        <v>0</v>
      </c>
      <c r="AV56" s="1">
        <f t="shared" si="45"/>
        <v>0</v>
      </c>
      <c r="AW56" s="1">
        <f t="shared" si="45"/>
        <v>0</v>
      </c>
      <c r="AX56" s="1">
        <f t="shared" si="45"/>
        <v>0</v>
      </c>
      <c r="AY56" s="1">
        <f t="shared" si="45"/>
        <v>0</v>
      </c>
      <c r="AZ56" s="1">
        <f t="shared" si="45"/>
        <v>0</v>
      </c>
      <c r="BA56" s="1">
        <f t="shared" si="45"/>
        <v>0</v>
      </c>
      <c r="BB56" s="1">
        <f t="shared" si="45"/>
        <v>0</v>
      </c>
      <c r="BC56" s="1">
        <f t="shared" si="45"/>
        <v>0</v>
      </c>
      <c r="BD56" s="1">
        <f t="shared" si="45"/>
        <v>0</v>
      </c>
      <c r="BE56" s="1">
        <f t="shared" si="45"/>
        <v>0</v>
      </c>
      <c r="BF56" s="1">
        <f t="shared" si="45"/>
        <v>0</v>
      </c>
      <c r="BG56" s="1">
        <f t="shared" si="45"/>
        <v>0</v>
      </c>
      <c r="BH56" s="1">
        <f t="shared" si="45"/>
        <v>0</v>
      </c>
      <c r="BI56" s="1">
        <f t="shared" si="45"/>
        <v>0</v>
      </c>
      <c r="BJ56" s="1">
        <f t="shared" si="45"/>
        <v>0</v>
      </c>
      <c r="BK56" s="1">
        <f t="shared" si="45"/>
        <v>0</v>
      </c>
      <c r="BL56" s="1">
        <f t="shared" si="45"/>
        <v>0</v>
      </c>
      <c r="BM56" s="1">
        <f t="shared" si="45"/>
        <v>0</v>
      </c>
      <c r="BN56" s="1">
        <f t="shared" si="45"/>
        <v>0</v>
      </c>
      <c r="BO56" s="1">
        <f t="shared" si="45"/>
        <v>0</v>
      </c>
      <c r="BP56" s="1">
        <f t="shared" si="45"/>
        <v>0</v>
      </c>
      <c r="BQ56" s="1">
        <f t="shared" si="45"/>
        <v>0</v>
      </c>
      <c r="BR56" s="1">
        <f t="shared" si="45"/>
        <v>0</v>
      </c>
      <c r="BS56" s="1">
        <f t="shared" si="45"/>
        <v>0</v>
      </c>
      <c r="BT56" s="1">
        <f t="shared" si="45"/>
        <v>0</v>
      </c>
      <c r="BU56" s="1">
        <f t="shared" si="45"/>
        <v>0</v>
      </c>
      <c r="BV56" s="1">
        <f t="shared" si="45"/>
        <v>0</v>
      </c>
      <c r="BW56" s="1">
        <f t="shared" si="45"/>
        <v>0</v>
      </c>
      <c r="BX56" s="1">
        <f t="shared" si="45"/>
        <v>0</v>
      </c>
      <c r="BY56" s="1">
        <f t="shared" si="45"/>
        <v>0</v>
      </c>
      <c r="BZ56" s="1">
        <f t="shared" si="45"/>
        <v>0</v>
      </c>
      <c r="CA56" s="1">
        <f t="shared" si="45"/>
        <v>0</v>
      </c>
      <c r="CB56" s="1">
        <f t="shared" si="45"/>
        <v>0</v>
      </c>
      <c r="CC56" s="1">
        <f t="shared" si="45"/>
        <v>0</v>
      </c>
      <c r="CD56" s="1">
        <f t="shared" si="45"/>
        <v>0</v>
      </c>
      <c r="CE56" s="1">
        <f t="shared" si="45"/>
        <v>0</v>
      </c>
      <c r="CF56" s="1">
        <f t="shared" si="45"/>
        <v>0</v>
      </c>
      <c r="CG56" s="1">
        <f t="shared" si="45"/>
        <v>0</v>
      </c>
      <c r="CH56" s="1">
        <f t="shared" si="45"/>
        <v>0</v>
      </c>
      <c r="CI56" s="1">
        <f t="shared" si="45"/>
        <v>0</v>
      </c>
      <c r="CJ56" s="1">
        <f t="shared" si="45"/>
        <v>0</v>
      </c>
      <c r="CK56" s="1">
        <f t="shared" si="45"/>
        <v>0</v>
      </c>
      <c r="CL56" s="1">
        <f t="shared" si="45"/>
        <v>0</v>
      </c>
      <c r="CM56" s="1">
        <f t="shared" si="45"/>
        <v>0</v>
      </c>
      <c r="CN56" s="1">
        <f t="shared" si="45"/>
        <v>0</v>
      </c>
      <c r="CO56" s="1" t="e">
        <f t="shared" si="45"/>
        <v>#REF!</v>
      </c>
      <c r="CP56" s="1" t="e">
        <f t="shared" si="45"/>
        <v>#REF!</v>
      </c>
      <c r="CQ56" s="1" t="e">
        <f t="shared" si="45"/>
        <v>#REF!</v>
      </c>
      <c r="CR56" s="1" t="e">
        <f t="shared" si="45"/>
        <v>#REF!</v>
      </c>
      <c r="CS56" s="1" t="e">
        <f t="shared" si="45"/>
        <v>#REF!</v>
      </c>
      <c r="CT56" s="1" t="e">
        <f t="shared" si="45"/>
        <v>#REF!</v>
      </c>
      <c r="CU56" s="1" t="e">
        <f t="shared" si="45"/>
        <v>#REF!</v>
      </c>
      <c r="CV56" s="1" t="e">
        <f t="shared" si="45"/>
        <v>#REF!</v>
      </c>
      <c r="CW56" s="1" t="e">
        <f t="shared" si="45"/>
        <v>#REF!</v>
      </c>
      <c r="CX56" s="1" t="e">
        <f t="shared" si="44"/>
        <v>#REF!</v>
      </c>
      <c r="CY56" s="1" t="e">
        <f t="shared" si="44"/>
        <v>#REF!</v>
      </c>
      <c r="CZ56" s="1" t="e">
        <f t="shared" si="44"/>
        <v>#REF!</v>
      </c>
      <c r="DA56" s="1" t="e">
        <f t="shared" si="44"/>
        <v>#REF!</v>
      </c>
      <c r="DB56" s="1" t="e">
        <f t="shared" si="44"/>
        <v>#REF!</v>
      </c>
      <c r="DC56" s="1" t="e">
        <f t="shared" si="44"/>
        <v>#REF!</v>
      </c>
      <c r="DD56" s="1" t="e">
        <f t="shared" si="44"/>
        <v>#REF!</v>
      </c>
      <c r="DE56" s="1" t="e">
        <f t="shared" si="44"/>
        <v>#REF!</v>
      </c>
      <c r="DF56" s="1" t="e">
        <f t="shared" si="44"/>
        <v>#REF!</v>
      </c>
      <c r="DG56" s="1" t="e">
        <f t="shared" si="44"/>
        <v>#REF!</v>
      </c>
      <c r="DK56" s="1">
        <f t="shared" si="11"/>
        <v>2078</v>
      </c>
      <c r="DL56" s="1">
        <f t="shared" ca="1" si="12"/>
        <v>98</v>
      </c>
      <c r="DM56" s="1">
        <f t="shared" ca="1" si="13"/>
        <v>103</v>
      </c>
      <c r="DN56" s="1" t="e">
        <f>IF(CK$32=0,NA(),CK$32)</f>
        <v>#N/A</v>
      </c>
      <c r="DO56" s="1" t="e">
        <f>IF(CK$33=0,NA(),CK$33)</f>
        <v>#N/A</v>
      </c>
      <c r="DP56" s="1" t="e">
        <f>IF(CK$34=0,NA(),CK$34)</f>
        <v>#N/A</v>
      </c>
      <c r="DQ56" s="1" t="e">
        <f>IF(CK$35=0,NA(),CK$35)</f>
        <v>#N/A</v>
      </c>
      <c r="DR56" s="1" t="e">
        <f>IF(CK$36=0,NA(),CK$36)</f>
        <v>#N/A</v>
      </c>
      <c r="DS56" s="1" t="e">
        <f>IF(CK$37=0,NA(),CK$37)</f>
        <v>#N/A</v>
      </c>
      <c r="DT56" s="1" t="e">
        <f>IF(CK$38=0,NA(),CK$38)</f>
        <v>#N/A</v>
      </c>
      <c r="DU56" s="1" t="e">
        <f>IF(CK$39=0,NA(),CK$39)</f>
        <v>#N/A</v>
      </c>
      <c r="DV56" s="1" t="e">
        <f>IF(CK$40=0,NA(),CK$40)</f>
        <v>#N/A</v>
      </c>
      <c r="DW56" s="1" t="e">
        <f>IF(CK$41=0,NA(),CK$41)</f>
        <v>#N/A</v>
      </c>
      <c r="DX56" s="1" t="e">
        <f>IF(CK$42=0,NA(),CK$42)</f>
        <v>#N/A</v>
      </c>
      <c r="DY56" s="1" t="e">
        <f>IF(CK$43=0,NA(),CK$43)</f>
        <v>#N/A</v>
      </c>
      <c r="DZ56" s="1" t="e">
        <f>IF(CK$44=0,NA(),CK$44)</f>
        <v>#N/A</v>
      </c>
      <c r="EA56" s="1" t="e">
        <f>IF(CK$45=0,NA(),CK$45)</f>
        <v>#N/A</v>
      </c>
      <c r="EB56" s="1" t="e">
        <f>IF(CK$46=0,NA(),CK$46)</f>
        <v>#N/A</v>
      </c>
      <c r="EC56" s="1" t="e">
        <f>IF(CK$47=0,NA(),CK$47)</f>
        <v>#N/A</v>
      </c>
      <c r="ED56" s="1" t="e">
        <f>IF(CK$48=0,NA(),CK$48)</f>
        <v>#N/A</v>
      </c>
      <c r="EE56" s="1" t="e">
        <f>IF(CK$49=0,NA(),CK$49)</f>
        <v>#N/A</v>
      </c>
      <c r="EF56" s="1" t="e">
        <f>IF(CK$50=0,NA(),CK$50)</f>
        <v>#N/A</v>
      </c>
      <c r="EG56" s="1" t="e">
        <f>IF(CK$51=0,NA(),CK$51)</f>
        <v>#N/A</v>
      </c>
      <c r="EH56" s="1" t="e">
        <f>IF(CK$52=0,NA(),CK$52)</f>
        <v>#N/A</v>
      </c>
      <c r="EI56" s="1" t="e">
        <f>IF(CK$53=0,NA(),CK$53)</f>
        <v>#N/A</v>
      </c>
      <c r="EJ56" s="1" t="e">
        <f>IF(CK$54=0,NA(),CK$54)</f>
        <v>#N/A</v>
      </c>
      <c r="EK56" s="1" t="e">
        <f>IF(CK$55=0,NA(),CK$55)</f>
        <v>#N/A</v>
      </c>
      <c r="EL56" s="1" t="e">
        <f>IF(CK$56=0,NA(),CK$56)</f>
        <v>#N/A</v>
      </c>
      <c r="EM56" s="1" t="e">
        <f>IF(CK$57=0,NA(),CK$57)</f>
        <v>#N/A</v>
      </c>
    </row>
    <row r="57" spans="36:143" x14ac:dyDescent="0.3">
      <c r="AJ57" s="1">
        <f>AJ28</f>
        <v>0</v>
      </c>
      <c r="AK57" s="1">
        <f t="shared" si="34"/>
        <v>0</v>
      </c>
      <c r="AL57" s="1">
        <f t="shared" si="45"/>
        <v>0</v>
      </c>
      <c r="AM57" s="1">
        <f t="shared" si="45"/>
        <v>0</v>
      </c>
      <c r="AN57" s="1">
        <f t="shared" si="45"/>
        <v>0</v>
      </c>
      <c r="AO57" s="1">
        <f t="shared" si="45"/>
        <v>0</v>
      </c>
      <c r="AP57" s="1">
        <f t="shared" si="45"/>
        <v>0</v>
      </c>
      <c r="AQ57" s="1">
        <f t="shared" si="45"/>
        <v>0</v>
      </c>
      <c r="AR57" s="1">
        <f t="shared" si="45"/>
        <v>0</v>
      </c>
      <c r="AS57" s="1">
        <f t="shared" si="45"/>
        <v>0</v>
      </c>
      <c r="AT57" s="1">
        <f t="shared" si="45"/>
        <v>0</v>
      </c>
      <c r="AU57" s="1">
        <f t="shared" si="45"/>
        <v>0</v>
      </c>
      <c r="AV57" s="1">
        <f t="shared" si="45"/>
        <v>0</v>
      </c>
      <c r="AW57" s="1">
        <f t="shared" si="45"/>
        <v>0</v>
      </c>
      <c r="AX57" s="1">
        <f t="shared" si="45"/>
        <v>0</v>
      </c>
      <c r="AY57" s="1">
        <f t="shared" si="45"/>
        <v>0</v>
      </c>
      <c r="AZ57" s="1">
        <f t="shared" si="45"/>
        <v>0</v>
      </c>
      <c r="BA57" s="1">
        <f t="shared" si="45"/>
        <v>0</v>
      </c>
      <c r="BB57" s="1">
        <f t="shared" si="45"/>
        <v>0</v>
      </c>
      <c r="BC57" s="1">
        <f t="shared" si="45"/>
        <v>0</v>
      </c>
      <c r="BD57" s="1">
        <f t="shared" si="45"/>
        <v>0</v>
      </c>
      <c r="BE57" s="1">
        <f t="shared" si="45"/>
        <v>0</v>
      </c>
      <c r="BF57" s="1">
        <f t="shared" si="45"/>
        <v>0</v>
      </c>
      <c r="BG57" s="1">
        <f t="shared" si="45"/>
        <v>0</v>
      </c>
      <c r="BH57" s="1">
        <f t="shared" si="45"/>
        <v>0</v>
      </c>
      <c r="BI57" s="1">
        <f t="shared" si="45"/>
        <v>0</v>
      </c>
      <c r="BJ57" s="1">
        <f t="shared" si="45"/>
        <v>0</v>
      </c>
      <c r="BK57" s="1">
        <f t="shared" si="45"/>
        <v>0</v>
      </c>
      <c r="BL57" s="1">
        <f t="shared" si="45"/>
        <v>0</v>
      </c>
      <c r="BM57" s="1">
        <f t="shared" si="45"/>
        <v>0</v>
      </c>
      <c r="BN57" s="1">
        <f t="shared" si="45"/>
        <v>0</v>
      </c>
      <c r="BO57" s="1">
        <f t="shared" si="45"/>
        <v>0</v>
      </c>
      <c r="BP57" s="1">
        <f t="shared" si="45"/>
        <v>0</v>
      </c>
      <c r="BQ57" s="1">
        <f t="shared" si="45"/>
        <v>0</v>
      </c>
      <c r="BR57" s="1">
        <f t="shared" si="45"/>
        <v>0</v>
      </c>
      <c r="BS57" s="1">
        <f t="shared" si="45"/>
        <v>0</v>
      </c>
      <c r="BT57" s="1">
        <f t="shared" si="45"/>
        <v>0</v>
      </c>
      <c r="BU57" s="1">
        <f t="shared" si="45"/>
        <v>0</v>
      </c>
      <c r="BV57" s="1">
        <f t="shared" si="45"/>
        <v>0</v>
      </c>
      <c r="BW57" s="1">
        <f t="shared" si="45"/>
        <v>0</v>
      </c>
      <c r="BX57" s="1">
        <f t="shared" si="45"/>
        <v>0</v>
      </c>
      <c r="BY57" s="1">
        <f t="shared" si="45"/>
        <v>0</v>
      </c>
      <c r="BZ57" s="1">
        <f t="shared" si="45"/>
        <v>0</v>
      </c>
      <c r="CA57" s="1">
        <f t="shared" si="45"/>
        <v>0</v>
      </c>
      <c r="CB57" s="1">
        <f t="shared" si="45"/>
        <v>0</v>
      </c>
      <c r="CC57" s="1">
        <f t="shared" si="45"/>
        <v>0</v>
      </c>
      <c r="CD57" s="1">
        <f t="shared" si="45"/>
        <v>0</v>
      </c>
      <c r="CE57" s="1">
        <f t="shared" si="45"/>
        <v>0</v>
      </c>
      <c r="CF57" s="1">
        <f t="shared" si="45"/>
        <v>0</v>
      </c>
      <c r="CG57" s="1">
        <f t="shared" si="45"/>
        <v>0</v>
      </c>
      <c r="CH57" s="1">
        <f t="shared" si="45"/>
        <v>0</v>
      </c>
      <c r="CI57" s="1">
        <f t="shared" si="45"/>
        <v>0</v>
      </c>
      <c r="CJ57" s="1">
        <f t="shared" si="45"/>
        <v>0</v>
      </c>
      <c r="CK57" s="1">
        <f t="shared" si="45"/>
        <v>0</v>
      </c>
      <c r="CL57" s="1">
        <f t="shared" si="45"/>
        <v>0</v>
      </c>
      <c r="CM57" s="1">
        <f t="shared" si="45"/>
        <v>0</v>
      </c>
      <c r="CN57" s="1">
        <f t="shared" si="45"/>
        <v>0</v>
      </c>
      <c r="CO57" s="1" t="e">
        <f t="shared" si="45"/>
        <v>#REF!</v>
      </c>
      <c r="CP57" s="1" t="e">
        <f t="shared" si="45"/>
        <v>#REF!</v>
      </c>
      <c r="CQ57" s="1" t="e">
        <f t="shared" si="45"/>
        <v>#REF!</v>
      </c>
      <c r="CR57" s="1" t="e">
        <f t="shared" si="45"/>
        <v>#REF!</v>
      </c>
      <c r="CS57" s="1" t="e">
        <f t="shared" si="45"/>
        <v>#REF!</v>
      </c>
      <c r="CT57" s="1" t="e">
        <f t="shared" si="45"/>
        <v>#REF!</v>
      </c>
      <c r="CU57" s="1" t="e">
        <f t="shared" si="45"/>
        <v>#REF!</v>
      </c>
      <c r="CV57" s="1" t="e">
        <f t="shared" si="45"/>
        <v>#REF!</v>
      </c>
      <c r="CW57" s="1" t="e">
        <f t="shared" si="45"/>
        <v>#REF!</v>
      </c>
      <c r="CX57" s="1" t="e">
        <f t="shared" si="44"/>
        <v>#REF!</v>
      </c>
      <c r="CY57" s="1" t="e">
        <f t="shared" si="44"/>
        <v>#REF!</v>
      </c>
      <c r="CZ57" s="1" t="e">
        <f t="shared" si="44"/>
        <v>#REF!</v>
      </c>
      <c r="DA57" s="1" t="e">
        <f t="shared" si="44"/>
        <v>#REF!</v>
      </c>
      <c r="DB57" s="1" t="e">
        <f t="shared" si="44"/>
        <v>#REF!</v>
      </c>
      <c r="DC57" s="1" t="e">
        <f t="shared" si="44"/>
        <v>#REF!</v>
      </c>
      <c r="DD57" s="1" t="e">
        <f t="shared" si="44"/>
        <v>#REF!</v>
      </c>
      <c r="DE57" s="1" t="e">
        <f t="shared" si="44"/>
        <v>#REF!</v>
      </c>
      <c r="DF57" s="1" t="e">
        <f t="shared" si="44"/>
        <v>#REF!</v>
      </c>
      <c r="DG57" s="1" t="e">
        <f t="shared" si="44"/>
        <v>#REF!</v>
      </c>
      <c r="DK57" s="1">
        <f t="shared" si="11"/>
        <v>2079</v>
      </c>
      <c r="DL57" s="1">
        <f t="shared" ca="1" si="12"/>
        <v>99</v>
      </c>
      <c r="DM57" s="1">
        <f t="shared" ca="1" si="13"/>
        <v>104</v>
      </c>
      <c r="DN57" s="1" t="e">
        <f>IF(CL$32=0,NA(),CL$32)</f>
        <v>#N/A</v>
      </c>
      <c r="DO57" s="1" t="e">
        <f>IF(CL$33=0,NA(),CL$33)</f>
        <v>#N/A</v>
      </c>
      <c r="DP57" s="1" t="e">
        <f>IF(CL$34=0,NA(),CL$34)</f>
        <v>#N/A</v>
      </c>
      <c r="DQ57" s="1" t="e">
        <f>IF(CL$35=0,NA(),CL$35)</f>
        <v>#N/A</v>
      </c>
      <c r="DR57" s="1" t="e">
        <f>IF(CL$36=0,NA(),CL$36)</f>
        <v>#N/A</v>
      </c>
      <c r="DS57" s="1" t="e">
        <f>IF(CL$37=0,NA(),CL$37)</f>
        <v>#N/A</v>
      </c>
      <c r="DT57" s="1" t="e">
        <f>IF(CL$38=0,NA(),CL$38)</f>
        <v>#N/A</v>
      </c>
      <c r="DU57" s="1" t="e">
        <f>IF(CL$39=0,NA(),CL$39)</f>
        <v>#N/A</v>
      </c>
      <c r="DV57" s="1" t="e">
        <f>IF(CL$40=0,NA(),CL$40)</f>
        <v>#N/A</v>
      </c>
      <c r="DW57" s="1" t="e">
        <f>IF(CL$41=0,NA(),CL$41)</f>
        <v>#N/A</v>
      </c>
      <c r="DX57" s="1" t="e">
        <f>IF(CL$42=0,NA(),CL$42)</f>
        <v>#N/A</v>
      </c>
      <c r="DY57" s="1" t="e">
        <f>IF(CL$43=0,NA(),CL$43)</f>
        <v>#N/A</v>
      </c>
      <c r="DZ57" s="1" t="e">
        <f>IF(CL$44=0,NA(),CL$44)</f>
        <v>#N/A</v>
      </c>
      <c r="EA57" s="1" t="e">
        <f>IF(CL$45=0,NA(),CL$45)</f>
        <v>#N/A</v>
      </c>
      <c r="EB57" s="1" t="e">
        <f>IF(CL$46=0,NA(),CL$46)</f>
        <v>#N/A</v>
      </c>
      <c r="EC57" s="1" t="e">
        <f>IF(CL$47=0,NA(),CL$47)</f>
        <v>#N/A</v>
      </c>
      <c r="ED57" s="1" t="e">
        <f>IF(CL$48=0,NA(),CL$48)</f>
        <v>#N/A</v>
      </c>
      <c r="EE57" s="1" t="e">
        <f>IF(CL$49=0,NA(),CL$49)</f>
        <v>#N/A</v>
      </c>
      <c r="EF57" s="1" t="e">
        <f>IF(CL$50=0,NA(),CL$50)</f>
        <v>#N/A</v>
      </c>
      <c r="EG57" s="1" t="e">
        <f>IF(CL$51=0,NA(),CL$51)</f>
        <v>#N/A</v>
      </c>
      <c r="EH57" s="1" t="e">
        <f>IF(CL$52=0,NA(),CL$52)</f>
        <v>#N/A</v>
      </c>
      <c r="EI57" s="1" t="e">
        <f>IF(CL$53=0,NA(),CL$53)</f>
        <v>#N/A</v>
      </c>
      <c r="EJ57" s="1" t="e">
        <f>IF(CL$54=0,NA(),CL$54)</f>
        <v>#N/A</v>
      </c>
      <c r="EK57" s="1" t="e">
        <f>IF(CL$55=0,NA(),CL$55)</f>
        <v>#N/A</v>
      </c>
      <c r="EL57" s="1" t="e">
        <f>IF(CL$56=0,NA(),CL$56)</f>
        <v>#N/A</v>
      </c>
      <c r="EM57" s="1" t="e">
        <f>IF(CL$57=0,NA(),CL$57)</f>
        <v>#N/A</v>
      </c>
    </row>
    <row r="58" spans="36:143" x14ac:dyDescent="0.3">
      <c r="AJ58" s="162">
        <f>SUM(AJ32:AJ57)</f>
        <v>0</v>
      </c>
      <c r="AK58" s="162">
        <f t="shared" ref="AK58:CV58" si="46">SUM(AK32:AK57)</f>
        <v>0</v>
      </c>
      <c r="AL58" s="162">
        <f t="shared" si="46"/>
        <v>0</v>
      </c>
      <c r="AM58" s="162">
        <f t="shared" si="46"/>
        <v>0</v>
      </c>
      <c r="AN58" s="162">
        <f t="shared" si="46"/>
        <v>3509575.6800000006</v>
      </c>
      <c r="AO58" s="162">
        <f t="shared" si="46"/>
        <v>15242699.450199999</v>
      </c>
      <c r="AP58" s="162">
        <f t="shared" si="46"/>
        <v>3795957.0554880011</v>
      </c>
      <c r="AQ58" s="162">
        <f t="shared" si="46"/>
        <v>3947795.3377075209</v>
      </c>
      <c r="AR58" s="162">
        <f t="shared" si="46"/>
        <v>0</v>
      </c>
      <c r="AS58" s="162">
        <f t="shared" si="46"/>
        <v>0</v>
      </c>
      <c r="AT58" s="162">
        <f t="shared" si="46"/>
        <v>4317849.9945455752</v>
      </c>
      <c r="AU58" s="162">
        <f t="shared" si="46"/>
        <v>1165819.4985273054</v>
      </c>
      <c r="AV58" s="162">
        <f t="shared" si="46"/>
        <v>0</v>
      </c>
      <c r="AW58" s="162">
        <f t="shared" si="46"/>
        <v>0</v>
      </c>
      <c r="AX58" s="162">
        <f t="shared" si="46"/>
        <v>0</v>
      </c>
      <c r="AY58" s="162">
        <f t="shared" si="46"/>
        <v>0</v>
      </c>
      <c r="AZ58" s="162">
        <f t="shared" si="46"/>
        <v>0</v>
      </c>
      <c r="BA58" s="162">
        <f t="shared" si="46"/>
        <v>0</v>
      </c>
      <c r="BB58" s="162">
        <f t="shared" si="46"/>
        <v>0</v>
      </c>
      <c r="BC58" s="162">
        <f t="shared" si="46"/>
        <v>0</v>
      </c>
      <c r="BD58" s="162">
        <f t="shared" si="46"/>
        <v>0</v>
      </c>
      <c r="BE58" s="162">
        <f t="shared" si="46"/>
        <v>0</v>
      </c>
      <c r="BF58" s="162">
        <f t="shared" si="46"/>
        <v>0</v>
      </c>
      <c r="BG58" s="162">
        <f t="shared" si="46"/>
        <v>0</v>
      </c>
      <c r="BH58" s="162">
        <f t="shared" si="46"/>
        <v>0</v>
      </c>
      <c r="BI58" s="162">
        <f t="shared" si="46"/>
        <v>0</v>
      </c>
      <c r="BJ58" s="162">
        <f t="shared" si="46"/>
        <v>0</v>
      </c>
      <c r="BK58" s="162">
        <f t="shared" si="46"/>
        <v>0</v>
      </c>
      <c r="BL58" s="162">
        <f t="shared" si="46"/>
        <v>0</v>
      </c>
      <c r="BM58" s="162">
        <f t="shared" si="46"/>
        <v>0</v>
      </c>
      <c r="BN58" s="162">
        <f t="shared" si="46"/>
        <v>0</v>
      </c>
      <c r="BO58" s="162">
        <f t="shared" si="46"/>
        <v>0</v>
      </c>
      <c r="BP58" s="162">
        <f t="shared" si="46"/>
        <v>0</v>
      </c>
      <c r="BQ58" s="162">
        <f t="shared" si="46"/>
        <v>0</v>
      </c>
      <c r="BR58" s="162">
        <f t="shared" si="46"/>
        <v>0</v>
      </c>
      <c r="BS58" s="162">
        <f t="shared" si="46"/>
        <v>0</v>
      </c>
      <c r="BT58" s="162">
        <f t="shared" si="46"/>
        <v>0</v>
      </c>
      <c r="BU58" s="162">
        <f t="shared" si="46"/>
        <v>0</v>
      </c>
      <c r="BV58" s="162">
        <f t="shared" si="46"/>
        <v>0</v>
      </c>
      <c r="BW58" s="162">
        <f t="shared" si="46"/>
        <v>0</v>
      </c>
      <c r="BX58" s="162">
        <f t="shared" si="46"/>
        <v>0</v>
      </c>
      <c r="BY58" s="162">
        <f t="shared" si="46"/>
        <v>0</v>
      </c>
      <c r="BZ58" s="162">
        <f t="shared" si="46"/>
        <v>0</v>
      </c>
      <c r="CA58" s="162">
        <f t="shared" si="46"/>
        <v>0</v>
      </c>
      <c r="CB58" s="162">
        <f t="shared" si="46"/>
        <v>0</v>
      </c>
      <c r="CC58" s="162">
        <f t="shared" si="46"/>
        <v>0</v>
      </c>
      <c r="CD58" s="162">
        <f t="shared" si="46"/>
        <v>0</v>
      </c>
      <c r="CE58" s="162">
        <f t="shared" si="46"/>
        <v>0</v>
      </c>
      <c r="CF58" s="162">
        <f t="shared" si="46"/>
        <v>0</v>
      </c>
      <c r="CG58" s="162">
        <f t="shared" si="46"/>
        <v>0</v>
      </c>
      <c r="CH58" s="162">
        <f t="shared" si="46"/>
        <v>0</v>
      </c>
      <c r="CI58" s="162">
        <f t="shared" si="46"/>
        <v>0</v>
      </c>
      <c r="CJ58" s="162">
        <f t="shared" si="46"/>
        <v>0</v>
      </c>
      <c r="CK58" s="162">
        <f t="shared" si="46"/>
        <v>0</v>
      </c>
      <c r="CL58" s="162">
        <f t="shared" si="46"/>
        <v>0</v>
      </c>
      <c r="CM58" s="162">
        <f t="shared" si="46"/>
        <v>0</v>
      </c>
      <c r="CN58" s="162">
        <f t="shared" si="46"/>
        <v>0</v>
      </c>
      <c r="CO58" s="162" t="e">
        <f t="shared" si="46"/>
        <v>#REF!</v>
      </c>
      <c r="CP58" s="162" t="e">
        <f t="shared" si="46"/>
        <v>#REF!</v>
      </c>
      <c r="CQ58" s="162" t="e">
        <f t="shared" si="46"/>
        <v>#REF!</v>
      </c>
      <c r="CR58" s="162" t="e">
        <f t="shared" si="46"/>
        <v>#REF!</v>
      </c>
      <c r="CS58" s="162" t="e">
        <f t="shared" si="46"/>
        <v>#REF!</v>
      </c>
      <c r="CT58" s="162" t="e">
        <f t="shared" si="46"/>
        <v>#REF!</v>
      </c>
      <c r="CU58" s="162" t="e">
        <f t="shared" si="46"/>
        <v>#REF!</v>
      </c>
      <c r="CV58" s="162" t="e">
        <f t="shared" si="46"/>
        <v>#REF!</v>
      </c>
      <c r="CW58" s="162" t="e">
        <f t="shared" ref="CW58:DG58" si="47">SUM(CW32:CW57)</f>
        <v>#REF!</v>
      </c>
      <c r="CX58" s="162" t="e">
        <f t="shared" si="47"/>
        <v>#REF!</v>
      </c>
      <c r="CY58" s="162" t="e">
        <f t="shared" si="47"/>
        <v>#REF!</v>
      </c>
      <c r="CZ58" s="162" t="e">
        <f t="shared" si="47"/>
        <v>#REF!</v>
      </c>
      <c r="DA58" s="162" t="e">
        <f t="shared" si="47"/>
        <v>#REF!</v>
      </c>
      <c r="DB58" s="162" t="e">
        <f t="shared" si="47"/>
        <v>#REF!</v>
      </c>
      <c r="DC58" s="162" t="e">
        <f t="shared" si="47"/>
        <v>#REF!</v>
      </c>
      <c r="DD58" s="162" t="e">
        <f t="shared" si="47"/>
        <v>#REF!</v>
      </c>
      <c r="DE58" s="162" t="e">
        <f t="shared" si="47"/>
        <v>#REF!</v>
      </c>
      <c r="DF58" s="162" t="e">
        <f t="shared" si="47"/>
        <v>#REF!</v>
      </c>
      <c r="DG58" s="162" t="e">
        <f t="shared" si="47"/>
        <v>#REF!</v>
      </c>
      <c r="DK58" s="1">
        <f t="shared" si="11"/>
        <v>2080</v>
      </c>
      <c r="DL58" s="1">
        <f t="shared" ca="1" si="12"/>
        <v>100</v>
      </c>
      <c r="DM58" s="1">
        <f t="shared" ca="1" si="13"/>
        <v>105</v>
      </c>
      <c r="DN58" s="1" t="e">
        <f>IF(CM$32=0,NA(),CM$32)</f>
        <v>#N/A</v>
      </c>
      <c r="DO58" s="1" t="e">
        <f>IF(CM$33=0,NA(),CM$33)</f>
        <v>#N/A</v>
      </c>
      <c r="DP58" s="1" t="e">
        <f>IF(CM$34=0,NA(),CM$34)</f>
        <v>#N/A</v>
      </c>
      <c r="DQ58" s="1" t="e">
        <f>IF(CM$35=0,NA(),CM$35)</f>
        <v>#N/A</v>
      </c>
      <c r="DR58" s="1" t="e">
        <f>IF(CM$36=0,NA(),CM$36)</f>
        <v>#N/A</v>
      </c>
      <c r="DS58" s="1" t="e">
        <f>IF(CM$37=0,NA(),CM$37)</f>
        <v>#N/A</v>
      </c>
      <c r="DT58" s="1" t="e">
        <f>IF(CM$38=0,NA(),CM$38)</f>
        <v>#N/A</v>
      </c>
      <c r="DU58" s="1" t="e">
        <f>IF(CM$39=0,NA(),CM$39)</f>
        <v>#N/A</v>
      </c>
      <c r="DV58" s="1" t="e">
        <f>IF(CM$40=0,NA(),CM$40)</f>
        <v>#N/A</v>
      </c>
      <c r="DW58" s="1" t="e">
        <f>IF(CM$41=0,NA(),CM$41)</f>
        <v>#N/A</v>
      </c>
      <c r="DX58" s="1" t="e">
        <f>IF(CM$42=0,NA(),CM$42)</f>
        <v>#N/A</v>
      </c>
      <c r="DY58" s="1" t="e">
        <f>IF(CM$43=0,NA(),CM$43)</f>
        <v>#N/A</v>
      </c>
      <c r="DZ58" s="1" t="e">
        <f>IF(CM$44=0,NA(),CM$44)</f>
        <v>#N/A</v>
      </c>
      <c r="EA58" s="1" t="e">
        <f>IF(CM$45=0,NA(),CM$45)</f>
        <v>#N/A</v>
      </c>
      <c r="EB58" s="1" t="e">
        <f>IF(CM$46=0,NA(),CM$46)</f>
        <v>#N/A</v>
      </c>
      <c r="EC58" s="1" t="e">
        <f>IF(CM$47=0,NA(),CM$47)</f>
        <v>#N/A</v>
      </c>
      <c r="ED58" s="1" t="e">
        <f>IF(CM$48=0,NA(),CM$48)</f>
        <v>#N/A</v>
      </c>
      <c r="EE58" s="1" t="e">
        <f>IF(CM$49=0,NA(),CM$49)</f>
        <v>#N/A</v>
      </c>
      <c r="EF58" s="1" t="e">
        <f>IF(CM$50=0,NA(),CM$50)</f>
        <v>#N/A</v>
      </c>
      <c r="EG58" s="1" t="e">
        <f>IF(CM$51=0,NA(),CM$51)</f>
        <v>#N/A</v>
      </c>
      <c r="EH58" s="1" t="e">
        <f>IF(CM$52=0,NA(),CM$52)</f>
        <v>#N/A</v>
      </c>
      <c r="EI58" s="1" t="e">
        <f>IF(CM$53=0,NA(),CM$53)</f>
        <v>#N/A</v>
      </c>
      <c r="EJ58" s="1" t="e">
        <f>IF(CM$54=0,NA(),CM$54)</f>
        <v>#N/A</v>
      </c>
      <c r="EK58" s="1" t="e">
        <f>IF(CM$55=0,NA(),CM$55)</f>
        <v>#N/A</v>
      </c>
      <c r="EL58" s="1" t="e">
        <f>IF(CM$56=0,NA(),CM$56)</f>
        <v>#N/A</v>
      </c>
      <c r="EM58" s="1" t="e">
        <f>IF(CM$57=0,NA(),CM$57)</f>
        <v>#N/A</v>
      </c>
    </row>
    <row r="59" spans="36:143" x14ac:dyDescent="0.3">
      <c r="DK59" s="1">
        <f t="shared" si="11"/>
        <v>2081</v>
      </c>
      <c r="DL59" s="1">
        <f t="shared" ca="1" si="12"/>
        <v>101</v>
      </c>
      <c r="DM59" s="1">
        <f t="shared" ca="1" si="13"/>
        <v>106</v>
      </c>
      <c r="DN59" s="1" t="e">
        <f>IF(CN$32=0,NA(),CN$32)</f>
        <v>#N/A</v>
      </c>
      <c r="DO59" s="1" t="e">
        <f>IF(CN$33=0,NA(),CN$33)</f>
        <v>#N/A</v>
      </c>
      <c r="DP59" s="1" t="e">
        <f>IF(CN$34=0,NA(),CN$34)</f>
        <v>#N/A</v>
      </c>
      <c r="DQ59" s="1" t="e">
        <f>IF(CN$35=0,NA(),CN$35)</f>
        <v>#N/A</v>
      </c>
      <c r="DR59" s="1" t="e">
        <f>IF(CN$36=0,NA(),CN$36)</f>
        <v>#N/A</v>
      </c>
      <c r="DS59" s="1" t="e">
        <f>IF(CN$37=0,NA(),CN$37)</f>
        <v>#N/A</v>
      </c>
      <c r="DT59" s="1" t="e">
        <f>IF(CN$38=0,NA(),CN$38)</f>
        <v>#N/A</v>
      </c>
      <c r="DU59" s="1" t="e">
        <f>IF(CN$39=0,NA(),CN$39)</f>
        <v>#N/A</v>
      </c>
      <c r="DV59" s="1" t="e">
        <f>IF(CN$40=0,NA(),CN$40)</f>
        <v>#N/A</v>
      </c>
      <c r="DW59" s="1" t="e">
        <f>IF(CN$41=0,NA(),CN$41)</f>
        <v>#N/A</v>
      </c>
      <c r="DX59" s="1" t="e">
        <f>IF(CN$42=0,NA(),CN$42)</f>
        <v>#N/A</v>
      </c>
      <c r="DY59" s="1" t="e">
        <f>IF(CN$43=0,NA(),CN$43)</f>
        <v>#N/A</v>
      </c>
      <c r="DZ59" s="1" t="e">
        <f>IF(CN$44=0,NA(),CN$44)</f>
        <v>#N/A</v>
      </c>
      <c r="EA59" s="1" t="e">
        <f>IF(CN$45=0,NA(),CN$45)</f>
        <v>#N/A</v>
      </c>
      <c r="EB59" s="1" t="e">
        <f>IF(CN$46=0,NA(),CN$46)</f>
        <v>#N/A</v>
      </c>
      <c r="EC59" s="1" t="e">
        <f>IF(CN$47=0,NA(),CN$47)</f>
        <v>#N/A</v>
      </c>
      <c r="ED59" s="1" t="e">
        <f>IF(CN$48=0,NA(),CN$48)</f>
        <v>#N/A</v>
      </c>
      <c r="EE59" s="1" t="e">
        <f>IF(CN$49=0,NA(),CN$49)</f>
        <v>#N/A</v>
      </c>
      <c r="EF59" s="1" t="e">
        <f>IF(CN$50=0,NA(),CN$50)</f>
        <v>#N/A</v>
      </c>
      <c r="EG59" s="1" t="e">
        <f>IF(CN$51=0,NA(),CN$51)</f>
        <v>#N/A</v>
      </c>
      <c r="EH59" s="1" t="e">
        <f>IF(CN$52=0,NA(),CN$52)</f>
        <v>#N/A</v>
      </c>
      <c r="EI59" s="1" t="e">
        <f>IF(CN$53=0,NA(),CN$53)</f>
        <v>#N/A</v>
      </c>
      <c r="EJ59" s="1" t="e">
        <f>IF(CN$54=0,NA(),CN$54)</f>
        <v>#N/A</v>
      </c>
      <c r="EK59" s="1" t="e">
        <f>IF(CN$55=0,NA(),CN$55)</f>
        <v>#N/A</v>
      </c>
      <c r="EL59" s="1" t="e">
        <f>IF(CN$56=0,NA(),CN$56)</f>
        <v>#N/A</v>
      </c>
      <c r="EM59" s="1" t="e">
        <f>IF(CN$57=0,NA(),CN$57)</f>
        <v>#N/A</v>
      </c>
    </row>
    <row r="60" spans="36:143" x14ac:dyDescent="0.3">
      <c r="DK60" s="1">
        <f t="shared" si="11"/>
        <v>2082</v>
      </c>
      <c r="DL60" s="1">
        <f t="shared" ca="1" si="12"/>
        <v>102</v>
      </c>
      <c r="DM60" s="1">
        <f t="shared" ca="1" si="13"/>
        <v>107</v>
      </c>
      <c r="DN60" s="1" t="e">
        <f>IF(CO$32=0,NA(),CO$32)</f>
        <v>#REF!</v>
      </c>
      <c r="DO60" s="1" t="e">
        <f>IF(CO$33=0,NA(),CO$33)</f>
        <v>#REF!</v>
      </c>
      <c r="DP60" s="1" t="e">
        <f>IF(CO$34=0,NA(),CO$34)</f>
        <v>#REF!</v>
      </c>
      <c r="DQ60" s="1" t="e">
        <f>IF(CO$35=0,NA(),CO$35)</f>
        <v>#REF!</v>
      </c>
      <c r="DR60" s="1" t="e">
        <f>IF(CO$36=0,NA(),CO$36)</f>
        <v>#REF!</v>
      </c>
      <c r="DS60" s="1" t="e">
        <f>IF(CO$37=0,NA(),CO$37)</f>
        <v>#REF!</v>
      </c>
      <c r="DT60" s="1" t="e">
        <f>IF(CO$38=0,NA(),CO$38)</f>
        <v>#REF!</v>
      </c>
      <c r="DU60" s="1" t="e">
        <f>IF(CO$39=0,NA(),CO$39)</f>
        <v>#REF!</v>
      </c>
      <c r="DV60" s="1" t="e">
        <f>IF(CO$40=0,NA(),CO$40)</f>
        <v>#REF!</v>
      </c>
      <c r="DW60" s="1" t="e">
        <f>IF(CO$41=0,NA(),CO$41)</f>
        <v>#REF!</v>
      </c>
      <c r="DX60" s="1" t="e">
        <f>IF(CO$42=0,NA(),CO$42)</f>
        <v>#REF!</v>
      </c>
      <c r="DY60" s="1" t="e">
        <f>IF(CO$43=0,NA(),CO$43)</f>
        <v>#REF!</v>
      </c>
      <c r="DZ60" s="1" t="e">
        <f>IF(CO$44=0,NA(),CO$44)</f>
        <v>#REF!</v>
      </c>
      <c r="EA60" s="1" t="e">
        <f>IF(CO$45=0,NA(),CO$45)</f>
        <v>#REF!</v>
      </c>
      <c r="EB60" s="1" t="e">
        <f>IF(CO$46=0,NA(),CO$46)</f>
        <v>#REF!</v>
      </c>
      <c r="EC60" s="1" t="e">
        <f>IF(CO$47=0,NA(),CO$47)</f>
        <v>#REF!</v>
      </c>
      <c r="ED60" s="1" t="e">
        <f>IF(CO$48=0,NA(),CO$48)</f>
        <v>#REF!</v>
      </c>
      <c r="EE60" s="1" t="e">
        <f>IF(CO$49=0,NA(),CO$49)</f>
        <v>#REF!</v>
      </c>
      <c r="EF60" s="1" t="e">
        <f>IF(CO$50=0,NA(),CO$50)</f>
        <v>#REF!</v>
      </c>
      <c r="EG60" s="1" t="e">
        <f>IF(CO$51=0,NA(),CO$51)</f>
        <v>#REF!</v>
      </c>
      <c r="EH60" s="1" t="e">
        <f>IF(CO$52=0,NA(),CO$52)</f>
        <v>#REF!</v>
      </c>
      <c r="EI60" s="1" t="e">
        <f>IF(CO$53=0,NA(),CO$53)</f>
        <v>#REF!</v>
      </c>
      <c r="EJ60" s="1" t="e">
        <f>IF(CO$54=0,NA(),CO$54)</f>
        <v>#REF!</v>
      </c>
      <c r="EK60" s="1" t="e">
        <f>IF(CO$55=0,NA(),CO$55)</f>
        <v>#REF!</v>
      </c>
      <c r="EL60" s="1" t="e">
        <f>IF(CO$56=0,NA(),CO$56)</f>
        <v>#REF!</v>
      </c>
      <c r="EM60" s="1" t="e">
        <f>IF(CO$57=0,NA(),CO$57)</f>
        <v>#REF!</v>
      </c>
    </row>
    <row r="61" spans="36:143" x14ac:dyDescent="0.3">
      <c r="DK61" s="1">
        <f t="shared" si="11"/>
        <v>2083</v>
      </c>
      <c r="DL61" s="1">
        <f t="shared" ca="1" si="12"/>
        <v>103</v>
      </c>
      <c r="DM61" s="1">
        <f t="shared" ca="1" si="13"/>
        <v>108</v>
      </c>
      <c r="DN61" s="1" t="e">
        <f>IF(CP$32=0,NA(),CP$32)</f>
        <v>#REF!</v>
      </c>
      <c r="DO61" s="1" t="e">
        <f>IF(CP$33=0,NA(),CP$33)</f>
        <v>#REF!</v>
      </c>
      <c r="DP61" s="1" t="e">
        <f>IF(CP$34=0,NA(),CP$34)</f>
        <v>#REF!</v>
      </c>
      <c r="DQ61" s="1" t="e">
        <f>IF(CP$35=0,NA(),CP$35)</f>
        <v>#REF!</v>
      </c>
      <c r="DR61" s="1" t="e">
        <f>IF(CP$36=0,NA(),CP$36)</f>
        <v>#REF!</v>
      </c>
      <c r="DS61" s="1" t="e">
        <f>IF(CP$37=0,NA(),CP$37)</f>
        <v>#REF!</v>
      </c>
      <c r="DT61" s="1" t="e">
        <f>IF(CP$38=0,NA(),CP$38)</f>
        <v>#REF!</v>
      </c>
      <c r="DU61" s="1" t="e">
        <f>IF(CP$39=0,NA(),CP$39)</f>
        <v>#REF!</v>
      </c>
      <c r="DV61" s="1" t="e">
        <f>IF(CP$40=0,NA(),CP$40)</f>
        <v>#REF!</v>
      </c>
      <c r="DW61" s="1" t="e">
        <f>IF(CP$41=0,NA(),CP$41)</f>
        <v>#REF!</v>
      </c>
      <c r="DX61" s="1" t="e">
        <f>IF(CP$42=0,NA(),CP$42)</f>
        <v>#REF!</v>
      </c>
      <c r="DY61" s="1" t="e">
        <f>IF(CP$43=0,NA(),CP$43)</f>
        <v>#REF!</v>
      </c>
      <c r="DZ61" s="1" t="e">
        <f>IF(CP$44=0,NA(),CP$44)</f>
        <v>#REF!</v>
      </c>
      <c r="EA61" s="1" t="e">
        <f>IF(CP$45=0,NA(),CP$45)</f>
        <v>#REF!</v>
      </c>
      <c r="EB61" s="1" t="e">
        <f>IF(CP$46=0,NA(),CP$46)</f>
        <v>#REF!</v>
      </c>
      <c r="EC61" s="1" t="e">
        <f>IF(CP$47=0,NA(),CP$47)</f>
        <v>#REF!</v>
      </c>
      <c r="ED61" s="1" t="e">
        <f>IF(CP$48=0,NA(),CP$48)</f>
        <v>#REF!</v>
      </c>
      <c r="EE61" s="1" t="e">
        <f>IF(CP$49=0,NA(),CP$49)</f>
        <v>#REF!</v>
      </c>
      <c r="EF61" s="1" t="e">
        <f>IF(CP$50=0,NA(),CP$50)</f>
        <v>#REF!</v>
      </c>
      <c r="EG61" s="1" t="e">
        <f>IF(CP$51=0,NA(),CP$51)</f>
        <v>#REF!</v>
      </c>
      <c r="EH61" s="1" t="e">
        <f>IF(CP$52=0,NA(),CP$52)</f>
        <v>#REF!</v>
      </c>
      <c r="EI61" s="1" t="e">
        <f>IF(CP$53=0,NA(),CP$53)</f>
        <v>#REF!</v>
      </c>
      <c r="EJ61" s="1" t="e">
        <f>IF(CP$54=0,NA(),CP$54)</f>
        <v>#REF!</v>
      </c>
      <c r="EK61" s="1" t="e">
        <f>IF(CP$55=0,NA(),CP$55)</f>
        <v>#REF!</v>
      </c>
      <c r="EL61" s="1" t="e">
        <f>IF(CP$56=0,NA(),CP$56)</f>
        <v>#REF!</v>
      </c>
      <c r="EM61" s="1" t="e">
        <f>IF(CP$57=0,NA(),CP$57)</f>
        <v>#REF!</v>
      </c>
    </row>
    <row r="62" spans="36:143" x14ac:dyDescent="0.3">
      <c r="DK62" s="1">
        <f t="shared" si="11"/>
        <v>2084</v>
      </c>
      <c r="DL62" s="1">
        <f t="shared" ca="1" si="12"/>
        <v>104</v>
      </c>
      <c r="DM62" s="1">
        <f t="shared" ca="1" si="13"/>
        <v>109</v>
      </c>
      <c r="DN62" s="1" t="e">
        <f>IF(CQ$32=0,NA(),CQ$32)</f>
        <v>#REF!</v>
      </c>
      <c r="DO62" s="1" t="e">
        <f>IF(CQ$33=0,NA(),CQ$33)</f>
        <v>#REF!</v>
      </c>
      <c r="DP62" s="1" t="e">
        <f>IF(CQ$34=0,NA(),CQ$34)</f>
        <v>#REF!</v>
      </c>
      <c r="DQ62" s="1" t="e">
        <f>IF(CQ$35=0,NA(),CQ$35)</f>
        <v>#REF!</v>
      </c>
      <c r="DR62" s="1" t="e">
        <f>IF(CQ$36=0,NA(),CQ$36)</f>
        <v>#REF!</v>
      </c>
      <c r="DS62" s="1" t="e">
        <f>IF(CQ$37=0,NA(),CQ$37)</f>
        <v>#REF!</v>
      </c>
      <c r="DT62" s="1" t="e">
        <f>IF(CQ$38=0,NA(),CQ$38)</f>
        <v>#REF!</v>
      </c>
      <c r="DU62" s="1" t="e">
        <f>IF(CQ$39=0,NA(),CQ$39)</f>
        <v>#REF!</v>
      </c>
      <c r="DV62" s="1" t="e">
        <f>IF(CQ$40=0,NA(),CQ$40)</f>
        <v>#REF!</v>
      </c>
      <c r="DW62" s="1" t="e">
        <f>IF(CQ$41=0,NA(),CQ$41)</f>
        <v>#REF!</v>
      </c>
      <c r="DX62" s="1" t="e">
        <f>IF(CQ$42=0,NA(),CQ$42)</f>
        <v>#REF!</v>
      </c>
      <c r="DY62" s="1" t="e">
        <f>IF(CQ$43=0,NA(),CQ$43)</f>
        <v>#REF!</v>
      </c>
      <c r="DZ62" s="1" t="e">
        <f>IF(CQ$44=0,NA(),CQ$44)</f>
        <v>#REF!</v>
      </c>
      <c r="EA62" s="1" t="e">
        <f>IF(CQ$45=0,NA(),CQ$45)</f>
        <v>#REF!</v>
      </c>
      <c r="EB62" s="1" t="e">
        <f>IF(CQ$46=0,NA(),CQ$46)</f>
        <v>#REF!</v>
      </c>
      <c r="EC62" s="1" t="e">
        <f>IF(CQ$47=0,NA(),CQ$47)</f>
        <v>#REF!</v>
      </c>
      <c r="ED62" s="1" t="e">
        <f>IF(CQ$48=0,NA(),CQ$48)</f>
        <v>#REF!</v>
      </c>
      <c r="EE62" s="1" t="e">
        <f>IF(CQ$49=0,NA(),CQ$49)</f>
        <v>#REF!</v>
      </c>
      <c r="EF62" s="1" t="e">
        <f>IF(CQ$50=0,NA(),CQ$50)</f>
        <v>#REF!</v>
      </c>
      <c r="EG62" s="1" t="e">
        <f>IF(CQ$51=0,NA(),CQ$51)</f>
        <v>#REF!</v>
      </c>
      <c r="EH62" s="1" t="e">
        <f>IF(CQ$52=0,NA(),CQ$52)</f>
        <v>#REF!</v>
      </c>
      <c r="EI62" s="1" t="e">
        <f>IF(CQ$53=0,NA(),CQ$53)</f>
        <v>#REF!</v>
      </c>
      <c r="EJ62" s="1" t="e">
        <f>IF(CQ$54=0,NA(),CQ$54)</f>
        <v>#REF!</v>
      </c>
      <c r="EK62" s="1" t="e">
        <f>IF(CQ$55=0,NA(),CQ$55)</f>
        <v>#REF!</v>
      </c>
      <c r="EL62" s="1" t="e">
        <f>IF(CQ$56=0,NA(),CQ$56)</f>
        <v>#REF!</v>
      </c>
      <c r="EM62" s="1" t="e">
        <f>IF(CQ$57=0,NA(),CQ$57)</f>
        <v>#REF!</v>
      </c>
    </row>
    <row r="63" spans="36:143" x14ac:dyDescent="0.3">
      <c r="DK63" s="1">
        <f t="shared" si="11"/>
        <v>2085</v>
      </c>
      <c r="DL63" s="1">
        <f t="shared" ca="1" si="12"/>
        <v>105</v>
      </c>
      <c r="DM63" s="1">
        <f t="shared" ca="1" si="13"/>
        <v>110</v>
      </c>
      <c r="DN63" s="1" t="e">
        <f>IF(CR$32=0,NA(),CR$32)</f>
        <v>#REF!</v>
      </c>
      <c r="DO63" s="1" t="e">
        <f>IF(CR$33=0,NA(),CR$33)</f>
        <v>#REF!</v>
      </c>
      <c r="DP63" s="1" t="e">
        <f>IF(CR$34=0,NA(),CR$34)</f>
        <v>#REF!</v>
      </c>
      <c r="DQ63" s="1" t="e">
        <f>IF(CR$35=0,NA(),CR$35)</f>
        <v>#REF!</v>
      </c>
      <c r="DR63" s="1" t="e">
        <f>IF(CR$36=0,NA(),CR$36)</f>
        <v>#REF!</v>
      </c>
      <c r="DS63" s="1" t="e">
        <f>IF(CR$37=0,NA(),CR$37)</f>
        <v>#REF!</v>
      </c>
      <c r="DT63" s="1" t="e">
        <f>IF(CR$38=0,NA(),CR$38)</f>
        <v>#REF!</v>
      </c>
      <c r="DU63" s="1" t="e">
        <f>IF(CR$39=0,NA(),CR$39)</f>
        <v>#REF!</v>
      </c>
      <c r="DV63" s="1" t="e">
        <f>IF(CR$40=0,NA(),CR$40)</f>
        <v>#REF!</v>
      </c>
      <c r="DW63" s="1" t="e">
        <f>IF(CR$41=0,NA(),CR$41)</f>
        <v>#REF!</v>
      </c>
      <c r="DX63" s="1" t="e">
        <f>IF(CR$42=0,NA(),CR$42)</f>
        <v>#REF!</v>
      </c>
      <c r="DY63" s="1" t="e">
        <f>IF(CR$43=0,NA(),CR$43)</f>
        <v>#REF!</v>
      </c>
      <c r="DZ63" s="1" t="e">
        <f>IF(CR$44=0,NA(),CR$44)</f>
        <v>#REF!</v>
      </c>
      <c r="EA63" s="1" t="e">
        <f>IF(CR$45=0,NA(),CR$45)</f>
        <v>#REF!</v>
      </c>
      <c r="EB63" s="1" t="e">
        <f>IF(CR$46=0,NA(),CR$46)</f>
        <v>#REF!</v>
      </c>
      <c r="EC63" s="1" t="e">
        <f>IF(CR$47=0,NA(),CR$47)</f>
        <v>#REF!</v>
      </c>
      <c r="ED63" s="1" t="e">
        <f>IF(CR$48=0,NA(),CR$48)</f>
        <v>#REF!</v>
      </c>
      <c r="EE63" s="1" t="e">
        <f>IF(CR$49=0,NA(),CR$49)</f>
        <v>#REF!</v>
      </c>
      <c r="EF63" s="1" t="e">
        <f>IF(CR$50=0,NA(),CR$50)</f>
        <v>#REF!</v>
      </c>
      <c r="EG63" s="1" t="e">
        <f>IF(CR$51=0,NA(),CR$51)</f>
        <v>#REF!</v>
      </c>
      <c r="EH63" s="1" t="e">
        <f>IF(CR$52=0,NA(),CR$52)</f>
        <v>#REF!</v>
      </c>
      <c r="EI63" s="1" t="e">
        <f>IF(CR$53=0,NA(),CR$53)</f>
        <v>#REF!</v>
      </c>
      <c r="EJ63" s="1" t="e">
        <f>IF(CR$54=0,NA(),CR$54)</f>
        <v>#REF!</v>
      </c>
      <c r="EK63" s="1" t="e">
        <f>IF(CR$55=0,NA(),CR$55)</f>
        <v>#REF!</v>
      </c>
      <c r="EL63" s="1" t="e">
        <f>IF(CR$56=0,NA(),CR$56)</f>
        <v>#REF!</v>
      </c>
      <c r="EM63" s="1" t="e">
        <f>IF(CR$57=0,NA(),CR$57)</f>
        <v>#REF!</v>
      </c>
    </row>
    <row r="64" spans="36:143" x14ac:dyDescent="0.3">
      <c r="DK64" s="1">
        <f t="shared" si="11"/>
        <v>2086</v>
      </c>
      <c r="DL64" s="1">
        <f t="shared" ca="1" si="12"/>
        <v>106</v>
      </c>
      <c r="DM64" s="1">
        <f t="shared" ca="1" si="13"/>
        <v>111</v>
      </c>
      <c r="DN64" s="1" t="e">
        <f>IF(CS$32=0,NA(),CS$32)</f>
        <v>#REF!</v>
      </c>
      <c r="DO64" s="1" t="e">
        <f>IF(CS$33=0,NA(),CS$33)</f>
        <v>#REF!</v>
      </c>
      <c r="DP64" s="1" t="e">
        <f>IF(CS$34=0,NA(),CS$34)</f>
        <v>#REF!</v>
      </c>
      <c r="DQ64" s="1" t="e">
        <f>IF(CS$35=0,NA(),CS$35)</f>
        <v>#REF!</v>
      </c>
      <c r="DR64" s="1" t="e">
        <f>IF(CS$36=0,NA(),CS$36)</f>
        <v>#REF!</v>
      </c>
      <c r="DS64" s="1" t="e">
        <f>IF(CS$37=0,NA(),CS$37)</f>
        <v>#REF!</v>
      </c>
      <c r="DT64" s="1" t="e">
        <f>IF(CS$38=0,NA(),CS$38)</f>
        <v>#REF!</v>
      </c>
      <c r="DU64" s="1" t="e">
        <f>IF(CS$39=0,NA(),CS$39)</f>
        <v>#REF!</v>
      </c>
      <c r="DV64" s="1" t="e">
        <f>IF(CS$40=0,NA(),CS$40)</f>
        <v>#REF!</v>
      </c>
      <c r="DW64" s="1" t="e">
        <f>IF(CS$41=0,NA(),CS$41)</f>
        <v>#REF!</v>
      </c>
      <c r="DX64" s="1" t="e">
        <f>IF(CS$42=0,NA(),CS$42)</f>
        <v>#REF!</v>
      </c>
      <c r="DY64" s="1" t="e">
        <f>IF(CS$43=0,NA(),CS$43)</f>
        <v>#REF!</v>
      </c>
      <c r="DZ64" s="1" t="e">
        <f>IF(CS$44=0,NA(),CS$44)</f>
        <v>#REF!</v>
      </c>
      <c r="EA64" s="1" t="e">
        <f>IF(CS$45=0,NA(),CS$45)</f>
        <v>#REF!</v>
      </c>
      <c r="EB64" s="1" t="e">
        <f>IF(CS$46=0,NA(),CS$46)</f>
        <v>#REF!</v>
      </c>
      <c r="EC64" s="1" t="e">
        <f>IF(CS$47=0,NA(),CS$47)</f>
        <v>#REF!</v>
      </c>
      <c r="ED64" s="1" t="e">
        <f>IF(CS$48=0,NA(),CS$48)</f>
        <v>#REF!</v>
      </c>
      <c r="EE64" s="1" t="e">
        <f>IF(CS$49=0,NA(),CS$49)</f>
        <v>#REF!</v>
      </c>
      <c r="EF64" s="1" t="e">
        <f>IF(CS$50=0,NA(),CS$50)</f>
        <v>#REF!</v>
      </c>
      <c r="EG64" s="1" t="e">
        <f>IF(CS$51=0,NA(),CS$51)</f>
        <v>#REF!</v>
      </c>
      <c r="EH64" s="1" t="e">
        <f>IF(CS$52=0,NA(),CS$52)</f>
        <v>#REF!</v>
      </c>
      <c r="EI64" s="1" t="e">
        <f>IF(CS$53=0,NA(),CS$53)</f>
        <v>#REF!</v>
      </c>
      <c r="EJ64" s="1" t="e">
        <f>IF(CS$54=0,NA(),CS$54)</f>
        <v>#REF!</v>
      </c>
      <c r="EK64" s="1" t="e">
        <f>IF(CS$55=0,NA(),CS$55)</f>
        <v>#REF!</v>
      </c>
      <c r="EL64" s="1" t="e">
        <f>IF(CS$56=0,NA(),CS$56)</f>
        <v>#REF!</v>
      </c>
      <c r="EM64" s="1" t="e">
        <f>IF(CS$57=0,NA(),CS$57)</f>
        <v>#REF!</v>
      </c>
    </row>
    <row r="65" spans="115:143" x14ac:dyDescent="0.3">
      <c r="DK65" s="1">
        <f t="shared" si="11"/>
        <v>2087</v>
      </c>
      <c r="DL65" s="1">
        <f t="shared" ca="1" si="12"/>
        <v>107</v>
      </c>
      <c r="DM65" s="1">
        <f t="shared" ca="1" si="13"/>
        <v>112</v>
      </c>
      <c r="DN65" s="1" t="e">
        <f>IF(CT$32=0,NA(),CT$32)</f>
        <v>#REF!</v>
      </c>
      <c r="DO65" s="1" t="e">
        <f>IF(CT$33=0,NA(),CT$33)</f>
        <v>#REF!</v>
      </c>
      <c r="DP65" s="1" t="e">
        <f>IF(CT$34=0,NA(),CT$34)</f>
        <v>#REF!</v>
      </c>
      <c r="DQ65" s="1" t="e">
        <f>IF(CT$35=0,NA(),CT$35)</f>
        <v>#REF!</v>
      </c>
      <c r="DR65" s="1" t="e">
        <f>IF(CT$36=0,NA(),CT$36)</f>
        <v>#REF!</v>
      </c>
      <c r="DS65" s="1" t="e">
        <f>IF(CT$37=0,NA(),CT$37)</f>
        <v>#REF!</v>
      </c>
      <c r="DT65" s="1" t="e">
        <f>IF(CT$38=0,NA(),CT$38)</f>
        <v>#REF!</v>
      </c>
      <c r="DU65" s="1" t="e">
        <f>IF(CT$39=0,NA(),CT$39)</f>
        <v>#REF!</v>
      </c>
      <c r="DV65" s="1" t="e">
        <f>IF(CT$40=0,NA(),CT$40)</f>
        <v>#REF!</v>
      </c>
      <c r="DW65" s="1" t="e">
        <f>IF(CT$41=0,NA(),CT$41)</f>
        <v>#REF!</v>
      </c>
      <c r="DX65" s="1" t="e">
        <f>IF(CT$42=0,NA(),CT$42)</f>
        <v>#REF!</v>
      </c>
      <c r="DY65" s="1" t="e">
        <f>IF(CT$43=0,NA(),CT$43)</f>
        <v>#REF!</v>
      </c>
      <c r="DZ65" s="1" t="e">
        <f>IF(CT$44=0,NA(),CT$44)</f>
        <v>#REF!</v>
      </c>
      <c r="EA65" s="1" t="e">
        <f>IF(CT$45=0,NA(),CT$45)</f>
        <v>#REF!</v>
      </c>
      <c r="EB65" s="1" t="e">
        <f>IF(CT$46=0,NA(),CT$46)</f>
        <v>#REF!</v>
      </c>
      <c r="EC65" s="1" t="e">
        <f>IF(CT$47=0,NA(),CT$47)</f>
        <v>#REF!</v>
      </c>
      <c r="ED65" s="1" t="e">
        <f>IF(CT$48=0,NA(),CT$48)</f>
        <v>#REF!</v>
      </c>
      <c r="EE65" s="1" t="e">
        <f>IF(CT$49=0,NA(),CT$49)</f>
        <v>#REF!</v>
      </c>
      <c r="EF65" s="1" t="e">
        <f>IF(CT$50=0,NA(),CT$50)</f>
        <v>#REF!</v>
      </c>
      <c r="EG65" s="1" t="e">
        <f>IF(CT$51=0,NA(),CT$51)</f>
        <v>#REF!</v>
      </c>
      <c r="EH65" s="1" t="e">
        <f>IF(CT$52=0,NA(),CT$52)</f>
        <v>#REF!</v>
      </c>
      <c r="EI65" s="1" t="e">
        <f>IF(CT$53=0,NA(),CT$53)</f>
        <v>#REF!</v>
      </c>
      <c r="EJ65" s="1" t="e">
        <f>IF(CT$54=0,NA(),CT$54)</f>
        <v>#REF!</v>
      </c>
      <c r="EK65" s="1" t="e">
        <f>IF(CT$55=0,NA(),CT$55)</f>
        <v>#REF!</v>
      </c>
      <c r="EL65" s="1" t="e">
        <f>IF(CT$56=0,NA(),CT$56)</f>
        <v>#REF!</v>
      </c>
      <c r="EM65" s="1" t="e">
        <f>IF(CT$57=0,NA(),CT$57)</f>
        <v>#REF!</v>
      </c>
    </row>
    <row r="66" spans="115:143" x14ac:dyDescent="0.3">
      <c r="DK66" s="1">
        <f t="shared" si="11"/>
        <v>2088</v>
      </c>
      <c r="DL66" s="1">
        <f t="shared" ca="1" si="12"/>
        <v>108</v>
      </c>
      <c r="DM66" s="1">
        <f t="shared" ca="1" si="13"/>
        <v>113</v>
      </c>
      <c r="DN66" s="1" t="e">
        <f>IF(CU$32=0,NA(),CU$32)</f>
        <v>#REF!</v>
      </c>
      <c r="DO66" s="1" t="e">
        <f>IF(CU$33=0,NA(),CU$33)</f>
        <v>#REF!</v>
      </c>
      <c r="DP66" s="1" t="e">
        <f>IF(CU$34=0,NA(),CU$34)</f>
        <v>#REF!</v>
      </c>
      <c r="DQ66" s="1" t="e">
        <f>IF(CU$35=0,NA(),CU$35)</f>
        <v>#REF!</v>
      </c>
      <c r="DR66" s="1" t="e">
        <f>IF(CU$36=0,NA(),CU$36)</f>
        <v>#REF!</v>
      </c>
      <c r="DS66" s="1" t="e">
        <f>IF(CU$37=0,NA(),CU$37)</f>
        <v>#REF!</v>
      </c>
      <c r="DT66" s="1" t="e">
        <f>IF(CU$38=0,NA(),CU$38)</f>
        <v>#REF!</v>
      </c>
      <c r="DU66" s="1" t="e">
        <f>IF(CU$39=0,NA(),CU$39)</f>
        <v>#REF!</v>
      </c>
      <c r="DV66" s="1" t="e">
        <f>IF(CU$40=0,NA(),CU$40)</f>
        <v>#REF!</v>
      </c>
      <c r="DW66" s="1" t="e">
        <f>IF(CU$41=0,NA(),CU$41)</f>
        <v>#REF!</v>
      </c>
      <c r="DX66" s="1" t="e">
        <f>IF(CU$42=0,NA(),CU$42)</f>
        <v>#REF!</v>
      </c>
      <c r="DY66" s="1" t="e">
        <f>IF(CU$43=0,NA(),CU$43)</f>
        <v>#REF!</v>
      </c>
      <c r="DZ66" s="1" t="e">
        <f>IF(CU$44=0,NA(),CU$44)</f>
        <v>#REF!</v>
      </c>
      <c r="EA66" s="1" t="e">
        <f>IF(CU$45=0,NA(),CU$45)</f>
        <v>#REF!</v>
      </c>
      <c r="EB66" s="1" t="e">
        <f>IF(CU$46=0,NA(),CU$46)</f>
        <v>#REF!</v>
      </c>
      <c r="EC66" s="1" t="e">
        <f>IF(CU$47=0,NA(),CU$47)</f>
        <v>#REF!</v>
      </c>
      <c r="ED66" s="1" t="e">
        <f>IF(CU$48=0,NA(),CU$48)</f>
        <v>#REF!</v>
      </c>
      <c r="EE66" s="1" t="e">
        <f>IF(CU$49=0,NA(),CU$49)</f>
        <v>#REF!</v>
      </c>
      <c r="EF66" s="1" t="e">
        <f>IF(CU$50=0,NA(),CU$50)</f>
        <v>#REF!</v>
      </c>
      <c r="EG66" s="1" t="e">
        <f>IF(CU$51=0,NA(),CU$51)</f>
        <v>#REF!</v>
      </c>
      <c r="EH66" s="1" t="e">
        <f>IF(CU$52=0,NA(),CU$52)</f>
        <v>#REF!</v>
      </c>
      <c r="EI66" s="1" t="e">
        <f>IF(CU$53=0,NA(),CU$53)</f>
        <v>#REF!</v>
      </c>
      <c r="EJ66" s="1" t="e">
        <f>IF(CU$54=0,NA(),CU$54)</f>
        <v>#REF!</v>
      </c>
      <c r="EK66" s="1" t="e">
        <f>IF(CU$55=0,NA(),CU$55)</f>
        <v>#REF!</v>
      </c>
      <c r="EL66" s="1" t="e">
        <f>IF(CU$56=0,NA(),CU$56)</f>
        <v>#REF!</v>
      </c>
      <c r="EM66" s="1" t="e">
        <f>IF(CU$57=0,NA(),CU$57)</f>
        <v>#REF!</v>
      </c>
    </row>
    <row r="67" spans="115:143" x14ac:dyDescent="0.3">
      <c r="DK67" s="1">
        <f t="shared" si="11"/>
        <v>2089</v>
      </c>
      <c r="DL67" s="1">
        <f t="shared" ca="1" si="12"/>
        <v>109</v>
      </c>
      <c r="DM67" s="1">
        <f t="shared" ca="1" si="13"/>
        <v>114</v>
      </c>
      <c r="DN67" s="1" t="e">
        <f>IF(CV$32=0,NA(),CV$32)</f>
        <v>#REF!</v>
      </c>
      <c r="DO67" s="1" t="e">
        <f>IF(CV$33=0,NA(),CV$33)</f>
        <v>#REF!</v>
      </c>
      <c r="DP67" s="1" t="e">
        <f>IF(CV$34=0,NA(),CV$34)</f>
        <v>#REF!</v>
      </c>
      <c r="DQ67" s="1" t="e">
        <f>IF(CV$35=0,NA(),CV$35)</f>
        <v>#REF!</v>
      </c>
      <c r="DR67" s="1" t="e">
        <f>IF(CV$36=0,NA(),CV$36)</f>
        <v>#REF!</v>
      </c>
      <c r="DS67" s="1" t="e">
        <f>IF(CV$37=0,NA(),CV$37)</f>
        <v>#REF!</v>
      </c>
      <c r="DT67" s="1" t="e">
        <f>IF(CV$38=0,NA(),CV$38)</f>
        <v>#REF!</v>
      </c>
      <c r="DU67" s="1" t="e">
        <f>IF(CV$39=0,NA(),CV$39)</f>
        <v>#REF!</v>
      </c>
      <c r="DV67" s="1" t="e">
        <f>IF(CV$40=0,NA(),CV$40)</f>
        <v>#REF!</v>
      </c>
      <c r="DW67" s="1" t="e">
        <f>IF(CV$41=0,NA(),CV$41)</f>
        <v>#REF!</v>
      </c>
      <c r="DX67" s="1" t="e">
        <f>IF(CV$42=0,NA(),CV$42)</f>
        <v>#REF!</v>
      </c>
      <c r="DY67" s="1" t="e">
        <f>IF(CV$43=0,NA(),CV$43)</f>
        <v>#REF!</v>
      </c>
      <c r="DZ67" s="1" t="e">
        <f>IF(CV$44=0,NA(),CV$44)</f>
        <v>#REF!</v>
      </c>
      <c r="EA67" s="1" t="e">
        <f>IF(CV$45=0,NA(),CV$45)</f>
        <v>#REF!</v>
      </c>
      <c r="EB67" s="1" t="e">
        <f>IF(CV$46=0,NA(),CV$46)</f>
        <v>#REF!</v>
      </c>
      <c r="EC67" s="1" t="e">
        <f>IF(CV$47=0,NA(),CV$47)</f>
        <v>#REF!</v>
      </c>
      <c r="ED67" s="1" t="e">
        <f>IF(CV$48=0,NA(),CV$48)</f>
        <v>#REF!</v>
      </c>
      <c r="EE67" s="1" t="e">
        <f>IF(CV$49=0,NA(),CV$49)</f>
        <v>#REF!</v>
      </c>
      <c r="EF67" s="1" t="e">
        <f>IF(CV$50=0,NA(),CV$50)</f>
        <v>#REF!</v>
      </c>
      <c r="EG67" s="1" t="e">
        <f>IF(CV$51=0,NA(),CV$51)</f>
        <v>#REF!</v>
      </c>
      <c r="EH67" s="1" t="e">
        <f>IF(CV$52=0,NA(),CV$52)</f>
        <v>#REF!</v>
      </c>
      <c r="EI67" s="1" t="e">
        <f>IF(CV$53=0,NA(),CV$53)</f>
        <v>#REF!</v>
      </c>
      <c r="EJ67" s="1" t="e">
        <f>IF(CV$54=0,NA(),CV$54)</f>
        <v>#REF!</v>
      </c>
      <c r="EK67" s="1" t="e">
        <f>IF(CV$55=0,NA(),CV$55)</f>
        <v>#REF!</v>
      </c>
      <c r="EL67" s="1" t="e">
        <f>IF(CV$56=0,NA(),CV$56)</f>
        <v>#REF!</v>
      </c>
      <c r="EM67" s="1" t="e">
        <f>IF(CV$57=0,NA(),CV$57)</f>
        <v>#REF!</v>
      </c>
    </row>
    <row r="68" spans="115:143" x14ac:dyDescent="0.3">
      <c r="DK68" s="1">
        <f t="shared" si="11"/>
        <v>2090</v>
      </c>
      <c r="DL68" s="1">
        <f t="shared" ca="1" si="12"/>
        <v>110</v>
      </c>
      <c r="DM68" s="1">
        <f t="shared" ca="1" si="13"/>
        <v>115</v>
      </c>
      <c r="DN68" s="1" t="e">
        <f>IF(CW$32=0,NA(),CW$32)</f>
        <v>#REF!</v>
      </c>
      <c r="DO68" s="1" t="e">
        <f>IF(CW$33=0,NA(),CW$33)</f>
        <v>#REF!</v>
      </c>
      <c r="DP68" s="1" t="e">
        <f>IF(CW$34=0,NA(),CW$34)</f>
        <v>#REF!</v>
      </c>
      <c r="DQ68" s="1" t="e">
        <f>IF(CW$35=0,NA(),CW$35)</f>
        <v>#REF!</v>
      </c>
      <c r="DR68" s="1" t="e">
        <f>IF(CW$36=0,NA(),CW$36)</f>
        <v>#REF!</v>
      </c>
      <c r="DS68" s="1" t="e">
        <f>IF(CW$37=0,NA(),CW$37)</f>
        <v>#REF!</v>
      </c>
      <c r="DT68" s="1" t="e">
        <f>IF(CW$38=0,NA(),CW$38)</f>
        <v>#REF!</v>
      </c>
      <c r="DU68" s="1" t="e">
        <f>IF(CW$39=0,NA(),CW$39)</f>
        <v>#REF!</v>
      </c>
      <c r="DV68" s="1" t="e">
        <f>IF(CW$40=0,NA(),CW$40)</f>
        <v>#REF!</v>
      </c>
      <c r="DW68" s="1" t="e">
        <f>IF(CW$41=0,NA(),CW$41)</f>
        <v>#REF!</v>
      </c>
      <c r="DX68" s="1" t="e">
        <f>IF(CW$42=0,NA(),CW$42)</f>
        <v>#REF!</v>
      </c>
      <c r="DY68" s="1" t="e">
        <f>IF(CW$43=0,NA(),CW$43)</f>
        <v>#REF!</v>
      </c>
      <c r="DZ68" s="1" t="e">
        <f>IF(CW$44=0,NA(),CW$44)</f>
        <v>#REF!</v>
      </c>
      <c r="EA68" s="1" t="e">
        <f>IF(CW$45=0,NA(),CW$45)</f>
        <v>#REF!</v>
      </c>
      <c r="EB68" s="1" t="e">
        <f>IF(CW$46=0,NA(),CW$46)</f>
        <v>#REF!</v>
      </c>
      <c r="EC68" s="1" t="e">
        <f>IF(CW$47=0,NA(),CW$47)</f>
        <v>#REF!</v>
      </c>
      <c r="ED68" s="1" t="e">
        <f>IF(CW$48=0,NA(),CW$48)</f>
        <v>#REF!</v>
      </c>
      <c r="EE68" s="1" t="e">
        <f>IF(CW$49=0,NA(),CW$49)</f>
        <v>#REF!</v>
      </c>
      <c r="EF68" s="1" t="e">
        <f>IF(CW$50=0,NA(),CW$50)</f>
        <v>#REF!</v>
      </c>
      <c r="EG68" s="1" t="e">
        <f>IF(CW$51=0,NA(),CW$51)</f>
        <v>#REF!</v>
      </c>
      <c r="EH68" s="1" t="e">
        <f>IF(CW$52=0,NA(),CW$52)</f>
        <v>#REF!</v>
      </c>
      <c r="EI68" s="1" t="e">
        <f>IF(CW$53=0,NA(),CW$53)</f>
        <v>#REF!</v>
      </c>
      <c r="EJ68" s="1" t="e">
        <f>IF(CW$54=0,NA(),CW$54)</f>
        <v>#REF!</v>
      </c>
      <c r="EK68" s="1" t="e">
        <f>IF(CW$55=0,NA(),CW$55)</f>
        <v>#REF!</v>
      </c>
      <c r="EL68" s="1" t="e">
        <f>IF(CW$56=0,NA(),CW$56)</f>
        <v>#REF!</v>
      </c>
      <c r="EM68" s="1" t="e">
        <f>IF(CW$57=0,NA(),CW$57)</f>
        <v>#REF!</v>
      </c>
    </row>
    <row r="69" spans="115:143" x14ac:dyDescent="0.3">
      <c r="DK69" s="1">
        <f t="shared" ref="DK69:DK78" si="48">DK68+1</f>
        <v>2091</v>
      </c>
      <c r="DL69" s="1">
        <f t="shared" ref="DL69:DL78" ca="1" si="49">DL68+1</f>
        <v>111</v>
      </c>
      <c r="DM69" s="1">
        <f t="shared" ref="DM69:DM78" ca="1" si="50">DM68+1</f>
        <v>116</v>
      </c>
      <c r="DN69" s="1" t="e">
        <f>IF(CX$32=0,NA(),CX$32)</f>
        <v>#REF!</v>
      </c>
      <c r="DO69" s="1" t="e">
        <f>IF(CX$33=0,NA(),CX$33)</f>
        <v>#REF!</v>
      </c>
      <c r="DP69" s="1" t="e">
        <f>IF(CX$34=0,NA(),CX$34)</f>
        <v>#REF!</v>
      </c>
      <c r="DQ69" s="1" t="e">
        <f>IF(CX$35=0,NA(),CX$35)</f>
        <v>#REF!</v>
      </c>
      <c r="DR69" s="1" t="e">
        <f>IF(CX$36=0,NA(),CX$36)</f>
        <v>#REF!</v>
      </c>
      <c r="DS69" s="1" t="e">
        <f>IF(CX$37=0,NA(),CX$37)</f>
        <v>#REF!</v>
      </c>
      <c r="DT69" s="1" t="e">
        <f>IF(CX$38=0,NA(),CX$38)</f>
        <v>#REF!</v>
      </c>
      <c r="DU69" s="1" t="e">
        <f>IF(CX$39=0,NA(),CX$39)</f>
        <v>#REF!</v>
      </c>
      <c r="DV69" s="1" t="e">
        <f>IF(CX$40=0,NA(),CX$40)</f>
        <v>#REF!</v>
      </c>
      <c r="DW69" s="1" t="e">
        <f>IF(CX$41=0,NA(),CX$41)</f>
        <v>#REF!</v>
      </c>
      <c r="DX69" s="1" t="e">
        <f>IF(CX$42=0,NA(),CX$42)</f>
        <v>#REF!</v>
      </c>
      <c r="DY69" s="1" t="e">
        <f>IF(CX$43=0,NA(),CX$43)</f>
        <v>#REF!</v>
      </c>
      <c r="DZ69" s="1" t="e">
        <f>IF(CX$44=0,NA(),CX$44)</f>
        <v>#REF!</v>
      </c>
      <c r="EA69" s="1" t="e">
        <f>IF(CX$45=0,NA(),CX$45)</f>
        <v>#REF!</v>
      </c>
      <c r="EB69" s="1" t="e">
        <f>IF(CX$46=0,NA(),CX$46)</f>
        <v>#REF!</v>
      </c>
      <c r="EC69" s="1" t="e">
        <f>IF(CX$47=0,NA(),CX$47)</f>
        <v>#REF!</v>
      </c>
      <c r="ED69" s="1" t="e">
        <f>IF(CX$48=0,NA(),CX$48)</f>
        <v>#REF!</v>
      </c>
      <c r="EE69" s="1" t="e">
        <f>IF(CX$49=0,NA(),CX$49)</f>
        <v>#REF!</v>
      </c>
      <c r="EF69" s="1" t="e">
        <f>IF(CX$50=0,NA(),CX$50)</f>
        <v>#REF!</v>
      </c>
      <c r="EG69" s="1" t="e">
        <f>IF(CX$51=0,NA(),CX$51)</f>
        <v>#REF!</v>
      </c>
      <c r="EH69" s="1" t="e">
        <f>IF(CX$52=0,NA(),CX$52)</f>
        <v>#REF!</v>
      </c>
      <c r="EI69" s="1" t="e">
        <f>IF(CX$53=0,NA(),CX$53)</f>
        <v>#REF!</v>
      </c>
      <c r="EJ69" s="1" t="e">
        <f>IF(CX$54=0,NA(),CX$54)</f>
        <v>#REF!</v>
      </c>
      <c r="EK69" s="1" t="e">
        <f>IF(CX$55=0,NA(),CX$55)</f>
        <v>#REF!</v>
      </c>
      <c r="EL69" s="1" t="e">
        <f>IF(CX$56=0,NA(),CX$56)</f>
        <v>#REF!</v>
      </c>
      <c r="EM69" s="1" t="e">
        <f>IF(CX$57=0,NA(),CX$57)</f>
        <v>#REF!</v>
      </c>
    </row>
    <row r="70" spans="115:143" x14ac:dyDescent="0.3">
      <c r="DK70" s="1">
        <f t="shared" si="48"/>
        <v>2092</v>
      </c>
      <c r="DL70" s="1">
        <f t="shared" ca="1" si="49"/>
        <v>112</v>
      </c>
      <c r="DM70" s="1">
        <f t="shared" ca="1" si="50"/>
        <v>117</v>
      </c>
      <c r="DN70" s="1" t="e">
        <f>IF(CY$32=0,NA(),CY$32)</f>
        <v>#REF!</v>
      </c>
      <c r="DO70" s="1" t="e">
        <f>IF(CY$33=0,NA(),CY$33)</f>
        <v>#REF!</v>
      </c>
      <c r="DP70" s="1" t="e">
        <f>IF(CY$34=0,NA(),CY$34)</f>
        <v>#REF!</v>
      </c>
      <c r="DQ70" s="1" t="e">
        <f>IF(CY$35=0,NA(),CY$35)</f>
        <v>#REF!</v>
      </c>
      <c r="DR70" s="1" t="e">
        <f>IF(CY$36=0,NA(),CY$36)</f>
        <v>#REF!</v>
      </c>
      <c r="DS70" s="1" t="e">
        <f>IF(CY$37=0,NA(),CY$37)</f>
        <v>#REF!</v>
      </c>
      <c r="DT70" s="1" t="e">
        <f>IF(CY$38=0,NA(),CY$38)</f>
        <v>#REF!</v>
      </c>
      <c r="DU70" s="1" t="e">
        <f>IF(CY$39=0,NA(),CY$39)</f>
        <v>#REF!</v>
      </c>
      <c r="DV70" s="1" t="e">
        <f>IF(CY$40=0,NA(),CY$40)</f>
        <v>#REF!</v>
      </c>
      <c r="DW70" s="1" t="e">
        <f>IF(CY$41=0,NA(),CY$41)</f>
        <v>#REF!</v>
      </c>
      <c r="DX70" s="1" t="e">
        <f>IF(CY$42=0,NA(),CY$42)</f>
        <v>#REF!</v>
      </c>
      <c r="DY70" s="1" t="e">
        <f>IF(CY$43=0,NA(),CY$43)</f>
        <v>#REF!</v>
      </c>
      <c r="DZ70" s="1" t="e">
        <f>IF(CY$44=0,NA(),CY$44)</f>
        <v>#REF!</v>
      </c>
      <c r="EA70" s="1" t="e">
        <f>IF(CY$45=0,NA(),CY$45)</f>
        <v>#REF!</v>
      </c>
      <c r="EB70" s="1" t="e">
        <f>IF(CY$46=0,NA(),CY$46)</f>
        <v>#REF!</v>
      </c>
      <c r="EC70" s="1" t="e">
        <f>IF(CY$47=0,NA(),CY$47)</f>
        <v>#REF!</v>
      </c>
      <c r="ED70" s="1" t="e">
        <f>IF(CY$48=0,NA(),CY$48)</f>
        <v>#REF!</v>
      </c>
      <c r="EE70" s="1" t="e">
        <f>IF(CY$49=0,NA(),CY$49)</f>
        <v>#REF!</v>
      </c>
      <c r="EF70" s="1" t="e">
        <f>IF(CY$50=0,NA(),CY$50)</f>
        <v>#REF!</v>
      </c>
      <c r="EG70" s="1" t="e">
        <f>IF(CY$51=0,NA(),CY$51)</f>
        <v>#REF!</v>
      </c>
      <c r="EH70" s="1" t="e">
        <f>IF(CY$52=0,NA(),CY$52)</f>
        <v>#REF!</v>
      </c>
      <c r="EI70" s="1" t="e">
        <f>IF(CY$53=0,NA(),CY$53)</f>
        <v>#REF!</v>
      </c>
      <c r="EJ70" s="1" t="e">
        <f>IF(CY$54=0,NA(),CY$54)</f>
        <v>#REF!</v>
      </c>
      <c r="EK70" s="1" t="e">
        <f>IF(CY$55=0,NA(),CY$55)</f>
        <v>#REF!</v>
      </c>
      <c r="EL70" s="1" t="e">
        <f>IF(CY$56=0,NA(),CY$56)</f>
        <v>#REF!</v>
      </c>
      <c r="EM70" s="1" t="e">
        <f>IF(CY$57=0,NA(),CY$57)</f>
        <v>#REF!</v>
      </c>
    </row>
    <row r="71" spans="115:143" x14ac:dyDescent="0.3">
      <c r="DK71" s="1">
        <f t="shared" si="48"/>
        <v>2093</v>
      </c>
      <c r="DL71" s="1">
        <f t="shared" ca="1" si="49"/>
        <v>113</v>
      </c>
      <c r="DM71" s="1">
        <f t="shared" ca="1" si="50"/>
        <v>118</v>
      </c>
      <c r="DN71" s="1" t="e">
        <f>IF(CZ$32=0,NA(),CZ$32)</f>
        <v>#REF!</v>
      </c>
      <c r="DO71" s="1" t="e">
        <f>IF(CZ$33=0,NA(),CZ$33)</f>
        <v>#REF!</v>
      </c>
      <c r="DP71" s="1" t="e">
        <f>IF(CZ$34=0,NA(),CZ$34)</f>
        <v>#REF!</v>
      </c>
      <c r="DQ71" s="1" t="e">
        <f>IF(CZ$35=0,NA(),CZ$35)</f>
        <v>#REF!</v>
      </c>
      <c r="DR71" s="1" t="e">
        <f>IF(CZ$36=0,NA(),CZ$36)</f>
        <v>#REF!</v>
      </c>
      <c r="DS71" s="1" t="e">
        <f>IF(CZ$37=0,NA(),CZ$37)</f>
        <v>#REF!</v>
      </c>
      <c r="DT71" s="1" t="e">
        <f>IF(CZ$38=0,NA(),CZ$38)</f>
        <v>#REF!</v>
      </c>
      <c r="DU71" s="1" t="e">
        <f>IF(CZ$39=0,NA(),CZ$39)</f>
        <v>#REF!</v>
      </c>
      <c r="DV71" s="1" t="e">
        <f>IF(CZ$40=0,NA(),CZ$40)</f>
        <v>#REF!</v>
      </c>
      <c r="DW71" s="1" t="e">
        <f>IF(CZ$41=0,NA(),CZ$41)</f>
        <v>#REF!</v>
      </c>
      <c r="DX71" s="1" t="e">
        <f>IF(CZ$42=0,NA(),CZ$42)</f>
        <v>#REF!</v>
      </c>
      <c r="DY71" s="1" t="e">
        <f>IF(CZ$43=0,NA(),CZ$43)</f>
        <v>#REF!</v>
      </c>
      <c r="DZ71" s="1" t="e">
        <f>IF(CZ$44=0,NA(),CZ$44)</f>
        <v>#REF!</v>
      </c>
      <c r="EA71" s="1" t="e">
        <f>IF(CZ$45=0,NA(),CZ$45)</f>
        <v>#REF!</v>
      </c>
      <c r="EB71" s="1" t="e">
        <f>IF(CZ$46=0,NA(),CZ$46)</f>
        <v>#REF!</v>
      </c>
      <c r="EC71" s="1" t="e">
        <f>IF(CZ$47=0,NA(),CZ$47)</f>
        <v>#REF!</v>
      </c>
      <c r="ED71" s="1" t="e">
        <f>IF(CZ$48=0,NA(),CZ$48)</f>
        <v>#REF!</v>
      </c>
      <c r="EE71" s="1" t="e">
        <f>IF(CZ$49=0,NA(),CZ$49)</f>
        <v>#REF!</v>
      </c>
      <c r="EF71" s="1" t="e">
        <f>IF(CZ$50=0,NA(),CZ$50)</f>
        <v>#REF!</v>
      </c>
      <c r="EG71" s="1" t="e">
        <f>IF(CZ$51=0,NA(),CZ$51)</f>
        <v>#REF!</v>
      </c>
      <c r="EH71" s="1" t="e">
        <f>IF(CZ$52=0,NA(),CZ$52)</f>
        <v>#REF!</v>
      </c>
      <c r="EI71" s="1" t="e">
        <f>IF(CZ$53=0,NA(),CZ$53)</f>
        <v>#REF!</v>
      </c>
      <c r="EJ71" s="1" t="e">
        <f>IF(CZ$54=0,NA(),CZ$54)</f>
        <v>#REF!</v>
      </c>
      <c r="EK71" s="1" t="e">
        <f>IF(CZ$55=0,NA(),CZ$55)</f>
        <v>#REF!</v>
      </c>
      <c r="EL71" s="1" t="e">
        <f>IF(CZ$56=0,NA(),CZ$56)</f>
        <v>#REF!</v>
      </c>
      <c r="EM71" s="1" t="e">
        <f>IF(CZ$57=0,NA(),CZ$57)</f>
        <v>#REF!</v>
      </c>
    </row>
    <row r="72" spans="115:143" x14ac:dyDescent="0.3">
      <c r="DK72" s="1">
        <f t="shared" si="48"/>
        <v>2094</v>
      </c>
      <c r="DL72" s="1">
        <f t="shared" ca="1" si="49"/>
        <v>114</v>
      </c>
      <c r="DM72" s="1">
        <f t="shared" ca="1" si="50"/>
        <v>119</v>
      </c>
      <c r="DN72" s="1" t="e">
        <f>IF(DA$32=0,NA(),DA$32)</f>
        <v>#REF!</v>
      </c>
      <c r="DO72" s="1" t="e">
        <f>IF(DA$33=0,NA(),DA$33)</f>
        <v>#REF!</v>
      </c>
      <c r="DP72" s="1" t="e">
        <f>IF(DA$34=0,NA(),DA$34)</f>
        <v>#REF!</v>
      </c>
      <c r="DQ72" s="1" t="e">
        <f>IF(DA$35=0,NA(),DA$35)</f>
        <v>#REF!</v>
      </c>
      <c r="DR72" s="1" t="e">
        <f>IF(DA$36=0,NA(),DA$36)</f>
        <v>#REF!</v>
      </c>
      <c r="DS72" s="1" t="e">
        <f>IF(DA$37=0,NA(),DA$37)</f>
        <v>#REF!</v>
      </c>
      <c r="DT72" s="1" t="e">
        <f>IF(DA$38=0,NA(),DA$38)</f>
        <v>#REF!</v>
      </c>
      <c r="DU72" s="1" t="e">
        <f>IF(DA$39=0,NA(),DA$39)</f>
        <v>#REF!</v>
      </c>
      <c r="DV72" s="1" t="e">
        <f>IF(DA$40=0,NA(),DA$40)</f>
        <v>#REF!</v>
      </c>
      <c r="DW72" s="1" t="e">
        <f>IF(DA$41=0,NA(),DA$41)</f>
        <v>#REF!</v>
      </c>
      <c r="DX72" s="1" t="e">
        <f>IF(DA$42=0,NA(),DA$42)</f>
        <v>#REF!</v>
      </c>
      <c r="DY72" s="1" t="e">
        <f>IF(DA$43=0,NA(),DA$43)</f>
        <v>#REF!</v>
      </c>
      <c r="DZ72" s="1" t="e">
        <f>IF(DA$44=0,NA(),DA$44)</f>
        <v>#REF!</v>
      </c>
      <c r="EA72" s="1" t="e">
        <f>IF(DA$45=0,NA(),DA$45)</f>
        <v>#REF!</v>
      </c>
      <c r="EB72" s="1" t="e">
        <f>IF(DA$46=0,NA(),DA$46)</f>
        <v>#REF!</v>
      </c>
      <c r="EC72" s="1" t="e">
        <f>IF(DA$47=0,NA(),DA$47)</f>
        <v>#REF!</v>
      </c>
      <c r="ED72" s="1" t="e">
        <f>IF(DA$48=0,NA(),DA$48)</f>
        <v>#REF!</v>
      </c>
      <c r="EE72" s="1" t="e">
        <f>IF(DA$49=0,NA(),DA$49)</f>
        <v>#REF!</v>
      </c>
      <c r="EF72" s="1" t="e">
        <f>IF(DA$50=0,NA(),DA$50)</f>
        <v>#REF!</v>
      </c>
      <c r="EG72" s="1" t="e">
        <f>IF(DA$51=0,NA(),DA$51)</f>
        <v>#REF!</v>
      </c>
      <c r="EH72" s="1" t="e">
        <f>IF(DA$52=0,NA(),DA$52)</f>
        <v>#REF!</v>
      </c>
      <c r="EI72" s="1" t="e">
        <f>IF(DA$53=0,NA(),DA$53)</f>
        <v>#REF!</v>
      </c>
      <c r="EJ72" s="1" t="e">
        <f>IF(DA$54=0,NA(),DA$54)</f>
        <v>#REF!</v>
      </c>
      <c r="EK72" s="1" t="e">
        <f>IF(DA$55=0,NA(),DA$55)</f>
        <v>#REF!</v>
      </c>
      <c r="EL72" s="1" t="e">
        <f>IF(DA$56=0,NA(),DA$56)</f>
        <v>#REF!</v>
      </c>
      <c r="EM72" s="1" t="e">
        <f>IF(DA$57=0,NA(),DA$57)</f>
        <v>#REF!</v>
      </c>
    </row>
    <row r="73" spans="115:143" x14ac:dyDescent="0.3">
      <c r="DK73" s="1">
        <f t="shared" si="48"/>
        <v>2095</v>
      </c>
      <c r="DL73" s="1">
        <f t="shared" ca="1" si="49"/>
        <v>115</v>
      </c>
      <c r="DM73" s="1">
        <f t="shared" ca="1" si="50"/>
        <v>120</v>
      </c>
      <c r="DN73" s="1" t="e">
        <f>IF(DB$32=0,NA(),DB$32)</f>
        <v>#REF!</v>
      </c>
      <c r="DO73" s="1" t="e">
        <f>IF(DB$33=0,NA(),DB$33)</f>
        <v>#REF!</v>
      </c>
      <c r="DP73" s="1" t="e">
        <f>IF(DB$34=0,NA(),DB$34)</f>
        <v>#REF!</v>
      </c>
      <c r="DQ73" s="1" t="e">
        <f>IF(DB$35=0,NA(),DB$35)</f>
        <v>#REF!</v>
      </c>
      <c r="DR73" s="1" t="e">
        <f>IF(DB$36=0,NA(),DB$36)</f>
        <v>#REF!</v>
      </c>
      <c r="DS73" s="1" t="e">
        <f>IF(DB$37=0,NA(),DB$37)</f>
        <v>#REF!</v>
      </c>
      <c r="DT73" s="1" t="e">
        <f>IF(DB$38=0,NA(),DB$38)</f>
        <v>#REF!</v>
      </c>
      <c r="DU73" s="1" t="e">
        <f>IF(DB$39=0,NA(),DB$39)</f>
        <v>#REF!</v>
      </c>
      <c r="DV73" s="1" t="e">
        <f>IF(DB$40=0,NA(),DB$40)</f>
        <v>#REF!</v>
      </c>
      <c r="DW73" s="1" t="e">
        <f>IF(DB$41=0,NA(),DB$41)</f>
        <v>#REF!</v>
      </c>
      <c r="DX73" s="1" t="e">
        <f>IF(DB$42=0,NA(),DB$42)</f>
        <v>#REF!</v>
      </c>
      <c r="DY73" s="1" t="e">
        <f>IF(DB$43=0,NA(),DB$43)</f>
        <v>#REF!</v>
      </c>
      <c r="DZ73" s="1" t="e">
        <f>IF(DB$44=0,NA(),DB$44)</f>
        <v>#REF!</v>
      </c>
      <c r="EA73" s="1" t="e">
        <f>IF(DB$45=0,NA(),DB$45)</f>
        <v>#REF!</v>
      </c>
      <c r="EB73" s="1" t="e">
        <f>IF(DB$46=0,NA(),DB$46)</f>
        <v>#REF!</v>
      </c>
      <c r="EC73" s="1" t="e">
        <f>IF(DB$47=0,NA(),DB$47)</f>
        <v>#REF!</v>
      </c>
      <c r="ED73" s="1" t="e">
        <f>IF(DB$48=0,NA(),DB$48)</f>
        <v>#REF!</v>
      </c>
      <c r="EE73" s="1" t="e">
        <f>IF(DB$49=0,NA(),DB$49)</f>
        <v>#REF!</v>
      </c>
      <c r="EF73" s="1" t="e">
        <f>IF(DB$50=0,NA(),DB$50)</f>
        <v>#REF!</v>
      </c>
      <c r="EG73" s="1" t="e">
        <f>IF(DB$51=0,NA(),DB$51)</f>
        <v>#REF!</v>
      </c>
      <c r="EH73" s="1" t="e">
        <f>IF(DB$52=0,NA(),DB$52)</f>
        <v>#REF!</v>
      </c>
      <c r="EI73" s="1" t="e">
        <f>IF(DB$53=0,NA(),DB$53)</f>
        <v>#REF!</v>
      </c>
      <c r="EJ73" s="1" t="e">
        <f>IF(DB$54=0,NA(),DB$54)</f>
        <v>#REF!</v>
      </c>
      <c r="EK73" s="1" t="e">
        <f>IF(DB$55=0,NA(),DB$55)</f>
        <v>#REF!</v>
      </c>
      <c r="EL73" s="1" t="e">
        <f>IF(DB$56=0,NA(),DB$56)</f>
        <v>#REF!</v>
      </c>
      <c r="EM73" s="1" t="e">
        <f>IF(DB$57=0,NA(),DB$57)</f>
        <v>#REF!</v>
      </c>
    </row>
    <row r="74" spans="115:143" x14ac:dyDescent="0.3">
      <c r="DK74" s="1">
        <f t="shared" si="48"/>
        <v>2096</v>
      </c>
      <c r="DL74" s="1">
        <f t="shared" ca="1" si="49"/>
        <v>116</v>
      </c>
      <c r="DM74" s="1">
        <f t="shared" ca="1" si="50"/>
        <v>121</v>
      </c>
      <c r="DN74" s="1" t="e">
        <f>IF(DC$32=0,NA(),DC$32)</f>
        <v>#REF!</v>
      </c>
      <c r="DO74" s="1" t="e">
        <f>IF(DC$33=0,NA(),DC$33)</f>
        <v>#REF!</v>
      </c>
      <c r="DP74" s="1" t="e">
        <f>IF(DC$34=0,NA(),DC$34)</f>
        <v>#REF!</v>
      </c>
      <c r="DQ74" s="1" t="e">
        <f>IF(DC$35=0,NA(),DC$35)</f>
        <v>#REF!</v>
      </c>
      <c r="DR74" s="1" t="e">
        <f>IF(DC$36=0,NA(),DC$36)</f>
        <v>#REF!</v>
      </c>
      <c r="DS74" s="1" t="e">
        <f>IF(DC$37=0,NA(),DC$37)</f>
        <v>#REF!</v>
      </c>
      <c r="DT74" s="1" t="e">
        <f>IF(DC$38=0,NA(),DC$38)</f>
        <v>#REF!</v>
      </c>
      <c r="DU74" s="1" t="e">
        <f>IF(DC$39=0,NA(),DC$39)</f>
        <v>#REF!</v>
      </c>
      <c r="DV74" s="1" t="e">
        <f>IF(DC$40=0,NA(),DC$40)</f>
        <v>#REF!</v>
      </c>
      <c r="DW74" s="1" t="e">
        <f>IF(DC$41=0,NA(),DC$41)</f>
        <v>#REF!</v>
      </c>
      <c r="DX74" s="1" t="e">
        <f>IF(DC$42=0,NA(),DC$42)</f>
        <v>#REF!</v>
      </c>
      <c r="DY74" s="1" t="e">
        <f>IF(DC$43=0,NA(),DC$43)</f>
        <v>#REF!</v>
      </c>
      <c r="DZ74" s="1" t="e">
        <f>IF(DC$44=0,NA(),DC$44)</f>
        <v>#REF!</v>
      </c>
      <c r="EA74" s="1" t="e">
        <f>IF(DC$45=0,NA(),DC$45)</f>
        <v>#REF!</v>
      </c>
      <c r="EB74" s="1" t="e">
        <f>IF(DC$46=0,NA(),DC$46)</f>
        <v>#REF!</v>
      </c>
      <c r="EC74" s="1" t="e">
        <f>IF(DC$47=0,NA(),DC$47)</f>
        <v>#REF!</v>
      </c>
      <c r="ED74" s="1" t="e">
        <f>IF(DC$48=0,NA(),DC$48)</f>
        <v>#REF!</v>
      </c>
      <c r="EE74" s="1" t="e">
        <f>IF(DC$49=0,NA(),DC$49)</f>
        <v>#REF!</v>
      </c>
      <c r="EF74" s="1" t="e">
        <f>IF(DC$50=0,NA(),DC$50)</f>
        <v>#REF!</v>
      </c>
      <c r="EG74" s="1" t="e">
        <f>IF(DC$51=0,NA(),DC$51)</f>
        <v>#REF!</v>
      </c>
      <c r="EH74" s="1" t="e">
        <f>IF(DC$52=0,NA(),DC$52)</f>
        <v>#REF!</v>
      </c>
      <c r="EI74" s="1" t="e">
        <f>IF(DC$53=0,NA(),DC$53)</f>
        <v>#REF!</v>
      </c>
      <c r="EJ74" s="1" t="e">
        <f>IF(DC$54=0,NA(),DC$54)</f>
        <v>#REF!</v>
      </c>
      <c r="EK74" s="1" t="e">
        <f>IF(DC$55=0,NA(),DC$55)</f>
        <v>#REF!</v>
      </c>
      <c r="EL74" s="1" t="e">
        <f>IF(DC$56=0,NA(),DC$56)</f>
        <v>#REF!</v>
      </c>
      <c r="EM74" s="1" t="e">
        <f>IF(DC$57=0,NA(),DC$57)</f>
        <v>#REF!</v>
      </c>
    </row>
    <row r="75" spans="115:143" x14ac:dyDescent="0.3">
      <c r="DK75" s="1">
        <f t="shared" si="48"/>
        <v>2097</v>
      </c>
      <c r="DL75" s="1">
        <f t="shared" ca="1" si="49"/>
        <v>117</v>
      </c>
      <c r="DM75" s="1">
        <f t="shared" ca="1" si="50"/>
        <v>122</v>
      </c>
      <c r="DN75" s="1" t="e">
        <f>IF(DD$32=0,NA(),DD$32)</f>
        <v>#REF!</v>
      </c>
      <c r="DO75" s="1" t="e">
        <f>IF(DD$33=0,NA(),DD$33)</f>
        <v>#REF!</v>
      </c>
      <c r="DP75" s="1" t="e">
        <f>IF(DD$34=0,NA(),DD$34)</f>
        <v>#REF!</v>
      </c>
      <c r="DQ75" s="1" t="e">
        <f>IF(DD$35=0,NA(),DD$35)</f>
        <v>#REF!</v>
      </c>
      <c r="DR75" s="1" t="e">
        <f>IF(DD$36=0,NA(),DD$36)</f>
        <v>#REF!</v>
      </c>
      <c r="DS75" s="1" t="e">
        <f>IF(DD$37=0,NA(),DD$37)</f>
        <v>#REF!</v>
      </c>
      <c r="DT75" s="1" t="e">
        <f>IF(DD$38=0,NA(),DD$38)</f>
        <v>#REF!</v>
      </c>
      <c r="DU75" s="1" t="e">
        <f>IF(DD$39=0,NA(),DD$39)</f>
        <v>#REF!</v>
      </c>
      <c r="DV75" s="1" t="e">
        <f>IF(DD$40=0,NA(),DD$40)</f>
        <v>#REF!</v>
      </c>
      <c r="DW75" s="1" t="e">
        <f>IF(DD$41=0,NA(),DD$41)</f>
        <v>#REF!</v>
      </c>
      <c r="DX75" s="1" t="e">
        <f>IF(DD$42=0,NA(),DD$42)</f>
        <v>#REF!</v>
      </c>
      <c r="DY75" s="1" t="e">
        <f>IF(DD$43=0,NA(),DD$43)</f>
        <v>#REF!</v>
      </c>
      <c r="DZ75" s="1" t="e">
        <f>IF(DD$44=0,NA(),DD$44)</f>
        <v>#REF!</v>
      </c>
      <c r="EA75" s="1" t="e">
        <f>IF(DD$45=0,NA(),DD$45)</f>
        <v>#REF!</v>
      </c>
      <c r="EB75" s="1" t="e">
        <f>IF(DD$46=0,NA(),DD$46)</f>
        <v>#REF!</v>
      </c>
      <c r="EC75" s="1" t="e">
        <f>IF(DD$47=0,NA(),DD$47)</f>
        <v>#REF!</v>
      </c>
      <c r="ED75" s="1" t="e">
        <f>IF(DD$48=0,NA(),DD$48)</f>
        <v>#REF!</v>
      </c>
      <c r="EE75" s="1" t="e">
        <f>IF(DD$49=0,NA(),DD$49)</f>
        <v>#REF!</v>
      </c>
      <c r="EF75" s="1" t="e">
        <f>IF(DD$50=0,NA(),DD$50)</f>
        <v>#REF!</v>
      </c>
      <c r="EG75" s="1" t="e">
        <f>IF(DD$51=0,NA(),DD$51)</f>
        <v>#REF!</v>
      </c>
      <c r="EH75" s="1" t="e">
        <f>IF(DD$52=0,NA(),DD$52)</f>
        <v>#REF!</v>
      </c>
      <c r="EI75" s="1" t="e">
        <f>IF(DD$53=0,NA(),DD$53)</f>
        <v>#REF!</v>
      </c>
      <c r="EJ75" s="1" t="e">
        <f>IF(DD$54=0,NA(),DD$54)</f>
        <v>#REF!</v>
      </c>
      <c r="EK75" s="1" t="e">
        <f>IF(DD$55=0,NA(),DD$55)</f>
        <v>#REF!</v>
      </c>
      <c r="EL75" s="1" t="e">
        <f>IF(DD$56=0,NA(),DD$56)</f>
        <v>#REF!</v>
      </c>
      <c r="EM75" s="1" t="e">
        <f>IF(DD$57=0,NA(),DD$57)</f>
        <v>#REF!</v>
      </c>
    </row>
    <row r="76" spans="115:143" x14ac:dyDescent="0.3">
      <c r="DK76" s="1">
        <f t="shared" si="48"/>
        <v>2098</v>
      </c>
      <c r="DL76" s="1">
        <f t="shared" ca="1" si="49"/>
        <v>118</v>
      </c>
      <c r="DM76" s="1">
        <f t="shared" ca="1" si="50"/>
        <v>123</v>
      </c>
      <c r="DN76" s="1" t="e">
        <f>IF(DE$32=0,NA(),DE$32)</f>
        <v>#REF!</v>
      </c>
      <c r="DO76" s="1" t="e">
        <f>IF(DE$33=0,NA(),DE$33)</f>
        <v>#REF!</v>
      </c>
      <c r="DP76" s="1" t="e">
        <f>IF(DE$34=0,NA(),DE$34)</f>
        <v>#REF!</v>
      </c>
      <c r="DQ76" s="1" t="e">
        <f>IF(DE$35=0,NA(),DE$35)</f>
        <v>#REF!</v>
      </c>
      <c r="DR76" s="1" t="e">
        <f>IF(DE$36=0,NA(),DE$36)</f>
        <v>#REF!</v>
      </c>
      <c r="DS76" s="1" t="e">
        <f>IF(DE$37=0,NA(),DE$37)</f>
        <v>#REF!</v>
      </c>
      <c r="DT76" s="1" t="e">
        <f>IF(DE$38=0,NA(),DE$38)</f>
        <v>#REF!</v>
      </c>
      <c r="DU76" s="1" t="e">
        <f>IF(DE$39=0,NA(),DE$39)</f>
        <v>#REF!</v>
      </c>
      <c r="DV76" s="1" t="e">
        <f>IF(DE$40=0,NA(),DE$40)</f>
        <v>#REF!</v>
      </c>
      <c r="DW76" s="1" t="e">
        <f>IF(DE$41=0,NA(),DE$41)</f>
        <v>#REF!</v>
      </c>
      <c r="DX76" s="1" t="e">
        <f>IF(DE$42=0,NA(),DE$42)</f>
        <v>#REF!</v>
      </c>
      <c r="DY76" s="1" t="e">
        <f>IF(DE$43=0,NA(),DE$43)</f>
        <v>#REF!</v>
      </c>
      <c r="DZ76" s="1" t="e">
        <f>IF(DE$44=0,NA(),DE$44)</f>
        <v>#REF!</v>
      </c>
      <c r="EA76" s="1" t="e">
        <f>IF(DE$45=0,NA(),DE$45)</f>
        <v>#REF!</v>
      </c>
      <c r="EB76" s="1" t="e">
        <f>IF(DE$46=0,NA(),DE$46)</f>
        <v>#REF!</v>
      </c>
      <c r="EC76" s="1" t="e">
        <f>IF(DE$47=0,NA(),DE$47)</f>
        <v>#REF!</v>
      </c>
      <c r="ED76" s="1" t="e">
        <f>IF(DE$48=0,NA(),DE$48)</f>
        <v>#REF!</v>
      </c>
      <c r="EE76" s="1" t="e">
        <f>IF(DE$49=0,NA(),DE$49)</f>
        <v>#REF!</v>
      </c>
      <c r="EF76" s="1" t="e">
        <f>IF(DE$50=0,NA(),DE$50)</f>
        <v>#REF!</v>
      </c>
      <c r="EG76" s="1" t="e">
        <f>IF(DE$51=0,NA(),DE$51)</f>
        <v>#REF!</v>
      </c>
      <c r="EH76" s="1" t="e">
        <f>IF(DE$52=0,NA(),DE$52)</f>
        <v>#REF!</v>
      </c>
      <c r="EI76" s="1" t="e">
        <f>IF(DE$53=0,NA(),DE$53)</f>
        <v>#REF!</v>
      </c>
      <c r="EJ76" s="1" t="e">
        <f>IF(DE$54=0,NA(),DE$54)</f>
        <v>#REF!</v>
      </c>
      <c r="EK76" s="1" t="e">
        <f>IF(DE$55=0,NA(),DE$55)</f>
        <v>#REF!</v>
      </c>
      <c r="EL76" s="1" t="e">
        <f>IF(DE$56=0,NA(),DE$56)</f>
        <v>#REF!</v>
      </c>
      <c r="EM76" s="1" t="e">
        <f>IF(DE$57=0,NA(),DE$57)</f>
        <v>#REF!</v>
      </c>
    </row>
    <row r="77" spans="115:143" x14ac:dyDescent="0.3">
      <c r="DK77" s="1">
        <f t="shared" si="48"/>
        <v>2099</v>
      </c>
      <c r="DL77" s="1">
        <f t="shared" ca="1" si="49"/>
        <v>119</v>
      </c>
      <c r="DM77" s="1">
        <f t="shared" ca="1" si="50"/>
        <v>124</v>
      </c>
      <c r="DN77" s="1" t="e">
        <f>IF(DF$32=0,NA(),DF$32)</f>
        <v>#REF!</v>
      </c>
      <c r="DO77" s="1" t="e">
        <f>IF(DF$33=0,NA(),DF$33)</f>
        <v>#REF!</v>
      </c>
      <c r="DP77" s="1" t="e">
        <f>IF(DF$34=0,NA(),DF$34)</f>
        <v>#REF!</v>
      </c>
      <c r="DQ77" s="1" t="e">
        <f>IF(DF$35=0,NA(),DF$35)</f>
        <v>#REF!</v>
      </c>
      <c r="DR77" s="1" t="e">
        <f>IF(DF$36=0,NA(),DF$36)</f>
        <v>#REF!</v>
      </c>
      <c r="DS77" s="1" t="e">
        <f>IF(DF$37=0,NA(),DF$37)</f>
        <v>#REF!</v>
      </c>
      <c r="DT77" s="1" t="e">
        <f>IF(DF$38=0,NA(),DF$38)</f>
        <v>#REF!</v>
      </c>
      <c r="DU77" s="1" t="e">
        <f>IF(DF$39=0,NA(),DF$39)</f>
        <v>#REF!</v>
      </c>
      <c r="DV77" s="1" t="e">
        <f>IF(DF$40=0,NA(),DF$40)</f>
        <v>#REF!</v>
      </c>
      <c r="DW77" s="1" t="e">
        <f>IF(DF$41=0,NA(),DF$41)</f>
        <v>#REF!</v>
      </c>
      <c r="DX77" s="1" t="e">
        <f>IF(DF$42=0,NA(),DF$42)</f>
        <v>#REF!</v>
      </c>
      <c r="DY77" s="1" t="e">
        <f>IF(DF$43=0,NA(),DF$43)</f>
        <v>#REF!</v>
      </c>
      <c r="DZ77" s="1" t="e">
        <f>IF(DF$44=0,NA(),DF$44)</f>
        <v>#REF!</v>
      </c>
      <c r="EA77" s="1" t="e">
        <f>IF(DF$45=0,NA(),DF$45)</f>
        <v>#REF!</v>
      </c>
      <c r="EB77" s="1" t="e">
        <f>IF(DF$46=0,NA(),DF$46)</f>
        <v>#REF!</v>
      </c>
      <c r="EC77" s="1" t="e">
        <f>IF(DF$47=0,NA(),DF$47)</f>
        <v>#REF!</v>
      </c>
      <c r="ED77" s="1" t="e">
        <f>IF(DF$48=0,NA(),DF$48)</f>
        <v>#REF!</v>
      </c>
      <c r="EE77" s="1" t="e">
        <f>IF(DF$49=0,NA(),DF$49)</f>
        <v>#REF!</v>
      </c>
      <c r="EF77" s="1" t="e">
        <f>IF(DF$50=0,NA(),DF$50)</f>
        <v>#REF!</v>
      </c>
      <c r="EG77" s="1" t="e">
        <f>IF(DF$51=0,NA(),DF$51)</f>
        <v>#REF!</v>
      </c>
      <c r="EH77" s="1" t="e">
        <f>IF(DF$52=0,NA(),DF$52)</f>
        <v>#REF!</v>
      </c>
      <c r="EI77" s="1" t="e">
        <f>IF(DF$53=0,NA(),DF$53)</f>
        <v>#REF!</v>
      </c>
      <c r="EJ77" s="1" t="e">
        <f>IF(DF$54=0,NA(),DF$54)</f>
        <v>#REF!</v>
      </c>
      <c r="EK77" s="1" t="e">
        <f>IF(DF$55=0,NA(),DF$55)</f>
        <v>#REF!</v>
      </c>
      <c r="EL77" s="1" t="e">
        <f>IF(DF$56=0,NA(),DF$56)</f>
        <v>#REF!</v>
      </c>
      <c r="EM77" s="1" t="e">
        <f>IF(DF$57=0,NA(),DF$57)</f>
        <v>#REF!</v>
      </c>
    </row>
    <row r="78" spans="115:143" x14ac:dyDescent="0.3">
      <c r="DK78" s="1">
        <f t="shared" si="48"/>
        <v>2100</v>
      </c>
      <c r="DL78" s="1">
        <f t="shared" ca="1" si="49"/>
        <v>120</v>
      </c>
      <c r="DM78" s="1">
        <f t="shared" ca="1" si="50"/>
        <v>125</v>
      </c>
      <c r="DN78" s="1" t="e">
        <f>IF(DG$32=0,NA(),DG$32)</f>
        <v>#REF!</v>
      </c>
      <c r="DO78" s="1" t="e">
        <f>IF(DG$33=0,NA(),DG$33)</f>
        <v>#REF!</v>
      </c>
      <c r="DP78" s="1" t="e">
        <f>IF(DG$34=0,NA(),DG$34)</f>
        <v>#REF!</v>
      </c>
      <c r="DQ78" s="1" t="e">
        <f>IF(DG$35=0,NA(),DG$35)</f>
        <v>#REF!</v>
      </c>
      <c r="DR78" s="1" t="e">
        <f>IF(DG$36=0,NA(),DG$36)</f>
        <v>#REF!</v>
      </c>
      <c r="DS78" s="1" t="e">
        <f>IF(DG$37=0,NA(),DG$37)</f>
        <v>#REF!</v>
      </c>
      <c r="DT78" s="1" t="e">
        <f>IF(DG$38=0,NA(),DG$38)</f>
        <v>#REF!</v>
      </c>
      <c r="DU78" s="1" t="e">
        <f>IF(DG$39=0,NA(),DG$39)</f>
        <v>#REF!</v>
      </c>
      <c r="DV78" s="1" t="e">
        <f>IF(DG$40=0,NA(),DG$40)</f>
        <v>#REF!</v>
      </c>
      <c r="DW78" s="1" t="e">
        <f>IF(DG$41=0,NA(),DG$41)</f>
        <v>#REF!</v>
      </c>
      <c r="DX78" s="1" t="e">
        <f>IF(DG$42=0,NA(),DG$42)</f>
        <v>#REF!</v>
      </c>
      <c r="DY78" s="1" t="e">
        <f>IF(DG$43=0,NA(),DG$43)</f>
        <v>#REF!</v>
      </c>
      <c r="DZ78" s="1" t="e">
        <f>IF(DG$44=0,NA(),DG$44)</f>
        <v>#REF!</v>
      </c>
      <c r="EA78" s="1" t="e">
        <f>IF(DG$45=0,NA(),DG$45)</f>
        <v>#REF!</v>
      </c>
      <c r="EB78" s="1" t="e">
        <f>IF(DG$46=0,NA(),DG$46)</f>
        <v>#REF!</v>
      </c>
      <c r="EC78" s="1" t="e">
        <f>IF(DG$47=0,NA(),DG$47)</f>
        <v>#REF!</v>
      </c>
      <c r="ED78" s="1" t="e">
        <f>IF(DG$48=0,NA(),DG$48)</f>
        <v>#REF!</v>
      </c>
      <c r="EE78" s="1" t="e">
        <f>IF(DG$49=0,NA(),DG$49)</f>
        <v>#REF!</v>
      </c>
      <c r="EF78" s="1" t="e">
        <f>IF(DG$50=0,NA(),DG$50)</f>
        <v>#REF!</v>
      </c>
      <c r="EG78" s="1" t="e">
        <f>IF(DG$51=0,NA(),DG$51)</f>
        <v>#REF!</v>
      </c>
      <c r="EH78" s="1" t="e">
        <f>IF(DG$52=0,NA(),DG$52)</f>
        <v>#REF!</v>
      </c>
      <c r="EI78" s="1" t="e">
        <f>IF(DG$53=0,NA(),DG$53)</f>
        <v>#REF!</v>
      </c>
      <c r="EJ78" s="1" t="e">
        <f>IF(DG$54=0,NA(),DG$54)</f>
        <v>#REF!</v>
      </c>
      <c r="EK78" s="1" t="e">
        <f>IF(DG$55=0,NA(),DG$55)</f>
        <v>#REF!</v>
      </c>
      <c r="EL78" s="1" t="e">
        <f>IF(DG$56=0,NA(),DG$56)</f>
        <v>#REF!</v>
      </c>
      <c r="EM78" s="1" t="e">
        <f>IF(DG$57=0,NA(),DG$57)</f>
        <v>#REF!</v>
      </c>
    </row>
  </sheetData>
  <mergeCells count="1">
    <mergeCell ref="A1:O1"/>
  </mergeCells>
  <dataValidations count="3">
    <dataValidation type="list" allowBlank="1" showInputMessage="1" showErrorMessage="1" sqref="D3:D28" xr:uid="{55EA2880-3CBE-4B7E-8E13-C127B44C43D6}">
      <formula1>"Onetime,Recurring"</formula1>
    </dataValidation>
    <dataValidation type="list" allowBlank="1" showInputMessage="1" showErrorMessage="1" sqref="H3:H28" xr:uid="{722F32EB-D587-4E07-A482-062868C0A3E4}">
      <formula1>"House, House2, Land, Car"</formula1>
    </dataValidation>
    <dataValidation type="list" allowBlank="1" showInputMessage="1" showErrorMessage="1" sqref="N3:N28" xr:uid="{7B2D89CB-7D08-4C9E-BC42-1F229694F45A}">
      <formula1>INDIRECT($H3)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BC4EB-7562-4B3A-9238-D0C42D555841}">
  <dimension ref="A1"/>
  <sheetViews>
    <sheetView workbookViewId="0">
      <selection activeCell="N30" sqref="N30"/>
    </sheetView>
  </sheetViews>
  <sheetFormatPr defaultColWidth="8.88671875" defaultRowHeight="14.4" x14ac:dyDescent="0.3"/>
  <cols>
    <col min="1" max="16384" width="8.88671875" style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9197B-B1D8-4A4F-BF99-0B8A240027A1}">
  <sheetPr codeName="Sheet22"/>
  <dimension ref="A1:AZ55"/>
  <sheetViews>
    <sheetView topLeftCell="L1" workbookViewId="0">
      <selection activeCell="AR8" sqref="AR8"/>
    </sheetView>
  </sheetViews>
  <sheetFormatPr defaultColWidth="9.109375" defaultRowHeight="14.4" x14ac:dyDescent="0.3"/>
  <cols>
    <col min="1" max="1" width="8.88671875" customWidth="1"/>
    <col min="2" max="2" width="12.5546875" bestFit="1" customWidth="1"/>
    <col min="3" max="3" width="12.5546875" style="58" bestFit="1" customWidth="1"/>
    <col min="4" max="4" width="9.109375" style="58"/>
    <col min="5" max="5" width="11.33203125" style="58" bestFit="1" customWidth="1"/>
    <col min="6" max="6" width="11.5546875" style="58" bestFit="1" customWidth="1"/>
    <col min="7" max="7" width="12.5546875" style="58" bestFit="1" customWidth="1"/>
    <col min="8" max="8" width="14.33203125" style="58" bestFit="1" customWidth="1"/>
    <col min="9" max="9" width="9.109375" style="58"/>
    <col min="10" max="10" width="11.33203125" style="58" bestFit="1" customWidth="1"/>
    <col min="11" max="11" width="12.5546875" style="58" bestFit="1" customWidth="1"/>
    <col min="12" max="12" width="14.33203125" style="58" bestFit="1" customWidth="1"/>
    <col min="13" max="13" width="10" style="58" bestFit="1" customWidth="1"/>
    <col min="14" max="14" width="9.109375" style="58"/>
    <col min="15" max="15" width="11.33203125" style="58" bestFit="1" customWidth="1"/>
    <col min="16" max="16" width="7.88671875" style="58" bestFit="1" customWidth="1"/>
    <col min="17" max="17" width="9" style="58" bestFit="1" customWidth="1"/>
    <col min="18" max="18" width="11.5546875" style="58" bestFit="1" customWidth="1"/>
    <col min="19" max="19" width="9.109375" style="58"/>
    <col min="20" max="20" width="11.33203125" style="58" bestFit="1" customWidth="1"/>
    <col min="21" max="21" width="10" style="58" bestFit="1" customWidth="1"/>
    <col min="22" max="23" width="11.5546875" style="58" bestFit="1" customWidth="1"/>
    <col min="24" max="24" width="9.109375" style="58"/>
    <col min="25" max="25" width="11.33203125" style="58" bestFit="1" customWidth="1"/>
    <col min="26" max="26" width="10" style="58" bestFit="1" customWidth="1"/>
    <col min="27" max="27" width="11.5546875" style="58" bestFit="1" customWidth="1"/>
    <col min="28" max="28" width="10" style="58" bestFit="1" customWidth="1"/>
    <col min="29" max="30" width="9.109375" style="58"/>
    <col min="31" max="31" width="9" style="58" bestFit="1" customWidth="1"/>
    <col min="32" max="32" width="10" style="58" bestFit="1" customWidth="1"/>
    <col min="33" max="33" width="11.5546875" style="58" bestFit="1" customWidth="1"/>
    <col min="34" max="34" width="9.109375" style="58"/>
    <col min="35" max="35" width="11.33203125" style="58" bestFit="1" customWidth="1"/>
    <col min="36" max="36" width="9" style="58" bestFit="1" customWidth="1"/>
    <col min="37" max="38" width="11.5546875" style="58" bestFit="1" customWidth="1"/>
    <col min="39" max="40" width="9.109375" style="58"/>
    <col min="41" max="41" width="10" style="58" bestFit="1" customWidth="1"/>
    <col min="42" max="42" width="11.5546875" style="58" bestFit="1" customWidth="1"/>
    <col min="43" max="43" width="12.5546875" style="58" bestFit="1" customWidth="1"/>
    <col min="44" max="44" width="9.109375" style="58"/>
    <col min="45" max="45" width="11.33203125" style="58" bestFit="1" customWidth="1"/>
    <col min="46" max="46" width="10" style="58" bestFit="1" customWidth="1"/>
    <col min="47" max="47" width="12.5546875" style="58" bestFit="1" customWidth="1"/>
    <col min="48" max="48" width="11.5546875" style="58" bestFit="1" customWidth="1"/>
    <col min="49" max="49" width="9.109375" style="58"/>
    <col min="50" max="50" width="11.33203125" style="58" bestFit="1" customWidth="1"/>
    <col min="51" max="51" width="10" style="58" bestFit="1" customWidth="1"/>
    <col min="52" max="52" width="11.5546875" style="58" bestFit="1" customWidth="1"/>
    <col min="53" max="16384" width="9.109375" style="58"/>
  </cols>
  <sheetData>
    <row r="1" spans="1:52" s="98" customFormat="1" x14ac:dyDescent="0.3">
      <c r="C1" s="668" t="s">
        <v>192</v>
      </c>
      <c r="D1" s="668"/>
      <c r="E1" s="668"/>
      <c r="F1" s="668"/>
      <c r="G1" s="668"/>
      <c r="H1" s="668" t="s">
        <v>59</v>
      </c>
      <c r="I1" s="668"/>
      <c r="J1" s="668"/>
      <c r="K1" s="668"/>
      <c r="L1" s="668"/>
      <c r="M1" s="668" t="s">
        <v>193</v>
      </c>
      <c r="N1" s="668"/>
      <c r="O1" s="668"/>
      <c r="P1" s="668"/>
      <c r="Q1" s="668"/>
      <c r="R1" s="668" t="s">
        <v>194</v>
      </c>
      <c r="S1" s="668"/>
      <c r="T1" s="668"/>
      <c r="U1" s="668"/>
      <c r="V1" s="668"/>
      <c r="W1" s="668" t="s">
        <v>78</v>
      </c>
      <c r="X1" s="668"/>
      <c r="Y1" s="668"/>
      <c r="Z1" s="668"/>
      <c r="AA1" s="668"/>
      <c r="AB1" s="668" t="s">
        <v>79</v>
      </c>
      <c r="AC1" s="668"/>
      <c r="AD1" s="668"/>
      <c r="AE1" s="668"/>
      <c r="AF1" s="668"/>
      <c r="AG1" s="668" t="s">
        <v>195</v>
      </c>
      <c r="AH1" s="668"/>
      <c r="AI1" s="668"/>
      <c r="AJ1" s="668"/>
      <c r="AK1" s="668"/>
      <c r="AL1" s="668" t="s">
        <v>196</v>
      </c>
      <c r="AM1" s="668"/>
      <c r="AN1" s="668"/>
      <c r="AO1" s="668"/>
      <c r="AP1" s="668"/>
      <c r="AQ1" s="668" t="s">
        <v>197</v>
      </c>
      <c r="AR1" s="668"/>
      <c r="AS1" s="668"/>
      <c r="AT1" s="668"/>
      <c r="AU1" s="668"/>
      <c r="AV1" s="668" t="s">
        <v>198</v>
      </c>
      <c r="AW1" s="668"/>
      <c r="AX1" s="668"/>
      <c r="AY1" s="668"/>
      <c r="AZ1" s="668"/>
    </row>
    <row r="2" spans="1:52" s="6" customFormat="1" x14ac:dyDescent="0.3">
      <c r="A2" s="6" t="s">
        <v>168</v>
      </c>
      <c r="B2" s="6" t="s">
        <v>199</v>
      </c>
      <c r="C2" s="6" t="s">
        <v>200</v>
      </c>
      <c r="D2" s="6" t="s">
        <v>201</v>
      </c>
      <c r="E2" s="6" t="s">
        <v>202</v>
      </c>
      <c r="F2" s="6" t="s">
        <v>149</v>
      </c>
      <c r="G2" s="6" t="s">
        <v>203</v>
      </c>
      <c r="H2" s="6" t="s">
        <v>200</v>
      </c>
      <c r="I2" s="6" t="s">
        <v>201</v>
      </c>
      <c r="J2" s="6" t="s">
        <v>202</v>
      </c>
      <c r="K2" s="6" t="s">
        <v>149</v>
      </c>
      <c r="L2" s="6" t="s">
        <v>203</v>
      </c>
      <c r="M2" s="6" t="s">
        <v>200</v>
      </c>
      <c r="N2" s="6" t="s">
        <v>201</v>
      </c>
      <c r="O2" s="6" t="s">
        <v>202</v>
      </c>
      <c r="P2" s="6" t="s">
        <v>149</v>
      </c>
      <c r="Q2" s="6" t="s">
        <v>203</v>
      </c>
      <c r="R2" s="6" t="s">
        <v>200</v>
      </c>
      <c r="S2" s="6" t="s">
        <v>201</v>
      </c>
      <c r="T2" s="6" t="s">
        <v>202</v>
      </c>
      <c r="U2" s="6" t="s">
        <v>149</v>
      </c>
      <c r="V2" s="6" t="s">
        <v>203</v>
      </c>
      <c r="W2" s="6" t="s">
        <v>200</v>
      </c>
      <c r="X2" s="6" t="s">
        <v>201</v>
      </c>
      <c r="Y2" s="6" t="s">
        <v>202</v>
      </c>
      <c r="Z2" s="6" t="s">
        <v>149</v>
      </c>
      <c r="AA2" s="6" t="s">
        <v>203</v>
      </c>
      <c r="AB2" s="6" t="s">
        <v>200</v>
      </c>
      <c r="AC2" s="6" t="s">
        <v>201</v>
      </c>
      <c r="AD2" s="6" t="s">
        <v>202</v>
      </c>
      <c r="AE2" s="6" t="s">
        <v>149</v>
      </c>
      <c r="AF2" s="6" t="s">
        <v>203</v>
      </c>
      <c r="AG2" s="6" t="s">
        <v>200</v>
      </c>
      <c r="AH2" s="6" t="s">
        <v>201</v>
      </c>
      <c r="AI2" s="6" t="s">
        <v>202</v>
      </c>
      <c r="AJ2" s="6" t="s">
        <v>149</v>
      </c>
      <c r="AK2" s="6" t="s">
        <v>203</v>
      </c>
      <c r="AL2" s="6" t="s">
        <v>200</v>
      </c>
      <c r="AM2" s="6" t="s">
        <v>201</v>
      </c>
      <c r="AN2" s="6" t="s">
        <v>202</v>
      </c>
      <c r="AO2" s="6" t="s">
        <v>149</v>
      </c>
      <c r="AP2" s="6" t="s">
        <v>203</v>
      </c>
      <c r="AQ2" s="6" t="s">
        <v>200</v>
      </c>
      <c r="AR2" s="6" t="s">
        <v>201</v>
      </c>
      <c r="AS2" s="6" t="s">
        <v>202</v>
      </c>
      <c r="AT2" s="6" t="s">
        <v>149</v>
      </c>
      <c r="AU2" s="6" t="s">
        <v>203</v>
      </c>
      <c r="AV2" s="6" t="s">
        <v>200</v>
      </c>
      <c r="AW2" s="6" t="s">
        <v>201</v>
      </c>
      <c r="AX2" s="6" t="s">
        <v>202</v>
      </c>
      <c r="AY2" s="6" t="s">
        <v>149</v>
      </c>
      <c r="AZ2" s="6" t="s">
        <v>203</v>
      </c>
    </row>
    <row r="3" spans="1:52" x14ac:dyDescent="0.3">
      <c r="A3">
        <v>2021</v>
      </c>
      <c r="B3" s="58">
        <v>100000</v>
      </c>
      <c r="C3" s="58">
        <f>WAR!D7</f>
        <v>5666347</v>
      </c>
      <c r="F3" s="58">
        <f>(C3-E3)*WAR!$G$7</f>
        <v>623298.17000000004</v>
      </c>
      <c r="G3" s="58">
        <f>C3+D3+F3-E3</f>
        <v>6289645.1699999999</v>
      </c>
      <c r="H3" s="58">
        <f>WAR!D8</f>
        <v>0</v>
      </c>
      <c r="K3" s="58">
        <f>(H3-J3)*WAR!$G$8</f>
        <v>0</v>
      </c>
      <c r="L3" s="58">
        <f>H3+I3+K3-J3</f>
        <v>0</v>
      </c>
      <c r="M3" s="58">
        <f>WAR!D14</f>
        <v>0</v>
      </c>
      <c r="P3" s="58">
        <f>(M3-O3)*WAR!$G$14</f>
        <v>0</v>
      </c>
      <c r="Q3" s="58">
        <f>M3+N3+P3-O3</f>
        <v>0</v>
      </c>
      <c r="R3" s="58">
        <f>WAR!D15</f>
        <v>21473</v>
      </c>
      <c r="U3" s="58">
        <f>(R3-T3)*WAR!$G$15</f>
        <v>1181.0150000000001</v>
      </c>
      <c r="V3" s="58">
        <f>R3+S3+U3-T3</f>
        <v>22654.014999999999</v>
      </c>
      <c r="W3" s="58">
        <f>WAR!D20</f>
        <v>1400000</v>
      </c>
      <c r="Z3" s="58">
        <f>(W3-Y3)*WAR!$G$20</f>
        <v>114799.99999999999</v>
      </c>
      <c r="AA3" s="58">
        <f>W3+X3+Z3-Y3</f>
        <v>1514800</v>
      </c>
      <c r="AB3" s="58">
        <f>WAR!D19</f>
        <v>3400000</v>
      </c>
      <c r="AE3" s="58">
        <f>(AB3-AD3)*WAR!$G$19</f>
        <v>241399.99999999997</v>
      </c>
      <c r="AF3" s="58">
        <f>AB3+AC3+AE3-AD3</f>
        <v>3641400</v>
      </c>
      <c r="AG3" s="58">
        <f>WAR!D17</f>
        <v>0</v>
      </c>
      <c r="AJ3" s="58">
        <f>(AG3-AI3)*WAR!$G$17</f>
        <v>0</v>
      </c>
      <c r="AK3" s="58">
        <f>AG3+AH3+AJ3-AI3</f>
        <v>0</v>
      </c>
      <c r="AL3" s="58">
        <f>WAR!D31</f>
        <v>0</v>
      </c>
      <c r="AO3" s="58">
        <f>(AL3-AN3)*WAR!$G$31</f>
        <v>0</v>
      </c>
      <c r="AP3" s="58">
        <f>AL3+AM3+AO3-AN3</f>
        <v>0</v>
      </c>
      <c r="AQ3" s="58">
        <f>WAR!D28</f>
        <v>11000000</v>
      </c>
      <c r="AT3" s="58">
        <f>(AQ3-AS3)*WAR!$G$28</f>
        <v>0</v>
      </c>
      <c r="AU3" s="58">
        <f>AQ3+AR3+AT3-AS3</f>
        <v>11000000</v>
      </c>
      <c r="AV3" s="58">
        <f>WAR!D25</f>
        <v>0</v>
      </c>
      <c r="AY3" s="58">
        <f>(AV3-AX3)*WAR!$G$25</f>
        <v>0</v>
      </c>
      <c r="AZ3" s="58">
        <f>AV3+AW3+AY3-AX3</f>
        <v>0</v>
      </c>
    </row>
    <row r="4" spans="1:52" x14ac:dyDescent="0.3">
      <c r="A4">
        <f>A3+1</f>
        <v>2022</v>
      </c>
      <c r="B4" s="58">
        <v>1080000</v>
      </c>
      <c r="C4" s="58">
        <f>G3</f>
        <v>6289645.1699999999</v>
      </c>
      <c r="F4" s="58">
        <f>(C4-E4)*WAR!$G$7</f>
        <v>691860.96869999997</v>
      </c>
      <c r="G4" s="58">
        <f t="shared" ref="G4:G55" si="0">C4+D4+F4-E4</f>
        <v>6981506.1387</v>
      </c>
      <c r="H4" s="58">
        <f>L3</f>
        <v>0</v>
      </c>
      <c r="K4" s="58">
        <f>(H4-J4)*WAR!$G$8</f>
        <v>0</v>
      </c>
      <c r="L4" s="58">
        <f t="shared" ref="L4:L55" si="1">H4+I4+K4-J4</f>
        <v>0</v>
      </c>
      <c r="M4" s="58">
        <f>Q3</f>
        <v>0</v>
      </c>
      <c r="P4" s="58">
        <f>(M4-O4)*WAR!$G$14</f>
        <v>0</v>
      </c>
      <c r="Q4" s="58">
        <f t="shared" ref="Q4:Q55" si="2">M4+N4+P4-O4</f>
        <v>0</v>
      </c>
      <c r="R4" s="58">
        <f>V3</f>
        <v>22654.014999999999</v>
      </c>
      <c r="U4" s="58">
        <f>(R4-T4)*WAR!$G$15</f>
        <v>1245.9708249999999</v>
      </c>
      <c r="V4" s="58">
        <f t="shared" ref="V4:V55" si="3">R4+S4+U4-T4</f>
        <v>23899.985825</v>
      </c>
      <c r="W4" s="58">
        <f>AA3</f>
        <v>1514800</v>
      </c>
      <c r="Z4" s="58">
        <f>(W4-Y4)*WAR!$G$20</f>
        <v>124213.59999999999</v>
      </c>
      <c r="AA4" s="58">
        <f t="shared" ref="AA4:AA55" si="4">W4+X4+Z4-Y4</f>
        <v>1639013.6</v>
      </c>
      <c r="AB4" s="58">
        <f>AF3</f>
        <v>3641400</v>
      </c>
      <c r="AE4" s="58">
        <f>(AB4-AD4)*WAR!$G$19</f>
        <v>258539.39999999997</v>
      </c>
      <c r="AF4" s="58">
        <f t="shared" ref="AF4:AF55" si="5">AB4+AC4+AE4-AD4</f>
        <v>3899939.4</v>
      </c>
      <c r="AG4" s="58">
        <f>AK3</f>
        <v>0</v>
      </c>
      <c r="AJ4" s="58">
        <f>(AG4-AI4)*WAR!$G$17</f>
        <v>0</v>
      </c>
      <c r="AK4" s="58">
        <f t="shared" ref="AK4:AK55" si="6">AG4+AH4+AJ4-AI4</f>
        <v>0</v>
      </c>
      <c r="AL4" s="58">
        <f>AP3</f>
        <v>0</v>
      </c>
      <c r="AO4" s="58">
        <f>(AL4-AN4)*WAR!$G$31</f>
        <v>0</v>
      </c>
      <c r="AP4" s="58">
        <f t="shared" ref="AP4:AP55" si="7">AL4+AM4+AO4-AN4</f>
        <v>0</v>
      </c>
      <c r="AQ4" s="58">
        <f>AU3</f>
        <v>11000000</v>
      </c>
      <c r="AT4" s="58">
        <f>(AQ4-AS4)*WAR!$G$28</f>
        <v>0</v>
      </c>
      <c r="AU4" s="58">
        <f t="shared" ref="AU4:AU55" si="8">AQ4+AR4+AT4-AS4</f>
        <v>11000000</v>
      </c>
      <c r="AV4" s="58">
        <f>AZ3</f>
        <v>0</v>
      </c>
      <c r="AY4" s="58">
        <f>(AV4-AX4)*WAR!$G$25</f>
        <v>0</v>
      </c>
      <c r="AZ4" s="58">
        <f t="shared" ref="AZ4:AZ55" si="9">AV4+AW4+AY4-AX4</f>
        <v>0</v>
      </c>
    </row>
    <row r="5" spans="1:52" x14ac:dyDescent="0.3">
      <c r="A5">
        <f t="shared" ref="A5:A55" si="10">A4+1</f>
        <v>2023</v>
      </c>
      <c r="B5" s="58">
        <v>2099520</v>
      </c>
      <c r="C5" s="58">
        <f t="shared" ref="C5:C55" si="11">G4</f>
        <v>6981506.1387</v>
      </c>
      <c r="F5" s="58">
        <f>(C5-E5)*WAR!$G$7</f>
        <v>767965.67525700002</v>
      </c>
      <c r="G5" s="58">
        <f t="shared" si="0"/>
        <v>7749471.8139570002</v>
      </c>
      <c r="H5" s="58">
        <f t="shared" ref="H5:H55" si="12">L4</f>
        <v>0</v>
      </c>
      <c r="K5" s="58">
        <f>(H5-J5)*WAR!$G$8</f>
        <v>0</v>
      </c>
      <c r="L5" s="58">
        <f t="shared" si="1"/>
        <v>0</v>
      </c>
      <c r="M5" s="58">
        <f t="shared" ref="M5:M55" si="13">Q4</f>
        <v>0</v>
      </c>
      <c r="P5" s="58">
        <f>(M5-O5)*WAR!$G$14</f>
        <v>0</v>
      </c>
      <c r="Q5" s="58">
        <f t="shared" si="2"/>
        <v>0</v>
      </c>
      <c r="R5" s="58">
        <f t="shared" ref="R5:R55" si="14">V4</f>
        <v>23899.985825</v>
      </c>
      <c r="U5" s="58">
        <f>(R5-T5)*WAR!$G$15</f>
        <v>1314.499220375</v>
      </c>
      <c r="V5" s="58">
        <f t="shared" si="3"/>
        <v>25214.485045375</v>
      </c>
      <c r="W5" s="58">
        <f t="shared" ref="W5:W55" si="15">AA4</f>
        <v>1639013.6</v>
      </c>
      <c r="Z5" s="58">
        <f>(W5-Y5)*WAR!$G$20</f>
        <v>134399.1152</v>
      </c>
      <c r="AA5" s="58">
        <f t="shared" si="4"/>
        <v>1773412.7152</v>
      </c>
      <c r="AB5" s="58">
        <f t="shared" ref="AB5:AB55" si="16">AF4</f>
        <v>3899939.4</v>
      </c>
      <c r="AE5" s="58">
        <f>(AB5-AD5)*WAR!$G$19</f>
        <v>276895.69739999995</v>
      </c>
      <c r="AF5" s="58">
        <f t="shared" si="5"/>
        <v>4176835.0973999999</v>
      </c>
      <c r="AG5" s="58">
        <f t="shared" ref="AG5:AG55" si="17">AK4</f>
        <v>0</v>
      </c>
      <c r="AJ5" s="58">
        <f>(AG5-AI5)*WAR!$G$17</f>
        <v>0</v>
      </c>
      <c r="AK5" s="58">
        <f t="shared" si="6"/>
        <v>0</v>
      </c>
      <c r="AL5" s="58">
        <f t="shared" ref="AL5:AL55" si="18">AP4</f>
        <v>0</v>
      </c>
      <c r="AO5" s="58">
        <f>(AL5-AN5)*WAR!$G$31</f>
        <v>0</v>
      </c>
      <c r="AP5" s="58">
        <f t="shared" si="7"/>
        <v>0</v>
      </c>
      <c r="AQ5" s="58">
        <f t="shared" ref="AQ5:AQ55" si="19">AU4</f>
        <v>11000000</v>
      </c>
      <c r="AT5" s="58">
        <f>(AQ5-AS5)*WAR!$G$28</f>
        <v>0</v>
      </c>
      <c r="AU5" s="58">
        <f t="shared" si="8"/>
        <v>11000000</v>
      </c>
      <c r="AV5" s="58">
        <f t="shared" ref="AV5:AV55" si="20">AZ4</f>
        <v>0</v>
      </c>
      <c r="AY5" s="58">
        <f>(AV5-AX5)*WAR!$G$25</f>
        <v>0</v>
      </c>
      <c r="AZ5" s="58">
        <f t="shared" si="9"/>
        <v>0</v>
      </c>
    </row>
    <row r="6" spans="1:52" x14ac:dyDescent="0.3">
      <c r="A6">
        <f t="shared" si="10"/>
        <v>2024</v>
      </c>
      <c r="B6" s="58">
        <v>1259712.0000000002</v>
      </c>
      <c r="C6" s="58">
        <f t="shared" si="11"/>
        <v>7749471.8139570002</v>
      </c>
      <c r="F6" s="58">
        <f>(C6-E6)*WAR!$G$7</f>
        <v>852441.89953527006</v>
      </c>
      <c r="G6" s="58">
        <f t="shared" si="0"/>
        <v>8601913.7134922706</v>
      </c>
      <c r="H6" s="58">
        <f t="shared" si="12"/>
        <v>0</v>
      </c>
      <c r="K6" s="58">
        <f>(H6-J6)*WAR!$G$8</f>
        <v>0</v>
      </c>
      <c r="L6" s="58">
        <f t="shared" si="1"/>
        <v>0</v>
      </c>
      <c r="M6" s="58">
        <f t="shared" si="13"/>
        <v>0</v>
      </c>
      <c r="P6" s="58">
        <f>(M6-O6)*WAR!$G$14</f>
        <v>0</v>
      </c>
      <c r="Q6" s="58">
        <f t="shared" si="2"/>
        <v>0</v>
      </c>
      <c r="R6" s="58">
        <f t="shared" si="14"/>
        <v>25214.485045375</v>
      </c>
      <c r="U6" s="58">
        <f>(R6-T6)*WAR!$G$15</f>
        <v>1386.7966774956251</v>
      </c>
      <c r="V6" s="58">
        <f t="shared" si="3"/>
        <v>26601.281722870626</v>
      </c>
      <c r="W6" s="58">
        <f t="shared" si="15"/>
        <v>1773412.7152</v>
      </c>
      <c r="Z6" s="58">
        <f>(W6-Y6)*WAR!$G$20</f>
        <v>145419.84264639998</v>
      </c>
      <c r="AA6" s="58">
        <f t="shared" si="4"/>
        <v>1918832.5578464</v>
      </c>
      <c r="AB6" s="58">
        <f t="shared" si="16"/>
        <v>4176835.0973999999</v>
      </c>
      <c r="AE6" s="58">
        <f>(AB6-AD6)*WAR!$G$19</f>
        <v>296555.29191539995</v>
      </c>
      <c r="AF6" s="58">
        <f t="shared" si="5"/>
        <v>4473390.3893154003</v>
      </c>
      <c r="AG6" s="58">
        <f t="shared" si="17"/>
        <v>0</v>
      </c>
      <c r="AJ6" s="58">
        <f>(AG6-AI6)*WAR!$G$17</f>
        <v>0</v>
      </c>
      <c r="AK6" s="58">
        <f t="shared" si="6"/>
        <v>0</v>
      </c>
      <c r="AL6" s="58">
        <f t="shared" si="18"/>
        <v>0</v>
      </c>
      <c r="AO6" s="58">
        <f>(AL6-AN6)*WAR!$G$31</f>
        <v>0</v>
      </c>
      <c r="AP6" s="58">
        <f t="shared" si="7"/>
        <v>0</v>
      </c>
      <c r="AQ6" s="58">
        <f t="shared" si="19"/>
        <v>11000000</v>
      </c>
      <c r="AT6" s="58">
        <f>(AQ6-AS6)*WAR!$G$28</f>
        <v>0</v>
      </c>
      <c r="AU6" s="58">
        <f t="shared" si="8"/>
        <v>11000000</v>
      </c>
      <c r="AV6" s="58">
        <f t="shared" si="20"/>
        <v>0</v>
      </c>
      <c r="AY6" s="58">
        <f>(AV6-AX6)*WAR!$G$25</f>
        <v>0</v>
      </c>
      <c r="AZ6" s="58">
        <f t="shared" si="9"/>
        <v>0</v>
      </c>
    </row>
    <row r="7" spans="1:52" x14ac:dyDescent="0.3">
      <c r="A7">
        <f t="shared" si="10"/>
        <v>2025</v>
      </c>
      <c r="B7" s="58">
        <v>2244806.7840000005</v>
      </c>
      <c r="C7" s="58">
        <f t="shared" si="11"/>
        <v>8601913.7134922706</v>
      </c>
      <c r="F7" s="58">
        <f>(C7-E7)*WAR!$G$7</f>
        <v>946210.50848414982</v>
      </c>
      <c r="G7" s="58">
        <f t="shared" si="0"/>
        <v>9548124.2219764199</v>
      </c>
      <c r="H7" s="58">
        <f t="shared" si="12"/>
        <v>0</v>
      </c>
      <c r="K7" s="58">
        <f>(H7-J7)*WAR!$G$8</f>
        <v>0</v>
      </c>
      <c r="L7" s="58">
        <f t="shared" si="1"/>
        <v>0</v>
      </c>
      <c r="M7" s="58">
        <f t="shared" si="13"/>
        <v>0</v>
      </c>
      <c r="P7" s="58">
        <f>(M7-O7)*WAR!$G$14</f>
        <v>0</v>
      </c>
      <c r="Q7" s="58">
        <f t="shared" si="2"/>
        <v>0</v>
      </c>
      <c r="R7" s="58">
        <f t="shared" si="14"/>
        <v>26601.281722870626</v>
      </c>
      <c r="U7" s="58">
        <f>(R7-T7)*WAR!$G$15</f>
        <v>1463.0704947578845</v>
      </c>
      <c r="V7" s="58">
        <f t="shared" si="3"/>
        <v>28064.352217628511</v>
      </c>
      <c r="W7" s="58">
        <f t="shared" si="15"/>
        <v>1918832.5578464</v>
      </c>
      <c r="Z7" s="58">
        <f>(W7-Y7)*WAR!$G$20</f>
        <v>157344.26974340479</v>
      </c>
      <c r="AA7" s="58">
        <f t="shared" si="4"/>
        <v>2076176.8275898048</v>
      </c>
      <c r="AB7" s="58">
        <f t="shared" si="16"/>
        <v>4473390.3893154003</v>
      </c>
      <c r="AE7" s="58">
        <f>(AB7-AD7)*WAR!$G$19</f>
        <v>317610.71764139336</v>
      </c>
      <c r="AF7" s="58">
        <f t="shared" si="5"/>
        <v>4791001.1069567939</v>
      </c>
      <c r="AG7" s="58">
        <f t="shared" si="17"/>
        <v>0</v>
      </c>
      <c r="AJ7" s="58">
        <f>(AG7-AI7)*WAR!$G$17</f>
        <v>0</v>
      </c>
      <c r="AK7" s="58">
        <f t="shared" si="6"/>
        <v>0</v>
      </c>
      <c r="AL7" s="58">
        <f t="shared" si="18"/>
        <v>0</v>
      </c>
      <c r="AO7" s="58">
        <f>(AL7-AN7)*WAR!$G$31</f>
        <v>0</v>
      </c>
      <c r="AP7" s="58">
        <f t="shared" si="7"/>
        <v>0</v>
      </c>
      <c r="AQ7" s="58">
        <f t="shared" si="19"/>
        <v>11000000</v>
      </c>
      <c r="AT7" s="58">
        <f>(AQ7-AS7)*WAR!$G$28</f>
        <v>0</v>
      </c>
      <c r="AU7" s="58">
        <f t="shared" si="8"/>
        <v>11000000</v>
      </c>
      <c r="AV7" s="58">
        <f t="shared" si="20"/>
        <v>0</v>
      </c>
      <c r="AY7" s="58">
        <f>(AV7-AX7)*WAR!$G$25</f>
        <v>0</v>
      </c>
      <c r="AZ7" s="58">
        <f t="shared" si="9"/>
        <v>0</v>
      </c>
    </row>
    <row r="8" spans="1:52" x14ac:dyDescent="0.3">
      <c r="A8">
        <f t="shared" si="10"/>
        <v>2026</v>
      </c>
      <c r="B8" s="58">
        <v>1469328.0768000004</v>
      </c>
      <c r="C8" s="58">
        <f t="shared" si="11"/>
        <v>9548124.2219764199</v>
      </c>
      <c r="F8" s="58">
        <f>(C8-E8)*WAR!$G$7</f>
        <v>1050293.6644174063</v>
      </c>
      <c r="G8" s="58">
        <f t="shared" si="0"/>
        <v>10598417.886393826</v>
      </c>
      <c r="H8" s="58">
        <f t="shared" si="12"/>
        <v>0</v>
      </c>
      <c r="K8" s="58">
        <f>(H8-J8)*WAR!$G$8</f>
        <v>0</v>
      </c>
      <c r="L8" s="58">
        <f t="shared" si="1"/>
        <v>0</v>
      </c>
      <c r="M8" s="58">
        <f t="shared" si="13"/>
        <v>0</v>
      </c>
      <c r="P8" s="58">
        <f>(M8-O8)*WAR!$G$14</f>
        <v>0</v>
      </c>
      <c r="Q8" s="58">
        <f t="shared" si="2"/>
        <v>0</v>
      </c>
      <c r="R8" s="58">
        <f t="shared" si="14"/>
        <v>28064.352217628511</v>
      </c>
      <c r="U8" s="58">
        <f>(R8-T8)*WAR!$G$15</f>
        <v>1543.539371969568</v>
      </c>
      <c r="V8" s="58">
        <f t="shared" si="3"/>
        <v>29607.891589598079</v>
      </c>
      <c r="W8" s="58">
        <f t="shared" si="15"/>
        <v>2076176.8275898048</v>
      </c>
      <c r="Z8" s="58">
        <f>(W8-Y8)*WAR!$G$20</f>
        <v>170246.49986236397</v>
      </c>
      <c r="AA8" s="58">
        <f t="shared" si="4"/>
        <v>2246423.3274521688</v>
      </c>
      <c r="AB8" s="58">
        <f t="shared" si="16"/>
        <v>4791001.1069567939</v>
      </c>
      <c r="AE8" s="58">
        <f>(AB8-AD8)*WAR!$G$19</f>
        <v>340161.07859393233</v>
      </c>
      <c r="AF8" s="58">
        <f t="shared" si="5"/>
        <v>5131162.185550726</v>
      </c>
      <c r="AG8" s="58">
        <f t="shared" si="17"/>
        <v>0</v>
      </c>
      <c r="AJ8" s="58">
        <f>(AG8-AI8)*WAR!$G$17</f>
        <v>0</v>
      </c>
      <c r="AK8" s="58">
        <f t="shared" si="6"/>
        <v>0</v>
      </c>
      <c r="AL8" s="58">
        <f t="shared" si="18"/>
        <v>0</v>
      </c>
      <c r="AO8" s="58">
        <f>(AL8-AN8)*WAR!$G$31</f>
        <v>0</v>
      </c>
      <c r="AP8" s="58">
        <f t="shared" si="7"/>
        <v>0</v>
      </c>
      <c r="AQ8" s="58">
        <f t="shared" si="19"/>
        <v>11000000</v>
      </c>
      <c r="AT8" s="58">
        <f>(AQ8-AS8)*WAR!$G$28</f>
        <v>0</v>
      </c>
      <c r="AU8" s="58">
        <f t="shared" si="8"/>
        <v>11000000</v>
      </c>
      <c r="AV8" s="58">
        <f t="shared" si="20"/>
        <v>0</v>
      </c>
      <c r="AY8" s="58">
        <f>(AV8-AX8)*WAR!$G$25</f>
        <v>0</v>
      </c>
      <c r="AZ8" s="58">
        <f t="shared" si="9"/>
        <v>0</v>
      </c>
    </row>
    <row r="9" spans="1:52" x14ac:dyDescent="0.3">
      <c r="A9">
        <f t="shared" si="10"/>
        <v>2027</v>
      </c>
      <c r="B9" s="58">
        <v>0</v>
      </c>
      <c r="C9" s="58">
        <f t="shared" si="11"/>
        <v>10598417.886393826</v>
      </c>
      <c r="F9" s="58">
        <f>(C9-E9)*WAR!$G$7</f>
        <v>1165825.9675033209</v>
      </c>
      <c r="G9" s="58">
        <f t="shared" si="0"/>
        <v>11764243.853897147</v>
      </c>
      <c r="H9" s="58">
        <f t="shared" si="12"/>
        <v>0</v>
      </c>
      <c r="K9" s="58">
        <f>(H9-J9)*WAR!$G$8</f>
        <v>0</v>
      </c>
      <c r="L9" s="58">
        <f t="shared" si="1"/>
        <v>0</v>
      </c>
      <c r="M9" s="58">
        <f t="shared" si="13"/>
        <v>0</v>
      </c>
      <c r="P9" s="58">
        <f>(M9-O9)*WAR!$G$14</f>
        <v>0</v>
      </c>
      <c r="Q9" s="58">
        <f t="shared" si="2"/>
        <v>0</v>
      </c>
      <c r="R9" s="58">
        <f t="shared" si="14"/>
        <v>29607.891589598079</v>
      </c>
      <c r="U9" s="58">
        <f>(R9-T9)*WAR!$G$15</f>
        <v>1628.4340374278943</v>
      </c>
      <c r="V9" s="58">
        <f t="shared" si="3"/>
        <v>31236.325627025974</v>
      </c>
      <c r="W9" s="58">
        <f t="shared" si="15"/>
        <v>2246423.3274521688</v>
      </c>
      <c r="Z9" s="58">
        <f>(W9-Y9)*WAR!$G$20</f>
        <v>184206.71285107781</v>
      </c>
      <c r="AA9" s="58">
        <f t="shared" si="4"/>
        <v>2430630.0403032466</v>
      </c>
      <c r="AB9" s="58">
        <f t="shared" si="16"/>
        <v>5131162.185550726</v>
      </c>
      <c r="AE9" s="58">
        <f>(AB9-AD9)*WAR!$G$19</f>
        <v>364312.51517410151</v>
      </c>
      <c r="AF9" s="58">
        <f t="shared" si="5"/>
        <v>5495474.7007248271</v>
      </c>
      <c r="AG9" s="58">
        <f t="shared" si="17"/>
        <v>0</v>
      </c>
      <c r="AJ9" s="58">
        <f>(AG9-AI9)*WAR!$G$17</f>
        <v>0</v>
      </c>
      <c r="AK9" s="58">
        <f t="shared" si="6"/>
        <v>0</v>
      </c>
      <c r="AL9" s="58">
        <f t="shared" si="18"/>
        <v>0</v>
      </c>
      <c r="AO9" s="58">
        <f>(AL9-AN9)*WAR!$G$31</f>
        <v>0</v>
      </c>
      <c r="AP9" s="58">
        <f t="shared" si="7"/>
        <v>0</v>
      </c>
      <c r="AQ9" s="58">
        <f t="shared" si="19"/>
        <v>11000000</v>
      </c>
      <c r="AT9" s="58">
        <f>(AQ9-AS9)*WAR!$G$28</f>
        <v>0</v>
      </c>
      <c r="AU9" s="58">
        <f t="shared" si="8"/>
        <v>11000000</v>
      </c>
      <c r="AV9" s="58">
        <f t="shared" si="20"/>
        <v>0</v>
      </c>
      <c r="AY9" s="58">
        <f>(AV9-AX9)*WAR!$G$25</f>
        <v>0</v>
      </c>
      <c r="AZ9" s="58">
        <f t="shared" si="9"/>
        <v>0</v>
      </c>
    </row>
    <row r="10" spans="1:52" x14ac:dyDescent="0.3">
      <c r="A10">
        <f t="shared" si="10"/>
        <v>2028</v>
      </c>
      <c r="B10" s="58">
        <v>0</v>
      </c>
      <c r="C10" s="58">
        <f t="shared" si="11"/>
        <v>11764243.853897147</v>
      </c>
      <c r="F10" s="58">
        <f>(C10-E10)*WAR!$G$7</f>
        <v>1294066.8239286861</v>
      </c>
      <c r="G10" s="58">
        <f t="shared" si="0"/>
        <v>13058310.677825833</v>
      </c>
      <c r="H10" s="58">
        <f t="shared" si="12"/>
        <v>0</v>
      </c>
      <c r="K10" s="58">
        <f>(H10-J10)*WAR!$G$8</f>
        <v>0</v>
      </c>
      <c r="L10" s="58">
        <f t="shared" si="1"/>
        <v>0</v>
      </c>
      <c r="M10" s="58">
        <f t="shared" si="13"/>
        <v>0</v>
      </c>
      <c r="P10" s="58">
        <f>(M10-O10)*WAR!$G$14</f>
        <v>0</v>
      </c>
      <c r="Q10" s="58">
        <f t="shared" si="2"/>
        <v>0</v>
      </c>
      <c r="R10" s="58">
        <f t="shared" si="14"/>
        <v>31236.325627025974</v>
      </c>
      <c r="U10" s="58">
        <f>(R10-T10)*WAR!$G$15</f>
        <v>1717.9979094864286</v>
      </c>
      <c r="V10" s="58">
        <f t="shared" si="3"/>
        <v>32954.323536512406</v>
      </c>
      <c r="W10" s="58">
        <f t="shared" si="15"/>
        <v>2430630.0403032466</v>
      </c>
      <c r="Z10" s="58">
        <f>(W10-Y10)*WAR!$G$20</f>
        <v>199311.6633048662</v>
      </c>
      <c r="AA10" s="58">
        <f t="shared" si="4"/>
        <v>2629941.7036081129</v>
      </c>
      <c r="AB10" s="58">
        <f t="shared" si="16"/>
        <v>5495474.7007248271</v>
      </c>
      <c r="AE10" s="58">
        <f>(AB10-AD10)*WAR!$G$19</f>
        <v>390178.70375146269</v>
      </c>
      <c r="AF10" s="58">
        <f t="shared" si="5"/>
        <v>5885653.4044762896</v>
      </c>
      <c r="AG10" s="58">
        <f t="shared" si="17"/>
        <v>0</v>
      </c>
      <c r="AJ10" s="58">
        <f>(AG10-AI10)*WAR!$G$17</f>
        <v>0</v>
      </c>
      <c r="AK10" s="58">
        <f t="shared" si="6"/>
        <v>0</v>
      </c>
      <c r="AL10" s="58">
        <f t="shared" si="18"/>
        <v>0</v>
      </c>
      <c r="AO10" s="58">
        <f>(AL10-AN10)*WAR!$G$31</f>
        <v>0</v>
      </c>
      <c r="AP10" s="58">
        <f t="shared" si="7"/>
        <v>0</v>
      </c>
      <c r="AQ10" s="58">
        <f t="shared" si="19"/>
        <v>11000000</v>
      </c>
      <c r="AT10" s="58">
        <f>(AQ10-AS10)*WAR!$G$28</f>
        <v>0</v>
      </c>
      <c r="AU10" s="58">
        <f t="shared" si="8"/>
        <v>11000000</v>
      </c>
      <c r="AV10" s="58">
        <f t="shared" si="20"/>
        <v>0</v>
      </c>
      <c r="AY10" s="58">
        <f>(AV10-AX10)*WAR!$G$25</f>
        <v>0</v>
      </c>
      <c r="AZ10" s="58">
        <f t="shared" si="9"/>
        <v>0</v>
      </c>
    </row>
    <row r="11" spans="1:52" x14ac:dyDescent="0.3">
      <c r="A11">
        <f t="shared" si="10"/>
        <v>2029</v>
      </c>
      <c r="B11" s="58">
        <v>0</v>
      </c>
      <c r="C11" s="58">
        <f t="shared" si="11"/>
        <v>13058310.677825833</v>
      </c>
      <c r="F11" s="58">
        <f>(C11-E11)*WAR!$G$7</f>
        <v>1436414.1745608416</v>
      </c>
      <c r="G11" s="58">
        <f t="shared" si="0"/>
        <v>14494724.852386674</v>
      </c>
      <c r="H11" s="58">
        <f t="shared" si="12"/>
        <v>0</v>
      </c>
      <c r="K11" s="58">
        <f>(H11-J11)*WAR!$G$8</f>
        <v>0</v>
      </c>
      <c r="L11" s="58">
        <f t="shared" si="1"/>
        <v>0</v>
      </c>
      <c r="M11" s="58">
        <f t="shared" si="13"/>
        <v>0</v>
      </c>
      <c r="P11" s="58">
        <f>(M11-O11)*WAR!$G$14</f>
        <v>0</v>
      </c>
      <c r="Q11" s="58">
        <f t="shared" si="2"/>
        <v>0</v>
      </c>
      <c r="R11" s="58">
        <f t="shared" si="14"/>
        <v>32954.323536512406</v>
      </c>
      <c r="U11" s="58">
        <f>(R11-T11)*WAR!$G$15</f>
        <v>1812.4877945081823</v>
      </c>
      <c r="V11" s="58">
        <f t="shared" si="3"/>
        <v>34766.811331020588</v>
      </c>
      <c r="W11" s="58">
        <f t="shared" si="15"/>
        <v>2629941.7036081129</v>
      </c>
      <c r="Z11" s="58">
        <f>(W11-Y11)*WAR!$G$20</f>
        <v>215655.21969586523</v>
      </c>
      <c r="AA11" s="58">
        <f t="shared" si="4"/>
        <v>2845596.9233039781</v>
      </c>
      <c r="AB11" s="58">
        <f t="shared" si="16"/>
        <v>5885653.4044762896</v>
      </c>
      <c r="AE11" s="58">
        <f>(AB11-AD11)*WAR!$G$19</f>
        <v>417881.39171781653</v>
      </c>
      <c r="AF11" s="58">
        <f t="shared" si="5"/>
        <v>6303534.7961941063</v>
      </c>
      <c r="AG11" s="58">
        <f t="shared" si="17"/>
        <v>0</v>
      </c>
      <c r="AJ11" s="58">
        <f>(AG11-AI11)*WAR!$G$17</f>
        <v>0</v>
      </c>
      <c r="AK11" s="58">
        <f t="shared" si="6"/>
        <v>0</v>
      </c>
      <c r="AL11" s="58">
        <f t="shared" si="18"/>
        <v>0</v>
      </c>
      <c r="AO11" s="58">
        <f>(AL11-AN11)*WAR!$G$31</f>
        <v>0</v>
      </c>
      <c r="AP11" s="58">
        <f t="shared" si="7"/>
        <v>0</v>
      </c>
      <c r="AQ11" s="58">
        <f t="shared" si="19"/>
        <v>11000000</v>
      </c>
      <c r="AT11" s="58">
        <f>(AQ11-AS11)*WAR!$G$28</f>
        <v>0</v>
      </c>
      <c r="AU11" s="58">
        <f t="shared" si="8"/>
        <v>11000000</v>
      </c>
      <c r="AV11" s="58">
        <f t="shared" si="20"/>
        <v>0</v>
      </c>
      <c r="AY11" s="58">
        <f>(AV11-AX11)*WAR!$G$25</f>
        <v>0</v>
      </c>
      <c r="AZ11" s="58">
        <f t="shared" si="9"/>
        <v>0</v>
      </c>
    </row>
    <row r="12" spans="1:52" x14ac:dyDescent="0.3">
      <c r="A12">
        <f t="shared" si="10"/>
        <v>2030</v>
      </c>
      <c r="B12" s="58">
        <v>0</v>
      </c>
      <c r="C12" s="58">
        <f t="shared" si="11"/>
        <v>14494724.852386674</v>
      </c>
      <c r="F12" s="58">
        <f>(C12-E12)*WAR!$G$7</f>
        <v>1594419.7337625341</v>
      </c>
      <c r="G12" s="58">
        <f t="shared" si="0"/>
        <v>16089144.586149208</v>
      </c>
      <c r="H12" s="58">
        <f t="shared" si="12"/>
        <v>0</v>
      </c>
      <c r="K12" s="58">
        <f>(H12-J12)*WAR!$G$8</f>
        <v>0</v>
      </c>
      <c r="L12" s="58">
        <f t="shared" si="1"/>
        <v>0</v>
      </c>
      <c r="M12" s="58">
        <f t="shared" si="13"/>
        <v>0</v>
      </c>
      <c r="P12" s="58">
        <f>(M12-O12)*WAR!$G$14</f>
        <v>0</v>
      </c>
      <c r="Q12" s="58">
        <f t="shared" si="2"/>
        <v>0</v>
      </c>
      <c r="R12" s="58">
        <f t="shared" si="14"/>
        <v>34766.811331020588</v>
      </c>
      <c r="U12" s="58">
        <f>(R12-T12)*WAR!$G$15</f>
        <v>1912.1746232061323</v>
      </c>
      <c r="V12" s="58">
        <f t="shared" si="3"/>
        <v>36678.985954226722</v>
      </c>
      <c r="W12" s="58">
        <f t="shared" si="15"/>
        <v>2845596.9233039781</v>
      </c>
      <c r="Z12" s="58">
        <f>(W12-Y12)*WAR!$G$20</f>
        <v>233338.94771092618</v>
      </c>
      <c r="AA12" s="58">
        <f t="shared" si="4"/>
        <v>3078935.8710149042</v>
      </c>
      <c r="AB12" s="58">
        <f t="shared" si="16"/>
        <v>6303534.7961941063</v>
      </c>
      <c r="AE12" s="58">
        <f>(AB12-AD12)*WAR!$G$19</f>
        <v>447550.97052978154</v>
      </c>
      <c r="AF12" s="58">
        <f t="shared" si="5"/>
        <v>6751085.766723888</v>
      </c>
      <c r="AG12" s="58">
        <f t="shared" si="17"/>
        <v>0</v>
      </c>
      <c r="AJ12" s="58">
        <f>(AG12-AI12)*WAR!$G$17</f>
        <v>0</v>
      </c>
      <c r="AK12" s="58">
        <f t="shared" si="6"/>
        <v>0</v>
      </c>
      <c r="AL12" s="58">
        <f t="shared" si="18"/>
        <v>0</v>
      </c>
      <c r="AO12" s="58">
        <f>(AL12-AN12)*WAR!$G$31</f>
        <v>0</v>
      </c>
      <c r="AP12" s="58">
        <f t="shared" si="7"/>
        <v>0</v>
      </c>
      <c r="AQ12" s="58">
        <f t="shared" si="19"/>
        <v>11000000</v>
      </c>
      <c r="AT12" s="58">
        <f>(AQ12-AS12)*WAR!$G$28</f>
        <v>0</v>
      </c>
      <c r="AU12" s="58">
        <f t="shared" si="8"/>
        <v>11000000</v>
      </c>
      <c r="AV12" s="58">
        <f t="shared" si="20"/>
        <v>0</v>
      </c>
      <c r="AY12" s="58">
        <f>(AV12-AX12)*WAR!$G$25</f>
        <v>0</v>
      </c>
      <c r="AZ12" s="58">
        <f t="shared" si="9"/>
        <v>0</v>
      </c>
    </row>
    <row r="13" spans="1:52" x14ac:dyDescent="0.3">
      <c r="A13">
        <f t="shared" si="10"/>
        <v>2031</v>
      </c>
      <c r="B13" s="58">
        <v>9715162.4877275452</v>
      </c>
      <c r="C13" s="58">
        <f t="shared" si="11"/>
        <v>16089144.586149208</v>
      </c>
      <c r="F13" s="58">
        <f>(C13-E13)*WAR!$G$7</f>
        <v>1769805.9044764128</v>
      </c>
      <c r="G13" s="58">
        <f t="shared" si="0"/>
        <v>17858950.49062562</v>
      </c>
      <c r="H13" s="58">
        <f t="shared" si="12"/>
        <v>0</v>
      </c>
      <c r="K13" s="58">
        <f>(H13-J13)*WAR!$G$8</f>
        <v>0</v>
      </c>
      <c r="L13" s="58">
        <f t="shared" si="1"/>
        <v>0</v>
      </c>
      <c r="M13" s="58">
        <f t="shared" si="13"/>
        <v>0</v>
      </c>
      <c r="P13" s="58">
        <f>(M13-O13)*WAR!$G$14</f>
        <v>0</v>
      </c>
      <c r="Q13" s="58">
        <f t="shared" si="2"/>
        <v>0</v>
      </c>
      <c r="R13" s="58">
        <f t="shared" si="14"/>
        <v>36678.985954226722</v>
      </c>
      <c r="U13" s="58">
        <f>(R13-T13)*WAR!$G$15</f>
        <v>2017.3442274824697</v>
      </c>
      <c r="V13" s="58">
        <f t="shared" si="3"/>
        <v>38696.330181709192</v>
      </c>
      <c r="W13" s="58">
        <f t="shared" si="15"/>
        <v>3078935.8710149042</v>
      </c>
      <c r="Z13" s="58">
        <f>(W13-Y13)*WAR!$G$20</f>
        <v>252472.74142322212</v>
      </c>
      <c r="AA13" s="58">
        <f t="shared" si="4"/>
        <v>3331408.6124381265</v>
      </c>
      <c r="AB13" s="58">
        <f t="shared" si="16"/>
        <v>6751085.766723888</v>
      </c>
      <c r="AE13" s="58">
        <f>(AB13-AD13)*WAR!$G$19</f>
        <v>479327.08943739603</v>
      </c>
      <c r="AF13" s="58">
        <f t="shared" si="5"/>
        <v>7230412.8561612843</v>
      </c>
      <c r="AG13" s="58">
        <f t="shared" si="17"/>
        <v>0</v>
      </c>
      <c r="AJ13" s="58">
        <f>(AG13-AI13)*WAR!$G$17</f>
        <v>0</v>
      </c>
      <c r="AK13" s="58">
        <f t="shared" si="6"/>
        <v>0</v>
      </c>
      <c r="AL13" s="58">
        <f t="shared" si="18"/>
        <v>0</v>
      </c>
      <c r="AO13" s="58">
        <f>(AL13-AN13)*WAR!$G$31</f>
        <v>0</v>
      </c>
      <c r="AP13" s="58">
        <f t="shared" si="7"/>
        <v>0</v>
      </c>
      <c r="AQ13" s="58">
        <f t="shared" si="19"/>
        <v>11000000</v>
      </c>
      <c r="AT13" s="58">
        <f>(AQ13-AS13)*WAR!$G$28</f>
        <v>0</v>
      </c>
      <c r="AU13" s="58">
        <f t="shared" si="8"/>
        <v>11000000</v>
      </c>
      <c r="AV13" s="58">
        <f t="shared" si="20"/>
        <v>0</v>
      </c>
      <c r="AY13" s="58">
        <f>(AV13-AX13)*WAR!$G$25</f>
        <v>0</v>
      </c>
      <c r="AZ13" s="58">
        <f t="shared" si="9"/>
        <v>0</v>
      </c>
    </row>
    <row r="14" spans="1:52" x14ac:dyDescent="0.3">
      <c r="A14">
        <f t="shared" si="10"/>
        <v>2032</v>
      </c>
      <c r="B14" s="58">
        <v>0</v>
      </c>
      <c r="C14" s="58">
        <f t="shared" si="11"/>
        <v>17858950.49062562</v>
      </c>
      <c r="F14" s="58">
        <f>(C14-E14)*WAR!$G$7</f>
        <v>1964484.5539688182</v>
      </c>
      <c r="G14" s="58">
        <f t="shared" si="0"/>
        <v>19823435.044594437</v>
      </c>
      <c r="H14" s="58">
        <f t="shared" si="12"/>
        <v>0</v>
      </c>
      <c r="K14" s="58">
        <f>(H14-J14)*WAR!$G$8</f>
        <v>0</v>
      </c>
      <c r="L14" s="58">
        <f t="shared" si="1"/>
        <v>0</v>
      </c>
      <c r="M14" s="58">
        <f t="shared" si="13"/>
        <v>0</v>
      </c>
      <c r="P14" s="58">
        <f>(M14-O14)*WAR!$G$14</f>
        <v>0</v>
      </c>
      <c r="Q14" s="58">
        <f t="shared" si="2"/>
        <v>0</v>
      </c>
      <c r="R14" s="58">
        <f t="shared" si="14"/>
        <v>38696.330181709192</v>
      </c>
      <c r="U14" s="58">
        <f>(R14-T14)*WAR!$G$15</f>
        <v>2128.2981599940058</v>
      </c>
      <c r="V14" s="58">
        <f t="shared" si="3"/>
        <v>40824.628341703195</v>
      </c>
      <c r="W14" s="58">
        <f t="shared" si="15"/>
        <v>3331408.6124381265</v>
      </c>
      <c r="Z14" s="58">
        <f>(W14-Y14)*WAR!$G$20</f>
        <v>273175.50621992635</v>
      </c>
      <c r="AA14" s="58">
        <f t="shared" si="4"/>
        <v>3604584.1186580528</v>
      </c>
      <c r="AB14" s="58">
        <f t="shared" si="16"/>
        <v>7230412.8561612843</v>
      </c>
      <c r="AE14" s="58">
        <f>(AB14-AD14)*WAR!$G$19</f>
        <v>513359.31278745114</v>
      </c>
      <c r="AF14" s="58">
        <f t="shared" si="5"/>
        <v>7743772.1689487351</v>
      </c>
      <c r="AG14" s="58">
        <f t="shared" si="17"/>
        <v>0</v>
      </c>
      <c r="AJ14" s="58">
        <f>(AG14-AI14)*WAR!$G$17</f>
        <v>0</v>
      </c>
      <c r="AK14" s="58">
        <f t="shared" si="6"/>
        <v>0</v>
      </c>
      <c r="AL14" s="58">
        <f t="shared" si="18"/>
        <v>0</v>
      </c>
      <c r="AO14" s="58">
        <f>(AL14-AN14)*WAR!$G$31</f>
        <v>0</v>
      </c>
      <c r="AP14" s="58">
        <f t="shared" si="7"/>
        <v>0</v>
      </c>
      <c r="AQ14" s="58">
        <f t="shared" si="19"/>
        <v>11000000</v>
      </c>
      <c r="AT14" s="58">
        <f>(AQ14-AS14)*WAR!$G$28</f>
        <v>0</v>
      </c>
      <c r="AU14" s="58">
        <f t="shared" si="8"/>
        <v>11000000</v>
      </c>
      <c r="AV14" s="58">
        <f t="shared" si="20"/>
        <v>0</v>
      </c>
      <c r="AY14" s="58">
        <f>(AV14-AX14)*WAR!$G$25</f>
        <v>0</v>
      </c>
      <c r="AZ14" s="58">
        <f t="shared" si="9"/>
        <v>0</v>
      </c>
    </row>
    <row r="15" spans="1:52" x14ac:dyDescent="0.3">
      <c r="A15">
        <f t="shared" si="10"/>
        <v>2033</v>
      </c>
      <c r="B15" s="58">
        <v>0</v>
      </c>
      <c r="C15" s="58">
        <f t="shared" si="11"/>
        <v>19823435.044594437</v>
      </c>
      <c r="F15" s="58">
        <f>(C15-E15)*WAR!$G$7</f>
        <v>2180577.8549053879</v>
      </c>
      <c r="G15" s="58">
        <f t="shared" si="0"/>
        <v>22004012.899499826</v>
      </c>
      <c r="H15" s="58">
        <f t="shared" si="12"/>
        <v>0</v>
      </c>
      <c r="K15" s="58">
        <f>(H15-J15)*WAR!$G$8</f>
        <v>0</v>
      </c>
      <c r="L15" s="58">
        <f t="shared" si="1"/>
        <v>0</v>
      </c>
      <c r="M15" s="58">
        <f t="shared" si="13"/>
        <v>0</v>
      </c>
      <c r="P15" s="58">
        <f>(M15-O15)*WAR!$G$14</f>
        <v>0</v>
      </c>
      <c r="Q15" s="58">
        <f t="shared" si="2"/>
        <v>0</v>
      </c>
      <c r="R15" s="58">
        <f t="shared" si="14"/>
        <v>40824.628341703195</v>
      </c>
      <c r="U15" s="58">
        <f>(R15-T15)*WAR!$G$15</f>
        <v>2245.3545587936756</v>
      </c>
      <c r="V15" s="58">
        <f t="shared" si="3"/>
        <v>43069.982900496871</v>
      </c>
      <c r="W15" s="58">
        <f t="shared" si="15"/>
        <v>3604584.1186580528</v>
      </c>
      <c r="Z15" s="58">
        <f>(W15-Y15)*WAR!$G$20</f>
        <v>295575.89772996027</v>
      </c>
      <c r="AA15" s="58">
        <f t="shared" si="4"/>
        <v>3900160.016388013</v>
      </c>
      <c r="AB15" s="58">
        <f t="shared" si="16"/>
        <v>7743772.1689487351</v>
      </c>
      <c r="AE15" s="58">
        <f>(AB15-AD15)*WAR!$G$19</f>
        <v>549807.82399536017</v>
      </c>
      <c r="AF15" s="58">
        <f t="shared" si="5"/>
        <v>8293579.9929440953</v>
      </c>
      <c r="AG15" s="58">
        <f t="shared" si="17"/>
        <v>0</v>
      </c>
      <c r="AJ15" s="58">
        <f>(AG15-AI15)*WAR!$G$17</f>
        <v>0</v>
      </c>
      <c r="AK15" s="58">
        <f t="shared" si="6"/>
        <v>0</v>
      </c>
      <c r="AL15" s="58">
        <f t="shared" si="18"/>
        <v>0</v>
      </c>
      <c r="AO15" s="58">
        <f>(AL15-AN15)*WAR!$G$31</f>
        <v>0</v>
      </c>
      <c r="AP15" s="58">
        <f t="shared" si="7"/>
        <v>0</v>
      </c>
      <c r="AQ15" s="58">
        <f t="shared" si="19"/>
        <v>11000000</v>
      </c>
      <c r="AT15" s="58">
        <f>(AQ15-AS15)*WAR!$G$28</f>
        <v>0</v>
      </c>
      <c r="AU15" s="58">
        <f t="shared" si="8"/>
        <v>11000000</v>
      </c>
      <c r="AV15" s="58">
        <f t="shared" si="20"/>
        <v>0</v>
      </c>
      <c r="AY15" s="58">
        <f>(AV15-AX15)*WAR!$G$25</f>
        <v>0</v>
      </c>
      <c r="AZ15" s="58">
        <f t="shared" si="9"/>
        <v>0</v>
      </c>
    </row>
    <row r="16" spans="1:52" x14ac:dyDescent="0.3">
      <c r="A16">
        <f t="shared" si="10"/>
        <v>2034</v>
      </c>
      <c r="B16" s="58">
        <v>0</v>
      </c>
      <c r="C16" s="58">
        <f t="shared" si="11"/>
        <v>22004012.899499826</v>
      </c>
      <c r="F16" s="58">
        <f>(C16-E16)*WAR!$G$7</f>
        <v>2420441.4189449809</v>
      </c>
      <c r="G16" s="58">
        <f t="shared" si="0"/>
        <v>24424454.318444807</v>
      </c>
      <c r="H16" s="58">
        <f t="shared" si="12"/>
        <v>0</v>
      </c>
      <c r="K16" s="58">
        <f>(H16-J16)*WAR!$G$8</f>
        <v>0</v>
      </c>
      <c r="L16" s="58">
        <f t="shared" si="1"/>
        <v>0</v>
      </c>
      <c r="M16" s="58">
        <f t="shared" si="13"/>
        <v>0</v>
      </c>
      <c r="P16" s="58">
        <f>(M16-O16)*WAR!$G$14</f>
        <v>0</v>
      </c>
      <c r="Q16" s="58">
        <f t="shared" si="2"/>
        <v>0</v>
      </c>
      <c r="R16" s="58">
        <f t="shared" si="14"/>
        <v>43069.982900496871</v>
      </c>
      <c r="U16" s="58">
        <f>(R16-T16)*WAR!$G$15</f>
        <v>2368.8490595273279</v>
      </c>
      <c r="V16" s="58">
        <f t="shared" si="3"/>
        <v>45438.831960024196</v>
      </c>
      <c r="W16" s="58">
        <f t="shared" si="15"/>
        <v>3900160.016388013</v>
      </c>
      <c r="Z16" s="58">
        <f>(W16-Y16)*WAR!$G$20</f>
        <v>319813.12134381704</v>
      </c>
      <c r="AA16" s="58">
        <f t="shared" si="4"/>
        <v>4219973.1377318297</v>
      </c>
      <c r="AB16" s="58">
        <f t="shared" si="16"/>
        <v>8293579.9929440953</v>
      </c>
      <c r="AE16" s="58">
        <f>(AB16-AD16)*WAR!$G$19</f>
        <v>588844.1794990307</v>
      </c>
      <c r="AF16" s="58">
        <f t="shared" si="5"/>
        <v>8882424.1724431254</v>
      </c>
      <c r="AG16" s="58">
        <f t="shared" si="17"/>
        <v>0</v>
      </c>
      <c r="AJ16" s="58">
        <f>(AG16-AI16)*WAR!$G$17</f>
        <v>0</v>
      </c>
      <c r="AK16" s="58">
        <f t="shared" si="6"/>
        <v>0</v>
      </c>
      <c r="AL16" s="58">
        <f t="shared" si="18"/>
        <v>0</v>
      </c>
      <c r="AO16" s="58">
        <f>(AL16-AN16)*WAR!$G$31</f>
        <v>0</v>
      </c>
      <c r="AP16" s="58">
        <f t="shared" si="7"/>
        <v>0</v>
      </c>
      <c r="AQ16" s="58">
        <f t="shared" si="19"/>
        <v>11000000</v>
      </c>
      <c r="AT16" s="58">
        <f>(AQ16-AS16)*WAR!$G$28</f>
        <v>0</v>
      </c>
      <c r="AU16" s="58">
        <f t="shared" si="8"/>
        <v>11000000</v>
      </c>
      <c r="AV16" s="58">
        <f t="shared" si="20"/>
        <v>0</v>
      </c>
      <c r="AY16" s="58">
        <f>(AV16-AX16)*WAR!$G$25</f>
        <v>0</v>
      </c>
      <c r="AZ16" s="58">
        <f t="shared" si="9"/>
        <v>0</v>
      </c>
    </row>
    <row r="17" spans="1:52" x14ac:dyDescent="0.3">
      <c r="A17">
        <f t="shared" si="10"/>
        <v>2035</v>
      </c>
      <c r="B17" s="58">
        <v>0</v>
      </c>
      <c r="C17" s="58">
        <f t="shared" si="11"/>
        <v>24424454.318444807</v>
      </c>
      <c r="F17" s="58">
        <f>(C17-E17)*WAR!$G$7</f>
        <v>2686689.9750289288</v>
      </c>
      <c r="G17" s="58">
        <f t="shared" si="0"/>
        <v>27111144.293473735</v>
      </c>
      <c r="H17" s="58">
        <f t="shared" si="12"/>
        <v>0</v>
      </c>
      <c r="K17" s="58">
        <f>(H17-J17)*WAR!$G$8</f>
        <v>0</v>
      </c>
      <c r="L17" s="58">
        <f t="shared" si="1"/>
        <v>0</v>
      </c>
      <c r="M17" s="58">
        <f t="shared" si="13"/>
        <v>0</v>
      </c>
      <c r="P17" s="58">
        <f>(M17-O17)*WAR!$G$14</f>
        <v>0</v>
      </c>
      <c r="Q17" s="58">
        <f t="shared" si="2"/>
        <v>0</v>
      </c>
      <c r="R17" s="58">
        <f t="shared" si="14"/>
        <v>45438.831960024196</v>
      </c>
      <c r="U17" s="58">
        <f>(R17-T17)*WAR!$G$15</f>
        <v>2499.1357578013308</v>
      </c>
      <c r="V17" s="58">
        <f t="shared" si="3"/>
        <v>47937.96771782553</v>
      </c>
      <c r="W17" s="58">
        <f t="shared" si="15"/>
        <v>4219973.1377318297</v>
      </c>
      <c r="Z17" s="58">
        <f>(W17-Y17)*WAR!$G$20</f>
        <v>346037.79729401</v>
      </c>
      <c r="AA17" s="58">
        <f t="shared" si="4"/>
        <v>4566010.9350258401</v>
      </c>
      <c r="AB17" s="58">
        <f t="shared" si="16"/>
        <v>8882424.1724431254</v>
      </c>
      <c r="AE17" s="58">
        <f>(AB17-AD17)*WAR!$G$19</f>
        <v>630652.11624346185</v>
      </c>
      <c r="AF17" s="58">
        <f t="shared" si="5"/>
        <v>9513076.2886865865</v>
      </c>
      <c r="AG17" s="58">
        <f t="shared" si="17"/>
        <v>0</v>
      </c>
      <c r="AJ17" s="58">
        <f>(AG17-AI17)*WAR!$G$17</f>
        <v>0</v>
      </c>
      <c r="AK17" s="58">
        <f t="shared" si="6"/>
        <v>0</v>
      </c>
      <c r="AL17" s="58">
        <f t="shared" si="18"/>
        <v>0</v>
      </c>
      <c r="AO17" s="58">
        <f>(AL17-AN17)*WAR!$G$31</f>
        <v>0</v>
      </c>
      <c r="AP17" s="58">
        <f t="shared" si="7"/>
        <v>0</v>
      </c>
      <c r="AQ17" s="58">
        <f t="shared" si="19"/>
        <v>11000000</v>
      </c>
      <c r="AT17" s="58">
        <f>(AQ17-AS17)*WAR!$G$28</f>
        <v>0</v>
      </c>
      <c r="AU17" s="58">
        <f t="shared" si="8"/>
        <v>11000000</v>
      </c>
      <c r="AV17" s="58">
        <f t="shared" si="20"/>
        <v>0</v>
      </c>
      <c r="AY17" s="58">
        <f>(AV17-AX17)*WAR!$G$25</f>
        <v>0</v>
      </c>
      <c r="AZ17" s="58">
        <f t="shared" si="9"/>
        <v>0</v>
      </c>
    </row>
    <row r="18" spans="1:52" x14ac:dyDescent="0.3">
      <c r="A18">
        <f t="shared" si="10"/>
        <v>2036</v>
      </c>
      <c r="B18" s="58">
        <v>0</v>
      </c>
      <c r="C18" s="58">
        <f t="shared" si="11"/>
        <v>27111144.293473735</v>
      </c>
      <c r="F18" s="58">
        <f>(C18-E18)*WAR!$G$7</f>
        <v>2982225.8722821111</v>
      </c>
      <c r="G18" s="58">
        <f t="shared" si="0"/>
        <v>30093370.165755846</v>
      </c>
      <c r="H18" s="58">
        <f t="shared" si="12"/>
        <v>0</v>
      </c>
      <c r="K18" s="58">
        <f>(H18-J18)*WAR!$G$8</f>
        <v>0</v>
      </c>
      <c r="L18" s="58">
        <f t="shared" si="1"/>
        <v>0</v>
      </c>
      <c r="M18" s="58">
        <f t="shared" si="13"/>
        <v>0</v>
      </c>
      <c r="P18" s="58">
        <f>(M18-O18)*WAR!$G$14</f>
        <v>0</v>
      </c>
      <c r="Q18" s="58">
        <f t="shared" si="2"/>
        <v>0</v>
      </c>
      <c r="R18" s="58">
        <f t="shared" si="14"/>
        <v>47937.96771782553</v>
      </c>
      <c r="U18" s="58">
        <f>(R18-T18)*WAR!$G$15</f>
        <v>2636.5882244804043</v>
      </c>
      <c r="V18" s="58">
        <f t="shared" si="3"/>
        <v>50574.555942305931</v>
      </c>
      <c r="W18" s="58">
        <f t="shared" si="15"/>
        <v>4566010.9350258401</v>
      </c>
      <c r="Z18" s="58">
        <f>(W18-Y18)*WAR!$G$20</f>
        <v>374412.89667211886</v>
      </c>
      <c r="AA18" s="58">
        <f t="shared" si="4"/>
        <v>4940423.8316979585</v>
      </c>
      <c r="AB18" s="58">
        <f t="shared" si="16"/>
        <v>9513076.2886865865</v>
      </c>
      <c r="AE18" s="58">
        <f>(AB18-AD18)*WAR!$G$19</f>
        <v>675428.41649674764</v>
      </c>
      <c r="AF18" s="58">
        <f t="shared" si="5"/>
        <v>10188504.705183335</v>
      </c>
      <c r="AG18" s="58">
        <f t="shared" si="17"/>
        <v>0</v>
      </c>
      <c r="AJ18" s="58">
        <f>(AG18-AI18)*WAR!$G$17</f>
        <v>0</v>
      </c>
      <c r="AK18" s="58">
        <f t="shared" si="6"/>
        <v>0</v>
      </c>
      <c r="AL18" s="58">
        <f t="shared" si="18"/>
        <v>0</v>
      </c>
      <c r="AO18" s="58">
        <f>(AL18-AN18)*WAR!$G$31</f>
        <v>0</v>
      </c>
      <c r="AP18" s="58">
        <f t="shared" si="7"/>
        <v>0</v>
      </c>
      <c r="AQ18" s="58">
        <f t="shared" si="19"/>
        <v>11000000</v>
      </c>
      <c r="AT18" s="58">
        <f>(AQ18-AS18)*WAR!$G$28</f>
        <v>0</v>
      </c>
      <c r="AU18" s="58">
        <f t="shared" si="8"/>
        <v>11000000</v>
      </c>
      <c r="AV18" s="58">
        <f t="shared" si="20"/>
        <v>0</v>
      </c>
      <c r="AY18" s="58">
        <f>(AV18-AX18)*WAR!$G$25</f>
        <v>0</v>
      </c>
      <c r="AZ18" s="58">
        <f t="shared" si="9"/>
        <v>0</v>
      </c>
    </row>
    <row r="19" spans="1:52" x14ac:dyDescent="0.3">
      <c r="A19">
        <f t="shared" si="10"/>
        <v>2037</v>
      </c>
      <c r="B19" s="58">
        <v>0</v>
      </c>
      <c r="C19" s="58">
        <f t="shared" si="11"/>
        <v>30093370.165755846</v>
      </c>
      <c r="F19" s="58">
        <f>(C19-E19)*WAR!$G$7</f>
        <v>3310270.718233143</v>
      </c>
      <c r="G19" s="58">
        <f t="shared" si="0"/>
        <v>33403640.883988988</v>
      </c>
      <c r="H19" s="58">
        <f t="shared" si="12"/>
        <v>0</v>
      </c>
      <c r="K19" s="58">
        <f>(H19-J19)*WAR!$G$8</f>
        <v>0</v>
      </c>
      <c r="L19" s="58">
        <f t="shared" si="1"/>
        <v>0</v>
      </c>
      <c r="M19" s="58">
        <f t="shared" si="13"/>
        <v>0</v>
      </c>
      <c r="P19" s="58">
        <f>(M19-O19)*WAR!$G$14</f>
        <v>0</v>
      </c>
      <c r="Q19" s="58">
        <f t="shared" si="2"/>
        <v>0</v>
      </c>
      <c r="R19" s="58">
        <f t="shared" si="14"/>
        <v>50574.555942305931</v>
      </c>
      <c r="U19" s="58">
        <f>(R19-T19)*WAR!$G$15</f>
        <v>2781.6005768268265</v>
      </c>
      <c r="V19" s="58">
        <f t="shared" si="3"/>
        <v>53356.156519132761</v>
      </c>
      <c r="W19" s="58">
        <f t="shared" si="15"/>
        <v>4940423.8316979585</v>
      </c>
      <c r="Z19" s="58">
        <f>(W19-Y19)*WAR!$G$20</f>
        <v>405114.75419923256</v>
      </c>
      <c r="AA19" s="58">
        <f t="shared" si="4"/>
        <v>5345538.5858971914</v>
      </c>
      <c r="AB19" s="58">
        <f t="shared" si="16"/>
        <v>10188504.705183335</v>
      </c>
      <c r="AE19" s="58">
        <f>(AB19-AD19)*WAR!$G$19</f>
        <v>723383.83406801673</v>
      </c>
      <c r="AF19" s="58">
        <f t="shared" si="5"/>
        <v>10911888.539251352</v>
      </c>
      <c r="AG19" s="58">
        <f t="shared" si="17"/>
        <v>0</v>
      </c>
      <c r="AJ19" s="58">
        <f>(AG19-AI19)*WAR!$G$17</f>
        <v>0</v>
      </c>
      <c r="AK19" s="58">
        <f t="shared" si="6"/>
        <v>0</v>
      </c>
      <c r="AL19" s="58">
        <f t="shared" si="18"/>
        <v>0</v>
      </c>
      <c r="AO19" s="58">
        <f>(AL19-AN19)*WAR!$G$31</f>
        <v>0</v>
      </c>
      <c r="AP19" s="58">
        <f t="shared" si="7"/>
        <v>0</v>
      </c>
      <c r="AQ19" s="58">
        <f t="shared" si="19"/>
        <v>11000000</v>
      </c>
      <c r="AT19" s="58">
        <f>(AQ19-AS19)*WAR!$G$28</f>
        <v>0</v>
      </c>
      <c r="AU19" s="58">
        <f t="shared" si="8"/>
        <v>11000000</v>
      </c>
      <c r="AV19" s="58">
        <f t="shared" si="20"/>
        <v>0</v>
      </c>
      <c r="AY19" s="58">
        <f>(AV19-AX19)*WAR!$G$25</f>
        <v>0</v>
      </c>
      <c r="AZ19" s="58">
        <f t="shared" si="9"/>
        <v>0</v>
      </c>
    </row>
    <row r="20" spans="1:52" x14ac:dyDescent="0.3">
      <c r="A20">
        <f t="shared" si="10"/>
        <v>2038</v>
      </c>
      <c r="B20" s="58">
        <v>0</v>
      </c>
      <c r="C20" s="58">
        <f t="shared" si="11"/>
        <v>33403640.883988988</v>
      </c>
      <c r="F20" s="58">
        <f>(C20-E20)*WAR!$G$7</f>
        <v>3674400.4972387888</v>
      </c>
      <c r="G20" s="58">
        <f t="shared" si="0"/>
        <v>37078041.381227776</v>
      </c>
      <c r="H20" s="58">
        <f t="shared" si="12"/>
        <v>0</v>
      </c>
      <c r="K20" s="58">
        <f>(H20-J20)*WAR!$G$8</f>
        <v>0</v>
      </c>
      <c r="L20" s="58">
        <f t="shared" si="1"/>
        <v>0</v>
      </c>
      <c r="M20" s="58">
        <f t="shared" si="13"/>
        <v>0</v>
      </c>
      <c r="P20" s="58">
        <f>(M20-O20)*WAR!$G$14</f>
        <v>0</v>
      </c>
      <c r="Q20" s="58">
        <f t="shared" si="2"/>
        <v>0</v>
      </c>
      <c r="R20" s="58">
        <f t="shared" si="14"/>
        <v>53356.156519132761</v>
      </c>
      <c r="U20" s="58">
        <f>(R20-T20)*WAR!$G$15</f>
        <v>2934.588608552302</v>
      </c>
      <c r="V20" s="58">
        <f t="shared" si="3"/>
        <v>56290.745127685062</v>
      </c>
      <c r="W20" s="58">
        <f t="shared" si="15"/>
        <v>5345538.5858971914</v>
      </c>
      <c r="Z20" s="58">
        <f>(W20-Y20)*WAR!$G$20</f>
        <v>438334.16404356965</v>
      </c>
      <c r="AA20" s="58">
        <f t="shared" si="4"/>
        <v>5783872.7499407614</v>
      </c>
      <c r="AB20" s="58">
        <f t="shared" si="16"/>
        <v>10911888.539251352</v>
      </c>
      <c r="AE20" s="58">
        <f>(AB20-AD20)*WAR!$G$19</f>
        <v>774744.08628684585</v>
      </c>
      <c r="AF20" s="58">
        <f t="shared" si="5"/>
        <v>11686632.625538198</v>
      </c>
      <c r="AG20" s="58">
        <f t="shared" si="17"/>
        <v>0</v>
      </c>
      <c r="AJ20" s="58">
        <f>(AG20-AI20)*WAR!$G$17</f>
        <v>0</v>
      </c>
      <c r="AK20" s="58">
        <f t="shared" si="6"/>
        <v>0</v>
      </c>
      <c r="AL20" s="58">
        <f t="shared" si="18"/>
        <v>0</v>
      </c>
      <c r="AO20" s="58">
        <f>(AL20-AN20)*WAR!$G$31</f>
        <v>0</v>
      </c>
      <c r="AP20" s="58">
        <f t="shared" si="7"/>
        <v>0</v>
      </c>
      <c r="AQ20" s="58">
        <f t="shared" si="19"/>
        <v>11000000</v>
      </c>
      <c r="AT20" s="58">
        <f>(AQ20-AS20)*WAR!$G$28</f>
        <v>0</v>
      </c>
      <c r="AU20" s="58">
        <f t="shared" si="8"/>
        <v>11000000</v>
      </c>
      <c r="AV20" s="58">
        <f t="shared" si="20"/>
        <v>0</v>
      </c>
      <c r="AY20" s="58">
        <f>(AV20-AX20)*WAR!$G$25</f>
        <v>0</v>
      </c>
      <c r="AZ20" s="58">
        <f t="shared" si="9"/>
        <v>0</v>
      </c>
    </row>
    <row r="21" spans="1:52" x14ac:dyDescent="0.3">
      <c r="A21">
        <f t="shared" si="10"/>
        <v>2039</v>
      </c>
      <c r="B21" s="58">
        <v>0</v>
      </c>
      <c r="C21" s="58">
        <f t="shared" si="11"/>
        <v>37078041.381227776</v>
      </c>
      <c r="F21" s="58">
        <f>(C21-E21)*WAR!$G$7</f>
        <v>4078584.5519350553</v>
      </c>
      <c r="G21" s="58">
        <f t="shared" si="0"/>
        <v>41156625.933162831</v>
      </c>
      <c r="H21" s="58">
        <f t="shared" si="12"/>
        <v>0</v>
      </c>
      <c r="K21" s="58">
        <f>(H21-J21)*WAR!$G$8</f>
        <v>0</v>
      </c>
      <c r="L21" s="58">
        <f t="shared" si="1"/>
        <v>0</v>
      </c>
      <c r="M21" s="58">
        <f t="shared" si="13"/>
        <v>0</v>
      </c>
      <c r="P21" s="58">
        <f>(M21-O21)*WAR!$G$14</f>
        <v>0</v>
      </c>
      <c r="Q21" s="58">
        <f t="shared" si="2"/>
        <v>0</v>
      </c>
      <c r="R21" s="58">
        <f t="shared" si="14"/>
        <v>56290.745127685062</v>
      </c>
      <c r="U21" s="58">
        <f>(R21-T21)*WAR!$G$15</f>
        <v>3095.9909820226785</v>
      </c>
      <c r="V21" s="58">
        <f t="shared" si="3"/>
        <v>59386.736109707737</v>
      </c>
      <c r="W21" s="58">
        <f t="shared" si="15"/>
        <v>5783872.7499407614</v>
      </c>
      <c r="Z21" s="58">
        <f>(W21-Y21)*WAR!$G$20</f>
        <v>474277.56549514236</v>
      </c>
      <c r="AA21" s="58">
        <f t="shared" si="4"/>
        <v>6258150.3154359041</v>
      </c>
      <c r="AB21" s="58">
        <f t="shared" si="16"/>
        <v>11686632.625538198</v>
      </c>
      <c r="AE21" s="58">
        <f>(AB21-AD21)*WAR!$G$19</f>
        <v>829750.91641321196</v>
      </c>
      <c r="AF21" s="58">
        <f t="shared" si="5"/>
        <v>12516383.54195141</v>
      </c>
      <c r="AG21" s="58">
        <f t="shared" si="17"/>
        <v>0</v>
      </c>
      <c r="AJ21" s="58">
        <f>(AG21-AI21)*WAR!$G$17</f>
        <v>0</v>
      </c>
      <c r="AK21" s="58">
        <f t="shared" si="6"/>
        <v>0</v>
      </c>
      <c r="AL21" s="58">
        <f t="shared" si="18"/>
        <v>0</v>
      </c>
      <c r="AO21" s="58">
        <f>(AL21-AN21)*WAR!$G$31</f>
        <v>0</v>
      </c>
      <c r="AP21" s="58">
        <f t="shared" si="7"/>
        <v>0</v>
      </c>
      <c r="AQ21" s="58">
        <f t="shared" si="19"/>
        <v>11000000</v>
      </c>
      <c r="AT21" s="58">
        <f>(AQ21-AS21)*WAR!$G$28</f>
        <v>0</v>
      </c>
      <c r="AU21" s="58">
        <f t="shared" si="8"/>
        <v>11000000</v>
      </c>
      <c r="AV21" s="58">
        <f t="shared" si="20"/>
        <v>0</v>
      </c>
      <c r="AY21" s="58">
        <f>(AV21-AX21)*WAR!$G$25</f>
        <v>0</v>
      </c>
      <c r="AZ21" s="58">
        <f t="shared" si="9"/>
        <v>0</v>
      </c>
    </row>
    <row r="22" spans="1:52" x14ac:dyDescent="0.3">
      <c r="A22">
        <f t="shared" si="10"/>
        <v>2040</v>
      </c>
      <c r="B22" s="58">
        <v>0</v>
      </c>
      <c r="C22" s="58">
        <f t="shared" si="11"/>
        <v>41156625.933162831</v>
      </c>
      <c r="F22" s="58">
        <f>(C22-E22)*WAR!$G$7</f>
        <v>4527228.8526479118</v>
      </c>
      <c r="G22" s="58">
        <f t="shared" si="0"/>
        <v>45683854.785810739</v>
      </c>
      <c r="H22" s="58">
        <f t="shared" si="12"/>
        <v>0</v>
      </c>
      <c r="K22" s="58">
        <f>(H22-J22)*WAR!$G$8</f>
        <v>0</v>
      </c>
      <c r="L22" s="58">
        <f t="shared" si="1"/>
        <v>0</v>
      </c>
      <c r="M22" s="58">
        <f t="shared" si="13"/>
        <v>0</v>
      </c>
      <c r="P22" s="58">
        <f>(M22-O22)*WAR!$G$14</f>
        <v>0</v>
      </c>
      <c r="Q22" s="58">
        <f t="shared" si="2"/>
        <v>0</v>
      </c>
      <c r="R22" s="58">
        <f t="shared" si="14"/>
        <v>59386.736109707737</v>
      </c>
      <c r="U22" s="58">
        <f>(R22-T22)*WAR!$G$15</f>
        <v>3266.2704860339254</v>
      </c>
      <c r="V22" s="58">
        <f t="shared" si="3"/>
        <v>62653.006595741666</v>
      </c>
      <c r="W22" s="58">
        <f t="shared" si="15"/>
        <v>6258150.3154359041</v>
      </c>
      <c r="Z22" s="58">
        <f>(W22-Y22)*WAR!$G$20</f>
        <v>513168.32586574409</v>
      </c>
      <c r="AA22" s="58">
        <f t="shared" si="4"/>
        <v>6771318.6413016478</v>
      </c>
      <c r="AB22" s="58">
        <f t="shared" si="16"/>
        <v>12516383.54195141</v>
      </c>
      <c r="AE22" s="58">
        <f>(AB22-AD22)*WAR!$G$19</f>
        <v>888663.23147855012</v>
      </c>
      <c r="AF22" s="58">
        <f t="shared" si="5"/>
        <v>13405046.77342996</v>
      </c>
      <c r="AG22" s="58">
        <f t="shared" si="17"/>
        <v>0</v>
      </c>
      <c r="AJ22" s="58">
        <f>(AG22-AI22)*WAR!$G$17</f>
        <v>0</v>
      </c>
      <c r="AK22" s="58">
        <f t="shared" si="6"/>
        <v>0</v>
      </c>
      <c r="AL22" s="58">
        <f t="shared" si="18"/>
        <v>0</v>
      </c>
      <c r="AO22" s="58">
        <f>(AL22-AN22)*WAR!$G$31</f>
        <v>0</v>
      </c>
      <c r="AP22" s="58">
        <f t="shared" si="7"/>
        <v>0</v>
      </c>
      <c r="AQ22" s="58">
        <f t="shared" si="19"/>
        <v>11000000</v>
      </c>
      <c r="AT22" s="58">
        <f>(AQ22-AS22)*WAR!$G$28</f>
        <v>0</v>
      </c>
      <c r="AU22" s="58">
        <f t="shared" si="8"/>
        <v>11000000</v>
      </c>
      <c r="AV22" s="58">
        <f t="shared" si="20"/>
        <v>0</v>
      </c>
      <c r="AY22" s="58">
        <f>(AV22-AX22)*WAR!$G$25</f>
        <v>0</v>
      </c>
      <c r="AZ22" s="58">
        <f t="shared" si="9"/>
        <v>0</v>
      </c>
    </row>
    <row r="23" spans="1:52" x14ac:dyDescent="0.3">
      <c r="A23">
        <f t="shared" si="10"/>
        <v>2041</v>
      </c>
      <c r="B23" s="58">
        <v>0</v>
      </c>
      <c r="C23" s="58">
        <f t="shared" si="11"/>
        <v>45683854.785810739</v>
      </c>
      <c r="F23" s="58">
        <f>(C23-E23)*WAR!$G$7</f>
        <v>5025224.0264391815</v>
      </c>
      <c r="G23" s="58">
        <f t="shared" si="0"/>
        <v>50709078.812249921</v>
      </c>
      <c r="H23" s="58">
        <f t="shared" si="12"/>
        <v>0</v>
      </c>
      <c r="K23" s="58">
        <f>(H23-J23)*WAR!$G$8</f>
        <v>0</v>
      </c>
      <c r="L23" s="58">
        <f t="shared" si="1"/>
        <v>0</v>
      </c>
      <c r="M23" s="58">
        <f t="shared" si="13"/>
        <v>0</v>
      </c>
      <c r="P23" s="58">
        <f>(M23-O23)*WAR!$G$14</f>
        <v>0</v>
      </c>
      <c r="Q23" s="58">
        <f t="shared" si="2"/>
        <v>0</v>
      </c>
      <c r="R23" s="58">
        <f t="shared" si="14"/>
        <v>62653.006595741666</v>
      </c>
      <c r="U23" s="58">
        <f>(R23-T23)*WAR!$G$15</f>
        <v>3445.9153627657915</v>
      </c>
      <c r="V23" s="58">
        <f t="shared" si="3"/>
        <v>66098.921958507461</v>
      </c>
      <c r="W23" s="58">
        <f t="shared" si="15"/>
        <v>6771318.6413016478</v>
      </c>
      <c r="Z23" s="58">
        <f>(W23-Y23)*WAR!$G$20</f>
        <v>555248.12858673499</v>
      </c>
      <c r="AA23" s="58">
        <f t="shared" si="4"/>
        <v>7326566.7698883824</v>
      </c>
      <c r="AB23" s="58">
        <f t="shared" si="16"/>
        <v>13405046.77342996</v>
      </c>
      <c r="AE23" s="58">
        <f>(AB23-AD23)*WAR!$G$19</f>
        <v>951758.32091352704</v>
      </c>
      <c r="AF23" s="58">
        <f t="shared" si="5"/>
        <v>14356805.094343487</v>
      </c>
      <c r="AG23" s="58">
        <f t="shared" si="17"/>
        <v>0</v>
      </c>
      <c r="AJ23" s="58">
        <f>(AG23-AI23)*WAR!$G$17</f>
        <v>0</v>
      </c>
      <c r="AK23" s="58">
        <f t="shared" si="6"/>
        <v>0</v>
      </c>
      <c r="AL23" s="58">
        <f t="shared" si="18"/>
        <v>0</v>
      </c>
      <c r="AO23" s="58">
        <f>(AL23-AN23)*WAR!$G$31</f>
        <v>0</v>
      </c>
      <c r="AP23" s="58">
        <f t="shared" si="7"/>
        <v>0</v>
      </c>
      <c r="AQ23" s="58">
        <f t="shared" si="19"/>
        <v>11000000</v>
      </c>
      <c r="AT23" s="58">
        <f>(AQ23-AS23)*WAR!$G$28</f>
        <v>0</v>
      </c>
      <c r="AU23" s="58">
        <f t="shared" si="8"/>
        <v>11000000</v>
      </c>
      <c r="AV23" s="58">
        <f t="shared" si="20"/>
        <v>0</v>
      </c>
      <c r="AY23" s="58">
        <f>(AV23-AX23)*WAR!$G$25</f>
        <v>0</v>
      </c>
      <c r="AZ23" s="58">
        <f t="shared" si="9"/>
        <v>0</v>
      </c>
    </row>
    <row r="24" spans="1:52" x14ac:dyDescent="0.3">
      <c r="A24">
        <f t="shared" si="10"/>
        <v>2042</v>
      </c>
      <c r="B24" s="58">
        <v>0</v>
      </c>
      <c r="C24" s="58">
        <f t="shared" si="11"/>
        <v>50709078.812249921</v>
      </c>
      <c r="F24" s="58">
        <f>(C24-E24)*WAR!$G$7</f>
        <v>5577998.6693474911</v>
      </c>
      <c r="G24" s="58">
        <f t="shared" si="0"/>
        <v>56287077.481597409</v>
      </c>
      <c r="H24" s="58">
        <f t="shared" si="12"/>
        <v>0</v>
      </c>
      <c r="K24" s="58">
        <f>(H24-J24)*WAR!$G$8</f>
        <v>0</v>
      </c>
      <c r="L24" s="58">
        <f t="shared" si="1"/>
        <v>0</v>
      </c>
      <c r="M24" s="58">
        <f t="shared" si="13"/>
        <v>0</v>
      </c>
      <c r="P24" s="58">
        <f>(M24-O24)*WAR!$G$14</f>
        <v>0</v>
      </c>
      <c r="Q24" s="58">
        <f t="shared" si="2"/>
        <v>0</v>
      </c>
      <c r="R24" s="58">
        <f t="shared" si="14"/>
        <v>66098.921958507461</v>
      </c>
      <c r="U24" s="58">
        <f>(R24-T24)*WAR!$G$15</f>
        <v>3635.4407077179103</v>
      </c>
      <c r="V24" s="58">
        <f t="shared" si="3"/>
        <v>69734.362666225366</v>
      </c>
      <c r="W24" s="58">
        <f t="shared" si="15"/>
        <v>7326566.7698883824</v>
      </c>
      <c r="Z24" s="58">
        <f>(W24-Y24)*WAR!$G$20</f>
        <v>600778.47513084731</v>
      </c>
      <c r="AA24" s="58">
        <f t="shared" si="4"/>
        <v>7927345.2450192301</v>
      </c>
      <c r="AB24" s="58">
        <f t="shared" si="16"/>
        <v>14356805.094343487</v>
      </c>
      <c r="AE24" s="58">
        <f>(AB24-AD24)*WAR!$G$19</f>
        <v>1019333.1616983875</v>
      </c>
      <c r="AF24" s="58">
        <f t="shared" si="5"/>
        <v>15376138.256041875</v>
      </c>
      <c r="AG24" s="58">
        <f t="shared" si="17"/>
        <v>0</v>
      </c>
      <c r="AJ24" s="58">
        <f>(AG24-AI24)*WAR!$G$17</f>
        <v>0</v>
      </c>
      <c r="AK24" s="58">
        <f t="shared" si="6"/>
        <v>0</v>
      </c>
      <c r="AL24" s="58">
        <f t="shared" si="18"/>
        <v>0</v>
      </c>
      <c r="AO24" s="58">
        <f>(AL24-AN24)*WAR!$G$31</f>
        <v>0</v>
      </c>
      <c r="AP24" s="58">
        <f t="shared" si="7"/>
        <v>0</v>
      </c>
      <c r="AQ24" s="58">
        <f t="shared" si="19"/>
        <v>11000000</v>
      </c>
      <c r="AT24" s="58">
        <f>(AQ24-AS24)*WAR!$G$28</f>
        <v>0</v>
      </c>
      <c r="AU24" s="58">
        <f t="shared" si="8"/>
        <v>11000000</v>
      </c>
      <c r="AV24" s="58">
        <f t="shared" si="20"/>
        <v>0</v>
      </c>
      <c r="AY24" s="58">
        <f>(AV24-AX24)*WAR!$G$25</f>
        <v>0</v>
      </c>
      <c r="AZ24" s="58">
        <f t="shared" si="9"/>
        <v>0</v>
      </c>
    </row>
    <row r="25" spans="1:52" x14ac:dyDescent="0.3">
      <c r="A25">
        <f t="shared" si="10"/>
        <v>2043</v>
      </c>
      <c r="B25" s="58">
        <v>0</v>
      </c>
      <c r="C25" s="58">
        <f t="shared" si="11"/>
        <v>56287077.481597409</v>
      </c>
      <c r="F25" s="58">
        <f>(C25-E25)*WAR!$G$7</f>
        <v>6191578.5229757149</v>
      </c>
      <c r="G25" s="58">
        <f t="shared" si="0"/>
        <v>62478656.004573122</v>
      </c>
      <c r="H25" s="58">
        <f t="shared" si="12"/>
        <v>0</v>
      </c>
      <c r="K25" s="58">
        <f>(H25-J25)*WAR!$G$8</f>
        <v>0</v>
      </c>
      <c r="L25" s="58">
        <f t="shared" si="1"/>
        <v>0</v>
      </c>
      <c r="M25" s="58">
        <f t="shared" si="13"/>
        <v>0</v>
      </c>
      <c r="P25" s="58">
        <f>(M25-O25)*WAR!$G$14</f>
        <v>0</v>
      </c>
      <c r="Q25" s="58">
        <f t="shared" si="2"/>
        <v>0</v>
      </c>
      <c r="R25" s="58">
        <f t="shared" si="14"/>
        <v>69734.362666225366</v>
      </c>
      <c r="U25" s="58">
        <f>(R25-T25)*WAR!$G$15</f>
        <v>3835.389946642395</v>
      </c>
      <c r="V25" s="58">
        <f t="shared" si="3"/>
        <v>73569.752612867756</v>
      </c>
      <c r="W25" s="58">
        <f t="shared" si="15"/>
        <v>7927345.2450192301</v>
      </c>
      <c r="Z25" s="58">
        <f>(W25-Y25)*WAR!$G$20</f>
        <v>650042.31009157677</v>
      </c>
      <c r="AA25" s="58">
        <f t="shared" si="4"/>
        <v>8577387.5551108066</v>
      </c>
      <c r="AB25" s="58">
        <f t="shared" si="16"/>
        <v>15376138.256041875</v>
      </c>
      <c r="AE25" s="58">
        <f>(AB25-AD25)*WAR!$G$19</f>
        <v>1091705.8161789731</v>
      </c>
      <c r="AF25" s="58">
        <f t="shared" si="5"/>
        <v>16467844.072220849</v>
      </c>
      <c r="AG25" s="58">
        <f t="shared" si="17"/>
        <v>0</v>
      </c>
      <c r="AJ25" s="58">
        <f>(AG25-AI25)*WAR!$G$17</f>
        <v>0</v>
      </c>
      <c r="AK25" s="58">
        <f t="shared" si="6"/>
        <v>0</v>
      </c>
      <c r="AL25" s="58">
        <f t="shared" si="18"/>
        <v>0</v>
      </c>
      <c r="AO25" s="58">
        <f>(AL25-AN25)*WAR!$G$31</f>
        <v>0</v>
      </c>
      <c r="AP25" s="58">
        <f t="shared" si="7"/>
        <v>0</v>
      </c>
      <c r="AQ25" s="58">
        <f t="shared" si="19"/>
        <v>11000000</v>
      </c>
      <c r="AT25" s="58">
        <f>(AQ25-AS25)*WAR!$G$28</f>
        <v>0</v>
      </c>
      <c r="AU25" s="58">
        <f t="shared" si="8"/>
        <v>11000000</v>
      </c>
      <c r="AV25" s="58">
        <f t="shared" si="20"/>
        <v>0</v>
      </c>
      <c r="AY25" s="58">
        <f>(AV25-AX25)*WAR!$G$25</f>
        <v>0</v>
      </c>
      <c r="AZ25" s="58">
        <f t="shared" si="9"/>
        <v>0</v>
      </c>
    </row>
    <row r="26" spans="1:52" x14ac:dyDescent="0.3">
      <c r="A26">
        <f t="shared" si="10"/>
        <v>2044</v>
      </c>
      <c r="B26" s="58">
        <v>0</v>
      </c>
      <c r="C26" s="58">
        <f t="shared" si="11"/>
        <v>62478656.004573122</v>
      </c>
      <c r="F26" s="58">
        <f>(C26-E26)*WAR!$G$7</f>
        <v>6872652.1605030438</v>
      </c>
      <c r="G26" s="58">
        <f t="shared" si="0"/>
        <v>69351308.165076166</v>
      </c>
      <c r="H26" s="58">
        <f t="shared" si="12"/>
        <v>0</v>
      </c>
      <c r="K26" s="58">
        <f>(H26-J26)*WAR!$G$8</f>
        <v>0</v>
      </c>
      <c r="L26" s="58">
        <f t="shared" si="1"/>
        <v>0</v>
      </c>
      <c r="M26" s="58">
        <f t="shared" si="13"/>
        <v>0</v>
      </c>
      <c r="P26" s="58">
        <f>(M26-O26)*WAR!$G$14</f>
        <v>0</v>
      </c>
      <c r="Q26" s="58">
        <f t="shared" si="2"/>
        <v>0</v>
      </c>
      <c r="R26" s="58">
        <f t="shared" si="14"/>
        <v>73569.752612867756</v>
      </c>
      <c r="U26" s="58">
        <f>(R26-T26)*WAR!$G$15</f>
        <v>4046.3363937077265</v>
      </c>
      <c r="V26" s="58">
        <f t="shared" si="3"/>
        <v>77616.089006575479</v>
      </c>
      <c r="W26" s="58">
        <f t="shared" si="15"/>
        <v>8577387.5551108066</v>
      </c>
      <c r="Z26" s="58">
        <f>(W26-Y26)*WAR!$G$20</f>
        <v>703345.77951908601</v>
      </c>
      <c r="AA26" s="58">
        <f t="shared" si="4"/>
        <v>9280733.3346298933</v>
      </c>
      <c r="AB26" s="58">
        <f t="shared" si="16"/>
        <v>16467844.072220849</v>
      </c>
      <c r="AE26" s="58">
        <f>(AB26-AD26)*WAR!$G$19</f>
        <v>1169216.9291276801</v>
      </c>
      <c r="AF26" s="58">
        <f t="shared" si="5"/>
        <v>17637061.001348529</v>
      </c>
      <c r="AG26" s="58">
        <f t="shared" si="17"/>
        <v>0</v>
      </c>
      <c r="AJ26" s="58">
        <f>(AG26-AI26)*WAR!$G$17</f>
        <v>0</v>
      </c>
      <c r="AK26" s="58">
        <f t="shared" si="6"/>
        <v>0</v>
      </c>
      <c r="AL26" s="58">
        <f t="shared" si="18"/>
        <v>0</v>
      </c>
      <c r="AO26" s="58">
        <f>(AL26-AN26)*WAR!$G$31</f>
        <v>0</v>
      </c>
      <c r="AP26" s="58">
        <f t="shared" si="7"/>
        <v>0</v>
      </c>
      <c r="AQ26" s="58">
        <f t="shared" si="19"/>
        <v>11000000</v>
      </c>
      <c r="AT26" s="58">
        <f>(AQ26-AS26)*WAR!$G$28</f>
        <v>0</v>
      </c>
      <c r="AU26" s="58">
        <f t="shared" si="8"/>
        <v>11000000</v>
      </c>
      <c r="AV26" s="58">
        <f t="shared" si="20"/>
        <v>0</v>
      </c>
      <c r="AY26" s="58">
        <f>(AV26-AX26)*WAR!$G$25</f>
        <v>0</v>
      </c>
      <c r="AZ26" s="58">
        <f t="shared" si="9"/>
        <v>0</v>
      </c>
    </row>
    <row r="27" spans="1:52" x14ac:dyDescent="0.3">
      <c r="A27">
        <f t="shared" si="10"/>
        <v>2045</v>
      </c>
      <c r="B27" s="58">
        <v>0</v>
      </c>
      <c r="C27" s="58">
        <f t="shared" si="11"/>
        <v>69351308.165076166</v>
      </c>
      <c r="F27" s="58">
        <f>(C27-E27)*WAR!$G$7</f>
        <v>7628643.898158378</v>
      </c>
      <c r="G27" s="58">
        <f t="shared" si="0"/>
        <v>76979952.063234538</v>
      </c>
      <c r="H27" s="58">
        <f t="shared" si="12"/>
        <v>0</v>
      </c>
      <c r="K27" s="58">
        <f>(H27-J27)*WAR!$G$8</f>
        <v>0</v>
      </c>
      <c r="L27" s="58">
        <f t="shared" si="1"/>
        <v>0</v>
      </c>
      <c r="M27" s="58">
        <f t="shared" si="13"/>
        <v>0</v>
      </c>
      <c r="P27" s="58">
        <f>(M27-O27)*WAR!$G$14</f>
        <v>0</v>
      </c>
      <c r="Q27" s="58">
        <f t="shared" si="2"/>
        <v>0</v>
      </c>
      <c r="R27" s="58">
        <f t="shared" si="14"/>
        <v>77616.089006575479</v>
      </c>
      <c r="U27" s="58">
        <f>(R27-T27)*WAR!$G$15</f>
        <v>4268.8848953616516</v>
      </c>
      <c r="V27" s="58">
        <f t="shared" si="3"/>
        <v>81884.973901937134</v>
      </c>
      <c r="W27" s="58">
        <f t="shared" si="15"/>
        <v>9280733.3346298933</v>
      </c>
      <c r="Z27" s="58">
        <f>(W27-Y27)*WAR!$G$20</f>
        <v>761020.13343965111</v>
      </c>
      <c r="AA27" s="58">
        <f t="shared" si="4"/>
        <v>10041753.468069544</v>
      </c>
      <c r="AB27" s="58">
        <f t="shared" si="16"/>
        <v>17637061.001348529</v>
      </c>
      <c r="AE27" s="58">
        <f>(AB27-AD27)*WAR!$G$19</f>
        <v>1252231.3310957456</v>
      </c>
      <c r="AF27" s="58">
        <f t="shared" si="5"/>
        <v>18889292.332444273</v>
      </c>
      <c r="AG27" s="58">
        <f t="shared" si="17"/>
        <v>0</v>
      </c>
      <c r="AJ27" s="58">
        <f>(AG27-AI27)*WAR!$G$17</f>
        <v>0</v>
      </c>
      <c r="AK27" s="58">
        <f t="shared" si="6"/>
        <v>0</v>
      </c>
      <c r="AL27" s="58">
        <f t="shared" si="18"/>
        <v>0</v>
      </c>
      <c r="AO27" s="58">
        <f>(AL27-AN27)*WAR!$G$31</f>
        <v>0</v>
      </c>
      <c r="AP27" s="58">
        <f t="shared" si="7"/>
        <v>0</v>
      </c>
      <c r="AQ27" s="58">
        <f t="shared" si="19"/>
        <v>11000000</v>
      </c>
      <c r="AT27" s="58">
        <f>(AQ27-AS27)*WAR!$G$28</f>
        <v>0</v>
      </c>
      <c r="AU27" s="58">
        <f t="shared" si="8"/>
        <v>11000000</v>
      </c>
      <c r="AV27" s="58">
        <f t="shared" si="20"/>
        <v>0</v>
      </c>
      <c r="AY27" s="58">
        <f>(AV27-AX27)*WAR!$G$25</f>
        <v>0</v>
      </c>
      <c r="AZ27" s="58">
        <f t="shared" si="9"/>
        <v>0</v>
      </c>
    </row>
    <row r="28" spans="1:52" x14ac:dyDescent="0.3">
      <c r="A28">
        <f t="shared" si="10"/>
        <v>2046</v>
      </c>
      <c r="B28" s="58">
        <v>0</v>
      </c>
      <c r="C28" s="58">
        <f t="shared" si="11"/>
        <v>76979952.063234538</v>
      </c>
      <c r="F28" s="58">
        <f>(C28-E28)*WAR!$G$7</f>
        <v>8467794.7269557994</v>
      </c>
      <c r="G28" s="58">
        <f t="shared" si="0"/>
        <v>85447746.790190339</v>
      </c>
      <c r="H28" s="58">
        <f t="shared" si="12"/>
        <v>0</v>
      </c>
      <c r="K28" s="58">
        <f>(H28-J28)*WAR!$G$8</f>
        <v>0</v>
      </c>
      <c r="L28" s="58">
        <f t="shared" si="1"/>
        <v>0</v>
      </c>
      <c r="M28" s="58">
        <f t="shared" si="13"/>
        <v>0</v>
      </c>
      <c r="P28" s="58">
        <f>(M28-O28)*WAR!$G$14</f>
        <v>0</v>
      </c>
      <c r="Q28" s="58">
        <f t="shared" si="2"/>
        <v>0</v>
      </c>
      <c r="R28" s="58">
        <f t="shared" si="14"/>
        <v>81884.973901937134</v>
      </c>
      <c r="U28" s="58">
        <f>(R28-T28)*WAR!$G$15</f>
        <v>4503.6735646065426</v>
      </c>
      <c r="V28" s="58">
        <f t="shared" si="3"/>
        <v>86388.647466543684</v>
      </c>
      <c r="W28" s="58">
        <f t="shared" si="15"/>
        <v>10041753.468069544</v>
      </c>
      <c r="Z28" s="58">
        <f>(W28-Y28)*WAR!$G$20</f>
        <v>823423.78438170254</v>
      </c>
      <c r="AA28" s="58">
        <f t="shared" si="4"/>
        <v>10865177.252451247</v>
      </c>
      <c r="AB28" s="58">
        <f t="shared" si="16"/>
        <v>18889292.332444273</v>
      </c>
      <c r="AE28" s="58">
        <f>(AB28-AD28)*WAR!$G$19</f>
        <v>1341139.7556035432</v>
      </c>
      <c r="AF28" s="58">
        <f t="shared" si="5"/>
        <v>20230432.088047817</v>
      </c>
      <c r="AG28" s="58">
        <f t="shared" si="17"/>
        <v>0</v>
      </c>
      <c r="AJ28" s="58">
        <f>(AG28-AI28)*WAR!$G$17</f>
        <v>0</v>
      </c>
      <c r="AK28" s="58">
        <f t="shared" si="6"/>
        <v>0</v>
      </c>
      <c r="AL28" s="58">
        <f t="shared" si="18"/>
        <v>0</v>
      </c>
      <c r="AO28" s="58">
        <f>(AL28-AN28)*WAR!$G$31</f>
        <v>0</v>
      </c>
      <c r="AP28" s="58">
        <f t="shared" si="7"/>
        <v>0</v>
      </c>
      <c r="AQ28" s="58">
        <f t="shared" si="19"/>
        <v>11000000</v>
      </c>
      <c r="AT28" s="58">
        <f>(AQ28-AS28)*WAR!$G$28</f>
        <v>0</v>
      </c>
      <c r="AU28" s="58">
        <f t="shared" si="8"/>
        <v>11000000</v>
      </c>
      <c r="AV28" s="58">
        <f t="shared" si="20"/>
        <v>0</v>
      </c>
      <c r="AY28" s="58">
        <f>(AV28-AX28)*WAR!$G$25</f>
        <v>0</v>
      </c>
      <c r="AZ28" s="58">
        <f t="shared" si="9"/>
        <v>0</v>
      </c>
    </row>
    <row r="29" spans="1:52" x14ac:dyDescent="0.3">
      <c r="A29">
        <f t="shared" si="10"/>
        <v>2047</v>
      </c>
      <c r="B29" s="58">
        <v>0</v>
      </c>
      <c r="C29" s="58">
        <f t="shared" si="11"/>
        <v>85447746.790190339</v>
      </c>
      <c r="F29" s="58">
        <f>(C29-E29)*WAR!$G$7</f>
        <v>9399252.146920938</v>
      </c>
      <c r="G29" s="58">
        <f t="shared" si="0"/>
        <v>94846998.937111273</v>
      </c>
      <c r="H29" s="58">
        <f t="shared" si="12"/>
        <v>0</v>
      </c>
      <c r="K29" s="58">
        <f>(H29-J29)*WAR!$G$8</f>
        <v>0</v>
      </c>
      <c r="L29" s="58">
        <f t="shared" si="1"/>
        <v>0</v>
      </c>
      <c r="M29" s="58">
        <f t="shared" si="13"/>
        <v>0</v>
      </c>
      <c r="P29" s="58">
        <f>(M29-O29)*WAR!$G$14</f>
        <v>0</v>
      </c>
      <c r="Q29" s="58">
        <f t="shared" si="2"/>
        <v>0</v>
      </c>
      <c r="R29" s="58">
        <f t="shared" si="14"/>
        <v>86388.647466543684</v>
      </c>
      <c r="U29" s="58">
        <f>(R29-T29)*WAR!$G$15</f>
        <v>4751.375610659903</v>
      </c>
      <c r="V29" s="58">
        <f t="shared" si="3"/>
        <v>91140.023077203587</v>
      </c>
      <c r="W29" s="58">
        <f t="shared" si="15"/>
        <v>10865177.252451247</v>
      </c>
      <c r="Z29" s="58">
        <f>(W29-Y29)*WAR!$G$20</f>
        <v>890944.53470100206</v>
      </c>
      <c r="AA29" s="58">
        <f t="shared" si="4"/>
        <v>11756121.787152249</v>
      </c>
      <c r="AB29" s="58">
        <f t="shared" si="16"/>
        <v>20230432.088047817</v>
      </c>
      <c r="AE29" s="58">
        <f>(AB29-AD29)*WAR!$G$19</f>
        <v>1436360.678251395</v>
      </c>
      <c r="AF29" s="58">
        <f t="shared" si="5"/>
        <v>21666792.76629921</v>
      </c>
      <c r="AG29" s="58">
        <f t="shared" si="17"/>
        <v>0</v>
      </c>
      <c r="AJ29" s="58">
        <f>(AG29-AI29)*WAR!$G$17</f>
        <v>0</v>
      </c>
      <c r="AK29" s="58">
        <f t="shared" si="6"/>
        <v>0</v>
      </c>
      <c r="AL29" s="58">
        <f t="shared" si="18"/>
        <v>0</v>
      </c>
      <c r="AO29" s="58">
        <f>(AL29-AN29)*WAR!$G$31</f>
        <v>0</v>
      </c>
      <c r="AP29" s="58">
        <f t="shared" si="7"/>
        <v>0</v>
      </c>
      <c r="AQ29" s="58">
        <f t="shared" si="19"/>
        <v>11000000</v>
      </c>
      <c r="AT29" s="58">
        <f>(AQ29-AS29)*WAR!$G$28</f>
        <v>0</v>
      </c>
      <c r="AU29" s="58">
        <f t="shared" si="8"/>
        <v>11000000</v>
      </c>
      <c r="AV29" s="58">
        <f t="shared" si="20"/>
        <v>0</v>
      </c>
      <c r="AY29" s="58">
        <f>(AV29-AX29)*WAR!$G$25</f>
        <v>0</v>
      </c>
      <c r="AZ29" s="58">
        <f t="shared" si="9"/>
        <v>0</v>
      </c>
    </row>
    <row r="30" spans="1:52" x14ac:dyDescent="0.3">
      <c r="A30">
        <f t="shared" si="10"/>
        <v>2048</v>
      </c>
      <c r="B30" s="58">
        <v>0</v>
      </c>
      <c r="C30" s="58">
        <f t="shared" si="11"/>
        <v>94846998.937111273</v>
      </c>
      <c r="F30" s="58">
        <f>(C30-E30)*WAR!$G$7</f>
        <v>10433169.883082241</v>
      </c>
      <c r="G30" s="58">
        <f t="shared" si="0"/>
        <v>105280168.82019351</v>
      </c>
      <c r="H30" s="58">
        <f t="shared" si="12"/>
        <v>0</v>
      </c>
      <c r="K30" s="58">
        <f>(H30-J30)*WAR!$G$8</f>
        <v>0</v>
      </c>
      <c r="L30" s="58">
        <f t="shared" si="1"/>
        <v>0</v>
      </c>
      <c r="M30" s="58">
        <f t="shared" si="13"/>
        <v>0</v>
      </c>
      <c r="P30" s="58">
        <f>(M30-O30)*WAR!$G$14</f>
        <v>0</v>
      </c>
      <c r="Q30" s="58">
        <f t="shared" si="2"/>
        <v>0</v>
      </c>
      <c r="R30" s="58">
        <f t="shared" si="14"/>
        <v>91140.023077203587</v>
      </c>
      <c r="U30" s="58">
        <f>(R30-T30)*WAR!$G$15</f>
        <v>5012.7012692461976</v>
      </c>
      <c r="V30" s="58">
        <f t="shared" si="3"/>
        <v>96152.724346449788</v>
      </c>
      <c r="W30" s="58">
        <f t="shared" si="15"/>
        <v>11756121.787152249</v>
      </c>
      <c r="Z30" s="58">
        <f>(W30-Y30)*WAR!$G$20</f>
        <v>964001.98654648429</v>
      </c>
      <c r="AA30" s="58">
        <f t="shared" si="4"/>
        <v>12720123.773698734</v>
      </c>
      <c r="AB30" s="58">
        <f t="shared" si="16"/>
        <v>21666792.76629921</v>
      </c>
      <c r="AE30" s="58">
        <f>(AB30-AD30)*WAR!$G$19</f>
        <v>1538342.2864072437</v>
      </c>
      <c r="AF30" s="58">
        <f t="shared" si="5"/>
        <v>23205135.052706454</v>
      </c>
      <c r="AG30" s="58">
        <f t="shared" si="17"/>
        <v>0</v>
      </c>
      <c r="AJ30" s="58">
        <f>(AG30-AI30)*WAR!$G$17</f>
        <v>0</v>
      </c>
      <c r="AK30" s="58">
        <f t="shared" si="6"/>
        <v>0</v>
      </c>
      <c r="AL30" s="58">
        <f t="shared" si="18"/>
        <v>0</v>
      </c>
      <c r="AO30" s="58">
        <f>(AL30-AN30)*WAR!$G$31</f>
        <v>0</v>
      </c>
      <c r="AP30" s="58">
        <f t="shared" si="7"/>
        <v>0</v>
      </c>
      <c r="AQ30" s="58">
        <f t="shared" si="19"/>
        <v>11000000</v>
      </c>
      <c r="AT30" s="58">
        <f>(AQ30-AS30)*WAR!$G$28</f>
        <v>0</v>
      </c>
      <c r="AU30" s="58">
        <f t="shared" si="8"/>
        <v>11000000</v>
      </c>
      <c r="AV30" s="58">
        <f t="shared" si="20"/>
        <v>0</v>
      </c>
      <c r="AY30" s="58">
        <f>(AV30-AX30)*WAR!$G$25</f>
        <v>0</v>
      </c>
      <c r="AZ30" s="58">
        <f t="shared" si="9"/>
        <v>0</v>
      </c>
    </row>
    <row r="31" spans="1:52" x14ac:dyDescent="0.3">
      <c r="A31">
        <f t="shared" si="10"/>
        <v>2049</v>
      </c>
      <c r="B31" s="58">
        <v>0</v>
      </c>
      <c r="C31" s="58">
        <f t="shared" si="11"/>
        <v>105280168.82019351</v>
      </c>
      <c r="F31" s="58">
        <f>(C31-E31)*WAR!$G$7</f>
        <v>11580818.570221286</v>
      </c>
      <c r="G31" s="58">
        <f t="shared" si="0"/>
        <v>116860987.3904148</v>
      </c>
      <c r="H31" s="58">
        <f t="shared" si="12"/>
        <v>0</v>
      </c>
      <c r="K31" s="58">
        <f>(H31-J31)*WAR!$G$8</f>
        <v>0</v>
      </c>
      <c r="L31" s="58">
        <f t="shared" si="1"/>
        <v>0</v>
      </c>
      <c r="M31" s="58">
        <f t="shared" si="13"/>
        <v>0</v>
      </c>
      <c r="P31" s="58">
        <f>(M31-O31)*WAR!$G$14</f>
        <v>0</v>
      </c>
      <c r="Q31" s="58">
        <f t="shared" si="2"/>
        <v>0</v>
      </c>
      <c r="R31" s="58">
        <f t="shared" si="14"/>
        <v>96152.724346449788</v>
      </c>
      <c r="U31" s="58">
        <f>(R31-T31)*WAR!$G$15</f>
        <v>5288.3998390547385</v>
      </c>
      <c r="V31" s="58">
        <f t="shared" si="3"/>
        <v>101441.12418550452</v>
      </c>
      <c r="W31" s="58">
        <f t="shared" si="15"/>
        <v>12720123.773698734</v>
      </c>
      <c r="Z31" s="58">
        <f>(W31-Y31)*WAR!$G$20</f>
        <v>1043050.149443296</v>
      </c>
      <c r="AA31" s="58">
        <f t="shared" si="4"/>
        <v>13763173.923142031</v>
      </c>
      <c r="AB31" s="58">
        <f t="shared" si="16"/>
        <v>23205135.052706454</v>
      </c>
      <c r="AE31" s="58">
        <f>(AB31-AD31)*WAR!$G$19</f>
        <v>1647564.5887421581</v>
      </c>
      <c r="AF31" s="58">
        <f t="shared" si="5"/>
        <v>24852699.641448613</v>
      </c>
      <c r="AG31" s="58">
        <f t="shared" si="17"/>
        <v>0</v>
      </c>
      <c r="AJ31" s="58">
        <f>(AG31-AI31)*WAR!$G$17</f>
        <v>0</v>
      </c>
      <c r="AK31" s="58">
        <f t="shared" si="6"/>
        <v>0</v>
      </c>
      <c r="AL31" s="58">
        <f t="shared" si="18"/>
        <v>0</v>
      </c>
      <c r="AO31" s="58">
        <f>(AL31-AN31)*WAR!$G$31</f>
        <v>0</v>
      </c>
      <c r="AP31" s="58">
        <f t="shared" si="7"/>
        <v>0</v>
      </c>
      <c r="AQ31" s="58">
        <f t="shared" si="19"/>
        <v>11000000</v>
      </c>
      <c r="AT31" s="58">
        <f>(AQ31-AS31)*WAR!$G$28</f>
        <v>0</v>
      </c>
      <c r="AU31" s="58">
        <f t="shared" si="8"/>
        <v>11000000</v>
      </c>
      <c r="AV31" s="58">
        <f t="shared" si="20"/>
        <v>0</v>
      </c>
      <c r="AY31" s="58">
        <f>(AV31-AX31)*WAR!$G$25</f>
        <v>0</v>
      </c>
      <c r="AZ31" s="58">
        <f t="shared" si="9"/>
        <v>0</v>
      </c>
    </row>
    <row r="32" spans="1:52" x14ac:dyDescent="0.3">
      <c r="A32">
        <f t="shared" si="10"/>
        <v>2050</v>
      </c>
      <c r="B32" s="58">
        <v>0</v>
      </c>
      <c r="C32" s="58">
        <f t="shared" si="11"/>
        <v>116860987.3904148</v>
      </c>
      <c r="F32" s="58">
        <f>(C32-E32)*WAR!$G$7</f>
        <v>12854708.612945629</v>
      </c>
      <c r="G32" s="58">
        <f t="shared" si="0"/>
        <v>129715696.00336044</v>
      </c>
      <c r="H32" s="58">
        <f t="shared" si="12"/>
        <v>0</v>
      </c>
      <c r="K32" s="58">
        <f>(H32-J32)*WAR!$G$8</f>
        <v>0</v>
      </c>
      <c r="L32" s="58">
        <f t="shared" si="1"/>
        <v>0</v>
      </c>
      <c r="M32" s="58">
        <f t="shared" si="13"/>
        <v>0</v>
      </c>
      <c r="P32" s="58">
        <f>(M32-O32)*WAR!$G$14</f>
        <v>0</v>
      </c>
      <c r="Q32" s="58">
        <f t="shared" si="2"/>
        <v>0</v>
      </c>
      <c r="R32" s="58">
        <f t="shared" si="14"/>
        <v>101441.12418550452</v>
      </c>
      <c r="U32" s="58">
        <f>(R32-T32)*WAR!$G$15</f>
        <v>5579.2618302027486</v>
      </c>
      <c r="V32" s="58">
        <f t="shared" si="3"/>
        <v>107020.38601570728</v>
      </c>
      <c r="W32" s="58">
        <f t="shared" si="15"/>
        <v>13763173.923142031</v>
      </c>
      <c r="Z32" s="58">
        <f>(W32-Y32)*WAR!$G$20</f>
        <v>1128580.2616976465</v>
      </c>
      <c r="AA32" s="58">
        <f t="shared" si="4"/>
        <v>14891754.184839677</v>
      </c>
      <c r="AB32" s="58">
        <f t="shared" si="16"/>
        <v>24852699.641448613</v>
      </c>
      <c r="AE32" s="58">
        <f>(AB32-AD32)*WAR!$G$19</f>
        <v>1764541.6745428513</v>
      </c>
      <c r="AF32" s="58">
        <f t="shared" si="5"/>
        <v>26617241.315991465</v>
      </c>
      <c r="AG32" s="58">
        <f t="shared" si="17"/>
        <v>0</v>
      </c>
      <c r="AJ32" s="58">
        <f>(AG32-AI32)*WAR!$G$17</f>
        <v>0</v>
      </c>
      <c r="AK32" s="58">
        <f t="shared" si="6"/>
        <v>0</v>
      </c>
      <c r="AL32" s="58">
        <f t="shared" si="18"/>
        <v>0</v>
      </c>
      <c r="AO32" s="58">
        <f>(AL32-AN32)*WAR!$G$31</f>
        <v>0</v>
      </c>
      <c r="AP32" s="58">
        <f t="shared" si="7"/>
        <v>0</v>
      </c>
      <c r="AQ32" s="58">
        <f t="shared" si="19"/>
        <v>11000000</v>
      </c>
      <c r="AT32" s="58">
        <f>(AQ32-AS32)*WAR!$G$28</f>
        <v>0</v>
      </c>
      <c r="AU32" s="58">
        <f t="shared" si="8"/>
        <v>11000000</v>
      </c>
      <c r="AV32" s="58">
        <f t="shared" si="20"/>
        <v>0</v>
      </c>
      <c r="AY32" s="58">
        <f>(AV32-AX32)*WAR!$G$25</f>
        <v>0</v>
      </c>
      <c r="AZ32" s="58">
        <f t="shared" si="9"/>
        <v>0</v>
      </c>
    </row>
    <row r="33" spans="1:52" x14ac:dyDescent="0.3">
      <c r="A33">
        <f t="shared" si="10"/>
        <v>2051</v>
      </c>
      <c r="B33" s="58">
        <v>0</v>
      </c>
      <c r="C33" s="58">
        <f t="shared" si="11"/>
        <v>129715696.00336044</v>
      </c>
      <c r="F33" s="58">
        <f>(C33-E33)*WAR!$G$7</f>
        <v>14268726.560369648</v>
      </c>
      <c r="G33" s="58">
        <f t="shared" si="0"/>
        <v>143984422.56373009</v>
      </c>
      <c r="H33" s="58">
        <f t="shared" si="12"/>
        <v>0</v>
      </c>
      <c r="K33" s="58">
        <f>(H33-J33)*WAR!$G$8</f>
        <v>0</v>
      </c>
      <c r="L33" s="58">
        <f t="shared" si="1"/>
        <v>0</v>
      </c>
      <c r="M33" s="58">
        <f t="shared" si="13"/>
        <v>0</v>
      </c>
      <c r="P33" s="58">
        <f>(M33-O33)*WAR!$G$14</f>
        <v>0</v>
      </c>
      <c r="Q33" s="58">
        <f t="shared" si="2"/>
        <v>0</v>
      </c>
      <c r="R33" s="58">
        <f t="shared" si="14"/>
        <v>107020.38601570728</v>
      </c>
      <c r="U33" s="58">
        <f>(R33-T33)*WAR!$G$15</f>
        <v>5886.1212308639006</v>
      </c>
      <c r="V33" s="58">
        <f t="shared" si="3"/>
        <v>112906.50724657119</v>
      </c>
      <c r="W33" s="58">
        <f t="shared" si="15"/>
        <v>14891754.184839677</v>
      </c>
      <c r="Z33" s="58">
        <f>(W33-Y33)*WAR!$G$20</f>
        <v>1221123.8431568535</v>
      </c>
      <c r="AA33" s="58">
        <f t="shared" si="4"/>
        <v>16112878.027996531</v>
      </c>
      <c r="AB33" s="58">
        <f t="shared" si="16"/>
        <v>26617241.315991465</v>
      </c>
      <c r="AE33" s="58">
        <f>(AB33-AD33)*WAR!$G$19</f>
        <v>1889824.1334353939</v>
      </c>
      <c r="AF33" s="58">
        <f t="shared" si="5"/>
        <v>28507065.44942686</v>
      </c>
      <c r="AG33" s="58">
        <f t="shared" si="17"/>
        <v>0</v>
      </c>
      <c r="AJ33" s="58">
        <f>(AG33-AI33)*WAR!$G$17</f>
        <v>0</v>
      </c>
      <c r="AK33" s="58">
        <f t="shared" si="6"/>
        <v>0</v>
      </c>
      <c r="AL33" s="58">
        <f t="shared" si="18"/>
        <v>0</v>
      </c>
      <c r="AO33" s="58">
        <f>(AL33-AN33)*WAR!$G$31</f>
        <v>0</v>
      </c>
      <c r="AP33" s="58">
        <f t="shared" si="7"/>
        <v>0</v>
      </c>
      <c r="AQ33" s="58">
        <f t="shared" si="19"/>
        <v>11000000</v>
      </c>
      <c r="AT33" s="58">
        <f>(AQ33-AS33)*WAR!$G$28</f>
        <v>0</v>
      </c>
      <c r="AU33" s="58">
        <f t="shared" si="8"/>
        <v>11000000</v>
      </c>
      <c r="AV33" s="58">
        <f t="shared" si="20"/>
        <v>0</v>
      </c>
      <c r="AY33" s="58">
        <f>(AV33-AX33)*WAR!$G$25</f>
        <v>0</v>
      </c>
      <c r="AZ33" s="58">
        <f t="shared" si="9"/>
        <v>0</v>
      </c>
    </row>
    <row r="34" spans="1:52" x14ac:dyDescent="0.3">
      <c r="A34">
        <f t="shared" si="10"/>
        <v>2052</v>
      </c>
      <c r="B34" s="58">
        <v>0</v>
      </c>
      <c r="C34" s="58">
        <f t="shared" si="11"/>
        <v>143984422.56373009</v>
      </c>
      <c r="F34" s="58">
        <f>(C34-E34)*WAR!$G$7</f>
        <v>15838286.482010311</v>
      </c>
      <c r="G34" s="58">
        <f t="shared" si="0"/>
        <v>159822709.0457404</v>
      </c>
      <c r="H34" s="58">
        <f t="shared" si="12"/>
        <v>0</v>
      </c>
      <c r="K34" s="58">
        <f>(H34-J34)*WAR!$G$8</f>
        <v>0</v>
      </c>
      <c r="L34" s="58">
        <f t="shared" si="1"/>
        <v>0</v>
      </c>
      <c r="M34" s="58">
        <f t="shared" si="13"/>
        <v>0</v>
      </c>
      <c r="P34" s="58">
        <f>(M34-O34)*WAR!$G$14</f>
        <v>0</v>
      </c>
      <c r="Q34" s="58">
        <f t="shared" si="2"/>
        <v>0</v>
      </c>
      <c r="R34" s="58">
        <f t="shared" si="14"/>
        <v>112906.50724657119</v>
      </c>
      <c r="U34" s="58">
        <f>(R34-T34)*WAR!$G$15</f>
        <v>6209.8578985614149</v>
      </c>
      <c r="V34" s="58">
        <f t="shared" si="3"/>
        <v>119116.3651451326</v>
      </c>
      <c r="W34" s="58">
        <f t="shared" si="15"/>
        <v>16112878.027996531</v>
      </c>
      <c r="Z34" s="58">
        <f>(W34-Y34)*WAR!$G$20</f>
        <v>1321255.9982957153</v>
      </c>
      <c r="AA34" s="58">
        <f t="shared" si="4"/>
        <v>17434134.026292246</v>
      </c>
      <c r="AB34" s="58">
        <f t="shared" si="16"/>
        <v>28507065.44942686</v>
      </c>
      <c r="AE34" s="58">
        <f>(AB34-AD34)*WAR!$G$19</f>
        <v>2024001.6469093068</v>
      </c>
      <c r="AF34" s="58">
        <f t="shared" si="5"/>
        <v>30531067.096336167</v>
      </c>
      <c r="AG34" s="58">
        <f t="shared" si="17"/>
        <v>0</v>
      </c>
      <c r="AJ34" s="58">
        <f>(AG34-AI34)*WAR!$G$17</f>
        <v>0</v>
      </c>
      <c r="AK34" s="58">
        <f t="shared" si="6"/>
        <v>0</v>
      </c>
      <c r="AL34" s="58">
        <f t="shared" si="18"/>
        <v>0</v>
      </c>
      <c r="AO34" s="58">
        <f>(AL34-AN34)*WAR!$G$31</f>
        <v>0</v>
      </c>
      <c r="AP34" s="58">
        <f t="shared" si="7"/>
        <v>0</v>
      </c>
      <c r="AQ34" s="58">
        <f t="shared" si="19"/>
        <v>11000000</v>
      </c>
      <c r="AT34" s="58">
        <f>(AQ34-AS34)*WAR!$G$28</f>
        <v>0</v>
      </c>
      <c r="AU34" s="58">
        <f t="shared" si="8"/>
        <v>11000000</v>
      </c>
      <c r="AV34" s="58">
        <f t="shared" si="20"/>
        <v>0</v>
      </c>
      <c r="AY34" s="58">
        <f>(AV34-AX34)*WAR!$G$25</f>
        <v>0</v>
      </c>
      <c r="AZ34" s="58">
        <f t="shared" si="9"/>
        <v>0</v>
      </c>
    </row>
    <row r="35" spans="1:52" x14ac:dyDescent="0.3">
      <c r="A35">
        <f t="shared" si="10"/>
        <v>2053</v>
      </c>
      <c r="B35" s="58">
        <v>0</v>
      </c>
      <c r="C35" s="58">
        <f t="shared" si="11"/>
        <v>159822709.0457404</v>
      </c>
      <c r="F35" s="58">
        <f>(C35-E35)*WAR!$G$7</f>
        <v>17580497.995031442</v>
      </c>
      <c r="G35" s="58">
        <f t="shared" si="0"/>
        <v>177403207.04077184</v>
      </c>
      <c r="H35" s="58">
        <f t="shared" si="12"/>
        <v>0</v>
      </c>
      <c r="K35" s="58">
        <f>(H35-J35)*WAR!$G$8</f>
        <v>0</v>
      </c>
      <c r="L35" s="58">
        <f t="shared" si="1"/>
        <v>0</v>
      </c>
      <c r="M35" s="58">
        <f t="shared" si="13"/>
        <v>0</v>
      </c>
      <c r="P35" s="58">
        <f>(M35-O35)*WAR!$G$14</f>
        <v>0</v>
      </c>
      <c r="Q35" s="58">
        <f t="shared" si="2"/>
        <v>0</v>
      </c>
      <c r="R35" s="58">
        <f t="shared" si="14"/>
        <v>119116.3651451326</v>
      </c>
      <c r="U35" s="58">
        <f>(R35-T35)*WAR!$G$15</f>
        <v>6551.4000829822935</v>
      </c>
      <c r="V35" s="58">
        <f t="shared" si="3"/>
        <v>125667.76522811489</v>
      </c>
      <c r="W35" s="58">
        <f t="shared" si="15"/>
        <v>17434134.026292246</v>
      </c>
      <c r="Z35" s="58">
        <f>(W35-Y35)*WAR!$G$20</f>
        <v>1429598.9901559639</v>
      </c>
      <c r="AA35" s="58">
        <f t="shared" si="4"/>
        <v>18863733.016448211</v>
      </c>
      <c r="AB35" s="58">
        <f t="shared" si="16"/>
        <v>30531067.096336167</v>
      </c>
      <c r="AE35" s="58">
        <f>(AB35-AD35)*WAR!$G$19</f>
        <v>2167705.7638398679</v>
      </c>
      <c r="AF35" s="58">
        <f t="shared" si="5"/>
        <v>32698772.860176034</v>
      </c>
      <c r="AG35" s="58">
        <f t="shared" si="17"/>
        <v>0</v>
      </c>
      <c r="AJ35" s="58">
        <f>(AG35-AI35)*WAR!$G$17</f>
        <v>0</v>
      </c>
      <c r="AK35" s="58">
        <f t="shared" si="6"/>
        <v>0</v>
      </c>
      <c r="AL35" s="58">
        <f t="shared" si="18"/>
        <v>0</v>
      </c>
      <c r="AO35" s="58">
        <f>(AL35-AN35)*WAR!$G$31</f>
        <v>0</v>
      </c>
      <c r="AP35" s="58">
        <f t="shared" si="7"/>
        <v>0</v>
      </c>
      <c r="AQ35" s="58">
        <f t="shared" si="19"/>
        <v>11000000</v>
      </c>
      <c r="AT35" s="58">
        <f>(AQ35-AS35)*WAR!$G$28</f>
        <v>0</v>
      </c>
      <c r="AU35" s="58">
        <f t="shared" si="8"/>
        <v>11000000</v>
      </c>
      <c r="AV35" s="58">
        <f t="shared" si="20"/>
        <v>0</v>
      </c>
      <c r="AY35" s="58">
        <f>(AV35-AX35)*WAR!$G$25</f>
        <v>0</v>
      </c>
      <c r="AZ35" s="58">
        <f t="shared" si="9"/>
        <v>0</v>
      </c>
    </row>
    <row r="36" spans="1:52" x14ac:dyDescent="0.3">
      <c r="A36">
        <f t="shared" si="10"/>
        <v>2054</v>
      </c>
      <c r="B36" s="58">
        <v>0</v>
      </c>
      <c r="C36" s="58">
        <f t="shared" si="11"/>
        <v>177403207.04077184</v>
      </c>
      <c r="F36" s="58">
        <f>(C36-E36)*WAR!$G$7</f>
        <v>19514352.774484903</v>
      </c>
      <c r="G36" s="58">
        <f t="shared" si="0"/>
        <v>196917559.81525674</v>
      </c>
      <c r="H36" s="58">
        <f t="shared" si="12"/>
        <v>0</v>
      </c>
      <c r="K36" s="58">
        <f>(H36-J36)*WAR!$G$8</f>
        <v>0</v>
      </c>
      <c r="L36" s="58">
        <f t="shared" si="1"/>
        <v>0</v>
      </c>
      <c r="M36" s="58">
        <f t="shared" si="13"/>
        <v>0</v>
      </c>
      <c r="P36" s="58">
        <f>(M36-O36)*WAR!$G$14</f>
        <v>0</v>
      </c>
      <c r="Q36" s="58">
        <f t="shared" si="2"/>
        <v>0</v>
      </c>
      <c r="R36" s="58">
        <f t="shared" si="14"/>
        <v>125667.76522811489</v>
      </c>
      <c r="U36" s="58">
        <f>(R36-T36)*WAR!$G$15</f>
        <v>6911.7270875463191</v>
      </c>
      <c r="V36" s="58">
        <f t="shared" si="3"/>
        <v>132579.49231566122</v>
      </c>
      <c r="W36" s="58">
        <f t="shared" si="15"/>
        <v>18863733.016448211</v>
      </c>
      <c r="Z36" s="58">
        <f>(W36-Y36)*WAR!$G$20</f>
        <v>1546826.1073487531</v>
      </c>
      <c r="AA36" s="58">
        <f t="shared" si="4"/>
        <v>20410559.123796962</v>
      </c>
      <c r="AB36" s="58">
        <f t="shared" si="16"/>
        <v>32698772.860176034</v>
      </c>
      <c r="AE36" s="58">
        <f>(AB36-AD36)*WAR!$G$19</f>
        <v>2321612.873072498</v>
      </c>
      <c r="AF36" s="58">
        <f t="shared" si="5"/>
        <v>35020385.733248532</v>
      </c>
      <c r="AG36" s="58">
        <f t="shared" si="17"/>
        <v>0</v>
      </c>
      <c r="AJ36" s="58">
        <f>(AG36-AI36)*WAR!$G$17</f>
        <v>0</v>
      </c>
      <c r="AK36" s="58">
        <f t="shared" si="6"/>
        <v>0</v>
      </c>
      <c r="AL36" s="58">
        <f t="shared" si="18"/>
        <v>0</v>
      </c>
      <c r="AO36" s="58">
        <f>(AL36-AN36)*WAR!$G$31</f>
        <v>0</v>
      </c>
      <c r="AP36" s="58">
        <f t="shared" si="7"/>
        <v>0</v>
      </c>
      <c r="AQ36" s="58">
        <f t="shared" si="19"/>
        <v>11000000</v>
      </c>
      <c r="AT36" s="58">
        <f>(AQ36-AS36)*WAR!$G$28</f>
        <v>0</v>
      </c>
      <c r="AU36" s="58">
        <f t="shared" si="8"/>
        <v>11000000</v>
      </c>
      <c r="AV36" s="58">
        <f t="shared" si="20"/>
        <v>0</v>
      </c>
      <c r="AY36" s="58">
        <f>(AV36-AX36)*WAR!$G$25</f>
        <v>0</v>
      </c>
      <c r="AZ36" s="58">
        <f t="shared" si="9"/>
        <v>0</v>
      </c>
    </row>
    <row r="37" spans="1:52" x14ac:dyDescent="0.3">
      <c r="A37">
        <f t="shared" si="10"/>
        <v>2055</v>
      </c>
      <c r="B37" s="58">
        <v>0</v>
      </c>
      <c r="C37" s="58">
        <f t="shared" si="11"/>
        <v>196917559.81525674</v>
      </c>
      <c r="F37" s="58">
        <f>(C37-E37)*WAR!$G$7</f>
        <v>21660931.579678241</v>
      </c>
      <c r="G37" s="58">
        <f t="shared" si="0"/>
        <v>218578491.39493498</v>
      </c>
      <c r="H37" s="58">
        <f t="shared" si="12"/>
        <v>0</v>
      </c>
      <c r="K37" s="58">
        <f>(H37-J37)*WAR!$G$8</f>
        <v>0</v>
      </c>
      <c r="L37" s="58">
        <f t="shared" si="1"/>
        <v>0</v>
      </c>
      <c r="M37" s="58">
        <f t="shared" si="13"/>
        <v>0</v>
      </c>
      <c r="P37" s="58">
        <f>(M37-O37)*WAR!$G$14</f>
        <v>0</v>
      </c>
      <c r="Q37" s="58">
        <f t="shared" si="2"/>
        <v>0</v>
      </c>
      <c r="R37" s="58">
        <f t="shared" si="14"/>
        <v>132579.49231566122</v>
      </c>
      <c r="U37" s="58">
        <f>(R37-T37)*WAR!$G$15</f>
        <v>7291.8720773613668</v>
      </c>
      <c r="V37" s="58">
        <f t="shared" si="3"/>
        <v>139871.36439302258</v>
      </c>
      <c r="W37" s="58">
        <f t="shared" si="15"/>
        <v>20410559.123796962</v>
      </c>
      <c r="Z37" s="58">
        <f>(W37-Y37)*WAR!$G$20</f>
        <v>1673665.8481513506</v>
      </c>
      <c r="AA37" s="58">
        <f t="shared" si="4"/>
        <v>22084224.971948314</v>
      </c>
      <c r="AB37" s="58">
        <f t="shared" si="16"/>
        <v>35020385.733248532</v>
      </c>
      <c r="AE37" s="58">
        <f>(AB37-AD37)*WAR!$G$19</f>
        <v>2486447.3870606455</v>
      </c>
      <c r="AF37" s="58">
        <f t="shared" si="5"/>
        <v>37506833.120309174</v>
      </c>
      <c r="AG37" s="58">
        <f t="shared" si="17"/>
        <v>0</v>
      </c>
      <c r="AJ37" s="58">
        <f>(AG37-AI37)*WAR!$G$17</f>
        <v>0</v>
      </c>
      <c r="AK37" s="58">
        <f t="shared" si="6"/>
        <v>0</v>
      </c>
      <c r="AL37" s="58">
        <f t="shared" si="18"/>
        <v>0</v>
      </c>
      <c r="AO37" s="58">
        <f>(AL37-AN37)*WAR!$G$31</f>
        <v>0</v>
      </c>
      <c r="AP37" s="58">
        <f t="shared" si="7"/>
        <v>0</v>
      </c>
      <c r="AQ37" s="58">
        <f t="shared" si="19"/>
        <v>11000000</v>
      </c>
      <c r="AT37" s="58">
        <f>(AQ37-AS37)*WAR!$G$28</f>
        <v>0</v>
      </c>
      <c r="AU37" s="58">
        <f t="shared" si="8"/>
        <v>11000000</v>
      </c>
      <c r="AV37" s="58">
        <f t="shared" si="20"/>
        <v>0</v>
      </c>
      <c r="AY37" s="58">
        <f>(AV37-AX37)*WAR!$G$25</f>
        <v>0</v>
      </c>
      <c r="AZ37" s="58">
        <f t="shared" si="9"/>
        <v>0</v>
      </c>
    </row>
    <row r="38" spans="1:52" x14ac:dyDescent="0.3">
      <c r="A38">
        <f t="shared" si="10"/>
        <v>2056</v>
      </c>
      <c r="B38" s="58">
        <v>0</v>
      </c>
      <c r="C38" s="58">
        <f t="shared" si="11"/>
        <v>218578491.39493498</v>
      </c>
      <c r="F38" s="58">
        <f>(C38-E38)*WAR!$G$7</f>
        <v>24043634.053442847</v>
      </c>
      <c r="G38" s="58">
        <f t="shared" si="0"/>
        <v>242622125.44837782</v>
      </c>
      <c r="H38" s="58">
        <f t="shared" si="12"/>
        <v>0</v>
      </c>
      <c r="K38" s="58">
        <f>(H38-J38)*WAR!$G$8</f>
        <v>0</v>
      </c>
      <c r="L38" s="58">
        <f t="shared" si="1"/>
        <v>0</v>
      </c>
      <c r="M38" s="58">
        <f t="shared" si="13"/>
        <v>0</v>
      </c>
      <c r="P38" s="58">
        <f>(M38-O38)*WAR!$G$14</f>
        <v>0</v>
      </c>
      <c r="Q38" s="58">
        <f t="shared" si="2"/>
        <v>0</v>
      </c>
      <c r="R38" s="58">
        <f t="shared" si="14"/>
        <v>139871.36439302258</v>
      </c>
      <c r="U38" s="58">
        <f>(R38-T38)*WAR!$G$15</f>
        <v>7692.9250416162422</v>
      </c>
      <c r="V38" s="58">
        <f t="shared" si="3"/>
        <v>147564.28943463883</v>
      </c>
      <c r="W38" s="58">
        <f t="shared" si="15"/>
        <v>22084224.971948314</v>
      </c>
      <c r="Z38" s="58">
        <f>(W38-Y38)*WAR!$G$20</f>
        <v>1810906.4476997615</v>
      </c>
      <c r="AA38" s="58">
        <f t="shared" si="4"/>
        <v>23895131.419648077</v>
      </c>
      <c r="AB38" s="58">
        <f t="shared" si="16"/>
        <v>37506833.120309174</v>
      </c>
      <c r="AE38" s="58">
        <f>(AB38-AD38)*WAR!$G$19</f>
        <v>2662985.1515419511</v>
      </c>
      <c r="AF38" s="58">
        <f t="shared" si="5"/>
        <v>40169818.271851122</v>
      </c>
      <c r="AG38" s="58">
        <f t="shared" si="17"/>
        <v>0</v>
      </c>
      <c r="AJ38" s="58">
        <f>(AG38-AI38)*WAR!$G$17</f>
        <v>0</v>
      </c>
      <c r="AK38" s="58">
        <f t="shared" si="6"/>
        <v>0</v>
      </c>
      <c r="AL38" s="58">
        <f t="shared" si="18"/>
        <v>0</v>
      </c>
      <c r="AO38" s="58">
        <f>(AL38-AN38)*WAR!$G$31</f>
        <v>0</v>
      </c>
      <c r="AP38" s="58">
        <f t="shared" si="7"/>
        <v>0</v>
      </c>
      <c r="AQ38" s="58">
        <f t="shared" si="19"/>
        <v>11000000</v>
      </c>
      <c r="AT38" s="58">
        <f>(AQ38-AS38)*WAR!$G$28</f>
        <v>0</v>
      </c>
      <c r="AU38" s="58">
        <f t="shared" si="8"/>
        <v>11000000</v>
      </c>
      <c r="AV38" s="58">
        <f t="shared" si="20"/>
        <v>0</v>
      </c>
      <c r="AY38" s="58">
        <f>(AV38-AX38)*WAR!$G$25</f>
        <v>0</v>
      </c>
      <c r="AZ38" s="58">
        <f t="shared" si="9"/>
        <v>0</v>
      </c>
    </row>
    <row r="39" spans="1:52" x14ac:dyDescent="0.3">
      <c r="A39">
        <f t="shared" si="10"/>
        <v>2057</v>
      </c>
      <c r="B39" s="58">
        <v>0</v>
      </c>
      <c r="C39" s="58">
        <f t="shared" si="11"/>
        <v>242622125.44837782</v>
      </c>
      <c r="F39" s="58">
        <f>(C39-E39)*WAR!$G$7</f>
        <v>26688433.799321558</v>
      </c>
      <c r="G39" s="58">
        <f t="shared" si="0"/>
        <v>269310559.24769938</v>
      </c>
      <c r="H39" s="58">
        <f t="shared" si="12"/>
        <v>0</v>
      </c>
      <c r="K39" s="58">
        <f>(H39-J39)*WAR!$G$8</f>
        <v>0</v>
      </c>
      <c r="L39" s="58">
        <f t="shared" si="1"/>
        <v>0</v>
      </c>
      <c r="M39" s="58">
        <f t="shared" si="13"/>
        <v>0</v>
      </c>
      <c r="P39" s="58">
        <f>(M39-O39)*WAR!$G$14</f>
        <v>0</v>
      </c>
      <c r="Q39" s="58">
        <f t="shared" si="2"/>
        <v>0</v>
      </c>
      <c r="R39" s="58">
        <f t="shared" si="14"/>
        <v>147564.28943463883</v>
      </c>
      <c r="U39" s="58">
        <f>(R39-T39)*WAR!$G$15</f>
        <v>8116.035918905136</v>
      </c>
      <c r="V39" s="58">
        <f t="shared" si="3"/>
        <v>155680.32535354397</v>
      </c>
      <c r="W39" s="58">
        <f t="shared" si="15"/>
        <v>23895131.419648077</v>
      </c>
      <c r="Z39" s="58">
        <f>(W39-Y39)*WAR!$G$20</f>
        <v>1959400.7764111422</v>
      </c>
      <c r="AA39" s="58">
        <f t="shared" si="4"/>
        <v>25854532.19605922</v>
      </c>
      <c r="AB39" s="58">
        <f t="shared" si="16"/>
        <v>40169818.271851122</v>
      </c>
      <c r="AE39" s="58">
        <f>(AB39-AD39)*WAR!$G$19</f>
        <v>2852057.0973014296</v>
      </c>
      <c r="AF39" s="58">
        <f t="shared" si="5"/>
        <v>43021875.369152553</v>
      </c>
      <c r="AG39" s="58">
        <f t="shared" si="17"/>
        <v>0</v>
      </c>
      <c r="AJ39" s="58">
        <f>(AG39-AI39)*WAR!$G$17</f>
        <v>0</v>
      </c>
      <c r="AK39" s="58">
        <f t="shared" si="6"/>
        <v>0</v>
      </c>
      <c r="AL39" s="58">
        <f t="shared" si="18"/>
        <v>0</v>
      </c>
      <c r="AO39" s="58">
        <f>(AL39-AN39)*WAR!$G$31</f>
        <v>0</v>
      </c>
      <c r="AP39" s="58">
        <f t="shared" si="7"/>
        <v>0</v>
      </c>
      <c r="AQ39" s="58">
        <f t="shared" si="19"/>
        <v>11000000</v>
      </c>
      <c r="AT39" s="58">
        <f>(AQ39-AS39)*WAR!$G$28</f>
        <v>0</v>
      </c>
      <c r="AU39" s="58">
        <f t="shared" si="8"/>
        <v>11000000</v>
      </c>
      <c r="AV39" s="58">
        <f t="shared" si="20"/>
        <v>0</v>
      </c>
      <c r="AY39" s="58">
        <f>(AV39-AX39)*WAR!$G$25</f>
        <v>0</v>
      </c>
      <c r="AZ39" s="58">
        <f t="shared" si="9"/>
        <v>0</v>
      </c>
    </row>
    <row r="40" spans="1:52" x14ac:dyDescent="0.3">
      <c r="A40">
        <f t="shared" si="10"/>
        <v>2058</v>
      </c>
      <c r="B40" s="58">
        <v>0</v>
      </c>
      <c r="C40" s="58">
        <f t="shared" si="11"/>
        <v>269310559.24769938</v>
      </c>
      <c r="F40" s="58">
        <f>(C40-E40)*WAR!$G$7</f>
        <v>29624161.517246932</v>
      </c>
      <c r="G40" s="58">
        <f t="shared" si="0"/>
        <v>298934720.76494634</v>
      </c>
      <c r="H40" s="58">
        <f t="shared" si="12"/>
        <v>0</v>
      </c>
      <c r="K40" s="58">
        <f>(H40-J40)*WAR!$G$8</f>
        <v>0</v>
      </c>
      <c r="L40" s="58">
        <f t="shared" si="1"/>
        <v>0</v>
      </c>
      <c r="M40" s="58">
        <f t="shared" si="13"/>
        <v>0</v>
      </c>
      <c r="P40" s="58">
        <f>(M40-O40)*WAR!$G$14</f>
        <v>0</v>
      </c>
      <c r="Q40" s="58">
        <f t="shared" si="2"/>
        <v>0</v>
      </c>
      <c r="R40" s="58">
        <f t="shared" si="14"/>
        <v>155680.32535354397</v>
      </c>
      <c r="U40" s="58">
        <f>(R40-T40)*WAR!$G$15</f>
        <v>8562.4178944449177</v>
      </c>
      <c r="V40" s="58">
        <f t="shared" si="3"/>
        <v>164242.7432479889</v>
      </c>
      <c r="W40" s="58">
        <f t="shared" si="15"/>
        <v>25854532.19605922</v>
      </c>
      <c r="Z40" s="58">
        <f>(W40-Y40)*WAR!$G$20</f>
        <v>2120071.6400768557</v>
      </c>
      <c r="AA40" s="58">
        <f t="shared" si="4"/>
        <v>27974603.836136077</v>
      </c>
      <c r="AB40" s="58">
        <f t="shared" si="16"/>
        <v>43021875.369152553</v>
      </c>
      <c r="AE40" s="58">
        <f>(AB40-AD40)*WAR!$G$19</f>
        <v>3054553.1512098312</v>
      </c>
      <c r="AF40" s="58">
        <f t="shared" si="5"/>
        <v>46076428.520362385</v>
      </c>
      <c r="AG40" s="58">
        <f t="shared" si="17"/>
        <v>0</v>
      </c>
      <c r="AJ40" s="58">
        <f>(AG40-AI40)*WAR!$G$17</f>
        <v>0</v>
      </c>
      <c r="AK40" s="58">
        <f t="shared" si="6"/>
        <v>0</v>
      </c>
      <c r="AL40" s="58">
        <f t="shared" si="18"/>
        <v>0</v>
      </c>
      <c r="AO40" s="58">
        <f>(AL40-AN40)*WAR!$G$31</f>
        <v>0</v>
      </c>
      <c r="AP40" s="58">
        <f t="shared" si="7"/>
        <v>0</v>
      </c>
      <c r="AQ40" s="58">
        <f t="shared" si="19"/>
        <v>11000000</v>
      </c>
      <c r="AT40" s="58">
        <f>(AQ40-AS40)*WAR!$G$28</f>
        <v>0</v>
      </c>
      <c r="AU40" s="58">
        <f t="shared" si="8"/>
        <v>11000000</v>
      </c>
      <c r="AV40" s="58">
        <f t="shared" si="20"/>
        <v>0</v>
      </c>
      <c r="AY40" s="58">
        <f>(AV40-AX40)*WAR!$G$25</f>
        <v>0</v>
      </c>
      <c r="AZ40" s="58">
        <f t="shared" si="9"/>
        <v>0</v>
      </c>
    </row>
    <row r="41" spans="1:52" x14ac:dyDescent="0.3">
      <c r="A41">
        <f t="shared" si="10"/>
        <v>2059</v>
      </c>
      <c r="B41" s="58">
        <v>0</v>
      </c>
      <c r="C41" s="58">
        <f t="shared" si="11"/>
        <v>298934720.76494634</v>
      </c>
      <c r="F41" s="58">
        <f>(C41-E41)*WAR!$G$7</f>
        <v>32882819.284144096</v>
      </c>
      <c r="G41" s="58">
        <f t="shared" si="0"/>
        <v>331817540.04909045</v>
      </c>
      <c r="H41" s="58">
        <f t="shared" si="12"/>
        <v>0</v>
      </c>
      <c r="K41" s="58">
        <f>(H41-J41)*WAR!$G$8</f>
        <v>0</v>
      </c>
      <c r="L41" s="58">
        <f t="shared" si="1"/>
        <v>0</v>
      </c>
      <c r="M41" s="58">
        <f t="shared" si="13"/>
        <v>0</v>
      </c>
      <c r="P41" s="58">
        <f>(M41-O41)*WAR!$G$14</f>
        <v>0</v>
      </c>
      <c r="Q41" s="58">
        <f t="shared" si="2"/>
        <v>0</v>
      </c>
      <c r="R41" s="58">
        <f t="shared" si="14"/>
        <v>164242.7432479889</v>
      </c>
      <c r="U41" s="58">
        <f>(R41-T41)*WAR!$G$15</f>
        <v>9033.3508786393886</v>
      </c>
      <c r="V41" s="58">
        <f t="shared" si="3"/>
        <v>173276.09412662828</v>
      </c>
      <c r="W41" s="58">
        <f t="shared" si="15"/>
        <v>27974603.836136077</v>
      </c>
      <c r="Z41" s="58">
        <f>(W41-Y41)*WAR!$G$20</f>
        <v>2293917.5145631582</v>
      </c>
      <c r="AA41" s="58">
        <f t="shared" si="4"/>
        <v>30268521.350699235</v>
      </c>
      <c r="AB41" s="58">
        <f t="shared" si="16"/>
        <v>46076428.520362385</v>
      </c>
      <c r="AE41" s="58">
        <f>(AB41-AD41)*WAR!$G$19</f>
        <v>3271426.4249457289</v>
      </c>
      <c r="AF41" s="58">
        <f t="shared" si="5"/>
        <v>49347854.945308112</v>
      </c>
      <c r="AG41" s="58">
        <f t="shared" si="17"/>
        <v>0</v>
      </c>
      <c r="AJ41" s="58">
        <f>(AG41-AI41)*WAR!$G$17</f>
        <v>0</v>
      </c>
      <c r="AK41" s="58">
        <f t="shared" si="6"/>
        <v>0</v>
      </c>
      <c r="AL41" s="58">
        <f t="shared" si="18"/>
        <v>0</v>
      </c>
      <c r="AO41" s="58">
        <f>(AL41-AN41)*WAR!$G$31</f>
        <v>0</v>
      </c>
      <c r="AP41" s="58">
        <f t="shared" si="7"/>
        <v>0</v>
      </c>
      <c r="AQ41" s="58">
        <f t="shared" si="19"/>
        <v>11000000</v>
      </c>
      <c r="AT41" s="58">
        <f>(AQ41-AS41)*WAR!$G$28</f>
        <v>0</v>
      </c>
      <c r="AU41" s="58">
        <f t="shared" si="8"/>
        <v>11000000</v>
      </c>
      <c r="AV41" s="58">
        <f t="shared" si="20"/>
        <v>0</v>
      </c>
      <c r="AY41" s="58">
        <f>(AV41-AX41)*WAR!$G$25</f>
        <v>0</v>
      </c>
      <c r="AZ41" s="58">
        <f t="shared" si="9"/>
        <v>0</v>
      </c>
    </row>
    <row r="42" spans="1:52" x14ac:dyDescent="0.3">
      <c r="A42">
        <f t="shared" si="10"/>
        <v>2060</v>
      </c>
      <c r="B42" s="58">
        <v>0</v>
      </c>
      <c r="C42" s="58">
        <f t="shared" si="11"/>
        <v>331817540.04909045</v>
      </c>
      <c r="F42" s="58">
        <f>(C42-E42)*WAR!$G$7</f>
        <v>36499929.405399948</v>
      </c>
      <c r="G42" s="58">
        <f t="shared" si="0"/>
        <v>368317469.45449042</v>
      </c>
      <c r="H42" s="58">
        <f t="shared" si="12"/>
        <v>0</v>
      </c>
      <c r="K42" s="58">
        <f>(H42-J42)*WAR!$G$8</f>
        <v>0</v>
      </c>
      <c r="L42" s="58">
        <f t="shared" si="1"/>
        <v>0</v>
      </c>
      <c r="M42" s="58">
        <f t="shared" si="13"/>
        <v>0</v>
      </c>
      <c r="P42" s="58">
        <f>(M42-O42)*WAR!$G$14</f>
        <v>0</v>
      </c>
      <c r="Q42" s="58">
        <f t="shared" si="2"/>
        <v>0</v>
      </c>
      <c r="R42" s="58">
        <f t="shared" si="14"/>
        <v>173276.09412662828</v>
      </c>
      <c r="U42" s="58">
        <f>(R42-T42)*WAR!$G$15</f>
        <v>9530.1851769645546</v>
      </c>
      <c r="V42" s="58">
        <f t="shared" si="3"/>
        <v>182806.27930359283</v>
      </c>
      <c r="W42" s="58">
        <f t="shared" si="15"/>
        <v>30268521.350699235</v>
      </c>
      <c r="Z42" s="58">
        <f>(W42-Y42)*WAR!$G$20</f>
        <v>2482018.7507573371</v>
      </c>
      <c r="AA42" s="58">
        <f t="shared" si="4"/>
        <v>32750540.101456571</v>
      </c>
      <c r="AB42" s="58">
        <f t="shared" si="16"/>
        <v>49347854.945308112</v>
      </c>
      <c r="AE42" s="58">
        <f>(AB42-AD42)*WAR!$G$19</f>
        <v>3503697.7011168757</v>
      </c>
      <c r="AF42" s="58">
        <f t="shared" si="5"/>
        <v>52851552.646424986</v>
      </c>
      <c r="AG42" s="58">
        <f t="shared" si="17"/>
        <v>0</v>
      </c>
      <c r="AJ42" s="58">
        <f>(AG42-AI42)*WAR!$G$17</f>
        <v>0</v>
      </c>
      <c r="AK42" s="58">
        <f t="shared" si="6"/>
        <v>0</v>
      </c>
      <c r="AL42" s="58">
        <f t="shared" si="18"/>
        <v>0</v>
      </c>
      <c r="AO42" s="58">
        <f>(AL42-AN42)*WAR!$G$31</f>
        <v>0</v>
      </c>
      <c r="AP42" s="58">
        <f t="shared" si="7"/>
        <v>0</v>
      </c>
      <c r="AQ42" s="58">
        <f t="shared" si="19"/>
        <v>11000000</v>
      </c>
      <c r="AT42" s="58">
        <f>(AQ42-AS42)*WAR!$G$28</f>
        <v>0</v>
      </c>
      <c r="AU42" s="58">
        <f t="shared" si="8"/>
        <v>11000000</v>
      </c>
      <c r="AV42" s="58">
        <f t="shared" si="20"/>
        <v>0</v>
      </c>
      <c r="AY42" s="58">
        <f>(AV42-AX42)*WAR!$G$25</f>
        <v>0</v>
      </c>
      <c r="AZ42" s="58">
        <f t="shared" si="9"/>
        <v>0</v>
      </c>
    </row>
    <row r="43" spans="1:52" x14ac:dyDescent="0.3">
      <c r="A43">
        <f t="shared" si="10"/>
        <v>2061</v>
      </c>
      <c r="B43" s="58">
        <v>0</v>
      </c>
      <c r="C43" s="58">
        <f t="shared" si="11"/>
        <v>368317469.45449042</v>
      </c>
      <c r="F43" s="58">
        <f>(C43-E43)*WAR!$G$7</f>
        <v>40514921.639993943</v>
      </c>
      <c r="G43" s="58">
        <f t="shared" si="0"/>
        <v>408832391.09448439</v>
      </c>
      <c r="H43" s="58">
        <f t="shared" si="12"/>
        <v>0</v>
      </c>
      <c r="K43" s="58">
        <f>(H43-J43)*WAR!$G$8</f>
        <v>0</v>
      </c>
      <c r="L43" s="58">
        <f t="shared" si="1"/>
        <v>0</v>
      </c>
      <c r="M43" s="58">
        <f t="shared" si="13"/>
        <v>0</v>
      </c>
      <c r="P43" s="58">
        <f>(M43-O43)*WAR!$G$14</f>
        <v>0</v>
      </c>
      <c r="Q43" s="58">
        <f t="shared" si="2"/>
        <v>0</v>
      </c>
      <c r="R43" s="58">
        <f t="shared" si="14"/>
        <v>182806.27930359283</v>
      </c>
      <c r="U43" s="58">
        <f>(R43-T43)*WAR!$G$15</f>
        <v>10054.345361697606</v>
      </c>
      <c r="V43" s="58">
        <f t="shared" si="3"/>
        <v>192860.62466529044</v>
      </c>
      <c r="W43" s="58">
        <f t="shared" si="15"/>
        <v>32750540.101456571</v>
      </c>
      <c r="Z43" s="58">
        <f>(W43-Y43)*WAR!$G$20</f>
        <v>2685544.2883194387</v>
      </c>
      <c r="AA43" s="58">
        <f t="shared" si="4"/>
        <v>35436084.389776006</v>
      </c>
      <c r="AB43" s="58">
        <f t="shared" si="16"/>
        <v>52851552.646424986</v>
      </c>
      <c r="AE43" s="58">
        <f>(AB43-AD43)*WAR!$G$19</f>
        <v>3752460.2378961737</v>
      </c>
      <c r="AF43" s="58">
        <f t="shared" si="5"/>
        <v>56604012.884321161</v>
      </c>
      <c r="AG43" s="58">
        <f t="shared" si="17"/>
        <v>0</v>
      </c>
      <c r="AJ43" s="58">
        <f>(AG43-AI43)*WAR!$G$17</f>
        <v>0</v>
      </c>
      <c r="AK43" s="58">
        <f t="shared" si="6"/>
        <v>0</v>
      </c>
      <c r="AL43" s="58">
        <f t="shared" si="18"/>
        <v>0</v>
      </c>
      <c r="AO43" s="58">
        <f>(AL43-AN43)*WAR!$G$31</f>
        <v>0</v>
      </c>
      <c r="AP43" s="58">
        <f t="shared" si="7"/>
        <v>0</v>
      </c>
      <c r="AQ43" s="58">
        <f t="shared" si="19"/>
        <v>11000000</v>
      </c>
      <c r="AT43" s="58">
        <f>(AQ43-AS43)*WAR!$G$28</f>
        <v>0</v>
      </c>
      <c r="AU43" s="58">
        <f t="shared" si="8"/>
        <v>11000000</v>
      </c>
      <c r="AV43" s="58">
        <f t="shared" si="20"/>
        <v>0</v>
      </c>
      <c r="AY43" s="58">
        <f>(AV43-AX43)*WAR!$G$25</f>
        <v>0</v>
      </c>
      <c r="AZ43" s="58">
        <f t="shared" si="9"/>
        <v>0</v>
      </c>
    </row>
    <row r="44" spans="1:52" x14ac:dyDescent="0.3">
      <c r="A44">
        <f t="shared" si="10"/>
        <v>2062</v>
      </c>
      <c r="B44" s="58">
        <v>0</v>
      </c>
      <c r="C44" s="58">
        <f t="shared" si="11"/>
        <v>408832391.09448439</v>
      </c>
      <c r="F44" s="58">
        <f>(C44-E44)*WAR!$G$7</f>
        <v>44971563.020393282</v>
      </c>
      <c r="G44" s="58">
        <f t="shared" si="0"/>
        <v>453803954.1148777</v>
      </c>
      <c r="H44" s="58">
        <f t="shared" si="12"/>
        <v>0</v>
      </c>
      <c r="K44" s="58">
        <f>(H44-J44)*WAR!$G$8</f>
        <v>0</v>
      </c>
      <c r="L44" s="58">
        <f t="shared" si="1"/>
        <v>0</v>
      </c>
      <c r="M44" s="58">
        <f t="shared" si="13"/>
        <v>0</v>
      </c>
      <c r="P44" s="58">
        <f>(M44-O44)*WAR!$G$14</f>
        <v>0</v>
      </c>
      <c r="Q44" s="58">
        <f t="shared" si="2"/>
        <v>0</v>
      </c>
      <c r="R44" s="58">
        <f t="shared" si="14"/>
        <v>192860.62466529044</v>
      </c>
      <c r="U44" s="58">
        <f>(R44-T44)*WAR!$G$15</f>
        <v>10607.334356590974</v>
      </c>
      <c r="V44" s="58">
        <f t="shared" si="3"/>
        <v>203467.9590218814</v>
      </c>
      <c r="W44" s="58">
        <f t="shared" si="15"/>
        <v>35436084.389776006</v>
      </c>
      <c r="Z44" s="58">
        <f>(W44-Y44)*WAR!$G$20</f>
        <v>2905758.9199616322</v>
      </c>
      <c r="AA44" s="58">
        <f t="shared" si="4"/>
        <v>38341843.309737638</v>
      </c>
      <c r="AB44" s="58">
        <f t="shared" si="16"/>
        <v>56604012.884321161</v>
      </c>
      <c r="AE44" s="58">
        <f>(AB44-AD44)*WAR!$G$19</f>
        <v>4018884.9147868021</v>
      </c>
      <c r="AF44" s="58">
        <f t="shared" si="5"/>
        <v>60622897.799107961</v>
      </c>
      <c r="AG44" s="58">
        <f t="shared" si="17"/>
        <v>0</v>
      </c>
      <c r="AJ44" s="58">
        <f>(AG44-AI44)*WAR!$G$17</f>
        <v>0</v>
      </c>
      <c r="AK44" s="58">
        <f t="shared" si="6"/>
        <v>0</v>
      </c>
      <c r="AL44" s="58">
        <f t="shared" si="18"/>
        <v>0</v>
      </c>
      <c r="AO44" s="58">
        <f>(AL44-AN44)*WAR!$G$31</f>
        <v>0</v>
      </c>
      <c r="AP44" s="58">
        <f t="shared" si="7"/>
        <v>0</v>
      </c>
      <c r="AQ44" s="58">
        <f t="shared" si="19"/>
        <v>11000000</v>
      </c>
      <c r="AT44" s="58">
        <f>(AQ44-AS44)*WAR!$G$28</f>
        <v>0</v>
      </c>
      <c r="AU44" s="58">
        <f t="shared" si="8"/>
        <v>11000000</v>
      </c>
      <c r="AV44" s="58">
        <f t="shared" si="20"/>
        <v>0</v>
      </c>
      <c r="AY44" s="58">
        <f>(AV44-AX44)*WAR!$G$25</f>
        <v>0</v>
      </c>
      <c r="AZ44" s="58">
        <f t="shared" si="9"/>
        <v>0</v>
      </c>
    </row>
    <row r="45" spans="1:52" x14ac:dyDescent="0.3">
      <c r="A45">
        <f t="shared" si="10"/>
        <v>2063</v>
      </c>
      <c r="B45" s="58">
        <v>0</v>
      </c>
      <c r="C45" s="58">
        <f t="shared" si="11"/>
        <v>453803954.1148777</v>
      </c>
      <c r="F45" s="58">
        <f>(C45-E45)*WAR!$G$7</f>
        <v>49918434.952636547</v>
      </c>
      <c r="G45" s="58">
        <f t="shared" si="0"/>
        <v>503722389.06751424</v>
      </c>
      <c r="H45" s="58">
        <f t="shared" si="12"/>
        <v>0</v>
      </c>
      <c r="K45" s="58">
        <f>(H45-J45)*WAR!$G$8</f>
        <v>0</v>
      </c>
      <c r="L45" s="58">
        <f t="shared" si="1"/>
        <v>0</v>
      </c>
      <c r="M45" s="58">
        <f t="shared" si="13"/>
        <v>0</v>
      </c>
      <c r="P45" s="58">
        <f>(M45-O45)*WAR!$G$14</f>
        <v>0</v>
      </c>
      <c r="Q45" s="58">
        <f t="shared" si="2"/>
        <v>0</v>
      </c>
      <c r="R45" s="58">
        <f t="shared" si="14"/>
        <v>203467.9590218814</v>
      </c>
      <c r="U45" s="58">
        <f>(R45-T45)*WAR!$G$15</f>
        <v>11190.737746203476</v>
      </c>
      <c r="V45" s="58">
        <f t="shared" si="3"/>
        <v>214658.69676808486</v>
      </c>
      <c r="W45" s="58">
        <f t="shared" si="15"/>
        <v>38341843.309737638</v>
      </c>
      <c r="Z45" s="58">
        <f>(W45-Y45)*WAR!$G$20</f>
        <v>3144031.151398486</v>
      </c>
      <c r="AA45" s="58">
        <f t="shared" si="4"/>
        <v>41485874.461136125</v>
      </c>
      <c r="AB45" s="58">
        <f t="shared" si="16"/>
        <v>60622897.799107961</v>
      </c>
      <c r="AE45" s="58">
        <f>(AB45-AD45)*WAR!$G$19</f>
        <v>4304225.7437366648</v>
      </c>
      <c r="AF45" s="58">
        <f t="shared" si="5"/>
        <v>64927123.542844623</v>
      </c>
      <c r="AG45" s="58">
        <f t="shared" si="17"/>
        <v>0</v>
      </c>
      <c r="AJ45" s="58">
        <f>(AG45-AI45)*WAR!$G$17</f>
        <v>0</v>
      </c>
      <c r="AK45" s="58">
        <f t="shared" si="6"/>
        <v>0</v>
      </c>
      <c r="AL45" s="58">
        <f t="shared" si="18"/>
        <v>0</v>
      </c>
      <c r="AO45" s="58">
        <f>(AL45-AN45)*WAR!$G$31</f>
        <v>0</v>
      </c>
      <c r="AP45" s="58">
        <f t="shared" si="7"/>
        <v>0</v>
      </c>
      <c r="AQ45" s="58">
        <f t="shared" si="19"/>
        <v>11000000</v>
      </c>
      <c r="AT45" s="58">
        <f>(AQ45-AS45)*WAR!$G$28</f>
        <v>0</v>
      </c>
      <c r="AU45" s="58">
        <f t="shared" si="8"/>
        <v>11000000</v>
      </c>
      <c r="AV45" s="58">
        <f t="shared" si="20"/>
        <v>0</v>
      </c>
      <c r="AY45" s="58">
        <f>(AV45-AX45)*WAR!$G$25</f>
        <v>0</v>
      </c>
      <c r="AZ45" s="58">
        <f t="shared" si="9"/>
        <v>0</v>
      </c>
    </row>
    <row r="46" spans="1:52" x14ac:dyDescent="0.3">
      <c r="A46">
        <f t="shared" si="10"/>
        <v>2064</v>
      </c>
      <c r="B46" s="58">
        <v>0</v>
      </c>
      <c r="C46" s="58">
        <f t="shared" si="11"/>
        <v>503722389.06751424</v>
      </c>
      <c r="F46" s="58">
        <f>(C46-E46)*WAR!$G$7</f>
        <v>55409462.797426566</v>
      </c>
      <c r="G46" s="58">
        <f t="shared" si="0"/>
        <v>559131851.86494076</v>
      </c>
      <c r="H46" s="58">
        <f t="shared" si="12"/>
        <v>0</v>
      </c>
      <c r="K46" s="58">
        <f>(H46-J46)*WAR!$G$8</f>
        <v>0</v>
      </c>
      <c r="L46" s="58">
        <f t="shared" si="1"/>
        <v>0</v>
      </c>
      <c r="M46" s="58">
        <f t="shared" si="13"/>
        <v>0</v>
      </c>
      <c r="P46" s="58">
        <f>(M46-O46)*WAR!$G$14</f>
        <v>0</v>
      </c>
      <c r="Q46" s="58">
        <f t="shared" si="2"/>
        <v>0</v>
      </c>
      <c r="R46" s="58">
        <f t="shared" si="14"/>
        <v>214658.69676808486</v>
      </c>
      <c r="U46" s="58">
        <f>(R46-T46)*WAR!$G$15</f>
        <v>11806.228322244668</v>
      </c>
      <c r="V46" s="58">
        <f t="shared" si="3"/>
        <v>226464.92509032952</v>
      </c>
      <c r="W46" s="58">
        <f t="shared" si="15"/>
        <v>41485874.461136125</v>
      </c>
      <c r="Z46" s="58">
        <f>(W46-Y46)*WAR!$G$20</f>
        <v>3401841.705813162</v>
      </c>
      <c r="AA46" s="58">
        <f t="shared" si="4"/>
        <v>44887716.166949287</v>
      </c>
      <c r="AB46" s="58">
        <f t="shared" si="16"/>
        <v>64927123.542844623</v>
      </c>
      <c r="AE46" s="58">
        <f>(AB46-AD46)*WAR!$G$19</f>
        <v>4609825.771541968</v>
      </c>
      <c r="AF46" s="58">
        <f t="shared" si="5"/>
        <v>69536949.314386591</v>
      </c>
      <c r="AG46" s="58">
        <f t="shared" si="17"/>
        <v>0</v>
      </c>
      <c r="AJ46" s="58">
        <f>(AG46-AI46)*WAR!$G$17</f>
        <v>0</v>
      </c>
      <c r="AK46" s="58">
        <f t="shared" si="6"/>
        <v>0</v>
      </c>
      <c r="AL46" s="58">
        <f t="shared" si="18"/>
        <v>0</v>
      </c>
      <c r="AO46" s="58">
        <f>(AL46-AN46)*WAR!$G$31</f>
        <v>0</v>
      </c>
      <c r="AP46" s="58">
        <f t="shared" si="7"/>
        <v>0</v>
      </c>
      <c r="AQ46" s="58">
        <f t="shared" si="19"/>
        <v>11000000</v>
      </c>
      <c r="AT46" s="58">
        <f>(AQ46-AS46)*WAR!$G$28</f>
        <v>0</v>
      </c>
      <c r="AU46" s="58">
        <f t="shared" si="8"/>
        <v>11000000</v>
      </c>
      <c r="AV46" s="58">
        <f t="shared" si="20"/>
        <v>0</v>
      </c>
      <c r="AY46" s="58">
        <f>(AV46-AX46)*WAR!$G$25</f>
        <v>0</v>
      </c>
      <c r="AZ46" s="58">
        <f t="shared" si="9"/>
        <v>0</v>
      </c>
    </row>
    <row r="47" spans="1:52" x14ac:dyDescent="0.3">
      <c r="A47">
        <f t="shared" si="10"/>
        <v>2065</v>
      </c>
      <c r="B47" s="58">
        <v>0</v>
      </c>
      <c r="C47" s="58">
        <f t="shared" si="11"/>
        <v>559131851.86494076</v>
      </c>
      <c r="F47" s="58">
        <f>(C47-E47)*WAR!$G$7</f>
        <v>61504503.705143481</v>
      </c>
      <c r="G47" s="58">
        <f t="shared" si="0"/>
        <v>620636355.57008421</v>
      </c>
      <c r="H47" s="58">
        <f t="shared" si="12"/>
        <v>0</v>
      </c>
      <c r="K47" s="58">
        <f>(H47-J47)*WAR!$G$8</f>
        <v>0</v>
      </c>
      <c r="L47" s="58">
        <f t="shared" si="1"/>
        <v>0</v>
      </c>
      <c r="M47" s="58">
        <f t="shared" si="13"/>
        <v>0</v>
      </c>
      <c r="P47" s="58">
        <f>(M47-O47)*WAR!$G$14</f>
        <v>0</v>
      </c>
      <c r="Q47" s="58">
        <f t="shared" si="2"/>
        <v>0</v>
      </c>
      <c r="R47" s="58">
        <f t="shared" si="14"/>
        <v>226464.92509032952</v>
      </c>
      <c r="U47" s="58">
        <f>(R47-T47)*WAR!$G$15</f>
        <v>12455.570879968123</v>
      </c>
      <c r="V47" s="58">
        <f t="shared" si="3"/>
        <v>238920.49597029763</v>
      </c>
      <c r="W47" s="58">
        <f t="shared" si="15"/>
        <v>44887716.166949287</v>
      </c>
      <c r="Z47" s="58">
        <f>(W47-Y47)*WAR!$G$20</f>
        <v>3680792.725689841</v>
      </c>
      <c r="AA47" s="58">
        <f t="shared" si="4"/>
        <v>48568508.89263913</v>
      </c>
      <c r="AB47" s="58">
        <f t="shared" si="16"/>
        <v>69536949.314386591</v>
      </c>
      <c r="AE47" s="58">
        <f>(AB47-AD47)*WAR!$G$19</f>
        <v>4937123.4013214475</v>
      </c>
      <c r="AF47" s="58">
        <f t="shared" si="5"/>
        <v>74474072.715708032</v>
      </c>
      <c r="AG47" s="58">
        <f t="shared" si="17"/>
        <v>0</v>
      </c>
      <c r="AJ47" s="58">
        <f>(AG47-AI47)*WAR!$G$17</f>
        <v>0</v>
      </c>
      <c r="AK47" s="58">
        <f t="shared" si="6"/>
        <v>0</v>
      </c>
      <c r="AL47" s="58">
        <f t="shared" si="18"/>
        <v>0</v>
      </c>
      <c r="AO47" s="58">
        <f>(AL47-AN47)*WAR!$G$31</f>
        <v>0</v>
      </c>
      <c r="AP47" s="58">
        <f t="shared" si="7"/>
        <v>0</v>
      </c>
      <c r="AQ47" s="58">
        <f t="shared" si="19"/>
        <v>11000000</v>
      </c>
      <c r="AT47" s="58">
        <f>(AQ47-AS47)*WAR!$G$28</f>
        <v>0</v>
      </c>
      <c r="AU47" s="58">
        <f t="shared" si="8"/>
        <v>11000000</v>
      </c>
      <c r="AV47" s="58">
        <f t="shared" si="20"/>
        <v>0</v>
      </c>
      <c r="AY47" s="58">
        <f>(AV47-AX47)*WAR!$G$25</f>
        <v>0</v>
      </c>
      <c r="AZ47" s="58">
        <f t="shared" si="9"/>
        <v>0</v>
      </c>
    </row>
    <row r="48" spans="1:52" x14ac:dyDescent="0.3">
      <c r="A48">
        <f t="shared" si="10"/>
        <v>2066</v>
      </c>
      <c r="B48" s="58">
        <v>0</v>
      </c>
      <c r="C48" s="58">
        <f t="shared" si="11"/>
        <v>620636355.57008421</v>
      </c>
      <c r="F48" s="58">
        <f>(C48-E48)*WAR!$G$7</f>
        <v>68269999.112709269</v>
      </c>
      <c r="G48" s="58">
        <f t="shared" si="0"/>
        <v>688906354.6827935</v>
      </c>
      <c r="H48" s="58">
        <f t="shared" si="12"/>
        <v>0</v>
      </c>
      <c r="K48" s="58">
        <f>(H48-J48)*WAR!$G$8</f>
        <v>0</v>
      </c>
      <c r="L48" s="58">
        <f t="shared" si="1"/>
        <v>0</v>
      </c>
      <c r="M48" s="58">
        <f t="shared" si="13"/>
        <v>0</v>
      </c>
      <c r="P48" s="58">
        <f>(M48-O48)*WAR!$G$14</f>
        <v>0</v>
      </c>
      <c r="Q48" s="58">
        <f t="shared" si="2"/>
        <v>0</v>
      </c>
      <c r="R48" s="58">
        <f t="shared" si="14"/>
        <v>238920.49597029763</v>
      </c>
      <c r="U48" s="58">
        <f>(R48-T48)*WAR!$G$15</f>
        <v>13140.62727836637</v>
      </c>
      <c r="V48" s="58">
        <f t="shared" si="3"/>
        <v>252061.12324866399</v>
      </c>
      <c r="W48" s="58">
        <f t="shared" si="15"/>
        <v>48568508.89263913</v>
      </c>
      <c r="Z48" s="58">
        <f>(W48-Y48)*WAR!$G$20</f>
        <v>3982617.7291964083</v>
      </c>
      <c r="AA48" s="58">
        <f t="shared" si="4"/>
        <v>52551126.621835537</v>
      </c>
      <c r="AB48" s="58">
        <f t="shared" si="16"/>
        <v>74474072.715708032</v>
      </c>
      <c r="AE48" s="58">
        <f>(AB48-AD48)*WAR!$G$19</f>
        <v>5287659.16281527</v>
      </c>
      <c r="AF48" s="58">
        <f t="shared" si="5"/>
        <v>79761731.878523305</v>
      </c>
      <c r="AG48" s="58">
        <f t="shared" si="17"/>
        <v>0</v>
      </c>
      <c r="AJ48" s="58">
        <f>(AG48-AI48)*WAR!$G$17</f>
        <v>0</v>
      </c>
      <c r="AK48" s="58">
        <f t="shared" si="6"/>
        <v>0</v>
      </c>
      <c r="AL48" s="58">
        <f t="shared" si="18"/>
        <v>0</v>
      </c>
      <c r="AO48" s="58">
        <f>(AL48-AN48)*WAR!$G$31</f>
        <v>0</v>
      </c>
      <c r="AP48" s="58">
        <f t="shared" si="7"/>
        <v>0</v>
      </c>
      <c r="AQ48" s="58">
        <f t="shared" si="19"/>
        <v>11000000</v>
      </c>
      <c r="AT48" s="58">
        <f>(AQ48-AS48)*WAR!$G$28</f>
        <v>0</v>
      </c>
      <c r="AU48" s="58">
        <f t="shared" si="8"/>
        <v>11000000</v>
      </c>
      <c r="AV48" s="58">
        <f t="shared" si="20"/>
        <v>0</v>
      </c>
      <c r="AY48" s="58">
        <f>(AV48-AX48)*WAR!$G$25</f>
        <v>0</v>
      </c>
      <c r="AZ48" s="58">
        <f t="shared" si="9"/>
        <v>0</v>
      </c>
    </row>
    <row r="49" spans="1:52" x14ac:dyDescent="0.3">
      <c r="A49">
        <f t="shared" si="10"/>
        <v>2067</v>
      </c>
      <c r="B49" s="58">
        <v>0</v>
      </c>
      <c r="C49" s="58">
        <f t="shared" si="11"/>
        <v>688906354.6827935</v>
      </c>
      <c r="F49" s="58">
        <f>(C49-E49)*WAR!$G$7</f>
        <v>75779699.015107289</v>
      </c>
      <c r="G49" s="58">
        <f t="shared" si="0"/>
        <v>764686053.69790077</v>
      </c>
      <c r="H49" s="58">
        <f t="shared" si="12"/>
        <v>0</v>
      </c>
      <c r="K49" s="58">
        <f>(H49-J49)*WAR!$G$8</f>
        <v>0</v>
      </c>
      <c r="L49" s="58">
        <f t="shared" si="1"/>
        <v>0</v>
      </c>
      <c r="M49" s="58">
        <f t="shared" si="13"/>
        <v>0</v>
      </c>
      <c r="P49" s="58">
        <f>(M49-O49)*WAR!$G$14</f>
        <v>0</v>
      </c>
      <c r="Q49" s="58">
        <f t="shared" si="2"/>
        <v>0</v>
      </c>
      <c r="R49" s="58">
        <f t="shared" si="14"/>
        <v>252061.12324866399</v>
      </c>
      <c r="U49" s="58">
        <f>(R49-T49)*WAR!$G$15</f>
        <v>13863.361778676519</v>
      </c>
      <c r="V49" s="58">
        <f t="shared" si="3"/>
        <v>265924.48502734053</v>
      </c>
      <c r="W49" s="58">
        <f t="shared" si="15"/>
        <v>52551126.621835537</v>
      </c>
      <c r="Z49" s="58">
        <f>(W49-Y49)*WAR!$G$20</f>
        <v>4309192.3829905139</v>
      </c>
      <c r="AA49" s="58">
        <f t="shared" si="4"/>
        <v>56860319.004826054</v>
      </c>
      <c r="AB49" s="58">
        <f t="shared" si="16"/>
        <v>79761731.878523305</v>
      </c>
      <c r="AE49" s="58">
        <f>(AB49-AD49)*WAR!$G$19</f>
        <v>5663082.963375154</v>
      </c>
      <c r="AF49" s="58">
        <f t="shared" si="5"/>
        <v>85424814.841898456</v>
      </c>
      <c r="AG49" s="58">
        <f t="shared" si="17"/>
        <v>0</v>
      </c>
      <c r="AJ49" s="58">
        <f>(AG49-AI49)*WAR!$G$17</f>
        <v>0</v>
      </c>
      <c r="AK49" s="58">
        <f t="shared" si="6"/>
        <v>0</v>
      </c>
      <c r="AL49" s="58">
        <f t="shared" si="18"/>
        <v>0</v>
      </c>
      <c r="AO49" s="58">
        <f>(AL49-AN49)*WAR!$G$31</f>
        <v>0</v>
      </c>
      <c r="AP49" s="58">
        <f t="shared" si="7"/>
        <v>0</v>
      </c>
      <c r="AQ49" s="58">
        <f t="shared" si="19"/>
        <v>11000000</v>
      </c>
      <c r="AT49" s="58">
        <f>(AQ49-AS49)*WAR!$G$28</f>
        <v>0</v>
      </c>
      <c r="AU49" s="58">
        <f t="shared" si="8"/>
        <v>11000000</v>
      </c>
      <c r="AV49" s="58">
        <f t="shared" si="20"/>
        <v>0</v>
      </c>
      <c r="AY49" s="58">
        <f>(AV49-AX49)*WAR!$G$25</f>
        <v>0</v>
      </c>
      <c r="AZ49" s="58">
        <f t="shared" si="9"/>
        <v>0</v>
      </c>
    </row>
    <row r="50" spans="1:52" x14ac:dyDescent="0.3">
      <c r="A50">
        <f t="shared" si="10"/>
        <v>2068</v>
      </c>
      <c r="B50" s="58">
        <v>0</v>
      </c>
      <c r="C50" s="58">
        <f t="shared" si="11"/>
        <v>764686053.69790077</v>
      </c>
      <c r="F50" s="58">
        <f>(C50-E50)*WAR!$G$7</f>
        <v>84115465.906769082</v>
      </c>
      <c r="G50" s="58">
        <f t="shared" si="0"/>
        <v>848801519.60466981</v>
      </c>
      <c r="H50" s="58">
        <f t="shared" si="12"/>
        <v>0</v>
      </c>
      <c r="K50" s="58">
        <f>(H50-J50)*WAR!$G$8</f>
        <v>0</v>
      </c>
      <c r="L50" s="58">
        <f t="shared" si="1"/>
        <v>0</v>
      </c>
      <c r="M50" s="58">
        <f t="shared" si="13"/>
        <v>0</v>
      </c>
      <c r="P50" s="58">
        <f>(M50-O50)*WAR!$G$14</f>
        <v>0</v>
      </c>
      <c r="Q50" s="58">
        <f t="shared" si="2"/>
        <v>0</v>
      </c>
      <c r="R50" s="58">
        <f t="shared" si="14"/>
        <v>265924.48502734053</v>
      </c>
      <c r="U50" s="58">
        <f>(R50-T50)*WAR!$G$15</f>
        <v>14625.84667650373</v>
      </c>
      <c r="V50" s="58">
        <f t="shared" si="3"/>
        <v>280550.33170384425</v>
      </c>
      <c r="W50" s="58">
        <f t="shared" si="15"/>
        <v>56860319.004826054</v>
      </c>
      <c r="Z50" s="58">
        <f>(W50-Y50)*WAR!$G$20</f>
        <v>4662546.1583957355</v>
      </c>
      <c r="AA50" s="58">
        <f t="shared" si="4"/>
        <v>61522865.163221791</v>
      </c>
      <c r="AB50" s="58">
        <f t="shared" si="16"/>
        <v>85424814.841898456</v>
      </c>
      <c r="AE50" s="58">
        <f>(AB50-AD50)*WAR!$G$19</f>
        <v>6065161.8537747897</v>
      </c>
      <c r="AF50" s="58">
        <f t="shared" si="5"/>
        <v>91489976.695673242</v>
      </c>
      <c r="AG50" s="58">
        <f t="shared" si="17"/>
        <v>0</v>
      </c>
      <c r="AJ50" s="58">
        <f>(AG50-AI50)*WAR!$G$17</f>
        <v>0</v>
      </c>
      <c r="AK50" s="58">
        <f t="shared" si="6"/>
        <v>0</v>
      </c>
      <c r="AL50" s="58">
        <f t="shared" si="18"/>
        <v>0</v>
      </c>
      <c r="AO50" s="58">
        <f>(AL50-AN50)*WAR!$G$31</f>
        <v>0</v>
      </c>
      <c r="AP50" s="58">
        <f t="shared" si="7"/>
        <v>0</v>
      </c>
      <c r="AQ50" s="58">
        <f t="shared" si="19"/>
        <v>11000000</v>
      </c>
      <c r="AT50" s="58">
        <f>(AQ50-AS50)*WAR!$G$28</f>
        <v>0</v>
      </c>
      <c r="AU50" s="58">
        <f t="shared" si="8"/>
        <v>11000000</v>
      </c>
      <c r="AV50" s="58">
        <f t="shared" si="20"/>
        <v>0</v>
      </c>
      <c r="AY50" s="58">
        <f>(AV50-AX50)*WAR!$G$25</f>
        <v>0</v>
      </c>
      <c r="AZ50" s="58">
        <f t="shared" si="9"/>
        <v>0</v>
      </c>
    </row>
    <row r="51" spans="1:52" x14ac:dyDescent="0.3">
      <c r="A51">
        <f t="shared" si="10"/>
        <v>2069</v>
      </c>
      <c r="B51" s="58">
        <v>0</v>
      </c>
      <c r="C51" s="58">
        <f t="shared" si="11"/>
        <v>848801519.60466981</v>
      </c>
      <c r="F51" s="58">
        <f>(C51-E51)*WAR!$G$7</f>
        <v>93368167.156513676</v>
      </c>
      <c r="G51" s="58">
        <f t="shared" si="0"/>
        <v>942169686.7611835</v>
      </c>
      <c r="H51" s="58">
        <f t="shared" si="12"/>
        <v>0</v>
      </c>
      <c r="K51" s="58">
        <f>(H51-J51)*WAR!$G$8</f>
        <v>0</v>
      </c>
      <c r="L51" s="58">
        <f t="shared" si="1"/>
        <v>0</v>
      </c>
      <c r="M51" s="58">
        <f t="shared" si="13"/>
        <v>0</v>
      </c>
      <c r="P51" s="58">
        <f>(M51-O51)*WAR!$G$14</f>
        <v>0</v>
      </c>
      <c r="Q51" s="58">
        <f t="shared" si="2"/>
        <v>0</v>
      </c>
      <c r="R51" s="58">
        <f t="shared" si="14"/>
        <v>280550.33170384425</v>
      </c>
      <c r="U51" s="58">
        <f>(R51-T51)*WAR!$G$15</f>
        <v>15430.268243711434</v>
      </c>
      <c r="V51" s="58">
        <f t="shared" si="3"/>
        <v>295980.59994755569</v>
      </c>
      <c r="W51" s="58">
        <f t="shared" si="15"/>
        <v>61522865.163221791</v>
      </c>
      <c r="Z51" s="58">
        <f>(W51-Y51)*WAR!$G$20</f>
        <v>5044874.9433841864</v>
      </c>
      <c r="AA51" s="58">
        <f t="shared" si="4"/>
        <v>66567740.106605977</v>
      </c>
      <c r="AB51" s="58">
        <f t="shared" si="16"/>
        <v>91489976.695673242</v>
      </c>
      <c r="AE51" s="58">
        <f>(AB51-AD51)*WAR!$G$19</f>
        <v>6495788.3453927999</v>
      </c>
      <c r="AF51" s="58">
        <f t="shared" si="5"/>
        <v>97985765.041066036</v>
      </c>
      <c r="AG51" s="58">
        <f t="shared" si="17"/>
        <v>0</v>
      </c>
      <c r="AJ51" s="58">
        <f>(AG51-AI51)*WAR!$G$17</f>
        <v>0</v>
      </c>
      <c r="AK51" s="58">
        <f t="shared" si="6"/>
        <v>0</v>
      </c>
      <c r="AL51" s="58">
        <f t="shared" si="18"/>
        <v>0</v>
      </c>
      <c r="AO51" s="58">
        <f>(AL51-AN51)*WAR!$G$31</f>
        <v>0</v>
      </c>
      <c r="AP51" s="58">
        <f t="shared" si="7"/>
        <v>0</v>
      </c>
      <c r="AQ51" s="58">
        <f t="shared" si="19"/>
        <v>11000000</v>
      </c>
      <c r="AT51" s="58">
        <f>(AQ51-AS51)*WAR!$G$28</f>
        <v>0</v>
      </c>
      <c r="AU51" s="58">
        <f t="shared" si="8"/>
        <v>11000000</v>
      </c>
      <c r="AV51" s="58">
        <f t="shared" si="20"/>
        <v>0</v>
      </c>
      <c r="AY51" s="58">
        <f>(AV51-AX51)*WAR!$G$25</f>
        <v>0</v>
      </c>
      <c r="AZ51" s="58">
        <f t="shared" si="9"/>
        <v>0</v>
      </c>
    </row>
    <row r="52" spans="1:52" x14ac:dyDescent="0.3">
      <c r="A52">
        <f t="shared" si="10"/>
        <v>2070</v>
      </c>
      <c r="B52" s="58">
        <v>0</v>
      </c>
      <c r="C52" s="58">
        <f t="shared" si="11"/>
        <v>942169686.7611835</v>
      </c>
      <c r="F52" s="58">
        <f>(C52-E52)*WAR!$G$7</f>
        <v>103638665.54373018</v>
      </c>
      <c r="G52" s="58">
        <f t="shared" si="0"/>
        <v>1045808352.3049136</v>
      </c>
      <c r="H52" s="58">
        <f t="shared" si="12"/>
        <v>0</v>
      </c>
      <c r="K52" s="58">
        <f>(H52-J52)*WAR!$G$8</f>
        <v>0</v>
      </c>
      <c r="L52" s="58">
        <f t="shared" si="1"/>
        <v>0</v>
      </c>
      <c r="M52" s="58">
        <f t="shared" si="13"/>
        <v>0</v>
      </c>
      <c r="P52" s="58">
        <f>(M52-O52)*WAR!$G$14</f>
        <v>0</v>
      </c>
      <c r="Q52" s="58">
        <f t="shared" si="2"/>
        <v>0</v>
      </c>
      <c r="R52" s="58">
        <f t="shared" si="14"/>
        <v>295980.59994755569</v>
      </c>
      <c r="U52" s="58">
        <f>(R52-T52)*WAR!$G$15</f>
        <v>16278.932997115562</v>
      </c>
      <c r="V52" s="58">
        <f t="shared" si="3"/>
        <v>312259.53294467123</v>
      </c>
      <c r="W52" s="58">
        <f t="shared" si="15"/>
        <v>66567740.106605977</v>
      </c>
      <c r="Z52" s="58">
        <f>(W52-Y52)*WAR!$G$20</f>
        <v>5458554.6887416895</v>
      </c>
      <c r="AA52" s="58">
        <f t="shared" si="4"/>
        <v>72026294.795347661</v>
      </c>
      <c r="AB52" s="58">
        <f t="shared" si="16"/>
        <v>97985765.041066036</v>
      </c>
      <c r="AE52" s="58">
        <f>(AB52-AD52)*WAR!$G$19</f>
        <v>6956989.3179156883</v>
      </c>
      <c r="AF52" s="58">
        <f t="shared" si="5"/>
        <v>104942754.35898173</v>
      </c>
      <c r="AG52" s="58">
        <f t="shared" si="17"/>
        <v>0</v>
      </c>
      <c r="AJ52" s="58">
        <f>(AG52-AI52)*WAR!$G$17</f>
        <v>0</v>
      </c>
      <c r="AK52" s="58">
        <f t="shared" si="6"/>
        <v>0</v>
      </c>
      <c r="AL52" s="58">
        <f t="shared" si="18"/>
        <v>0</v>
      </c>
      <c r="AO52" s="58">
        <f>(AL52-AN52)*WAR!$G$31</f>
        <v>0</v>
      </c>
      <c r="AP52" s="58">
        <f t="shared" si="7"/>
        <v>0</v>
      </c>
      <c r="AQ52" s="58">
        <f t="shared" si="19"/>
        <v>11000000</v>
      </c>
      <c r="AT52" s="58">
        <f>(AQ52-AS52)*WAR!$G$28</f>
        <v>0</v>
      </c>
      <c r="AU52" s="58">
        <f t="shared" si="8"/>
        <v>11000000</v>
      </c>
      <c r="AV52" s="58">
        <f t="shared" si="20"/>
        <v>0</v>
      </c>
      <c r="AY52" s="58">
        <f>(AV52-AX52)*WAR!$G$25</f>
        <v>0</v>
      </c>
      <c r="AZ52" s="58">
        <f t="shared" si="9"/>
        <v>0</v>
      </c>
    </row>
    <row r="53" spans="1:52" x14ac:dyDescent="0.3">
      <c r="A53">
        <f t="shared" si="10"/>
        <v>2071</v>
      </c>
      <c r="B53" s="58">
        <v>0</v>
      </c>
      <c r="C53" s="58">
        <f t="shared" si="11"/>
        <v>1045808352.3049136</v>
      </c>
      <c r="F53" s="58">
        <f>(C53-E53)*WAR!$G$7</f>
        <v>115038918.7535405</v>
      </c>
      <c r="G53" s="58">
        <f t="shared" si="0"/>
        <v>1160847271.058454</v>
      </c>
      <c r="H53" s="58">
        <f t="shared" si="12"/>
        <v>0</v>
      </c>
      <c r="K53" s="58">
        <f>(H53-J53)*WAR!$G$8</f>
        <v>0</v>
      </c>
      <c r="L53" s="58">
        <f t="shared" si="1"/>
        <v>0</v>
      </c>
      <c r="M53" s="58">
        <f t="shared" si="13"/>
        <v>0</v>
      </c>
      <c r="P53" s="58">
        <f>(M53-O53)*WAR!$G$14</f>
        <v>0</v>
      </c>
      <c r="Q53" s="58">
        <f t="shared" si="2"/>
        <v>0</v>
      </c>
      <c r="R53" s="58">
        <f t="shared" si="14"/>
        <v>312259.53294467123</v>
      </c>
      <c r="U53" s="58">
        <f>(R53-T53)*WAR!$G$15</f>
        <v>17174.274311956917</v>
      </c>
      <c r="V53" s="58">
        <f t="shared" si="3"/>
        <v>329433.80725662812</v>
      </c>
      <c r="W53" s="58">
        <f t="shared" si="15"/>
        <v>72026294.795347661</v>
      </c>
      <c r="Z53" s="58">
        <f>(W53-Y53)*WAR!$G$20</f>
        <v>5906156.1732185073</v>
      </c>
      <c r="AA53" s="58">
        <f t="shared" si="4"/>
        <v>77932450.968566164</v>
      </c>
      <c r="AB53" s="58">
        <f t="shared" si="16"/>
        <v>104942754.35898173</v>
      </c>
      <c r="AE53" s="58">
        <f>(AB53-AD53)*WAR!$G$19</f>
        <v>7450935.5594877023</v>
      </c>
      <c r="AF53" s="58">
        <f t="shared" si="5"/>
        <v>112393689.91846943</v>
      </c>
      <c r="AG53" s="58">
        <f t="shared" si="17"/>
        <v>0</v>
      </c>
      <c r="AJ53" s="58">
        <f>(AG53-AI53)*WAR!$G$17</f>
        <v>0</v>
      </c>
      <c r="AK53" s="58">
        <f t="shared" si="6"/>
        <v>0</v>
      </c>
      <c r="AL53" s="58">
        <f t="shared" si="18"/>
        <v>0</v>
      </c>
      <c r="AO53" s="58">
        <f>(AL53-AN53)*WAR!$G$31</f>
        <v>0</v>
      </c>
      <c r="AP53" s="58">
        <f t="shared" si="7"/>
        <v>0</v>
      </c>
      <c r="AQ53" s="58">
        <f t="shared" si="19"/>
        <v>11000000</v>
      </c>
      <c r="AT53" s="58">
        <f>(AQ53-AS53)*WAR!$G$28</f>
        <v>0</v>
      </c>
      <c r="AU53" s="58">
        <f t="shared" si="8"/>
        <v>11000000</v>
      </c>
      <c r="AV53" s="58">
        <f t="shared" si="20"/>
        <v>0</v>
      </c>
      <c r="AY53" s="58">
        <f>(AV53-AX53)*WAR!$G$25</f>
        <v>0</v>
      </c>
      <c r="AZ53" s="58">
        <f t="shared" si="9"/>
        <v>0</v>
      </c>
    </row>
    <row r="54" spans="1:52" x14ac:dyDescent="0.3">
      <c r="A54">
        <f t="shared" si="10"/>
        <v>2072</v>
      </c>
      <c r="B54" s="58">
        <v>0</v>
      </c>
      <c r="C54" s="58">
        <f t="shared" si="11"/>
        <v>1160847271.058454</v>
      </c>
      <c r="F54" s="58">
        <f>(C54-E54)*WAR!$G$7</f>
        <v>127693199.81642994</v>
      </c>
      <c r="G54" s="58">
        <f t="shared" si="0"/>
        <v>1288540470.8748839</v>
      </c>
      <c r="H54" s="58">
        <f t="shared" si="12"/>
        <v>0</v>
      </c>
      <c r="K54" s="58">
        <f>(H54-J54)*WAR!$G$8</f>
        <v>0</v>
      </c>
      <c r="L54" s="58">
        <f t="shared" si="1"/>
        <v>0</v>
      </c>
      <c r="M54" s="58">
        <f t="shared" si="13"/>
        <v>0</v>
      </c>
      <c r="P54" s="58">
        <f>(M54-O54)*WAR!$G$14</f>
        <v>0</v>
      </c>
      <c r="Q54" s="58">
        <f t="shared" si="2"/>
        <v>0</v>
      </c>
      <c r="R54" s="58">
        <f t="shared" si="14"/>
        <v>329433.80725662812</v>
      </c>
      <c r="U54" s="58">
        <f>(R54-T54)*WAR!$G$15</f>
        <v>18118.859399114546</v>
      </c>
      <c r="V54" s="58">
        <f t="shared" si="3"/>
        <v>347552.66665574268</v>
      </c>
      <c r="W54" s="58">
        <f t="shared" si="15"/>
        <v>77932450.968566164</v>
      </c>
      <c r="Z54" s="58">
        <f>(W54-Y54)*WAR!$G$20</f>
        <v>6390460.9794224249</v>
      </c>
      <c r="AA54" s="58">
        <f t="shared" si="4"/>
        <v>84322911.947988585</v>
      </c>
      <c r="AB54" s="58">
        <f t="shared" si="16"/>
        <v>112393689.91846943</v>
      </c>
      <c r="AE54" s="58">
        <f>(AB54-AD54)*WAR!$G$19</f>
        <v>7979951.9842113284</v>
      </c>
      <c r="AF54" s="58">
        <f t="shared" si="5"/>
        <v>120373641.90268075</v>
      </c>
      <c r="AG54" s="58">
        <f t="shared" si="17"/>
        <v>0</v>
      </c>
      <c r="AJ54" s="58">
        <f>(AG54-AI54)*WAR!$G$17</f>
        <v>0</v>
      </c>
      <c r="AK54" s="58">
        <f t="shared" si="6"/>
        <v>0</v>
      </c>
      <c r="AL54" s="58">
        <f t="shared" si="18"/>
        <v>0</v>
      </c>
      <c r="AO54" s="58">
        <f>(AL54-AN54)*WAR!$G$31</f>
        <v>0</v>
      </c>
      <c r="AP54" s="58">
        <f t="shared" si="7"/>
        <v>0</v>
      </c>
      <c r="AQ54" s="58">
        <f t="shared" si="19"/>
        <v>11000000</v>
      </c>
      <c r="AT54" s="58">
        <f>(AQ54-AS54)*WAR!$G$28</f>
        <v>0</v>
      </c>
      <c r="AU54" s="58">
        <f t="shared" si="8"/>
        <v>11000000</v>
      </c>
      <c r="AV54" s="58">
        <f t="shared" si="20"/>
        <v>0</v>
      </c>
      <c r="AY54" s="58">
        <f>(AV54-AX54)*WAR!$G$25</f>
        <v>0</v>
      </c>
      <c r="AZ54" s="58">
        <f t="shared" si="9"/>
        <v>0</v>
      </c>
    </row>
    <row r="55" spans="1:52" x14ac:dyDescent="0.3">
      <c r="A55">
        <f t="shared" si="10"/>
        <v>2073</v>
      </c>
      <c r="B55" s="58">
        <v>0</v>
      </c>
      <c r="C55" s="58">
        <f t="shared" si="11"/>
        <v>1288540470.8748839</v>
      </c>
      <c r="F55" s="58">
        <f>(C55-E55)*WAR!$G$7</f>
        <v>141739451.79623723</v>
      </c>
      <c r="G55" s="58">
        <f t="shared" si="0"/>
        <v>1430279922.6711211</v>
      </c>
      <c r="H55" s="58">
        <f t="shared" si="12"/>
        <v>0</v>
      </c>
      <c r="K55" s="58">
        <f>(H55-J55)*WAR!$G$8</f>
        <v>0</v>
      </c>
      <c r="L55" s="58">
        <f t="shared" si="1"/>
        <v>0</v>
      </c>
      <c r="M55" s="58">
        <f t="shared" si="13"/>
        <v>0</v>
      </c>
      <c r="P55" s="58">
        <f>(M55-O55)*WAR!$G$14</f>
        <v>0</v>
      </c>
      <c r="Q55" s="58">
        <f t="shared" si="2"/>
        <v>0</v>
      </c>
      <c r="R55" s="58">
        <f t="shared" si="14"/>
        <v>347552.66665574268</v>
      </c>
      <c r="U55" s="58">
        <f>(R55-T55)*WAR!$G$15</f>
        <v>19115.396666065848</v>
      </c>
      <c r="V55" s="58">
        <f t="shared" si="3"/>
        <v>366668.06332180853</v>
      </c>
      <c r="W55" s="58">
        <f t="shared" si="15"/>
        <v>84322911.947988585</v>
      </c>
      <c r="Z55" s="58">
        <f>(W55-Y55)*WAR!$G$20</f>
        <v>6914478.7797350632</v>
      </c>
      <c r="AA55" s="58">
        <f t="shared" si="4"/>
        <v>91237390.727723643</v>
      </c>
      <c r="AB55" s="58">
        <f t="shared" si="16"/>
        <v>120373641.90268075</v>
      </c>
      <c r="AE55" s="58">
        <f>(AB55-AD55)*WAR!$G$19</f>
        <v>8546528.575090332</v>
      </c>
      <c r="AF55" s="58">
        <f t="shared" si="5"/>
        <v>128920170.47777109</v>
      </c>
      <c r="AG55" s="58">
        <f t="shared" si="17"/>
        <v>0</v>
      </c>
      <c r="AJ55" s="58">
        <f>(AG55-AI55)*WAR!$G$17</f>
        <v>0</v>
      </c>
      <c r="AK55" s="58">
        <f t="shared" si="6"/>
        <v>0</v>
      </c>
      <c r="AL55" s="58">
        <f t="shared" si="18"/>
        <v>0</v>
      </c>
      <c r="AO55" s="58">
        <f>(AL55-AN55)*WAR!$G$31</f>
        <v>0</v>
      </c>
      <c r="AP55" s="58">
        <f t="shared" si="7"/>
        <v>0</v>
      </c>
      <c r="AQ55" s="58">
        <f t="shared" si="19"/>
        <v>11000000</v>
      </c>
      <c r="AT55" s="58">
        <f>(AQ55-AS55)*WAR!$G$28</f>
        <v>0</v>
      </c>
      <c r="AU55" s="58">
        <f t="shared" si="8"/>
        <v>11000000</v>
      </c>
      <c r="AV55" s="58">
        <f t="shared" si="20"/>
        <v>0</v>
      </c>
      <c r="AY55" s="58">
        <f>(AV55-AX55)*WAR!$G$25</f>
        <v>0</v>
      </c>
      <c r="AZ55" s="58">
        <f t="shared" si="9"/>
        <v>0</v>
      </c>
    </row>
  </sheetData>
  <mergeCells count="10">
    <mergeCell ref="C1:G1"/>
    <mergeCell ref="H1:L1"/>
    <mergeCell ref="M1:Q1"/>
    <mergeCell ref="R1:V1"/>
    <mergeCell ref="W1:AA1"/>
    <mergeCell ref="AB1:AF1"/>
    <mergeCell ref="AG1:AK1"/>
    <mergeCell ref="AL1:AP1"/>
    <mergeCell ref="AQ1:AU1"/>
    <mergeCell ref="AV1:AZ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FC74A-9C8B-40A5-892B-CABA2D6947D5}">
  <sheetPr codeName="Sheet12"/>
  <dimension ref="P1:S31"/>
  <sheetViews>
    <sheetView workbookViewId="0">
      <selection activeCell="O9" sqref="O9"/>
    </sheetView>
  </sheetViews>
  <sheetFormatPr defaultColWidth="9.109375" defaultRowHeight="14.4" x14ac:dyDescent="0.3"/>
  <cols>
    <col min="1" max="17" width="9.109375" style="1"/>
    <col min="18" max="18" width="17.33203125" style="1" bestFit="1" customWidth="1"/>
    <col min="19" max="19" width="13.44140625" style="1" bestFit="1" customWidth="1"/>
    <col min="20" max="16384" width="9.109375" style="1"/>
  </cols>
  <sheetData>
    <row r="1" spans="16:19" x14ac:dyDescent="0.3">
      <c r="P1" s="111"/>
      <c r="Q1" s="111" t="s">
        <v>204</v>
      </c>
      <c r="R1" s="111" t="s">
        <v>205</v>
      </c>
      <c r="S1" s="111" t="s">
        <v>206</v>
      </c>
    </row>
    <row r="2" spans="16:19" x14ac:dyDescent="0.3">
      <c r="P2" s="111">
        <v>48</v>
      </c>
      <c r="Q2" s="111">
        <v>48</v>
      </c>
      <c r="R2" s="132">
        <f>working!K2</f>
        <v>79856703.885000005</v>
      </c>
      <c r="S2" s="132">
        <f>-'Loan Amortization'!C20</f>
        <v>-390587.35609032674</v>
      </c>
    </row>
    <row r="3" spans="16:19" x14ac:dyDescent="0.3">
      <c r="P3" s="111">
        <f>P2+1</f>
        <v>49</v>
      </c>
      <c r="Q3" s="111">
        <v>49</v>
      </c>
      <c r="R3" s="132">
        <f ca="1">working!K3</f>
        <v>95534180.910356775</v>
      </c>
      <c r="S3" s="132">
        <f>-'Loan Amortization'!C32</f>
        <v>0</v>
      </c>
    </row>
    <row r="4" spans="16:19" x14ac:dyDescent="0.3">
      <c r="P4" s="111">
        <f t="shared" ref="P4:P30" si="0">P3+1</f>
        <v>50</v>
      </c>
      <c r="Q4" s="111">
        <v>50</v>
      </c>
      <c r="R4" s="132">
        <f ca="1">working!K4</f>
        <v>112964792.95359081</v>
      </c>
      <c r="S4" s="132">
        <f>-'Loan Amortization'!C44</f>
        <v>0</v>
      </c>
    </row>
    <row r="5" spans="16:19" x14ac:dyDescent="0.3">
      <c r="P5" s="111">
        <f t="shared" si="0"/>
        <v>51</v>
      </c>
      <c r="Q5" s="111">
        <v>51</v>
      </c>
      <c r="R5" s="132">
        <f ca="1">working!K5</f>
        <v>132794570.72436252</v>
      </c>
      <c r="S5" s="132">
        <f>-'Loan Amortization'!C56</f>
        <v>0</v>
      </c>
    </row>
    <row r="6" spans="16:19" x14ac:dyDescent="0.3">
      <c r="P6" s="111">
        <f t="shared" si="0"/>
        <v>52</v>
      </c>
      <c r="Q6" s="111">
        <v>52</v>
      </c>
      <c r="R6" s="132">
        <f ca="1">working!K6</f>
        <v>151643969.82022822</v>
      </c>
      <c r="S6" s="132">
        <f>-'Loan Amortization'!C68</f>
        <v>0</v>
      </c>
    </row>
    <row r="7" spans="16:19" x14ac:dyDescent="0.3">
      <c r="P7" s="111">
        <f t="shared" si="0"/>
        <v>53</v>
      </c>
      <c r="Q7" s="111">
        <v>53</v>
      </c>
      <c r="R7" s="132">
        <f ca="1">working!K7</f>
        <v>160310438.19345319</v>
      </c>
      <c r="S7" s="132">
        <f>-'Loan Amortization'!C80</f>
        <v>0</v>
      </c>
    </row>
    <row r="8" spans="16:19" x14ac:dyDescent="0.3">
      <c r="P8" s="111">
        <f t="shared" si="0"/>
        <v>54</v>
      </c>
      <c r="Q8" s="111">
        <v>54</v>
      </c>
      <c r="R8" s="132">
        <f ca="1">working!K8</f>
        <v>183037948.53752786</v>
      </c>
      <c r="S8" s="132">
        <f>-'Loan Amortization'!C92</f>
        <v>0</v>
      </c>
    </row>
    <row r="9" spans="16:19" x14ac:dyDescent="0.3">
      <c r="P9" s="111">
        <f t="shared" si="0"/>
        <v>55</v>
      </c>
      <c r="Q9" s="111">
        <v>55</v>
      </c>
      <c r="R9" s="132">
        <f ca="1">working!K9</f>
        <v>196682442.74792215</v>
      </c>
      <c r="S9" s="132">
        <f>-'Loan Amortization'!C104</f>
        <v>0</v>
      </c>
    </row>
    <row r="10" spans="16:19" x14ac:dyDescent="0.3">
      <c r="P10" s="111">
        <f t="shared" si="0"/>
        <v>56</v>
      </c>
      <c r="Q10" s="111">
        <v>56</v>
      </c>
      <c r="R10" s="132">
        <f ca="1">working!K10</f>
        <v>224907480.00472146</v>
      </c>
      <c r="S10" s="132">
        <f>-'Loan Amortization'!C116</f>
        <v>0</v>
      </c>
    </row>
    <row r="11" spans="16:19" x14ac:dyDescent="0.3">
      <c r="P11" s="111">
        <f t="shared" si="0"/>
        <v>57</v>
      </c>
      <c r="Q11" s="111">
        <v>57</v>
      </c>
      <c r="R11" s="132">
        <f ca="1">working!K11</f>
        <v>245847390.661982</v>
      </c>
      <c r="S11" s="132">
        <f>-'Loan Amortization'!C128</f>
        <v>0</v>
      </c>
    </row>
    <row r="12" spans="16:19" x14ac:dyDescent="0.3">
      <c r="P12" s="111">
        <f t="shared" si="0"/>
        <v>58</v>
      </c>
      <c r="Q12" s="111">
        <v>58</v>
      </c>
      <c r="R12" s="132">
        <f ca="1">working!K12</f>
        <v>263801510.09954318</v>
      </c>
      <c r="S12" s="132">
        <f>-'Loan Amortization'!C140</f>
        <v>0</v>
      </c>
    </row>
    <row r="13" spans="16:19" x14ac:dyDescent="0.3">
      <c r="P13" s="111">
        <f t="shared" si="0"/>
        <v>59</v>
      </c>
      <c r="Q13" s="111">
        <v>59</v>
      </c>
      <c r="R13" s="132">
        <f ca="1">working!K13</f>
        <v>285873858.97332263</v>
      </c>
      <c r="S13" s="132">
        <f>-'Loan Amortization'!C152</f>
        <v>0</v>
      </c>
    </row>
    <row r="14" spans="16:19" x14ac:dyDescent="0.3">
      <c r="P14" s="111">
        <f t="shared" si="0"/>
        <v>60</v>
      </c>
      <c r="Q14" s="111">
        <v>60</v>
      </c>
      <c r="R14" s="132">
        <f ca="1">working!K14</f>
        <v>310876360.860605</v>
      </c>
      <c r="S14" s="132">
        <f>-'Loan Amortization'!C164</f>
        <v>0</v>
      </c>
    </row>
    <row r="15" spans="16:19" x14ac:dyDescent="0.3">
      <c r="P15" s="111">
        <f t="shared" si="0"/>
        <v>61</v>
      </c>
      <c r="Q15" s="111">
        <v>61</v>
      </c>
      <c r="R15" s="132">
        <f ca="1">working!K15</f>
        <v>337764347.50762081</v>
      </c>
      <c r="S15" s="132">
        <f>-'Loan Amortization'!C176</f>
        <v>0</v>
      </c>
    </row>
    <row r="16" spans="16:19" x14ac:dyDescent="0.3">
      <c r="P16" s="111">
        <f t="shared" si="0"/>
        <v>62</v>
      </c>
      <c r="Q16" s="111">
        <v>62</v>
      </c>
      <c r="R16" s="132">
        <f ca="1">working!K16</f>
        <v>356270601.11877602</v>
      </c>
      <c r="S16" s="132">
        <v>0</v>
      </c>
    </row>
    <row r="17" spans="16:19" x14ac:dyDescent="0.3">
      <c r="P17" s="111">
        <f t="shared" si="0"/>
        <v>63</v>
      </c>
      <c r="Q17" s="111">
        <v>63</v>
      </c>
      <c r="R17" s="132">
        <f ca="1">working!K17</f>
        <v>375605765.58298069</v>
      </c>
      <c r="S17" s="132">
        <v>0</v>
      </c>
    </row>
    <row r="18" spans="16:19" x14ac:dyDescent="0.3">
      <c r="P18" s="111">
        <f t="shared" si="0"/>
        <v>64</v>
      </c>
      <c r="Q18" s="111">
        <v>64</v>
      </c>
      <c r="R18" s="132">
        <f ca="1">working!K18</f>
        <v>395786845.02220714</v>
      </c>
      <c r="S18" s="132">
        <v>0</v>
      </c>
    </row>
    <row r="19" spans="16:19" x14ac:dyDescent="0.3">
      <c r="P19" s="111">
        <f t="shared" si="0"/>
        <v>65</v>
      </c>
      <c r="Q19" s="111">
        <v>65</v>
      </c>
      <c r="R19" s="132">
        <f ca="1">working!K19</f>
        <v>416828472.47032446</v>
      </c>
      <c r="S19" s="132">
        <v>0</v>
      </c>
    </row>
    <row r="20" spans="16:19" x14ac:dyDescent="0.3">
      <c r="P20" s="111">
        <f t="shared" si="0"/>
        <v>66</v>
      </c>
      <c r="Q20" s="111"/>
      <c r="R20" s="132"/>
      <c r="S20" s="111"/>
    </row>
    <row r="21" spans="16:19" x14ac:dyDescent="0.3">
      <c r="P21" s="111">
        <f t="shared" si="0"/>
        <v>67</v>
      </c>
      <c r="Q21" s="111"/>
      <c r="R21" s="132"/>
      <c r="S21" s="111"/>
    </row>
    <row r="22" spans="16:19" x14ac:dyDescent="0.3">
      <c r="P22" s="111">
        <f t="shared" si="0"/>
        <v>68</v>
      </c>
      <c r="Q22" s="111"/>
      <c r="R22" s="132"/>
      <c r="S22" s="111"/>
    </row>
    <row r="23" spans="16:19" x14ac:dyDescent="0.3">
      <c r="P23" s="111">
        <f t="shared" si="0"/>
        <v>69</v>
      </c>
      <c r="Q23" s="111"/>
      <c r="R23" s="132"/>
      <c r="S23" s="111"/>
    </row>
    <row r="24" spans="16:19" x14ac:dyDescent="0.3">
      <c r="P24" s="111">
        <f t="shared" si="0"/>
        <v>70</v>
      </c>
      <c r="Q24" s="111"/>
      <c r="R24" s="132"/>
      <c r="S24" s="111"/>
    </row>
    <row r="25" spans="16:19" x14ac:dyDescent="0.3">
      <c r="P25" s="111">
        <f t="shared" si="0"/>
        <v>71</v>
      </c>
      <c r="Q25" s="111"/>
      <c r="R25" s="132"/>
      <c r="S25" s="111"/>
    </row>
    <row r="26" spans="16:19" x14ac:dyDescent="0.3">
      <c r="P26" s="111">
        <f t="shared" si="0"/>
        <v>72</v>
      </c>
      <c r="Q26" s="111"/>
      <c r="R26" s="132"/>
      <c r="S26" s="111"/>
    </row>
    <row r="27" spans="16:19" x14ac:dyDescent="0.3">
      <c r="P27" s="111">
        <f t="shared" si="0"/>
        <v>73</v>
      </c>
      <c r="Q27" s="111"/>
      <c r="R27" s="132"/>
      <c r="S27" s="111"/>
    </row>
    <row r="28" spans="16:19" x14ac:dyDescent="0.3">
      <c r="P28" s="111">
        <f t="shared" si="0"/>
        <v>74</v>
      </c>
      <c r="Q28" s="111"/>
      <c r="R28" s="132"/>
      <c r="S28" s="111"/>
    </row>
    <row r="29" spans="16:19" x14ac:dyDescent="0.3">
      <c r="P29" s="111">
        <f t="shared" si="0"/>
        <v>75</v>
      </c>
      <c r="Q29" s="111"/>
      <c r="R29" s="132"/>
      <c r="S29" s="111"/>
    </row>
    <row r="30" spans="16:19" x14ac:dyDescent="0.3">
      <c r="P30" s="111">
        <f t="shared" si="0"/>
        <v>76</v>
      </c>
      <c r="Q30" s="111"/>
      <c r="R30" s="132"/>
      <c r="S30" s="111"/>
    </row>
    <row r="31" spans="16:19" x14ac:dyDescent="0.3">
      <c r="P31" s="111"/>
      <c r="Q31" s="111"/>
      <c r="R31" s="111"/>
      <c r="S31" s="111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36D-FB22-49D7-908B-C963D4DBB136}">
  <sheetPr codeName="Sheet5"/>
  <dimension ref="A1:Z1019"/>
  <sheetViews>
    <sheetView topLeftCell="A123" zoomScale="90" zoomScaleNormal="90" workbookViewId="0">
      <selection activeCell="J148" sqref="J148"/>
    </sheetView>
  </sheetViews>
  <sheetFormatPr defaultColWidth="14.44140625" defaultRowHeight="14.4" x14ac:dyDescent="0.3"/>
  <cols>
    <col min="1" max="1" width="4.5546875" style="282" customWidth="1"/>
    <col min="2" max="2" width="41.44140625" style="282" customWidth="1"/>
    <col min="3" max="3" width="5.88671875" style="282" customWidth="1"/>
    <col min="4" max="4" width="18.33203125" style="282" customWidth="1"/>
    <col min="5" max="5" width="2" style="282" customWidth="1"/>
    <col min="6" max="6" width="16" style="282" customWidth="1"/>
    <col min="7" max="7" width="1.6640625" style="282" customWidth="1"/>
    <col min="8" max="8" width="17" style="282" customWidth="1"/>
    <col min="9" max="9" width="1.44140625" style="282" customWidth="1"/>
    <col min="10" max="10" width="14.6640625" style="282" customWidth="1"/>
    <col min="11" max="11" width="8.6640625" style="282" hidden="1" customWidth="1"/>
    <col min="12" max="12" width="2.33203125" style="282" customWidth="1"/>
    <col min="13" max="13" width="14.33203125" style="282" customWidth="1"/>
    <col min="14" max="15" width="8.6640625" style="282" customWidth="1"/>
    <col min="16" max="16" width="22.33203125" style="282" bestFit="1" customWidth="1"/>
    <col min="17" max="22" width="8.6640625" style="282" customWidth="1"/>
    <col min="23" max="24" width="14.44140625" style="209"/>
    <col min="25" max="26" width="14.44140625" style="209" hidden="1" customWidth="1"/>
    <col min="27" max="16384" width="14.44140625" style="209"/>
  </cols>
  <sheetData>
    <row r="1" spans="1:26" ht="33" customHeight="1" thickBot="1" x14ac:dyDescent="0.35">
      <c r="A1" s="208"/>
      <c r="B1" s="643" t="s">
        <v>207</v>
      </c>
      <c r="C1" s="643"/>
      <c r="D1" s="643"/>
      <c r="E1" s="643"/>
      <c r="F1" s="643"/>
      <c r="G1" s="643"/>
      <c r="H1" s="643"/>
      <c r="I1" s="643"/>
      <c r="J1" s="643"/>
      <c r="K1" s="208"/>
      <c r="L1" s="208"/>
      <c r="M1" s="208"/>
      <c r="N1" s="208"/>
      <c r="O1" s="208"/>
      <c r="P1" s="209"/>
      <c r="Q1" s="208"/>
      <c r="R1" s="208"/>
      <c r="S1" s="208"/>
      <c r="T1" s="208"/>
      <c r="U1" s="208"/>
      <c r="V1" s="208"/>
      <c r="Z1" s="210" t="s">
        <v>208</v>
      </c>
    </row>
    <row r="2" spans="1:26" ht="9" customHeight="1" thickBot="1" x14ac:dyDescent="0.4">
      <c r="A2" s="208"/>
      <c r="B2" s="211"/>
      <c r="C2" s="641"/>
      <c r="D2" s="641"/>
      <c r="E2" s="641"/>
      <c r="F2" s="212"/>
      <c r="G2" s="212"/>
      <c r="H2" s="212"/>
      <c r="I2" s="602"/>
      <c r="J2" s="208"/>
      <c r="K2" s="283"/>
      <c r="L2" s="208"/>
      <c r="M2" s="208"/>
      <c r="N2" s="208"/>
      <c r="O2" s="208"/>
      <c r="P2" s="209"/>
      <c r="Q2" s="208"/>
      <c r="R2" s="208"/>
      <c r="S2" s="208"/>
      <c r="T2" s="208"/>
      <c r="U2" s="208"/>
      <c r="V2" s="208"/>
      <c r="Z2" s="210" t="s">
        <v>209</v>
      </c>
    </row>
    <row r="3" spans="1:26" ht="35.4" thickBot="1" x14ac:dyDescent="0.4">
      <c r="A3" s="213"/>
      <c r="B3" s="542" t="s">
        <v>210</v>
      </c>
      <c r="C3" s="214"/>
      <c r="D3" s="543" t="s">
        <v>211</v>
      </c>
      <c r="E3" s="215"/>
      <c r="F3" s="544" t="s">
        <v>212</v>
      </c>
      <c r="G3" s="209"/>
      <c r="H3" s="545" t="s">
        <v>213</v>
      </c>
      <c r="I3" s="209"/>
      <c r="J3" s="546" t="s">
        <v>209</v>
      </c>
      <c r="K3" s="547"/>
      <c r="L3" s="208"/>
      <c r="M3" s="546" t="s">
        <v>214</v>
      </c>
      <c r="N3" s="209"/>
      <c r="O3" s="209"/>
      <c r="P3" s="208"/>
      <c r="Q3" s="208"/>
      <c r="R3" s="208"/>
      <c r="S3" s="208"/>
      <c r="T3" s="209"/>
      <c r="U3" s="209"/>
      <c r="V3" s="209"/>
      <c r="Y3" s="504" t="s">
        <v>215</v>
      </c>
      <c r="Z3" s="504" t="s">
        <v>95</v>
      </c>
    </row>
    <row r="4" spans="1:26" ht="19.5" customHeight="1" x14ac:dyDescent="0.35">
      <c r="A4" s="213"/>
      <c r="B4" s="287" t="s">
        <v>216</v>
      </c>
      <c r="C4" s="214"/>
      <c r="D4" s="553">
        <f>(460000+40000+111111+44000)*12+2500000</f>
        <v>10361332</v>
      </c>
      <c r="E4" s="216"/>
      <c r="F4" s="217">
        <v>2025</v>
      </c>
      <c r="G4" s="209"/>
      <c r="H4" s="217" t="s">
        <v>208</v>
      </c>
      <c r="I4" s="209"/>
      <c r="J4" s="218">
        <v>2030</v>
      </c>
      <c r="K4" s="284">
        <f>IF(H4=$Z$1,HLOOKUP('NWGC - SCENARIOS'!$D$7,'Yearly Budget'!$B$1:$BF$2,2,FALSE),"")</f>
        <v>2031</v>
      </c>
      <c r="L4" s="209"/>
      <c r="M4" s="477">
        <v>0.08</v>
      </c>
      <c r="N4" s="209"/>
      <c r="O4" s="209"/>
      <c r="P4" s="503"/>
      <c r="Q4" s="208"/>
      <c r="R4" s="208"/>
      <c r="S4" s="208"/>
      <c r="T4" s="209"/>
      <c r="U4" s="209"/>
      <c r="V4" s="209"/>
      <c r="Y4" s="502">
        <f>IF(F4=2025,D4/$D$21)</f>
        <v>0.84384848384156452</v>
      </c>
      <c r="Z4" s="502">
        <f>IF(F4=2025,M4)</f>
        <v>0.08</v>
      </c>
    </row>
    <row r="5" spans="1:26" ht="19.5" customHeight="1" x14ac:dyDescent="0.35">
      <c r="A5" s="213"/>
      <c r="B5" s="219" t="s">
        <v>513</v>
      </c>
      <c r="C5" s="214"/>
      <c r="D5" s="554">
        <v>300000</v>
      </c>
      <c r="E5" s="216"/>
      <c r="F5" s="217">
        <v>2025</v>
      </c>
      <c r="G5" s="209"/>
      <c r="H5" s="217" t="s">
        <v>209</v>
      </c>
      <c r="I5" s="209"/>
      <c r="J5" s="217">
        <v>2035</v>
      </c>
      <c r="K5" s="284" t="str">
        <f>IF(H5=$Z$1,HLOOKUP('NWGC - SCENARIOS'!$D$7,'Yearly Budget'!$B$1:$BF$2,2,FALSE),"")</f>
        <v/>
      </c>
      <c r="L5" s="209"/>
      <c r="M5" s="478">
        <v>0.08</v>
      </c>
      <c r="N5" s="209"/>
      <c r="O5" s="209"/>
      <c r="P5" s="503"/>
      <c r="Q5" s="208"/>
      <c r="R5" s="208"/>
      <c r="S5" s="208"/>
      <c r="T5" s="209"/>
      <c r="U5" s="209"/>
      <c r="V5" s="209"/>
      <c r="Y5" s="502">
        <f t="shared" ref="Y5:Y19" si="0">IF(F5=2025,D5/$D$21)</f>
        <v>2.4432625569035849E-2</v>
      </c>
      <c r="Z5" s="502">
        <f t="shared" ref="Z5:Z19" si="1">IF(F5=2025,M5)</f>
        <v>0.08</v>
      </c>
    </row>
    <row r="6" spans="1:26" ht="19.5" customHeight="1" x14ac:dyDescent="0.35">
      <c r="A6" s="213"/>
      <c r="B6" s="219"/>
      <c r="C6" s="214"/>
      <c r="D6" s="554"/>
      <c r="E6" s="216"/>
      <c r="F6" s="217"/>
      <c r="G6" s="209"/>
      <c r="H6" s="217"/>
      <c r="I6" s="209"/>
      <c r="J6" s="217"/>
      <c r="K6" s="284" t="str">
        <f>IF(H6=$Z$1,HLOOKUP('NWGC - SCENARIOS'!$D$7,'Yearly Budget'!$B$1:$BF$2,2,FALSE),"")</f>
        <v/>
      </c>
      <c r="L6" s="209"/>
      <c r="M6" s="478"/>
      <c r="N6" s="209"/>
      <c r="O6" s="209"/>
      <c r="P6" s="208"/>
      <c r="Q6" s="208"/>
      <c r="R6" s="208"/>
      <c r="S6" s="208"/>
      <c r="T6" s="209"/>
      <c r="U6" s="209"/>
      <c r="V6" s="209"/>
      <c r="Y6" s="502" t="b">
        <f t="shared" si="0"/>
        <v>0</v>
      </c>
      <c r="Z6" s="502" t="b">
        <f t="shared" si="1"/>
        <v>0</v>
      </c>
    </row>
    <row r="7" spans="1:26" ht="19.5" customHeight="1" x14ac:dyDescent="0.35">
      <c r="A7" s="213"/>
      <c r="B7" s="219" t="s">
        <v>217</v>
      </c>
      <c r="C7" s="214"/>
      <c r="D7" s="554">
        <v>84000</v>
      </c>
      <c r="E7" s="216"/>
      <c r="F7" s="217">
        <v>2025</v>
      </c>
      <c r="G7" s="209"/>
      <c r="H7" s="217" t="s">
        <v>209</v>
      </c>
      <c r="I7" s="209"/>
      <c r="J7" s="217">
        <v>2099</v>
      </c>
      <c r="K7" s="284" t="str">
        <f>IF(H7=$Z$1,HLOOKUP('NWGC - SCENARIOS'!$D$7,'Yearly Budget'!$B$1:$BF$2,2,FALSE),"")</f>
        <v/>
      </c>
      <c r="L7" s="209"/>
      <c r="M7" s="478">
        <v>0</v>
      </c>
      <c r="N7" s="209"/>
      <c r="O7" s="209"/>
      <c r="P7" s="503"/>
      <c r="Q7" s="208"/>
      <c r="R7" s="208"/>
      <c r="S7" s="208"/>
      <c r="T7" s="209"/>
      <c r="U7" s="209"/>
      <c r="V7" s="209"/>
      <c r="Y7" s="502">
        <f t="shared" si="0"/>
        <v>6.8411351593300378E-3</v>
      </c>
      <c r="Z7" s="502">
        <f t="shared" si="1"/>
        <v>0</v>
      </c>
    </row>
    <row r="8" spans="1:26" ht="19.5" customHeight="1" x14ac:dyDescent="0.35">
      <c r="A8" s="213"/>
      <c r="B8" s="219" t="s">
        <v>514</v>
      </c>
      <c r="C8" s="214"/>
      <c r="D8" s="554">
        <v>200000</v>
      </c>
      <c r="E8" s="216"/>
      <c r="F8" s="217">
        <v>2025</v>
      </c>
      <c r="G8" s="209"/>
      <c r="H8" s="217" t="s">
        <v>209</v>
      </c>
      <c r="I8" s="209"/>
      <c r="J8" s="217">
        <v>2032</v>
      </c>
      <c r="K8" s="284" t="str">
        <f>IF(H8=$Z$1,HLOOKUP('NWGC - SCENARIOS'!$D$7,'Yearly Budget'!$B$1:$BF$2,2,FALSE),"")</f>
        <v/>
      </c>
      <c r="L8" s="209"/>
      <c r="M8" s="478">
        <v>0.05</v>
      </c>
      <c r="N8" s="209"/>
      <c r="O8" s="209"/>
      <c r="P8" s="208"/>
      <c r="Q8" s="208"/>
      <c r="R8" s="208"/>
      <c r="S8" s="208"/>
      <c r="T8" s="209"/>
      <c r="U8" s="209"/>
      <c r="V8" s="209"/>
      <c r="Y8" s="502">
        <f t="shared" si="0"/>
        <v>1.6288417046023899E-2</v>
      </c>
      <c r="Z8" s="502">
        <f t="shared" si="1"/>
        <v>0.05</v>
      </c>
    </row>
    <row r="9" spans="1:26" ht="19.5" customHeight="1" x14ac:dyDescent="0.35">
      <c r="A9" s="213"/>
      <c r="B9" s="219" t="s">
        <v>515</v>
      </c>
      <c r="C9" s="214"/>
      <c r="D9" s="554">
        <v>4750000</v>
      </c>
      <c r="E9" s="216"/>
      <c r="F9" s="217">
        <v>2033</v>
      </c>
      <c r="G9" s="208"/>
      <c r="H9" s="217" t="s">
        <v>209</v>
      </c>
      <c r="I9" s="208"/>
      <c r="J9" s="435">
        <v>2033</v>
      </c>
      <c r="K9" s="284" t="str">
        <f>IF(H9=$Z$1,HLOOKUP('NWGC - SCENARIOS'!$D$7,'Yearly Budget'!$B$1:$BF$2,2,FALSE),"")</f>
        <v/>
      </c>
      <c r="L9" s="208"/>
      <c r="M9" s="479">
        <v>0</v>
      </c>
      <c r="N9" s="209"/>
      <c r="O9" s="209"/>
      <c r="P9" s="208"/>
      <c r="Q9" s="208"/>
      <c r="R9" s="208"/>
      <c r="S9" s="208"/>
      <c r="T9" s="209"/>
      <c r="U9" s="209"/>
      <c r="V9" s="209"/>
      <c r="Y9" s="502" t="b">
        <f t="shared" si="0"/>
        <v>0</v>
      </c>
      <c r="Z9" s="502" t="b">
        <f t="shared" si="1"/>
        <v>0</v>
      </c>
    </row>
    <row r="10" spans="1:26" ht="19.5" customHeight="1" x14ac:dyDescent="0.35">
      <c r="A10" s="213"/>
      <c r="B10" s="219" t="s">
        <v>218</v>
      </c>
      <c r="C10" s="214"/>
      <c r="D10" s="554">
        <v>4750000</v>
      </c>
      <c r="E10" s="216"/>
      <c r="F10" s="217">
        <v>2033</v>
      </c>
      <c r="G10" s="208"/>
      <c r="H10" s="217" t="s">
        <v>209</v>
      </c>
      <c r="I10" s="208"/>
      <c r="J10" s="435">
        <v>2033</v>
      </c>
      <c r="K10" s="284"/>
      <c r="L10" s="208"/>
      <c r="M10" s="479">
        <v>0</v>
      </c>
      <c r="N10" s="209"/>
      <c r="O10" s="209"/>
      <c r="P10" s="208"/>
      <c r="Q10" s="208"/>
      <c r="R10" s="208"/>
      <c r="S10" s="208"/>
      <c r="T10" s="209"/>
      <c r="U10" s="209"/>
      <c r="V10" s="209"/>
      <c r="Y10" s="502" t="b">
        <f t="shared" si="0"/>
        <v>0</v>
      </c>
      <c r="Z10" s="502" t="b">
        <f t="shared" si="1"/>
        <v>0</v>
      </c>
    </row>
    <row r="11" spans="1:26" ht="19.5" customHeight="1" x14ac:dyDescent="0.35">
      <c r="A11" s="213"/>
      <c r="B11" s="220"/>
      <c r="C11" s="214"/>
      <c r="D11" s="554"/>
      <c r="E11" s="216"/>
      <c r="F11" s="217"/>
      <c r="G11" s="208"/>
      <c r="H11" s="217"/>
      <c r="I11" s="208"/>
      <c r="J11" s="435"/>
      <c r="K11" s="284" t="str">
        <f>IF(H11=$Z$1,HLOOKUP('NWGC - SCENARIOS'!$D$7,'Yearly Budget'!$B$1:$BF$2,2,FALSE),"")</f>
        <v/>
      </c>
      <c r="L11" s="208"/>
      <c r="M11" s="479"/>
      <c r="N11" s="209"/>
      <c r="O11" s="209"/>
      <c r="P11" s="564"/>
      <c r="Q11" s="208"/>
      <c r="R11" s="208"/>
      <c r="S11" s="208"/>
      <c r="T11" s="209"/>
      <c r="U11" s="209"/>
      <c r="V11" s="209"/>
      <c r="Y11" s="502" t="b">
        <f t="shared" si="0"/>
        <v>0</v>
      </c>
      <c r="Z11" s="502" t="b">
        <f t="shared" si="1"/>
        <v>0</v>
      </c>
    </row>
    <row r="12" spans="1:26" ht="19.5" customHeight="1" x14ac:dyDescent="0.35">
      <c r="A12" s="213"/>
      <c r="B12" s="220" t="s">
        <v>219</v>
      </c>
      <c r="C12" s="214"/>
      <c r="D12" s="554">
        <f>111111*12</f>
        <v>1333332</v>
      </c>
      <c r="E12" s="216"/>
      <c r="F12" s="217">
        <v>2025</v>
      </c>
      <c r="G12" s="208"/>
      <c r="H12" s="217" t="s">
        <v>208</v>
      </c>
      <c r="I12" s="208"/>
      <c r="J12" s="435">
        <v>2030</v>
      </c>
      <c r="K12" s="284">
        <f>IF(H12=$Z$1,HLOOKUP('NWGC - SCENARIOS'!$D$7,'Yearly Budget'!$B$1:$BF$2,2,FALSE),"")</f>
        <v>2031</v>
      </c>
      <c r="L12" s="208"/>
      <c r="M12" s="479">
        <v>0.08</v>
      </c>
      <c r="N12" s="209"/>
      <c r="O12" s="209"/>
      <c r="P12" s="208"/>
      <c r="Q12" s="208"/>
      <c r="R12" s="208"/>
      <c r="S12" s="208"/>
      <c r="T12" s="209"/>
      <c r="U12" s="209"/>
      <c r="V12" s="209"/>
      <c r="Y12" s="502">
        <f t="shared" si="0"/>
        <v>0.10858933838404569</v>
      </c>
      <c r="Z12" s="502">
        <f t="shared" si="1"/>
        <v>0.08</v>
      </c>
    </row>
    <row r="13" spans="1:26" ht="19.5" customHeight="1" x14ac:dyDescent="0.35">
      <c r="A13" s="213"/>
      <c r="B13" s="220" t="s">
        <v>220</v>
      </c>
      <c r="C13" s="214"/>
      <c r="D13" s="554">
        <v>5000000</v>
      </c>
      <c r="E13" s="216"/>
      <c r="F13" s="217">
        <v>2032</v>
      </c>
      <c r="G13" s="208"/>
      <c r="H13" s="217" t="s">
        <v>209</v>
      </c>
      <c r="I13" s="208"/>
      <c r="J13" s="435">
        <v>2038</v>
      </c>
      <c r="K13" s="284" t="str">
        <f>IF(H13=$Z$1,HLOOKUP('NWGC - SCENARIOS'!$D$7,'Yearly Budget'!$B$1:$BF$2,2,FALSE),"")</f>
        <v/>
      </c>
      <c r="L13" s="208"/>
      <c r="M13" s="479">
        <v>0.05</v>
      </c>
      <c r="N13" s="209"/>
      <c r="O13" s="209"/>
      <c r="P13" s="208"/>
      <c r="Q13" s="208"/>
      <c r="R13" s="208"/>
      <c r="S13" s="208"/>
      <c r="T13" s="209"/>
      <c r="U13" s="209"/>
      <c r="V13" s="209"/>
      <c r="Y13" s="502" t="b">
        <f t="shared" si="0"/>
        <v>0</v>
      </c>
      <c r="Z13" s="502" t="b">
        <f t="shared" si="1"/>
        <v>0</v>
      </c>
    </row>
    <row r="14" spans="1:26" ht="19.5" customHeight="1" x14ac:dyDescent="0.35">
      <c r="A14" s="213"/>
      <c r="B14" s="220"/>
      <c r="C14" s="214"/>
      <c r="D14" s="554"/>
      <c r="E14" s="216"/>
      <c r="F14" s="217"/>
      <c r="G14" s="208"/>
      <c r="H14" s="217"/>
      <c r="I14" s="208"/>
      <c r="J14" s="221"/>
      <c r="K14" s="284" t="str">
        <f>IF(H14=$Z$1,HLOOKUP('NWGC - SCENARIOS'!$D$7,'Yearly Budget'!$B$1:$BF$2,2,FALSE),"")</f>
        <v/>
      </c>
      <c r="L14" s="208"/>
      <c r="M14" s="480"/>
      <c r="N14" s="209"/>
      <c r="O14" s="209"/>
      <c r="P14" s="208"/>
      <c r="Q14" s="208"/>
      <c r="R14" s="208"/>
      <c r="S14" s="208"/>
      <c r="T14" s="209"/>
      <c r="U14" s="209"/>
      <c r="V14" s="209"/>
      <c r="Y14" s="502" t="b">
        <f t="shared" si="0"/>
        <v>0</v>
      </c>
      <c r="Z14" s="502" t="b">
        <f t="shared" si="1"/>
        <v>0</v>
      </c>
    </row>
    <row r="15" spans="1:26" ht="19.5" customHeight="1" x14ac:dyDescent="0.35">
      <c r="A15" s="213"/>
      <c r="B15" s="220"/>
      <c r="C15" s="214"/>
      <c r="D15" s="554"/>
      <c r="E15" s="216"/>
      <c r="F15" s="217"/>
      <c r="G15" s="208"/>
      <c r="H15" s="217"/>
      <c r="I15" s="208"/>
      <c r="J15" s="221"/>
      <c r="K15" s="284" t="str">
        <f>IF(H15=$Z$1,HLOOKUP('NWGC - SCENARIOS'!$D$7,'Yearly Budget'!$B$1:$BF$2,2,FALSE),"")</f>
        <v/>
      </c>
      <c r="L15" s="208"/>
      <c r="M15" s="480"/>
      <c r="N15" s="209"/>
      <c r="O15" s="209"/>
      <c r="P15" s="208"/>
      <c r="Q15" s="208"/>
      <c r="R15" s="208"/>
      <c r="S15" s="208"/>
      <c r="T15" s="209"/>
      <c r="U15" s="209"/>
      <c r="V15" s="209"/>
      <c r="Y15" s="502" t="b">
        <f t="shared" si="0"/>
        <v>0</v>
      </c>
      <c r="Z15" s="502" t="b">
        <f t="shared" si="1"/>
        <v>0</v>
      </c>
    </row>
    <row r="16" spans="1:26" ht="19.5" customHeight="1" x14ac:dyDescent="0.35">
      <c r="A16" s="213"/>
      <c r="B16" s="220"/>
      <c r="C16" s="214"/>
      <c r="D16" s="554"/>
      <c r="E16" s="216"/>
      <c r="F16" s="217"/>
      <c r="G16" s="208"/>
      <c r="H16" s="217"/>
      <c r="I16" s="208"/>
      <c r="J16" s="221"/>
      <c r="K16" s="284" t="str">
        <f>IF(H16=$Z$1,HLOOKUP('NWGC - SCENARIOS'!$D$7,'Yearly Budget'!$B$1:$BF$2,2,FALSE),"")</f>
        <v/>
      </c>
      <c r="L16" s="208"/>
      <c r="M16" s="480"/>
      <c r="N16" s="209"/>
      <c r="O16" s="209"/>
      <c r="P16" s="208"/>
      <c r="Q16" s="208"/>
      <c r="R16" s="208"/>
      <c r="S16" s="208"/>
      <c r="T16" s="209"/>
      <c r="U16" s="209"/>
      <c r="V16" s="209"/>
      <c r="Y16" s="502" t="b">
        <f t="shared" si="0"/>
        <v>0</v>
      </c>
      <c r="Z16" s="502" t="b">
        <f t="shared" si="1"/>
        <v>0</v>
      </c>
    </row>
    <row r="17" spans="1:26" ht="19.5" customHeight="1" x14ac:dyDescent="0.35">
      <c r="A17" s="213"/>
      <c r="B17" s="220"/>
      <c r="C17" s="214"/>
      <c r="D17" s="554"/>
      <c r="E17" s="216"/>
      <c r="F17" s="217"/>
      <c r="G17" s="208"/>
      <c r="H17" s="217"/>
      <c r="I17" s="208"/>
      <c r="J17" s="221"/>
      <c r="K17" s="284" t="str">
        <f>IF(H17=$Z$1,HLOOKUP('NWGC - SCENARIOS'!$D$7,'Yearly Budget'!$B$1:$BF$2,2,FALSE),"")</f>
        <v/>
      </c>
      <c r="L17" s="208"/>
      <c r="M17" s="480"/>
      <c r="N17" s="209"/>
      <c r="O17" s="209"/>
      <c r="P17" s="208"/>
      <c r="Q17" s="208"/>
      <c r="R17" s="208"/>
      <c r="S17" s="208"/>
      <c r="T17" s="209"/>
      <c r="U17" s="209"/>
      <c r="V17" s="209"/>
      <c r="Y17" s="502" t="b">
        <f t="shared" si="0"/>
        <v>0</v>
      </c>
      <c r="Z17" s="502" t="b">
        <f t="shared" si="1"/>
        <v>0</v>
      </c>
    </row>
    <row r="18" spans="1:26" ht="19.5" customHeight="1" x14ac:dyDescent="0.35">
      <c r="A18" s="213"/>
      <c r="B18" s="220"/>
      <c r="C18" s="214"/>
      <c r="D18" s="554"/>
      <c r="E18" s="216"/>
      <c r="F18" s="217"/>
      <c r="G18" s="208"/>
      <c r="H18" s="217"/>
      <c r="I18" s="208"/>
      <c r="J18" s="221"/>
      <c r="K18" s="284" t="str">
        <f>IF(H18=$Z$1,HLOOKUP('NWGC - SCENARIOS'!$D$7,'Yearly Budget'!$B$1:$BF$2,2,FALSE),"")</f>
        <v/>
      </c>
      <c r="L18" s="208"/>
      <c r="M18" s="480"/>
      <c r="N18" s="209"/>
      <c r="O18" s="209"/>
      <c r="P18" s="208"/>
      <c r="Q18" s="208"/>
      <c r="R18" s="208"/>
      <c r="S18" s="208"/>
      <c r="T18" s="209"/>
      <c r="U18" s="209"/>
      <c r="V18" s="209"/>
      <c r="Y18" s="502" t="b">
        <f t="shared" si="0"/>
        <v>0</v>
      </c>
      <c r="Z18" s="502" t="b">
        <f t="shared" si="1"/>
        <v>0</v>
      </c>
    </row>
    <row r="19" spans="1:26" ht="19.5" customHeight="1" x14ac:dyDescent="0.35">
      <c r="A19" s="213"/>
      <c r="B19" s="220"/>
      <c r="C19" s="214"/>
      <c r="D19" s="554"/>
      <c r="E19" s="216"/>
      <c r="F19" s="217"/>
      <c r="G19" s="208"/>
      <c r="H19" s="217"/>
      <c r="I19" s="208"/>
      <c r="J19" s="221"/>
      <c r="K19" s="284" t="str">
        <f>IF(H19=$Z$1,HLOOKUP('NWGC - SCENARIOS'!$D$7,'Yearly Budget'!$B$1:$BF$2,2,FALSE),"")</f>
        <v/>
      </c>
      <c r="L19" s="208"/>
      <c r="M19" s="480"/>
      <c r="N19" s="209"/>
      <c r="O19" s="209"/>
      <c r="P19" s="208"/>
      <c r="Q19" s="208"/>
      <c r="R19" s="208"/>
      <c r="S19" s="208"/>
      <c r="T19" s="209"/>
      <c r="U19" s="209"/>
      <c r="V19" s="209"/>
      <c r="Y19" s="502" t="b">
        <f t="shared" si="0"/>
        <v>0</v>
      </c>
      <c r="Z19" s="502" t="b">
        <f t="shared" si="1"/>
        <v>0</v>
      </c>
    </row>
    <row r="20" spans="1:26" ht="19.5" customHeight="1" thickBot="1" x14ac:dyDescent="0.4">
      <c r="A20" s="213"/>
      <c r="B20" s="220"/>
      <c r="C20" s="214"/>
      <c r="D20" s="555"/>
      <c r="E20" s="216"/>
      <c r="F20" s="222"/>
      <c r="G20" s="208"/>
      <c r="H20" s="222"/>
      <c r="I20" s="208"/>
      <c r="J20" s="223"/>
      <c r="K20" s="284" t="str">
        <f>IF(H20=$Z$1,HLOOKUP('NWGC - SCENARIOS'!$D$7,'Yearly Budget'!$B$1:$BF$2,2,FALSE),"")</f>
        <v/>
      </c>
      <c r="L20" s="208"/>
      <c r="M20" s="481"/>
      <c r="N20" s="209"/>
      <c r="O20" s="209"/>
      <c r="P20" s="208"/>
      <c r="Q20" s="208"/>
      <c r="R20" s="208"/>
      <c r="S20" s="208"/>
      <c r="T20" s="209"/>
      <c r="U20" s="209"/>
      <c r="V20" s="209"/>
      <c r="Y20" s="208"/>
      <c r="Z20" s="505">
        <f>SUMPRODUCT(Y4:Y19,Z4:Z19)</f>
        <v>7.896405667587289E-2</v>
      </c>
    </row>
    <row r="21" spans="1:26" ht="19.5" customHeight="1" thickBot="1" x14ac:dyDescent="0.4">
      <c r="A21" s="213"/>
      <c r="B21" s="224" t="s">
        <v>221</v>
      </c>
      <c r="C21" s="214"/>
      <c r="D21" s="225">
        <f>SUMIF(F4:F20,2025,D4:D20)</f>
        <v>12278664</v>
      </c>
      <c r="E21" s="215"/>
      <c r="F21" s="602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9"/>
      <c r="U21" s="209"/>
      <c r="V21" s="209"/>
    </row>
    <row r="22" spans="1:26" ht="22.5" customHeight="1" x14ac:dyDescent="0.35">
      <c r="A22" s="208"/>
      <c r="B22" s="211"/>
      <c r="C22" s="215"/>
      <c r="D22" s="215"/>
      <c r="E22" s="215"/>
      <c r="F22" s="212"/>
      <c r="G22" s="212"/>
      <c r="H22" s="212"/>
      <c r="I22" s="602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208"/>
      <c r="V22" s="208"/>
    </row>
    <row r="23" spans="1:26" ht="22.5" customHeight="1" x14ac:dyDescent="0.35">
      <c r="A23" s="208"/>
      <c r="B23" s="211"/>
      <c r="C23" s="215"/>
      <c r="D23" s="215"/>
      <c r="E23" s="215"/>
      <c r="F23" s="212"/>
      <c r="G23" s="212"/>
      <c r="H23" s="212"/>
      <c r="I23" s="602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8"/>
    </row>
    <row r="24" spans="1:26" ht="33.6" customHeight="1" x14ac:dyDescent="0.3">
      <c r="A24" s="208"/>
      <c r="B24" s="644" t="s">
        <v>222</v>
      </c>
      <c r="C24" s="644"/>
      <c r="D24" s="644"/>
      <c r="E24" s="644"/>
      <c r="F24" s="644"/>
      <c r="G24" s="644"/>
      <c r="H24" s="644"/>
      <c r="I24" s="644"/>
      <c r="J24" s="644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</row>
    <row r="25" spans="1:26" ht="19.5" customHeight="1" x14ac:dyDescent="0.3">
      <c r="A25" s="208"/>
      <c r="B25" s="212"/>
      <c r="C25" s="212"/>
      <c r="D25" s="212"/>
      <c r="E25" s="212"/>
      <c r="F25" s="212"/>
      <c r="G25" s="212"/>
      <c r="H25" s="212"/>
      <c r="I25" s="212"/>
      <c r="J25" s="208"/>
      <c r="K25" s="208"/>
      <c r="L25" s="208"/>
      <c r="M25" s="208"/>
      <c r="N25" s="208"/>
      <c r="O25" s="208"/>
      <c r="P25" s="208"/>
      <c r="Q25" s="208"/>
      <c r="R25" s="208"/>
      <c r="S25" s="208"/>
      <c r="T25" s="208"/>
      <c r="U25" s="208"/>
      <c r="V25" s="208"/>
    </row>
    <row r="26" spans="1:26" ht="42.75" customHeight="1" thickBot="1" x14ac:dyDescent="0.35">
      <c r="A26" s="208"/>
      <c r="B26" s="226"/>
      <c r="C26" s="227"/>
      <c r="D26" s="428" t="s">
        <v>223</v>
      </c>
      <c r="E26" s="228"/>
      <c r="F26" s="642" t="s">
        <v>224</v>
      </c>
      <c r="G26" s="642"/>
      <c r="H26" s="642"/>
      <c r="I26" s="208"/>
      <c r="J26" s="208"/>
      <c r="K26" s="208"/>
      <c r="L26" s="208"/>
      <c r="M26" s="208"/>
      <c r="N26" s="208"/>
      <c r="O26" s="208"/>
      <c r="P26" s="208"/>
      <c r="Q26" s="208"/>
      <c r="R26" s="208"/>
      <c r="S26" s="208"/>
      <c r="T26" s="208"/>
      <c r="U26" s="208"/>
      <c r="V26" s="208"/>
    </row>
    <row r="27" spans="1:26" ht="19.5" customHeight="1" thickBot="1" x14ac:dyDescent="0.35">
      <c r="A27" s="208"/>
      <c r="B27" s="226"/>
      <c r="C27" s="227"/>
      <c r="D27" s="226"/>
      <c r="E27" s="227"/>
      <c r="F27" s="227"/>
      <c r="G27" s="227"/>
      <c r="H27" s="208"/>
      <c r="I27" s="208"/>
      <c r="J27" s="208"/>
      <c r="K27" s="208"/>
      <c r="L27" s="208"/>
      <c r="M27" s="208"/>
      <c r="N27" s="208"/>
      <c r="O27" s="208"/>
      <c r="P27" s="208"/>
      <c r="Q27" s="208"/>
      <c r="R27" s="208"/>
      <c r="S27" s="208"/>
      <c r="T27" s="208"/>
      <c r="U27" s="208"/>
      <c r="V27" s="208"/>
    </row>
    <row r="28" spans="1:26" ht="19.5" customHeight="1" thickBot="1" x14ac:dyDescent="0.35">
      <c r="A28" s="208"/>
      <c r="B28" s="226"/>
      <c r="C28" s="227"/>
      <c r="D28" s="548" t="s">
        <v>225</v>
      </c>
      <c r="E28" s="229"/>
      <c r="F28" s="549" t="s">
        <v>226</v>
      </c>
      <c r="G28" s="208"/>
      <c r="H28" s="548" t="s">
        <v>227</v>
      </c>
      <c r="I28" s="230"/>
      <c r="J28" s="208"/>
      <c r="K28" s="208"/>
      <c r="L28" s="208"/>
      <c r="M28" s="208"/>
      <c r="N28" s="208"/>
      <c r="O28" s="208"/>
      <c r="P28" s="208"/>
      <c r="Q28" s="208"/>
      <c r="R28" s="208"/>
      <c r="S28" s="208"/>
      <c r="T28" s="208"/>
      <c r="U28" s="208"/>
      <c r="V28" s="208"/>
    </row>
    <row r="29" spans="1:26" ht="19.5" customHeight="1" thickBot="1" x14ac:dyDescent="0.35">
      <c r="A29" s="208"/>
      <c r="B29" s="208"/>
      <c r="C29" s="208"/>
      <c r="D29" s="231"/>
      <c r="E29" s="208"/>
      <c r="F29" s="208"/>
      <c r="G29" s="208"/>
      <c r="H29" s="208"/>
      <c r="I29" s="208"/>
      <c r="J29" s="208"/>
      <c r="K29" s="208"/>
      <c r="L29" s="208"/>
      <c r="M29" s="208"/>
      <c r="N29" s="208"/>
      <c r="O29" s="208"/>
      <c r="P29" s="208"/>
      <c r="Q29" s="208"/>
      <c r="R29" s="208"/>
      <c r="S29" s="208"/>
      <c r="T29" s="208"/>
      <c r="U29" s="208"/>
      <c r="V29" s="208"/>
    </row>
    <row r="30" spans="1:26" ht="19.5" customHeight="1" thickBot="1" x14ac:dyDescent="0.35">
      <c r="A30" s="208"/>
      <c r="B30" s="550" t="s">
        <v>228</v>
      </c>
      <c r="C30" s="232"/>
      <c r="D30" s="233"/>
      <c r="E30" s="208"/>
      <c r="F30" s="234"/>
      <c r="G30" s="234"/>
      <c r="H30" s="235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</row>
    <row r="31" spans="1:26" ht="14.1" customHeight="1" x14ac:dyDescent="0.3">
      <c r="A31" s="208"/>
      <c r="B31" s="603" t="s">
        <v>229</v>
      </c>
      <c r="C31" s="604"/>
      <c r="D31" s="605">
        <v>15000</v>
      </c>
      <c r="E31" s="606"/>
      <c r="F31" s="605">
        <v>15000</v>
      </c>
      <c r="G31" s="606"/>
      <c r="H31" s="605">
        <v>15000</v>
      </c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</row>
    <row r="32" spans="1:26" ht="13.95" customHeight="1" x14ac:dyDescent="0.3">
      <c r="A32" s="213"/>
      <c r="B32" s="607" t="s">
        <v>230</v>
      </c>
      <c r="C32" s="604"/>
      <c r="D32" s="608">
        <f>7500*12</f>
        <v>90000</v>
      </c>
      <c r="E32" s="606"/>
      <c r="F32" s="608">
        <f>7500*12</f>
        <v>90000</v>
      </c>
      <c r="G32" s="606"/>
      <c r="H32" s="608">
        <f>7500*12</f>
        <v>90000</v>
      </c>
      <c r="I32" s="208"/>
      <c r="J32" s="208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8"/>
      <c r="V32" s="208"/>
    </row>
    <row r="33" spans="1:22" ht="13.95" customHeight="1" x14ac:dyDescent="0.3">
      <c r="A33" s="213"/>
      <c r="B33" s="609" t="s">
        <v>231</v>
      </c>
      <c r="C33" s="604"/>
      <c r="D33" s="608">
        <f>300*12</f>
        <v>3600</v>
      </c>
      <c r="E33" s="606"/>
      <c r="F33" s="608">
        <f>300*12</f>
        <v>3600</v>
      </c>
      <c r="G33" s="606"/>
      <c r="H33" s="608">
        <f>300*12</f>
        <v>3600</v>
      </c>
      <c r="I33" s="208"/>
      <c r="J33" s="208"/>
      <c r="K33" s="208"/>
      <c r="L33" s="208"/>
      <c r="M33" s="208"/>
      <c r="N33" s="208"/>
      <c r="O33" s="208"/>
      <c r="P33" s="208"/>
      <c r="Q33" s="208"/>
      <c r="R33" s="208"/>
      <c r="S33" s="208"/>
      <c r="T33" s="208"/>
      <c r="U33" s="208"/>
      <c r="V33" s="208"/>
    </row>
    <row r="34" spans="1:22" ht="13.95" customHeight="1" x14ac:dyDescent="0.3">
      <c r="A34" s="213"/>
      <c r="B34" s="607" t="s">
        <v>232</v>
      </c>
      <c r="C34" s="604"/>
      <c r="D34" s="608">
        <f>800*12</f>
        <v>9600</v>
      </c>
      <c r="E34" s="606"/>
      <c r="F34" s="608">
        <f>800*12</f>
        <v>9600</v>
      </c>
      <c r="G34" s="606"/>
      <c r="H34" s="608">
        <f>800*12</f>
        <v>9600</v>
      </c>
      <c r="I34" s="208"/>
      <c r="J34" s="208"/>
      <c r="K34" s="208"/>
      <c r="L34" s="208"/>
      <c r="M34" s="208"/>
      <c r="N34" s="208"/>
      <c r="O34" s="208"/>
      <c r="P34" s="208"/>
      <c r="Q34" s="208"/>
      <c r="R34" s="208"/>
      <c r="S34" s="208"/>
      <c r="T34" s="208"/>
      <c r="U34" s="208"/>
      <c r="V34" s="208"/>
    </row>
    <row r="35" spans="1:22" ht="13.95" customHeight="1" x14ac:dyDescent="0.3">
      <c r="A35" s="213"/>
      <c r="B35" s="609" t="s">
        <v>233</v>
      </c>
      <c r="C35" s="604"/>
      <c r="D35" s="608">
        <f>140*12+2349</f>
        <v>4029</v>
      </c>
      <c r="E35" s="606"/>
      <c r="F35" s="608">
        <f>140*12+2349</f>
        <v>4029</v>
      </c>
      <c r="G35" s="606"/>
      <c r="H35" s="608">
        <f>140*12+2349</f>
        <v>4029</v>
      </c>
      <c r="I35" s="208"/>
      <c r="J35" s="208"/>
      <c r="K35" s="208"/>
      <c r="L35" s="208"/>
      <c r="M35" s="208"/>
      <c r="N35" s="208"/>
      <c r="O35" s="208"/>
      <c r="P35" s="208"/>
      <c r="Q35" s="208"/>
      <c r="R35" s="208"/>
      <c r="S35" s="208"/>
      <c r="T35" s="208"/>
      <c r="U35" s="208"/>
      <c r="V35" s="208"/>
    </row>
    <row r="36" spans="1:22" ht="13.95" customHeight="1" x14ac:dyDescent="0.3">
      <c r="A36" s="213"/>
      <c r="B36" s="607" t="s">
        <v>234</v>
      </c>
      <c r="C36" s="604"/>
      <c r="D36" s="608">
        <v>60000</v>
      </c>
      <c r="E36" s="606"/>
      <c r="F36" s="608">
        <v>60000</v>
      </c>
      <c r="G36" s="606"/>
      <c r="H36" s="608">
        <v>60000</v>
      </c>
      <c r="I36" s="208"/>
      <c r="J36" s="208"/>
      <c r="K36" s="208"/>
      <c r="L36" s="208"/>
      <c r="M36" s="208"/>
      <c r="N36" s="208"/>
      <c r="O36" s="208"/>
      <c r="P36" s="208"/>
      <c r="Q36" s="208"/>
      <c r="R36" s="208"/>
      <c r="S36" s="208"/>
      <c r="T36" s="208"/>
      <c r="U36" s="208"/>
      <c r="V36" s="208"/>
    </row>
    <row r="37" spans="1:22" ht="13.95" customHeight="1" x14ac:dyDescent="0.3">
      <c r="A37" s="213"/>
      <c r="B37" s="609" t="s">
        <v>235</v>
      </c>
      <c r="C37" s="604"/>
      <c r="D37" s="608">
        <f>7500*6</f>
        <v>45000</v>
      </c>
      <c r="E37" s="606"/>
      <c r="F37" s="608">
        <f>7500*6</f>
        <v>45000</v>
      </c>
      <c r="G37" s="606"/>
      <c r="H37" s="608">
        <f>7500*6</f>
        <v>45000</v>
      </c>
      <c r="I37" s="208"/>
      <c r="J37" s="208"/>
      <c r="K37" s="208"/>
      <c r="L37" s="208"/>
      <c r="M37" s="208"/>
      <c r="N37" s="208"/>
      <c r="O37" s="208"/>
      <c r="P37" s="208"/>
      <c r="Q37" s="208"/>
      <c r="R37" s="208"/>
      <c r="S37" s="208"/>
      <c r="T37" s="208"/>
      <c r="U37" s="208"/>
      <c r="V37" s="208"/>
    </row>
    <row r="38" spans="1:22" ht="13.95" customHeight="1" x14ac:dyDescent="0.3">
      <c r="A38" s="213"/>
      <c r="B38" s="607" t="s">
        <v>236</v>
      </c>
      <c r="C38" s="604"/>
      <c r="D38" s="608">
        <f>5000*12</f>
        <v>60000</v>
      </c>
      <c r="E38" s="606"/>
      <c r="F38" s="608">
        <f>5000*12</f>
        <v>60000</v>
      </c>
      <c r="G38" s="606"/>
      <c r="H38" s="608">
        <f>5000*12</f>
        <v>60000</v>
      </c>
      <c r="I38" s="208"/>
      <c r="J38" s="208"/>
      <c r="K38" s="208"/>
      <c r="L38" s="208"/>
      <c r="M38" s="208"/>
      <c r="N38" s="208"/>
      <c r="O38" s="208"/>
      <c r="P38" s="208"/>
      <c r="Q38" s="208"/>
      <c r="R38" s="208"/>
      <c r="S38" s="208"/>
      <c r="T38" s="208"/>
      <c r="U38" s="208"/>
      <c r="V38" s="208"/>
    </row>
    <row r="39" spans="1:22" ht="13.95" customHeight="1" x14ac:dyDescent="0.3">
      <c r="A39" s="213"/>
      <c r="B39" s="609" t="s">
        <v>237</v>
      </c>
      <c r="C39" s="604"/>
      <c r="D39" s="608">
        <v>15000</v>
      </c>
      <c r="E39" s="606"/>
      <c r="F39" s="608">
        <v>15000</v>
      </c>
      <c r="G39" s="610"/>
      <c r="H39" s="608">
        <v>15000</v>
      </c>
      <c r="I39" s="208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</row>
    <row r="40" spans="1:22" ht="45" customHeight="1" x14ac:dyDescent="0.3">
      <c r="A40" s="213"/>
      <c r="B40" s="607" t="s">
        <v>238</v>
      </c>
      <c r="C40" s="604"/>
      <c r="D40" s="608">
        <v>25000</v>
      </c>
      <c r="E40" s="606"/>
      <c r="F40" s="608">
        <v>25000</v>
      </c>
      <c r="G40" s="610"/>
      <c r="H40" s="608">
        <v>25000</v>
      </c>
      <c r="I40" s="208"/>
      <c r="J40" s="208"/>
      <c r="K40" s="208"/>
      <c r="L40" s="208"/>
      <c r="M40" s="208"/>
      <c r="N40" s="208"/>
      <c r="O40" s="208"/>
      <c r="P40" s="208"/>
      <c r="Q40" s="208"/>
      <c r="R40" s="208"/>
      <c r="S40" s="208"/>
      <c r="T40" s="208"/>
      <c r="U40" s="208"/>
      <c r="V40" s="208"/>
    </row>
    <row r="41" spans="1:22" ht="13.95" customHeight="1" x14ac:dyDescent="0.3">
      <c r="A41" s="213"/>
      <c r="B41" s="609" t="s">
        <v>239</v>
      </c>
      <c r="C41" s="604"/>
      <c r="D41" s="608">
        <v>25000</v>
      </c>
      <c r="E41" s="606"/>
      <c r="F41" s="608">
        <v>25000</v>
      </c>
      <c r="G41" s="610"/>
      <c r="H41" s="608">
        <v>25000</v>
      </c>
      <c r="I41" s="208"/>
      <c r="J41" s="208"/>
      <c r="K41" s="208"/>
      <c r="L41" s="208"/>
      <c r="M41" s="208"/>
      <c r="N41" s="208"/>
      <c r="O41" s="208"/>
      <c r="P41" s="208"/>
      <c r="Q41" s="208"/>
      <c r="R41" s="208"/>
      <c r="S41" s="208"/>
      <c r="T41" s="208"/>
      <c r="U41" s="208"/>
      <c r="V41" s="208"/>
    </row>
    <row r="42" spans="1:22" ht="13.95" customHeight="1" x14ac:dyDescent="0.3">
      <c r="A42" s="213"/>
      <c r="B42" s="611" t="s">
        <v>240</v>
      </c>
      <c r="C42" s="604"/>
      <c r="D42" s="608"/>
      <c r="E42" s="606"/>
      <c r="F42" s="608"/>
      <c r="G42" s="610"/>
      <c r="H42" s="608"/>
      <c r="I42" s="208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  <c r="V42" s="208"/>
    </row>
    <row r="43" spans="1:22" ht="31.5" customHeight="1" thickBot="1" x14ac:dyDescent="0.35">
      <c r="A43" s="213"/>
      <c r="B43" s="612" t="s">
        <v>241</v>
      </c>
      <c r="C43" s="604"/>
      <c r="D43" s="613">
        <v>20000</v>
      </c>
      <c r="E43" s="606"/>
      <c r="F43" s="613">
        <v>20000</v>
      </c>
      <c r="G43" s="610"/>
      <c r="H43" s="613">
        <v>20000</v>
      </c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  <c r="T43" s="208"/>
      <c r="U43" s="208"/>
      <c r="V43" s="208"/>
    </row>
    <row r="44" spans="1:22" ht="18" customHeight="1" thickBot="1" x14ac:dyDescent="0.35">
      <c r="A44" s="208"/>
      <c r="B44" s="236" t="s">
        <v>242</v>
      </c>
      <c r="C44" s="237"/>
      <c r="D44" s="238">
        <f>SUM(D31:D43)</f>
        <v>372229</v>
      </c>
      <c r="E44" s="239"/>
      <c r="F44" s="238">
        <f>SUM(F31:F43)</f>
        <v>372229</v>
      </c>
      <c r="G44" s="240"/>
      <c r="H44" s="238">
        <f>SUM(H31:H43)</f>
        <v>372229</v>
      </c>
      <c r="I44" s="208"/>
      <c r="J44" s="208"/>
      <c r="K44" s="208"/>
      <c r="L44" s="208"/>
      <c r="M44" s="208"/>
      <c r="N44" s="208"/>
      <c r="O44" s="208"/>
      <c r="P44" s="208"/>
      <c r="Q44" s="208"/>
      <c r="R44" s="208"/>
      <c r="S44" s="208"/>
      <c r="T44" s="208"/>
      <c r="U44" s="208"/>
      <c r="V44" s="208"/>
    </row>
    <row r="45" spans="1:22" ht="15.75" customHeight="1" thickBot="1" x14ac:dyDescent="0.35">
      <c r="A45" s="208"/>
      <c r="B45" s="614"/>
      <c r="C45" s="614"/>
      <c r="D45" s="615"/>
      <c r="E45" s="616"/>
      <c r="F45" s="615"/>
      <c r="G45" s="616"/>
      <c r="H45" s="615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08"/>
      <c r="T45" s="208"/>
      <c r="U45" s="208"/>
      <c r="V45" s="208"/>
    </row>
    <row r="46" spans="1:22" ht="18" customHeight="1" thickBot="1" x14ac:dyDescent="0.35">
      <c r="A46" s="208"/>
      <c r="B46" s="550" t="s">
        <v>243</v>
      </c>
      <c r="C46" s="232"/>
      <c r="D46" s="235"/>
      <c r="E46" s="234"/>
      <c r="F46" s="234"/>
      <c r="G46" s="234"/>
      <c r="H46" s="234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</row>
    <row r="47" spans="1:22" ht="14.1" customHeight="1" x14ac:dyDescent="0.3">
      <c r="A47" s="213"/>
      <c r="B47" s="607" t="s">
        <v>244</v>
      </c>
      <c r="C47" s="604"/>
      <c r="D47" s="605">
        <v>100000</v>
      </c>
      <c r="E47" s="606"/>
      <c r="F47" s="605">
        <v>100000</v>
      </c>
      <c r="G47" s="617"/>
      <c r="H47" s="605">
        <v>100000</v>
      </c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08"/>
      <c r="T47" s="208"/>
      <c r="U47" s="208"/>
      <c r="V47" s="208"/>
    </row>
    <row r="48" spans="1:22" ht="13.95" customHeight="1" x14ac:dyDescent="0.3">
      <c r="A48" s="213"/>
      <c r="B48" s="618" t="s">
        <v>245</v>
      </c>
      <c r="C48" s="604"/>
      <c r="D48" s="608">
        <v>200000</v>
      </c>
      <c r="E48" s="606"/>
      <c r="F48" s="608">
        <v>200000</v>
      </c>
      <c r="G48" s="617"/>
      <c r="H48" s="608">
        <v>200000</v>
      </c>
      <c r="I48" s="208"/>
      <c r="J48" s="208"/>
      <c r="K48" s="208"/>
      <c r="L48" s="208"/>
      <c r="M48" s="208"/>
      <c r="N48" s="208"/>
      <c r="O48" s="208"/>
      <c r="P48" s="208"/>
      <c r="Q48" s="208"/>
      <c r="R48" s="208"/>
      <c r="S48" s="208"/>
      <c r="T48" s="208"/>
      <c r="U48" s="208"/>
      <c r="V48" s="208"/>
    </row>
    <row r="49" spans="1:22" x14ac:dyDescent="0.3">
      <c r="A49" s="213"/>
      <c r="B49" s="618" t="s">
        <v>246</v>
      </c>
      <c r="C49" s="604"/>
      <c r="D49" s="608"/>
      <c r="E49" s="606"/>
      <c r="F49" s="608"/>
      <c r="G49" s="617"/>
      <c r="H49" s="6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08"/>
      <c r="T49" s="208"/>
      <c r="U49" s="208"/>
      <c r="V49" s="208"/>
    </row>
    <row r="50" spans="1:22" ht="28.8" x14ac:dyDescent="0.3">
      <c r="A50" s="213"/>
      <c r="B50" s="618" t="s">
        <v>247</v>
      </c>
      <c r="C50" s="604"/>
      <c r="D50" s="608">
        <v>12000</v>
      </c>
      <c r="E50" s="606"/>
      <c r="F50" s="608">
        <v>12000</v>
      </c>
      <c r="G50" s="617"/>
      <c r="H50" s="608">
        <v>12000</v>
      </c>
      <c r="I50" s="208"/>
      <c r="J50" s="208"/>
      <c r="K50" s="208"/>
      <c r="L50" s="208"/>
      <c r="M50" s="208"/>
      <c r="N50" s="208"/>
      <c r="O50" s="208"/>
      <c r="P50" s="208"/>
      <c r="Q50" s="208"/>
      <c r="R50" s="208"/>
      <c r="S50" s="208"/>
      <c r="T50" s="208"/>
      <c r="U50" s="208"/>
      <c r="V50" s="208"/>
    </row>
    <row r="51" spans="1:22" ht="28.8" x14ac:dyDescent="0.3">
      <c r="A51" s="213"/>
      <c r="B51" s="609" t="s">
        <v>248</v>
      </c>
      <c r="C51" s="604"/>
      <c r="D51" s="608">
        <v>10000</v>
      </c>
      <c r="E51" s="606"/>
      <c r="F51" s="608">
        <v>10000</v>
      </c>
      <c r="G51" s="617"/>
      <c r="H51" s="608">
        <v>10000</v>
      </c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08"/>
      <c r="T51" s="208"/>
      <c r="U51" s="208"/>
      <c r="V51" s="208"/>
    </row>
    <row r="52" spans="1:22" ht="18" customHeight="1" thickBot="1" x14ac:dyDescent="0.35">
      <c r="A52" s="213"/>
      <c r="B52" s="241" t="s">
        <v>249</v>
      </c>
      <c r="C52" s="237"/>
      <c r="D52" s="238">
        <f>SUM(D47:D51)</f>
        <v>322000</v>
      </c>
      <c r="E52" s="239"/>
      <c r="F52" s="238">
        <f>SUM(F47:F51)</f>
        <v>322000</v>
      </c>
      <c r="G52" s="242"/>
      <c r="H52" s="238">
        <f>SUM(H47:H51)</f>
        <v>322000</v>
      </c>
      <c r="I52" s="208"/>
      <c r="J52" s="208"/>
      <c r="K52" s="208"/>
      <c r="L52" s="208"/>
      <c r="M52" s="208"/>
      <c r="N52" s="208"/>
      <c r="O52" s="208"/>
      <c r="P52" s="208"/>
      <c r="Q52" s="208"/>
      <c r="R52" s="208"/>
      <c r="S52" s="208"/>
      <c r="T52" s="208"/>
      <c r="U52" s="208"/>
      <c r="V52" s="208"/>
    </row>
    <row r="53" spans="1:22" ht="15.75" customHeight="1" thickBot="1" x14ac:dyDescent="0.35">
      <c r="A53" s="208"/>
      <c r="B53" s="614"/>
      <c r="C53" s="614"/>
      <c r="D53" s="615"/>
      <c r="E53" s="616"/>
      <c r="F53" s="615"/>
      <c r="G53" s="616"/>
      <c r="H53" s="615"/>
      <c r="I53" s="208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</row>
    <row r="54" spans="1:22" ht="18" customHeight="1" x14ac:dyDescent="0.3">
      <c r="A54" s="213"/>
      <c r="B54" s="551" t="s">
        <v>250</v>
      </c>
      <c r="C54" s="232"/>
      <c r="D54" s="234"/>
      <c r="E54" s="234"/>
      <c r="F54" s="234"/>
      <c r="G54" s="234"/>
      <c r="H54" s="234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</row>
    <row r="55" spans="1:22" ht="14.1" customHeight="1" x14ac:dyDescent="0.3">
      <c r="A55" s="213"/>
      <c r="B55" s="607" t="s">
        <v>251</v>
      </c>
      <c r="C55" s="604"/>
      <c r="D55" s="619">
        <v>0</v>
      </c>
      <c r="E55" s="620"/>
      <c r="F55" s="619">
        <v>0</v>
      </c>
      <c r="G55" s="617"/>
      <c r="H55" s="619">
        <v>0</v>
      </c>
      <c r="I55" s="208"/>
      <c r="J55" s="208"/>
      <c r="K55" s="208"/>
      <c r="L55" s="208"/>
      <c r="M55" s="208"/>
      <c r="N55" s="208"/>
      <c r="O55" s="208"/>
      <c r="P55" s="208"/>
      <c r="Q55" s="208"/>
      <c r="R55" s="208"/>
      <c r="S55" s="208"/>
      <c r="T55" s="208"/>
      <c r="U55" s="208"/>
      <c r="V55" s="208"/>
    </row>
    <row r="56" spans="1:22" ht="13.95" customHeight="1" x14ac:dyDescent="0.3">
      <c r="A56" s="213"/>
      <c r="B56" s="609" t="s">
        <v>252</v>
      </c>
      <c r="C56" s="604"/>
      <c r="D56" s="621">
        <v>6000</v>
      </c>
      <c r="E56" s="620"/>
      <c r="F56" s="622">
        <v>6000</v>
      </c>
      <c r="G56" s="617"/>
      <c r="H56" s="622">
        <v>6000</v>
      </c>
      <c r="I56" s="208"/>
      <c r="J56" s="208"/>
      <c r="K56" s="208"/>
      <c r="L56" s="208"/>
      <c r="M56" s="208"/>
      <c r="N56" s="208"/>
      <c r="O56" s="208"/>
      <c r="P56" s="208"/>
      <c r="Q56" s="208"/>
      <c r="R56" s="208"/>
      <c r="S56" s="208"/>
      <c r="T56" s="208"/>
      <c r="U56" s="208"/>
      <c r="V56" s="208"/>
    </row>
    <row r="57" spans="1:22" ht="13.95" customHeight="1" x14ac:dyDescent="0.3">
      <c r="A57" s="213"/>
      <c r="B57" s="609" t="s">
        <v>253</v>
      </c>
      <c r="C57" s="604"/>
      <c r="D57" s="621">
        <f>3500*12</f>
        <v>42000</v>
      </c>
      <c r="E57" s="620"/>
      <c r="F57" s="622">
        <f>3500*12</f>
        <v>42000</v>
      </c>
      <c r="G57" s="617"/>
      <c r="H57" s="622">
        <f>3500*12</f>
        <v>42000</v>
      </c>
      <c r="I57" s="208"/>
      <c r="J57" s="208"/>
      <c r="K57" s="208"/>
      <c r="L57" s="208"/>
      <c r="M57" s="208"/>
      <c r="N57" s="208"/>
      <c r="O57" s="208"/>
      <c r="P57" s="208"/>
      <c r="Q57" s="208"/>
      <c r="R57" s="208"/>
      <c r="S57" s="208"/>
      <c r="T57" s="208"/>
      <c r="U57" s="208"/>
      <c r="V57" s="208"/>
    </row>
    <row r="58" spans="1:22" ht="15.75" customHeight="1" x14ac:dyDescent="0.3">
      <c r="A58" s="213"/>
      <c r="B58" s="607" t="s">
        <v>254</v>
      </c>
      <c r="C58" s="604"/>
      <c r="D58" s="621">
        <v>50000</v>
      </c>
      <c r="E58" s="620"/>
      <c r="F58" s="623">
        <v>50000</v>
      </c>
      <c r="G58" s="617"/>
      <c r="H58" s="623">
        <v>50000</v>
      </c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</row>
    <row r="59" spans="1:22" ht="18" customHeight="1" x14ac:dyDescent="0.3">
      <c r="A59" s="213"/>
      <c r="B59" s="241" t="s">
        <v>255</v>
      </c>
      <c r="C59" s="237"/>
      <c r="D59" s="243">
        <f>SUM(D55:D58)</f>
        <v>98000</v>
      </c>
      <c r="E59" s="244"/>
      <c r="F59" s="560">
        <f>SUM(F55:F58)</f>
        <v>98000</v>
      </c>
      <c r="G59" s="245"/>
      <c r="H59" s="561">
        <f>SUM(H55:H58)</f>
        <v>98000</v>
      </c>
      <c r="I59" s="230"/>
      <c r="J59" s="208"/>
      <c r="K59" s="208"/>
      <c r="L59" s="208"/>
      <c r="M59" s="208"/>
      <c r="N59" s="208"/>
      <c r="O59" s="208"/>
      <c r="P59" s="208"/>
      <c r="Q59" s="208"/>
      <c r="R59" s="208"/>
      <c r="S59" s="208"/>
      <c r="T59" s="208"/>
      <c r="U59" s="208"/>
      <c r="V59" s="208"/>
    </row>
    <row r="60" spans="1:22" ht="15.75" customHeight="1" x14ac:dyDescent="0.3">
      <c r="A60" s="208"/>
      <c r="B60" s="624"/>
      <c r="C60" s="614"/>
      <c r="D60" s="615"/>
      <c r="E60" s="616"/>
      <c r="F60" s="615"/>
      <c r="G60" s="616"/>
      <c r="H60" s="615"/>
      <c r="I60" s="208"/>
      <c r="J60" s="208"/>
      <c r="K60" s="208"/>
      <c r="L60" s="208"/>
      <c r="M60" s="208"/>
      <c r="N60" s="208"/>
      <c r="O60" s="208"/>
      <c r="P60" s="208"/>
      <c r="Q60" s="208"/>
      <c r="R60" s="208"/>
      <c r="S60" s="208"/>
      <c r="T60" s="208"/>
      <c r="U60" s="208"/>
      <c r="V60" s="208"/>
    </row>
    <row r="61" spans="1:22" ht="18" customHeight="1" thickBot="1" x14ac:dyDescent="0.35">
      <c r="A61" s="213"/>
      <c r="B61" s="551" t="s">
        <v>256</v>
      </c>
      <c r="C61" s="232"/>
      <c r="D61" s="235"/>
      <c r="E61" s="234"/>
      <c r="F61" s="235"/>
      <c r="G61" s="234"/>
      <c r="H61" s="235"/>
      <c r="I61" s="208"/>
      <c r="J61" s="208"/>
      <c r="K61" s="208"/>
      <c r="L61" s="208"/>
      <c r="M61" s="208"/>
      <c r="N61" s="208"/>
      <c r="O61" s="208"/>
      <c r="P61" s="208"/>
      <c r="Q61" s="208"/>
      <c r="R61" s="208"/>
      <c r="S61" s="208"/>
      <c r="T61" s="208"/>
      <c r="U61" s="208"/>
      <c r="V61" s="208"/>
    </row>
    <row r="62" spans="1:22" ht="14.1" customHeight="1" x14ac:dyDescent="0.3">
      <c r="A62" s="213"/>
      <c r="B62" s="625" t="s">
        <v>257</v>
      </c>
      <c r="C62" s="604"/>
      <c r="D62" s="605">
        <f>3000*12</f>
        <v>36000</v>
      </c>
      <c r="E62" s="606"/>
      <c r="F62" s="605">
        <f>3000*12</f>
        <v>36000</v>
      </c>
      <c r="G62" s="610"/>
      <c r="H62" s="605">
        <f>3000*12</f>
        <v>36000</v>
      </c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</row>
    <row r="63" spans="1:22" ht="13.95" customHeight="1" x14ac:dyDescent="0.3">
      <c r="A63" s="213"/>
      <c r="B63" s="609" t="s">
        <v>258</v>
      </c>
      <c r="C63" s="604"/>
      <c r="D63" s="608">
        <f>15000*12</f>
        <v>180000</v>
      </c>
      <c r="E63" s="606"/>
      <c r="F63" s="608">
        <f>15000*12</f>
        <v>180000</v>
      </c>
      <c r="G63" s="610"/>
      <c r="H63" s="608">
        <f>15000*12</f>
        <v>180000</v>
      </c>
      <c r="I63" s="208"/>
      <c r="J63" s="208"/>
      <c r="K63" s="208"/>
      <c r="L63" s="208"/>
      <c r="M63" s="208"/>
      <c r="N63" s="208"/>
      <c r="O63" s="208"/>
      <c r="P63" s="208"/>
      <c r="Q63" s="208"/>
      <c r="R63" s="208"/>
      <c r="S63" s="208"/>
      <c r="T63" s="208"/>
      <c r="U63" s="208"/>
      <c r="V63" s="208"/>
    </row>
    <row r="64" spans="1:22" ht="13.95" customHeight="1" x14ac:dyDescent="0.3">
      <c r="A64" s="213"/>
      <c r="B64" s="607" t="s">
        <v>259</v>
      </c>
      <c r="C64" s="604"/>
      <c r="D64" s="608">
        <f>5000*12</f>
        <v>60000</v>
      </c>
      <c r="E64" s="606"/>
      <c r="F64" s="608">
        <f>5000*12</f>
        <v>60000</v>
      </c>
      <c r="G64" s="610"/>
      <c r="H64" s="608">
        <f>5000*12</f>
        <v>60000</v>
      </c>
      <c r="I64" s="208"/>
      <c r="J64" s="208"/>
      <c r="K64" s="208"/>
      <c r="L64" s="208"/>
      <c r="M64" s="208"/>
      <c r="N64" s="208"/>
      <c r="O64" s="208"/>
      <c r="P64" s="208"/>
      <c r="Q64" s="208"/>
      <c r="R64" s="208"/>
      <c r="S64" s="208"/>
      <c r="T64" s="208"/>
      <c r="U64" s="208"/>
      <c r="V64" s="208"/>
    </row>
    <row r="65" spans="1:22" ht="13.95" customHeight="1" x14ac:dyDescent="0.3">
      <c r="A65" s="213"/>
      <c r="B65" s="618" t="s">
        <v>260</v>
      </c>
      <c r="C65" s="604"/>
      <c r="D65" s="608">
        <v>2000</v>
      </c>
      <c r="E65" s="606"/>
      <c r="F65" s="608">
        <v>2000</v>
      </c>
      <c r="G65" s="610"/>
      <c r="H65" s="608">
        <v>2000</v>
      </c>
      <c r="I65" s="208"/>
      <c r="J65" s="208"/>
      <c r="K65" s="208"/>
      <c r="L65" s="208"/>
      <c r="M65" s="208"/>
      <c r="N65" s="208"/>
      <c r="O65" s="208"/>
      <c r="P65" s="208"/>
      <c r="Q65" s="208"/>
      <c r="R65" s="208"/>
      <c r="S65" s="208"/>
      <c r="T65" s="208"/>
      <c r="U65" s="208"/>
      <c r="V65" s="208"/>
    </row>
    <row r="66" spans="1:22" ht="13.95" customHeight="1" x14ac:dyDescent="0.3">
      <c r="A66" s="213"/>
      <c r="B66" s="618" t="s">
        <v>261</v>
      </c>
      <c r="C66" s="604"/>
      <c r="D66" s="608">
        <v>10000</v>
      </c>
      <c r="E66" s="606"/>
      <c r="F66" s="608">
        <v>10000</v>
      </c>
      <c r="G66" s="610"/>
      <c r="H66" s="608">
        <v>10000</v>
      </c>
      <c r="I66" s="208"/>
      <c r="J66" s="208"/>
      <c r="K66" s="208"/>
      <c r="L66" s="208"/>
      <c r="M66" s="208"/>
      <c r="N66" s="208"/>
      <c r="O66" s="208"/>
      <c r="P66" s="208"/>
      <c r="Q66" s="208"/>
      <c r="R66" s="208"/>
      <c r="S66" s="208"/>
      <c r="T66" s="208"/>
      <c r="U66" s="208"/>
      <c r="V66" s="208"/>
    </row>
    <row r="67" spans="1:22" ht="15.75" customHeight="1" thickBot="1" x14ac:dyDescent="0.35">
      <c r="A67" s="213"/>
      <c r="B67" s="626" t="s">
        <v>262</v>
      </c>
      <c r="C67" s="604"/>
      <c r="D67" s="608">
        <v>20000</v>
      </c>
      <c r="E67" s="606"/>
      <c r="F67" s="608">
        <v>20000</v>
      </c>
      <c r="G67" s="610"/>
      <c r="H67" s="608">
        <v>20000</v>
      </c>
      <c r="I67" s="208"/>
      <c r="J67" s="208"/>
      <c r="K67" s="208"/>
      <c r="L67" s="208"/>
      <c r="M67" s="208"/>
      <c r="N67" s="208"/>
      <c r="O67" s="208"/>
      <c r="P67" s="208"/>
      <c r="Q67" s="208"/>
      <c r="R67" s="208"/>
      <c r="S67" s="208"/>
      <c r="T67" s="208"/>
      <c r="U67" s="208"/>
      <c r="V67" s="208"/>
    </row>
    <row r="68" spans="1:22" ht="18" customHeight="1" thickBot="1" x14ac:dyDescent="0.35">
      <c r="A68" s="213"/>
      <c r="B68" s="241" t="s">
        <v>263</v>
      </c>
      <c r="C68" s="237"/>
      <c r="D68" s="246">
        <f>SUM(D62:D67)</f>
        <v>308000</v>
      </c>
      <c r="E68" s="247"/>
      <c r="F68" s="246">
        <f>SUM(F62:F67)</f>
        <v>308000</v>
      </c>
      <c r="G68" s="244"/>
      <c r="H68" s="246">
        <f>SUM(H62:H67)</f>
        <v>308000</v>
      </c>
      <c r="I68" s="208"/>
      <c r="J68" s="208"/>
      <c r="K68" s="208"/>
      <c r="L68" s="208"/>
      <c r="M68" s="208"/>
      <c r="N68" s="208"/>
      <c r="O68" s="208"/>
      <c r="P68" s="208"/>
      <c r="Q68" s="208"/>
      <c r="R68" s="208"/>
      <c r="S68" s="208"/>
      <c r="T68" s="208"/>
      <c r="U68" s="208"/>
      <c r="V68" s="208"/>
    </row>
    <row r="69" spans="1:22" ht="15.75" customHeight="1" thickBot="1" x14ac:dyDescent="0.35">
      <c r="A69" s="208"/>
      <c r="B69" s="624"/>
      <c r="C69" s="614"/>
      <c r="D69" s="615"/>
      <c r="E69" s="616"/>
      <c r="F69" s="616"/>
      <c r="G69" s="616"/>
      <c r="H69" s="615"/>
      <c r="I69" s="208"/>
      <c r="J69" s="208"/>
      <c r="K69" s="208"/>
      <c r="L69" s="208"/>
      <c r="M69" s="208"/>
      <c r="N69" s="208"/>
      <c r="O69" s="208"/>
      <c r="P69" s="208"/>
      <c r="Q69" s="208"/>
      <c r="R69" s="208"/>
      <c r="S69" s="208"/>
      <c r="T69" s="208"/>
      <c r="U69" s="208"/>
      <c r="V69" s="208"/>
    </row>
    <row r="70" spans="1:22" ht="18" customHeight="1" thickBot="1" x14ac:dyDescent="0.35">
      <c r="A70" s="213"/>
      <c r="B70" s="551" t="s">
        <v>264</v>
      </c>
      <c r="C70" s="232"/>
      <c r="D70" s="234"/>
      <c r="E70" s="234"/>
      <c r="F70" s="235"/>
      <c r="G70" s="234"/>
      <c r="H70" s="234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</row>
    <row r="71" spans="1:22" ht="14.1" customHeight="1" x14ac:dyDescent="0.3">
      <c r="A71" s="213"/>
      <c r="B71" s="625" t="s">
        <v>265</v>
      </c>
      <c r="C71" s="604"/>
      <c r="D71" s="605">
        <f>5000+10000</f>
        <v>15000</v>
      </c>
      <c r="E71" s="606"/>
      <c r="F71" s="605">
        <f>5000+10000</f>
        <v>15000</v>
      </c>
      <c r="G71" s="617"/>
      <c r="H71" s="605">
        <f>5000+10000</f>
        <v>15000</v>
      </c>
      <c r="I71" s="208"/>
      <c r="J71" s="208"/>
      <c r="K71" s="208"/>
      <c r="L71" s="208"/>
      <c r="M71" s="208"/>
      <c r="N71" s="208"/>
      <c r="O71" s="208"/>
      <c r="P71" s="208"/>
      <c r="Q71" s="208"/>
      <c r="R71" s="208"/>
      <c r="S71" s="208"/>
      <c r="T71" s="208"/>
      <c r="U71" s="208"/>
      <c r="V71" s="208"/>
    </row>
    <row r="72" spans="1:22" ht="13.95" customHeight="1" x14ac:dyDescent="0.3">
      <c r="A72" s="213"/>
      <c r="B72" s="609" t="s">
        <v>266</v>
      </c>
      <c r="C72" s="604"/>
      <c r="D72" s="608">
        <f>8000*12</f>
        <v>96000</v>
      </c>
      <c r="E72" s="606"/>
      <c r="F72" s="608">
        <f>8000*12</f>
        <v>96000</v>
      </c>
      <c r="G72" s="617"/>
      <c r="H72" s="608">
        <f>8000*12</f>
        <v>96000</v>
      </c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8"/>
      <c r="U72" s="208"/>
      <c r="V72" s="208"/>
    </row>
    <row r="73" spans="1:22" ht="13.95" customHeight="1" x14ac:dyDescent="0.3">
      <c r="A73" s="213"/>
      <c r="B73" s="607" t="s">
        <v>267</v>
      </c>
      <c r="C73" s="604"/>
      <c r="D73" s="608">
        <f>7000*12</f>
        <v>84000</v>
      </c>
      <c r="E73" s="606"/>
      <c r="F73" s="608">
        <f>7000*12</f>
        <v>84000</v>
      </c>
      <c r="G73" s="617"/>
      <c r="H73" s="608">
        <f>7000*12</f>
        <v>84000</v>
      </c>
      <c r="I73" s="208"/>
      <c r="J73" s="208"/>
      <c r="K73" s="208"/>
      <c r="L73" s="208"/>
      <c r="M73" s="208"/>
      <c r="N73" s="208"/>
      <c r="O73" s="208"/>
      <c r="P73" s="208"/>
      <c r="Q73" s="208"/>
      <c r="R73" s="208"/>
      <c r="S73" s="208"/>
      <c r="T73" s="208"/>
      <c r="U73" s="208"/>
      <c r="V73" s="208"/>
    </row>
    <row r="74" spans="1:22" ht="13.95" customHeight="1" x14ac:dyDescent="0.3">
      <c r="A74" s="213"/>
      <c r="B74" s="618" t="s">
        <v>268</v>
      </c>
      <c r="C74" s="604"/>
      <c r="D74" s="608"/>
      <c r="E74" s="606"/>
      <c r="F74" s="608"/>
      <c r="G74" s="617"/>
      <c r="H74" s="608"/>
      <c r="I74" s="208"/>
      <c r="J74" s="208"/>
      <c r="K74" s="208"/>
      <c r="L74" s="208"/>
      <c r="M74" s="208"/>
      <c r="N74" s="208"/>
      <c r="O74" s="208"/>
      <c r="P74" s="208"/>
      <c r="Q74" s="208"/>
      <c r="R74" s="208"/>
      <c r="S74" s="208"/>
      <c r="T74" s="208"/>
      <c r="U74" s="208"/>
      <c r="V74" s="208"/>
    </row>
    <row r="75" spans="1:22" ht="13.95" customHeight="1" x14ac:dyDescent="0.3">
      <c r="A75" s="213"/>
      <c r="B75" s="618" t="s">
        <v>269</v>
      </c>
      <c r="C75" s="604"/>
      <c r="D75" s="608"/>
      <c r="E75" s="606"/>
      <c r="F75" s="608"/>
      <c r="G75" s="617"/>
      <c r="H75" s="608"/>
      <c r="I75" s="208"/>
      <c r="J75" s="208"/>
      <c r="K75" s="208"/>
      <c r="L75" s="208"/>
      <c r="M75" s="208"/>
      <c r="N75" s="208"/>
      <c r="O75" s="208"/>
      <c r="P75" s="208"/>
      <c r="Q75" s="208"/>
      <c r="R75" s="208"/>
      <c r="S75" s="208"/>
      <c r="T75" s="208"/>
      <c r="U75" s="208"/>
      <c r="V75" s="208"/>
    </row>
    <row r="76" spans="1:22" ht="15.75" customHeight="1" thickBot="1" x14ac:dyDescent="0.35">
      <c r="A76" s="213"/>
      <c r="B76" s="626" t="s">
        <v>270</v>
      </c>
      <c r="C76" s="604"/>
      <c r="D76" s="608">
        <v>8000</v>
      </c>
      <c r="E76" s="606"/>
      <c r="F76" s="608">
        <v>8000</v>
      </c>
      <c r="G76" s="617"/>
      <c r="H76" s="608">
        <v>8000</v>
      </c>
      <c r="I76" s="208"/>
      <c r="J76" s="208"/>
      <c r="K76" s="208"/>
      <c r="L76" s="208"/>
      <c r="M76" s="208"/>
      <c r="N76" s="208"/>
      <c r="O76" s="208"/>
      <c r="P76" s="208"/>
      <c r="Q76" s="208"/>
      <c r="R76" s="208"/>
      <c r="S76" s="208"/>
      <c r="T76" s="208"/>
      <c r="U76" s="208"/>
      <c r="V76" s="208"/>
    </row>
    <row r="77" spans="1:22" ht="18" customHeight="1" thickBot="1" x14ac:dyDescent="0.35">
      <c r="A77" s="213"/>
      <c r="B77" s="241" t="s">
        <v>271</v>
      </c>
      <c r="C77" s="237"/>
      <c r="D77" s="238">
        <f>SUM(D71:D76)</f>
        <v>203000</v>
      </c>
      <c r="E77" s="239"/>
      <c r="F77" s="238">
        <f>SUM(F71:F76)</f>
        <v>203000</v>
      </c>
      <c r="G77" s="242"/>
      <c r="H77" s="238">
        <f>SUM(H71:H76)</f>
        <v>203000</v>
      </c>
      <c r="I77" s="208"/>
      <c r="J77" s="208"/>
      <c r="K77" s="208"/>
      <c r="L77" s="208"/>
      <c r="M77" s="208"/>
      <c r="N77" s="208"/>
      <c r="O77" s="208"/>
      <c r="P77" s="208"/>
      <c r="Q77" s="208"/>
      <c r="R77" s="208"/>
      <c r="S77" s="208"/>
      <c r="T77" s="208"/>
      <c r="U77" s="208"/>
      <c r="V77" s="208"/>
    </row>
    <row r="78" spans="1:22" ht="15.75" customHeight="1" thickBot="1" x14ac:dyDescent="0.35">
      <c r="A78" s="208"/>
      <c r="B78" s="624"/>
      <c r="C78" s="614"/>
      <c r="D78" s="615"/>
      <c r="E78" s="616"/>
      <c r="F78" s="615"/>
      <c r="G78" s="616"/>
      <c r="H78" s="615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</row>
    <row r="79" spans="1:22" ht="18" customHeight="1" thickBot="1" x14ac:dyDescent="0.35">
      <c r="A79" s="213"/>
      <c r="B79" s="551" t="s">
        <v>272</v>
      </c>
      <c r="C79" s="232"/>
      <c r="D79" s="235"/>
      <c r="E79" s="234"/>
      <c r="F79" s="234"/>
      <c r="G79" s="234"/>
      <c r="H79" s="234"/>
      <c r="I79" s="208"/>
      <c r="J79" s="208"/>
      <c r="K79" s="208"/>
      <c r="L79" s="208"/>
      <c r="M79" s="208"/>
      <c r="N79" s="208"/>
      <c r="O79" s="208"/>
      <c r="P79" s="208"/>
      <c r="Q79" s="208"/>
      <c r="R79" s="208"/>
      <c r="S79" s="208"/>
      <c r="T79" s="208"/>
      <c r="U79" s="208"/>
      <c r="V79" s="208"/>
    </row>
    <row r="80" spans="1:22" ht="14.1" customHeight="1" x14ac:dyDescent="0.3">
      <c r="A80" s="213"/>
      <c r="B80" s="625" t="s">
        <v>273</v>
      </c>
      <c r="C80" s="604"/>
      <c r="D80" s="621">
        <v>50000</v>
      </c>
      <c r="E80" s="620"/>
      <c r="F80" s="621">
        <v>50000</v>
      </c>
      <c r="G80" s="617"/>
      <c r="H80" s="619"/>
      <c r="I80" s="208"/>
      <c r="J80" s="208"/>
      <c r="K80" s="208"/>
      <c r="L80" s="208"/>
      <c r="M80" s="208"/>
      <c r="N80" s="208"/>
      <c r="O80" s="208"/>
      <c r="P80" s="208"/>
      <c r="Q80" s="208"/>
      <c r="R80" s="208"/>
      <c r="S80" s="208"/>
      <c r="T80" s="208"/>
      <c r="U80" s="208"/>
      <c r="V80" s="208"/>
    </row>
    <row r="81" spans="1:22" ht="13.95" customHeight="1" x14ac:dyDescent="0.3">
      <c r="A81" s="213"/>
      <c r="B81" s="607" t="s">
        <v>274</v>
      </c>
      <c r="C81" s="604"/>
      <c r="D81" s="621">
        <v>300000</v>
      </c>
      <c r="E81" s="620"/>
      <c r="F81" s="622"/>
      <c r="G81" s="617"/>
      <c r="H81" s="622"/>
      <c r="I81" s="208"/>
      <c r="J81" s="208"/>
      <c r="K81" s="208"/>
      <c r="L81" s="208"/>
      <c r="M81" s="208"/>
      <c r="N81" s="208"/>
      <c r="O81" s="208"/>
      <c r="P81" s="208"/>
      <c r="Q81" s="208"/>
      <c r="R81" s="208"/>
      <c r="S81" s="208"/>
      <c r="T81" s="208"/>
      <c r="U81" s="208"/>
      <c r="V81" s="208"/>
    </row>
    <row r="82" spans="1:22" ht="13.95" customHeight="1" x14ac:dyDescent="0.3">
      <c r="A82" s="213"/>
      <c r="B82" s="618" t="s">
        <v>275</v>
      </c>
      <c r="C82" s="604"/>
      <c r="D82" s="621">
        <v>250000</v>
      </c>
      <c r="E82" s="620"/>
      <c r="F82" s="622"/>
      <c r="G82" s="617"/>
      <c r="H82" s="622"/>
      <c r="I82" s="208"/>
      <c r="J82" s="208"/>
      <c r="K82" s="208"/>
      <c r="L82" s="208"/>
      <c r="M82" s="208"/>
      <c r="N82" s="208"/>
      <c r="O82" s="208"/>
      <c r="P82" s="208"/>
      <c r="Q82" s="208"/>
      <c r="R82" s="208"/>
      <c r="S82" s="208"/>
      <c r="T82" s="208"/>
      <c r="U82" s="208"/>
      <c r="V82" s="208"/>
    </row>
    <row r="83" spans="1:22" ht="13.95" customHeight="1" x14ac:dyDescent="0.3">
      <c r="A83" s="213"/>
      <c r="B83" s="618" t="s">
        <v>276</v>
      </c>
      <c r="C83" s="604"/>
      <c r="D83" s="621"/>
      <c r="E83" s="620"/>
      <c r="F83" s="622"/>
      <c r="G83" s="617"/>
      <c r="H83" s="622"/>
      <c r="I83" s="208"/>
      <c r="J83" s="208"/>
      <c r="K83" s="208"/>
      <c r="L83" s="208"/>
      <c r="M83" s="208"/>
      <c r="N83" s="208"/>
      <c r="O83" s="208"/>
      <c r="P83" s="208"/>
      <c r="Q83" s="208"/>
      <c r="R83" s="208"/>
      <c r="S83" s="208"/>
      <c r="T83" s="208"/>
      <c r="U83" s="208"/>
      <c r="V83" s="208"/>
    </row>
    <row r="84" spans="1:22" ht="13.95" customHeight="1" x14ac:dyDescent="0.3">
      <c r="A84" s="213"/>
      <c r="B84" s="618" t="s">
        <v>277</v>
      </c>
      <c r="C84" s="604"/>
      <c r="D84" s="621"/>
      <c r="E84" s="620"/>
      <c r="F84" s="622"/>
      <c r="G84" s="617"/>
      <c r="H84" s="622"/>
      <c r="I84" s="208"/>
      <c r="J84" s="208"/>
      <c r="K84" s="208"/>
      <c r="L84" s="208"/>
      <c r="M84" s="208"/>
      <c r="N84" s="208"/>
      <c r="O84" s="208"/>
      <c r="P84" s="208"/>
      <c r="Q84" s="208"/>
      <c r="R84" s="208"/>
      <c r="S84" s="208"/>
      <c r="T84" s="208"/>
      <c r="U84" s="208"/>
      <c r="V84" s="208"/>
    </row>
    <row r="85" spans="1:22" ht="13.95" customHeight="1" x14ac:dyDescent="0.3">
      <c r="A85" s="213"/>
      <c r="B85" s="618" t="s">
        <v>278</v>
      </c>
      <c r="C85" s="604"/>
      <c r="D85" s="621">
        <f>7500*12</f>
        <v>90000</v>
      </c>
      <c r="E85" s="620"/>
      <c r="F85" s="622">
        <f>7500*12</f>
        <v>90000</v>
      </c>
      <c r="G85" s="617"/>
      <c r="H85" s="622">
        <f>7500*12</f>
        <v>90000</v>
      </c>
      <c r="I85" s="208"/>
      <c r="J85" s="208"/>
      <c r="K85" s="20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</row>
    <row r="86" spans="1:22" ht="15.75" customHeight="1" x14ac:dyDescent="0.3">
      <c r="A86" s="213"/>
      <c r="B86" s="626" t="s">
        <v>279</v>
      </c>
      <c r="C86" s="604"/>
      <c r="D86" s="627">
        <v>60000</v>
      </c>
      <c r="E86" s="620"/>
      <c r="F86" s="623">
        <v>60000</v>
      </c>
      <c r="G86" s="617"/>
      <c r="H86" s="623">
        <v>60000</v>
      </c>
      <c r="I86" s="208"/>
      <c r="J86" s="208"/>
      <c r="K86" s="208"/>
      <c r="L86" s="208"/>
      <c r="M86" s="208"/>
      <c r="N86" s="208"/>
      <c r="O86" s="208"/>
      <c r="P86" s="208"/>
      <c r="Q86" s="208"/>
      <c r="R86" s="208"/>
      <c r="S86" s="208"/>
      <c r="T86" s="208"/>
      <c r="U86" s="208"/>
      <c r="V86" s="208"/>
    </row>
    <row r="87" spans="1:22" ht="18" customHeight="1" x14ac:dyDescent="0.3">
      <c r="A87" s="213"/>
      <c r="B87" s="241" t="s">
        <v>280</v>
      </c>
      <c r="C87" s="237"/>
      <c r="D87" s="248">
        <f>SUM(D80:D86)</f>
        <v>750000</v>
      </c>
      <c r="E87" s="240"/>
      <c r="F87" s="562">
        <f>SUM(F80:F86)</f>
        <v>200000</v>
      </c>
      <c r="G87" s="242"/>
      <c r="H87" s="563">
        <f>SUM(H80:H86)</f>
        <v>150000</v>
      </c>
      <c r="I87" s="230"/>
      <c r="J87" s="208"/>
      <c r="K87" s="208"/>
      <c r="L87" s="208"/>
      <c r="M87" s="208"/>
      <c r="N87" s="208"/>
      <c r="O87" s="208"/>
      <c r="P87" s="208"/>
      <c r="Q87" s="208"/>
      <c r="R87" s="208"/>
      <c r="S87" s="208"/>
      <c r="T87" s="208"/>
      <c r="U87" s="208"/>
      <c r="V87" s="208"/>
    </row>
    <row r="88" spans="1:22" ht="15.75" customHeight="1" x14ac:dyDescent="0.3">
      <c r="A88" s="208"/>
      <c r="B88" s="624"/>
      <c r="C88" s="614"/>
      <c r="D88" s="615"/>
      <c r="E88" s="616"/>
      <c r="F88" s="615"/>
      <c r="G88" s="616"/>
      <c r="H88" s="615"/>
      <c r="I88" s="208"/>
      <c r="J88" s="208"/>
      <c r="K88" s="208"/>
      <c r="L88" s="208"/>
      <c r="M88" s="208"/>
      <c r="N88" s="208"/>
      <c r="O88" s="208"/>
      <c r="P88" s="208"/>
      <c r="Q88" s="208"/>
      <c r="R88" s="208"/>
      <c r="S88" s="208"/>
      <c r="T88" s="208"/>
      <c r="U88" s="208"/>
      <c r="V88" s="208"/>
    </row>
    <row r="89" spans="1:22" ht="18" customHeight="1" x14ac:dyDescent="0.3">
      <c r="A89" s="213"/>
      <c r="B89" s="551" t="s">
        <v>281</v>
      </c>
      <c r="C89" s="232"/>
      <c r="D89" s="235"/>
      <c r="E89" s="234"/>
      <c r="F89" s="234"/>
      <c r="G89" s="234"/>
      <c r="H89" s="234"/>
      <c r="I89" s="208"/>
      <c r="J89" s="208"/>
      <c r="K89" s="208"/>
      <c r="L89" s="208"/>
      <c r="M89" s="208"/>
      <c r="N89" s="208"/>
      <c r="O89" s="208"/>
      <c r="P89" s="208"/>
      <c r="Q89" s="208"/>
      <c r="R89" s="208"/>
      <c r="S89" s="208"/>
      <c r="T89" s="208"/>
      <c r="U89" s="208"/>
      <c r="V89" s="208"/>
    </row>
    <row r="90" spans="1:22" ht="14.1" customHeight="1" x14ac:dyDescent="0.3">
      <c r="A90" s="213"/>
      <c r="B90" s="607" t="s">
        <v>282</v>
      </c>
      <c r="C90" s="604"/>
      <c r="D90" s="621">
        <f>500*2*12</f>
        <v>12000</v>
      </c>
      <c r="E90" s="620"/>
      <c r="F90" s="619">
        <f>500*2*12</f>
        <v>12000</v>
      </c>
      <c r="G90" s="617"/>
      <c r="H90" s="619">
        <f>500*2*12</f>
        <v>12000</v>
      </c>
      <c r="I90" s="208"/>
      <c r="J90" s="208"/>
      <c r="K90" s="208"/>
      <c r="L90" s="208"/>
      <c r="M90" s="208"/>
      <c r="N90" s="208"/>
      <c r="O90" s="208"/>
      <c r="P90" s="208"/>
      <c r="Q90" s="208"/>
      <c r="R90" s="208"/>
      <c r="S90" s="208"/>
      <c r="T90" s="208"/>
      <c r="U90" s="208"/>
      <c r="V90" s="208"/>
    </row>
    <row r="91" spans="1:22" ht="13.95" customHeight="1" x14ac:dyDescent="0.3">
      <c r="A91" s="213"/>
      <c r="B91" s="609" t="s">
        <v>283</v>
      </c>
      <c r="C91" s="604"/>
      <c r="D91" s="621">
        <f>6000*12</f>
        <v>72000</v>
      </c>
      <c r="E91" s="620"/>
      <c r="F91" s="622">
        <f>6000*12</f>
        <v>72000</v>
      </c>
      <c r="G91" s="617"/>
      <c r="H91" s="622">
        <f>6000*12</f>
        <v>72000</v>
      </c>
      <c r="I91" s="208"/>
      <c r="J91" s="208"/>
      <c r="K91" s="208"/>
      <c r="L91" s="208"/>
      <c r="M91" s="208"/>
      <c r="N91" s="208"/>
      <c r="O91" s="208"/>
      <c r="P91" s="208"/>
      <c r="Q91" s="208"/>
      <c r="R91" s="208"/>
      <c r="S91" s="208"/>
      <c r="T91" s="208"/>
      <c r="U91" s="208"/>
      <c r="V91" s="208"/>
    </row>
    <row r="92" spans="1:22" ht="13.95" customHeight="1" x14ac:dyDescent="0.3">
      <c r="A92" s="213"/>
      <c r="B92" s="607" t="s">
        <v>284</v>
      </c>
      <c r="C92" s="604"/>
      <c r="D92" s="621"/>
      <c r="E92" s="620"/>
      <c r="F92" s="622"/>
      <c r="G92" s="617"/>
      <c r="H92" s="622"/>
      <c r="I92" s="208"/>
      <c r="J92" s="208"/>
      <c r="K92" s="208"/>
      <c r="L92" s="208"/>
      <c r="M92" s="208"/>
      <c r="N92" s="208"/>
      <c r="O92" s="208"/>
      <c r="P92" s="208"/>
      <c r="Q92" s="208"/>
      <c r="R92" s="208"/>
      <c r="S92" s="208"/>
      <c r="T92" s="208"/>
      <c r="U92" s="208"/>
      <c r="V92" s="208"/>
    </row>
    <row r="93" spans="1:22" ht="13.95" customHeight="1" x14ac:dyDescent="0.3">
      <c r="A93" s="213"/>
      <c r="B93" s="609" t="s">
        <v>285</v>
      </c>
      <c r="C93" s="604"/>
      <c r="D93" s="621">
        <v>80000</v>
      </c>
      <c r="E93" s="620"/>
      <c r="F93" s="622">
        <v>80000</v>
      </c>
      <c r="G93" s="617"/>
      <c r="H93" s="622">
        <v>80000</v>
      </c>
      <c r="I93" s="208"/>
      <c r="J93" s="208"/>
      <c r="K93" s="208"/>
      <c r="L93" s="208"/>
      <c r="M93" s="208"/>
      <c r="N93" s="208"/>
      <c r="O93" s="208"/>
      <c r="P93" s="208"/>
      <c r="Q93" s="208"/>
      <c r="R93" s="208"/>
      <c r="S93" s="208"/>
      <c r="T93" s="208"/>
      <c r="U93" s="208"/>
      <c r="V93" s="208"/>
    </row>
    <row r="94" spans="1:22" ht="13.95" customHeight="1" x14ac:dyDescent="0.3">
      <c r="A94" s="213"/>
      <c r="B94" s="609" t="s">
        <v>286</v>
      </c>
      <c r="C94" s="604"/>
      <c r="D94" s="621"/>
      <c r="E94" s="620"/>
      <c r="F94" s="622"/>
      <c r="G94" s="617"/>
      <c r="H94" s="622"/>
      <c r="I94" s="208"/>
      <c r="J94" s="208"/>
      <c r="K94" s="208"/>
      <c r="L94" s="208"/>
      <c r="M94" s="208"/>
      <c r="N94" s="208"/>
      <c r="O94" s="208"/>
      <c r="P94" s="208"/>
      <c r="Q94" s="208"/>
      <c r="R94" s="208"/>
      <c r="S94" s="208"/>
      <c r="T94" s="208"/>
      <c r="U94" s="208"/>
      <c r="V94" s="208"/>
    </row>
    <row r="95" spans="1:22" ht="13.95" customHeight="1" x14ac:dyDescent="0.3">
      <c r="A95" s="213"/>
      <c r="B95" s="607" t="s">
        <v>287</v>
      </c>
      <c r="C95" s="604"/>
      <c r="D95" s="621">
        <v>20000</v>
      </c>
      <c r="E95" s="620"/>
      <c r="F95" s="622">
        <v>20000</v>
      </c>
      <c r="G95" s="617"/>
      <c r="H95" s="622">
        <v>20000</v>
      </c>
      <c r="I95" s="208"/>
      <c r="J95" s="208"/>
      <c r="K95" s="208"/>
      <c r="L95" s="208"/>
      <c r="M95" s="208"/>
      <c r="N95" s="208"/>
      <c r="O95" s="208"/>
      <c r="P95" s="208"/>
      <c r="Q95" s="208"/>
      <c r="R95" s="208"/>
      <c r="S95" s="208"/>
      <c r="T95" s="208"/>
      <c r="U95" s="208"/>
      <c r="V95" s="208"/>
    </row>
    <row r="96" spans="1:22" ht="15.75" customHeight="1" x14ac:dyDescent="0.3">
      <c r="A96" s="213"/>
      <c r="B96" s="626" t="s">
        <v>288</v>
      </c>
      <c r="C96" s="604"/>
      <c r="D96" s="627"/>
      <c r="E96" s="620"/>
      <c r="F96" s="623"/>
      <c r="G96" s="617"/>
      <c r="H96" s="623"/>
      <c r="I96" s="208"/>
      <c r="J96" s="208"/>
      <c r="K96" s="208"/>
      <c r="L96" s="208"/>
      <c r="M96" s="208"/>
      <c r="N96" s="208"/>
      <c r="O96" s="208"/>
      <c r="P96" s="208"/>
      <c r="Q96" s="208"/>
      <c r="R96" s="208"/>
      <c r="S96" s="208"/>
      <c r="T96" s="208"/>
      <c r="U96" s="208"/>
      <c r="V96" s="208"/>
    </row>
    <row r="97" spans="1:22" ht="18" customHeight="1" x14ac:dyDescent="0.3">
      <c r="A97" s="213"/>
      <c r="B97" s="241" t="s">
        <v>289</v>
      </c>
      <c r="C97" s="237"/>
      <c r="D97" s="248">
        <f>SUM(D90:D96)</f>
        <v>184000</v>
      </c>
      <c r="E97" s="240"/>
      <c r="F97" s="249">
        <f>SUM(F90:F96)</f>
        <v>184000</v>
      </c>
      <c r="G97" s="444"/>
      <c r="H97" s="563">
        <f>SUM(H90:H96)</f>
        <v>184000</v>
      </c>
      <c r="I97" s="230"/>
      <c r="J97" s="208"/>
      <c r="K97" s="208"/>
      <c r="L97" s="208"/>
      <c r="M97" s="208"/>
      <c r="N97" s="208"/>
      <c r="O97" s="208"/>
      <c r="P97" s="208"/>
      <c r="Q97" s="208"/>
      <c r="R97" s="208"/>
      <c r="S97" s="208"/>
      <c r="T97" s="208"/>
      <c r="U97" s="208"/>
      <c r="V97" s="208"/>
    </row>
    <row r="98" spans="1:22" ht="15.75" customHeight="1" x14ac:dyDescent="0.3">
      <c r="A98" s="208"/>
      <c r="B98" s="624"/>
      <c r="C98" s="614"/>
      <c r="D98" s="615"/>
      <c r="E98" s="616"/>
      <c r="F98" s="615"/>
      <c r="G98" s="616"/>
      <c r="H98" s="615"/>
      <c r="I98" s="208"/>
      <c r="J98" s="208"/>
      <c r="K98" s="208"/>
      <c r="L98" s="208"/>
      <c r="M98" s="208"/>
      <c r="N98" s="208"/>
      <c r="O98" s="208"/>
      <c r="P98" s="208"/>
      <c r="Q98" s="208"/>
      <c r="R98" s="208"/>
      <c r="S98" s="208"/>
      <c r="T98" s="208"/>
      <c r="U98" s="208"/>
      <c r="V98" s="208"/>
    </row>
    <row r="99" spans="1:22" ht="18" customHeight="1" x14ac:dyDescent="0.3">
      <c r="A99" s="213"/>
      <c r="B99" s="551" t="s">
        <v>290</v>
      </c>
      <c r="C99" s="232"/>
      <c r="D99" s="235"/>
      <c r="E99" s="234"/>
      <c r="F99" s="234"/>
      <c r="G99" s="234"/>
      <c r="H99" s="234"/>
      <c r="I99" s="208"/>
      <c r="J99" s="208"/>
      <c r="K99" s="208"/>
      <c r="L99" s="208"/>
      <c r="M99" s="208"/>
      <c r="N99" s="208"/>
      <c r="O99" s="208"/>
      <c r="P99" s="208"/>
      <c r="Q99" s="208"/>
      <c r="R99" s="208"/>
      <c r="S99" s="208"/>
      <c r="T99" s="208"/>
      <c r="U99" s="208"/>
      <c r="V99" s="208"/>
    </row>
    <row r="100" spans="1:22" ht="14.1" customHeight="1" x14ac:dyDescent="0.3">
      <c r="A100" s="213"/>
      <c r="B100" s="625" t="s">
        <v>291</v>
      </c>
      <c r="C100" s="604"/>
      <c r="D100" s="621">
        <v>400000</v>
      </c>
      <c r="E100" s="620"/>
      <c r="F100" s="619">
        <v>400000</v>
      </c>
      <c r="G100" s="617"/>
      <c r="H100" s="619">
        <v>400000</v>
      </c>
      <c r="I100" s="208"/>
      <c r="J100" s="208"/>
      <c r="K100" s="208"/>
      <c r="L100" s="208"/>
      <c r="M100" s="208"/>
      <c r="N100" s="208"/>
      <c r="O100" s="208"/>
      <c r="P100" s="208"/>
      <c r="Q100" s="208"/>
      <c r="R100" s="208"/>
      <c r="S100" s="208"/>
      <c r="T100" s="208"/>
      <c r="U100" s="208"/>
      <c r="V100" s="208"/>
    </row>
    <row r="101" spans="1:22" ht="13.95" customHeight="1" x14ac:dyDescent="0.3">
      <c r="A101" s="213"/>
      <c r="B101" s="607" t="s">
        <v>292</v>
      </c>
      <c r="C101" s="604"/>
      <c r="D101" s="621"/>
      <c r="E101" s="620"/>
      <c r="F101" s="622"/>
      <c r="G101" s="617"/>
      <c r="H101" s="622"/>
      <c r="I101" s="208"/>
      <c r="J101" s="208"/>
      <c r="K101" s="208"/>
      <c r="L101" s="208"/>
      <c r="M101" s="208"/>
      <c r="N101" s="208"/>
      <c r="O101" s="208"/>
      <c r="P101" s="208"/>
      <c r="Q101" s="208"/>
      <c r="R101" s="208"/>
      <c r="S101" s="208"/>
      <c r="T101" s="208"/>
      <c r="U101" s="208"/>
      <c r="V101" s="208"/>
    </row>
    <row r="102" spans="1:22" ht="13.95" customHeight="1" x14ac:dyDescent="0.3">
      <c r="A102" s="213"/>
      <c r="B102" s="618" t="s">
        <v>293</v>
      </c>
      <c r="C102" s="604"/>
      <c r="D102" s="621">
        <f>48000+20000</f>
        <v>68000</v>
      </c>
      <c r="E102" s="620"/>
      <c r="F102" s="622">
        <f>48000+20000</f>
        <v>68000</v>
      </c>
      <c r="G102" s="617"/>
      <c r="H102" s="622">
        <f>48000+20000</f>
        <v>68000</v>
      </c>
      <c r="I102" s="208"/>
      <c r="J102" s="208"/>
      <c r="K102" s="208"/>
      <c r="L102" s="208"/>
      <c r="M102" s="208"/>
      <c r="N102" s="208"/>
      <c r="O102" s="208"/>
      <c r="P102" s="208"/>
      <c r="Q102" s="208"/>
      <c r="R102" s="208"/>
      <c r="S102" s="208"/>
      <c r="T102" s="208"/>
      <c r="U102" s="208"/>
      <c r="V102" s="208"/>
    </row>
    <row r="103" spans="1:22" ht="15.75" customHeight="1" x14ac:dyDescent="0.3">
      <c r="A103" s="213"/>
      <c r="B103" s="618" t="s">
        <v>294</v>
      </c>
      <c r="C103" s="604"/>
      <c r="D103" s="621"/>
      <c r="E103" s="620"/>
      <c r="F103" s="622"/>
      <c r="G103" s="617"/>
      <c r="H103" s="622"/>
      <c r="I103" s="208"/>
      <c r="J103" s="208"/>
      <c r="K103" s="208"/>
      <c r="L103" s="208"/>
      <c r="M103" s="208"/>
      <c r="N103" s="208"/>
      <c r="O103" s="208"/>
      <c r="P103" s="208"/>
      <c r="Q103" s="208"/>
      <c r="R103" s="208"/>
      <c r="S103" s="208"/>
      <c r="T103" s="208"/>
      <c r="U103" s="208"/>
      <c r="V103" s="208"/>
    </row>
    <row r="104" spans="1:22" ht="13.95" customHeight="1" x14ac:dyDescent="0.3">
      <c r="A104" s="213"/>
      <c r="B104" s="609" t="s">
        <v>295</v>
      </c>
      <c r="C104" s="604"/>
      <c r="D104" s="621"/>
      <c r="E104" s="620"/>
      <c r="F104" s="622"/>
      <c r="G104" s="617"/>
      <c r="H104" s="622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</row>
    <row r="105" spans="1:22" ht="13.95" customHeight="1" x14ac:dyDescent="0.3">
      <c r="A105" s="213"/>
      <c r="B105" s="609" t="s">
        <v>296</v>
      </c>
      <c r="C105" s="604"/>
      <c r="D105" s="621"/>
      <c r="E105" s="620"/>
      <c r="F105" s="622"/>
      <c r="G105" s="617"/>
      <c r="H105" s="622"/>
      <c r="I105" s="208"/>
      <c r="J105" s="208"/>
      <c r="K105" s="208"/>
      <c r="L105" s="208"/>
      <c r="M105" s="208"/>
      <c r="N105" s="208"/>
      <c r="O105" s="208"/>
      <c r="P105" s="208"/>
      <c r="Q105" s="208"/>
      <c r="R105" s="208"/>
      <c r="S105" s="208"/>
      <c r="T105" s="208"/>
      <c r="U105" s="208"/>
      <c r="V105" s="208"/>
    </row>
    <row r="106" spans="1:22" ht="15.75" customHeight="1" x14ac:dyDescent="0.3">
      <c r="A106" s="213"/>
      <c r="B106" s="612" t="s">
        <v>297</v>
      </c>
      <c r="C106" s="604"/>
      <c r="D106" s="627">
        <f>3000*12</f>
        <v>36000</v>
      </c>
      <c r="E106" s="620"/>
      <c r="F106" s="623">
        <f>3000*12</f>
        <v>36000</v>
      </c>
      <c r="G106" s="617"/>
      <c r="H106" s="623">
        <f>3000*12</f>
        <v>36000</v>
      </c>
      <c r="I106" s="208"/>
      <c r="J106" s="208"/>
      <c r="K106" s="208"/>
      <c r="L106" s="208"/>
      <c r="M106" s="208"/>
      <c r="N106" s="208"/>
      <c r="O106" s="208"/>
      <c r="P106" s="208"/>
      <c r="Q106" s="208"/>
      <c r="R106" s="208"/>
      <c r="S106" s="208"/>
      <c r="T106" s="208"/>
      <c r="U106" s="208"/>
      <c r="V106" s="208"/>
    </row>
    <row r="107" spans="1:22" ht="18" customHeight="1" x14ac:dyDescent="0.3">
      <c r="A107" s="213"/>
      <c r="B107" s="241" t="s">
        <v>298</v>
      </c>
      <c r="C107" s="237"/>
      <c r="D107" s="249">
        <f>SUM(D100:D106)</f>
        <v>504000</v>
      </c>
      <c r="E107" s="240"/>
      <c r="F107" s="249">
        <f>SUM(F100:F106)</f>
        <v>504000</v>
      </c>
      <c r="G107" s="251"/>
      <c r="H107" s="249">
        <f>SUM(H100:H106)</f>
        <v>504000</v>
      </c>
      <c r="I107" s="230"/>
      <c r="J107" s="208"/>
      <c r="K107" s="208"/>
      <c r="L107" s="208"/>
      <c r="M107" s="208"/>
      <c r="N107" s="208"/>
      <c r="O107" s="208"/>
      <c r="P107" s="208"/>
      <c r="Q107" s="208"/>
      <c r="R107" s="208"/>
      <c r="S107" s="208"/>
      <c r="T107" s="208"/>
      <c r="U107" s="208"/>
      <c r="V107" s="208"/>
    </row>
    <row r="108" spans="1:22" ht="15.75" customHeight="1" thickBot="1" x14ac:dyDescent="0.35">
      <c r="A108" s="208"/>
      <c r="B108" s="614"/>
      <c r="C108" s="614"/>
      <c r="D108" s="615"/>
      <c r="E108" s="616"/>
      <c r="F108" s="615"/>
      <c r="G108" s="616"/>
      <c r="H108" s="615"/>
      <c r="I108" s="208"/>
      <c r="J108" s="208"/>
      <c r="K108" s="208"/>
      <c r="L108" s="208"/>
      <c r="M108" s="208"/>
      <c r="N108" s="208"/>
      <c r="O108" s="208"/>
      <c r="P108" s="208"/>
      <c r="Q108" s="208"/>
      <c r="R108" s="208"/>
      <c r="S108" s="208"/>
      <c r="T108" s="208"/>
      <c r="U108" s="208"/>
      <c r="V108" s="208"/>
    </row>
    <row r="109" spans="1:22" ht="18" customHeight="1" thickBot="1" x14ac:dyDescent="0.35">
      <c r="A109" s="213"/>
      <c r="B109" s="551" t="s">
        <v>299</v>
      </c>
      <c r="C109" s="232"/>
      <c r="D109" s="234"/>
      <c r="E109" s="234"/>
      <c r="F109" s="235"/>
      <c r="G109" s="234"/>
      <c r="H109" s="234"/>
      <c r="I109" s="208"/>
      <c r="J109" s="208"/>
      <c r="K109" s="208"/>
      <c r="L109" s="208"/>
      <c r="M109" s="208"/>
      <c r="N109" s="208"/>
      <c r="O109" s="208"/>
      <c r="P109" s="208"/>
      <c r="Q109" s="208"/>
      <c r="R109" s="208"/>
      <c r="S109" s="208"/>
      <c r="T109" s="208"/>
      <c r="U109" s="208"/>
      <c r="V109" s="208"/>
    </row>
    <row r="110" spans="1:22" ht="14.1" customHeight="1" x14ac:dyDescent="0.3">
      <c r="A110" s="213"/>
      <c r="B110" s="618" t="s">
        <v>300</v>
      </c>
      <c r="C110" s="604"/>
      <c r="D110" s="605">
        <f>120550+120550+4574</f>
        <v>245674</v>
      </c>
      <c r="E110" s="606"/>
      <c r="F110" s="605"/>
      <c r="G110" s="617"/>
      <c r="H110" s="605"/>
      <c r="I110" s="208"/>
      <c r="J110" s="208"/>
      <c r="K110" s="208"/>
      <c r="L110" s="208"/>
      <c r="M110" s="208"/>
      <c r="N110" s="208"/>
      <c r="O110" s="208"/>
      <c r="P110" s="208"/>
      <c r="Q110" s="208"/>
      <c r="R110" s="208"/>
      <c r="S110" s="208"/>
      <c r="T110" s="208"/>
      <c r="U110" s="208"/>
      <c r="V110" s="208"/>
    </row>
    <row r="111" spans="1:22" ht="13.95" customHeight="1" x14ac:dyDescent="0.3">
      <c r="A111" s="213"/>
      <c r="B111" s="618" t="s">
        <v>301</v>
      </c>
      <c r="C111" s="604"/>
      <c r="D111" s="608">
        <v>50000</v>
      </c>
      <c r="E111" s="606"/>
      <c r="F111" s="608">
        <v>50000</v>
      </c>
      <c r="G111" s="617"/>
      <c r="H111" s="608">
        <v>50000</v>
      </c>
      <c r="I111" s="208"/>
      <c r="J111" s="208"/>
      <c r="K111" s="208"/>
      <c r="L111" s="208"/>
      <c r="M111" s="208"/>
      <c r="N111" s="208"/>
      <c r="O111" s="208"/>
      <c r="P111" s="208"/>
      <c r="Q111" s="208"/>
      <c r="R111" s="208"/>
      <c r="S111" s="208"/>
      <c r="T111" s="208"/>
      <c r="U111" s="208"/>
      <c r="V111" s="208"/>
    </row>
    <row r="112" spans="1:22" ht="13.95" customHeight="1" x14ac:dyDescent="0.3">
      <c r="A112" s="213"/>
      <c r="B112" s="252" t="s">
        <v>302</v>
      </c>
      <c r="C112" s="628"/>
      <c r="D112" s="608"/>
      <c r="E112" s="606"/>
      <c r="F112" s="608"/>
      <c r="G112" s="617"/>
      <c r="H112" s="608"/>
      <c r="I112" s="208"/>
      <c r="J112" s="208"/>
      <c r="K112" s="208"/>
      <c r="L112" s="208"/>
      <c r="M112" s="208"/>
      <c r="N112" s="208"/>
      <c r="O112" s="208"/>
      <c r="P112" s="208"/>
      <c r="Q112" s="208"/>
      <c r="R112" s="208"/>
      <c r="S112" s="208"/>
      <c r="T112" s="208"/>
      <c r="U112" s="208"/>
      <c r="V112" s="208"/>
    </row>
    <row r="113" spans="1:22" ht="13.95" customHeight="1" x14ac:dyDescent="0.3">
      <c r="A113" s="213"/>
      <c r="B113" s="253" t="s">
        <v>303</v>
      </c>
      <c r="C113" s="628"/>
      <c r="D113" s="608"/>
      <c r="E113" s="606"/>
      <c r="F113" s="608"/>
      <c r="G113" s="617"/>
      <c r="H113" s="608"/>
      <c r="I113" s="208"/>
      <c r="J113" s="208"/>
      <c r="K113" s="208"/>
      <c r="L113" s="208"/>
      <c r="M113" s="208"/>
      <c r="N113" s="208"/>
      <c r="O113" s="208"/>
      <c r="P113" s="208"/>
      <c r="Q113" s="208"/>
      <c r="R113" s="208"/>
      <c r="S113" s="208"/>
      <c r="T113" s="208"/>
      <c r="U113" s="208"/>
      <c r="V113" s="208"/>
    </row>
    <row r="114" spans="1:22" ht="13.95" customHeight="1" x14ac:dyDescent="0.3">
      <c r="A114" s="213"/>
      <c r="B114" s="254" t="s">
        <v>304</v>
      </c>
      <c r="C114" s="628"/>
      <c r="D114" s="608">
        <v>20000</v>
      </c>
      <c r="E114" s="606"/>
      <c r="F114" s="608">
        <v>20000</v>
      </c>
      <c r="G114" s="617"/>
      <c r="H114" s="608">
        <v>20000</v>
      </c>
      <c r="I114" s="208"/>
      <c r="J114" s="208"/>
      <c r="K114" s="208"/>
      <c r="L114" s="208"/>
      <c r="M114" s="208"/>
      <c r="N114" s="208"/>
      <c r="O114" s="208"/>
      <c r="P114" s="208"/>
      <c r="Q114" s="208"/>
      <c r="R114" s="208"/>
      <c r="S114" s="208"/>
      <c r="T114" s="208"/>
      <c r="U114" s="208"/>
      <c r="V114" s="208"/>
    </row>
    <row r="115" spans="1:22" ht="13.95" customHeight="1" x14ac:dyDescent="0.3">
      <c r="A115" s="213"/>
      <c r="B115" s="252" t="s">
        <v>305</v>
      </c>
      <c r="C115" s="628"/>
      <c r="D115" s="608"/>
      <c r="E115" s="606"/>
      <c r="F115" s="608"/>
      <c r="G115" s="617"/>
      <c r="H115" s="608"/>
      <c r="I115" s="208"/>
      <c r="J115" s="208"/>
      <c r="K115" s="208"/>
      <c r="L115" s="208"/>
      <c r="M115" s="208"/>
      <c r="N115" s="208"/>
      <c r="O115" s="208"/>
      <c r="P115" s="208"/>
      <c r="Q115" s="208"/>
      <c r="R115" s="208"/>
      <c r="S115" s="208"/>
      <c r="T115" s="208"/>
      <c r="U115" s="208"/>
      <c r="V115" s="208"/>
    </row>
    <row r="116" spans="1:22" ht="16.5" customHeight="1" x14ac:dyDescent="0.3">
      <c r="A116" s="213"/>
      <c r="B116" s="252" t="s">
        <v>306</v>
      </c>
      <c r="C116" s="628"/>
      <c r="D116" s="608"/>
      <c r="E116" s="606"/>
      <c r="F116" s="608"/>
      <c r="G116" s="617"/>
      <c r="H116" s="608"/>
      <c r="I116" s="208"/>
      <c r="J116" s="208"/>
      <c r="K116" s="208"/>
      <c r="L116" s="208"/>
      <c r="M116" s="208"/>
      <c r="N116" s="208"/>
      <c r="O116" s="208"/>
      <c r="P116" s="208"/>
      <c r="Q116" s="208"/>
      <c r="R116" s="208"/>
      <c r="S116" s="208"/>
      <c r="T116" s="208"/>
      <c r="U116" s="208"/>
      <c r="V116" s="208"/>
    </row>
    <row r="117" spans="1:22" ht="15.75" customHeight="1" thickBot="1" x14ac:dyDescent="0.35">
      <c r="A117" s="213"/>
      <c r="B117" s="255" t="s">
        <v>307</v>
      </c>
      <c r="C117" s="628"/>
      <c r="D117" s="613"/>
      <c r="E117" s="606"/>
      <c r="F117" s="613"/>
      <c r="G117" s="617"/>
      <c r="H117" s="613"/>
      <c r="I117" s="208"/>
      <c r="J117" s="208"/>
      <c r="K117" s="208"/>
      <c r="L117" s="208"/>
      <c r="M117" s="208"/>
      <c r="N117" s="208"/>
      <c r="O117" s="208"/>
      <c r="P117" s="208"/>
      <c r="Q117" s="208"/>
      <c r="R117" s="208"/>
      <c r="S117" s="208"/>
      <c r="T117" s="208"/>
      <c r="U117" s="208"/>
      <c r="V117" s="208"/>
    </row>
    <row r="118" spans="1:22" ht="18" customHeight="1" thickBot="1" x14ac:dyDescent="0.35">
      <c r="A118" s="213"/>
      <c r="B118" s="241" t="s">
        <v>308</v>
      </c>
      <c r="C118" s="237"/>
      <c r="D118" s="256">
        <f>SUM(D110:D117)</f>
        <v>315674</v>
      </c>
      <c r="E118" s="239"/>
      <c r="F118" s="256">
        <f>SUM(F110:F117)</f>
        <v>70000</v>
      </c>
      <c r="G118" s="242"/>
      <c r="H118" s="256">
        <f>SUM(H110:H117)</f>
        <v>70000</v>
      </c>
      <c r="I118" s="208"/>
      <c r="J118" s="208"/>
      <c r="K118" s="208"/>
      <c r="L118" s="208"/>
      <c r="M118" s="208"/>
      <c r="N118" s="208"/>
      <c r="O118" s="208"/>
      <c r="P118" s="208"/>
      <c r="Q118" s="208"/>
      <c r="R118" s="208"/>
      <c r="S118" s="208"/>
      <c r="T118" s="208"/>
      <c r="U118" s="208"/>
      <c r="V118" s="208"/>
    </row>
    <row r="119" spans="1:22" ht="15.75" customHeight="1" thickBot="1" x14ac:dyDescent="0.35">
      <c r="A119" s="208"/>
      <c r="B119" s="257"/>
      <c r="C119" s="629"/>
      <c r="D119" s="231"/>
      <c r="E119" s="208"/>
      <c r="F119" s="208"/>
      <c r="G119" s="208"/>
      <c r="H119" s="208"/>
      <c r="I119" s="208"/>
      <c r="J119" s="208"/>
      <c r="K119" s="208"/>
      <c r="L119" s="208"/>
      <c r="M119" s="208"/>
      <c r="N119" s="208"/>
      <c r="O119" s="208"/>
      <c r="P119" s="208"/>
      <c r="Q119" s="208"/>
      <c r="R119" s="208"/>
      <c r="S119" s="208"/>
      <c r="T119" s="208"/>
      <c r="U119" s="208"/>
      <c r="V119" s="208"/>
    </row>
    <row r="120" spans="1:22" ht="18" customHeight="1" thickBot="1" x14ac:dyDescent="0.35">
      <c r="A120" s="213"/>
      <c r="B120" s="551" t="s">
        <v>309</v>
      </c>
      <c r="C120" s="232"/>
      <c r="D120" s="234"/>
      <c r="E120" s="234"/>
      <c r="F120" s="235"/>
      <c r="G120" s="234"/>
      <c r="H120" s="234"/>
      <c r="I120" s="208"/>
      <c r="J120" s="208"/>
      <c r="K120" s="208"/>
      <c r="L120" s="208"/>
      <c r="M120" s="208"/>
      <c r="N120" s="208"/>
      <c r="O120" s="208"/>
      <c r="P120" s="208"/>
      <c r="Q120" s="208"/>
      <c r="R120" s="208"/>
      <c r="S120" s="208"/>
      <c r="T120" s="208"/>
      <c r="U120" s="208"/>
      <c r="V120" s="208"/>
    </row>
    <row r="121" spans="1:22" ht="14.1" customHeight="1" x14ac:dyDescent="0.3">
      <c r="A121" s="213"/>
      <c r="B121" s="618" t="s">
        <v>310</v>
      </c>
      <c r="C121" s="604"/>
      <c r="D121" s="605"/>
      <c r="E121" s="606"/>
      <c r="F121" s="619"/>
      <c r="G121" s="617"/>
      <c r="H121" s="619"/>
      <c r="I121" s="208"/>
      <c r="J121" s="208"/>
      <c r="K121" s="208"/>
      <c r="L121" s="208"/>
      <c r="M121" s="208"/>
      <c r="N121" s="208"/>
      <c r="O121" s="208"/>
      <c r="P121" s="208"/>
      <c r="Q121" s="208"/>
      <c r="R121" s="208"/>
      <c r="S121" s="208"/>
      <c r="T121" s="208"/>
      <c r="U121" s="208"/>
      <c r="V121" s="208"/>
    </row>
    <row r="122" spans="1:22" ht="13.95" customHeight="1" x14ac:dyDescent="0.3">
      <c r="A122" s="213"/>
      <c r="B122" s="618" t="s">
        <v>311</v>
      </c>
      <c r="C122" s="604"/>
      <c r="D122" s="608">
        <f>47440*12</f>
        <v>569280</v>
      </c>
      <c r="E122" s="606"/>
      <c r="F122" s="622"/>
      <c r="G122" s="617"/>
      <c r="H122" s="622"/>
      <c r="I122" s="208"/>
      <c r="J122" s="208"/>
      <c r="K122" s="208"/>
      <c r="L122" s="208"/>
      <c r="M122" s="208"/>
      <c r="N122" s="208"/>
      <c r="O122" s="208"/>
      <c r="P122" s="208"/>
      <c r="Q122" s="208"/>
      <c r="R122" s="208"/>
      <c r="S122" s="208"/>
      <c r="T122" s="208"/>
      <c r="U122" s="208"/>
      <c r="V122" s="208"/>
    </row>
    <row r="123" spans="1:22" ht="13.95" customHeight="1" x14ac:dyDescent="0.3">
      <c r="A123" s="213"/>
      <c r="B123" s="433" t="s">
        <v>312</v>
      </c>
      <c r="C123" s="628"/>
      <c r="D123" s="608"/>
      <c r="E123" s="606"/>
      <c r="F123" s="622"/>
      <c r="G123" s="617"/>
      <c r="H123" s="622"/>
      <c r="I123" s="208"/>
      <c r="J123" s="208"/>
      <c r="K123" s="208"/>
      <c r="L123" s="208"/>
      <c r="M123" s="208"/>
      <c r="N123" s="208"/>
      <c r="O123" s="208"/>
      <c r="P123" s="208"/>
      <c r="Q123" s="208"/>
      <c r="R123" s="208"/>
      <c r="S123" s="208"/>
      <c r="T123" s="208"/>
      <c r="U123" s="208"/>
      <c r="V123" s="208"/>
    </row>
    <row r="124" spans="1:22" ht="15.75" customHeight="1" thickBot="1" x14ac:dyDescent="0.35">
      <c r="A124" s="213"/>
      <c r="B124" s="253" t="s">
        <v>313</v>
      </c>
      <c r="C124" s="628"/>
      <c r="D124" s="613"/>
      <c r="E124" s="606"/>
      <c r="F124" s="623"/>
      <c r="G124" s="617"/>
      <c r="H124" s="623"/>
      <c r="I124" s="208"/>
      <c r="J124" s="208"/>
      <c r="K124" s="208"/>
      <c r="L124" s="208"/>
      <c r="M124" s="208"/>
      <c r="N124" s="208"/>
      <c r="O124" s="208"/>
      <c r="P124" s="208"/>
      <c r="Q124" s="208"/>
      <c r="R124" s="208"/>
      <c r="S124" s="208"/>
      <c r="T124" s="208"/>
      <c r="U124" s="208"/>
      <c r="V124" s="208"/>
    </row>
    <row r="125" spans="1:22" ht="18" customHeight="1" thickBot="1" x14ac:dyDescent="0.35">
      <c r="A125" s="208"/>
      <c r="B125" s="236" t="s">
        <v>314</v>
      </c>
      <c r="C125" s="237"/>
      <c r="D125" s="256">
        <f>SUM(D121:D124)</f>
        <v>569280</v>
      </c>
      <c r="E125" s="239"/>
      <c r="F125" s="250">
        <f>SUM(F121:F124)</f>
        <v>0</v>
      </c>
      <c r="G125" s="242"/>
      <c r="H125" s="250">
        <f>SUM(H121:H124)</f>
        <v>0</v>
      </c>
      <c r="I125" s="208"/>
      <c r="J125" s="208"/>
      <c r="K125" s="208"/>
      <c r="L125" s="208"/>
      <c r="M125" s="208"/>
      <c r="N125" s="208"/>
      <c r="O125" s="208"/>
      <c r="P125" s="208"/>
      <c r="Q125" s="208"/>
      <c r="R125" s="208"/>
      <c r="S125" s="208"/>
      <c r="T125" s="208"/>
      <c r="U125" s="208"/>
      <c r="V125" s="208"/>
    </row>
    <row r="126" spans="1:22" ht="17.25" customHeight="1" x14ac:dyDescent="0.3">
      <c r="A126" s="208"/>
      <c r="B126" s="258"/>
      <c r="C126" s="259"/>
      <c r="D126" s="260"/>
      <c r="E126" s="242"/>
      <c r="F126" s="260"/>
      <c r="G126" s="242"/>
      <c r="H126" s="260"/>
      <c r="I126" s="208"/>
      <c r="J126" s="208"/>
      <c r="K126" s="208"/>
      <c r="L126" s="208"/>
      <c r="M126" s="208"/>
      <c r="N126" s="208"/>
      <c r="O126" s="208"/>
      <c r="P126" s="208"/>
      <c r="Q126" s="208"/>
      <c r="R126" s="208"/>
      <c r="S126" s="208"/>
      <c r="T126" s="208"/>
      <c r="U126" s="208"/>
      <c r="V126" s="208"/>
    </row>
    <row r="127" spans="1:22" ht="17.25" customHeight="1" thickBot="1" x14ac:dyDescent="0.35">
      <c r="A127" s="208"/>
      <c r="B127" s="208"/>
      <c r="C127" s="208"/>
      <c r="D127" s="208"/>
      <c r="E127" s="208"/>
      <c r="F127" s="208"/>
      <c r="G127" s="208"/>
      <c r="H127" s="208"/>
      <c r="I127" s="208"/>
      <c r="J127" s="208"/>
      <c r="K127" s="208"/>
      <c r="L127" s="208"/>
      <c r="M127" s="208"/>
      <c r="N127" s="208"/>
      <c r="O127" s="208"/>
      <c r="P127" s="208"/>
      <c r="Q127" s="208"/>
      <c r="R127" s="208"/>
      <c r="S127" s="208"/>
      <c r="T127" s="208"/>
      <c r="U127" s="208"/>
      <c r="V127" s="208"/>
    </row>
    <row r="128" spans="1:22" ht="19.5" customHeight="1" thickBot="1" x14ac:dyDescent="0.35">
      <c r="A128" s="208"/>
      <c r="B128" s="261" t="s">
        <v>315</v>
      </c>
      <c r="C128" s="208"/>
      <c r="D128" s="262" t="s">
        <v>225</v>
      </c>
      <c r="E128" s="263"/>
      <c r="F128" s="264" t="s">
        <v>226</v>
      </c>
      <c r="G128" s="265"/>
      <c r="H128" s="262" t="s">
        <v>227</v>
      </c>
      <c r="I128" s="266"/>
      <c r="J128" s="482" t="s">
        <v>214</v>
      </c>
      <c r="K128" s="208"/>
      <c r="L128" s="208"/>
      <c r="M128" s="208"/>
      <c r="N128" s="208"/>
      <c r="O128" s="208"/>
      <c r="P128" s="208"/>
      <c r="Q128" s="208"/>
      <c r="R128" s="208"/>
      <c r="S128" s="208"/>
      <c r="T128" s="208"/>
      <c r="U128" s="208"/>
      <c r="V128" s="208"/>
    </row>
    <row r="129" spans="1:26" ht="15" customHeight="1" x14ac:dyDescent="0.3">
      <c r="A129" s="213"/>
      <c r="B129" s="267" t="s">
        <v>316</v>
      </c>
      <c r="C129" s="208"/>
      <c r="D129" s="268">
        <f>D44</f>
        <v>372229</v>
      </c>
      <c r="E129" s="269"/>
      <c r="F129" s="268">
        <f>F44</f>
        <v>372229</v>
      </c>
      <c r="G129" s="269"/>
      <c r="H129" s="268">
        <f>H44</f>
        <v>372229</v>
      </c>
      <c r="I129" s="208"/>
      <c r="J129" s="483">
        <v>0.08</v>
      </c>
      <c r="K129" s="208"/>
      <c r="L129" s="208"/>
      <c r="M129" s="208"/>
      <c r="N129" s="208"/>
      <c r="O129" s="208"/>
      <c r="P129" s="208"/>
      <c r="Q129" s="208"/>
      <c r="R129" s="208"/>
      <c r="S129" s="208"/>
      <c r="T129" s="208"/>
      <c r="U129" s="208"/>
      <c r="V129" s="208"/>
      <c r="Y129" s="506">
        <f>IF(D129&gt;0,D129/SUM($D$129:$D$137))</f>
        <v>0.12176670309787389</v>
      </c>
      <c r="Z129" s="506">
        <f>IF(D129&gt;0,J129)</f>
        <v>0.08</v>
      </c>
    </row>
    <row r="130" spans="1:26" ht="15.75" customHeight="1" x14ac:dyDescent="0.3">
      <c r="A130" s="213"/>
      <c r="B130" s="270" t="s">
        <v>317</v>
      </c>
      <c r="C130" s="208"/>
      <c r="D130" s="271">
        <f>D52</f>
        <v>322000</v>
      </c>
      <c r="E130" s="269"/>
      <c r="F130" s="271">
        <f>F52</f>
        <v>322000</v>
      </c>
      <c r="G130" s="269"/>
      <c r="H130" s="271">
        <f>H52</f>
        <v>322000</v>
      </c>
      <c r="I130" s="208"/>
      <c r="J130" s="484">
        <v>0.08</v>
      </c>
      <c r="K130" s="208"/>
      <c r="L130" s="208"/>
      <c r="M130" s="208"/>
      <c r="N130" s="208"/>
      <c r="O130" s="208"/>
      <c r="P130" s="208"/>
      <c r="Q130" s="208"/>
      <c r="R130" s="208"/>
      <c r="S130" s="208"/>
      <c r="T130" s="208"/>
      <c r="U130" s="208"/>
      <c r="V130" s="208"/>
      <c r="Y130" s="506">
        <f t="shared" ref="Y130:Y137" si="2">IF(D130&gt;0,D130/SUM($D$129:$D$137))</f>
        <v>0.10533536720007144</v>
      </c>
      <c r="Z130" s="506">
        <f t="shared" ref="Z130:Z137" si="3">IF(D130&gt;0,J130)</f>
        <v>0.08</v>
      </c>
    </row>
    <row r="131" spans="1:26" ht="15.75" customHeight="1" x14ac:dyDescent="0.3">
      <c r="A131" s="213"/>
      <c r="B131" s="270" t="s">
        <v>318</v>
      </c>
      <c r="C131" s="208"/>
      <c r="D131" s="271">
        <f>D59</f>
        <v>98000</v>
      </c>
      <c r="E131" s="269"/>
      <c r="F131" s="271">
        <f>F59</f>
        <v>98000</v>
      </c>
      <c r="G131" s="269"/>
      <c r="H131" s="271">
        <f>H59</f>
        <v>98000</v>
      </c>
      <c r="I131" s="208"/>
      <c r="J131" s="484">
        <v>0.08</v>
      </c>
      <c r="K131" s="208"/>
      <c r="L131" s="208"/>
      <c r="M131" s="208"/>
      <c r="N131" s="208"/>
      <c r="O131" s="208"/>
      <c r="P131" s="208"/>
      <c r="Q131" s="208"/>
      <c r="R131" s="208"/>
      <c r="S131" s="208"/>
      <c r="T131" s="208"/>
      <c r="U131" s="208"/>
      <c r="V131" s="208"/>
      <c r="Y131" s="506">
        <f t="shared" si="2"/>
        <v>3.2058590017413048E-2</v>
      </c>
      <c r="Z131" s="506">
        <f t="shared" si="3"/>
        <v>0.08</v>
      </c>
    </row>
    <row r="132" spans="1:26" ht="15.75" customHeight="1" x14ac:dyDescent="0.3">
      <c r="A132" s="213"/>
      <c r="B132" s="270" t="s">
        <v>319</v>
      </c>
      <c r="C132" s="208"/>
      <c r="D132" s="271">
        <f>D68</f>
        <v>308000</v>
      </c>
      <c r="E132" s="269"/>
      <c r="F132" s="271">
        <f>F68</f>
        <v>308000</v>
      </c>
      <c r="G132" s="269"/>
      <c r="H132" s="271">
        <f>H68</f>
        <v>308000</v>
      </c>
      <c r="I132" s="208"/>
      <c r="J132" s="484">
        <v>0.08</v>
      </c>
      <c r="K132" s="208"/>
      <c r="L132" s="208"/>
      <c r="M132" s="208"/>
      <c r="N132" s="208"/>
      <c r="O132" s="208"/>
      <c r="P132" s="208"/>
      <c r="Q132" s="208"/>
      <c r="R132" s="208"/>
      <c r="S132" s="208"/>
      <c r="T132" s="208"/>
      <c r="U132" s="208"/>
      <c r="V132" s="208"/>
      <c r="Y132" s="506">
        <f t="shared" si="2"/>
        <v>0.1007555686261553</v>
      </c>
      <c r="Z132" s="506">
        <f t="shared" si="3"/>
        <v>0.08</v>
      </c>
    </row>
    <row r="133" spans="1:26" ht="15.75" customHeight="1" x14ac:dyDescent="0.3">
      <c r="A133" s="213"/>
      <c r="B133" s="270" t="s">
        <v>320</v>
      </c>
      <c r="C133" s="208"/>
      <c r="D133" s="271">
        <f>D77</f>
        <v>203000</v>
      </c>
      <c r="E133" s="269"/>
      <c r="F133" s="271">
        <f>F77</f>
        <v>203000</v>
      </c>
      <c r="G133" s="269"/>
      <c r="H133" s="271">
        <f>H77</f>
        <v>203000</v>
      </c>
      <c r="I133" s="208"/>
      <c r="J133" s="484">
        <v>0.08</v>
      </c>
      <c r="K133" s="208"/>
      <c r="L133" s="208"/>
      <c r="M133" s="208"/>
      <c r="N133" s="208"/>
      <c r="O133" s="208"/>
      <c r="P133" s="208"/>
      <c r="Q133" s="208"/>
      <c r="R133" s="208"/>
      <c r="S133" s="208"/>
      <c r="T133" s="208"/>
      <c r="U133" s="208"/>
      <c r="V133" s="208"/>
      <c r="Y133" s="506">
        <f t="shared" si="2"/>
        <v>6.6407079321784176E-2</v>
      </c>
      <c r="Z133" s="506">
        <f t="shared" si="3"/>
        <v>0.08</v>
      </c>
    </row>
    <row r="134" spans="1:26" ht="15.75" customHeight="1" x14ac:dyDescent="0.3">
      <c r="A134" s="213"/>
      <c r="B134" s="270" t="s">
        <v>321</v>
      </c>
      <c r="C134" s="208"/>
      <c r="D134" s="271">
        <f>D87</f>
        <v>750000</v>
      </c>
      <c r="E134" s="269"/>
      <c r="F134" s="271">
        <f>F87</f>
        <v>200000</v>
      </c>
      <c r="G134" s="269"/>
      <c r="H134" s="271">
        <f>H87</f>
        <v>150000</v>
      </c>
      <c r="I134" s="208"/>
      <c r="J134" s="484">
        <v>0.08</v>
      </c>
      <c r="K134" s="208"/>
      <c r="L134" s="208"/>
      <c r="M134" s="208"/>
      <c r="N134" s="208"/>
      <c r="O134" s="208"/>
      <c r="P134" s="208"/>
      <c r="Q134" s="208"/>
      <c r="R134" s="208"/>
      <c r="S134" s="208"/>
      <c r="T134" s="208"/>
      <c r="U134" s="208"/>
      <c r="V134" s="208"/>
      <c r="Y134" s="506">
        <f t="shared" si="2"/>
        <v>0.24534635217407946</v>
      </c>
      <c r="Z134" s="506">
        <f t="shared" si="3"/>
        <v>0.08</v>
      </c>
    </row>
    <row r="135" spans="1:26" ht="15.75" customHeight="1" x14ac:dyDescent="0.3">
      <c r="A135" s="213"/>
      <c r="B135" s="270" t="s">
        <v>322</v>
      </c>
      <c r="C135" s="208"/>
      <c r="D135" s="271">
        <f>D97</f>
        <v>184000</v>
      </c>
      <c r="E135" s="269"/>
      <c r="F135" s="271">
        <f>F97</f>
        <v>184000</v>
      </c>
      <c r="G135" s="269"/>
      <c r="H135" s="271">
        <f>H97</f>
        <v>184000</v>
      </c>
      <c r="I135" s="208"/>
      <c r="J135" s="484">
        <v>0.08</v>
      </c>
      <c r="K135" s="208"/>
      <c r="L135" s="208"/>
      <c r="M135" s="208"/>
      <c r="N135" s="208"/>
      <c r="O135" s="208"/>
      <c r="P135" s="208"/>
      <c r="Q135" s="208"/>
      <c r="R135" s="208"/>
      <c r="S135" s="208"/>
      <c r="T135" s="208"/>
      <c r="U135" s="208"/>
      <c r="V135" s="208"/>
      <c r="Y135" s="506">
        <f t="shared" si="2"/>
        <v>6.0191638400040826E-2</v>
      </c>
      <c r="Z135" s="506">
        <f t="shared" si="3"/>
        <v>0.08</v>
      </c>
    </row>
    <row r="136" spans="1:26" ht="15.75" customHeight="1" x14ac:dyDescent="0.3">
      <c r="A136" s="213"/>
      <c r="B136" s="270" t="s">
        <v>323</v>
      </c>
      <c r="C136" s="208"/>
      <c r="D136" s="271">
        <f>D107</f>
        <v>504000</v>
      </c>
      <c r="E136" s="269"/>
      <c r="F136" s="271">
        <f>F107</f>
        <v>504000</v>
      </c>
      <c r="G136" s="269"/>
      <c r="H136" s="271">
        <f>H107</f>
        <v>504000</v>
      </c>
      <c r="I136" s="208"/>
      <c r="J136" s="484">
        <v>0.08</v>
      </c>
      <c r="K136" s="208"/>
      <c r="L136" s="208"/>
      <c r="M136" s="208"/>
      <c r="N136" s="208"/>
      <c r="O136" s="208"/>
      <c r="P136" s="208"/>
      <c r="Q136" s="208"/>
      <c r="R136" s="208"/>
      <c r="S136" s="208"/>
      <c r="T136" s="208"/>
      <c r="U136" s="208"/>
      <c r="V136" s="208"/>
      <c r="Y136" s="506">
        <f t="shared" si="2"/>
        <v>0.16487274866098139</v>
      </c>
      <c r="Z136" s="506">
        <f t="shared" si="3"/>
        <v>0.08</v>
      </c>
    </row>
    <row r="137" spans="1:26" ht="15.75" customHeight="1" x14ac:dyDescent="0.3">
      <c r="A137" s="213"/>
      <c r="B137" s="270" t="s">
        <v>324</v>
      </c>
      <c r="C137" s="208"/>
      <c r="D137" s="271">
        <f>D118</f>
        <v>315674</v>
      </c>
      <c r="E137" s="269"/>
      <c r="F137" s="271">
        <f>F118</f>
        <v>70000</v>
      </c>
      <c r="G137" s="269"/>
      <c r="H137" s="271">
        <f>H118</f>
        <v>70000</v>
      </c>
      <c r="I137" s="208"/>
      <c r="J137" s="484">
        <v>0.08</v>
      </c>
      <c r="K137" s="208"/>
      <c r="L137" s="208"/>
      <c r="M137" s="208"/>
      <c r="N137" s="208"/>
      <c r="O137" s="208"/>
      <c r="P137" s="208"/>
      <c r="Q137" s="208"/>
      <c r="R137" s="208"/>
      <c r="S137" s="208"/>
      <c r="T137" s="208"/>
      <c r="U137" s="208"/>
      <c r="V137" s="208"/>
      <c r="Y137" s="506">
        <f t="shared" si="2"/>
        <v>0.10326595250160048</v>
      </c>
      <c r="Z137" s="506">
        <f t="shared" si="3"/>
        <v>0.08</v>
      </c>
    </row>
    <row r="138" spans="1:26" ht="15.75" customHeight="1" thickBot="1" x14ac:dyDescent="0.35">
      <c r="A138" s="213"/>
      <c r="B138" s="272" t="s">
        <v>325</v>
      </c>
      <c r="C138" s="208"/>
      <c r="D138" s="273">
        <f>D125</f>
        <v>569280</v>
      </c>
      <c r="E138" s="269"/>
      <c r="F138" s="274">
        <f>F125</f>
        <v>0</v>
      </c>
      <c r="G138" s="269"/>
      <c r="H138" s="274">
        <f>H125</f>
        <v>0</v>
      </c>
      <c r="I138" s="208"/>
      <c r="J138" s="485"/>
      <c r="K138" s="208"/>
      <c r="L138" s="208"/>
      <c r="M138" s="208"/>
      <c r="N138" s="208"/>
      <c r="O138" s="208"/>
      <c r="P138" s="208"/>
      <c r="Q138" s="208"/>
      <c r="R138" s="208"/>
      <c r="S138" s="208"/>
      <c r="T138" s="208"/>
      <c r="U138" s="208"/>
      <c r="V138" s="208"/>
      <c r="Y138" s="506"/>
      <c r="Z138" s="506"/>
    </row>
    <row r="139" spans="1:26" ht="15.75" customHeight="1" thickBot="1" x14ac:dyDescent="0.4">
      <c r="A139" s="213"/>
      <c r="B139" s="275" t="s">
        <v>53</v>
      </c>
      <c r="C139" s="208"/>
      <c r="D139" s="276">
        <f>SUM(D129:D138)</f>
        <v>3626183</v>
      </c>
      <c r="E139" s="277"/>
      <c r="F139" s="278">
        <f>SUM(F129:F138)</f>
        <v>2261229</v>
      </c>
      <c r="G139" s="277"/>
      <c r="H139" s="278">
        <f>SUM(H129:H138)</f>
        <v>2211229</v>
      </c>
      <c r="I139" s="208"/>
      <c r="J139" s="278"/>
      <c r="K139" s="208"/>
      <c r="L139" s="208"/>
      <c r="M139" s="208"/>
      <c r="N139" s="208"/>
      <c r="O139" s="208"/>
      <c r="P139" s="208"/>
      <c r="Q139" s="208"/>
      <c r="R139" s="208"/>
      <c r="S139" s="208"/>
      <c r="T139" s="208"/>
      <c r="U139" s="208"/>
      <c r="V139" s="208"/>
      <c r="Y139" s="506"/>
      <c r="Z139" s="507">
        <f>SUMPRODUCT(Y129:Y137,Z129:Z137)</f>
        <v>7.9999999999999988E-2</v>
      </c>
    </row>
    <row r="140" spans="1:26" ht="19.5" customHeight="1" thickBot="1" x14ac:dyDescent="0.35">
      <c r="A140" s="208"/>
      <c r="B140" s="208"/>
      <c r="C140" s="208"/>
      <c r="D140" s="208"/>
      <c r="E140" s="208"/>
      <c r="F140" s="208"/>
      <c r="G140" s="208"/>
      <c r="H140" s="208"/>
      <c r="I140" s="208"/>
      <c r="J140" s="208"/>
      <c r="K140" s="208"/>
      <c r="L140" s="208"/>
      <c r="M140" s="208"/>
      <c r="N140" s="208"/>
      <c r="O140" s="208"/>
      <c r="P140" s="208"/>
      <c r="Q140" s="208"/>
      <c r="R140" s="208"/>
      <c r="S140" s="208"/>
      <c r="T140" s="208"/>
      <c r="U140" s="208"/>
      <c r="V140" s="208"/>
    </row>
    <row r="141" spans="1:26" ht="18" customHeight="1" thickBot="1" x14ac:dyDescent="0.35">
      <c r="A141" s="213"/>
      <c r="B141" s="552" t="s">
        <v>326</v>
      </c>
      <c r="C141" s="232"/>
      <c r="D141" s="234"/>
      <c r="E141" s="234"/>
      <c r="F141" s="235"/>
      <c r="G141" s="234"/>
      <c r="H141" s="234"/>
      <c r="I141" s="208"/>
      <c r="J141" s="208"/>
      <c r="K141" s="208"/>
      <c r="L141" s="208"/>
      <c r="M141" s="208"/>
      <c r="N141" s="208"/>
      <c r="O141" s="208"/>
      <c r="P141" s="208"/>
      <c r="Q141" s="208"/>
      <c r="R141" s="208"/>
      <c r="S141" s="208"/>
      <c r="T141" s="208"/>
      <c r="U141" s="208"/>
      <c r="V141" s="208"/>
    </row>
    <row r="142" spans="1:26" ht="16.5" customHeight="1" x14ac:dyDescent="0.3">
      <c r="A142" s="213"/>
      <c r="B142" s="618" t="s">
        <v>327</v>
      </c>
      <c r="C142" s="604"/>
      <c r="D142" s="630">
        <v>1200000</v>
      </c>
      <c r="E142" s="610"/>
      <c r="F142" s="630"/>
      <c r="G142" s="617"/>
      <c r="H142" s="631"/>
      <c r="I142" s="230"/>
      <c r="J142" s="208" t="s">
        <v>328</v>
      </c>
      <c r="K142" s="208"/>
      <c r="L142" s="208"/>
      <c r="M142" s="208"/>
      <c r="N142" s="208"/>
      <c r="O142" s="208"/>
      <c r="P142" s="208"/>
      <c r="Q142" s="208"/>
      <c r="R142" s="208"/>
      <c r="S142" s="208"/>
      <c r="T142" s="208"/>
      <c r="U142" s="208"/>
      <c r="V142" s="208"/>
    </row>
    <row r="143" spans="1:26" ht="16.5" customHeight="1" x14ac:dyDescent="0.3">
      <c r="A143" s="213"/>
      <c r="B143" s="632" t="s">
        <v>329</v>
      </c>
      <c r="C143" s="604"/>
      <c r="D143" s="633">
        <v>400000</v>
      </c>
      <c r="E143" s="610"/>
      <c r="F143" s="634"/>
      <c r="G143" s="617"/>
      <c r="H143" s="635"/>
      <c r="I143" s="230"/>
      <c r="J143" s="208" t="s">
        <v>330</v>
      </c>
      <c r="K143" s="208"/>
      <c r="L143" s="208"/>
      <c r="M143" s="208"/>
      <c r="N143" s="208"/>
      <c r="O143" s="208"/>
      <c r="P143" s="208"/>
      <c r="Q143" s="208"/>
      <c r="R143" s="208"/>
      <c r="S143" s="208"/>
      <c r="T143" s="208"/>
      <c r="U143" s="208"/>
      <c r="V143" s="208"/>
    </row>
    <row r="144" spans="1:26" ht="16.5" customHeight="1" x14ac:dyDescent="0.3">
      <c r="A144" s="213"/>
      <c r="B144" s="618" t="s">
        <v>78</v>
      </c>
      <c r="C144" s="604"/>
      <c r="D144" s="633">
        <v>150000</v>
      </c>
      <c r="E144" s="610"/>
      <c r="F144" s="634"/>
      <c r="G144" s="617"/>
      <c r="H144" s="635"/>
      <c r="I144" s="230"/>
      <c r="J144" s="208" t="s">
        <v>51</v>
      </c>
      <c r="K144" s="208"/>
      <c r="L144" s="208"/>
      <c r="M144" s="208"/>
      <c r="N144" s="208"/>
      <c r="O144" s="208"/>
      <c r="P144" s="208"/>
      <c r="Q144" s="208"/>
      <c r="R144" s="208"/>
      <c r="S144" s="208"/>
      <c r="T144" s="208"/>
      <c r="U144" s="208"/>
      <c r="V144" s="208"/>
    </row>
    <row r="145" spans="1:22" ht="16.5" customHeight="1" x14ac:dyDescent="0.3">
      <c r="A145" s="213"/>
      <c r="B145" s="252" t="s">
        <v>79</v>
      </c>
      <c r="C145" s="628"/>
      <c r="D145" s="633">
        <f>111111*12</f>
        <v>1333332</v>
      </c>
      <c r="E145" s="610"/>
      <c r="F145" s="634"/>
      <c r="G145" s="617"/>
      <c r="H145" s="635"/>
      <c r="I145" s="230"/>
      <c r="J145" s="208" t="s">
        <v>331</v>
      </c>
      <c r="K145" s="208"/>
      <c r="L145" s="208"/>
      <c r="M145" s="208"/>
      <c r="N145" s="208"/>
      <c r="O145" s="208"/>
      <c r="P145" s="208"/>
      <c r="Q145" s="208"/>
      <c r="R145" s="208"/>
      <c r="S145" s="208"/>
      <c r="T145" s="208"/>
      <c r="U145" s="208"/>
      <c r="V145" s="208"/>
    </row>
    <row r="146" spans="1:22" ht="16.5" customHeight="1" x14ac:dyDescent="0.3">
      <c r="A146" s="213"/>
      <c r="B146" s="252" t="s">
        <v>80</v>
      </c>
      <c r="C146" s="628"/>
      <c r="D146" s="633">
        <f>87000*12</f>
        <v>1044000</v>
      </c>
      <c r="E146" s="610"/>
      <c r="F146" s="634"/>
      <c r="G146" s="617"/>
      <c r="H146" s="635"/>
      <c r="I146" s="230"/>
      <c r="J146" s="208" t="s">
        <v>332</v>
      </c>
      <c r="K146" s="208"/>
      <c r="L146" s="208"/>
      <c r="M146" s="577" t="s">
        <v>333</v>
      </c>
      <c r="N146" s="208"/>
      <c r="O146" s="208"/>
      <c r="P146" s="208"/>
      <c r="Q146" s="208"/>
      <c r="R146" s="208"/>
      <c r="S146" s="208"/>
      <c r="T146" s="208"/>
      <c r="U146" s="208"/>
      <c r="V146" s="208"/>
    </row>
    <row r="147" spans="1:22" ht="16.5" customHeight="1" x14ac:dyDescent="0.3">
      <c r="A147" s="213"/>
      <c r="B147" s="252" t="s">
        <v>334</v>
      </c>
      <c r="C147" s="628"/>
      <c r="D147" s="633">
        <v>150000</v>
      </c>
      <c r="E147" s="610"/>
      <c r="F147" s="634"/>
      <c r="G147" s="617"/>
      <c r="H147" s="635"/>
      <c r="I147" s="230"/>
      <c r="J147" s="208" t="s">
        <v>510</v>
      </c>
      <c r="K147" s="208"/>
      <c r="L147" s="208"/>
      <c r="M147" s="208"/>
      <c r="N147" s="208"/>
      <c r="O147" s="208"/>
      <c r="P147" s="208"/>
      <c r="Q147" s="208"/>
      <c r="R147" s="208"/>
      <c r="S147" s="208"/>
      <c r="T147" s="208"/>
      <c r="U147" s="208"/>
      <c r="V147" s="208"/>
    </row>
    <row r="148" spans="1:22" ht="16.5" customHeight="1" thickBot="1" x14ac:dyDescent="0.35">
      <c r="A148" s="213"/>
      <c r="B148" s="253" t="s">
        <v>335</v>
      </c>
      <c r="C148" s="628"/>
      <c r="D148" s="636">
        <f>200000+440000</f>
        <v>640000</v>
      </c>
      <c r="E148" s="610"/>
      <c r="F148" s="637"/>
      <c r="G148" s="617"/>
      <c r="H148" s="638"/>
      <c r="I148" s="230"/>
      <c r="J148" s="208" t="s">
        <v>336</v>
      </c>
      <c r="K148" s="208"/>
      <c r="L148" s="208"/>
      <c r="M148" s="208"/>
      <c r="N148" s="208"/>
      <c r="O148" s="208"/>
      <c r="P148" s="208"/>
      <c r="Q148" s="208"/>
      <c r="R148" s="208"/>
      <c r="S148" s="208"/>
      <c r="T148" s="208"/>
      <c r="U148" s="208"/>
      <c r="V148" s="208"/>
    </row>
    <row r="149" spans="1:22" ht="18" customHeight="1" thickBot="1" x14ac:dyDescent="0.35">
      <c r="A149" s="208"/>
      <c r="B149" s="236" t="s">
        <v>337</v>
      </c>
      <c r="C149" s="237"/>
      <c r="D149" s="445">
        <f>SUM(D142:D148)</f>
        <v>4917332</v>
      </c>
      <c r="E149" s="240"/>
      <c r="F149" s="442">
        <f>SUM(F142:F148)</f>
        <v>0</v>
      </c>
      <c r="G149" s="242"/>
      <c r="H149" s="443">
        <f>SUM(H142:H148)</f>
        <v>0</v>
      </c>
      <c r="I149" s="230"/>
      <c r="J149" s="208"/>
      <c r="K149" s="208"/>
      <c r="L149" s="208"/>
      <c r="M149" s="208"/>
      <c r="N149" s="208"/>
      <c r="O149" s="208"/>
      <c r="P149" s="208"/>
      <c r="Q149" s="208"/>
      <c r="R149" s="208"/>
      <c r="S149" s="208"/>
      <c r="T149" s="208"/>
      <c r="U149" s="208"/>
      <c r="V149" s="208"/>
    </row>
    <row r="150" spans="1:22" ht="18" customHeight="1" thickBot="1" x14ac:dyDescent="0.35">
      <c r="A150" s="208"/>
      <c r="B150" s="208"/>
      <c r="C150" s="208"/>
      <c r="D150" s="208"/>
      <c r="E150" s="208"/>
      <c r="F150" s="208"/>
      <c r="G150" s="208"/>
      <c r="H150" s="208"/>
      <c r="I150" s="208"/>
      <c r="J150" s="208"/>
      <c r="K150" s="208"/>
      <c r="L150" s="208"/>
      <c r="M150" s="208"/>
      <c r="N150" s="208"/>
      <c r="O150" s="208"/>
      <c r="P150" s="208"/>
      <c r="Q150" s="208"/>
      <c r="R150" s="208"/>
      <c r="S150" s="208"/>
      <c r="T150" s="208"/>
      <c r="U150" s="208"/>
      <c r="V150" s="208"/>
    </row>
    <row r="151" spans="1:22" ht="15.75" customHeight="1" thickBot="1" x14ac:dyDescent="0.35">
      <c r="A151" s="208"/>
      <c r="B151" s="279" t="s">
        <v>338</v>
      </c>
      <c r="C151" s="208"/>
      <c r="D151" s="280">
        <f>D21-D139-D149</f>
        <v>3735149</v>
      </c>
      <c r="E151" s="281"/>
      <c r="F151" s="280"/>
      <c r="G151" s="281"/>
      <c r="H151" s="280"/>
      <c r="I151" s="208"/>
      <c r="J151" s="208"/>
      <c r="K151" s="208"/>
      <c r="L151" s="208"/>
      <c r="M151" s="208"/>
      <c r="N151" s="208"/>
      <c r="O151" s="208"/>
      <c r="P151" s="208"/>
      <c r="Q151" s="208"/>
      <c r="R151" s="208"/>
      <c r="S151" s="208"/>
      <c r="T151" s="208"/>
      <c r="U151" s="208"/>
      <c r="V151" s="208"/>
    </row>
    <row r="152" spans="1:22" ht="21.75" customHeight="1" x14ac:dyDescent="0.3">
      <c r="A152" s="208"/>
      <c r="B152" s="208"/>
      <c r="C152" s="208"/>
      <c r="D152" s="208"/>
      <c r="E152" s="208"/>
      <c r="F152" s="208"/>
      <c r="G152" s="208"/>
      <c r="H152" s="208"/>
      <c r="I152" s="208"/>
      <c r="J152" s="208"/>
      <c r="K152" s="208"/>
      <c r="L152" s="208"/>
      <c r="M152" s="208"/>
      <c r="N152" s="208"/>
      <c r="O152" s="208"/>
      <c r="P152" s="208"/>
      <c r="Q152" s="208"/>
      <c r="R152" s="208"/>
      <c r="S152" s="208"/>
      <c r="T152" s="208"/>
      <c r="U152" s="208"/>
      <c r="V152" s="208"/>
    </row>
    <row r="153" spans="1:22" ht="15.75" customHeight="1" x14ac:dyDescent="0.3">
      <c r="A153" s="208"/>
      <c r="B153" s="208"/>
      <c r="C153" s="208"/>
      <c r="D153" s="208"/>
      <c r="E153" s="208"/>
      <c r="F153" s="208"/>
      <c r="G153" s="208"/>
      <c r="H153" s="208"/>
      <c r="I153" s="208"/>
      <c r="J153" s="208"/>
      <c r="K153" s="208"/>
      <c r="L153" s="208"/>
      <c r="M153" s="208"/>
      <c r="N153" s="208"/>
      <c r="O153" s="208"/>
      <c r="P153" s="208"/>
      <c r="Q153" s="208"/>
      <c r="R153" s="208"/>
      <c r="S153" s="208"/>
      <c r="T153" s="208"/>
      <c r="U153" s="208"/>
      <c r="V153" s="208"/>
    </row>
    <row r="154" spans="1:22" ht="15.75" customHeight="1" x14ac:dyDescent="0.3">
      <c r="A154" s="208"/>
      <c r="B154" s="208"/>
      <c r="C154" s="208"/>
      <c r="D154" s="208"/>
      <c r="E154" s="208"/>
      <c r="F154" s="208"/>
      <c r="G154" s="208"/>
      <c r="H154" s="208"/>
      <c r="I154" s="208"/>
      <c r="J154" s="208"/>
      <c r="K154" s="208"/>
      <c r="L154" s="208"/>
      <c r="M154" s="208"/>
      <c r="N154" s="208"/>
      <c r="O154" s="208"/>
      <c r="P154" s="208"/>
      <c r="Q154" s="208"/>
      <c r="R154" s="208"/>
      <c r="S154" s="208"/>
      <c r="T154" s="208"/>
      <c r="U154" s="208"/>
      <c r="V154" s="208"/>
    </row>
    <row r="155" spans="1:22" ht="15.75" customHeight="1" x14ac:dyDescent="0.3">
      <c r="A155" s="208"/>
      <c r="B155" s="208"/>
      <c r="C155" s="208"/>
      <c r="D155" s="208"/>
      <c r="E155" s="208"/>
      <c r="F155" s="208"/>
      <c r="G155" s="208"/>
      <c r="H155" s="208"/>
      <c r="I155" s="208"/>
      <c r="J155" s="208"/>
      <c r="K155" s="208"/>
      <c r="L155" s="208"/>
      <c r="M155" s="208"/>
      <c r="N155" s="208"/>
      <c r="O155" s="208"/>
      <c r="P155" s="208"/>
      <c r="Q155" s="208"/>
      <c r="R155" s="208"/>
      <c r="S155" s="208"/>
      <c r="T155" s="208"/>
      <c r="U155" s="208"/>
      <c r="V155" s="208"/>
    </row>
    <row r="156" spans="1:22" ht="15.75" customHeight="1" x14ac:dyDescent="0.3">
      <c r="A156" s="208"/>
      <c r="B156" s="208"/>
      <c r="C156" s="208"/>
      <c r="D156" s="208"/>
      <c r="E156" s="208"/>
      <c r="F156" s="208"/>
      <c r="G156" s="208"/>
      <c r="H156" s="208"/>
      <c r="I156" s="208"/>
      <c r="J156" s="208"/>
      <c r="K156" s="208"/>
      <c r="L156" s="208"/>
      <c r="M156" s="208"/>
      <c r="N156" s="208"/>
      <c r="O156" s="208"/>
      <c r="P156" s="208"/>
      <c r="Q156" s="208"/>
      <c r="R156" s="208"/>
      <c r="S156" s="208"/>
      <c r="T156" s="208"/>
      <c r="U156" s="208"/>
      <c r="V156" s="208"/>
    </row>
    <row r="157" spans="1:22" ht="15.75" customHeight="1" x14ac:dyDescent="0.3">
      <c r="A157" s="208"/>
      <c r="B157" s="208"/>
      <c r="C157" s="208"/>
      <c r="D157" s="208"/>
      <c r="E157" s="208"/>
      <c r="F157" s="208"/>
      <c r="G157" s="208"/>
      <c r="H157" s="208"/>
      <c r="I157" s="208"/>
      <c r="J157" s="208"/>
      <c r="K157" s="208"/>
      <c r="L157" s="208"/>
      <c r="M157" s="208"/>
      <c r="N157" s="208"/>
      <c r="O157" s="208"/>
      <c r="P157" s="208"/>
      <c r="Q157" s="208"/>
      <c r="R157" s="208"/>
      <c r="S157" s="208"/>
      <c r="T157" s="208"/>
      <c r="U157" s="208"/>
      <c r="V157" s="208"/>
    </row>
    <row r="158" spans="1:22" ht="15.75" customHeight="1" x14ac:dyDescent="0.3">
      <c r="A158" s="208"/>
      <c r="B158" s="208"/>
      <c r="C158" s="208"/>
      <c r="D158" s="208"/>
      <c r="E158" s="208"/>
      <c r="F158" s="208"/>
      <c r="G158" s="208"/>
      <c r="H158" s="208"/>
      <c r="I158" s="208"/>
      <c r="J158" s="208"/>
      <c r="K158" s="208"/>
      <c r="L158" s="208"/>
      <c r="M158" s="208"/>
      <c r="N158" s="208"/>
      <c r="O158" s="208"/>
      <c r="P158" s="208"/>
      <c r="Q158" s="208"/>
      <c r="R158" s="208"/>
      <c r="S158" s="208"/>
      <c r="T158" s="208"/>
      <c r="U158" s="208"/>
      <c r="V158" s="208"/>
    </row>
    <row r="159" spans="1:22" ht="15.75" customHeight="1" x14ac:dyDescent="0.3">
      <c r="A159" s="208"/>
      <c r="B159" s="208"/>
      <c r="C159" s="208"/>
      <c r="D159" s="208"/>
      <c r="E159" s="208"/>
      <c r="F159" s="208"/>
      <c r="G159" s="208"/>
      <c r="H159" s="208"/>
      <c r="I159" s="208"/>
      <c r="J159" s="208"/>
      <c r="K159" s="208"/>
      <c r="L159" s="208"/>
      <c r="M159" s="208"/>
      <c r="N159" s="208"/>
      <c r="O159" s="208"/>
      <c r="P159" s="208"/>
      <c r="Q159" s="208"/>
      <c r="R159" s="208"/>
      <c r="S159" s="208"/>
      <c r="T159" s="208"/>
      <c r="U159" s="208"/>
      <c r="V159" s="208"/>
    </row>
    <row r="160" spans="1:22" ht="15.75" customHeight="1" x14ac:dyDescent="0.3">
      <c r="A160" s="208"/>
      <c r="B160" s="208"/>
      <c r="C160" s="208"/>
      <c r="D160" s="208"/>
      <c r="E160" s="208"/>
      <c r="F160" s="208"/>
      <c r="G160" s="208"/>
      <c r="H160" s="208"/>
      <c r="I160" s="208"/>
      <c r="J160" s="208"/>
      <c r="K160" s="208"/>
      <c r="L160" s="208"/>
      <c r="M160" s="208"/>
      <c r="N160" s="208"/>
      <c r="O160" s="208"/>
      <c r="P160" s="208"/>
      <c r="Q160" s="208"/>
      <c r="R160" s="208"/>
      <c r="S160" s="208"/>
      <c r="T160" s="208"/>
      <c r="U160" s="208"/>
      <c r="V160" s="208"/>
    </row>
    <row r="161" spans="1:22" ht="15.75" customHeight="1" x14ac:dyDescent="0.3">
      <c r="A161" s="208"/>
      <c r="B161" s="208"/>
      <c r="C161" s="208"/>
      <c r="D161" s="208"/>
      <c r="E161" s="208"/>
      <c r="F161" s="208"/>
      <c r="G161" s="208"/>
      <c r="H161" s="208"/>
      <c r="I161" s="208"/>
      <c r="J161" s="208"/>
      <c r="K161" s="208"/>
      <c r="L161" s="208"/>
      <c r="M161" s="208"/>
      <c r="N161" s="208"/>
      <c r="O161" s="208"/>
      <c r="P161" s="208"/>
      <c r="Q161" s="208"/>
      <c r="R161" s="208"/>
      <c r="S161" s="208"/>
      <c r="T161" s="208"/>
      <c r="U161" s="208"/>
      <c r="V161" s="208"/>
    </row>
    <row r="162" spans="1:22" ht="15.75" customHeight="1" x14ac:dyDescent="0.3">
      <c r="A162" s="208"/>
      <c r="B162" s="208"/>
      <c r="C162" s="208"/>
      <c r="D162" s="208"/>
      <c r="E162" s="208"/>
      <c r="F162" s="208"/>
      <c r="G162" s="208"/>
      <c r="H162" s="208"/>
      <c r="I162" s="208"/>
      <c r="J162" s="208"/>
      <c r="K162" s="208"/>
      <c r="L162" s="208"/>
      <c r="M162" s="208"/>
      <c r="N162" s="208"/>
      <c r="O162" s="208"/>
      <c r="P162" s="208"/>
      <c r="Q162" s="208"/>
      <c r="R162" s="208"/>
      <c r="S162" s="208"/>
      <c r="T162" s="208"/>
      <c r="U162" s="208"/>
      <c r="V162" s="208"/>
    </row>
    <row r="163" spans="1:22" ht="15.75" customHeight="1" x14ac:dyDescent="0.3">
      <c r="A163" s="208"/>
      <c r="B163" s="208"/>
      <c r="C163" s="208"/>
      <c r="D163" s="208"/>
      <c r="E163" s="208"/>
      <c r="F163" s="208"/>
      <c r="G163" s="208"/>
      <c r="H163" s="208"/>
      <c r="I163" s="208"/>
      <c r="J163" s="208"/>
      <c r="K163" s="208"/>
      <c r="L163" s="208"/>
      <c r="M163" s="208"/>
      <c r="N163" s="208"/>
      <c r="O163" s="208"/>
      <c r="P163" s="208"/>
      <c r="Q163" s="208"/>
      <c r="R163" s="208"/>
      <c r="S163" s="208"/>
      <c r="T163" s="208"/>
      <c r="U163" s="208"/>
      <c r="V163" s="208"/>
    </row>
    <row r="164" spans="1:22" ht="15.75" customHeight="1" x14ac:dyDescent="0.3">
      <c r="A164" s="208"/>
      <c r="B164" s="208"/>
      <c r="C164" s="208"/>
      <c r="D164" s="208"/>
      <c r="E164" s="208"/>
      <c r="F164" s="208"/>
      <c r="G164" s="208"/>
      <c r="H164" s="208"/>
      <c r="I164" s="208"/>
      <c r="J164" s="208"/>
      <c r="K164" s="208"/>
      <c r="L164" s="208"/>
      <c r="M164" s="208"/>
      <c r="N164" s="208"/>
      <c r="O164" s="208"/>
      <c r="P164" s="208"/>
      <c r="Q164" s="208"/>
      <c r="R164" s="208"/>
      <c r="S164" s="208"/>
      <c r="T164" s="208"/>
      <c r="U164" s="208"/>
      <c r="V164" s="208"/>
    </row>
    <row r="165" spans="1:22" ht="15.75" customHeight="1" x14ac:dyDescent="0.3">
      <c r="A165" s="208"/>
      <c r="B165" s="208"/>
      <c r="C165" s="208"/>
      <c r="D165" s="208"/>
      <c r="E165" s="208"/>
      <c r="F165" s="208"/>
      <c r="G165" s="208"/>
      <c r="H165" s="208"/>
      <c r="I165" s="208"/>
      <c r="J165" s="208"/>
      <c r="K165" s="208"/>
      <c r="L165" s="208"/>
      <c r="M165" s="208"/>
      <c r="N165" s="208"/>
      <c r="O165" s="208"/>
      <c r="P165" s="208"/>
      <c r="Q165" s="208"/>
      <c r="R165" s="208"/>
      <c r="S165" s="208"/>
      <c r="T165" s="208"/>
      <c r="U165" s="208"/>
      <c r="V165" s="208"/>
    </row>
    <row r="166" spans="1:22" ht="15.75" customHeight="1" x14ac:dyDescent="0.3">
      <c r="A166" s="208"/>
      <c r="B166" s="208"/>
      <c r="C166" s="208"/>
      <c r="D166" s="208"/>
      <c r="E166" s="208"/>
      <c r="F166" s="208"/>
      <c r="G166" s="208"/>
      <c r="H166" s="208"/>
      <c r="I166" s="208"/>
      <c r="J166" s="208"/>
      <c r="K166" s="208"/>
      <c r="L166" s="208"/>
      <c r="M166" s="208"/>
      <c r="N166" s="208"/>
      <c r="O166" s="208"/>
      <c r="P166" s="208"/>
      <c r="Q166" s="208"/>
      <c r="R166" s="208"/>
      <c r="S166" s="208"/>
      <c r="T166" s="208"/>
      <c r="U166" s="208"/>
      <c r="V166" s="208"/>
    </row>
    <row r="167" spans="1:22" ht="15.75" customHeight="1" x14ac:dyDescent="0.3">
      <c r="A167" s="208"/>
      <c r="B167" s="208"/>
      <c r="C167" s="208"/>
      <c r="D167" s="208"/>
      <c r="E167" s="208"/>
      <c r="F167" s="208"/>
      <c r="G167" s="208"/>
      <c r="H167" s="208"/>
      <c r="I167" s="208"/>
      <c r="J167" s="208"/>
      <c r="K167" s="208"/>
      <c r="L167" s="208"/>
      <c r="M167" s="208"/>
      <c r="N167" s="208"/>
      <c r="O167" s="208"/>
      <c r="P167" s="208"/>
      <c r="Q167" s="208"/>
      <c r="R167" s="208"/>
      <c r="S167" s="208"/>
      <c r="T167" s="208"/>
      <c r="U167" s="208"/>
      <c r="V167" s="208"/>
    </row>
    <row r="168" spans="1:22" ht="15.75" customHeight="1" x14ac:dyDescent="0.3">
      <c r="A168" s="208"/>
      <c r="B168" s="208"/>
      <c r="C168" s="208"/>
      <c r="D168" s="208"/>
      <c r="E168" s="208"/>
      <c r="F168" s="208"/>
      <c r="G168" s="208"/>
      <c r="H168" s="208"/>
      <c r="I168" s="208"/>
      <c r="J168" s="208"/>
      <c r="K168" s="208"/>
      <c r="L168" s="208"/>
      <c r="M168" s="208"/>
      <c r="N168" s="208"/>
      <c r="O168" s="208"/>
      <c r="P168" s="208"/>
      <c r="Q168" s="208"/>
      <c r="R168" s="208"/>
      <c r="S168" s="208"/>
      <c r="T168" s="208"/>
      <c r="U168" s="208"/>
      <c r="V168" s="208"/>
    </row>
    <row r="169" spans="1:22" ht="15.75" customHeight="1" x14ac:dyDescent="0.3">
      <c r="A169" s="208"/>
      <c r="B169" s="208"/>
      <c r="C169" s="208"/>
      <c r="D169" s="208"/>
      <c r="E169" s="208"/>
      <c r="F169" s="208"/>
      <c r="G169" s="208"/>
      <c r="H169" s="208"/>
      <c r="I169" s="208"/>
      <c r="J169" s="208"/>
      <c r="K169" s="208"/>
      <c r="L169" s="208"/>
      <c r="M169" s="208"/>
      <c r="N169" s="208"/>
      <c r="O169" s="208"/>
      <c r="P169" s="208"/>
      <c r="Q169" s="208"/>
      <c r="R169" s="208"/>
      <c r="S169" s="208"/>
      <c r="T169" s="208"/>
      <c r="U169" s="208"/>
      <c r="V169" s="208"/>
    </row>
    <row r="170" spans="1:22" ht="15.75" customHeight="1" x14ac:dyDescent="0.3">
      <c r="A170" s="208"/>
      <c r="B170" s="208"/>
      <c r="C170" s="208"/>
      <c r="D170" s="208"/>
      <c r="E170" s="208"/>
      <c r="F170" s="208"/>
      <c r="G170" s="208"/>
      <c r="H170" s="208"/>
      <c r="I170" s="208"/>
      <c r="J170" s="208"/>
      <c r="K170" s="208"/>
      <c r="L170" s="208"/>
      <c r="M170" s="208"/>
      <c r="N170" s="208"/>
      <c r="O170" s="208"/>
      <c r="P170" s="208"/>
      <c r="Q170" s="208"/>
      <c r="R170" s="208"/>
      <c r="S170" s="208"/>
      <c r="T170" s="208"/>
      <c r="U170" s="208"/>
      <c r="V170" s="208"/>
    </row>
    <row r="171" spans="1:22" ht="15.75" customHeight="1" x14ac:dyDescent="0.3">
      <c r="A171" s="208"/>
      <c r="B171" s="208"/>
      <c r="C171" s="208"/>
      <c r="D171" s="208"/>
      <c r="E171" s="208"/>
      <c r="F171" s="208"/>
      <c r="G171" s="208"/>
      <c r="H171" s="208"/>
      <c r="I171" s="208"/>
      <c r="J171" s="208"/>
      <c r="K171" s="208"/>
      <c r="L171" s="208"/>
      <c r="M171" s="208"/>
      <c r="N171" s="208"/>
      <c r="O171" s="208"/>
      <c r="P171" s="208"/>
      <c r="Q171" s="208"/>
      <c r="R171" s="208"/>
      <c r="S171" s="208"/>
      <c r="T171" s="208"/>
      <c r="U171" s="208"/>
      <c r="V171" s="208"/>
    </row>
    <row r="172" spans="1:22" ht="15.75" customHeight="1" x14ac:dyDescent="0.3">
      <c r="A172" s="208"/>
      <c r="B172" s="208"/>
      <c r="C172" s="208"/>
      <c r="D172" s="208"/>
      <c r="E172" s="208"/>
      <c r="F172" s="208"/>
      <c r="G172" s="208"/>
      <c r="H172" s="208"/>
      <c r="I172" s="208"/>
      <c r="J172" s="208"/>
      <c r="K172" s="208"/>
      <c r="L172" s="208"/>
      <c r="M172" s="208"/>
      <c r="N172" s="208"/>
      <c r="O172" s="208"/>
      <c r="P172" s="208"/>
      <c r="Q172" s="208"/>
      <c r="R172" s="208"/>
      <c r="S172" s="208"/>
      <c r="T172" s="208"/>
      <c r="U172" s="208"/>
      <c r="V172" s="208"/>
    </row>
    <row r="173" spans="1:22" ht="15.75" customHeight="1" x14ac:dyDescent="0.3">
      <c r="A173" s="208"/>
      <c r="B173" s="208"/>
      <c r="C173" s="208"/>
      <c r="D173" s="208"/>
      <c r="E173" s="208"/>
      <c r="F173" s="208"/>
      <c r="G173" s="208"/>
      <c r="H173" s="208"/>
      <c r="I173" s="208"/>
      <c r="J173" s="208"/>
      <c r="K173" s="208"/>
      <c r="L173" s="208"/>
      <c r="M173" s="208"/>
      <c r="N173" s="208"/>
      <c r="O173" s="208"/>
      <c r="P173" s="208"/>
      <c r="Q173" s="208"/>
      <c r="R173" s="208"/>
      <c r="S173" s="208"/>
      <c r="T173" s="208"/>
      <c r="U173" s="208"/>
      <c r="V173" s="208"/>
    </row>
    <row r="174" spans="1:22" ht="15.75" customHeight="1" x14ac:dyDescent="0.3">
      <c r="A174" s="208"/>
      <c r="B174" s="208"/>
      <c r="C174" s="208"/>
      <c r="D174" s="208"/>
      <c r="E174" s="208"/>
      <c r="F174" s="208"/>
      <c r="G174" s="208"/>
      <c r="H174" s="208"/>
      <c r="I174" s="208"/>
      <c r="J174" s="208"/>
      <c r="K174" s="208"/>
      <c r="L174" s="208"/>
      <c r="M174" s="208"/>
      <c r="N174" s="208"/>
      <c r="O174" s="208"/>
      <c r="P174" s="208"/>
      <c r="Q174" s="208"/>
      <c r="R174" s="208"/>
      <c r="S174" s="208"/>
      <c r="T174" s="208"/>
      <c r="U174" s="208"/>
      <c r="V174" s="208"/>
    </row>
    <row r="175" spans="1:22" ht="15.75" customHeight="1" x14ac:dyDescent="0.3">
      <c r="A175" s="208"/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8"/>
      <c r="P175" s="208"/>
      <c r="Q175" s="208"/>
      <c r="R175" s="208"/>
      <c r="S175" s="208"/>
      <c r="T175" s="208"/>
      <c r="U175" s="208"/>
      <c r="V175" s="208"/>
    </row>
    <row r="176" spans="1:22" ht="15.75" customHeight="1" x14ac:dyDescent="0.3">
      <c r="A176" s="208"/>
      <c r="B176" s="208"/>
      <c r="C176" s="208"/>
      <c r="D176" s="208"/>
      <c r="E176" s="208"/>
      <c r="F176" s="208"/>
      <c r="G176" s="208"/>
      <c r="H176" s="208"/>
      <c r="I176" s="208"/>
      <c r="J176" s="208"/>
      <c r="K176" s="208"/>
      <c r="L176" s="208"/>
      <c r="M176" s="208"/>
      <c r="N176" s="208"/>
      <c r="O176" s="208"/>
      <c r="P176" s="208"/>
      <c r="Q176" s="208"/>
      <c r="R176" s="208"/>
      <c r="S176" s="208"/>
      <c r="T176" s="208"/>
      <c r="U176" s="208"/>
      <c r="V176" s="208"/>
    </row>
    <row r="177" spans="1:22" ht="15.75" customHeight="1" x14ac:dyDescent="0.3">
      <c r="A177" s="208"/>
      <c r="B177" s="208"/>
      <c r="C177" s="208"/>
      <c r="D177" s="208"/>
      <c r="E177" s="208"/>
      <c r="F177" s="208"/>
      <c r="G177" s="208"/>
      <c r="H177" s="208"/>
      <c r="I177" s="208"/>
      <c r="J177" s="208"/>
      <c r="K177" s="208"/>
      <c r="L177" s="208"/>
      <c r="M177" s="208"/>
      <c r="N177" s="208"/>
      <c r="O177" s="208"/>
      <c r="P177" s="208"/>
      <c r="Q177" s="208"/>
      <c r="R177" s="208"/>
      <c r="S177" s="208"/>
      <c r="T177" s="208"/>
      <c r="U177" s="208"/>
      <c r="V177" s="208"/>
    </row>
    <row r="178" spans="1:22" ht="15.75" customHeight="1" x14ac:dyDescent="0.3">
      <c r="A178" s="208"/>
      <c r="B178" s="208"/>
      <c r="C178" s="208"/>
      <c r="D178" s="208"/>
      <c r="E178" s="208"/>
      <c r="F178" s="208"/>
      <c r="G178" s="208"/>
      <c r="H178" s="208"/>
      <c r="I178" s="208"/>
      <c r="J178" s="208"/>
      <c r="K178" s="208"/>
      <c r="L178" s="208"/>
      <c r="M178" s="208"/>
      <c r="N178" s="208"/>
      <c r="O178" s="208"/>
      <c r="P178" s="208"/>
      <c r="Q178" s="208"/>
      <c r="R178" s="208"/>
      <c r="S178" s="208"/>
      <c r="T178" s="208"/>
      <c r="U178" s="208"/>
      <c r="V178" s="208"/>
    </row>
    <row r="179" spans="1:22" ht="15.75" customHeight="1" x14ac:dyDescent="0.3">
      <c r="A179" s="208"/>
      <c r="B179" s="208"/>
      <c r="C179" s="208"/>
      <c r="D179" s="208"/>
      <c r="E179" s="208"/>
      <c r="F179" s="208"/>
      <c r="G179" s="208"/>
      <c r="H179" s="208"/>
      <c r="I179" s="208"/>
      <c r="J179" s="208"/>
      <c r="K179" s="208"/>
      <c r="L179" s="208"/>
      <c r="M179" s="208"/>
      <c r="N179" s="208"/>
      <c r="O179" s="208"/>
      <c r="P179" s="208"/>
      <c r="Q179" s="208"/>
      <c r="R179" s="208"/>
      <c r="S179" s="208"/>
      <c r="T179" s="208"/>
      <c r="U179" s="208"/>
      <c r="V179" s="208"/>
    </row>
    <row r="180" spans="1:22" ht="15.75" customHeight="1" x14ac:dyDescent="0.3">
      <c r="A180" s="208"/>
      <c r="B180" s="208"/>
      <c r="C180" s="208"/>
      <c r="D180" s="208"/>
      <c r="E180" s="208"/>
      <c r="F180" s="208"/>
      <c r="G180" s="208"/>
      <c r="H180" s="208"/>
      <c r="I180" s="208"/>
      <c r="J180" s="208"/>
      <c r="K180" s="208"/>
      <c r="L180" s="208"/>
      <c r="M180" s="208"/>
      <c r="N180" s="208"/>
      <c r="O180" s="208"/>
      <c r="P180" s="208"/>
      <c r="Q180" s="208"/>
      <c r="R180" s="208"/>
      <c r="S180" s="208"/>
      <c r="T180" s="208"/>
      <c r="U180" s="208"/>
      <c r="V180" s="208"/>
    </row>
    <row r="181" spans="1:22" ht="15.75" customHeight="1" x14ac:dyDescent="0.3">
      <c r="A181" s="208"/>
      <c r="B181" s="208"/>
      <c r="C181" s="208"/>
      <c r="D181" s="208"/>
      <c r="E181" s="208"/>
      <c r="F181" s="208"/>
      <c r="G181" s="208"/>
      <c r="H181" s="208"/>
      <c r="I181" s="208"/>
      <c r="J181" s="208"/>
      <c r="K181" s="208"/>
      <c r="L181" s="208"/>
      <c r="M181" s="208"/>
      <c r="N181" s="208"/>
      <c r="O181" s="208"/>
      <c r="P181" s="208"/>
      <c r="Q181" s="208"/>
      <c r="R181" s="208"/>
      <c r="S181" s="208"/>
      <c r="T181" s="208"/>
      <c r="U181" s="208"/>
      <c r="V181" s="208"/>
    </row>
    <row r="182" spans="1:22" ht="15.75" customHeight="1" x14ac:dyDescent="0.3">
      <c r="A182" s="208"/>
      <c r="B182" s="208"/>
      <c r="C182" s="208"/>
      <c r="D182" s="208"/>
      <c r="E182" s="208"/>
      <c r="F182" s="208"/>
      <c r="G182" s="208"/>
      <c r="H182" s="208"/>
      <c r="I182" s="208"/>
      <c r="J182" s="208"/>
      <c r="K182" s="208"/>
      <c r="L182" s="208"/>
      <c r="M182" s="208"/>
      <c r="N182" s="208"/>
      <c r="O182" s="208"/>
      <c r="P182" s="208"/>
      <c r="Q182" s="208"/>
      <c r="R182" s="208"/>
      <c r="S182" s="208"/>
      <c r="T182" s="208"/>
      <c r="U182" s="208"/>
      <c r="V182" s="208"/>
    </row>
    <row r="183" spans="1:22" ht="15.75" customHeight="1" x14ac:dyDescent="0.3">
      <c r="A183" s="208"/>
      <c r="B183" s="208"/>
      <c r="C183" s="208"/>
      <c r="D183" s="208"/>
      <c r="E183" s="208"/>
      <c r="F183" s="208"/>
      <c r="G183" s="208"/>
      <c r="H183" s="208"/>
      <c r="I183" s="208"/>
      <c r="J183" s="208"/>
      <c r="K183" s="208"/>
      <c r="L183" s="208"/>
      <c r="M183" s="208"/>
      <c r="N183" s="208"/>
      <c r="O183" s="208"/>
      <c r="P183" s="208"/>
      <c r="Q183" s="208"/>
      <c r="R183" s="208"/>
      <c r="S183" s="208"/>
      <c r="T183" s="208"/>
      <c r="U183" s="208"/>
      <c r="V183" s="208"/>
    </row>
    <row r="184" spans="1:22" ht="15.75" customHeight="1" x14ac:dyDescent="0.3">
      <c r="A184" s="208"/>
      <c r="B184" s="208"/>
      <c r="C184" s="208"/>
      <c r="D184" s="208"/>
      <c r="E184" s="208"/>
      <c r="F184" s="208"/>
      <c r="G184" s="208"/>
      <c r="H184" s="208"/>
      <c r="I184" s="208"/>
      <c r="J184" s="208"/>
      <c r="K184" s="208"/>
      <c r="L184" s="208"/>
      <c r="M184" s="208"/>
      <c r="N184" s="208"/>
      <c r="O184" s="208"/>
      <c r="P184" s="208"/>
      <c r="Q184" s="208"/>
      <c r="R184" s="208"/>
      <c r="S184" s="208"/>
      <c r="T184" s="208"/>
      <c r="U184" s="208"/>
      <c r="V184" s="208"/>
    </row>
    <row r="185" spans="1:22" ht="15.75" customHeight="1" x14ac:dyDescent="0.3">
      <c r="A185" s="208"/>
      <c r="B185" s="208"/>
      <c r="C185" s="208"/>
      <c r="D185" s="208"/>
      <c r="E185" s="208"/>
      <c r="F185" s="208"/>
      <c r="G185" s="208"/>
      <c r="H185" s="208"/>
      <c r="I185" s="208"/>
      <c r="J185" s="208"/>
      <c r="K185" s="208"/>
      <c r="L185" s="208"/>
      <c r="M185" s="208"/>
      <c r="N185" s="208"/>
      <c r="O185" s="208"/>
      <c r="P185" s="208"/>
      <c r="Q185" s="208"/>
      <c r="R185" s="208"/>
      <c r="S185" s="208"/>
      <c r="T185" s="208"/>
      <c r="U185" s="208"/>
      <c r="V185" s="208"/>
    </row>
    <row r="186" spans="1:22" ht="15.75" customHeight="1" x14ac:dyDescent="0.3">
      <c r="A186" s="208"/>
      <c r="B186" s="208"/>
      <c r="C186" s="208"/>
      <c r="D186" s="208"/>
      <c r="E186" s="208"/>
      <c r="F186" s="208"/>
      <c r="G186" s="208"/>
      <c r="H186" s="208"/>
      <c r="I186" s="208"/>
      <c r="J186" s="208"/>
      <c r="K186" s="208"/>
      <c r="L186" s="208"/>
      <c r="M186" s="208"/>
      <c r="N186" s="208"/>
      <c r="O186" s="208"/>
      <c r="P186" s="208"/>
      <c r="Q186" s="208"/>
      <c r="R186" s="208"/>
      <c r="S186" s="208"/>
      <c r="T186" s="208"/>
      <c r="U186" s="208"/>
      <c r="V186" s="208"/>
    </row>
    <row r="187" spans="1:22" ht="15.75" customHeight="1" x14ac:dyDescent="0.3">
      <c r="A187" s="208"/>
      <c r="B187" s="208"/>
      <c r="C187" s="208"/>
      <c r="D187" s="208"/>
      <c r="E187" s="208"/>
      <c r="F187" s="208"/>
      <c r="G187" s="208"/>
      <c r="H187" s="208"/>
      <c r="I187" s="208"/>
      <c r="J187" s="208"/>
      <c r="K187" s="208"/>
      <c r="L187" s="208"/>
      <c r="M187" s="208"/>
      <c r="N187" s="208"/>
      <c r="O187" s="208"/>
      <c r="P187" s="208"/>
      <c r="Q187" s="208"/>
      <c r="R187" s="208"/>
      <c r="S187" s="208"/>
      <c r="T187" s="208"/>
      <c r="U187" s="208"/>
      <c r="V187" s="208"/>
    </row>
    <row r="188" spans="1:22" ht="15.75" customHeight="1" x14ac:dyDescent="0.3">
      <c r="A188" s="208"/>
      <c r="B188" s="208"/>
      <c r="C188" s="208"/>
      <c r="D188" s="208"/>
      <c r="E188" s="208"/>
      <c r="F188" s="208"/>
      <c r="G188" s="208"/>
      <c r="H188" s="208"/>
      <c r="I188" s="208"/>
      <c r="J188" s="208"/>
      <c r="K188" s="208"/>
      <c r="L188" s="208"/>
      <c r="M188" s="208"/>
      <c r="N188" s="208"/>
      <c r="O188" s="208"/>
      <c r="P188" s="208"/>
      <c r="Q188" s="208"/>
      <c r="R188" s="208"/>
      <c r="S188" s="208"/>
      <c r="T188" s="208"/>
      <c r="U188" s="208"/>
      <c r="V188" s="208"/>
    </row>
    <row r="189" spans="1:22" ht="15.75" customHeight="1" x14ac:dyDescent="0.3">
      <c r="A189" s="208"/>
      <c r="B189" s="208"/>
      <c r="C189" s="208"/>
      <c r="D189" s="208"/>
      <c r="E189" s="208"/>
      <c r="F189" s="208"/>
      <c r="G189" s="208"/>
      <c r="H189" s="208"/>
      <c r="I189" s="208"/>
      <c r="J189" s="208"/>
      <c r="K189" s="208"/>
      <c r="L189" s="208"/>
      <c r="M189" s="208"/>
      <c r="N189" s="208"/>
      <c r="O189" s="208"/>
      <c r="P189" s="208"/>
      <c r="Q189" s="208"/>
      <c r="R189" s="208"/>
      <c r="S189" s="208"/>
      <c r="T189" s="208"/>
      <c r="U189" s="208"/>
      <c r="V189" s="208"/>
    </row>
    <row r="190" spans="1:22" ht="15.75" customHeight="1" x14ac:dyDescent="0.3">
      <c r="A190" s="208"/>
      <c r="B190" s="208"/>
      <c r="C190" s="208"/>
      <c r="D190" s="208"/>
      <c r="E190" s="208"/>
      <c r="F190" s="208"/>
      <c r="G190" s="208"/>
      <c r="H190" s="208"/>
      <c r="I190" s="208"/>
      <c r="J190" s="208"/>
      <c r="K190" s="208"/>
      <c r="L190" s="208"/>
      <c r="M190" s="208"/>
      <c r="N190" s="208"/>
      <c r="O190" s="208"/>
      <c r="P190" s="208"/>
      <c r="Q190" s="208"/>
      <c r="R190" s="208"/>
      <c r="S190" s="208"/>
      <c r="T190" s="208"/>
      <c r="U190" s="208"/>
      <c r="V190" s="208"/>
    </row>
    <row r="191" spans="1:22" ht="15.75" customHeight="1" x14ac:dyDescent="0.3">
      <c r="A191" s="208"/>
      <c r="B191" s="208"/>
      <c r="C191" s="208"/>
      <c r="D191" s="208"/>
      <c r="E191" s="208"/>
      <c r="F191" s="208"/>
      <c r="G191" s="208"/>
      <c r="H191" s="208"/>
      <c r="I191" s="208"/>
      <c r="J191" s="208"/>
      <c r="K191" s="208"/>
      <c r="L191" s="208"/>
      <c r="M191" s="208"/>
      <c r="N191" s="208"/>
      <c r="O191" s="208"/>
      <c r="P191" s="208"/>
      <c r="Q191" s="208"/>
      <c r="R191" s="208"/>
      <c r="S191" s="208"/>
      <c r="T191" s="208"/>
      <c r="U191" s="208"/>
      <c r="V191" s="208"/>
    </row>
    <row r="192" spans="1:22" ht="15.75" customHeight="1" x14ac:dyDescent="0.3">
      <c r="A192" s="208"/>
      <c r="B192" s="208"/>
      <c r="C192" s="208"/>
      <c r="D192" s="208"/>
      <c r="E192" s="208"/>
      <c r="F192" s="208"/>
      <c r="G192" s="208"/>
      <c r="H192" s="208"/>
      <c r="I192" s="208"/>
      <c r="J192" s="208"/>
      <c r="K192" s="208"/>
      <c r="L192" s="208"/>
      <c r="M192" s="208"/>
      <c r="N192" s="208"/>
      <c r="O192" s="208"/>
      <c r="P192" s="208"/>
      <c r="Q192" s="208"/>
      <c r="R192" s="208"/>
      <c r="S192" s="208"/>
      <c r="T192" s="208"/>
      <c r="U192" s="208"/>
      <c r="V192" s="208"/>
    </row>
    <row r="193" spans="1:22" ht="15.75" customHeight="1" x14ac:dyDescent="0.3">
      <c r="A193" s="208"/>
      <c r="B193" s="208"/>
      <c r="C193" s="208"/>
      <c r="D193" s="208"/>
      <c r="E193" s="208"/>
      <c r="F193" s="208"/>
      <c r="G193" s="208"/>
      <c r="H193" s="208"/>
      <c r="I193" s="208"/>
      <c r="J193" s="208"/>
      <c r="K193" s="208"/>
      <c r="L193" s="208"/>
      <c r="M193" s="208"/>
      <c r="N193" s="208"/>
      <c r="O193" s="208"/>
      <c r="P193" s="208"/>
      <c r="Q193" s="208"/>
      <c r="R193" s="208"/>
      <c r="S193" s="208"/>
      <c r="T193" s="208"/>
      <c r="U193" s="208"/>
      <c r="V193" s="208"/>
    </row>
    <row r="194" spans="1:22" ht="15.75" customHeight="1" x14ac:dyDescent="0.3">
      <c r="A194" s="208"/>
      <c r="B194" s="208"/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208"/>
      <c r="P194" s="208"/>
      <c r="Q194" s="208"/>
      <c r="R194" s="208"/>
      <c r="S194" s="208"/>
      <c r="T194" s="208"/>
      <c r="U194" s="208"/>
      <c r="V194" s="208"/>
    </row>
    <row r="195" spans="1:22" ht="15.75" customHeight="1" x14ac:dyDescent="0.3">
      <c r="A195" s="208"/>
      <c r="B195" s="208"/>
      <c r="C195" s="208"/>
      <c r="D195" s="208"/>
      <c r="E195" s="208"/>
      <c r="F195" s="208"/>
      <c r="G195" s="208"/>
      <c r="H195" s="208"/>
      <c r="I195" s="208"/>
      <c r="J195" s="208"/>
      <c r="K195" s="208"/>
      <c r="L195" s="208"/>
      <c r="M195" s="208"/>
      <c r="N195" s="208"/>
      <c r="O195" s="208"/>
      <c r="P195" s="208"/>
      <c r="Q195" s="208"/>
      <c r="R195" s="208"/>
      <c r="S195" s="208"/>
      <c r="T195" s="208"/>
      <c r="U195" s="208"/>
      <c r="V195" s="208"/>
    </row>
    <row r="196" spans="1:22" ht="15.75" customHeight="1" x14ac:dyDescent="0.3">
      <c r="A196" s="208"/>
      <c r="B196" s="208"/>
      <c r="C196" s="208"/>
      <c r="D196" s="208"/>
      <c r="E196" s="208"/>
      <c r="F196" s="208"/>
      <c r="G196" s="208"/>
      <c r="H196" s="208"/>
      <c r="I196" s="208"/>
      <c r="J196" s="208"/>
      <c r="K196" s="208"/>
      <c r="L196" s="208"/>
      <c r="M196" s="208"/>
      <c r="N196" s="208"/>
      <c r="O196" s="208"/>
      <c r="P196" s="208"/>
      <c r="Q196" s="208"/>
      <c r="R196" s="208"/>
      <c r="S196" s="208"/>
      <c r="T196" s="208"/>
      <c r="U196" s="208"/>
      <c r="V196" s="208"/>
    </row>
    <row r="197" spans="1:22" ht="15.75" customHeight="1" x14ac:dyDescent="0.3">
      <c r="A197" s="208"/>
      <c r="B197" s="208"/>
      <c r="C197" s="208"/>
      <c r="D197" s="208"/>
      <c r="E197" s="208"/>
      <c r="F197" s="208"/>
      <c r="G197" s="208"/>
      <c r="H197" s="208"/>
      <c r="I197" s="208"/>
      <c r="J197" s="208"/>
      <c r="K197" s="208"/>
      <c r="L197" s="208"/>
      <c r="M197" s="208"/>
      <c r="N197" s="208"/>
      <c r="O197" s="208"/>
      <c r="P197" s="208"/>
      <c r="Q197" s="208"/>
      <c r="R197" s="208"/>
      <c r="S197" s="208"/>
      <c r="T197" s="208"/>
      <c r="U197" s="208"/>
      <c r="V197" s="208"/>
    </row>
    <row r="198" spans="1:22" ht="15.75" customHeight="1" x14ac:dyDescent="0.3">
      <c r="A198" s="208"/>
      <c r="B198" s="208"/>
      <c r="C198" s="208"/>
      <c r="D198" s="208"/>
      <c r="E198" s="208"/>
      <c r="F198" s="208"/>
      <c r="G198" s="208"/>
      <c r="H198" s="208"/>
      <c r="I198" s="208"/>
      <c r="J198" s="208"/>
      <c r="K198" s="208"/>
      <c r="L198" s="208"/>
      <c r="M198" s="208"/>
      <c r="N198" s="208"/>
      <c r="O198" s="208"/>
      <c r="P198" s="208"/>
      <c r="Q198" s="208"/>
      <c r="R198" s="208"/>
      <c r="S198" s="208"/>
      <c r="T198" s="208"/>
      <c r="U198" s="208"/>
      <c r="V198" s="208"/>
    </row>
    <row r="199" spans="1:22" ht="15.75" customHeight="1" x14ac:dyDescent="0.3">
      <c r="A199" s="208"/>
      <c r="B199" s="208"/>
      <c r="C199" s="208"/>
      <c r="D199" s="208"/>
      <c r="E199" s="208"/>
      <c r="F199" s="208"/>
      <c r="G199" s="208"/>
      <c r="H199" s="208"/>
      <c r="I199" s="208"/>
      <c r="J199" s="208"/>
      <c r="K199" s="208"/>
      <c r="L199" s="208"/>
      <c r="M199" s="208"/>
      <c r="N199" s="208"/>
      <c r="O199" s="208"/>
      <c r="P199" s="208"/>
      <c r="Q199" s="208"/>
      <c r="R199" s="208"/>
      <c r="S199" s="208"/>
      <c r="T199" s="208"/>
      <c r="U199" s="208"/>
      <c r="V199" s="208"/>
    </row>
    <row r="200" spans="1:22" ht="15.75" customHeight="1" x14ac:dyDescent="0.3">
      <c r="A200" s="208"/>
      <c r="B200" s="208"/>
      <c r="C200" s="208"/>
      <c r="D200" s="208"/>
      <c r="E200" s="208"/>
      <c r="F200" s="208"/>
      <c r="G200" s="208"/>
      <c r="H200" s="208"/>
      <c r="I200" s="208"/>
      <c r="J200" s="208"/>
      <c r="K200" s="208"/>
      <c r="L200" s="208"/>
      <c r="M200" s="208"/>
      <c r="N200" s="208"/>
      <c r="O200" s="208"/>
      <c r="P200" s="208"/>
      <c r="Q200" s="208"/>
      <c r="R200" s="208"/>
      <c r="S200" s="208"/>
      <c r="T200" s="208"/>
      <c r="U200" s="208"/>
      <c r="V200" s="208"/>
    </row>
    <row r="201" spans="1:22" ht="15.75" customHeight="1" x14ac:dyDescent="0.3">
      <c r="A201" s="208"/>
      <c r="B201" s="208"/>
      <c r="C201" s="208"/>
      <c r="D201" s="208"/>
      <c r="E201" s="208"/>
      <c r="F201" s="208"/>
      <c r="G201" s="208"/>
      <c r="H201" s="208"/>
      <c r="I201" s="208"/>
      <c r="J201" s="208"/>
      <c r="K201" s="208"/>
      <c r="L201" s="208"/>
      <c r="M201" s="208"/>
      <c r="N201" s="208"/>
      <c r="O201" s="208"/>
      <c r="P201" s="208"/>
      <c r="Q201" s="208"/>
      <c r="R201" s="208"/>
      <c r="S201" s="208"/>
      <c r="T201" s="208"/>
      <c r="U201" s="208"/>
      <c r="V201" s="208"/>
    </row>
    <row r="202" spans="1:22" ht="15.75" customHeight="1" x14ac:dyDescent="0.3">
      <c r="A202" s="208"/>
      <c r="B202" s="208"/>
      <c r="C202" s="208"/>
      <c r="D202" s="208"/>
      <c r="E202" s="208"/>
      <c r="F202" s="208"/>
      <c r="G202" s="208"/>
      <c r="H202" s="208"/>
      <c r="I202" s="208"/>
      <c r="J202" s="208"/>
      <c r="K202" s="208"/>
      <c r="L202" s="208"/>
      <c r="M202" s="208"/>
      <c r="N202" s="208"/>
      <c r="O202" s="208"/>
      <c r="P202" s="208"/>
      <c r="Q202" s="208"/>
      <c r="R202" s="208"/>
      <c r="S202" s="208"/>
      <c r="T202" s="208"/>
      <c r="U202" s="208"/>
      <c r="V202" s="208"/>
    </row>
    <row r="203" spans="1:22" ht="15.75" customHeight="1" x14ac:dyDescent="0.3">
      <c r="A203" s="208"/>
      <c r="B203" s="208"/>
      <c r="C203" s="208"/>
      <c r="D203" s="208"/>
      <c r="E203" s="208"/>
      <c r="F203" s="208"/>
      <c r="G203" s="208"/>
      <c r="H203" s="208"/>
      <c r="I203" s="208"/>
      <c r="J203" s="208"/>
      <c r="K203" s="208"/>
      <c r="L203" s="208"/>
      <c r="M203" s="208"/>
      <c r="N203" s="208"/>
      <c r="O203" s="208"/>
      <c r="P203" s="208"/>
      <c r="Q203" s="208"/>
      <c r="R203" s="208"/>
      <c r="S203" s="208"/>
      <c r="T203" s="208"/>
      <c r="U203" s="208"/>
      <c r="V203" s="208"/>
    </row>
    <row r="204" spans="1:22" ht="15.75" customHeight="1" x14ac:dyDescent="0.3">
      <c r="A204" s="208"/>
      <c r="B204" s="208"/>
      <c r="C204" s="208"/>
      <c r="D204" s="208"/>
      <c r="E204" s="208"/>
      <c r="F204" s="208"/>
      <c r="G204" s="208"/>
      <c r="H204" s="208"/>
      <c r="I204" s="208"/>
      <c r="J204" s="208"/>
      <c r="K204" s="208"/>
      <c r="L204" s="208"/>
      <c r="M204" s="208"/>
      <c r="N204" s="208"/>
      <c r="O204" s="208"/>
      <c r="P204" s="208"/>
      <c r="Q204" s="208"/>
      <c r="R204" s="208"/>
      <c r="S204" s="208"/>
      <c r="T204" s="208"/>
      <c r="U204" s="208"/>
      <c r="V204" s="208"/>
    </row>
    <row r="205" spans="1:22" ht="15.75" customHeight="1" x14ac:dyDescent="0.3">
      <c r="A205" s="208"/>
      <c r="B205" s="208"/>
      <c r="C205" s="208"/>
      <c r="D205" s="208"/>
      <c r="E205" s="208"/>
      <c r="F205" s="208"/>
      <c r="G205" s="208"/>
      <c r="H205" s="208"/>
      <c r="I205" s="208"/>
      <c r="J205" s="208"/>
      <c r="K205" s="208"/>
      <c r="L205" s="208"/>
      <c r="M205" s="208"/>
      <c r="N205" s="208"/>
      <c r="O205" s="208"/>
      <c r="P205" s="208"/>
      <c r="Q205" s="208"/>
      <c r="R205" s="208"/>
      <c r="S205" s="208"/>
      <c r="T205" s="208"/>
      <c r="U205" s="208"/>
      <c r="V205" s="208"/>
    </row>
    <row r="206" spans="1:22" ht="15.75" customHeight="1" x14ac:dyDescent="0.3">
      <c r="A206" s="208"/>
      <c r="B206" s="208"/>
      <c r="C206" s="208"/>
      <c r="D206" s="208"/>
      <c r="E206" s="208"/>
      <c r="F206" s="208"/>
      <c r="G206" s="208"/>
      <c r="H206" s="208"/>
      <c r="I206" s="208"/>
      <c r="J206" s="208"/>
      <c r="K206" s="208"/>
      <c r="L206" s="208"/>
      <c r="M206" s="208"/>
      <c r="N206" s="208"/>
      <c r="O206" s="208"/>
      <c r="P206" s="208"/>
      <c r="Q206" s="208"/>
      <c r="R206" s="208"/>
      <c r="S206" s="208"/>
      <c r="T206" s="208"/>
      <c r="U206" s="208"/>
      <c r="V206" s="208"/>
    </row>
    <row r="207" spans="1:22" ht="15.75" customHeight="1" x14ac:dyDescent="0.3">
      <c r="A207" s="208"/>
      <c r="B207" s="208"/>
      <c r="C207" s="208"/>
      <c r="D207" s="208"/>
      <c r="E207" s="208"/>
      <c r="F207" s="208"/>
      <c r="G207" s="208"/>
      <c r="H207" s="208"/>
      <c r="I207" s="208"/>
      <c r="J207" s="208"/>
      <c r="K207" s="208"/>
      <c r="L207" s="208"/>
      <c r="M207" s="208"/>
      <c r="N207" s="208"/>
      <c r="O207" s="208"/>
      <c r="P207" s="208"/>
      <c r="Q207" s="208"/>
      <c r="R207" s="208"/>
      <c r="S207" s="208"/>
      <c r="T207" s="208"/>
      <c r="U207" s="208"/>
      <c r="V207" s="208"/>
    </row>
    <row r="208" spans="1:22" ht="15.75" customHeight="1" x14ac:dyDescent="0.3">
      <c r="A208" s="208"/>
      <c r="B208" s="208"/>
      <c r="C208" s="208"/>
      <c r="D208" s="208"/>
      <c r="E208" s="208"/>
      <c r="F208" s="208"/>
      <c r="G208" s="208"/>
      <c r="H208" s="208"/>
      <c r="I208" s="208"/>
      <c r="J208" s="208"/>
      <c r="K208" s="208"/>
      <c r="L208" s="208"/>
      <c r="M208" s="208"/>
      <c r="N208" s="208"/>
      <c r="O208" s="208"/>
      <c r="P208" s="208"/>
      <c r="Q208" s="208"/>
      <c r="R208" s="208"/>
      <c r="S208" s="208"/>
      <c r="T208" s="208"/>
      <c r="U208" s="208"/>
      <c r="V208" s="208"/>
    </row>
    <row r="209" spans="1:22" ht="15.75" customHeight="1" x14ac:dyDescent="0.3">
      <c r="A209" s="208"/>
      <c r="B209" s="208"/>
      <c r="C209" s="208"/>
      <c r="D209" s="208"/>
      <c r="E209" s="208"/>
      <c r="F209" s="208"/>
      <c r="G209" s="208"/>
      <c r="H209" s="208"/>
      <c r="I209" s="208"/>
      <c r="J209" s="208"/>
      <c r="K209" s="208"/>
      <c r="L209" s="208"/>
      <c r="M209" s="208"/>
      <c r="N209" s="208"/>
      <c r="O209" s="208"/>
      <c r="P209" s="208"/>
      <c r="Q209" s="208"/>
      <c r="R209" s="208"/>
      <c r="S209" s="208"/>
      <c r="T209" s="208"/>
      <c r="U209" s="208"/>
      <c r="V209" s="208"/>
    </row>
    <row r="210" spans="1:22" ht="15.75" customHeight="1" x14ac:dyDescent="0.3">
      <c r="A210" s="208"/>
      <c r="B210" s="208"/>
      <c r="C210" s="208"/>
      <c r="D210" s="208"/>
      <c r="E210" s="208"/>
      <c r="F210" s="208"/>
      <c r="G210" s="208"/>
      <c r="H210" s="208"/>
      <c r="I210" s="208"/>
      <c r="J210" s="208"/>
      <c r="K210" s="208"/>
      <c r="L210" s="208"/>
      <c r="M210" s="208"/>
      <c r="N210" s="208"/>
      <c r="O210" s="208"/>
      <c r="P210" s="208"/>
      <c r="Q210" s="208"/>
      <c r="R210" s="208"/>
      <c r="S210" s="208"/>
      <c r="T210" s="208"/>
      <c r="U210" s="208"/>
      <c r="V210" s="208"/>
    </row>
    <row r="211" spans="1:22" ht="15.75" customHeight="1" x14ac:dyDescent="0.3">
      <c r="A211" s="208"/>
      <c r="B211" s="208"/>
      <c r="C211" s="208"/>
      <c r="D211" s="208"/>
      <c r="E211" s="208"/>
      <c r="F211" s="208"/>
      <c r="G211" s="208"/>
      <c r="H211" s="208"/>
      <c r="I211" s="208"/>
      <c r="J211" s="208"/>
      <c r="K211" s="208"/>
      <c r="L211" s="208"/>
      <c r="M211" s="208"/>
      <c r="N211" s="208"/>
      <c r="O211" s="208"/>
      <c r="P211" s="208"/>
      <c r="Q211" s="208"/>
      <c r="R211" s="208"/>
      <c r="S211" s="208"/>
      <c r="T211" s="208"/>
      <c r="U211" s="208"/>
      <c r="V211" s="208"/>
    </row>
    <row r="212" spans="1:22" ht="15.75" customHeight="1" x14ac:dyDescent="0.3">
      <c r="A212" s="208"/>
      <c r="B212" s="208"/>
      <c r="C212" s="208"/>
      <c r="D212" s="208"/>
      <c r="E212" s="208"/>
      <c r="F212" s="208"/>
      <c r="G212" s="208"/>
      <c r="H212" s="208"/>
      <c r="I212" s="208"/>
      <c r="J212" s="208"/>
      <c r="K212" s="208"/>
      <c r="L212" s="208"/>
      <c r="M212" s="208"/>
      <c r="N212" s="208"/>
      <c r="O212" s="208"/>
      <c r="P212" s="208"/>
      <c r="Q212" s="208"/>
      <c r="R212" s="208"/>
      <c r="S212" s="208"/>
      <c r="T212" s="208"/>
      <c r="U212" s="208"/>
      <c r="V212" s="208"/>
    </row>
    <row r="213" spans="1:22" ht="15.75" customHeight="1" x14ac:dyDescent="0.3">
      <c r="A213" s="208"/>
      <c r="B213" s="208"/>
      <c r="C213" s="208"/>
      <c r="D213" s="208"/>
      <c r="E213" s="208"/>
      <c r="F213" s="208"/>
      <c r="G213" s="208"/>
      <c r="H213" s="208"/>
      <c r="I213" s="208"/>
      <c r="J213" s="208"/>
      <c r="K213" s="208"/>
      <c r="L213" s="208"/>
      <c r="M213" s="208"/>
      <c r="N213" s="208"/>
      <c r="O213" s="208"/>
      <c r="P213" s="208"/>
      <c r="Q213" s="208"/>
      <c r="R213" s="208"/>
      <c r="S213" s="208"/>
      <c r="T213" s="208"/>
      <c r="U213" s="208"/>
      <c r="V213" s="208"/>
    </row>
    <row r="214" spans="1:22" ht="15.75" customHeight="1" x14ac:dyDescent="0.3">
      <c r="A214" s="208"/>
      <c r="B214" s="208"/>
      <c r="C214" s="208"/>
      <c r="D214" s="208"/>
      <c r="E214" s="208"/>
      <c r="F214" s="208"/>
      <c r="G214" s="208"/>
      <c r="H214" s="208"/>
      <c r="I214" s="208"/>
      <c r="J214" s="208"/>
      <c r="K214" s="208"/>
      <c r="L214" s="208"/>
      <c r="M214" s="208"/>
      <c r="N214" s="208"/>
      <c r="O214" s="208"/>
      <c r="P214" s="208"/>
      <c r="Q214" s="208"/>
      <c r="R214" s="208"/>
      <c r="S214" s="208"/>
      <c r="T214" s="208"/>
      <c r="U214" s="208"/>
      <c r="V214" s="208"/>
    </row>
    <row r="215" spans="1:22" ht="15.75" customHeight="1" x14ac:dyDescent="0.3">
      <c r="A215" s="208"/>
      <c r="B215" s="208"/>
      <c r="C215" s="208"/>
      <c r="D215" s="208"/>
      <c r="E215" s="208"/>
      <c r="F215" s="208"/>
      <c r="G215" s="208"/>
      <c r="H215" s="208"/>
      <c r="I215" s="208"/>
      <c r="J215" s="208"/>
      <c r="K215" s="208"/>
      <c r="L215" s="208"/>
      <c r="M215" s="208"/>
      <c r="N215" s="208"/>
      <c r="O215" s="208"/>
      <c r="P215" s="208"/>
      <c r="Q215" s="208"/>
      <c r="R215" s="208"/>
      <c r="S215" s="208"/>
      <c r="T215" s="208"/>
      <c r="U215" s="208"/>
      <c r="V215" s="208"/>
    </row>
    <row r="216" spans="1:22" ht="15.75" customHeight="1" x14ac:dyDescent="0.3">
      <c r="A216" s="208"/>
      <c r="B216" s="208"/>
      <c r="C216" s="208"/>
      <c r="D216" s="208"/>
      <c r="E216" s="208"/>
      <c r="F216" s="208"/>
      <c r="G216" s="208"/>
      <c r="H216" s="208"/>
      <c r="I216" s="208"/>
      <c r="J216" s="208"/>
      <c r="K216" s="208"/>
      <c r="L216" s="208"/>
      <c r="M216" s="208"/>
      <c r="N216" s="208"/>
      <c r="O216" s="208"/>
      <c r="P216" s="208"/>
      <c r="Q216" s="208"/>
      <c r="R216" s="208"/>
      <c r="S216" s="208"/>
      <c r="T216" s="208"/>
      <c r="U216" s="208"/>
      <c r="V216" s="208"/>
    </row>
    <row r="217" spans="1:22" ht="15.75" customHeight="1" x14ac:dyDescent="0.3">
      <c r="A217" s="208"/>
      <c r="B217" s="208"/>
      <c r="C217" s="208"/>
      <c r="D217" s="208"/>
      <c r="E217" s="208"/>
      <c r="F217" s="208"/>
      <c r="G217" s="208"/>
      <c r="H217" s="208"/>
      <c r="I217" s="208"/>
      <c r="J217" s="208"/>
      <c r="K217" s="208"/>
      <c r="L217" s="208"/>
      <c r="M217" s="208"/>
      <c r="N217" s="208"/>
      <c r="O217" s="208"/>
      <c r="P217" s="208"/>
      <c r="Q217" s="208"/>
      <c r="R217" s="208"/>
      <c r="S217" s="208"/>
      <c r="T217" s="208"/>
      <c r="U217" s="208"/>
      <c r="V217" s="208"/>
    </row>
    <row r="218" spans="1:22" ht="15.75" customHeight="1" x14ac:dyDescent="0.3">
      <c r="A218" s="208"/>
      <c r="B218" s="208"/>
      <c r="C218" s="208"/>
      <c r="D218" s="208"/>
      <c r="E218" s="208"/>
      <c r="F218" s="208"/>
      <c r="G218" s="208"/>
      <c r="H218" s="208"/>
      <c r="I218" s="208"/>
      <c r="J218" s="208"/>
      <c r="K218" s="208"/>
      <c r="L218" s="208"/>
      <c r="M218" s="208"/>
      <c r="N218" s="208"/>
      <c r="O218" s="208"/>
      <c r="P218" s="208"/>
      <c r="Q218" s="208"/>
      <c r="R218" s="208"/>
      <c r="S218" s="208"/>
      <c r="T218" s="208"/>
      <c r="U218" s="208"/>
      <c r="V218" s="208"/>
    </row>
    <row r="219" spans="1:22" ht="15.75" customHeight="1" x14ac:dyDescent="0.3">
      <c r="A219" s="208"/>
      <c r="B219" s="208"/>
      <c r="C219" s="208"/>
      <c r="D219" s="208"/>
      <c r="E219" s="208"/>
      <c r="F219" s="208"/>
      <c r="G219" s="208"/>
      <c r="H219" s="208"/>
      <c r="I219" s="208"/>
      <c r="J219" s="208"/>
      <c r="K219" s="208"/>
      <c r="L219" s="208"/>
      <c r="M219" s="208"/>
      <c r="N219" s="208"/>
      <c r="O219" s="208"/>
      <c r="P219" s="208"/>
      <c r="Q219" s="208"/>
      <c r="R219" s="208"/>
      <c r="S219" s="208"/>
      <c r="T219" s="208"/>
      <c r="U219" s="208"/>
      <c r="V219" s="208"/>
    </row>
    <row r="220" spans="1:22" ht="15.75" customHeight="1" x14ac:dyDescent="0.3">
      <c r="A220" s="208"/>
      <c r="B220" s="208"/>
      <c r="C220" s="208"/>
      <c r="D220" s="208"/>
      <c r="E220" s="208"/>
      <c r="F220" s="208"/>
      <c r="G220" s="208"/>
      <c r="H220" s="208"/>
      <c r="I220" s="208"/>
      <c r="J220" s="208"/>
      <c r="K220" s="208"/>
      <c r="L220" s="208"/>
      <c r="M220" s="208"/>
      <c r="N220" s="208"/>
      <c r="O220" s="208"/>
      <c r="P220" s="208"/>
      <c r="Q220" s="208"/>
      <c r="R220" s="208"/>
      <c r="S220" s="208"/>
      <c r="T220" s="208"/>
      <c r="U220" s="208"/>
      <c r="V220" s="208"/>
    </row>
    <row r="221" spans="1:22" ht="15.75" customHeight="1" x14ac:dyDescent="0.3">
      <c r="A221" s="208"/>
      <c r="B221" s="208"/>
      <c r="C221" s="208"/>
      <c r="D221" s="208"/>
      <c r="E221" s="208"/>
      <c r="F221" s="208"/>
      <c r="G221" s="208"/>
      <c r="H221" s="208"/>
      <c r="I221" s="208"/>
      <c r="J221" s="208"/>
      <c r="K221" s="208"/>
      <c r="L221" s="208"/>
      <c r="M221" s="208"/>
      <c r="N221" s="208"/>
      <c r="O221" s="208"/>
      <c r="P221" s="208"/>
      <c r="Q221" s="208"/>
      <c r="R221" s="208"/>
      <c r="S221" s="208"/>
      <c r="T221" s="208"/>
      <c r="U221" s="208"/>
      <c r="V221" s="208"/>
    </row>
    <row r="222" spans="1:22" ht="15.75" customHeight="1" x14ac:dyDescent="0.3">
      <c r="A222" s="208"/>
      <c r="B222" s="208"/>
      <c r="C222" s="208"/>
      <c r="D222" s="208"/>
      <c r="E222" s="208"/>
      <c r="F222" s="208"/>
      <c r="G222" s="208"/>
      <c r="H222" s="208"/>
      <c r="I222" s="208"/>
      <c r="J222" s="208"/>
      <c r="K222" s="208"/>
      <c r="L222" s="208"/>
      <c r="M222" s="208"/>
      <c r="N222" s="208"/>
      <c r="O222" s="208"/>
      <c r="P222" s="208"/>
      <c r="Q222" s="208"/>
      <c r="R222" s="208"/>
      <c r="S222" s="208"/>
      <c r="T222" s="208"/>
      <c r="U222" s="208"/>
      <c r="V222" s="208"/>
    </row>
    <row r="223" spans="1:22" ht="15.75" customHeight="1" x14ac:dyDescent="0.3">
      <c r="A223" s="208"/>
      <c r="B223" s="208"/>
      <c r="C223" s="208"/>
      <c r="D223" s="208"/>
      <c r="E223" s="208"/>
      <c r="F223" s="208"/>
      <c r="G223" s="208"/>
      <c r="H223" s="208"/>
      <c r="I223" s="208"/>
      <c r="J223" s="208"/>
      <c r="K223" s="208"/>
      <c r="L223" s="208"/>
      <c r="M223" s="208"/>
      <c r="N223" s="208"/>
      <c r="O223" s="208"/>
      <c r="P223" s="208"/>
      <c r="Q223" s="208"/>
      <c r="R223" s="208"/>
      <c r="S223" s="208"/>
      <c r="T223" s="208"/>
      <c r="U223" s="208"/>
      <c r="V223" s="208"/>
    </row>
    <row r="224" spans="1:22" ht="15.75" customHeight="1" x14ac:dyDescent="0.3">
      <c r="A224" s="208"/>
      <c r="B224" s="208"/>
      <c r="C224" s="208"/>
      <c r="D224" s="208"/>
      <c r="E224" s="208"/>
      <c r="F224" s="208"/>
      <c r="G224" s="208"/>
      <c r="H224" s="208"/>
      <c r="I224" s="208"/>
      <c r="J224" s="208"/>
      <c r="K224" s="208"/>
      <c r="L224" s="208"/>
      <c r="M224" s="208"/>
      <c r="N224" s="208"/>
      <c r="O224" s="208"/>
      <c r="P224" s="208"/>
      <c r="Q224" s="208"/>
      <c r="R224" s="208"/>
      <c r="S224" s="208"/>
      <c r="T224" s="208"/>
      <c r="U224" s="208"/>
      <c r="V224" s="208"/>
    </row>
    <row r="225" spans="1:22" ht="15.75" customHeight="1" x14ac:dyDescent="0.3">
      <c r="A225" s="208"/>
      <c r="B225" s="208"/>
      <c r="C225" s="208"/>
      <c r="D225" s="208"/>
      <c r="E225" s="208"/>
      <c r="F225" s="208"/>
      <c r="G225" s="208"/>
      <c r="H225" s="208"/>
      <c r="I225" s="208"/>
      <c r="J225" s="208"/>
      <c r="K225" s="208"/>
      <c r="L225" s="208"/>
      <c r="M225" s="208"/>
      <c r="N225" s="208"/>
      <c r="O225" s="208"/>
      <c r="P225" s="208"/>
      <c r="Q225" s="208"/>
      <c r="R225" s="208"/>
      <c r="S225" s="208"/>
      <c r="T225" s="208"/>
      <c r="U225" s="208"/>
      <c r="V225" s="208"/>
    </row>
    <row r="226" spans="1:22" ht="15.75" customHeight="1" x14ac:dyDescent="0.3">
      <c r="A226" s="208"/>
      <c r="B226" s="208"/>
      <c r="C226" s="208"/>
      <c r="D226" s="208"/>
      <c r="E226" s="208"/>
      <c r="F226" s="208"/>
      <c r="G226" s="208"/>
      <c r="H226" s="208"/>
      <c r="I226" s="208"/>
      <c r="J226" s="208"/>
      <c r="K226" s="208"/>
      <c r="L226" s="208"/>
      <c r="M226" s="208"/>
      <c r="N226" s="208"/>
      <c r="O226" s="208"/>
      <c r="P226" s="208"/>
      <c r="Q226" s="208"/>
      <c r="R226" s="208"/>
      <c r="S226" s="208"/>
      <c r="T226" s="208"/>
      <c r="U226" s="208"/>
      <c r="V226" s="208"/>
    </row>
    <row r="227" spans="1:22" ht="15.75" customHeight="1" x14ac:dyDescent="0.3">
      <c r="A227" s="208"/>
      <c r="B227" s="208"/>
      <c r="C227" s="208"/>
      <c r="D227" s="208"/>
      <c r="E227" s="208"/>
      <c r="F227" s="208"/>
      <c r="G227" s="208"/>
      <c r="H227" s="208"/>
      <c r="I227" s="208"/>
      <c r="J227" s="208"/>
      <c r="K227" s="208"/>
      <c r="L227" s="208"/>
      <c r="M227" s="208"/>
      <c r="N227" s="208"/>
      <c r="O227" s="208"/>
      <c r="P227" s="208"/>
      <c r="Q227" s="208"/>
      <c r="R227" s="208"/>
      <c r="S227" s="208"/>
      <c r="T227" s="208"/>
      <c r="U227" s="208"/>
      <c r="V227" s="208"/>
    </row>
    <row r="228" spans="1:22" ht="15.75" customHeight="1" x14ac:dyDescent="0.3">
      <c r="A228" s="208"/>
      <c r="B228" s="208"/>
      <c r="C228" s="208"/>
      <c r="D228" s="208"/>
      <c r="E228" s="208"/>
      <c r="F228" s="208"/>
      <c r="G228" s="208"/>
      <c r="H228" s="208"/>
      <c r="I228" s="208"/>
      <c r="J228" s="208"/>
      <c r="K228" s="208"/>
      <c r="L228" s="208"/>
      <c r="M228" s="208"/>
      <c r="N228" s="208"/>
      <c r="O228" s="208"/>
      <c r="P228" s="208"/>
      <c r="Q228" s="208"/>
      <c r="R228" s="208"/>
      <c r="S228" s="208"/>
      <c r="T228" s="208"/>
      <c r="U228" s="208"/>
      <c r="V228" s="208"/>
    </row>
    <row r="229" spans="1:22" ht="15.75" customHeight="1" x14ac:dyDescent="0.3">
      <c r="A229" s="208"/>
      <c r="B229" s="208"/>
      <c r="C229" s="208"/>
      <c r="D229" s="208"/>
      <c r="E229" s="208"/>
      <c r="F229" s="208"/>
      <c r="G229" s="208"/>
      <c r="H229" s="208"/>
      <c r="I229" s="208"/>
      <c r="J229" s="208"/>
      <c r="K229" s="208"/>
      <c r="L229" s="208"/>
      <c r="M229" s="208"/>
      <c r="N229" s="208"/>
      <c r="O229" s="208"/>
      <c r="P229" s="208"/>
      <c r="Q229" s="208"/>
      <c r="R229" s="208"/>
      <c r="S229" s="208"/>
      <c r="T229" s="208"/>
      <c r="U229" s="208"/>
      <c r="V229" s="208"/>
    </row>
    <row r="230" spans="1:22" ht="15.75" customHeight="1" x14ac:dyDescent="0.3">
      <c r="A230" s="208"/>
      <c r="B230" s="208"/>
      <c r="C230" s="208"/>
      <c r="D230" s="208"/>
      <c r="E230" s="208"/>
      <c r="F230" s="208"/>
      <c r="G230" s="208"/>
      <c r="H230" s="208"/>
      <c r="I230" s="208"/>
      <c r="J230" s="208"/>
      <c r="K230" s="208"/>
      <c r="L230" s="208"/>
      <c r="M230" s="208"/>
      <c r="N230" s="208"/>
      <c r="O230" s="208"/>
      <c r="P230" s="208"/>
      <c r="Q230" s="208"/>
      <c r="R230" s="208"/>
      <c r="S230" s="208"/>
      <c r="T230" s="208"/>
      <c r="U230" s="208"/>
      <c r="V230" s="208"/>
    </row>
    <row r="231" spans="1:22" ht="15.75" customHeight="1" x14ac:dyDescent="0.3">
      <c r="A231" s="208"/>
      <c r="B231" s="208"/>
      <c r="C231" s="208"/>
      <c r="D231" s="208"/>
      <c r="E231" s="208"/>
      <c r="F231" s="208"/>
      <c r="G231" s="208"/>
      <c r="H231" s="208"/>
      <c r="I231" s="208"/>
      <c r="J231" s="208"/>
      <c r="K231" s="208"/>
      <c r="L231" s="208"/>
      <c r="M231" s="208"/>
      <c r="N231" s="208"/>
      <c r="O231" s="208"/>
      <c r="P231" s="208"/>
      <c r="Q231" s="208"/>
      <c r="R231" s="208"/>
      <c r="S231" s="208"/>
      <c r="T231" s="208"/>
      <c r="U231" s="208"/>
      <c r="V231" s="208"/>
    </row>
    <row r="232" spans="1:22" ht="15.75" customHeight="1" x14ac:dyDescent="0.3">
      <c r="A232" s="208"/>
      <c r="B232" s="208"/>
      <c r="C232" s="208"/>
      <c r="D232" s="208"/>
      <c r="E232" s="208"/>
      <c r="F232" s="208"/>
      <c r="G232" s="208"/>
      <c r="H232" s="208"/>
      <c r="I232" s="208"/>
      <c r="J232" s="208"/>
      <c r="K232" s="208"/>
      <c r="L232" s="208"/>
      <c r="M232" s="208"/>
      <c r="N232" s="208"/>
      <c r="O232" s="208"/>
      <c r="P232" s="208"/>
      <c r="Q232" s="208"/>
      <c r="R232" s="208"/>
      <c r="S232" s="208"/>
      <c r="T232" s="208"/>
      <c r="U232" s="208"/>
      <c r="V232" s="208"/>
    </row>
    <row r="233" spans="1:22" ht="15.75" customHeight="1" x14ac:dyDescent="0.3">
      <c r="A233" s="208"/>
      <c r="B233" s="208"/>
      <c r="C233" s="208"/>
      <c r="D233" s="208"/>
      <c r="E233" s="208"/>
      <c r="F233" s="208"/>
      <c r="G233" s="208"/>
      <c r="H233" s="208"/>
      <c r="I233" s="208"/>
      <c r="J233" s="208"/>
      <c r="K233" s="208"/>
      <c r="L233" s="208"/>
      <c r="M233" s="208"/>
      <c r="N233" s="208"/>
      <c r="O233" s="208"/>
      <c r="P233" s="208"/>
      <c r="Q233" s="208"/>
      <c r="R233" s="208"/>
      <c r="S233" s="208"/>
      <c r="T233" s="208"/>
      <c r="U233" s="208"/>
      <c r="V233" s="208"/>
    </row>
    <row r="234" spans="1:22" ht="15.75" customHeight="1" x14ac:dyDescent="0.3">
      <c r="A234" s="208"/>
      <c r="B234" s="208"/>
      <c r="C234" s="208"/>
      <c r="D234" s="208"/>
      <c r="E234" s="208"/>
      <c r="F234" s="208"/>
      <c r="G234" s="208"/>
      <c r="H234" s="208"/>
      <c r="I234" s="208"/>
      <c r="J234" s="208"/>
      <c r="K234" s="208"/>
      <c r="L234" s="208"/>
      <c r="M234" s="208"/>
      <c r="N234" s="208"/>
      <c r="O234" s="208"/>
      <c r="P234" s="208"/>
      <c r="Q234" s="208"/>
      <c r="R234" s="208"/>
      <c r="S234" s="208"/>
      <c r="T234" s="208"/>
      <c r="U234" s="208"/>
      <c r="V234" s="208"/>
    </row>
    <row r="235" spans="1:22" ht="15.75" customHeight="1" x14ac:dyDescent="0.3">
      <c r="A235" s="208"/>
      <c r="B235" s="208"/>
      <c r="C235" s="208"/>
      <c r="D235" s="208"/>
      <c r="E235" s="208"/>
      <c r="F235" s="208"/>
      <c r="G235" s="208"/>
      <c r="H235" s="208"/>
      <c r="I235" s="208"/>
      <c r="J235" s="208"/>
      <c r="K235" s="208"/>
      <c r="L235" s="208"/>
      <c r="M235" s="208"/>
      <c r="N235" s="208"/>
      <c r="O235" s="208"/>
      <c r="P235" s="208"/>
      <c r="Q235" s="208"/>
      <c r="R235" s="208"/>
      <c r="S235" s="208"/>
      <c r="T235" s="208"/>
      <c r="U235" s="208"/>
      <c r="V235" s="208"/>
    </row>
    <row r="236" spans="1:22" ht="15.75" customHeight="1" x14ac:dyDescent="0.3">
      <c r="A236" s="208"/>
      <c r="B236" s="208"/>
      <c r="C236" s="208"/>
      <c r="D236" s="208"/>
      <c r="E236" s="208"/>
      <c r="F236" s="208"/>
      <c r="G236" s="208"/>
      <c r="H236" s="208"/>
      <c r="I236" s="208"/>
      <c r="J236" s="208"/>
      <c r="K236" s="208"/>
      <c r="L236" s="208"/>
      <c r="M236" s="208"/>
      <c r="N236" s="208"/>
      <c r="O236" s="208"/>
      <c r="P236" s="208"/>
      <c r="Q236" s="208"/>
      <c r="R236" s="208"/>
      <c r="S236" s="208"/>
      <c r="T236" s="208"/>
      <c r="U236" s="208"/>
      <c r="V236" s="208"/>
    </row>
    <row r="237" spans="1:22" ht="15.75" customHeight="1" x14ac:dyDescent="0.3">
      <c r="A237" s="208"/>
      <c r="B237" s="208"/>
      <c r="C237" s="208"/>
      <c r="D237" s="208"/>
      <c r="E237" s="208"/>
      <c r="F237" s="208"/>
      <c r="G237" s="208"/>
      <c r="H237" s="208"/>
      <c r="I237" s="208"/>
      <c r="J237" s="208"/>
      <c r="K237" s="208"/>
      <c r="L237" s="208"/>
      <c r="M237" s="208"/>
      <c r="N237" s="208"/>
      <c r="O237" s="208"/>
      <c r="P237" s="208"/>
      <c r="Q237" s="208"/>
      <c r="R237" s="208"/>
      <c r="S237" s="208"/>
      <c r="T237" s="208"/>
      <c r="U237" s="208"/>
      <c r="V237" s="208"/>
    </row>
    <row r="238" spans="1:22" ht="15.75" customHeight="1" x14ac:dyDescent="0.3">
      <c r="A238" s="208"/>
      <c r="B238" s="208"/>
      <c r="C238" s="208"/>
      <c r="D238" s="208"/>
      <c r="E238" s="208"/>
      <c r="F238" s="208"/>
      <c r="G238" s="208"/>
      <c r="H238" s="208"/>
      <c r="I238" s="208"/>
      <c r="J238" s="208"/>
      <c r="K238" s="208"/>
      <c r="L238" s="208"/>
      <c r="M238" s="208"/>
      <c r="N238" s="208"/>
      <c r="O238" s="208"/>
      <c r="P238" s="208"/>
      <c r="Q238" s="208"/>
      <c r="R238" s="208"/>
      <c r="S238" s="208"/>
      <c r="T238" s="208"/>
      <c r="U238" s="208"/>
      <c r="V238" s="208"/>
    </row>
    <row r="239" spans="1:22" ht="15.75" customHeight="1" x14ac:dyDescent="0.3">
      <c r="A239" s="208"/>
      <c r="B239" s="208"/>
      <c r="C239" s="208"/>
      <c r="D239" s="208"/>
      <c r="E239" s="208"/>
      <c r="F239" s="208"/>
      <c r="G239" s="208"/>
      <c r="H239" s="208"/>
      <c r="I239" s="208"/>
      <c r="J239" s="208"/>
      <c r="K239" s="208"/>
      <c r="L239" s="208"/>
      <c r="M239" s="208"/>
      <c r="N239" s="208"/>
      <c r="O239" s="208"/>
      <c r="P239" s="208"/>
      <c r="Q239" s="208"/>
      <c r="R239" s="208"/>
      <c r="S239" s="208"/>
      <c r="T239" s="208"/>
      <c r="U239" s="208"/>
      <c r="V239" s="208"/>
    </row>
    <row r="240" spans="1:22" ht="15.75" customHeight="1" x14ac:dyDescent="0.3">
      <c r="A240" s="208"/>
      <c r="B240" s="208"/>
      <c r="C240" s="208"/>
      <c r="D240" s="208"/>
      <c r="E240" s="208"/>
      <c r="F240" s="208"/>
      <c r="G240" s="208"/>
      <c r="H240" s="208"/>
      <c r="I240" s="208"/>
      <c r="J240" s="208"/>
      <c r="K240" s="208"/>
      <c r="L240" s="208"/>
      <c r="M240" s="208"/>
      <c r="N240" s="208"/>
      <c r="O240" s="208"/>
      <c r="P240" s="208"/>
      <c r="Q240" s="208"/>
      <c r="R240" s="208"/>
      <c r="S240" s="208"/>
      <c r="T240" s="208"/>
      <c r="U240" s="208"/>
      <c r="V240" s="208"/>
    </row>
    <row r="241" spans="1:22" ht="15.75" customHeight="1" x14ac:dyDescent="0.3">
      <c r="A241" s="208"/>
      <c r="B241" s="208"/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208"/>
      <c r="P241" s="208"/>
      <c r="Q241" s="208"/>
      <c r="R241" s="208"/>
      <c r="S241" s="208"/>
      <c r="T241" s="208"/>
      <c r="U241" s="208"/>
      <c r="V241" s="208"/>
    </row>
    <row r="242" spans="1:22" ht="15.75" customHeight="1" x14ac:dyDescent="0.3">
      <c r="A242" s="208"/>
      <c r="B242" s="208"/>
      <c r="C242" s="208"/>
      <c r="D242" s="208"/>
      <c r="E242" s="208"/>
      <c r="F242" s="208"/>
      <c r="G242" s="208"/>
      <c r="H242" s="208"/>
      <c r="I242" s="208"/>
      <c r="J242" s="208"/>
      <c r="K242" s="208"/>
      <c r="L242" s="208"/>
      <c r="M242" s="208"/>
      <c r="N242" s="208"/>
      <c r="O242" s="208"/>
      <c r="P242" s="208"/>
      <c r="Q242" s="208"/>
      <c r="R242" s="208"/>
      <c r="S242" s="208"/>
      <c r="T242" s="208"/>
      <c r="U242" s="208"/>
      <c r="V242" s="208"/>
    </row>
    <row r="243" spans="1:22" ht="15.75" customHeight="1" x14ac:dyDescent="0.3">
      <c r="A243" s="208"/>
      <c r="B243" s="208"/>
      <c r="C243" s="208"/>
      <c r="D243" s="208"/>
      <c r="E243" s="208"/>
      <c r="F243" s="208"/>
      <c r="G243" s="208"/>
      <c r="H243" s="208"/>
      <c r="I243" s="208"/>
      <c r="J243" s="208"/>
      <c r="K243" s="208"/>
      <c r="L243" s="208"/>
      <c r="M243" s="208"/>
      <c r="N243" s="208"/>
      <c r="O243" s="208"/>
      <c r="P243" s="208"/>
      <c r="Q243" s="208"/>
      <c r="R243" s="208"/>
      <c r="S243" s="208"/>
      <c r="T243" s="208"/>
      <c r="U243" s="208"/>
      <c r="V243" s="208"/>
    </row>
    <row r="244" spans="1:22" ht="15.75" customHeight="1" x14ac:dyDescent="0.3">
      <c r="A244" s="208"/>
      <c r="B244" s="208"/>
      <c r="C244" s="208"/>
      <c r="D244" s="208"/>
      <c r="E244" s="208"/>
      <c r="F244" s="208"/>
      <c r="G244" s="208"/>
      <c r="H244" s="208"/>
      <c r="I244" s="208"/>
      <c r="J244" s="208"/>
      <c r="K244" s="208"/>
      <c r="L244" s="208"/>
      <c r="M244" s="208"/>
      <c r="N244" s="208"/>
      <c r="O244" s="208"/>
      <c r="P244" s="208"/>
      <c r="Q244" s="208"/>
      <c r="R244" s="208"/>
      <c r="S244" s="208"/>
      <c r="T244" s="208"/>
      <c r="U244" s="208"/>
      <c r="V244" s="208"/>
    </row>
    <row r="245" spans="1:22" ht="15.75" customHeight="1" x14ac:dyDescent="0.3">
      <c r="A245" s="208"/>
      <c r="B245" s="208"/>
      <c r="C245" s="208"/>
      <c r="D245" s="208"/>
      <c r="E245" s="208"/>
      <c r="F245" s="208"/>
      <c r="G245" s="208"/>
      <c r="H245" s="208"/>
      <c r="I245" s="208"/>
      <c r="J245" s="208"/>
      <c r="K245" s="208"/>
      <c r="L245" s="208"/>
      <c r="M245" s="208"/>
      <c r="N245" s="208"/>
      <c r="O245" s="208"/>
      <c r="P245" s="208"/>
      <c r="Q245" s="208"/>
      <c r="R245" s="208"/>
      <c r="S245" s="208"/>
      <c r="T245" s="208"/>
      <c r="U245" s="208"/>
      <c r="V245" s="208"/>
    </row>
    <row r="246" spans="1:22" ht="15.75" customHeight="1" x14ac:dyDescent="0.3">
      <c r="A246" s="208"/>
      <c r="B246" s="208"/>
      <c r="C246" s="208"/>
      <c r="D246" s="208"/>
      <c r="E246" s="208"/>
      <c r="F246" s="208"/>
      <c r="G246" s="208"/>
      <c r="H246" s="208"/>
      <c r="I246" s="208"/>
      <c r="J246" s="208"/>
      <c r="K246" s="208"/>
      <c r="L246" s="208"/>
      <c r="M246" s="208"/>
      <c r="N246" s="208"/>
      <c r="O246" s="208"/>
      <c r="P246" s="208"/>
      <c r="Q246" s="208"/>
      <c r="R246" s="208"/>
      <c r="S246" s="208"/>
      <c r="T246" s="208"/>
      <c r="U246" s="208"/>
      <c r="V246" s="208"/>
    </row>
    <row r="247" spans="1:22" ht="15.75" customHeight="1" x14ac:dyDescent="0.3">
      <c r="A247" s="208"/>
      <c r="B247" s="208"/>
      <c r="C247" s="208"/>
      <c r="D247" s="208"/>
      <c r="E247" s="208"/>
      <c r="F247" s="208"/>
      <c r="G247" s="208"/>
      <c r="H247" s="208"/>
      <c r="I247" s="208"/>
      <c r="J247" s="208"/>
      <c r="K247" s="208"/>
      <c r="L247" s="208"/>
      <c r="M247" s="208"/>
      <c r="N247" s="208"/>
      <c r="O247" s="208"/>
      <c r="P247" s="208"/>
      <c r="Q247" s="208"/>
      <c r="R247" s="208"/>
      <c r="S247" s="208"/>
      <c r="T247" s="208"/>
      <c r="U247" s="208"/>
      <c r="V247" s="208"/>
    </row>
    <row r="248" spans="1:22" ht="15.75" customHeight="1" x14ac:dyDescent="0.3">
      <c r="A248" s="208"/>
      <c r="B248" s="208"/>
      <c r="C248" s="208"/>
      <c r="D248" s="208"/>
      <c r="E248" s="208"/>
      <c r="F248" s="208"/>
      <c r="G248" s="208"/>
      <c r="H248" s="208"/>
      <c r="I248" s="208"/>
      <c r="J248" s="208"/>
      <c r="K248" s="208"/>
      <c r="L248" s="208"/>
      <c r="M248" s="208"/>
      <c r="N248" s="208"/>
      <c r="O248" s="208"/>
      <c r="P248" s="208"/>
      <c r="Q248" s="208"/>
      <c r="R248" s="208"/>
      <c r="S248" s="208"/>
      <c r="T248" s="208"/>
      <c r="U248" s="208"/>
      <c r="V248" s="208"/>
    </row>
    <row r="249" spans="1:22" ht="15.75" customHeight="1" x14ac:dyDescent="0.3">
      <c r="A249" s="208"/>
      <c r="B249" s="208"/>
      <c r="C249" s="208"/>
      <c r="D249" s="208"/>
      <c r="E249" s="208"/>
      <c r="F249" s="208"/>
      <c r="G249" s="208"/>
      <c r="H249" s="208"/>
      <c r="I249" s="208"/>
      <c r="J249" s="208"/>
      <c r="K249" s="208"/>
      <c r="L249" s="208"/>
      <c r="M249" s="208"/>
      <c r="N249" s="208"/>
      <c r="O249" s="208"/>
      <c r="P249" s="208"/>
      <c r="Q249" s="208"/>
      <c r="R249" s="208"/>
      <c r="S249" s="208"/>
      <c r="T249" s="208"/>
      <c r="U249" s="208"/>
      <c r="V249" s="208"/>
    </row>
    <row r="250" spans="1:22" ht="15.75" customHeight="1" x14ac:dyDescent="0.3">
      <c r="A250" s="208"/>
      <c r="B250" s="208"/>
      <c r="C250" s="208"/>
      <c r="D250" s="208"/>
      <c r="E250" s="208"/>
      <c r="F250" s="208"/>
      <c r="G250" s="208"/>
      <c r="H250" s="208"/>
      <c r="I250" s="208"/>
      <c r="J250" s="208"/>
      <c r="K250" s="208"/>
      <c r="L250" s="208"/>
      <c r="M250" s="208"/>
      <c r="N250" s="208"/>
      <c r="O250" s="208"/>
      <c r="P250" s="208"/>
      <c r="Q250" s="208"/>
      <c r="R250" s="208"/>
      <c r="S250" s="208"/>
      <c r="T250" s="208"/>
      <c r="U250" s="208"/>
      <c r="V250" s="208"/>
    </row>
    <row r="251" spans="1:22" ht="15.75" customHeight="1" x14ac:dyDescent="0.3">
      <c r="A251" s="208"/>
      <c r="B251" s="208"/>
      <c r="C251" s="208"/>
      <c r="D251" s="208"/>
      <c r="E251" s="208"/>
      <c r="F251" s="208"/>
      <c r="G251" s="208"/>
      <c r="H251" s="208"/>
      <c r="I251" s="208"/>
      <c r="J251" s="208"/>
      <c r="K251" s="208"/>
      <c r="L251" s="208"/>
      <c r="M251" s="208"/>
      <c r="N251" s="208"/>
      <c r="O251" s="208"/>
      <c r="P251" s="208"/>
      <c r="Q251" s="208"/>
      <c r="R251" s="208"/>
      <c r="S251" s="208"/>
      <c r="T251" s="208"/>
      <c r="U251" s="208"/>
      <c r="V251" s="208"/>
    </row>
    <row r="252" spans="1:22" ht="15.75" customHeight="1" x14ac:dyDescent="0.3">
      <c r="A252" s="208"/>
      <c r="B252" s="208"/>
      <c r="C252" s="208"/>
      <c r="D252" s="208"/>
      <c r="E252" s="208"/>
      <c r="F252" s="208"/>
      <c r="G252" s="208"/>
      <c r="H252" s="208"/>
      <c r="I252" s="208"/>
      <c r="J252" s="208"/>
      <c r="K252" s="208"/>
      <c r="L252" s="208"/>
      <c r="M252" s="208"/>
      <c r="N252" s="208"/>
      <c r="O252" s="208"/>
      <c r="P252" s="208"/>
      <c r="Q252" s="208"/>
      <c r="R252" s="208"/>
      <c r="S252" s="208"/>
      <c r="T252" s="208"/>
      <c r="U252" s="208"/>
      <c r="V252" s="208"/>
    </row>
    <row r="253" spans="1:22" ht="15.75" customHeight="1" x14ac:dyDescent="0.3">
      <c r="A253" s="208"/>
      <c r="B253" s="208"/>
      <c r="C253" s="208"/>
      <c r="D253" s="208"/>
      <c r="E253" s="208"/>
      <c r="F253" s="208"/>
      <c r="G253" s="208"/>
      <c r="H253" s="208"/>
      <c r="I253" s="208"/>
      <c r="J253" s="208"/>
      <c r="K253" s="208"/>
      <c r="L253" s="208"/>
      <c r="M253" s="208"/>
      <c r="N253" s="208"/>
      <c r="O253" s="208"/>
      <c r="P253" s="208"/>
      <c r="Q253" s="208"/>
      <c r="R253" s="208"/>
      <c r="S253" s="208"/>
      <c r="T253" s="208"/>
      <c r="U253" s="208"/>
      <c r="V253" s="208"/>
    </row>
    <row r="254" spans="1:22" ht="15.75" customHeight="1" x14ac:dyDescent="0.3">
      <c r="A254" s="208"/>
      <c r="B254" s="208"/>
      <c r="C254" s="208"/>
      <c r="D254" s="208"/>
      <c r="E254" s="208"/>
      <c r="F254" s="208"/>
      <c r="G254" s="208"/>
      <c r="H254" s="208"/>
      <c r="I254" s="208"/>
      <c r="J254" s="208"/>
      <c r="K254" s="208"/>
      <c r="L254" s="208"/>
      <c r="M254" s="208"/>
      <c r="N254" s="208"/>
      <c r="O254" s="208"/>
      <c r="P254" s="208"/>
      <c r="Q254" s="208"/>
      <c r="R254" s="208"/>
      <c r="S254" s="208"/>
      <c r="T254" s="208"/>
      <c r="U254" s="208"/>
      <c r="V254" s="208"/>
    </row>
    <row r="255" spans="1:22" ht="15.75" customHeight="1" x14ac:dyDescent="0.3">
      <c r="A255" s="208"/>
      <c r="B255" s="208"/>
      <c r="C255" s="208"/>
      <c r="D255" s="208"/>
      <c r="E255" s="208"/>
      <c r="F255" s="208"/>
      <c r="G255" s="208"/>
      <c r="H255" s="208"/>
      <c r="I255" s="208"/>
      <c r="J255" s="208"/>
      <c r="K255" s="208"/>
      <c r="L255" s="208"/>
      <c r="M255" s="208"/>
      <c r="N255" s="208"/>
      <c r="O255" s="208"/>
      <c r="P255" s="208"/>
      <c r="Q255" s="208"/>
      <c r="R255" s="208"/>
      <c r="S255" s="208"/>
      <c r="T255" s="208"/>
      <c r="U255" s="208"/>
      <c r="V255" s="208"/>
    </row>
    <row r="256" spans="1:22" ht="15.75" customHeight="1" x14ac:dyDescent="0.3">
      <c r="A256" s="208"/>
      <c r="B256" s="208"/>
      <c r="C256" s="208"/>
      <c r="D256" s="208"/>
      <c r="E256" s="208"/>
      <c r="F256" s="208"/>
      <c r="G256" s="208"/>
      <c r="H256" s="208"/>
      <c r="I256" s="208"/>
      <c r="J256" s="208"/>
      <c r="K256" s="208"/>
      <c r="L256" s="208"/>
      <c r="M256" s="208"/>
      <c r="N256" s="208"/>
      <c r="O256" s="208"/>
      <c r="P256" s="208"/>
      <c r="Q256" s="208"/>
      <c r="R256" s="208"/>
      <c r="S256" s="208"/>
      <c r="T256" s="208"/>
      <c r="U256" s="208"/>
      <c r="V256" s="208"/>
    </row>
    <row r="257" spans="1:22" ht="15.75" customHeight="1" x14ac:dyDescent="0.3">
      <c r="A257" s="208"/>
      <c r="B257" s="208"/>
      <c r="C257" s="208"/>
      <c r="D257" s="208"/>
      <c r="E257" s="208"/>
      <c r="F257" s="208"/>
      <c r="G257" s="208"/>
      <c r="H257" s="208"/>
      <c r="I257" s="208"/>
      <c r="J257" s="208"/>
      <c r="K257" s="208"/>
      <c r="L257" s="208"/>
      <c r="M257" s="208"/>
      <c r="N257" s="208"/>
      <c r="O257" s="208"/>
      <c r="P257" s="208"/>
      <c r="Q257" s="208"/>
      <c r="R257" s="208"/>
      <c r="S257" s="208"/>
      <c r="T257" s="208"/>
      <c r="U257" s="208"/>
      <c r="V257" s="208"/>
    </row>
    <row r="258" spans="1:22" ht="15.75" customHeight="1" x14ac:dyDescent="0.3">
      <c r="A258" s="208"/>
      <c r="B258" s="208"/>
      <c r="C258" s="208"/>
      <c r="D258" s="208"/>
      <c r="E258" s="208"/>
      <c r="F258" s="208"/>
      <c r="G258" s="208"/>
      <c r="H258" s="208"/>
      <c r="I258" s="208"/>
      <c r="J258" s="208"/>
      <c r="K258" s="208"/>
      <c r="L258" s="208"/>
      <c r="M258" s="208"/>
      <c r="N258" s="208"/>
      <c r="O258" s="208"/>
      <c r="P258" s="208"/>
      <c r="Q258" s="208"/>
      <c r="R258" s="208"/>
      <c r="S258" s="208"/>
      <c r="T258" s="208"/>
      <c r="U258" s="208"/>
      <c r="V258" s="208"/>
    </row>
    <row r="259" spans="1:22" ht="15.75" customHeight="1" x14ac:dyDescent="0.3">
      <c r="A259" s="208"/>
      <c r="B259" s="208"/>
      <c r="C259" s="208"/>
      <c r="D259" s="208"/>
      <c r="E259" s="208"/>
      <c r="F259" s="208"/>
      <c r="G259" s="208"/>
      <c r="H259" s="208"/>
      <c r="I259" s="208"/>
      <c r="J259" s="208"/>
      <c r="K259" s="208"/>
      <c r="L259" s="208"/>
      <c r="M259" s="208"/>
      <c r="N259" s="208"/>
      <c r="O259" s="208"/>
      <c r="P259" s="208"/>
      <c r="Q259" s="208"/>
      <c r="R259" s="208"/>
      <c r="S259" s="208"/>
      <c r="T259" s="208"/>
      <c r="U259" s="208"/>
      <c r="V259" s="208"/>
    </row>
    <row r="260" spans="1:22" ht="15.75" customHeight="1" x14ac:dyDescent="0.3">
      <c r="A260" s="208"/>
      <c r="B260" s="208"/>
      <c r="C260" s="208"/>
      <c r="D260" s="208"/>
      <c r="E260" s="208"/>
      <c r="F260" s="208"/>
      <c r="G260" s="208"/>
      <c r="H260" s="208"/>
      <c r="I260" s="208"/>
      <c r="J260" s="208"/>
      <c r="K260" s="208"/>
      <c r="L260" s="208"/>
      <c r="M260" s="208"/>
      <c r="N260" s="208"/>
      <c r="O260" s="208"/>
      <c r="P260" s="208"/>
      <c r="Q260" s="208"/>
      <c r="R260" s="208"/>
      <c r="S260" s="208"/>
      <c r="T260" s="208"/>
      <c r="U260" s="208"/>
      <c r="V260" s="208"/>
    </row>
    <row r="261" spans="1:22" ht="15.75" customHeight="1" x14ac:dyDescent="0.3">
      <c r="A261" s="208"/>
      <c r="B261" s="208"/>
      <c r="C261" s="208"/>
      <c r="D261" s="208"/>
      <c r="E261" s="208"/>
      <c r="F261" s="208"/>
      <c r="G261" s="208"/>
      <c r="H261" s="208"/>
      <c r="I261" s="208"/>
      <c r="J261" s="208"/>
      <c r="K261" s="208"/>
      <c r="L261" s="208"/>
      <c r="M261" s="208"/>
      <c r="N261" s="208"/>
      <c r="O261" s="208"/>
      <c r="P261" s="208"/>
      <c r="Q261" s="208"/>
      <c r="R261" s="208"/>
      <c r="S261" s="208"/>
      <c r="T261" s="208"/>
      <c r="U261" s="208"/>
      <c r="V261" s="208"/>
    </row>
    <row r="262" spans="1:22" ht="15.75" customHeight="1" x14ac:dyDescent="0.3">
      <c r="A262" s="208"/>
      <c r="B262" s="208"/>
      <c r="C262" s="208"/>
      <c r="D262" s="208"/>
      <c r="E262" s="208"/>
      <c r="F262" s="208"/>
      <c r="G262" s="208"/>
      <c r="H262" s="208"/>
      <c r="I262" s="208"/>
      <c r="J262" s="208"/>
      <c r="K262" s="208"/>
      <c r="L262" s="208"/>
      <c r="M262" s="208"/>
      <c r="N262" s="208"/>
      <c r="O262" s="208"/>
      <c r="P262" s="208"/>
      <c r="Q262" s="208"/>
      <c r="R262" s="208"/>
      <c r="S262" s="208"/>
      <c r="T262" s="208"/>
      <c r="U262" s="208"/>
      <c r="V262" s="208"/>
    </row>
    <row r="263" spans="1:22" ht="15.75" customHeight="1" x14ac:dyDescent="0.3">
      <c r="A263" s="208"/>
      <c r="B263" s="208"/>
      <c r="C263" s="208"/>
      <c r="D263" s="208"/>
      <c r="E263" s="208"/>
      <c r="F263" s="208"/>
      <c r="G263" s="208"/>
      <c r="H263" s="208"/>
      <c r="I263" s="208"/>
      <c r="J263" s="208"/>
      <c r="K263" s="208"/>
      <c r="L263" s="208"/>
      <c r="M263" s="208"/>
      <c r="N263" s="208"/>
      <c r="O263" s="208"/>
      <c r="P263" s="208"/>
      <c r="Q263" s="208"/>
      <c r="R263" s="208"/>
      <c r="S263" s="208"/>
      <c r="T263" s="208"/>
      <c r="U263" s="208"/>
      <c r="V263" s="208"/>
    </row>
    <row r="264" spans="1:22" ht="15.75" customHeight="1" x14ac:dyDescent="0.3">
      <c r="A264" s="208"/>
      <c r="B264" s="208"/>
      <c r="C264" s="208"/>
      <c r="D264" s="208"/>
      <c r="E264" s="208"/>
      <c r="F264" s="208"/>
      <c r="G264" s="208"/>
      <c r="H264" s="208"/>
      <c r="I264" s="208"/>
      <c r="J264" s="208"/>
      <c r="K264" s="208"/>
      <c r="L264" s="208"/>
      <c r="M264" s="208"/>
      <c r="N264" s="208"/>
      <c r="O264" s="208"/>
      <c r="P264" s="208"/>
      <c r="Q264" s="208"/>
      <c r="R264" s="208"/>
      <c r="S264" s="208"/>
      <c r="T264" s="208"/>
      <c r="U264" s="208"/>
      <c r="V264" s="208"/>
    </row>
    <row r="265" spans="1:22" ht="15.75" customHeight="1" x14ac:dyDescent="0.3">
      <c r="A265" s="208"/>
      <c r="B265" s="208"/>
      <c r="C265" s="208"/>
      <c r="D265" s="208"/>
      <c r="E265" s="208"/>
      <c r="F265" s="208"/>
      <c r="G265" s="208"/>
      <c r="H265" s="208"/>
      <c r="I265" s="208"/>
      <c r="J265" s="208"/>
      <c r="K265" s="208"/>
      <c r="L265" s="208"/>
      <c r="M265" s="208"/>
      <c r="N265" s="208"/>
      <c r="O265" s="208"/>
      <c r="P265" s="208"/>
      <c r="Q265" s="208"/>
      <c r="R265" s="208"/>
      <c r="S265" s="208"/>
      <c r="T265" s="208"/>
      <c r="U265" s="208"/>
      <c r="V265" s="208"/>
    </row>
    <row r="266" spans="1:22" ht="15.75" customHeight="1" x14ac:dyDescent="0.3">
      <c r="A266" s="208"/>
      <c r="B266" s="208"/>
      <c r="C266" s="208"/>
      <c r="D266" s="208"/>
      <c r="E266" s="208"/>
      <c r="F266" s="208"/>
      <c r="G266" s="208"/>
      <c r="H266" s="208"/>
      <c r="I266" s="208"/>
      <c r="J266" s="208"/>
      <c r="K266" s="208"/>
      <c r="L266" s="208"/>
      <c r="M266" s="208"/>
      <c r="N266" s="208"/>
      <c r="O266" s="208"/>
      <c r="P266" s="208"/>
      <c r="Q266" s="208"/>
      <c r="R266" s="208"/>
      <c r="S266" s="208"/>
      <c r="T266" s="208"/>
      <c r="U266" s="208"/>
      <c r="V266" s="208"/>
    </row>
    <row r="267" spans="1:22" ht="15.75" customHeight="1" x14ac:dyDescent="0.3">
      <c r="A267" s="208"/>
      <c r="B267" s="208"/>
      <c r="C267" s="208"/>
      <c r="D267" s="208"/>
      <c r="E267" s="208"/>
      <c r="F267" s="208"/>
      <c r="G267" s="208"/>
      <c r="H267" s="208"/>
      <c r="I267" s="208"/>
      <c r="J267" s="208"/>
      <c r="K267" s="208"/>
      <c r="L267" s="208"/>
      <c r="M267" s="208"/>
      <c r="N267" s="208"/>
      <c r="O267" s="208"/>
      <c r="P267" s="208"/>
      <c r="Q267" s="208"/>
      <c r="R267" s="208"/>
      <c r="S267" s="208"/>
      <c r="T267" s="208"/>
      <c r="U267" s="208"/>
      <c r="V267" s="208"/>
    </row>
    <row r="268" spans="1:22" ht="15.75" customHeight="1" x14ac:dyDescent="0.3">
      <c r="A268" s="208"/>
      <c r="B268" s="208"/>
      <c r="C268" s="208"/>
      <c r="D268" s="208"/>
      <c r="E268" s="208"/>
      <c r="F268" s="208"/>
      <c r="G268" s="208"/>
      <c r="H268" s="208"/>
      <c r="I268" s="208"/>
      <c r="J268" s="208"/>
      <c r="K268" s="208"/>
      <c r="L268" s="208"/>
      <c r="M268" s="208"/>
      <c r="N268" s="208"/>
      <c r="O268" s="208"/>
      <c r="P268" s="208"/>
      <c r="Q268" s="208"/>
      <c r="R268" s="208"/>
      <c r="S268" s="208"/>
      <c r="T268" s="208"/>
      <c r="U268" s="208"/>
      <c r="V268" s="208"/>
    </row>
    <row r="269" spans="1:22" ht="15.75" customHeight="1" x14ac:dyDescent="0.3">
      <c r="A269" s="208"/>
      <c r="B269" s="208"/>
      <c r="C269" s="208"/>
      <c r="D269" s="208"/>
      <c r="E269" s="208"/>
      <c r="F269" s="208"/>
      <c r="G269" s="208"/>
      <c r="H269" s="208"/>
      <c r="I269" s="208"/>
      <c r="J269" s="208"/>
      <c r="K269" s="208"/>
      <c r="L269" s="208"/>
      <c r="M269" s="208"/>
      <c r="N269" s="208"/>
      <c r="O269" s="208"/>
      <c r="P269" s="208"/>
      <c r="Q269" s="208"/>
      <c r="R269" s="208"/>
      <c r="S269" s="208"/>
      <c r="T269" s="208"/>
      <c r="U269" s="208"/>
      <c r="V269" s="208"/>
    </row>
    <row r="270" spans="1:22" ht="15.75" customHeight="1" x14ac:dyDescent="0.3">
      <c r="A270" s="208"/>
      <c r="B270" s="208"/>
      <c r="C270" s="208"/>
      <c r="D270" s="208"/>
      <c r="E270" s="208"/>
      <c r="F270" s="208"/>
      <c r="G270" s="208"/>
      <c r="H270" s="208"/>
      <c r="I270" s="208"/>
      <c r="J270" s="208"/>
      <c r="K270" s="208"/>
      <c r="L270" s="208"/>
      <c r="M270" s="208"/>
      <c r="N270" s="208"/>
      <c r="O270" s="208"/>
      <c r="P270" s="208"/>
      <c r="Q270" s="208"/>
      <c r="R270" s="208"/>
      <c r="S270" s="208"/>
      <c r="T270" s="208"/>
      <c r="U270" s="208"/>
      <c r="V270" s="208"/>
    </row>
    <row r="271" spans="1:22" ht="15.75" customHeight="1" x14ac:dyDescent="0.3">
      <c r="A271" s="208"/>
      <c r="B271" s="208"/>
      <c r="C271" s="208"/>
      <c r="D271" s="208"/>
      <c r="E271" s="208"/>
      <c r="F271" s="208"/>
      <c r="G271" s="208"/>
      <c r="H271" s="208"/>
      <c r="I271" s="208"/>
      <c r="J271" s="208"/>
      <c r="K271" s="208"/>
      <c r="L271" s="208"/>
      <c r="M271" s="208"/>
      <c r="N271" s="208"/>
      <c r="O271" s="208"/>
      <c r="P271" s="208"/>
      <c r="Q271" s="208"/>
      <c r="R271" s="208"/>
      <c r="S271" s="208"/>
      <c r="T271" s="208"/>
      <c r="U271" s="208"/>
      <c r="V271" s="208"/>
    </row>
    <row r="272" spans="1:22" ht="15.75" customHeight="1" x14ac:dyDescent="0.3">
      <c r="A272" s="208"/>
      <c r="B272" s="208"/>
      <c r="C272" s="208"/>
      <c r="D272" s="208"/>
      <c r="E272" s="208"/>
      <c r="F272" s="208"/>
      <c r="G272" s="208"/>
      <c r="H272" s="208"/>
      <c r="I272" s="208"/>
      <c r="J272" s="208"/>
      <c r="K272" s="208"/>
      <c r="L272" s="208"/>
      <c r="M272" s="208"/>
      <c r="N272" s="208"/>
      <c r="O272" s="208"/>
      <c r="P272" s="208"/>
      <c r="Q272" s="208"/>
      <c r="R272" s="208"/>
      <c r="S272" s="208"/>
      <c r="T272" s="208"/>
      <c r="U272" s="208"/>
      <c r="V272" s="208"/>
    </row>
    <row r="273" spans="1:22" ht="15.75" customHeight="1" x14ac:dyDescent="0.3">
      <c r="A273" s="208"/>
      <c r="B273" s="208"/>
      <c r="C273" s="208"/>
      <c r="D273" s="208"/>
      <c r="E273" s="208"/>
      <c r="F273" s="208"/>
      <c r="G273" s="208"/>
      <c r="H273" s="208"/>
      <c r="I273" s="208"/>
      <c r="J273" s="208"/>
      <c r="K273" s="208"/>
      <c r="L273" s="208"/>
      <c r="M273" s="208"/>
      <c r="N273" s="208"/>
      <c r="O273" s="208"/>
      <c r="P273" s="208"/>
      <c r="Q273" s="208"/>
      <c r="R273" s="208"/>
      <c r="S273" s="208"/>
      <c r="T273" s="208"/>
      <c r="U273" s="208"/>
      <c r="V273" s="208"/>
    </row>
    <row r="274" spans="1:22" ht="15.75" customHeight="1" x14ac:dyDescent="0.3">
      <c r="A274" s="208"/>
      <c r="B274" s="208"/>
      <c r="C274" s="208"/>
      <c r="D274" s="208"/>
      <c r="E274" s="208"/>
      <c r="F274" s="208"/>
      <c r="G274" s="208"/>
      <c r="H274" s="208"/>
      <c r="I274" s="208"/>
      <c r="J274" s="208"/>
      <c r="K274" s="208"/>
      <c r="L274" s="208"/>
      <c r="M274" s="208"/>
      <c r="N274" s="208"/>
      <c r="O274" s="208"/>
      <c r="P274" s="208"/>
      <c r="Q274" s="208"/>
      <c r="R274" s="208"/>
      <c r="S274" s="208"/>
      <c r="T274" s="208"/>
      <c r="U274" s="208"/>
      <c r="V274" s="208"/>
    </row>
    <row r="275" spans="1:22" ht="15.75" customHeight="1" x14ac:dyDescent="0.3">
      <c r="A275" s="208"/>
      <c r="B275" s="208"/>
      <c r="C275" s="208"/>
      <c r="D275" s="208"/>
      <c r="E275" s="208"/>
      <c r="F275" s="208"/>
      <c r="G275" s="208"/>
      <c r="H275" s="208"/>
      <c r="I275" s="208"/>
      <c r="J275" s="208"/>
      <c r="K275" s="208"/>
      <c r="L275" s="208"/>
      <c r="M275" s="208"/>
      <c r="N275" s="208"/>
      <c r="O275" s="208"/>
      <c r="P275" s="208"/>
      <c r="Q275" s="208"/>
      <c r="R275" s="208"/>
      <c r="S275" s="208"/>
      <c r="T275" s="208"/>
      <c r="U275" s="208"/>
      <c r="V275" s="208"/>
    </row>
    <row r="276" spans="1:22" ht="15.75" customHeight="1" x14ac:dyDescent="0.3">
      <c r="A276" s="208"/>
      <c r="B276" s="208"/>
      <c r="C276" s="208"/>
      <c r="D276" s="208"/>
      <c r="E276" s="208"/>
      <c r="F276" s="208"/>
      <c r="G276" s="208"/>
      <c r="H276" s="208"/>
      <c r="I276" s="208"/>
      <c r="J276" s="208"/>
      <c r="K276" s="208"/>
      <c r="L276" s="208"/>
      <c r="M276" s="208"/>
      <c r="N276" s="208"/>
      <c r="O276" s="208"/>
      <c r="P276" s="208"/>
      <c r="Q276" s="208"/>
      <c r="R276" s="208"/>
      <c r="S276" s="208"/>
      <c r="T276" s="208"/>
      <c r="U276" s="208"/>
      <c r="V276" s="208"/>
    </row>
    <row r="277" spans="1:22" ht="15.75" customHeight="1" x14ac:dyDescent="0.3">
      <c r="A277" s="208"/>
      <c r="B277" s="208"/>
      <c r="C277" s="208"/>
      <c r="D277" s="208"/>
      <c r="E277" s="208"/>
      <c r="F277" s="208"/>
      <c r="G277" s="208"/>
      <c r="H277" s="208"/>
      <c r="I277" s="208"/>
      <c r="J277" s="208"/>
      <c r="K277" s="208"/>
      <c r="L277" s="208"/>
      <c r="M277" s="208"/>
      <c r="N277" s="208"/>
      <c r="O277" s="208"/>
      <c r="P277" s="208"/>
      <c r="Q277" s="208"/>
      <c r="R277" s="208"/>
      <c r="S277" s="208"/>
      <c r="T277" s="208"/>
      <c r="U277" s="208"/>
      <c r="V277" s="208"/>
    </row>
    <row r="278" spans="1:22" ht="15.75" customHeight="1" x14ac:dyDescent="0.3">
      <c r="A278" s="208"/>
      <c r="B278" s="208"/>
      <c r="C278" s="208"/>
      <c r="D278" s="208"/>
      <c r="E278" s="208"/>
      <c r="F278" s="208"/>
      <c r="G278" s="208"/>
      <c r="H278" s="208"/>
      <c r="I278" s="208"/>
      <c r="J278" s="208"/>
      <c r="K278" s="208"/>
      <c r="L278" s="208"/>
      <c r="M278" s="208"/>
      <c r="N278" s="208"/>
      <c r="O278" s="208"/>
      <c r="P278" s="208"/>
      <c r="Q278" s="208"/>
      <c r="R278" s="208"/>
      <c r="S278" s="208"/>
      <c r="T278" s="208"/>
      <c r="U278" s="208"/>
      <c r="V278" s="208"/>
    </row>
    <row r="279" spans="1:22" ht="15.75" customHeight="1" x14ac:dyDescent="0.3">
      <c r="A279" s="208"/>
      <c r="B279" s="208"/>
      <c r="C279" s="208"/>
      <c r="D279" s="208"/>
      <c r="E279" s="208"/>
      <c r="F279" s="208"/>
      <c r="G279" s="208"/>
      <c r="H279" s="208"/>
      <c r="I279" s="208"/>
      <c r="J279" s="208"/>
      <c r="K279" s="208"/>
      <c r="L279" s="208"/>
      <c r="M279" s="208"/>
      <c r="N279" s="208"/>
      <c r="O279" s="208"/>
      <c r="P279" s="208"/>
      <c r="Q279" s="208"/>
      <c r="R279" s="208"/>
      <c r="S279" s="208"/>
      <c r="T279" s="208"/>
      <c r="U279" s="208"/>
      <c r="V279" s="208"/>
    </row>
    <row r="280" spans="1:22" ht="15.75" customHeight="1" x14ac:dyDescent="0.3">
      <c r="A280" s="208"/>
      <c r="B280" s="208"/>
      <c r="C280" s="208"/>
      <c r="D280" s="208"/>
      <c r="E280" s="208"/>
      <c r="F280" s="208"/>
      <c r="G280" s="208"/>
      <c r="H280" s="208"/>
      <c r="I280" s="208"/>
      <c r="J280" s="208"/>
      <c r="K280" s="208"/>
      <c r="L280" s="208"/>
      <c r="M280" s="208"/>
      <c r="N280" s="208"/>
      <c r="O280" s="208"/>
      <c r="P280" s="208"/>
      <c r="Q280" s="208"/>
      <c r="R280" s="208"/>
      <c r="S280" s="208"/>
      <c r="T280" s="208"/>
      <c r="U280" s="208"/>
      <c r="V280" s="208"/>
    </row>
    <row r="281" spans="1:22" ht="15.75" customHeight="1" x14ac:dyDescent="0.3">
      <c r="A281" s="208"/>
      <c r="B281" s="208"/>
      <c r="C281" s="208"/>
      <c r="D281" s="208"/>
      <c r="E281" s="208"/>
      <c r="F281" s="208"/>
      <c r="G281" s="208"/>
      <c r="H281" s="208"/>
      <c r="I281" s="208"/>
      <c r="J281" s="208"/>
      <c r="K281" s="208"/>
      <c r="L281" s="208"/>
      <c r="M281" s="208"/>
      <c r="N281" s="208"/>
      <c r="O281" s="208"/>
      <c r="P281" s="208"/>
      <c r="Q281" s="208"/>
      <c r="R281" s="208"/>
      <c r="S281" s="208"/>
      <c r="T281" s="208"/>
      <c r="U281" s="208"/>
      <c r="V281" s="208"/>
    </row>
    <row r="282" spans="1:22" ht="15.75" customHeight="1" x14ac:dyDescent="0.3">
      <c r="A282" s="208"/>
      <c r="B282" s="208"/>
      <c r="C282" s="208"/>
      <c r="D282" s="208"/>
      <c r="E282" s="208"/>
      <c r="F282" s="208"/>
      <c r="G282" s="208"/>
      <c r="H282" s="208"/>
      <c r="I282" s="208"/>
      <c r="J282" s="208"/>
      <c r="K282" s="208"/>
      <c r="L282" s="208"/>
      <c r="M282" s="208"/>
      <c r="N282" s="208"/>
      <c r="O282" s="208"/>
      <c r="P282" s="208"/>
      <c r="Q282" s="208"/>
      <c r="R282" s="208"/>
      <c r="S282" s="208"/>
      <c r="T282" s="208"/>
      <c r="U282" s="208"/>
      <c r="V282" s="208"/>
    </row>
    <row r="283" spans="1:22" ht="15.75" customHeight="1" x14ac:dyDescent="0.3">
      <c r="A283" s="208"/>
      <c r="B283" s="208"/>
      <c r="C283" s="208"/>
      <c r="D283" s="208"/>
      <c r="E283" s="208"/>
      <c r="F283" s="208"/>
      <c r="G283" s="208"/>
      <c r="H283" s="208"/>
      <c r="I283" s="208"/>
      <c r="J283" s="208"/>
      <c r="K283" s="208"/>
      <c r="L283" s="208"/>
      <c r="M283" s="208"/>
      <c r="N283" s="208"/>
      <c r="O283" s="208"/>
      <c r="P283" s="208"/>
      <c r="Q283" s="208"/>
      <c r="R283" s="208"/>
      <c r="S283" s="208"/>
      <c r="T283" s="208"/>
      <c r="U283" s="208"/>
      <c r="V283" s="208"/>
    </row>
    <row r="284" spans="1:22" ht="15.75" customHeight="1" x14ac:dyDescent="0.3">
      <c r="A284" s="208"/>
      <c r="B284" s="208"/>
      <c r="C284" s="208"/>
      <c r="D284" s="208"/>
      <c r="E284" s="208"/>
      <c r="F284" s="208"/>
      <c r="G284" s="208"/>
      <c r="H284" s="208"/>
      <c r="I284" s="208"/>
      <c r="J284" s="208"/>
      <c r="K284" s="208"/>
      <c r="L284" s="208"/>
      <c r="M284" s="208"/>
      <c r="N284" s="208"/>
      <c r="O284" s="208"/>
      <c r="P284" s="208"/>
      <c r="Q284" s="208"/>
      <c r="R284" s="208"/>
      <c r="S284" s="208"/>
      <c r="T284" s="208"/>
      <c r="U284" s="208"/>
      <c r="V284" s="208"/>
    </row>
    <row r="285" spans="1:22" ht="15.75" customHeight="1" x14ac:dyDescent="0.3">
      <c r="A285" s="208"/>
      <c r="B285" s="208"/>
      <c r="C285" s="208"/>
      <c r="D285" s="208"/>
      <c r="E285" s="208"/>
      <c r="F285" s="208"/>
      <c r="G285" s="208"/>
      <c r="H285" s="208"/>
      <c r="I285" s="208"/>
      <c r="J285" s="208"/>
      <c r="K285" s="208"/>
      <c r="L285" s="208"/>
      <c r="M285" s="208"/>
      <c r="N285" s="208"/>
      <c r="O285" s="208"/>
      <c r="P285" s="208"/>
      <c r="Q285" s="208"/>
      <c r="R285" s="208"/>
      <c r="S285" s="208"/>
      <c r="T285" s="208"/>
      <c r="U285" s="208"/>
      <c r="V285" s="208"/>
    </row>
    <row r="286" spans="1:22" ht="15.75" customHeight="1" x14ac:dyDescent="0.3">
      <c r="A286" s="208"/>
      <c r="B286" s="208"/>
      <c r="C286" s="208"/>
      <c r="D286" s="208"/>
      <c r="E286" s="208"/>
      <c r="F286" s="208"/>
      <c r="G286" s="208"/>
      <c r="H286" s="208"/>
      <c r="I286" s="208"/>
      <c r="J286" s="208"/>
      <c r="K286" s="208"/>
      <c r="L286" s="208"/>
      <c r="M286" s="208"/>
      <c r="N286" s="208"/>
      <c r="O286" s="208"/>
      <c r="P286" s="208"/>
      <c r="Q286" s="208"/>
      <c r="R286" s="208"/>
      <c r="S286" s="208"/>
      <c r="T286" s="208"/>
      <c r="U286" s="208"/>
      <c r="V286" s="208"/>
    </row>
    <row r="287" spans="1:22" ht="15.75" customHeight="1" x14ac:dyDescent="0.3">
      <c r="A287" s="208"/>
      <c r="B287" s="208"/>
      <c r="C287" s="208"/>
      <c r="D287" s="208"/>
      <c r="E287" s="208"/>
      <c r="F287" s="208"/>
      <c r="G287" s="208"/>
      <c r="H287" s="208"/>
      <c r="I287" s="208"/>
      <c r="J287" s="208"/>
      <c r="K287" s="208"/>
      <c r="L287" s="208"/>
      <c r="M287" s="208"/>
      <c r="N287" s="208"/>
      <c r="O287" s="208"/>
      <c r="P287" s="208"/>
      <c r="Q287" s="208"/>
      <c r="R287" s="208"/>
      <c r="S287" s="208"/>
      <c r="T287" s="208"/>
      <c r="U287" s="208"/>
      <c r="V287" s="208"/>
    </row>
    <row r="288" spans="1:22" ht="15.75" customHeight="1" x14ac:dyDescent="0.3">
      <c r="A288" s="208"/>
      <c r="B288" s="208"/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208"/>
      <c r="P288" s="208"/>
      <c r="Q288" s="208"/>
      <c r="R288" s="208"/>
      <c r="S288" s="208"/>
      <c r="T288" s="208"/>
      <c r="U288" s="208"/>
      <c r="V288" s="208"/>
    </row>
    <row r="289" spans="1:22" ht="15.75" customHeight="1" x14ac:dyDescent="0.3">
      <c r="A289" s="208"/>
      <c r="B289" s="208"/>
      <c r="C289" s="208"/>
      <c r="D289" s="208"/>
      <c r="E289" s="208"/>
      <c r="F289" s="208"/>
      <c r="G289" s="208"/>
      <c r="H289" s="208"/>
      <c r="I289" s="208"/>
      <c r="J289" s="208"/>
      <c r="K289" s="208"/>
      <c r="L289" s="208"/>
      <c r="M289" s="208"/>
      <c r="N289" s="208"/>
      <c r="O289" s="208"/>
      <c r="P289" s="208"/>
      <c r="Q289" s="208"/>
      <c r="R289" s="208"/>
      <c r="S289" s="208"/>
      <c r="T289" s="208"/>
      <c r="U289" s="208"/>
      <c r="V289" s="208"/>
    </row>
    <row r="290" spans="1:22" ht="15.75" customHeight="1" x14ac:dyDescent="0.3">
      <c r="A290" s="208"/>
      <c r="B290" s="208"/>
      <c r="C290" s="208"/>
      <c r="D290" s="208"/>
      <c r="E290" s="208"/>
      <c r="F290" s="208"/>
      <c r="G290" s="208"/>
      <c r="H290" s="208"/>
      <c r="I290" s="208"/>
      <c r="J290" s="208"/>
      <c r="K290" s="208"/>
      <c r="L290" s="208"/>
      <c r="M290" s="208"/>
      <c r="N290" s="208"/>
      <c r="O290" s="208"/>
      <c r="P290" s="208"/>
      <c r="Q290" s="208"/>
      <c r="R290" s="208"/>
      <c r="S290" s="208"/>
      <c r="T290" s="208"/>
      <c r="U290" s="208"/>
      <c r="V290" s="208"/>
    </row>
    <row r="291" spans="1:22" ht="15.75" customHeight="1" x14ac:dyDescent="0.3">
      <c r="A291" s="208"/>
      <c r="B291" s="208"/>
      <c r="C291" s="208"/>
      <c r="D291" s="208"/>
      <c r="E291" s="208"/>
      <c r="F291" s="208"/>
      <c r="G291" s="208"/>
      <c r="H291" s="208"/>
      <c r="I291" s="208"/>
      <c r="J291" s="208"/>
      <c r="K291" s="208"/>
      <c r="L291" s="208"/>
      <c r="M291" s="208"/>
      <c r="N291" s="208"/>
      <c r="O291" s="208"/>
      <c r="P291" s="208"/>
      <c r="Q291" s="208"/>
      <c r="R291" s="208"/>
      <c r="S291" s="208"/>
      <c r="T291" s="208"/>
      <c r="U291" s="208"/>
      <c r="V291" s="208"/>
    </row>
    <row r="292" spans="1:22" ht="15.75" customHeight="1" x14ac:dyDescent="0.3">
      <c r="A292" s="208"/>
      <c r="B292" s="208"/>
      <c r="C292" s="208"/>
      <c r="D292" s="208"/>
      <c r="E292" s="208"/>
      <c r="F292" s="208"/>
      <c r="G292" s="208"/>
      <c r="H292" s="208"/>
      <c r="I292" s="208"/>
      <c r="J292" s="208"/>
      <c r="K292" s="208"/>
      <c r="L292" s="208"/>
      <c r="M292" s="208"/>
      <c r="N292" s="208"/>
      <c r="O292" s="208"/>
      <c r="P292" s="208"/>
      <c r="Q292" s="208"/>
      <c r="R292" s="208"/>
      <c r="S292" s="208"/>
      <c r="T292" s="208"/>
      <c r="U292" s="208"/>
      <c r="V292" s="208"/>
    </row>
    <row r="293" spans="1:22" ht="15.75" customHeight="1" x14ac:dyDescent="0.3">
      <c r="A293" s="208"/>
      <c r="B293" s="208"/>
      <c r="C293" s="208"/>
      <c r="D293" s="208"/>
      <c r="E293" s="208"/>
      <c r="F293" s="208"/>
      <c r="G293" s="208"/>
      <c r="H293" s="208"/>
      <c r="I293" s="208"/>
      <c r="J293" s="208"/>
      <c r="K293" s="208"/>
      <c r="L293" s="208"/>
      <c r="M293" s="208"/>
      <c r="N293" s="208"/>
      <c r="O293" s="208"/>
      <c r="P293" s="208"/>
      <c r="Q293" s="208"/>
      <c r="R293" s="208"/>
      <c r="S293" s="208"/>
      <c r="T293" s="208"/>
      <c r="U293" s="208"/>
      <c r="V293" s="208"/>
    </row>
    <row r="294" spans="1:22" ht="15.75" customHeight="1" x14ac:dyDescent="0.3">
      <c r="A294" s="208"/>
      <c r="B294" s="208"/>
      <c r="C294" s="208"/>
      <c r="D294" s="208"/>
      <c r="E294" s="208"/>
      <c r="F294" s="208"/>
      <c r="G294" s="208"/>
      <c r="H294" s="208"/>
      <c r="I294" s="208"/>
      <c r="J294" s="208"/>
      <c r="K294" s="208"/>
      <c r="L294" s="208"/>
      <c r="M294" s="208"/>
      <c r="N294" s="208"/>
      <c r="O294" s="208"/>
      <c r="P294" s="208"/>
      <c r="Q294" s="208"/>
      <c r="R294" s="208"/>
      <c r="S294" s="208"/>
      <c r="T294" s="208"/>
      <c r="U294" s="208"/>
      <c r="V294" s="208"/>
    </row>
    <row r="295" spans="1:22" ht="15.75" customHeight="1" x14ac:dyDescent="0.3">
      <c r="A295" s="208"/>
      <c r="B295" s="208"/>
      <c r="C295" s="208"/>
      <c r="D295" s="208"/>
      <c r="E295" s="208"/>
      <c r="F295" s="208"/>
      <c r="G295" s="208"/>
      <c r="H295" s="208"/>
      <c r="I295" s="208"/>
      <c r="J295" s="208"/>
      <c r="K295" s="208"/>
      <c r="L295" s="208"/>
      <c r="M295" s="208"/>
      <c r="N295" s="208"/>
      <c r="O295" s="208"/>
      <c r="P295" s="208"/>
      <c r="Q295" s="208"/>
      <c r="R295" s="208"/>
      <c r="S295" s="208"/>
      <c r="T295" s="208"/>
      <c r="U295" s="208"/>
      <c r="V295" s="208"/>
    </row>
    <row r="296" spans="1:22" ht="15.75" customHeight="1" x14ac:dyDescent="0.3">
      <c r="A296" s="208"/>
      <c r="B296" s="208"/>
      <c r="C296" s="208"/>
      <c r="D296" s="208"/>
      <c r="E296" s="208"/>
      <c r="F296" s="208"/>
      <c r="G296" s="208"/>
      <c r="H296" s="208"/>
      <c r="I296" s="208"/>
      <c r="J296" s="208"/>
      <c r="K296" s="208"/>
      <c r="L296" s="208"/>
      <c r="M296" s="208"/>
      <c r="N296" s="208"/>
      <c r="O296" s="208"/>
      <c r="P296" s="208"/>
      <c r="Q296" s="208"/>
      <c r="R296" s="208"/>
      <c r="S296" s="208"/>
      <c r="T296" s="208"/>
      <c r="U296" s="208"/>
      <c r="V296" s="208"/>
    </row>
    <row r="297" spans="1:22" ht="15.75" customHeight="1" x14ac:dyDescent="0.3">
      <c r="A297" s="208"/>
      <c r="B297" s="208"/>
      <c r="C297" s="208"/>
      <c r="D297" s="208"/>
      <c r="E297" s="208"/>
      <c r="F297" s="208"/>
      <c r="G297" s="208"/>
      <c r="H297" s="208"/>
      <c r="I297" s="208"/>
      <c r="J297" s="208"/>
      <c r="K297" s="208"/>
      <c r="L297" s="208"/>
      <c r="M297" s="208"/>
      <c r="N297" s="208"/>
      <c r="O297" s="208"/>
      <c r="P297" s="208"/>
      <c r="Q297" s="208"/>
      <c r="R297" s="208"/>
      <c r="S297" s="208"/>
      <c r="T297" s="208"/>
      <c r="U297" s="208"/>
      <c r="V297" s="208"/>
    </row>
    <row r="298" spans="1:22" ht="15.75" customHeight="1" x14ac:dyDescent="0.3">
      <c r="A298" s="208"/>
      <c r="B298" s="208"/>
      <c r="C298" s="208"/>
      <c r="D298" s="208"/>
      <c r="E298" s="208"/>
      <c r="F298" s="208"/>
      <c r="G298" s="208"/>
      <c r="H298" s="208"/>
      <c r="I298" s="208"/>
      <c r="J298" s="208"/>
      <c r="K298" s="208"/>
      <c r="L298" s="208"/>
      <c r="M298" s="208"/>
      <c r="N298" s="208"/>
      <c r="O298" s="208"/>
      <c r="P298" s="208"/>
      <c r="Q298" s="208"/>
      <c r="R298" s="208"/>
      <c r="S298" s="208"/>
      <c r="T298" s="208"/>
      <c r="U298" s="208"/>
      <c r="V298" s="208"/>
    </row>
    <row r="299" spans="1:22" ht="15.75" customHeight="1" x14ac:dyDescent="0.3">
      <c r="A299" s="208"/>
      <c r="B299" s="208"/>
      <c r="C299" s="208"/>
      <c r="D299" s="208"/>
      <c r="E299" s="208"/>
      <c r="F299" s="208"/>
      <c r="G299" s="208"/>
      <c r="H299" s="208"/>
      <c r="I299" s="208"/>
      <c r="J299" s="208"/>
      <c r="K299" s="208"/>
      <c r="L299" s="208"/>
      <c r="M299" s="208"/>
      <c r="N299" s="208"/>
      <c r="O299" s="208"/>
      <c r="P299" s="208"/>
      <c r="Q299" s="208"/>
      <c r="R299" s="208"/>
      <c r="S299" s="208"/>
      <c r="T299" s="208"/>
      <c r="U299" s="208"/>
      <c r="V299" s="208"/>
    </row>
    <row r="300" spans="1:22" ht="15.75" customHeight="1" x14ac:dyDescent="0.3">
      <c r="A300" s="208"/>
      <c r="B300" s="208"/>
      <c r="C300" s="208"/>
      <c r="D300" s="208"/>
      <c r="E300" s="208"/>
      <c r="F300" s="208"/>
      <c r="G300" s="208"/>
      <c r="H300" s="208"/>
      <c r="I300" s="208"/>
      <c r="J300" s="208"/>
      <c r="K300" s="208"/>
      <c r="L300" s="208"/>
      <c r="M300" s="208"/>
      <c r="N300" s="208"/>
      <c r="O300" s="208"/>
      <c r="P300" s="208"/>
      <c r="Q300" s="208"/>
      <c r="R300" s="208"/>
      <c r="S300" s="208"/>
      <c r="T300" s="208"/>
      <c r="U300" s="208"/>
      <c r="V300" s="208"/>
    </row>
    <row r="301" spans="1:22" ht="15.75" customHeight="1" x14ac:dyDescent="0.3">
      <c r="A301" s="208"/>
      <c r="B301" s="208"/>
      <c r="C301" s="208"/>
      <c r="D301" s="208"/>
      <c r="E301" s="208"/>
      <c r="F301" s="208"/>
      <c r="G301" s="208"/>
      <c r="H301" s="208"/>
      <c r="I301" s="208"/>
      <c r="J301" s="208"/>
      <c r="K301" s="208"/>
      <c r="L301" s="208"/>
      <c r="M301" s="208"/>
      <c r="N301" s="208"/>
      <c r="O301" s="208"/>
      <c r="P301" s="208"/>
      <c r="Q301" s="208"/>
      <c r="R301" s="208"/>
      <c r="S301" s="208"/>
      <c r="T301" s="208"/>
      <c r="U301" s="208"/>
      <c r="V301" s="208"/>
    </row>
    <row r="302" spans="1:22" ht="15.75" customHeight="1" x14ac:dyDescent="0.3">
      <c r="A302" s="208"/>
      <c r="B302" s="208"/>
      <c r="C302" s="208"/>
      <c r="D302" s="208"/>
      <c r="E302" s="208"/>
      <c r="F302" s="208"/>
      <c r="G302" s="208"/>
      <c r="H302" s="208"/>
      <c r="I302" s="208"/>
      <c r="J302" s="208"/>
      <c r="K302" s="208"/>
      <c r="L302" s="208"/>
      <c r="M302" s="208"/>
      <c r="N302" s="208"/>
      <c r="O302" s="208"/>
      <c r="P302" s="208"/>
      <c r="Q302" s="208"/>
      <c r="R302" s="208"/>
      <c r="S302" s="208"/>
      <c r="T302" s="208"/>
      <c r="U302" s="208"/>
      <c r="V302" s="208"/>
    </row>
    <row r="303" spans="1:22" ht="15.75" customHeight="1" x14ac:dyDescent="0.3">
      <c r="A303" s="208"/>
      <c r="B303" s="208"/>
      <c r="C303" s="208"/>
      <c r="D303" s="208"/>
      <c r="E303" s="208"/>
      <c r="F303" s="208"/>
      <c r="G303" s="208"/>
      <c r="H303" s="208"/>
      <c r="I303" s="208"/>
      <c r="J303" s="208"/>
      <c r="K303" s="208"/>
      <c r="L303" s="208"/>
      <c r="M303" s="208"/>
      <c r="N303" s="208"/>
      <c r="O303" s="208"/>
      <c r="P303" s="208"/>
      <c r="Q303" s="208"/>
      <c r="R303" s="208"/>
      <c r="S303" s="208"/>
      <c r="T303" s="208"/>
      <c r="U303" s="208"/>
      <c r="V303" s="208"/>
    </row>
    <row r="304" spans="1:22" ht="15.75" customHeight="1" x14ac:dyDescent="0.3">
      <c r="A304" s="208"/>
      <c r="B304" s="208"/>
      <c r="C304" s="208"/>
      <c r="D304" s="208"/>
      <c r="E304" s="208"/>
      <c r="F304" s="208"/>
      <c r="G304" s="208"/>
      <c r="H304" s="208"/>
      <c r="I304" s="208"/>
      <c r="J304" s="208"/>
      <c r="K304" s="208"/>
      <c r="L304" s="208"/>
      <c r="M304" s="208"/>
      <c r="N304" s="208"/>
      <c r="O304" s="208"/>
      <c r="P304" s="208"/>
      <c r="Q304" s="208"/>
      <c r="R304" s="208"/>
      <c r="S304" s="208"/>
      <c r="T304" s="208"/>
      <c r="U304" s="208"/>
      <c r="V304" s="208"/>
    </row>
    <row r="305" spans="1:22" ht="15.75" customHeight="1" x14ac:dyDescent="0.3">
      <c r="A305" s="208"/>
      <c r="B305" s="208"/>
      <c r="C305" s="208"/>
      <c r="D305" s="208"/>
      <c r="E305" s="208"/>
      <c r="F305" s="208"/>
      <c r="G305" s="208"/>
      <c r="H305" s="208"/>
      <c r="I305" s="208"/>
      <c r="J305" s="208"/>
      <c r="K305" s="208"/>
      <c r="L305" s="208"/>
      <c r="M305" s="208"/>
      <c r="N305" s="208"/>
      <c r="O305" s="208"/>
      <c r="P305" s="208"/>
      <c r="Q305" s="208"/>
      <c r="R305" s="208"/>
      <c r="S305" s="208"/>
      <c r="T305" s="208"/>
      <c r="U305" s="208"/>
      <c r="V305" s="208"/>
    </row>
    <row r="306" spans="1:22" ht="15.75" customHeight="1" x14ac:dyDescent="0.3">
      <c r="A306" s="208"/>
      <c r="B306" s="208"/>
      <c r="C306" s="208"/>
      <c r="D306" s="208"/>
      <c r="E306" s="208"/>
      <c r="F306" s="208"/>
      <c r="G306" s="208"/>
      <c r="H306" s="208"/>
      <c r="I306" s="208"/>
      <c r="J306" s="208"/>
      <c r="K306" s="208"/>
      <c r="L306" s="208"/>
      <c r="M306" s="208"/>
      <c r="N306" s="208"/>
      <c r="O306" s="208"/>
      <c r="P306" s="208"/>
      <c r="Q306" s="208"/>
      <c r="R306" s="208"/>
      <c r="S306" s="208"/>
      <c r="T306" s="208"/>
      <c r="U306" s="208"/>
      <c r="V306" s="208"/>
    </row>
    <row r="307" spans="1:22" ht="15.75" customHeight="1" x14ac:dyDescent="0.3">
      <c r="A307" s="208"/>
      <c r="B307" s="208"/>
      <c r="C307" s="208"/>
      <c r="D307" s="208"/>
      <c r="E307" s="208"/>
      <c r="F307" s="208"/>
      <c r="G307" s="208"/>
      <c r="H307" s="208"/>
      <c r="I307" s="208"/>
      <c r="J307" s="208"/>
      <c r="K307" s="208"/>
      <c r="L307" s="208"/>
      <c r="M307" s="208"/>
      <c r="N307" s="208"/>
      <c r="O307" s="208"/>
      <c r="P307" s="208"/>
      <c r="Q307" s="208"/>
      <c r="R307" s="208"/>
      <c r="S307" s="208"/>
      <c r="T307" s="208"/>
      <c r="U307" s="208"/>
      <c r="V307" s="208"/>
    </row>
    <row r="308" spans="1:22" ht="15.75" customHeight="1" x14ac:dyDescent="0.3">
      <c r="A308" s="208"/>
      <c r="B308" s="208"/>
      <c r="C308" s="208"/>
      <c r="D308" s="208"/>
      <c r="E308" s="208"/>
      <c r="F308" s="208"/>
      <c r="G308" s="208"/>
      <c r="H308" s="208"/>
      <c r="I308" s="208"/>
      <c r="J308" s="208"/>
      <c r="K308" s="208"/>
      <c r="L308" s="208"/>
      <c r="M308" s="208"/>
      <c r="N308" s="208"/>
      <c r="O308" s="208"/>
      <c r="P308" s="208"/>
      <c r="Q308" s="208"/>
      <c r="R308" s="208"/>
      <c r="S308" s="208"/>
      <c r="T308" s="208"/>
      <c r="U308" s="208"/>
      <c r="V308" s="208"/>
    </row>
    <row r="309" spans="1:22" ht="15.75" customHeight="1" x14ac:dyDescent="0.3">
      <c r="A309" s="208"/>
      <c r="B309" s="208"/>
      <c r="C309" s="208"/>
      <c r="D309" s="208"/>
      <c r="E309" s="208"/>
      <c r="F309" s="208"/>
      <c r="G309" s="208"/>
      <c r="H309" s="208"/>
      <c r="I309" s="208"/>
      <c r="J309" s="208"/>
      <c r="K309" s="208"/>
      <c r="L309" s="208"/>
      <c r="M309" s="208"/>
      <c r="N309" s="208"/>
      <c r="O309" s="208"/>
      <c r="P309" s="208"/>
      <c r="Q309" s="208"/>
      <c r="R309" s="208"/>
      <c r="S309" s="208"/>
      <c r="T309" s="208"/>
      <c r="U309" s="208"/>
      <c r="V309" s="208"/>
    </row>
    <row r="310" spans="1:22" ht="15.75" customHeight="1" x14ac:dyDescent="0.3">
      <c r="A310" s="208"/>
      <c r="B310" s="208"/>
      <c r="C310" s="208"/>
      <c r="D310" s="208"/>
      <c r="E310" s="208"/>
      <c r="F310" s="208"/>
      <c r="G310" s="208"/>
      <c r="H310" s="208"/>
      <c r="I310" s="208"/>
      <c r="J310" s="208"/>
      <c r="K310" s="208"/>
      <c r="L310" s="208"/>
      <c r="M310" s="208"/>
      <c r="N310" s="208"/>
      <c r="O310" s="208"/>
      <c r="P310" s="208"/>
      <c r="Q310" s="208"/>
      <c r="R310" s="208"/>
      <c r="S310" s="208"/>
      <c r="T310" s="208"/>
      <c r="U310" s="208"/>
      <c r="V310" s="208"/>
    </row>
    <row r="311" spans="1:22" ht="15.75" customHeight="1" x14ac:dyDescent="0.3">
      <c r="A311" s="208"/>
      <c r="B311" s="208"/>
      <c r="C311" s="208"/>
      <c r="D311" s="208"/>
      <c r="E311" s="208"/>
      <c r="F311" s="208"/>
      <c r="G311" s="208"/>
      <c r="H311" s="208"/>
      <c r="I311" s="208"/>
      <c r="J311" s="208"/>
      <c r="K311" s="208"/>
      <c r="L311" s="208"/>
      <c r="M311" s="208"/>
      <c r="N311" s="208"/>
      <c r="O311" s="208"/>
      <c r="P311" s="208"/>
      <c r="Q311" s="208"/>
      <c r="R311" s="208"/>
      <c r="S311" s="208"/>
      <c r="T311" s="208"/>
      <c r="U311" s="208"/>
      <c r="V311" s="208"/>
    </row>
    <row r="312" spans="1:22" ht="15.75" customHeight="1" x14ac:dyDescent="0.3">
      <c r="A312" s="208"/>
      <c r="B312" s="208"/>
      <c r="C312" s="208"/>
      <c r="D312" s="208"/>
      <c r="E312" s="208"/>
      <c r="F312" s="208"/>
      <c r="G312" s="208"/>
      <c r="H312" s="208"/>
      <c r="I312" s="208"/>
      <c r="J312" s="208"/>
      <c r="K312" s="208"/>
      <c r="L312" s="208"/>
      <c r="M312" s="208"/>
      <c r="N312" s="208"/>
      <c r="O312" s="208"/>
      <c r="P312" s="208"/>
      <c r="Q312" s="208"/>
      <c r="R312" s="208"/>
      <c r="S312" s="208"/>
      <c r="T312" s="208"/>
      <c r="U312" s="208"/>
      <c r="V312" s="208"/>
    </row>
    <row r="313" spans="1:22" ht="15.75" customHeight="1" x14ac:dyDescent="0.3">
      <c r="A313" s="208"/>
      <c r="B313" s="208"/>
      <c r="C313" s="208"/>
      <c r="D313" s="208"/>
      <c r="E313" s="208"/>
      <c r="F313" s="208"/>
      <c r="G313" s="208"/>
      <c r="H313" s="208"/>
      <c r="I313" s="208"/>
      <c r="J313" s="208"/>
      <c r="K313" s="208"/>
      <c r="L313" s="208"/>
      <c r="M313" s="208"/>
      <c r="N313" s="208"/>
      <c r="O313" s="208"/>
      <c r="P313" s="208"/>
      <c r="Q313" s="208"/>
      <c r="R313" s="208"/>
      <c r="S313" s="208"/>
      <c r="T313" s="208"/>
      <c r="U313" s="208"/>
      <c r="V313" s="208"/>
    </row>
    <row r="314" spans="1:22" ht="15.75" customHeight="1" x14ac:dyDescent="0.3">
      <c r="A314" s="208"/>
      <c r="B314" s="208"/>
      <c r="C314" s="208"/>
      <c r="D314" s="208"/>
      <c r="E314" s="208"/>
      <c r="F314" s="208"/>
      <c r="G314" s="208"/>
      <c r="H314" s="208"/>
      <c r="I314" s="208"/>
      <c r="J314" s="208"/>
      <c r="K314" s="208"/>
      <c r="L314" s="208"/>
      <c r="M314" s="208"/>
      <c r="N314" s="208"/>
      <c r="O314" s="208"/>
      <c r="P314" s="208"/>
      <c r="Q314" s="208"/>
      <c r="R314" s="208"/>
      <c r="S314" s="208"/>
      <c r="T314" s="208"/>
      <c r="U314" s="208"/>
      <c r="V314" s="208"/>
    </row>
    <row r="315" spans="1:22" ht="15.75" customHeight="1" x14ac:dyDescent="0.3">
      <c r="A315" s="208"/>
      <c r="B315" s="208"/>
      <c r="C315" s="208"/>
      <c r="D315" s="208"/>
      <c r="E315" s="208"/>
      <c r="F315" s="208"/>
      <c r="G315" s="208"/>
      <c r="H315" s="208"/>
      <c r="I315" s="208"/>
      <c r="J315" s="208"/>
      <c r="K315" s="208"/>
      <c r="L315" s="208"/>
      <c r="M315" s="208"/>
      <c r="N315" s="208"/>
      <c r="O315" s="208"/>
      <c r="P315" s="208"/>
      <c r="Q315" s="208"/>
      <c r="R315" s="208"/>
      <c r="S315" s="208"/>
      <c r="T315" s="208"/>
      <c r="U315" s="208"/>
      <c r="V315" s="208"/>
    </row>
    <row r="316" spans="1:22" ht="15.75" customHeight="1" x14ac:dyDescent="0.3">
      <c r="A316" s="208"/>
      <c r="B316" s="208"/>
      <c r="C316" s="208"/>
      <c r="D316" s="208"/>
      <c r="E316" s="208"/>
      <c r="F316" s="208"/>
      <c r="G316" s="208"/>
      <c r="H316" s="208"/>
      <c r="I316" s="208"/>
      <c r="J316" s="208"/>
      <c r="K316" s="208"/>
      <c r="L316" s="208"/>
      <c r="M316" s="208"/>
      <c r="N316" s="208"/>
      <c r="O316" s="208"/>
      <c r="P316" s="208"/>
      <c r="Q316" s="208"/>
      <c r="R316" s="208"/>
      <c r="S316" s="208"/>
      <c r="T316" s="208"/>
      <c r="U316" s="208"/>
      <c r="V316" s="208"/>
    </row>
    <row r="317" spans="1:22" ht="15.75" customHeight="1" x14ac:dyDescent="0.3">
      <c r="A317" s="208"/>
      <c r="B317" s="208"/>
      <c r="C317" s="208"/>
      <c r="D317" s="208"/>
      <c r="E317" s="208"/>
      <c r="F317" s="208"/>
      <c r="G317" s="208"/>
      <c r="H317" s="208"/>
      <c r="I317" s="208"/>
      <c r="J317" s="208"/>
      <c r="K317" s="208"/>
      <c r="L317" s="208"/>
      <c r="M317" s="208"/>
      <c r="N317" s="208"/>
      <c r="O317" s="208"/>
      <c r="P317" s="208"/>
      <c r="Q317" s="208"/>
      <c r="R317" s="208"/>
      <c r="S317" s="208"/>
      <c r="T317" s="208"/>
      <c r="U317" s="208"/>
      <c r="V317" s="208"/>
    </row>
    <row r="318" spans="1:22" ht="15.75" customHeight="1" x14ac:dyDescent="0.3">
      <c r="A318" s="208"/>
      <c r="B318" s="208"/>
      <c r="C318" s="208"/>
      <c r="D318" s="208"/>
      <c r="E318" s="208"/>
      <c r="F318" s="208"/>
      <c r="G318" s="208"/>
      <c r="H318" s="208"/>
      <c r="I318" s="208"/>
      <c r="J318" s="208"/>
      <c r="K318" s="208"/>
      <c r="L318" s="208"/>
      <c r="M318" s="208"/>
      <c r="N318" s="208"/>
      <c r="O318" s="208"/>
      <c r="P318" s="208"/>
      <c r="Q318" s="208"/>
      <c r="R318" s="208"/>
      <c r="S318" s="208"/>
      <c r="T318" s="208"/>
      <c r="U318" s="208"/>
      <c r="V318" s="208"/>
    </row>
    <row r="319" spans="1:22" ht="15.75" customHeight="1" x14ac:dyDescent="0.3">
      <c r="A319" s="208"/>
      <c r="B319" s="208"/>
      <c r="C319" s="208"/>
      <c r="D319" s="208"/>
      <c r="E319" s="208"/>
      <c r="F319" s="208"/>
      <c r="G319" s="208"/>
      <c r="H319" s="208"/>
      <c r="I319" s="208"/>
      <c r="J319" s="208"/>
      <c r="K319" s="208"/>
      <c r="L319" s="208"/>
      <c r="M319" s="208"/>
      <c r="N319" s="208"/>
      <c r="O319" s="208"/>
      <c r="P319" s="208"/>
      <c r="Q319" s="208"/>
      <c r="R319" s="208"/>
      <c r="S319" s="208"/>
      <c r="T319" s="208"/>
      <c r="U319" s="208"/>
      <c r="V319" s="208"/>
    </row>
    <row r="320" spans="1:22" ht="15.75" customHeight="1" x14ac:dyDescent="0.3">
      <c r="A320" s="208"/>
      <c r="B320" s="208"/>
      <c r="C320" s="208"/>
      <c r="D320" s="208"/>
      <c r="E320" s="208"/>
      <c r="F320" s="208"/>
      <c r="G320" s="208"/>
      <c r="H320" s="208"/>
      <c r="I320" s="208"/>
      <c r="J320" s="208"/>
      <c r="K320" s="208"/>
      <c r="L320" s="208"/>
      <c r="M320" s="208"/>
      <c r="N320" s="208"/>
      <c r="O320" s="208"/>
      <c r="P320" s="208"/>
      <c r="Q320" s="208"/>
      <c r="R320" s="208"/>
      <c r="S320" s="208"/>
      <c r="T320" s="208"/>
      <c r="U320" s="208"/>
      <c r="V320" s="208"/>
    </row>
    <row r="321" spans="1:22" ht="15.75" customHeight="1" x14ac:dyDescent="0.3">
      <c r="A321" s="208"/>
      <c r="B321" s="208"/>
      <c r="C321" s="208"/>
      <c r="D321" s="208"/>
      <c r="E321" s="208"/>
      <c r="F321" s="208"/>
      <c r="G321" s="208"/>
      <c r="H321" s="208"/>
      <c r="I321" s="208"/>
      <c r="J321" s="208"/>
      <c r="K321" s="208"/>
      <c r="L321" s="208"/>
      <c r="M321" s="208"/>
      <c r="N321" s="208"/>
      <c r="O321" s="208"/>
      <c r="P321" s="208"/>
      <c r="Q321" s="208"/>
      <c r="R321" s="208"/>
      <c r="S321" s="208"/>
      <c r="T321" s="208"/>
      <c r="U321" s="208"/>
      <c r="V321" s="208"/>
    </row>
    <row r="322" spans="1:22" ht="15.75" customHeight="1" x14ac:dyDescent="0.3">
      <c r="A322" s="208"/>
      <c r="B322" s="208"/>
      <c r="C322" s="208"/>
      <c r="D322" s="208"/>
      <c r="E322" s="208"/>
      <c r="F322" s="208"/>
      <c r="G322" s="208"/>
      <c r="H322" s="208"/>
      <c r="I322" s="208"/>
      <c r="J322" s="208"/>
      <c r="K322" s="208"/>
      <c r="L322" s="208"/>
      <c r="M322" s="208"/>
      <c r="N322" s="208"/>
      <c r="O322" s="208"/>
      <c r="P322" s="208"/>
      <c r="Q322" s="208"/>
      <c r="R322" s="208"/>
      <c r="S322" s="208"/>
      <c r="T322" s="208"/>
      <c r="U322" s="208"/>
      <c r="V322" s="208"/>
    </row>
    <row r="323" spans="1:22" ht="15.75" customHeight="1" x14ac:dyDescent="0.3">
      <c r="A323" s="208"/>
      <c r="B323" s="208"/>
      <c r="C323" s="208"/>
      <c r="D323" s="208"/>
      <c r="E323" s="208"/>
      <c r="F323" s="208"/>
      <c r="G323" s="208"/>
      <c r="H323" s="208"/>
      <c r="I323" s="208"/>
      <c r="J323" s="208"/>
      <c r="K323" s="208"/>
      <c r="L323" s="208"/>
      <c r="M323" s="208"/>
      <c r="N323" s="208"/>
      <c r="O323" s="208"/>
      <c r="P323" s="208"/>
      <c r="Q323" s="208"/>
      <c r="R323" s="208"/>
      <c r="S323" s="208"/>
      <c r="T323" s="208"/>
      <c r="U323" s="208"/>
      <c r="V323" s="208"/>
    </row>
    <row r="324" spans="1:22" ht="15.75" customHeight="1" x14ac:dyDescent="0.3">
      <c r="A324" s="208"/>
      <c r="B324" s="208"/>
      <c r="C324" s="208"/>
      <c r="D324" s="208"/>
      <c r="E324" s="208"/>
      <c r="F324" s="208"/>
      <c r="G324" s="208"/>
      <c r="H324" s="208"/>
      <c r="I324" s="208"/>
      <c r="J324" s="208"/>
      <c r="K324" s="208"/>
      <c r="L324" s="208"/>
      <c r="M324" s="208"/>
      <c r="N324" s="208"/>
      <c r="O324" s="208"/>
      <c r="P324" s="208"/>
      <c r="Q324" s="208"/>
      <c r="R324" s="208"/>
      <c r="S324" s="208"/>
      <c r="T324" s="208"/>
      <c r="U324" s="208"/>
      <c r="V324" s="208"/>
    </row>
    <row r="325" spans="1:22" ht="15.75" customHeight="1" x14ac:dyDescent="0.3">
      <c r="A325" s="208"/>
      <c r="B325" s="208"/>
      <c r="C325" s="208"/>
      <c r="D325" s="208"/>
      <c r="E325" s="208"/>
      <c r="F325" s="208"/>
      <c r="G325" s="208"/>
      <c r="H325" s="208"/>
      <c r="I325" s="208"/>
      <c r="J325" s="208"/>
      <c r="K325" s="208"/>
      <c r="L325" s="208"/>
      <c r="M325" s="208"/>
      <c r="N325" s="208"/>
      <c r="O325" s="208"/>
      <c r="P325" s="208"/>
      <c r="Q325" s="208"/>
      <c r="R325" s="208"/>
      <c r="S325" s="208"/>
      <c r="T325" s="208"/>
      <c r="U325" s="208"/>
      <c r="V325" s="208"/>
    </row>
    <row r="326" spans="1:22" ht="15.75" customHeight="1" x14ac:dyDescent="0.3">
      <c r="A326" s="208"/>
      <c r="B326" s="208"/>
      <c r="C326" s="208"/>
      <c r="D326" s="208"/>
      <c r="E326" s="208"/>
      <c r="F326" s="208"/>
      <c r="G326" s="208"/>
      <c r="H326" s="208"/>
      <c r="I326" s="208"/>
      <c r="J326" s="208"/>
      <c r="K326" s="208"/>
      <c r="L326" s="208"/>
      <c r="M326" s="208"/>
      <c r="N326" s="208"/>
      <c r="O326" s="208"/>
      <c r="P326" s="208"/>
      <c r="Q326" s="208"/>
      <c r="R326" s="208"/>
      <c r="S326" s="208"/>
      <c r="T326" s="208"/>
      <c r="U326" s="208"/>
      <c r="V326" s="208"/>
    </row>
    <row r="327" spans="1:22" ht="15.75" customHeight="1" x14ac:dyDescent="0.3">
      <c r="A327" s="208"/>
      <c r="B327" s="208"/>
      <c r="C327" s="208"/>
      <c r="D327" s="208"/>
      <c r="E327" s="208"/>
      <c r="F327" s="208"/>
      <c r="G327" s="208"/>
      <c r="H327" s="208"/>
      <c r="I327" s="208"/>
      <c r="J327" s="208"/>
      <c r="K327" s="208"/>
      <c r="L327" s="208"/>
      <c r="M327" s="208"/>
      <c r="N327" s="208"/>
      <c r="O327" s="208"/>
      <c r="P327" s="208"/>
      <c r="Q327" s="208"/>
      <c r="R327" s="208"/>
      <c r="S327" s="208"/>
      <c r="T327" s="208"/>
      <c r="U327" s="208"/>
      <c r="V327" s="208"/>
    </row>
    <row r="328" spans="1:22" ht="15.75" customHeight="1" x14ac:dyDescent="0.3">
      <c r="A328" s="208"/>
      <c r="B328" s="208"/>
      <c r="C328" s="208"/>
      <c r="D328" s="208"/>
      <c r="E328" s="208"/>
      <c r="F328" s="208"/>
      <c r="G328" s="208"/>
      <c r="H328" s="208"/>
      <c r="I328" s="208"/>
      <c r="J328" s="208"/>
      <c r="K328" s="208"/>
      <c r="L328" s="208"/>
      <c r="M328" s="208"/>
      <c r="N328" s="208"/>
      <c r="O328" s="208"/>
      <c r="P328" s="208"/>
      <c r="Q328" s="208"/>
      <c r="R328" s="208"/>
      <c r="S328" s="208"/>
      <c r="T328" s="208"/>
      <c r="U328" s="208"/>
      <c r="V328" s="208"/>
    </row>
    <row r="329" spans="1:22" ht="15.75" customHeight="1" x14ac:dyDescent="0.3">
      <c r="A329" s="208"/>
      <c r="B329" s="208"/>
      <c r="C329" s="208"/>
      <c r="D329" s="208"/>
      <c r="E329" s="208"/>
      <c r="F329" s="208"/>
      <c r="G329" s="208"/>
      <c r="H329" s="208"/>
      <c r="I329" s="208"/>
      <c r="J329" s="208"/>
      <c r="K329" s="208"/>
      <c r="L329" s="208"/>
      <c r="M329" s="208"/>
      <c r="N329" s="208"/>
      <c r="O329" s="208"/>
      <c r="P329" s="208"/>
      <c r="Q329" s="208"/>
      <c r="R329" s="208"/>
      <c r="S329" s="208"/>
      <c r="T329" s="208"/>
      <c r="U329" s="208"/>
      <c r="V329" s="208"/>
    </row>
    <row r="330" spans="1:22" ht="15.75" customHeight="1" x14ac:dyDescent="0.3">
      <c r="A330" s="208"/>
      <c r="B330" s="208"/>
      <c r="C330" s="208"/>
      <c r="D330" s="208"/>
      <c r="E330" s="208"/>
      <c r="F330" s="208"/>
      <c r="G330" s="208"/>
      <c r="H330" s="208"/>
      <c r="I330" s="208"/>
      <c r="J330" s="208"/>
      <c r="K330" s="208"/>
      <c r="L330" s="208"/>
      <c r="M330" s="208"/>
      <c r="N330" s="208"/>
      <c r="O330" s="208"/>
      <c r="P330" s="208"/>
      <c r="Q330" s="208"/>
      <c r="R330" s="208"/>
      <c r="S330" s="208"/>
      <c r="T330" s="208"/>
      <c r="U330" s="208"/>
      <c r="V330" s="208"/>
    </row>
    <row r="331" spans="1:22" ht="15.75" customHeight="1" x14ac:dyDescent="0.3">
      <c r="A331" s="208"/>
      <c r="B331" s="208"/>
      <c r="C331" s="208"/>
      <c r="D331" s="208"/>
      <c r="E331" s="208"/>
      <c r="F331" s="208"/>
      <c r="G331" s="208"/>
      <c r="H331" s="208"/>
      <c r="I331" s="208"/>
      <c r="J331" s="208"/>
      <c r="K331" s="208"/>
      <c r="L331" s="208"/>
      <c r="M331" s="208"/>
      <c r="N331" s="208"/>
      <c r="O331" s="208"/>
      <c r="P331" s="208"/>
      <c r="Q331" s="208"/>
      <c r="R331" s="208"/>
      <c r="S331" s="208"/>
      <c r="T331" s="208"/>
      <c r="U331" s="208"/>
      <c r="V331" s="208"/>
    </row>
    <row r="332" spans="1:22" ht="15.75" customHeight="1" x14ac:dyDescent="0.3">
      <c r="A332" s="208"/>
      <c r="B332" s="208"/>
      <c r="C332" s="208"/>
      <c r="D332" s="208"/>
      <c r="E332" s="208"/>
      <c r="F332" s="208"/>
      <c r="G332" s="208"/>
      <c r="H332" s="208"/>
      <c r="I332" s="208"/>
      <c r="J332" s="208"/>
      <c r="K332" s="208"/>
      <c r="L332" s="208"/>
      <c r="M332" s="208"/>
      <c r="N332" s="208"/>
      <c r="O332" s="208"/>
      <c r="P332" s="208"/>
      <c r="Q332" s="208"/>
      <c r="R332" s="208"/>
      <c r="S332" s="208"/>
      <c r="T332" s="208"/>
      <c r="U332" s="208"/>
      <c r="V332" s="208"/>
    </row>
    <row r="333" spans="1:22" ht="15.75" customHeight="1" x14ac:dyDescent="0.3">
      <c r="A333" s="208"/>
      <c r="B333" s="208"/>
      <c r="C333" s="208"/>
      <c r="D333" s="208"/>
      <c r="E333" s="208"/>
      <c r="F333" s="208"/>
      <c r="G333" s="208"/>
      <c r="H333" s="208"/>
      <c r="I333" s="208"/>
      <c r="J333" s="208"/>
      <c r="K333" s="208"/>
      <c r="L333" s="208"/>
      <c r="M333" s="208"/>
      <c r="N333" s="208"/>
      <c r="O333" s="208"/>
      <c r="P333" s="208"/>
      <c r="Q333" s="208"/>
      <c r="R333" s="208"/>
      <c r="S333" s="208"/>
      <c r="T333" s="208"/>
      <c r="U333" s="208"/>
      <c r="V333" s="208"/>
    </row>
    <row r="334" spans="1:22" ht="15.75" customHeight="1" x14ac:dyDescent="0.3">
      <c r="A334" s="208"/>
      <c r="B334" s="208"/>
      <c r="C334" s="208"/>
      <c r="D334" s="208"/>
      <c r="E334" s="208"/>
      <c r="F334" s="208"/>
      <c r="G334" s="208"/>
      <c r="H334" s="208"/>
      <c r="I334" s="208"/>
      <c r="J334" s="208"/>
      <c r="K334" s="208"/>
      <c r="L334" s="208"/>
      <c r="M334" s="208"/>
      <c r="N334" s="208"/>
      <c r="O334" s="208"/>
      <c r="P334" s="208"/>
      <c r="Q334" s="208"/>
      <c r="R334" s="208"/>
      <c r="S334" s="208"/>
      <c r="T334" s="208"/>
      <c r="U334" s="208"/>
      <c r="V334" s="208"/>
    </row>
    <row r="335" spans="1:22" ht="15.75" customHeight="1" x14ac:dyDescent="0.3">
      <c r="A335" s="208"/>
      <c r="B335" s="208"/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208"/>
      <c r="P335" s="208"/>
      <c r="Q335" s="208"/>
      <c r="R335" s="208"/>
      <c r="S335" s="208"/>
      <c r="T335" s="208"/>
      <c r="U335" s="208"/>
      <c r="V335" s="208"/>
    </row>
    <row r="336" spans="1:22" ht="15.75" customHeight="1" x14ac:dyDescent="0.3">
      <c r="A336" s="208"/>
      <c r="B336" s="208"/>
      <c r="C336" s="208"/>
      <c r="D336" s="208"/>
      <c r="E336" s="208"/>
      <c r="F336" s="208"/>
      <c r="G336" s="208"/>
      <c r="H336" s="208"/>
      <c r="I336" s="208"/>
      <c r="J336" s="208"/>
      <c r="K336" s="208"/>
      <c r="L336" s="208"/>
      <c r="M336" s="208"/>
      <c r="N336" s="208"/>
      <c r="O336" s="208"/>
      <c r="P336" s="208"/>
      <c r="Q336" s="208"/>
      <c r="R336" s="208"/>
      <c r="S336" s="208"/>
      <c r="T336" s="208"/>
      <c r="U336" s="208"/>
      <c r="V336" s="208"/>
    </row>
    <row r="337" spans="1:22" ht="15.75" customHeight="1" x14ac:dyDescent="0.3">
      <c r="A337" s="208"/>
      <c r="B337" s="208"/>
      <c r="C337" s="208"/>
      <c r="D337" s="208"/>
      <c r="E337" s="208"/>
      <c r="F337" s="208"/>
      <c r="G337" s="208"/>
      <c r="H337" s="208"/>
      <c r="I337" s="208"/>
      <c r="J337" s="208"/>
      <c r="K337" s="208"/>
      <c r="L337" s="208"/>
      <c r="M337" s="208"/>
      <c r="N337" s="208"/>
      <c r="O337" s="208"/>
      <c r="P337" s="208"/>
      <c r="Q337" s="208"/>
      <c r="R337" s="208"/>
      <c r="S337" s="208"/>
      <c r="T337" s="208"/>
      <c r="U337" s="208"/>
      <c r="V337" s="208"/>
    </row>
    <row r="338" spans="1:22" ht="15.75" customHeight="1" x14ac:dyDescent="0.3">
      <c r="A338" s="208"/>
      <c r="B338" s="208"/>
      <c r="C338" s="208"/>
      <c r="D338" s="208"/>
      <c r="E338" s="208"/>
      <c r="F338" s="208"/>
      <c r="G338" s="208"/>
      <c r="H338" s="208"/>
      <c r="I338" s="208"/>
      <c r="J338" s="208"/>
      <c r="K338" s="208"/>
      <c r="L338" s="208"/>
      <c r="M338" s="208"/>
      <c r="N338" s="208"/>
      <c r="O338" s="208"/>
      <c r="P338" s="208"/>
      <c r="Q338" s="208"/>
      <c r="R338" s="208"/>
      <c r="S338" s="208"/>
      <c r="T338" s="208"/>
      <c r="U338" s="208"/>
      <c r="V338" s="208"/>
    </row>
    <row r="339" spans="1:22" ht="15.75" customHeight="1" x14ac:dyDescent="0.3">
      <c r="A339" s="208"/>
      <c r="B339" s="208"/>
      <c r="C339" s="208"/>
      <c r="D339" s="208"/>
      <c r="E339" s="208"/>
      <c r="F339" s="208"/>
      <c r="G339" s="208"/>
      <c r="H339" s="208"/>
      <c r="I339" s="208"/>
      <c r="J339" s="208"/>
      <c r="K339" s="208"/>
      <c r="L339" s="208"/>
      <c r="M339" s="208"/>
      <c r="N339" s="208"/>
      <c r="O339" s="208"/>
      <c r="P339" s="208"/>
      <c r="Q339" s="208"/>
      <c r="R339" s="208"/>
      <c r="S339" s="208"/>
      <c r="T339" s="208"/>
      <c r="U339" s="208"/>
      <c r="V339" s="208"/>
    </row>
    <row r="340" spans="1:22" ht="15.75" customHeight="1" x14ac:dyDescent="0.3">
      <c r="A340" s="208"/>
      <c r="B340" s="208"/>
      <c r="C340" s="208"/>
      <c r="D340" s="208"/>
      <c r="E340" s="208"/>
      <c r="F340" s="208"/>
      <c r="G340" s="208"/>
      <c r="H340" s="208"/>
      <c r="I340" s="208"/>
      <c r="J340" s="208"/>
      <c r="K340" s="208"/>
      <c r="L340" s="208"/>
      <c r="M340" s="208"/>
      <c r="N340" s="208"/>
      <c r="O340" s="208"/>
      <c r="P340" s="208"/>
      <c r="Q340" s="208"/>
      <c r="R340" s="208"/>
      <c r="S340" s="208"/>
      <c r="T340" s="208"/>
      <c r="U340" s="208"/>
      <c r="V340" s="208"/>
    </row>
    <row r="341" spans="1:22" ht="15.75" customHeight="1" x14ac:dyDescent="0.3">
      <c r="A341" s="208"/>
      <c r="B341" s="208"/>
      <c r="C341" s="208"/>
      <c r="D341" s="208"/>
      <c r="E341" s="208"/>
      <c r="F341" s="208"/>
      <c r="G341" s="208"/>
      <c r="H341" s="208"/>
      <c r="I341" s="208"/>
      <c r="J341" s="208"/>
      <c r="K341" s="208"/>
      <c r="L341" s="208"/>
      <c r="M341" s="208"/>
      <c r="N341" s="208"/>
      <c r="O341" s="208"/>
      <c r="P341" s="208"/>
      <c r="Q341" s="208"/>
      <c r="R341" s="208"/>
      <c r="S341" s="208"/>
      <c r="T341" s="208"/>
      <c r="U341" s="208"/>
      <c r="V341" s="208"/>
    </row>
    <row r="342" spans="1:22" ht="15.75" customHeight="1" x14ac:dyDescent="0.3">
      <c r="A342" s="208"/>
      <c r="B342" s="208"/>
      <c r="C342" s="208"/>
      <c r="D342" s="208"/>
      <c r="E342" s="208"/>
      <c r="F342" s="208"/>
      <c r="G342" s="208"/>
      <c r="H342" s="208"/>
      <c r="I342" s="208"/>
      <c r="J342" s="208"/>
      <c r="K342" s="208"/>
      <c r="L342" s="208"/>
      <c r="M342" s="208"/>
      <c r="N342" s="208"/>
      <c r="O342" s="208"/>
      <c r="P342" s="208"/>
      <c r="Q342" s="208"/>
      <c r="R342" s="208"/>
      <c r="S342" s="208"/>
      <c r="T342" s="208"/>
      <c r="U342" s="208"/>
      <c r="V342" s="208"/>
    </row>
    <row r="343" spans="1:22" ht="15.75" customHeight="1" x14ac:dyDescent="0.3">
      <c r="A343" s="208"/>
      <c r="B343" s="208"/>
      <c r="C343" s="208"/>
      <c r="D343" s="208"/>
      <c r="E343" s="208"/>
      <c r="F343" s="208"/>
      <c r="G343" s="208"/>
      <c r="H343" s="208"/>
      <c r="I343" s="208"/>
      <c r="J343" s="208"/>
      <c r="K343" s="208"/>
      <c r="L343" s="208"/>
      <c r="M343" s="208"/>
      <c r="N343" s="208"/>
      <c r="O343" s="208"/>
      <c r="P343" s="208"/>
      <c r="Q343" s="208"/>
      <c r="R343" s="208"/>
      <c r="S343" s="208"/>
      <c r="T343" s="208"/>
      <c r="U343" s="208"/>
      <c r="V343" s="208"/>
    </row>
    <row r="344" spans="1:22" ht="15.75" customHeight="1" x14ac:dyDescent="0.3">
      <c r="A344" s="208"/>
      <c r="B344" s="208"/>
      <c r="C344" s="208"/>
      <c r="D344" s="208"/>
      <c r="E344" s="208"/>
      <c r="F344" s="208"/>
      <c r="G344" s="208"/>
      <c r="H344" s="208"/>
      <c r="I344" s="208"/>
      <c r="J344" s="208"/>
      <c r="K344" s="208"/>
      <c r="L344" s="208"/>
      <c r="M344" s="208"/>
      <c r="N344" s="208"/>
      <c r="O344" s="208"/>
      <c r="P344" s="208"/>
      <c r="Q344" s="208"/>
      <c r="R344" s="208"/>
      <c r="S344" s="208"/>
      <c r="T344" s="208"/>
      <c r="U344" s="208"/>
      <c r="V344" s="208"/>
    </row>
    <row r="345" spans="1:22" ht="15.75" customHeight="1" x14ac:dyDescent="0.3">
      <c r="A345" s="208"/>
      <c r="B345" s="208"/>
      <c r="C345" s="208"/>
      <c r="D345" s="208"/>
      <c r="E345" s="208"/>
      <c r="F345" s="208"/>
      <c r="G345" s="208"/>
      <c r="H345" s="208"/>
      <c r="I345" s="208"/>
      <c r="J345" s="208"/>
      <c r="K345" s="208"/>
      <c r="L345" s="208"/>
      <c r="M345" s="208"/>
      <c r="N345" s="208"/>
      <c r="O345" s="208"/>
      <c r="P345" s="208"/>
      <c r="Q345" s="208"/>
      <c r="R345" s="208"/>
      <c r="S345" s="208"/>
      <c r="T345" s="208"/>
      <c r="U345" s="208"/>
      <c r="V345" s="208"/>
    </row>
    <row r="346" spans="1:22" ht="15.75" customHeight="1" x14ac:dyDescent="0.3">
      <c r="A346" s="208"/>
      <c r="B346" s="208"/>
      <c r="C346" s="208"/>
      <c r="D346" s="208"/>
      <c r="E346" s="208"/>
      <c r="F346" s="208"/>
      <c r="G346" s="208"/>
      <c r="H346" s="208"/>
      <c r="I346" s="208"/>
      <c r="J346" s="208"/>
      <c r="K346" s="208"/>
      <c r="L346" s="208"/>
      <c r="M346" s="208"/>
      <c r="N346" s="208"/>
      <c r="O346" s="208"/>
      <c r="P346" s="208"/>
      <c r="Q346" s="208"/>
      <c r="R346" s="208"/>
      <c r="S346" s="208"/>
      <c r="T346" s="208"/>
      <c r="U346" s="208"/>
      <c r="V346" s="208"/>
    </row>
    <row r="347" spans="1:22" ht="15.75" customHeight="1" x14ac:dyDescent="0.3">
      <c r="A347" s="208"/>
      <c r="B347" s="208"/>
      <c r="C347" s="208"/>
      <c r="D347" s="208"/>
      <c r="E347" s="208"/>
      <c r="F347" s="208"/>
      <c r="G347" s="208"/>
      <c r="H347" s="208"/>
      <c r="I347" s="208"/>
      <c r="J347" s="208"/>
      <c r="K347" s="208"/>
      <c r="L347" s="208"/>
      <c r="M347" s="208"/>
      <c r="N347" s="208"/>
      <c r="O347" s="208"/>
      <c r="P347" s="208"/>
      <c r="Q347" s="208"/>
      <c r="R347" s="208"/>
      <c r="S347" s="208"/>
      <c r="T347" s="208"/>
      <c r="U347" s="208"/>
      <c r="V347" s="208"/>
    </row>
    <row r="348" spans="1:22" ht="15.75" customHeight="1" x14ac:dyDescent="0.3">
      <c r="A348" s="208"/>
      <c r="B348" s="208"/>
      <c r="C348" s="208"/>
      <c r="D348" s="208"/>
      <c r="E348" s="208"/>
      <c r="F348" s="208"/>
      <c r="G348" s="208"/>
      <c r="H348" s="208"/>
      <c r="I348" s="208"/>
      <c r="J348" s="208"/>
      <c r="K348" s="208"/>
      <c r="L348" s="208"/>
      <c r="M348" s="208"/>
      <c r="N348" s="208"/>
      <c r="O348" s="208"/>
      <c r="P348" s="208"/>
      <c r="Q348" s="208"/>
      <c r="R348" s="208"/>
      <c r="S348" s="208"/>
      <c r="T348" s="208"/>
      <c r="U348" s="208"/>
      <c r="V348" s="208"/>
    </row>
    <row r="349" spans="1:22" ht="15.75" customHeight="1" x14ac:dyDescent="0.3">
      <c r="A349" s="208"/>
      <c r="B349" s="208"/>
      <c r="C349" s="208"/>
      <c r="D349" s="208"/>
      <c r="E349" s="208"/>
      <c r="F349" s="208"/>
      <c r="G349" s="208"/>
      <c r="H349" s="208"/>
      <c r="I349" s="208"/>
      <c r="J349" s="208"/>
      <c r="K349" s="208"/>
      <c r="L349" s="208"/>
      <c r="M349" s="208"/>
      <c r="N349" s="208"/>
      <c r="O349" s="208"/>
      <c r="P349" s="208"/>
      <c r="Q349" s="208"/>
      <c r="R349" s="208"/>
      <c r="S349" s="208"/>
      <c r="T349" s="208"/>
      <c r="U349" s="208"/>
      <c r="V349" s="208"/>
    </row>
    <row r="350" spans="1:22" ht="15.75" customHeight="1" x14ac:dyDescent="0.3">
      <c r="A350" s="208"/>
      <c r="B350" s="208"/>
      <c r="C350" s="208"/>
      <c r="D350" s="208"/>
      <c r="E350" s="208"/>
      <c r="F350" s="208"/>
      <c r="G350" s="208"/>
      <c r="H350" s="208"/>
      <c r="I350" s="208"/>
      <c r="J350" s="208"/>
      <c r="K350" s="208"/>
      <c r="L350" s="208"/>
      <c r="M350" s="208"/>
      <c r="N350" s="208"/>
      <c r="O350" s="208"/>
      <c r="P350" s="208"/>
      <c r="Q350" s="208"/>
      <c r="R350" s="208"/>
      <c r="S350" s="208"/>
      <c r="T350" s="208"/>
      <c r="U350" s="208"/>
      <c r="V350" s="208"/>
    </row>
    <row r="351" spans="1:22" ht="15.75" customHeight="1" x14ac:dyDescent="0.3">
      <c r="A351" s="208"/>
      <c r="B351" s="208"/>
      <c r="C351" s="208"/>
      <c r="D351" s="208"/>
      <c r="E351" s="208"/>
      <c r="F351" s="208"/>
      <c r="G351" s="208"/>
      <c r="H351" s="208"/>
      <c r="I351" s="208"/>
      <c r="J351" s="208"/>
      <c r="K351" s="208"/>
      <c r="L351" s="208"/>
      <c r="M351" s="208"/>
      <c r="N351" s="208"/>
      <c r="O351" s="208"/>
      <c r="P351" s="208"/>
      <c r="Q351" s="208"/>
      <c r="R351" s="208"/>
      <c r="S351" s="208"/>
      <c r="T351" s="208"/>
      <c r="U351" s="208"/>
      <c r="V351" s="208"/>
    </row>
    <row r="352" spans="1:22" ht="15.75" customHeight="1" x14ac:dyDescent="0.3">
      <c r="A352" s="208"/>
      <c r="B352" s="208"/>
      <c r="C352" s="208"/>
      <c r="D352" s="208"/>
      <c r="E352" s="208"/>
      <c r="F352" s="208"/>
      <c r="G352" s="208"/>
      <c r="H352" s="208"/>
      <c r="I352" s="208"/>
      <c r="J352" s="208"/>
      <c r="K352" s="208"/>
      <c r="L352" s="208"/>
      <c r="M352" s="208"/>
      <c r="N352" s="208"/>
      <c r="O352" s="208"/>
      <c r="P352" s="208"/>
      <c r="Q352" s="208"/>
      <c r="R352" s="208"/>
      <c r="S352" s="208"/>
      <c r="T352" s="208"/>
      <c r="U352" s="208"/>
      <c r="V352" s="208"/>
    </row>
    <row r="353" spans="1:22" ht="15.75" customHeight="1" x14ac:dyDescent="0.3">
      <c r="A353" s="208"/>
      <c r="B353" s="208"/>
      <c r="C353" s="208"/>
      <c r="D353" s="208"/>
      <c r="E353" s="208"/>
      <c r="F353" s="208"/>
      <c r="G353" s="208"/>
      <c r="H353" s="208"/>
      <c r="I353" s="208"/>
      <c r="J353" s="208"/>
      <c r="K353" s="208"/>
      <c r="L353" s="208"/>
      <c r="M353" s="208"/>
      <c r="N353" s="208"/>
      <c r="O353" s="208"/>
      <c r="P353" s="208"/>
      <c r="Q353" s="208"/>
      <c r="R353" s="208"/>
      <c r="S353" s="208"/>
      <c r="T353" s="208"/>
      <c r="U353" s="208"/>
      <c r="V353" s="208"/>
    </row>
    <row r="354" spans="1:22" ht="15.75" customHeight="1" x14ac:dyDescent="0.3">
      <c r="A354" s="208"/>
      <c r="B354" s="208"/>
      <c r="C354" s="208"/>
      <c r="D354" s="208"/>
      <c r="E354" s="208"/>
      <c r="F354" s="208"/>
      <c r="G354" s="208"/>
      <c r="H354" s="208"/>
      <c r="I354" s="208"/>
      <c r="J354" s="208"/>
      <c r="K354" s="208"/>
      <c r="L354" s="208"/>
      <c r="M354" s="208"/>
      <c r="N354" s="208"/>
      <c r="O354" s="208"/>
      <c r="P354" s="208"/>
      <c r="Q354" s="208"/>
      <c r="R354" s="208"/>
      <c r="S354" s="208"/>
      <c r="T354" s="208"/>
      <c r="U354" s="208"/>
      <c r="V354" s="208"/>
    </row>
    <row r="355" spans="1:22" ht="15.75" customHeight="1" x14ac:dyDescent="0.3">
      <c r="A355" s="208"/>
      <c r="B355" s="208"/>
      <c r="C355" s="208"/>
      <c r="D355" s="208"/>
      <c r="E355" s="208"/>
      <c r="F355" s="208"/>
      <c r="G355" s="208"/>
      <c r="H355" s="208"/>
      <c r="I355" s="208"/>
      <c r="J355" s="208"/>
      <c r="K355" s="208"/>
      <c r="L355" s="208"/>
      <c r="M355" s="208"/>
      <c r="N355" s="208"/>
      <c r="O355" s="208"/>
      <c r="P355" s="208"/>
      <c r="Q355" s="208"/>
      <c r="R355" s="208"/>
      <c r="S355" s="208"/>
      <c r="T355" s="208"/>
      <c r="U355" s="208"/>
      <c r="V355" s="208"/>
    </row>
    <row r="356" spans="1:22" ht="15.75" customHeight="1" x14ac:dyDescent="0.3">
      <c r="A356" s="208"/>
      <c r="B356" s="208"/>
      <c r="C356" s="208"/>
      <c r="D356" s="208"/>
      <c r="E356" s="208"/>
      <c r="F356" s="208"/>
      <c r="G356" s="208"/>
      <c r="H356" s="208"/>
      <c r="I356" s="208"/>
      <c r="J356" s="208"/>
      <c r="K356" s="208"/>
      <c r="L356" s="208"/>
      <c r="M356" s="208"/>
      <c r="N356" s="208"/>
      <c r="O356" s="208"/>
      <c r="P356" s="208"/>
      <c r="Q356" s="208"/>
      <c r="R356" s="208"/>
      <c r="S356" s="208"/>
      <c r="T356" s="208"/>
      <c r="U356" s="208"/>
      <c r="V356" s="208"/>
    </row>
    <row r="357" spans="1:22" ht="15.75" customHeight="1" x14ac:dyDescent="0.3">
      <c r="A357" s="208"/>
      <c r="B357" s="208"/>
      <c r="C357" s="208"/>
      <c r="D357" s="208"/>
      <c r="E357" s="208"/>
      <c r="F357" s="208"/>
      <c r="G357" s="208"/>
      <c r="H357" s="208"/>
      <c r="I357" s="208"/>
      <c r="J357" s="208"/>
      <c r="K357" s="208"/>
      <c r="L357" s="208"/>
      <c r="M357" s="208"/>
      <c r="N357" s="208"/>
      <c r="O357" s="208"/>
      <c r="P357" s="208"/>
      <c r="Q357" s="208"/>
      <c r="R357" s="208"/>
      <c r="S357" s="208"/>
      <c r="T357" s="208"/>
      <c r="U357" s="208"/>
      <c r="V357" s="208"/>
    </row>
    <row r="358" spans="1:22" ht="15.75" customHeight="1" x14ac:dyDescent="0.3">
      <c r="A358" s="208"/>
      <c r="B358" s="208"/>
      <c r="C358" s="208"/>
      <c r="D358" s="208"/>
      <c r="E358" s="208"/>
      <c r="F358" s="208"/>
      <c r="G358" s="208"/>
      <c r="H358" s="208"/>
      <c r="I358" s="208"/>
      <c r="J358" s="208"/>
      <c r="K358" s="208"/>
      <c r="L358" s="208"/>
      <c r="M358" s="208"/>
      <c r="N358" s="208"/>
      <c r="O358" s="208"/>
      <c r="P358" s="208"/>
      <c r="Q358" s="208"/>
      <c r="R358" s="208"/>
      <c r="S358" s="208"/>
      <c r="T358" s="208"/>
      <c r="U358" s="208"/>
      <c r="V358" s="208"/>
    </row>
    <row r="359" spans="1:22" ht="15.75" customHeight="1" x14ac:dyDescent="0.3">
      <c r="A359" s="208"/>
      <c r="B359" s="208"/>
      <c r="C359" s="208"/>
      <c r="D359" s="208"/>
      <c r="E359" s="208"/>
      <c r="F359" s="208"/>
      <c r="G359" s="208"/>
      <c r="H359" s="208"/>
      <c r="I359" s="208"/>
      <c r="J359" s="208"/>
      <c r="K359" s="208"/>
      <c r="L359" s="208"/>
      <c r="M359" s="208"/>
      <c r="N359" s="208"/>
      <c r="O359" s="208"/>
      <c r="P359" s="208"/>
      <c r="Q359" s="208"/>
      <c r="R359" s="208"/>
      <c r="S359" s="208"/>
      <c r="T359" s="208"/>
      <c r="U359" s="208"/>
      <c r="V359" s="208"/>
    </row>
    <row r="360" spans="1:22" ht="15.75" customHeight="1" x14ac:dyDescent="0.3">
      <c r="A360" s="208"/>
      <c r="B360" s="208"/>
      <c r="C360" s="208"/>
      <c r="D360" s="208"/>
      <c r="E360" s="208"/>
      <c r="F360" s="208"/>
      <c r="G360" s="208"/>
      <c r="H360" s="208"/>
      <c r="I360" s="208"/>
      <c r="J360" s="208"/>
      <c r="K360" s="208"/>
      <c r="L360" s="208"/>
      <c r="M360" s="208"/>
      <c r="N360" s="208"/>
      <c r="O360" s="208"/>
      <c r="P360" s="208"/>
      <c r="Q360" s="208"/>
      <c r="R360" s="208"/>
      <c r="S360" s="208"/>
      <c r="T360" s="208"/>
      <c r="U360" s="208"/>
      <c r="V360" s="208"/>
    </row>
    <row r="361" spans="1:22" ht="15.75" customHeight="1" x14ac:dyDescent="0.3">
      <c r="A361" s="208"/>
      <c r="B361" s="208"/>
      <c r="C361" s="208"/>
      <c r="D361" s="208"/>
      <c r="E361" s="208"/>
      <c r="F361" s="208"/>
      <c r="G361" s="208"/>
      <c r="H361" s="208"/>
      <c r="I361" s="208"/>
      <c r="J361" s="208"/>
      <c r="K361" s="208"/>
      <c r="L361" s="208"/>
      <c r="M361" s="208"/>
      <c r="N361" s="208"/>
      <c r="O361" s="208"/>
      <c r="P361" s="208"/>
      <c r="Q361" s="208"/>
      <c r="R361" s="208"/>
      <c r="S361" s="208"/>
      <c r="T361" s="208"/>
      <c r="U361" s="208"/>
      <c r="V361" s="208"/>
    </row>
    <row r="362" spans="1:22" ht="15.75" customHeight="1" x14ac:dyDescent="0.3">
      <c r="A362" s="208"/>
      <c r="B362" s="208"/>
      <c r="C362" s="208"/>
      <c r="D362" s="208"/>
      <c r="E362" s="208"/>
      <c r="F362" s="208"/>
      <c r="G362" s="208"/>
      <c r="H362" s="208"/>
      <c r="I362" s="208"/>
      <c r="J362" s="208"/>
      <c r="K362" s="208"/>
      <c r="L362" s="208"/>
      <c r="M362" s="208"/>
      <c r="N362" s="208"/>
      <c r="O362" s="208"/>
      <c r="P362" s="208"/>
      <c r="Q362" s="208"/>
      <c r="R362" s="208"/>
      <c r="S362" s="208"/>
      <c r="T362" s="208"/>
      <c r="U362" s="208"/>
      <c r="V362" s="208"/>
    </row>
    <row r="363" spans="1:22" ht="15.75" customHeight="1" x14ac:dyDescent="0.3">
      <c r="A363" s="208"/>
      <c r="B363" s="208"/>
      <c r="C363" s="208"/>
      <c r="D363" s="208"/>
      <c r="E363" s="208"/>
      <c r="F363" s="208"/>
      <c r="G363" s="208"/>
      <c r="H363" s="208"/>
      <c r="I363" s="208"/>
      <c r="J363" s="208"/>
      <c r="K363" s="208"/>
      <c r="L363" s="208"/>
      <c r="M363" s="208"/>
      <c r="N363" s="208"/>
      <c r="O363" s="208"/>
      <c r="P363" s="208"/>
      <c r="Q363" s="208"/>
      <c r="R363" s="208"/>
      <c r="S363" s="208"/>
      <c r="T363" s="208"/>
      <c r="U363" s="208"/>
      <c r="V363" s="208"/>
    </row>
    <row r="364" spans="1:22" ht="15.75" customHeight="1" x14ac:dyDescent="0.3">
      <c r="A364" s="208"/>
      <c r="B364" s="208"/>
      <c r="C364" s="208"/>
      <c r="D364" s="208"/>
      <c r="E364" s="208"/>
      <c r="F364" s="208"/>
      <c r="G364" s="208"/>
      <c r="H364" s="208"/>
      <c r="I364" s="208"/>
      <c r="J364" s="208"/>
      <c r="K364" s="208"/>
      <c r="L364" s="208"/>
      <c r="M364" s="208"/>
      <c r="N364" s="208"/>
      <c r="O364" s="208"/>
      <c r="P364" s="208"/>
      <c r="Q364" s="208"/>
      <c r="R364" s="208"/>
      <c r="S364" s="208"/>
      <c r="T364" s="208"/>
      <c r="U364" s="208"/>
      <c r="V364" s="208"/>
    </row>
    <row r="365" spans="1:22" ht="15.75" customHeight="1" x14ac:dyDescent="0.3">
      <c r="A365" s="208"/>
      <c r="B365" s="208"/>
      <c r="C365" s="208"/>
      <c r="D365" s="208"/>
      <c r="E365" s="208"/>
      <c r="F365" s="208"/>
      <c r="G365" s="208"/>
      <c r="H365" s="208"/>
      <c r="I365" s="208"/>
      <c r="J365" s="208"/>
      <c r="K365" s="208"/>
      <c r="L365" s="208"/>
      <c r="M365" s="208"/>
      <c r="N365" s="208"/>
      <c r="O365" s="208"/>
      <c r="P365" s="208"/>
      <c r="Q365" s="208"/>
      <c r="R365" s="208"/>
      <c r="S365" s="208"/>
      <c r="T365" s="208"/>
      <c r="U365" s="208"/>
      <c r="V365" s="208"/>
    </row>
    <row r="366" spans="1:22" ht="15.75" customHeight="1" x14ac:dyDescent="0.3">
      <c r="A366" s="208"/>
      <c r="B366" s="208"/>
      <c r="C366" s="208"/>
      <c r="D366" s="208"/>
      <c r="E366" s="208"/>
      <c r="F366" s="208"/>
      <c r="G366" s="208"/>
      <c r="H366" s="208"/>
      <c r="I366" s="208"/>
      <c r="J366" s="208"/>
      <c r="K366" s="208"/>
      <c r="L366" s="208"/>
      <c r="M366" s="208"/>
      <c r="N366" s="208"/>
      <c r="O366" s="208"/>
      <c r="P366" s="208"/>
      <c r="Q366" s="208"/>
      <c r="R366" s="208"/>
      <c r="S366" s="208"/>
      <c r="T366" s="208"/>
      <c r="U366" s="208"/>
      <c r="V366" s="208"/>
    </row>
    <row r="367" spans="1:22" ht="15.75" customHeight="1" x14ac:dyDescent="0.3">
      <c r="A367" s="208"/>
      <c r="B367" s="208"/>
      <c r="C367" s="208"/>
      <c r="D367" s="208"/>
      <c r="E367" s="208"/>
      <c r="F367" s="208"/>
      <c r="G367" s="208"/>
      <c r="H367" s="208"/>
      <c r="I367" s="208"/>
      <c r="J367" s="208"/>
      <c r="K367" s="208"/>
      <c r="L367" s="208"/>
      <c r="M367" s="208"/>
      <c r="N367" s="208"/>
      <c r="O367" s="208"/>
      <c r="P367" s="208"/>
      <c r="Q367" s="208"/>
      <c r="R367" s="208"/>
      <c r="S367" s="208"/>
      <c r="T367" s="208"/>
      <c r="U367" s="208"/>
      <c r="V367" s="208"/>
    </row>
    <row r="368" spans="1:22" ht="15.75" customHeight="1" x14ac:dyDescent="0.3">
      <c r="A368" s="208"/>
      <c r="B368" s="208"/>
      <c r="C368" s="208"/>
      <c r="D368" s="208"/>
      <c r="E368" s="208"/>
      <c r="F368" s="208"/>
      <c r="G368" s="208"/>
      <c r="H368" s="208"/>
      <c r="I368" s="208"/>
      <c r="J368" s="208"/>
      <c r="K368" s="208"/>
      <c r="L368" s="208"/>
      <c r="M368" s="208"/>
      <c r="N368" s="208"/>
      <c r="O368" s="208"/>
      <c r="P368" s="208"/>
      <c r="Q368" s="208"/>
      <c r="R368" s="208"/>
      <c r="S368" s="208"/>
      <c r="T368" s="208"/>
      <c r="U368" s="208"/>
      <c r="V368" s="208"/>
    </row>
    <row r="369" spans="1:22" ht="15.75" customHeight="1" x14ac:dyDescent="0.3">
      <c r="A369" s="208"/>
      <c r="B369" s="208"/>
      <c r="C369" s="208"/>
      <c r="D369" s="208"/>
      <c r="E369" s="208"/>
      <c r="F369" s="208"/>
      <c r="G369" s="208"/>
      <c r="H369" s="208"/>
      <c r="I369" s="208"/>
      <c r="J369" s="208"/>
      <c r="K369" s="208"/>
      <c r="L369" s="208"/>
      <c r="M369" s="208"/>
      <c r="N369" s="208"/>
      <c r="O369" s="208"/>
      <c r="P369" s="208"/>
      <c r="Q369" s="208"/>
      <c r="R369" s="208"/>
      <c r="S369" s="208"/>
      <c r="T369" s="208"/>
      <c r="U369" s="208"/>
      <c r="V369" s="208"/>
    </row>
    <row r="370" spans="1:22" ht="15.75" customHeight="1" x14ac:dyDescent="0.3">
      <c r="A370" s="208"/>
      <c r="B370" s="208"/>
      <c r="C370" s="208"/>
      <c r="D370" s="208"/>
      <c r="E370" s="208"/>
      <c r="F370" s="208"/>
      <c r="G370" s="208"/>
      <c r="H370" s="208"/>
      <c r="I370" s="208"/>
      <c r="J370" s="208"/>
      <c r="K370" s="208"/>
      <c r="L370" s="208"/>
      <c r="M370" s="208"/>
      <c r="N370" s="208"/>
      <c r="O370" s="208"/>
      <c r="P370" s="208"/>
      <c r="Q370" s="208"/>
      <c r="R370" s="208"/>
      <c r="S370" s="208"/>
      <c r="T370" s="208"/>
      <c r="U370" s="208"/>
      <c r="V370" s="208"/>
    </row>
    <row r="371" spans="1:22" ht="15.75" customHeight="1" x14ac:dyDescent="0.3">
      <c r="A371" s="208"/>
      <c r="B371" s="208"/>
      <c r="C371" s="208"/>
      <c r="D371" s="208"/>
      <c r="E371" s="208"/>
      <c r="F371" s="208"/>
      <c r="G371" s="208"/>
      <c r="H371" s="208"/>
      <c r="I371" s="208"/>
      <c r="J371" s="208"/>
      <c r="K371" s="208"/>
      <c r="L371" s="208"/>
      <c r="M371" s="208"/>
      <c r="N371" s="208"/>
      <c r="O371" s="208"/>
      <c r="P371" s="208"/>
      <c r="Q371" s="208"/>
      <c r="R371" s="208"/>
      <c r="S371" s="208"/>
      <c r="T371" s="208"/>
      <c r="U371" s="208"/>
      <c r="V371" s="208"/>
    </row>
    <row r="372" spans="1:22" ht="15.75" customHeight="1" x14ac:dyDescent="0.3">
      <c r="A372" s="208"/>
      <c r="B372" s="208"/>
      <c r="C372" s="208"/>
      <c r="D372" s="208"/>
      <c r="E372" s="208"/>
      <c r="F372" s="208"/>
      <c r="G372" s="208"/>
      <c r="H372" s="208"/>
      <c r="I372" s="208"/>
      <c r="J372" s="208"/>
      <c r="K372" s="208"/>
      <c r="L372" s="208"/>
      <c r="M372" s="208"/>
      <c r="N372" s="208"/>
      <c r="O372" s="208"/>
      <c r="P372" s="208"/>
      <c r="Q372" s="208"/>
      <c r="R372" s="208"/>
      <c r="S372" s="208"/>
      <c r="T372" s="208"/>
      <c r="U372" s="208"/>
      <c r="V372" s="208"/>
    </row>
    <row r="373" spans="1:22" ht="15.75" customHeight="1" x14ac:dyDescent="0.3">
      <c r="A373" s="208"/>
      <c r="B373" s="208"/>
      <c r="C373" s="208"/>
      <c r="D373" s="208"/>
      <c r="E373" s="208"/>
      <c r="F373" s="208"/>
      <c r="G373" s="208"/>
      <c r="H373" s="208"/>
      <c r="I373" s="208"/>
      <c r="J373" s="208"/>
      <c r="K373" s="208"/>
      <c r="L373" s="208"/>
      <c r="M373" s="208"/>
      <c r="N373" s="208"/>
      <c r="O373" s="208"/>
      <c r="P373" s="208"/>
      <c r="Q373" s="208"/>
      <c r="R373" s="208"/>
      <c r="S373" s="208"/>
      <c r="T373" s="208"/>
      <c r="U373" s="208"/>
      <c r="V373" s="208"/>
    </row>
    <row r="374" spans="1:22" ht="15.75" customHeight="1" x14ac:dyDescent="0.3">
      <c r="A374" s="208"/>
      <c r="B374" s="208"/>
      <c r="C374" s="208"/>
      <c r="D374" s="208"/>
      <c r="E374" s="208"/>
      <c r="F374" s="208"/>
      <c r="G374" s="208"/>
      <c r="H374" s="208"/>
      <c r="I374" s="208"/>
      <c r="J374" s="208"/>
      <c r="K374" s="208"/>
      <c r="L374" s="208"/>
      <c r="M374" s="208"/>
      <c r="N374" s="208"/>
      <c r="O374" s="208"/>
      <c r="P374" s="208"/>
      <c r="Q374" s="208"/>
      <c r="R374" s="208"/>
      <c r="S374" s="208"/>
      <c r="T374" s="208"/>
      <c r="U374" s="208"/>
      <c r="V374" s="208"/>
    </row>
    <row r="375" spans="1:22" ht="15.75" customHeight="1" x14ac:dyDescent="0.3">
      <c r="A375" s="208"/>
      <c r="B375" s="208"/>
      <c r="C375" s="208"/>
      <c r="D375" s="208"/>
      <c r="E375" s="208"/>
      <c r="F375" s="208"/>
      <c r="G375" s="208"/>
      <c r="H375" s="208"/>
      <c r="I375" s="208"/>
      <c r="J375" s="208"/>
      <c r="K375" s="208"/>
      <c r="L375" s="208"/>
      <c r="M375" s="208"/>
      <c r="N375" s="208"/>
      <c r="O375" s="208"/>
      <c r="P375" s="208"/>
      <c r="Q375" s="208"/>
      <c r="R375" s="208"/>
      <c r="S375" s="208"/>
      <c r="T375" s="208"/>
      <c r="U375" s="208"/>
      <c r="V375" s="208"/>
    </row>
    <row r="376" spans="1:22" ht="15.75" customHeight="1" x14ac:dyDescent="0.3">
      <c r="A376" s="208"/>
      <c r="B376" s="208"/>
      <c r="C376" s="208"/>
      <c r="D376" s="208"/>
      <c r="E376" s="208"/>
      <c r="F376" s="208"/>
      <c r="G376" s="208"/>
      <c r="H376" s="208"/>
      <c r="I376" s="208"/>
      <c r="J376" s="208"/>
      <c r="K376" s="208"/>
      <c r="L376" s="208"/>
      <c r="M376" s="208"/>
      <c r="N376" s="208"/>
      <c r="O376" s="208"/>
      <c r="P376" s="208"/>
      <c r="Q376" s="208"/>
      <c r="R376" s="208"/>
      <c r="S376" s="208"/>
      <c r="T376" s="208"/>
      <c r="U376" s="208"/>
      <c r="V376" s="208"/>
    </row>
    <row r="377" spans="1:22" ht="15.75" customHeight="1" x14ac:dyDescent="0.3">
      <c r="A377" s="208"/>
      <c r="B377" s="208"/>
      <c r="C377" s="208"/>
      <c r="D377" s="208"/>
      <c r="E377" s="208"/>
      <c r="F377" s="208"/>
      <c r="G377" s="208"/>
      <c r="H377" s="208"/>
      <c r="I377" s="208"/>
      <c r="J377" s="208"/>
      <c r="K377" s="208"/>
      <c r="L377" s="208"/>
      <c r="M377" s="208"/>
      <c r="N377" s="208"/>
      <c r="O377" s="208"/>
      <c r="P377" s="208"/>
      <c r="Q377" s="208"/>
      <c r="R377" s="208"/>
      <c r="S377" s="208"/>
      <c r="T377" s="208"/>
      <c r="U377" s="208"/>
      <c r="V377" s="208"/>
    </row>
    <row r="378" spans="1:22" ht="15.75" customHeight="1" x14ac:dyDescent="0.3">
      <c r="A378" s="208"/>
      <c r="B378" s="208"/>
      <c r="C378" s="208"/>
      <c r="D378" s="208"/>
      <c r="E378" s="208"/>
      <c r="F378" s="208"/>
      <c r="G378" s="208"/>
      <c r="H378" s="208"/>
      <c r="I378" s="208"/>
      <c r="J378" s="208"/>
      <c r="K378" s="208"/>
      <c r="L378" s="208"/>
      <c r="M378" s="208"/>
      <c r="N378" s="208"/>
      <c r="O378" s="208"/>
      <c r="P378" s="208"/>
      <c r="Q378" s="208"/>
      <c r="R378" s="208"/>
      <c r="S378" s="208"/>
      <c r="T378" s="208"/>
      <c r="U378" s="208"/>
      <c r="V378" s="208"/>
    </row>
    <row r="379" spans="1:22" ht="15.75" customHeight="1" x14ac:dyDescent="0.3">
      <c r="A379" s="208"/>
      <c r="B379" s="208"/>
      <c r="C379" s="208"/>
      <c r="D379" s="208"/>
      <c r="E379" s="208"/>
      <c r="F379" s="208"/>
      <c r="G379" s="208"/>
      <c r="H379" s="208"/>
      <c r="I379" s="208"/>
      <c r="J379" s="208"/>
      <c r="K379" s="208"/>
      <c r="L379" s="208"/>
      <c r="M379" s="208"/>
      <c r="N379" s="208"/>
      <c r="O379" s="208"/>
      <c r="P379" s="208"/>
      <c r="Q379" s="208"/>
      <c r="R379" s="208"/>
      <c r="S379" s="208"/>
      <c r="T379" s="208"/>
      <c r="U379" s="208"/>
      <c r="V379" s="208"/>
    </row>
    <row r="380" spans="1:22" ht="15.75" customHeight="1" x14ac:dyDescent="0.3">
      <c r="A380" s="208"/>
      <c r="B380" s="208"/>
      <c r="C380" s="208"/>
      <c r="D380" s="208"/>
      <c r="E380" s="208"/>
      <c r="F380" s="208"/>
      <c r="G380" s="208"/>
      <c r="H380" s="208"/>
      <c r="I380" s="208"/>
      <c r="J380" s="208"/>
      <c r="K380" s="208"/>
      <c r="L380" s="208"/>
      <c r="M380" s="208"/>
      <c r="N380" s="208"/>
      <c r="O380" s="208"/>
      <c r="P380" s="208"/>
      <c r="Q380" s="208"/>
      <c r="R380" s="208"/>
      <c r="S380" s="208"/>
      <c r="T380" s="208"/>
      <c r="U380" s="208"/>
      <c r="V380" s="208"/>
    </row>
    <row r="381" spans="1:22" ht="15.75" customHeight="1" x14ac:dyDescent="0.3">
      <c r="A381" s="208"/>
      <c r="B381" s="208"/>
      <c r="C381" s="208"/>
      <c r="D381" s="208"/>
      <c r="E381" s="208"/>
      <c r="F381" s="208"/>
      <c r="G381" s="208"/>
      <c r="H381" s="208"/>
      <c r="I381" s="208"/>
      <c r="J381" s="208"/>
      <c r="K381" s="208"/>
      <c r="L381" s="208"/>
      <c r="M381" s="208"/>
      <c r="N381" s="208"/>
      <c r="O381" s="208"/>
      <c r="P381" s="208"/>
      <c r="Q381" s="208"/>
      <c r="R381" s="208"/>
      <c r="S381" s="208"/>
      <c r="T381" s="208"/>
      <c r="U381" s="208"/>
      <c r="V381" s="208"/>
    </row>
    <row r="382" spans="1:22" ht="15.75" customHeight="1" x14ac:dyDescent="0.3">
      <c r="A382" s="208"/>
      <c r="B382" s="208"/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208"/>
      <c r="P382" s="208"/>
      <c r="Q382" s="208"/>
      <c r="R382" s="208"/>
      <c r="S382" s="208"/>
      <c r="T382" s="208"/>
      <c r="U382" s="208"/>
      <c r="V382" s="208"/>
    </row>
    <row r="383" spans="1:22" ht="15.75" customHeight="1" x14ac:dyDescent="0.3">
      <c r="A383" s="208"/>
      <c r="B383" s="208"/>
      <c r="C383" s="208"/>
      <c r="D383" s="208"/>
      <c r="E383" s="208"/>
      <c r="F383" s="208"/>
      <c r="G383" s="208"/>
      <c r="H383" s="208"/>
      <c r="I383" s="208"/>
      <c r="J383" s="208"/>
      <c r="K383" s="208"/>
      <c r="L383" s="208"/>
      <c r="M383" s="208"/>
      <c r="N383" s="208"/>
      <c r="O383" s="208"/>
      <c r="P383" s="208"/>
      <c r="Q383" s="208"/>
      <c r="R383" s="208"/>
      <c r="S383" s="208"/>
      <c r="T383" s="208"/>
      <c r="U383" s="208"/>
      <c r="V383" s="208"/>
    </row>
    <row r="384" spans="1:22" ht="15.75" customHeight="1" x14ac:dyDescent="0.3">
      <c r="A384" s="208"/>
      <c r="B384" s="208"/>
      <c r="C384" s="208"/>
      <c r="D384" s="208"/>
      <c r="E384" s="208"/>
      <c r="F384" s="208"/>
      <c r="G384" s="208"/>
      <c r="H384" s="208"/>
      <c r="I384" s="208"/>
      <c r="J384" s="208"/>
      <c r="K384" s="208"/>
      <c r="L384" s="208"/>
      <c r="M384" s="208"/>
      <c r="N384" s="208"/>
      <c r="O384" s="208"/>
      <c r="P384" s="208"/>
      <c r="Q384" s="208"/>
      <c r="R384" s="208"/>
      <c r="S384" s="208"/>
      <c r="T384" s="208"/>
      <c r="U384" s="208"/>
      <c r="V384" s="208"/>
    </row>
    <row r="385" spans="1:22" ht="15.75" customHeight="1" x14ac:dyDescent="0.3">
      <c r="A385" s="208"/>
      <c r="B385" s="208"/>
      <c r="C385" s="208"/>
      <c r="D385" s="208"/>
      <c r="E385" s="208"/>
      <c r="F385" s="208"/>
      <c r="G385" s="208"/>
      <c r="H385" s="208"/>
      <c r="I385" s="208"/>
      <c r="J385" s="208"/>
      <c r="K385" s="208"/>
      <c r="L385" s="208"/>
      <c r="M385" s="208"/>
      <c r="N385" s="208"/>
      <c r="O385" s="208"/>
      <c r="P385" s="208"/>
      <c r="Q385" s="208"/>
      <c r="R385" s="208"/>
      <c r="S385" s="208"/>
      <c r="T385" s="208"/>
      <c r="U385" s="208"/>
      <c r="V385" s="208"/>
    </row>
    <row r="386" spans="1:22" ht="15.75" customHeight="1" x14ac:dyDescent="0.3">
      <c r="A386" s="208"/>
      <c r="B386" s="208"/>
      <c r="C386" s="208"/>
      <c r="D386" s="208"/>
      <c r="E386" s="208"/>
      <c r="F386" s="208"/>
      <c r="G386" s="208"/>
      <c r="H386" s="208"/>
      <c r="I386" s="208"/>
      <c r="J386" s="208"/>
      <c r="K386" s="208"/>
      <c r="L386" s="208"/>
      <c r="M386" s="208"/>
      <c r="N386" s="208"/>
      <c r="O386" s="208"/>
      <c r="P386" s="208"/>
      <c r="Q386" s="208"/>
      <c r="R386" s="208"/>
      <c r="S386" s="208"/>
      <c r="T386" s="208"/>
      <c r="U386" s="208"/>
      <c r="V386" s="208"/>
    </row>
    <row r="387" spans="1:22" ht="15.75" customHeight="1" x14ac:dyDescent="0.3">
      <c r="A387" s="208"/>
      <c r="B387" s="208"/>
      <c r="C387" s="208"/>
      <c r="D387" s="208"/>
      <c r="E387" s="208"/>
      <c r="F387" s="208"/>
      <c r="G387" s="208"/>
      <c r="H387" s="208"/>
      <c r="I387" s="208"/>
      <c r="J387" s="208"/>
      <c r="K387" s="208"/>
      <c r="L387" s="208"/>
      <c r="M387" s="208"/>
      <c r="N387" s="208"/>
      <c r="O387" s="208"/>
      <c r="P387" s="208"/>
      <c r="Q387" s="208"/>
      <c r="R387" s="208"/>
      <c r="S387" s="208"/>
      <c r="T387" s="208"/>
      <c r="U387" s="208"/>
      <c r="V387" s="208"/>
    </row>
    <row r="388" spans="1:22" ht="15.75" customHeight="1" x14ac:dyDescent="0.3">
      <c r="A388" s="208"/>
      <c r="B388" s="208"/>
      <c r="C388" s="208"/>
      <c r="D388" s="208"/>
      <c r="E388" s="208"/>
      <c r="F388" s="208"/>
      <c r="G388" s="208"/>
      <c r="H388" s="208"/>
      <c r="I388" s="208"/>
      <c r="J388" s="208"/>
      <c r="K388" s="208"/>
      <c r="L388" s="208"/>
      <c r="M388" s="208"/>
      <c r="N388" s="208"/>
      <c r="O388" s="208"/>
      <c r="P388" s="208"/>
      <c r="Q388" s="208"/>
      <c r="R388" s="208"/>
      <c r="S388" s="208"/>
      <c r="T388" s="208"/>
      <c r="U388" s="208"/>
      <c r="V388" s="208"/>
    </row>
    <row r="389" spans="1:22" ht="15.75" customHeight="1" x14ac:dyDescent="0.3">
      <c r="A389" s="208"/>
      <c r="B389" s="208"/>
      <c r="C389" s="208"/>
      <c r="D389" s="208"/>
      <c r="E389" s="208"/>
      <c r="F389" s="208"/>
      <c r="G389" s="208"/>
      <c r="H389" s="208"/>
      <c r="I389" s="208"/>
      <c r="J389" s="208"/>
      <c r="K389" s="208"/>
      <c r="L389" s="208"/>
      <c r="M389" s="208"/>
      <c r="N389" s="208"/>
      <c r="O389" s="208"/>
      <c r="P389" s="208"/>
      <c r="Q389" s="208"/>
      <c r="R389" s="208"/>
      <c r="S389" s="208"/>
      <c r="T389" s="208"/>
      <c r="U389" s="208"/>
      <c r="V389" s="208"/>
    </row>
    <row r="390" spans="1:22" ht="15.75" customHeight="1" x14ac:dyDescent="0.3">
      <c r="A390" s="208"/>
      <c r="B390" s="208"/>
      <c r="C390" s="208"/>
      <c r="D390" s="208"/>
      <c r="E390" s="208"/>
      <c r="F390" s="208"/>
      <c r="G390" s="208"/>
      <c r="H390" s="208"/>
      <c r="I390" s="208"/>
      <c r="J390" s="208"/>
      <c r="K390" s="208"/>
      <c r="L390" s="208"/>
      <c r="M390" s="208"/>
      <c r="N390" s="208"/>
      <c r="O390" s="208"/>
      <c r="P390" s="208"/>
      <c r="Q390" s="208"/>
      <c r="R390" s="208"/>
      <c r="S390" s="208"/>
      <c r="T390" s="208"/>
      <c r="U390" s="208"/>
      <c r="V390" s="208"/>
    </row>
    <row r="391" spans="1:22" ht="15.75" customHeight="1" x14ac:dyDescent="0.3">
      <c r="A391" s="208"/>
      <c r="B391" s="208"/>
      <c r="C391" s="208"/>
      <c r="D391" s="208"/>
      <c r="E391" s="208"/>
      <c r="F391" s="208"/>
      <c r="G391" s="208"/>
      <c r="H391" s="208"/>
      <c r="I391" s="208"/>
      <c r="J391" s="208"/>
      <c r="K391" s="208"/>
      <c r="L391" s="208"/>
      <c r="M391" s="208"/>
      <c r="N391" s="208"/>
      <c r="O391" s="208"/>
      <c r="P391" s="208"/>
      <c r="Q391" s="208"/>
      <c r="R391" s="208"/>
      <c r="S391" s="208"/>
      <c r="T391" s="208"/>
      <c r="U391" s="208"/>
      <c r="V391" s="208"/>
    </row>
    <row r="392" spans="1:22" ht="15.75" customHeight="1" x14ac:dyDescent="0.3">
      <c r="A392" s="208"/>
      <c r="B392" s="208"/>
      <c r="C392" s="208"/>
      <c r="D392" s="208"/>
      <c r="E392" s="208"/>
      <c r="F392" s="208"/>
      <c r="G392" s="208"/>
      <c r="H392" s="208"/>
      <c r="I392" s="208"/>
      <c r="J392" s="208"/>
      <c r="K392" s="208"/>
      <c r="L392" s="208"/>
      <c r="M392" s="208"/>
      <c r="N392" s="208"/>
      <c r="O392" s="208"/>
      <c r="P392" s="208"/>
      <c r="Q392" s="208"/>
      <c r="R392" s="208"/>
      <c r="S392" s="208"/>
      <c r="T392" s="208"/>
      <c r="U392" s="208"/>
      <c r="V392" s="208"/>
    </row>
    <row r="393" spans="1:22" ht="15.75" customHeight="1" x14ac:dyDescent="0.3">
      <c r="A393" s="208"/>
      <c r="B393" s="208"/>
      <c r="C393" s="208"/>
      <c r="D393" s="208"/>
      <c r="E393" s="208"/>
      <c r="F393" s="208"/>
      <c r="G393" s="208"/>
      <c r="H393" s="208"/>
      <c r="I393" s="208"/>
      <c r="J393" s="208"/>
      <c r="K393" s="208"/>
      <c r="L393" s="208"/>
      <c r="M393" s="208"/>
      <c r="N393" s="208"/>
      <c r="O393" s="208"/>
      <c r="P393" s="208"/>
      <c r="Q393" s="208"/>
      <c r="R393" s="208"/>
      <c r="S393" s="208"/>
      <c r="T393" s="208"/>
      <c r="U393" s="208"/>
      <c r="V393" s="208"/>
    </row>
    <row r="394" spans="1:22" ht="15.75" customHeight="1" x14ac:dyDescent="0.3">
      <c r="A394" s="208"/>
      <c r="B394" s="208"/>
      <c r="C394" s="208"/>
      <c r="D394" s="208"/>
      <c r="E394" s="208"/>
      <c r="F394" s="208"/>
      <c r="G394" s="208"/>
      <c r="H394" s="208"/>
      <c r="I394" s="208"/>
      <c r="J394" s="208"/>
      <c r="K394" s="208"/>
      <c r="L394" s="208"/>
      <c r="M394" s="208"/>
      <c r="N394" s="208"/>
      <c r="O394" s="208"/>
      <c r="P394" s="208"/>
      <c r="Q394" s="208"/>
      <c r="R394" s="208"/>
      <c r="S394" s="208"/>
      <c r="T394" s="208"/>
      <c r="U394" s="208"/>
      <c r="V394" s="208"/>
    </row>
    <row r="395" spans="1:22" ht="15.75" customHeight="1" x14ac:dyDescent="0.3">
      <c r="A395" s="208"/>
      <c r="B395" s="208"/>
      <c r="C395" s="208"/>
      <c r="D395" s="208"/>
      <c r="E395" s="208"/>
      <c r="F395" s="208"/>
      <c r="G395" s="208"/>
      <c r="H395" s="208"/>
      <c r="I395" s="208"/>
      <c r="J395" s="208"/>
      <c r="K395" s="208"/>
      <c r="L395" s="208"/>
      <c r="M395" s="208"/>
      <c r="N395" s="208"/>
      <c r="O395" s="208"/>
      <c r="P395" s="208"/>
      <c r="Q395" s="208"/>
      <c r="R395" s="208"/>
      <c r="S395" s="208"/>
      <c r="T395" s="208"/>
      <c r="U395" s="208"/>
      <c r="V395" s="208"/>
    </row>
    <row r="396" spans="1:22" ht="15.75" customHeight="1" x14ac:dyDescent="0.3">
      <c r="A396" s="208"/>
      <c r="B396" s="208"/>
      <c r="C396" s="208"/>
      <c r="D396" s="208"/>
      <c r="E396" s="208"/>
      <c r="F396" s="208"/>
      <c r="G396" s="208"/>
      <c r="H396" s="208"/>
      <c r="I396" s="208"/>
      <c r="J396" s="208"/>
      <c r="K396" s="208"/>
      <c r="L396" s="208"/>
      <c r="M396" s="208"/>
      <c r="N396" s="208"/>
      <c r="O396" s="208"/>
      <c r="P396" s="208"/>
      <c r="Q396" s="208"/>
      <c r="R396" s="208"/>
      <c r="S396" s="208"/>
      <c r="T396" s="208"/>
      <c r="U396" s="208"/>
      <c r="V396" s="208"/>
    </row>
    <row r="397" spans="1:22" ht="15.75" customHeight="1" x14ac:dyDescent="0.3">
      <c r="A397" s="208"/>
      <c r="B397" s="208"/>
      <c r="C397" s="208"/>
      <c r="D397" s="208"/>
      <c r="E397" s="208"/>
      <c r="F397" s="208"/>
      <c r="G397" s="208"/>
      <c r="H397" s="208"/>
      <c r="I397" s="208"/>
      <c r="J397" s="208"/>
      <c r="K397" s="208"/>
      <c r="L397" s="208"/>
      <c r="M397" s="208"/>
      <c r="N397" s="208"/>
      <c r="O397" s="208"/>
      <c r="P397" s="208"/>
      <c r="Q397" s="208"/>
      <c r="R397" s="208"/>
      <c r="S397" s="208"/>
      <c r="T397" s="208"/>
      <c r="U397" s="208"/>
      <c r="V397" s="208"/>
    </row>
    <row r="398" spans="1:22" ht="15.75" customHeight="1" x14ac:dyDescent="0.3">
      <c r="A398" s="208"/>
      <c r="B398" s="208"/>
      <c r="C398" s="208"/>
      <c r="D398" s="208"/>
      <c r="E398" s="208"/>
      <c r="F398" s="208"/>
      <c r="G398" s="208"/>
      <c r="H398" s="208"/>
      <c r="I398" s="208"/>
      <c r="J398" s="208"/>
      <c r="K398" s="208"/>
      <c r="L398" s="208"/>
      <c r="M398" s="208"/>
      <c r="N398" s="208"/>
      <c r="O398" s="208"/>
      <c r="P398" s="208"/>
      <c r="Q398" s="208"/>
      <c r="R398" s="208"/>
      <c r="S398" s="208"/>
      <c r="T398" s="208"/>
      <c r="U398" s="208"/>
      <c r="V398" s="208"/>
    </row>
    <row r="399" spans="1:22" ht="15.75" customHeight="1" x14ac:dyDescent="0.3">
      <c r="A399" s="208"/>
      <c r="B399" s="208"/>
      <c r="C399" s="208"/>
      <c r="D399" s="208"/>
      <c r="E399" s="208"/>
      <c r="F399" s="208"/>
      <c r="G399" s="208"/>
      <c r="H399" s="208"/>
      <c r="I399" s="208"/>
      <c r="J399" s="208"/>
      <c r="K399" s="208"/>
      <c r="L399" s="208"/>
      <c r="M399" s="208"/>
      <c r="N399" s="208"/>
      <c r="O399" s="208"/>
      <c r="P399" s="208"/>
      <c r="Q399" s="208"/>
      <c r="R399" s="208"/>
      <c r="S399" s="208"/>
      <c r="T399" s="208"/>
      <c r="U399" s="208"/>
      <c r="V399" s="208"/>
    </row>
    <row r="400" spans="1:22" ht="15.75" customHeight="1" x14ac:dyDescent="0.3">
      <c r="A400" s="208"/>
      <c r="B400" s="208"/>
      <c r="C400" s="208"/>
      <c r="D400" s="208"/>
      <c r="E400" s="208"/>
      <c r="F400" s="208"/>
      <c r="G400" s="208"/>
      <c r="H400" s="208"/>
      <c r="I400" s="208"/>
      <c r="J400" s="208"/>
      <c r="K400" s="208"/>
      <c r="L400" s="208"/>
      <c r="M400" s="208"/>
      <c r="N400" s="208"/>
      <c r="O400" s="208"/>
      <c r="P400" s="208"/>
      <c r="Q400" s="208"/>
      <c r="R400" s="208"/>
      <c r="S400" s="208"/>
      <c r="T400" s="208"/>
      <c r="U400" s="208"/>
      <c r="V400" s="208"/>
    </row>
    <row r="401" spans="1:22" ht="15.75" customHeight="1" x14ac:dyDescent="0.3">
      <c r="A401" s="208"/>
      <c r="B401" s="208"/>
      <c r="C401" s="208"/>
      <c r="D401" s="208"/>
      <c r="E401" s="208"/>
      <c r="F401" s="208"/>
      <c r="G401" s="208"/>
      <c r="H401" s="208"/>
      <c r="I401" s="208"/>
      <c r="J401" s="208"/>
      <c r="K401" s="208"/>
      <c r="L401" s="208"/>
      <c r="M401" s="208"/>
      <c r="N401" s="208"/>
      <c r="O401" s="208"/>
      <c r="P401" s="208"/>
      <c r="Q401" s="208"/>
      <c r="R401" s="208"/>
      <c r="S401" s="208"/>
      <c r="T401" s="208"/>
      <c r="U401" s="208"/>
      <c r="V401" s="208"/>
    </row>
    <row r="402" spans="1:22" ht="15.75" customHeight="1" x14ac:dyDescent="0.3">
      <c r="A402" s="208"/>
      <c r="B402" s="208"/>
      <c r="C402" s="208"/>
      <c r="D402" s="208"/>
      <c r="E402" s="208"/>
      <c r="F402" s="208"/>
      <c r="G402" s="208"/>
      <c r="H402" s="208"/>
      <c r="I402" s="208"/>
      <c r="J402" s="208"/>
      <c r="K402" s="208"/>
      <c r="L402" s="208"/>
      <c r="M402" s="208"/>
      <c r="N402" s="208"/>
      <c r="O402" s="208"/>
      <c r="P402" s="208"/>
      <c r="Q402" s="208"/>
      <c r="R402" s="208"/>
      <c r="S402" s="208"/>
      <c r="T402" s="208"/>
      <c r="U402" s="208"/>
      <c r="V402" s="208"/>
    </row>
    <row r="403" spans="1:22" ht="15.75" customHeight="1" x14ac:dyDescent="0.3">
      <c r="A403" s="208"/>
      <c r="B403" s="208"/>
      <c r="C403" s="208"/>
      <c r="D403" s="208"/>
      <c r="E403" s="208"/>
      <c r="F403" s="208"/>
      <c r="G403" s="208"/>
      <c r="H403" s="208"/>
      <c r="I403" s="208"/>
      <c r="J403" s="208"/>
      <c r="K403" s="208"/>
      <c r="L403" s="208"/>
      <c r="M403" s="208"/>
      <c r="N403" s="208"/>
      <c r="O403" s="208"/>
      <c r="P403" s="208"/>
      <c r="Q403" s="208"/>
      <c r="R403" s="208"/>
      <c r="S403" s="208"/>
      <c r="T403" s="208"/>
      <c r="U403" s="208"/>
      <c r="V403" s="208"/>
    </row>
    <row r="404" spans="1:22" ht="15.75" customHeight="1" x14ac:dyDescent="0.3">
      <c r="A404" s="208"/>
      <c r="B404" s="208"/>
      <c r="C404" s="208"/>
      <c r="D404" s="208"/>
      <c r="E404" s="208"/>
      <c r="F404" s="208"/>
      <c r="G404" s="208"/>
      <c r="H404" s="208"/>
      <c r="I404" s="208"/>
      <c r="J404" s="208"/>
      <c r="K404" s="208"/>
      <c r="L404" s="208"/>
      <c r="M404" s="208"/>
      <c r="N404" s="208"/>
      <c r="O404" s="208"/>
      <c r="P404" s="208"/>
      <c r="Q404" s="208"/>
      <c r="R404" s="208"/>
      <c r="S404" s="208"/>
      <c r="T404" s="208"/>
      <c r="U404" s="208"/>
      <c r="V404" s="208"/>
    </row>
    <row r="405" spans="1:22" ht="15.75" customHeight="1" x14ac:dyDescent="0.3">
      <c r="A405" s="208"/>
      <c r="B405" s="208"/>
      <c r="C405" s="208"/>
      <c r="D405" s="208"/>
      <c r="E405" s="208"/>
      <c r="F405" s="208"/>
      <c r="G405" s="208"/>
      <c r="H405" s="208"/>
      <c r="I405" s="208"/>
      <c r="J405" s="208"/>
      <c r="K405" s="208"/>
      <c r="L405" s="208"/>
      <c r="M405" s="208"/>
      <c r="N405" s="208"/>
      <c r="O405" s="208"/>
      <c r="P405" s="208"/>
      <c r="Q405" s="208"/>
      <c r="R405" s="208"/>
      <c r="S405" s="208"/>
      <c r="T405" s="208"/>
      <c r="U405" s="208"/>
      <c r="V405" s="208"/>
    </row>
    <row r="406" spans="1:22" ht="15.75" customHeight="1" x14ac:dyDescent="0.3">
      <c r="A406" s="208"/>
      <c r="B406" s="208"/>
      <c r="C406" s="208"/>
      <c r="D406" s="208"/>
      <c r="E406" s="208"/>
      <c r="F406" s="208"/>
      <c r="G406" s="208"/>
      <c r="H406" s="208"/>
      <c r="I406" s="208"/>
      <c r="J406" s="208"/>
      <c r="K406" s="208"/>
      <c r="L406" s="208"/>
      <c r="M406" s="208"/>
      <c r="N406" s="208"/>
      <c r="O406" s="208"/>
      <c r="P406" s="208"/>
      <c r="Q406" s="208"/>
      <c r="R406" s="208"/>
      <c r="S406" s="208"/>
      <c r="T406" s="208"/>
      <c r="U406" s="208"/>
      <c r="V406" s="208"/>
    </row>
    <row r="407" spans="1:22" ht="15.75" customHeight="1" x14ac:dyDescent="0.3">
      <c r="A407" s="208"/>
      <c r="B407" s="208"/>
      <c r="C407" s="208"/>
      <c r="D407" s="208"/>
      <c r="E407" s="208"/>
      <c r="F407" s="208"/>
      <c r="G407" s="208"/>
      <c r="H407" s="208"/>
      <c r="I407" s="208"/>
      <c r="J407" s="208"/>
      <c r="K407" s="208"/>
      <c r="L407" s="208"/>
      <c r="M407" s="208"/>
      <c r="N407" s="208"/>
      <c r="O407" s="208"/>
      <c r="P407" s="208"/>
      <c r="Q407" s="208"/>
      <c r="R407" s="208"/>
      <c r="S407" s="208"/>
      <c r="T407" s="208"/>
      <c r="U407" s="208"/>
      <c r="V407" s="208"/>
    </row>
    <row r="408" spans="1:22" ht="15.75" customHeight="1" x14ac:dyDescent="0.3">
      <c r="A408" s="208"/>
      <c r="B408" s="208"/>
      <c r="C408" s="208"/>
      <c r="D408" s="208"/>
      <c r="E408" s="208"/>
      <c r="F408" s="208"/>
      <c r="G408" s="208"/>
      <c r="H408" s="208"/>
      <c r="I408" s="208"/>
      <c r="J408" s="208"/>
      <c r="K408" s="208"/>
      <c r="L408" s="208"/>
      <c r="M408" s="208"/>
      <c r="N408" s="208"/>
      <c r="O408" s="208"/>
      <c r="P408" s="208"/>
      <c r="Q408" s="208"/>
      <c r="R408" s="208"/>
      <c r="S408" s="208"/>
      <c r="T408" s="208"/>
      <c r="U408" s="208"/>
      <c r="V408" s="208"/>
    </row>
    <row r="409" spans="1:22" ht="15.75" customHeight="1" x14ac:dyDescent="0.3">
      <c r="A409" s="208"/>
      <c r="B409" s="208"/>
      <c r="C409" s="208"/>
      <c r="D409" s="208"/>
      <c r="E409" s="208"/>
      <c r="F409" s="208"/>
      <c r="G409" s="208"/>
      <c r="H409" s="208"/>
      <c r="I409" s="208"/>
      <c r="J409" s="208"/>
      <c r="K409" s="208"/>
      <c r="L409" s="208"/>
      <c r="M409" s="208"/>
      <c r="N409" s="208"/>
      <c r="O409" s="208"/>
      <c r="P409" s="208"/>
      <c r="Q409" s="208"/>
      <c r="R409" s="208"/>
      <c r="S409" s="208"/>
      <c r="T409" s="208"/>
      <c r="U409" s="208"/>
      <c r="V409" s="208"/>
    </row>
    <row r="410" spans="1:22" ht="15.75" customHeight="1" x14ac:dyDescent="0.3">
      <c r="A410" s="208"/>
      <c r="B410" s="208"/>
      <c r="C410" s="208"/>
      <c r="D410" s="208"/>
      <c r="E410" s="208"/>
      <c r="F410" s="208"/>
      <c r="G410" s="208"/>
      <c r="H410" s="208"/>
      <c r="I410" s="208"/>
      <c r="J410" s="208"/>
      <c r="K410" s="208"/>
      <c r="L410" s="208"/>
      <c r="M410" s="208"/>
      <c r="N410" s="208"/>
      <c r="O410" s="208"/>
      <c r="P410" s="208"/>
      <c r="Q410" s="208"/>
      <c r="R410" s="208"/>
      <c r="S410" s="208"/>
      <c r="T410" s="208"/>
      <c r="U410" s="208"/>
      <c r="V410" s="208"/>
    </row>
    <row r="411" spans="1:22" ht="15.75" customHeight="1" x14ac:dyDescent="0.3">
      <c r="A411" s="208"/>
      <c r="B411" s="208"/>
      <c r="C411" s="208"/>
      <c r="D411" s="208"/>
      <c r="E411" s="208"/>
      <c r="F411" s="208"/>
      <c r="G411" s="208"/>
      <c r="H411" s="208"/>
      <c r="I411" s="208"/>
      <c r="J411" s="208"/>
      <c r="K411" s="208"/>
      <c r="L411" s="208"/>
      <c r="M411" s="208"/>
      <c r="N411" s="208"/>
      <c r="O411" s="208"/>
      <c r="P411" s="208"/>
      <c r="Q411" s="208"/>
      <c r="R411" s="208"/>
      <c r="S411" s="208"/>
      <c r="T411" s="208"/>
      <c r="U411" s="208"/>
      <c r="V411" s="208"/>
    </row>
    <row r="412" spans="1:22" ht="15.75" customHeight="1" x14ac:dyDescent="0.3">
      <c r="A412" s="208"/>
      <c r="B412" s="208"/>
      <c r="C412" s="208"/>
      <c r="D412" s="208"/>
      <c r="E412" s="208"/>
      <c r="F412" s="208"/>
      <c r="G412" s="208"/>
      <c r="H412" s="208"/>
      <c r="I412" s="208"/>
      <c r="J412" s="208"/>
      <c r="K412" s="208"/>
      <c r="L412" s="208"/>
      <c r="M412" s="208"/>
      <c r="N412" s="208"/>
      <c r="O412" s="208"/>
      <c r="P412" s="208"/>
      <c r="Q412" s="208"/>
      <c r="R412" s="208"/>
      <c r="S412" s="208"/>
      <c r="T412" s="208"/>
      <c r="U412" s="208"/>
      <c r="V412" s="208"/>
    </row>
    <row r="413" spans="1:22" ht="15.75" customHeight="1" x14ac:dyDescent="0.3">
      <c r="A413" s="208"/>
      <c r="B413" s="208"/>
      <c r="C413" s="208"/>
      <c r="D413" s="208"/>
      <c r="E413" s="208"/>
      <c r="F413" s="208"/>
      <c r="G413" s="208"/>
      <c r="H413" s="208"/>
      <c r="I413" s="208"/>
      <c r="J413" s="208"/>
      <c r="K413" s="208"/>
      <c r="L413" s="208"/>
      <c r="M413" s="208"/>
      <c r="N413" s="208"/>
      <c r="O413" s="208"/>
      <c r="P413" s="208"/>
      <c r="Q413" s="208"/>
      <c r="R413" s="208"/>
      <c r="S413" s="208"/>
      <c r="T413" s="208"/>
      <c r="U413" s="208"/>
      <c r="V413" s="208"/>
    </row>
    <row r="414" spans="1:22" ht="15.75" customHeight="1" x14ac:dyDescent="0.3">
      <c r="A414" s="208"/>
      <c r="B414" s="208"/>
      <c r="C414" s="208"/>
      <c r="D414" s="208"/>
      <c r="E414" s="208"/>
      <c r="F414" s="208"/>
      <c r="G414" s="208"/>
      <c r="H414" s="208"/>
      <c r="I414" s="208"/>
      <c r="J414" s="208"/>
      <c r="K414" s="208"/>
      <c r="L414" s="208"/>
      <c r="M414" s="208"/>
      <c r="N414" s="208"/>
      <c r="O414" s="208"/>
      <c r="P414" s="208"/>
      <c r="Q414" s="208"/>
      <c r="R414" s="208"/>
      <c r="S414" s="208"/>
      <c r="T414" s="208"/>
      <c r="U414" s="208"/>
      <c r="V414" s="208"/>
    </row>
    <row r="415" spans="1:22" ht="15.75" customHeight="1" x14ac:dyDescent="0.3">
      <c r="A415" s="208"/>
      <c r="B415" s="208"/>
      <c r="C415" s="208"/>
      <c r="D415" s="208"/>
      <c r="E415" s="208"/>
      <c r="F415" s="208"/>
      <c r="G415" s="208"/>
      <c r="H415" s="208"/>
      <c r="I415" s="208"/>
      <c r="J415" s="208"/>
      <c r="K415" s="208"/>
      <c r="L415" s="208"/>
      <c r="M415" s="208"/>
      <c r="N415" s="208"/>
      <c r="O415" s="208"/>
      <c r="P415" s="208"/>
      <c r="Q415" s="208"/>
      <c r="R415" s="208"/>
      <c r="S415" s="208"/>
      <c r="T415" s="208"/>
      <c r="U415" s="208"/>
      <c r="V415" s="208"/>
    </row>
    <row r="416" spans="1:22" ht="15.75" customHeight="1" x14ac:dyDescent="0.3">
      <c r="A416" s="208"/>
      <c r="B416" s="208"/>
      <c r="C416" s="208"/>
      <c r="D416" s="208"/>
      <c r="E416" s="208"/>
      <c r="F416" s="208"/>
      <c r="G416" s="208"/>
      <c r="H416" s="208"/>
      <c r="I416" s="208"/>
      <c r="J416" s="208"/>
      <c r="K416" s="208"/>
      <c r="L416" s="208"/>
      <c r="M416" s="208"/>
      <c r="N416" s="208"/>
      <c r="O416" s="208"/>
      <c r="P416" s="208"/>
      <c r="Q416" s="208"/>
      <c r="R416" s="208"/>
      <c r="S416" s="208"/>
      <c r="T416" s="208"/>
      <c r="U416" s="208"/>
      <c r="V416" s="208"/>
    </row>
    <row r="417" spans="1:22" ht="15.75" customHeight="1" x14ac:dyDescent="0.3">
      <c r="A417" s="208"/>
      <c r="B417" s="208"/>
      <c r="C417" s="208"/>
      <c r="D417" s="208"/>
      <c r="E417" s="208"/>
      <c r="F417" s="208"/>
      <c r="G417" s="208"/>
      <c r="H417" s="208"/>
      <c r="I417" s="208"/>
      <c r="J417" s="208"/>
      <c r="K417" s="208"/>
      <c r="L417" s="208"/>
      <c r="M417" s="208"/>
      <c r="N417" s="208"/>
      <c r="O417" s="208"/>
      <c r="P417" s="208"/>
      <c r="Q417" s="208"/>
      <c r="R417" s="208"/>
      <c r="S417" s="208"/>
      <c r="T417" s="208"/>
      <c r="U417" s="208"/>
      <c r="V417" s="208"/>
    </row>
    <row r="418" spans="1:22" ht="15.75" customHeight="1" x14ac:dyDescent="0.3">
      <c r="A418" s="208"/>
      <c r="B418" s="208"/>
      <c r="C418" s="208"/>
      <c r="D418" s="208"/>
      <c r="E418" s="208"/>
      <c r="F418" s="208"/>
      <c r="G418" s="208"/>
      <c r="H418" s="208"/>
      <c r="I418" s="208"/>
      <c r="J418" s="208"/>
      <c r="K418" s="208"/>
      <c r="L418" s="208"/>
      <c r="M418" s="208"/>
      <c r="N418" s="208"/>
      <c r="O418" s="208"/>
      <c r="P418" s="208"/>
      <c r="Q418" s="208"/>
      <c r="R418" s="208"/>
      <c r="S418" s="208"/>
      <c r="T418" s="208"/>
      <c r="U418" s="208"/>
      <c r="V418" s="208"/>
    </row>
    <row r="419" spans="1:22" ht="15.75" customHeight="1" x14ac:dyDescent="0.3">
      <c r="A419" s="208"/>
      <c r="B419" s="208"/>
      <c r="C419" s="208"/>
      <c r="D419" s="208"/>
      <c r="E419" s="208"/>
      <c r="F419" s="208"/>
      <c r="G419" s="208"/>
      <c r="H419" s="208"/>
      <c r="I419" s="208"/>
      <c r="J419" s="208"/>
      <c r="K419" s="208"/>
      <c r="L419" s="208"/>
      <c r="M419" s="208"/>
      <c r="N419" s="208"/>
      <c r="O419" s="208"/>
      <c r="P419" s="208"/>
      <c r="Q419" s="208"/>
      <c r="R419" s="208"/>
      <c r="S419" s="208"/>
      <c r="T419" s="208"/>
      <c r="U419" s="208"/>
      <c r="V419" s="208"/>
    </row>
    <row r="420" spans="1:22" ht="15.75" customHeight="1" x14ac:dyDescent="0.3">
      <c r="A420" s="208"/>
      <c r="B420" s="208"/>
      <c r="C420" s="208"/>
      <c r="D420" s="208"/>
      <c r="E420" s="208"/>
      <c r="F420" s="208"/>
      <c r="G420" s="208"/>
      <c r="H420" s="208"/>
      <c r="I420" s="208"/>
      <c r="J420" s="208"/>
      <c r="K420" s="208"/>
      <c r="L420" s="208"/>
      <c r="M420" s="208"/>
      <c r="N420" s="208"/>
      <c r="O420" s="208"/>
      <c r="P420" s="208"/>
      <c r="Q420" s="208"/>
      <c r="R420" s="208"/>
      <c r="S420" s="208"/>
      <c r="T420" s="208"/>
      <c r="U420" s="208"/>
      <c r="V420" s="208"/>
    </row>
    <row r="421" spans="1:22" ht="15.75" customHeight="1" x14ac:dyDescent="0.3">
      <c r="A421" s="208"/>
      <c r="B421" s="208"/>
      <c r="C421" s="208"/>
      <c r="D421" s="208"/>
      <c r="E421" s="208"/>
      <c r="F421" s="208"/>
      <c r="G421" s="208"/>
      <c r="H421" s="208"/>
      <c r="I421" s="208"/>
      <c r="J421" s="208"/>
      <c r="K421" s="208"/>
      <c r="L421" s="208"/>
      <c r="M421" s="208"/>
      <c r="N421" s="208"/>
      <c r="O421" s="208"/>
      <c r="P421" s="208"/>
      <c r="Q421" s="208"/>
      <c r="R421" s="208"/>
      <c r="S421" s="208"/>
      <c r="T421" s="208"/>
      <c r="U421" s="208"/>
      <c r="V421" s="208"/>
    </row>
    <row r="422" spans="1:22" ht="15.75" customHeight="1" x14ac:dyDescent="0.3">
      <c r="A422" s="208"/>
      <c r="B422" s="208"/>
      <c r="C422" s="208"/>
      <c r="D422" s="208"/>
      <c r="E422" s="208"/>
      <c r="F422" s="208"/>
      <c r="G422" s="208"/>
      <c r="H422" s="208"/>
      <c r="I422" s="208"/>
      <c r="J422" s="208"/>
      <c r="K422" s="208"/>
      <c r="L422" s="208"/>
      <c r="M422" s="208"/>
      <c r="N422" s="208"/>
      <c r="O422" s="208"/>
      <c r="P422" s="208"/>
      <c r="Q422" s="208"/>
      <c r="R422" s="208"/>
      <c r="S422" s="208"/>
      <c r="T422" s="208"/>
      <c r="U422" s="208"/>
      <c r="V422" s="208"/>
    </row>
    <row r="423" spans="1:22" ht="15.75" customHeight="1" x14ac:dyDescent="0.3">
      <c r="A423" s="208"/>
      <c r="B423" s="208"/>
      <c r="C423" s="208"/>
      <c r="D423" s="208"/>
      <c r="E423" s="208"/>
      <c r="F423" s="208"/>
      <c r="G423" s="208"/>
      <c r="H423" s="208"/>
      <c r="I423" s="208"/>
      <c r="J423" s="208"/>
      <c r="K423" s="208"/>
      <c r="L423" s="208"/>
      <c r="M423" s="208"/>
      <c r="N423" s="208"/>
      <c r="O423" s="208"/>
      <c r="P423" s="208"/>
      <c r="Q423" s="208"/>
      <c r="R423" s="208"/>
      <c r="S423" s="208"/>
      <c r="T423" s="208"/>
      <c r="U423" s="208"/>
      <c r="V423" s="208"/>
    </row>
    <row r="424" spans="1:22" ht="15.75" customHeight="1" x14ac:dyDescent="0.3">
      <c r="A424" s="208"/>
      <c r="B424" s="208"/>
      <c r="C424" s="208"/>
      <c r="D424" s="208"/>
      <c r="E424" s="208"/>
      <c r="F424" s="208"/>
      <c r="G424" s="208"/>
      <c r="H424" s="208"/>
      <c r="I424" s="208"/>
      <c r="J424" s="208"/>
      <c r="K424" s="208"/>
      <c r="L424" s="208"/>
      <c r="M424" s="208"/>
      <c r="N424" s="208"/>
      <c r="O424" s="208"/>
      <c r="P424" s="208"/>
      <c r="Q424" s="208"/>
      <c r="R424" s="208"/>
      <c r="S424" s="208"/>
      <c r="T424" s="208"/>
      <c r="U424" s="208"/>
      <c r="V424" s="208"/>
    </row>
    <row r="425" spans="1:22" ht="15.75" customHeight="1" x14ac:dyDescent="0.3">
      <c r="A425" s="208"/>
      <c r="B425" s="208"/>
      <c r="C425" s="208"/>
      <c r="D425" s="208"/>
      <c r="E425" s="208"/>
      <c r="F425" s="208"/>
      <c r="G425" s="208"/>
      <c r="H425" s="208"/>
      <c r="I425" s="208"/>
      <c r="J425" s="208"/>
      <c r="K425" s="208"/>
      <c r="L425" s="208"/>
      <c r="M425" s="208"/>
      <c r="N425" s="208"/>
      <c r="O425" s="208"/>
      <c r="P425" s="208"/>
      <c r="Q425" s="208"/>
      <c r="R425" s="208"/>
      <c r="S425" s="208"/>
      <c r="T425" s="208"/>
      <c r="U425" s="208"/>
      <c r="V425" s="208"/>
    </row>
    <row r="426" spans="1:22" ht="15.75" customHeight="1" x14ac:dyDescent="0.3">
      <c r="A426" s="208"/>
      <c r="B426" s="208"/>
      <c r="C426" s="208"/>
      <c r="D426" s="208"/>
      <c r="E426" s="208"/>
      <c r="F426" s="208"/>
      <c r="G426" s="208"/>
      <c r="H426" s="208"/>
      <c r="I426" s="208"/>
      <c r="J426" s="208"/>
      <c r="K426" s="208"/>
      <c r="L426" s="208"/>
      <c r="M426" s="208"/>
      <c r="N426" s="208"/>
      <c r="O426" s="208"/>
      <c r="P426" s="208"/>
      <c r="Q426" s="208"/>
      <c r="R426" s="208"/>
      <c r="S426" s="208"/>
      <c r="T426" s="208"/>
      <c r="U426" s="208"/>
      <c r="V426" s="208"/>
    </row>
    <row r="427" spans="1:22" ht="15.75" customHeight="1" x14ac:dyDescent="0.3">
      <c r="A427" s="208"/>
      <c r="B427" s="208"/>
      <c r="C427" s="208"/>
      <c r="D427" s="208"/>
      <c r="E427" s="208"/>
      <c r="F427" s="208"/>
      <c r="G427" s="208"/>
      <c r="H427" s="208"/>
      <c r="I427" s="208"/>
      <c r="J427" s="208"/>
      <c r="K427" s="208"/>
      <c r="L427" s="208"/>
      <c r="M427" s="208"/>
      <c r="N427" s="208"/>
      <c r="O427" s="208"/>
      <c r="P427" s="208"/>
      <c r="Q427" s="208"/>
      <c r="R427" s="208"/>
      <c r="S427" s="208"/>
      <c r="T427" s="208"/>
      <c r="U427" s="208"/>
      <c r="V427" s="208"/>
    </row>
    <row r="428" spans="1:22" ht="15.75" customHeight="1" x14ac:dyDescent="0.3">
      <c r="A428" s="208"/>
      <c r="B428" s="208"/>
      <c r="C428" s="208"/>
      <c r="D428" s="208"/>
      <c r="E428" s="208"/>
      <c r="F428" s="208"/>
      <c r="G428" s="208"/>
      <c r="H428" s="208"/>
      <c r="I428" s="208"/>
      <c r="J428" s="208"/>
      <c r="K428" s="208"/>
      <c r="L428" s="208"/>
      <c r="M428" s="208"/>
      <c r="N428" s="208"/>
      <c r="O428" s="208"/>
      <c r="P428" s="208"/>
      <c r="Q428" s="208"/>
      <c r="R428" s="208"/>
      <c r="S428" s="208"/>
      <c r="T428" s="208"/>
      <c r="U428" s="208"/>
      <c r="V428" s="208"/>
    </row>
    <row r="429" spans="1:22" ht="15.75" customHeight="1" x14ac:dyDescent="0.3">
      <c r="A429" s="208"/>
      <c r="B429" s="208"/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208"/>
      <c r="P429" s="208"/>
      <c r="Q429" s="208"/>
      <c r="R429" s="208"/>
      <c r="S429" s="208"/>
      <c r="T429" s="208"/>
      <c r="U429" s="208"/>
      <c r="V429" s="208"/>
    </row>
    <row r="430" spans="1:22" ht="15.75" customHeight="1" x14ac:dyDescent="0.3">
      <c r="A430" s="208"/>
      <c r="B430" s="208"/>
      <c r="C430" s="208"/>
      <c r="D430" s="208"/>
      <c r="E430" s="208"/>
      <c r="F430" s="208"/>
      <c r="G430" s="208"/>
      <c r="H430" s="208"/>
      <c r="I430" s="208"/>
      <c r="J430" s="208"/>
      <c r="K430" s="208"/>
      <c r="L430" s="208"/>
      <c r="M430" s="208"/>
      <c r="N430" s="208"/>
      <c r="O430" s="208"/>
      <c r="P430" s="208"/>
      <c r="Q430" s="208"/>
      <c r="R430" s="208"/>
      <c r="S430" s="208"/>
      <c r="T430" s="208"/>
      <c r="U430" s="208"/>
      <c r="V430" s="208"/>
    </row>
    <row r="431" spans="1:22" ht="15.75" customHeight="1" x14ac:dyDescent="0.3">
      <c r="A431" s="208"/>
      <c r="B431" s="208"/>
      <c r="C431" s="208"/>
      <c r="D431" s="208"/>
      <c r="E431" s="208"/>
      <c r="F431" s="208"/>
      <c r="G431" s="208"/>
      <c r="H431" s="208"/>
      <c r="I431" s="208"/>
      <c r="J431" s="208"/>
      <c r="K431" s="208"/>
      <c r="L431" s="208"/>
      <c r="M431" s="208"/>
      <c r="N431" s="208"/>
      <c r="O431" s="208"/>
      <c r="P431" s="208"/>
      <c r="Q431" s="208"/>
      <c r="R431" s="208"/>
      <c r="S431" s="208"/>
      <c r="T431" s="208"/>
      <c r="U431" s="208"/>
      <c r="V431" s="208"/>
    </row>
    <row r="432" spans="1:22" ht="15.75" customHeight="1" x14ac:dyDescent="0.3">
      <c r="A432" s="208"/>
      <c r="B432" s="208"/>
      <c r="C432" s="208"/>
      <c r="D432" s="208"/>
      <c r="E432" s="208"/>
      <c r="F432" s="208"/>
      <c r="G432" s="208"/>
      <c r="H432" s="208"/>
      <c r="I432" s="208"/>
      <c r="J432" s="208"/>
      <c r="K432" s="208"/>
      <c r="L432" s="208"/>
      <c r="M432" s="208"/>
      <c r="N432" s="208"/>
      <c r="O432" s="208"/>
      <c r="P432" s="208"/>
      <c r="Q432" s="208"/>
      <c r="R432" s="208"/>
      <c r="S432" s="208"/>
      <c r="T432" s="208"/>
      <c r="U432" s="208"/>
      <c r="V432" s="208"/>
    </row>
    <row r="433" spans="1:22" ht="15.75" customHeight="1" x14ac:dyDescent="0.3">
      <c r="A433" s="208"/>
      <c r="B433" s="208"/>
      <c r="C433" s="208"/>
      <c r="D433" s="208"/>
      <c r="E433" s="208"/>
      <c r="F433" s="208"/>
      <c r="G433" s="208"/>
      <c r="H433" s="208"/>
      <c r="I433" s="208"/>
      <c r="J433" s="208"/>
      <c r="K433" s="208"/>
      <c r="L433" s="208"/>
      <c r="M433" s="208"/>
      <c r="N433" s="208"/>
      <c r="O433" s="208"/>
      <c r="P433" s="208"/>
      <c r="Q433" s="208"/>
      <c r="R433" s="208"/>
      <c r="S433" s="208"/>
      <c r="T433" s="208"/>
      <c r="U433" s="208"/>
      <c r="V433" s="208"/>
    </row>
    <row r="434" spans="1:22" ht="15.75" customHeight="1" x14ac:dyDescent="0.3">
      <c r="A434" s="208"/>
      <c r="B434" s="208"/>
      <c r="C434" s="208"/>
      <c r="D434" s="208"/>
      <c r="E434" s="208"/>
      <c r="F434" s="208"/>
      <c r="G434" s="208"/>
      <c r="H434" s="208"/>
      <c r="I434" s="208"/>
      <c r="J434" s="208"/>
      <c r="K434" s="208"/>
      <c r="L434" s="208"/>
      <c r="M434" s="208"/>
      <c r="N434" s="208"/>
      <c r="O434" s="208"/>
      <c r="P434" s="208"/>
      <c r="Q434" s="208"/>
      <c r="R434" s="208"/>
      <c r="S434" s="208"/>
      <c r="T434" s="208"/>
      <c r="U434" s="208"/>
      <c r="V434" s="208"/>
    </row>
    <row r="435" spans="1:22" ht="15.75" customHeight="1" x14ac:dyDescent="0.3">
      <c r="A435" s="208"/>
      <c r="B435" s="208"/>
      <c r="C435" s="208"/>
      <c r="D435" s="208"/>
      <c r="E435" s="208"/>
      <c r="F435" s="208"/>
      <c r="G435" s="208"/>
      <c r="H435" s="208"/>
      <c r="I435" s="208"/>
      <c r="J435" s="208"/>
      <c r="K435" s="208"/>
      <c r="L435" s="208"/>
      <c r="M435" s="208"/>
      <c r="N435" s="208"/>
      <c r="O435" s="208"/>
      <c r="P435" s="208"/>
      <c r="Q435" s="208"/>
      <c r="R435" s="208"/>
      <c r="S435" s="208"/>
      <c r="T435" s="208"/>
      <c r="U435" s="208"/>
      <c r="V435" s="208"/>
    </row>
    <row r="436" spans="1:22" ht="15.75" customHeight="1" x14ac:dyDescent="0.3">
      <c r="A436" s="208"/>
      <c r="B436" s="208"/>
      <c r="C436" s="208"/>
      <c r="D436" s="208"/>
      <c r="E436" s="208"/>
      <c r="F436" s="208"/>
      <c r="G436" s="208"/>
      <c r="H436" s="208"/>
      <c r="I436" s="208"/>
      <c r="J436" s="208"/>
      <c r="K436" s="208"/>
      <c r="L436" s="208"/>
      <c r="M436" s="208"/>
      <c r="N436" s="208"/>
      <c r="O436" s="208"/>
      <c r="P436" s="208"/>
      <c r="Q436" s="208"/>
      <c r="R436" s="208"/>
      <c r="S436" s="208"/>
      <c r="T436" s="208"/>
      <c r="U436" s="208"/>
      <c r="V436" s="208"/>
    </row>
    <row r="437" spans="1:22" ht="15.75" customHeight="1" x14ac:dyDescent="0.3">
      <c r="A437" s="208"/>
      <c r="B437" s="208"/>
      <c r="C437" s="208"/>
      <c r="D437" s="208"/>
      <c r="E437" s="208"/>
      <c r="F437" s="208"/>
      <c r="G437" s="208"/>
      <c r="H437" s="208"/>
      <c r="I437" s="208"/>
      <c r="J437" s="208"/>
      <c r="K437" s="208"/>
      <c r="L437" s="208"/>
      <c r="M437" s="208"/>
      <c r="N437" s="208"/>
      <c r="O437" s="208"/>
      <c r="P437" s="208"/>
      <c r="Q437" s="208"/>
      <c r="R437" s="208"/>
      <c r="S437" s="208"/>
      <c r="T437" s="208"/>
      <c r="U437" s="208"/>
      <c r="V437" s="208"/>
    </row>
    <row r="438" spans="1:22" ht="15.75" customHeight="1" x14ac:dyDescent="0.3">
      <c r="A438" s="208"/>
      <c r="B438" s="208"/>
      <c r="C438" s="208"/>
      <c r="D438" s="208"/>
      <c r="E438" s="208"/>
      <c r="F438" s="208"/>
      <c r="G438" s="208"/>
      <c r="H438" s="208"/>
      <c r="I438" s="208"/>
      <c r="J438" s="208"/>
      <c r="K438" s="208"/>
      <c r="L438" s="208"/>
      <c r="M438" s="208"/>
      <c r="N438" s="208"/>
      <c r="O438" s="208"/>
      <c r="P438" s="208"/>
      <c r="Q438" s="208"/>
      <c r="R438" s="208"/>
      <c r="S438" s="208"/>
      <c r="T438" s="208"/>
      <c r="U438" s="208"/>
      <c r="V438" s="208"/>
    </row>
    <row r="439" spans="1:22" ht="15.75" customHeight="1" x14ac:dyDescent="0.3">
      <c r="A439" s="208"/>
      <c r="B439" s="208"/>
      <c r="C439" s="208"/>
      <c r="D439" s="208"/>
      <c r="E439" s="208"/>
      <c r="F439" s="208"/>
      <c r="G439" s="208"/>
      <c r="H439" s="208"/>
      <c r="I439" s="208"/>
      <c r="J439" s="208"/>
      <c r="K439" s="208"/>
      <c r="L439" s="208"/>
      <c r="M439" s="208"/>
      <c r="N439" s="208"/>
      <c r="O439" s="208"/>
      <c r="P439" s="208"/>
      <c r="Q439" s="208"/>
      <c r="R439" s="208"/>
      <c r="S439" s="208"/>
      <c r="T439" s="208"/>
      <c r="U439" s="208"/>
      <c r="V439" s="208"/>
    </row>
    <row r="440" spans="1:22" ht="15.75" customHeight="1" x14ac:dyDescent="0.3">
      <c r="A440" s="208"/>
      <c r="B440" s="208"/>
      <c r="C440" s="208"/>
      <c r="D440" s="208"/>
      <c r="E440" s="208"/>
      <c r="F440" s="208"/>
      <c r="G440" s="208"/>
      <c r="H440" s="208"/>
      <c r="I440" s="208"/>
      <c r="J440" s="208"/>
      <c r="K440" s="208"/>
      <c r="L440" s="208"/>
      <c r="M440" s="208"/>
      <c r="N440" s="208"/>
      <c r="O440" s="208"/>
      <c r="P440" s="208"/>
      <c r="Q440" s="208"/>
      <c r="R440" s="208"/>
      <c r="S440" s="208"/>
      <c r="T440" s="208"/>
      <c r="U440" s="208"/>
      <c r="V440" s="208"/>
    </row>
    <row r="441" spans="1:22" ht="15.75" customHeight="1" x14ac:dyDescent="0.3">
      <c r="A441" s="208"/>
      <c r="B441" s="208"/>
      <c r="C441" s="208"/>
      <c r="D441" s="208"/>
      <c r="E441" s="208"/>
      <c r="F441" s="208"/>
      <c r="G441" s="208"/>
      <c r="H441" s="208"/>
      <c r="I441" s="208"/>
      <c r="J441" s="208"/>
      <c r="K441" s="208"/>
      <c r="L441" s="208"/>
      <c r="M441" s="208"/>
      <c r="N441" s="208"/>
      <c r="O441" s="208"/>
      <c r="P441" s="208"/>
      <c r="Q441" s="208"/>
      <c r="R441" s="208"/>
      <c r="S441" s="208"/>
      <c r="T441" s="208"/>
      <c r="U441" s="208"/>
      <c r="V441" s="208"/>
    </row>
    <row r="442" spans="1:22" ht="15.75" customHeight="1" x14ac:dyDescent="0.3">
      <c r="A442" s="208"/>
      <c r="B442" s="208"/>
      <c r="C442" s="208"/>
      <c r="D442" s="208"/>
      <c r="E442" s="208"/>
      <c r="F442" s="208"/>
      <c r="G442" s="208"/>
      <c r="H442" s="208"/>
      <c r="I442" s="208"/>
      <c r="J442" s="208"/>
      <c r="K442" s="208"/>
      <c r="L442" s="208"/>
      <c r="M442" s="208"/>
      <c r="N442" s="208"/>
      <c r="O442" s="208"/>
      <c r="P442" s="208"/>
      <c r="Q442" s="208"/>
      <c r="R442" s="208"/>
      <c r="S442" s="208"/>
      <c r="T442" s="208"/>
      <c r="U442" s="208"/>
      <c r="V442" s="208"/>
    </row>
    <row r="443" spans="1:22" ht="15.75" customHeight="1" x14ac:dyDescent="0.3">
      <c r="A443" s="208"/>
      <c r="B443" s="208"/>
      <c r="C443" s="208"/>
      <c r="D443" s="208"/>
      <c r="E443" s="208"/>
      <c r="F443" s="208"/>
      <c r="G443" s="208"/>
      <c r="H443" s="208"/>
      <c r="I443" s="208"/>
      <c r="J443" s="208"/>
      <c r="K443" s="208"/>
      <c r="L443" s="208"/>
      <c r="M443" s="208"/>
      <c r="N443" s="208"/>
      <c r="O443" s="208"/>
      <c r="P443" s="208"/>
      <c r="Q443" s="208"/>
      <c r="R443" s="208"/>
      <c r="S443" s="208"/>
      <c r="T443" s="208"/>
      <c r="U443" s="208"/>
      <c r="V443" s="208"/>
    </row>
    <row r="444" spans="1:22" ht="15.75" customHeight="1" x14ac:dyDescent="0.3">
      <c r="A444" s="208"/>
      <c r="B444" s="208"/>
      <c r="C444" s="208"/>
      <c r="D444" s="208"/>
      <c r="E444" s="208"/>
      <c r="F444" s="208"/>
      <c r="G444" s="208"/>
      <c r="H444" s="208"/>
      <c r="I444" s="208"/>
      <c r="J444" s="208"/>
      <c r="K444" s="208"/>
      <c r="L444" s="208"/>
      <c r="M444" s="208"/>
      <c r="N444" s="208"/>
      <c r="O444" s="208"/>
      <c r="P444" s="208"/>
      <c r="Q444" s="208"/>
      <c r="R444" s="208"/>
      <c r="S444" s="208"/>
      <c r="T444" s="208"/>
      <c r="U444" s="208"/>
      <c r="V444" s="208"/>
    </row>
    <row r="445" spans="1:22" ht="15.75" customHeight="1" x14ac:dyDescent="0.3">
      <c r="A445" s="208"/>
      <c r="B445" s="208"/>
      <c r="C445" s="208"/>
      <c r="D445" s="208"/>
      <c r="E445" s="208"/>
      <c r="F445" s="208"/>
      <c r="G445" s="208"/>
      <c r="H445" s="208"/>
      <c r="I445" s="208"/>
      <c r="J445" s="208"/>
      <c r="K445" s="208"/>
      <c r="L445" s="208"/>
      <c r="M445" s="208"/>
      <c r="N445" s="208"/>
      <c r="O445" s="208"/>
      <c r="P445" s="208"/>
      <c r="Q445" s="208"/>
      <c r="R445" s="208"/>
      <c r="S445" s="208"/>
      <c r="T445" s="208"/>
      <c r="U445" s="208"/>
      <c r="V445" s="208"/>
    </row>
    <row r="446" spans="1:22" ht="15.75" customHeight="1" x14ac:dyDescent="0.3">
      <c r="A446" s="208"/>
      <c r="B446" s="208"/>
      <c r="C446" s="208"/>
      <c r="D446" s="208"/>
      <c r="E446" s="208"/>
      <c r="F446" s="208"/>
      <c r="G446" s="208"/>
      <c r="H446" s="208"/>
      <c r="I446" s="208"/>
      <c r="J446" s="208"/>
      <c r="K446" s="208"/>
      <c r="L446" s="208"/>
      <c r="M446" s="208"/>
      <c r="N446" s="208"/>
      <c r="O446" s="208"/>
      <c r="P446" s="208"/>
      <c r="Q446" s="208"/>
      <c r="R446" s="208"/>
      <c r="S446" s="208"/>
      <c r="T446" s="208"/>
      <c r="U446" s="208"/>
      <c r="V446" s="208"/>
    </row>
    <row r="447" spans="1:22" ht="15.75" customHeight="1" x14ac:dyDescent="0.3">
      <c r="A447" s="208"/>
      <c r="B447" s="208"/>
      <c r="C447" s="208"/>
      <c r="D447" s="208"/>
      <c r="E447" s="208"/>
      <c r="F447" s="208"/>
      <c r="G447" s="208"/>
      <c r="H447" s="208"/>
      <c r="I447" s="208"/>
      <c r="J447" s="208"/>
      <c r="K447" s="208"/>
      <c r="L447" s="208"/>
      <c r="M447" s="208"/>
      <c r="N447" s="208"/>
      <c r="O447" s="208"/>
      <c r="P447" s="208"/>
      <c r="Q447" s="208"/>
      <c r="R447" s="208"/>
      <c r="S447" s="208"/>
      <c r="T447" s="208"/>
      <c r="U447" s="208"/>
      <c r="V447" s="208"/>
    </row>
    <row r="448" spans="1:22" ht="15.75" customHeight="1" x14ac:dyDescent="0.3">
      <c r="A448" s="208"/>
      <c r="B448" s="208"/>
      <c r="C448" s="208"/>
      <c r="D448" s="208"/>
      <c r="E448" s="208"/>
      <c r="F448" s="208"/>
      <c r="G448" s="208"/>
      <c r="H448" s="208"/>
      <c r="I448" s="208"/>
      <c r="J448" s="208"/>
      <c r="K448" s="208"/>
      <c r="L448" s="208"/>
      <c r="M448" s="208"/>
      <c r="N448" s="208"/>
      <c r="O448" s="208"/>
      <c r="P448" s="208"/>
      <c r="Q448" s="208"/>
      <c r="R448" s="208"/>
      <c r="S448" s="208"/>
      <c r="T448" s="208"/>
      <c r="U448" s="208"/>
      <c r="V448" s="208"/>
    </row>
    <row r="449" spans="1:22" ht="15.75" customHeight="1" x14ac:dyDescent="0.3">
      <c r="A449" s="208"/>
      <c r="B449" s="208"/>
      <c r="C449" s="208"/>
      <c r="D449" s="208"/>
      <c r="E449" s="208"/>
      <c r="F449" s="208"/>
      <c r="G449" s="208"/>
      <c r="H449" s="208"/>
      <c r="I449" s="208"/>
      <c r="J449" s="208"/>
      <c r="K449" s="208"/>
      <c r="L449" s="208"/>
      <c r="M449" s="208"/>
      <c r="N449" s="208"/>
      <c r="O449" s="208"/>
      <c r="P449" s="208"/>
      <c r="Q449" s="208"/>
      <c r="R449" s="208"/>
      <c r="S449" s="208"/>
      <c r="T449" s="208"/>
      <c r="U449" s="208"/>
      <c r="V449" s="208"/>
    </row>
    <row r="450" spans="1:22" ht="15.75" customHeight="1" x14ac:dyDescent="0.3">
      <c r="A450" s="208"/>
      <c r="B450" s="208"/>
      <c r="C450" s="208"/>
      <c r="D450" s="208"/>
      <c r="E450" s="208"/>
      <c r="F450" s="208"/>
      <c r="G450" s="208"/>
      <c r="H450" s="208"/>
      <c r="I450" s="208"/>
      <c r="J450" s="208"/>
      <c r="K450" s="208"/>
      <c r="L450" s="208"/>
      <c r="M450" s="208"/>
      <c r="N450" s="208"/>
      <c r="O450" s="208"/>
      <c r="P450" s="208"/>
      <c r="Q450" s="208"/>
      <c r="R450" s="208"/>
      <c r="S450" s="208"/>
      <c r="T450" s="208"/>
      <c r="U450" s="208"/>
      <c r="V450" s="208"/>
    </row>
    <row r="451" spans="1:22" ht="15.75" customHeight="1" x14ac:dyDescent="0.3">
      <c r="A451" s="208"/>
      <c r="B451" s="208"/>
      <c r="C451" s="208"/>
      <c r="D451" s="208"/>
      <c r="E451" s="208"/>
      <c r="F451" s="208"/>
      <c r="G451" s="208"/>
      <c r="H451" s="208"/>
      <c r="I451" s="208"/>
      <c r="J451" s="208"/>
      <c r="K451" s="208"/>
      <c r="L451" s="208"/>
      <c r="M451" s="208"/>
      <c r="N451" s="208"/>
      <c r="O451" s="208"/>
      <c r="P451" s="208"/>
      <c r="Q451" s="208"/>
      <c r="R451" s="208"/>
      <c r="S451" s="208"/>
      <c r="T451" s="208"/>
      <c r="U451" s="208"/>
      <c r="V451" s="208"/>
    </row>
    <row r="452" spans="1:22" ht="15.75" customHeight="1" x14ac:dyDescent="0.3">
      <c r="A452" s="208"/>
      <c r="B452" s="208"/>
      <c r="C452" s="208"/>
      <c r="D452" s="208"/>
      <c r="E452" s="208"/>
      <c r="F452" s="208"/>
      <c r="G452" s="208"/>
      <c r="H452" s="208"/>
      <c r="I452" s="208"/>
      <c r="J452" s="208"/>
      <c r="K452" s="208"/>
      <c r="L452" s="208"/>
      <c r="M452" s="208"/>
      <c r="N452" s="208"/>
      <c r="O452" s="208"/>
      <c r="P452" s="208"/>
      <c r="Q452" s="208"/>
      <c r="R452" s="208"/>
      <c r="S452" s="208"/>
      <c r="T452" s="208"/>
      <c r="U452" s="208"/>
      <c r="V452" s="208"/>
    </row>
    <row r="453" spans="1:22" ht="15.75" customHeight="1" x14ac:dyDescent="0.3">
      <c r="A453" s="208"/>
      <c r="B453" s="208"/>
      <c r="C453" s="208"/>
      <c r="D453" s="208"/>
      <c r="E453" s="208"/>
      <c r="F453" s="208"/>
      <c r="G453" s="208"/>
      <c r="H453" s="208"/>
      <c r="I453" s="208"/>
      <c r="J453" s="208"/>
      <c r="K453" s="208"/>
      <c r="L453" s="208"/>
      <c r="M453" s="208"/>
      <c r="N453" s="208"/>
      <c r="O453" s="208"/>
      <c r="P453" s="208"/>
      <c r="Q453" s="208"/>
      <c r="R453" s="208"/>
      <c r="S453" s="208"/>
      <c r="T453" s="208"/>
      <c r="U453" s="208"/>
      <c r="V453" s="208"/>
    </row>
    <row r="454" spans="1:22" ht="15.75" customHeight="1" x14ac:dyDescent="0.3">
      <c r="A454" s="208"/>
      <c r="B454" s="208"/>
      <c r="C454" s="208"/>
      <c r="D454" s="208"/>
      <c r="E454" s="208"/>
      <c r="F454" s="208"/>
      <c r="G454" s="208"/>
      <c r="H454" s="208"/>
      <c r="I454" s="208"/>
      <c r="J454" s="208"/>
      <c r="K454" s="208"/>
      <c r="L454" s="208"/>
      <c r="M454" s="208"/>
      <c r="N454" s="208"/>
      <c r="O454" s="208"/>
      <c r="P454" s="208"/>
      <c r="Q454" s="208"/>
      <c r="R454" s="208"/>
      <c r="S454" s="208"/>
      <c r="T454" s="208"/>
      <c r="U454" s="208"/>
      <c r="V454" s="208"/>
    </row>
    <row r="455" spans="1:22" ht="15.75" customHeight="1" x14ac:dyDescent="0.3">
      <c r="A455" s="208"/>
      <c r="B455" s="208"/>
      <c r="C455" s="208"/>
      <c r="D455" s="208"/>
      <c r="E455" s="208"/>
      <c r="F455" s="208"/>
      <c r="G455" s="208"/>
      <c r="H455" s="208"/>
      <c r="I455" s="208"/>
      <c r="J455" s="208"/>
      <c r="K455" s="208"/>
      <c r="L455" s="208"/>
      <c r="M455" s="208"/>
      <c r="N455" s="208"/>
      <c r="O455" s="208"/>
      <c r="P455" s="208"/>
      <c r="Q455" s="208"/>
      <c r="R455" s="208"/>
      <c r="S455" s="208"/>
      <c r="T455" s="208"/>
      <c r="U455" s="208"/>
      <c r="V455" s="208"/>
    </row>
    <row r="456" spans="1:22" ht="15.75" customHeight="1" x14ac:dyDescent="0.3">
      <c r="A456" s="208"/>
      <c r="B456" s="208"/>
      <c r="C456" s="208"/>
      <c r="D456" s="208"/>
      <c r="E456" s="208"/>
      <c r="F456" s="208"/>
      <c r="G456" s="208"/>
      <c r="H456" s="208"/>
      <c r="I456" s="208"/>
      <c r="J456" s="208"/>
      <c r="K456" s="208"/>
      <c r="L456" s="208"/>
      <c r="M456" s="208"/>
      <c r="N456" s="208"/>
      <c r="O456" s="208"/>
      <c r="P456" s="208"/>
      <c r="Q456" s="208"/>
      <c r="R456" s="208"/>
      <c r="S456" s="208"/>
      <c r="T456" s="208"/>
      <c r="U456" s="208"/>
      <c r="V456" s="208"/>
    </row>
    <row r="457" spans="1:22" ht="15.75" customHeight="1" x14ac:dyDescent="0.3">
      <c r="A457" s="208"/>
      <c r="B457" s="208"/>
      <c r="C457" s="208"/>
      <c r="D457" s="208"/>
      <c r="E457" s="208"/>
      <c r="F457" s="208"/>
      <c r="G457" s="208"/>
      <c r="H457" s="208"/>
      <c r="I457" s="208"/>
      <c r="J457" s="208"/>
      <c r="K457" s="208"/>
      <c r="L457" s="208"/>
      <c r="M457" s="208"/>
      <c r="N457" s="208"/>
      <c r="O457" s="208"/>
      <c r="P457" s="208"/>
      <c r="Q457" s="208"/>
      <c r="R457" s="208"/>
      <c r="S457" s="208"/>
      <c r="T457" s="208"/>
      <c r="U457" s="208"/>
      <c r="V457" s="208"/>
    </row>
    <row r="458" spans="1:22" ht="15.75" customHeight="1" x14ac:dyDescent="0.3">
      <c r="A458" s="208"/>
      <c r="B458" s="208"/>
      <c r="C458" s="208"/>
      <c r="D458" s="208"/>
      <c r="E458" s="208"/>
      <c r="F458" s="208"/>
      <c r="G458" s="208"/>
      <c r="H458" s="208"/>
      <c r="I458" s="208"/>
      <c r="J458" s="208"/>
      <c r="K458" s="208"/>
      <c r="L458" s="208"/>
      <c r="M458" s="208"/>
      <c r="N458" s="208"/>
      <c r="O458" s="208"/>
      <c r="P458" s="208"/>
      <c r="Q458" s="208"/>
      <c r="R458" s="208"/>
      <c r="S458" s="208"/>
      <c r="T458" s="208"/>
      <c r="U458" s="208"/>
      <c r="V458" s="208"/>
    </row>
    <row r="459" spans="1:22" ht="15.75" customHeight="1" x14ac:dyDescent="0.3">
      <c r="A459" s="208"/>
      <c r="B459" s="208"/>
      <c r="C459" s="208"/>
      <c r="D459" s="208"/>
      <c r="E459" s="208"/>
      <c r="F459" s="208"/>
      <c r="G459" s="208"/>
      <c r="H459" s="208"/>
      <c r="I459" s="208"/>
      <c r="J459" s="208"/>
      <c r="K459" s="208"/>
      <c r="L459" s="208"/>
      <c r="M459" s="208"/>
      <c r="N459" s="208"/>
      <c r="O459" s="208"/>
      <c r="P459" s="208"/>
      <c r="Q459" s="208"/>
      <c r="R459" s="208"/>
      <c r="S459" s="208"/>
      <c r="T459" s="208"/>
      <c r="U459" s="208"/>
      <c r="V459" s="208"/>
    </row>
    <row r="460" spans="1:22" ht="15.75" customHeight="1" x14ac:dyDescent="0.3">
      <c r="A460" s="208"/>
      <c r="B460" s="208"/>
      <c r="C460" s="208"/>
      <c r="D460" s="208"/>
      <c r="E460" s="208"/>
      <c r="F460" s="208"/>
      <c r="G460" s="208"/>
      <c r="H460" s="208"/>
      <c r="I460" s="208"/>
      <c r="J460" s="208"/>
      <c r="K460" s="208"/>
      <c r="L460" s="208"/>
      <c r="M460" s="208"/>
      <c r="N460" s="208"/>
      <c r="O460" s="208"/>
      <c r="P460" s="208"/>
      <c r="Q460" s="208"/>
      <c r="R460" s="208"/>
      <c r="S460" s="208"/>
      <c r="T460" s="208"/>
      <c r="U460" s="208"/>
      <c r="V460" s="208"/>
    </row>
    <row r="461" spans="1:22" ht="15.75" customHeight="1" x14ac:dyDescent="0.3">
      <c r="A461" s="208"/>
      <c r="B461" s="208"/>
      <c r="C461" s="208"/>
      <c r="D461" s="208"/>
      <c r="E461" s="208"/>
      <c r="F461" s="208"/>
      <c r="G461" s="208"/>
      <c r="H461" s="208"/>
      <c r="I461" s="208"/>
      <c r="J461" s="208"/>
      <c r="K461" s="208"/>
      <c r="L461" s="208"/>
      <c r="M461" s="208"/>
      <c r="N461" s="208"/>
      <c r="O461" s="208"/>
      <c r="P461" s="208"/>
      <c r="Q461" s="208"/>
      <c r="R461" s="208"/>
      <c r="S461" s="208"/>
      <c r="T461" s="208"/>
      <c r="U461" s="208"/>
      <c r="V461" s="208"/>
    </row>
    <row r="462" spans="1:22" ht="15.75" customHeight="1" x14ac:dyDescent="0.3">
      <c r="A462" s="208"/>
      <c r="B462" s="208"/>
      <c r="C462" s="208"/>
      <c r="D462" s="208"/>
      <c r="E462" s="208"/>
      <c r="F462" s="208"/>
      <c r="G462" s="208"/>
      <c r="H462" s="208"/>
      <c r="I462" s="208"/>
      <c r="J462" s="208"/>
      <c r="K462" s="208"/>
      <c r="L462" s="208"/>
      <c r="M462" s="208"/>
      <c r="N462" s="208"/>
      <c r="O462" s="208"/>
      <c r="P462" s="208"/>
      <c r="Q462" s="208"/>
      <c r="R462" s="208"/>
      <c r="S462" s="208"/>
      <c r="T462" s="208"/>
      <c r="U462" s="208"/>
      <c r="V462" s="208"/>
    </row>
    <row r="463" spans="1:22" ht="15.75" customHeight="1" x14ac:dyDescent="0.3">
      <c r="A463" s="208"/>
      <c r="B463" s="208"/>
      <c r="C463" s="208"/>
      <c r="D463" s="208"/>
      <c r="E463" s="208"/>
      <c r="F463" s="208"/>
      <c r="G463" s="208"/>
      <c r="H463" s="208"/>
      <c r="I463" s="208"/>
      <c r="J463" s="208"/>
      <c r="K463" s="208"/>
      <c r="L463" s="208"/>
      <c r="M463" s="208"/>
      <c r="N463" s="208"/>
      <c r="O463" s="208"/>
      <c r="P463" s="208"/>
      <c r="Q463" s="208"/>
      <c r="R463" s="208"/>
      <c r="S463" s="208"/>
      <c r="T463" s="208"/>
      <c r="U463" s="208"/>
      <c r="V463" s="208"/>
    </row>
    <row r="464" spans="1:22" ht="15.75" customHeight="1" x14ac:dyDescent="0.3">
      <c r="A464" s="208"/>
      <c r="B464" s="208"/>
      <c r="C464" s="208"/>
      <c r="D464" s="208"/>
      <c r="E464" s="208"/>
      <c r="F464" s="208"/>
      <c r="G464" s="208"/>
      <c r="H464" s="208"/>
      <c r="I464" s="208"/>
      <c r="J464" s="208"/>
      <c r="K464" s="208"/>
      <c r="L464" s="208"/>
      <c r="M464" s="208"/>
      <c r="N464" s="208"/>
      <c r="O464" s="208"/>
      <c r="P464" s="208"/>
      <c r="Q464" s="208"/>
      <c r="R464" s="208"/>
      <c r="S464" s="208"/>
      <c r="T464" s="208"/>
      <c r="U464" s="208"/>
      <c r="V464" s="208"/>
    </row>
    <row r="465" spans="1:22" ht="15.75" customHeight="1" x14ac:dyDescent="0.3">
      <c r="A465" s="208"/>
      <c r="B465" s="208"/>
      <c r="C465" s="208"/>
      <c r="D465" s="208"/>
      <c r="E465" s="208"/>
      <c r="F465" s="208"/>
      <c r="G465" s="208"/>
      <c r="H465" s="208"/>
      <c r="I465" s="208"/>
      <c r="J465" s="208"/>
      <c r="K465" s="208"/>
      <c r="L465" s="208"/>
      <c r="M465" s="208"/>
      <c r="N465" s="208"/>
      <c r="O465" s="208"/>
      <c r="P465" s="208"/>
      <c r="Q465" s="208"/>
      <c r="R465" s="208"/>
      <c r="S465" s="208"/>
      <c r="T465" s="208"/>
      <c r="U465" s="208"/>
      <c r="V465" s="208"/>
    </row>
    <row r="466" spans="1:22" ht="15.75" customHeight="1" x14ac:dyDescent="0.3">
      <c r="A466" s="208"/>
      <c r="B466" s="208"/>
      <c r="C466" s="208"/>
      <c r="D466" s="208"/>
      <c r="E466" s="208"/>
      <c r="F466" s="208"/>
      <c r="G466" s="208"/>
      <c r="H466" s="208"/>
      <c r="I466" s="208"/>
      <c r="J466" s="208"/>
      <c r="K466" s="208"/>
      <c r="L466" s="208"/>
      <c r="M466" s="208"/>
      <c r="N466" s="208"/>
      <c r="O466" s="208"/>
      <c r="P466" s="208"/>
      <c r="Q466" s="208"/>
      <c r="R466" s="208"/>
      <c r="S466" s="208"/>
      <c r="T466" s="208"/>
      <c r="U466" s="208"/>
      <c r="V466" s="208"/>
    </row>
    <row r="467" spans="1:22" ht="15.75" customHeight="1" x14ac:dyDescent="0.3">
      <c r="A467" s="208"/>
      <c r="B467" s="208"/>
      <c r="C467" s="208"/>
      <c r="D467" s="208"/>
      <c r="E467" s="208"/>
      <c r="F467" s="208"/>
      <c r="G467" s="208"/>
      <c r="H467" s="208"/>
      <c r="I467" s="208"/>
      <c r="J467" s="208"/>
      <c r="K467" s="208"/>
      <c r="L467" s="208"/>
      <c r="M467" s="208"/>
      <c r="N467" s="208"/>
      <c r="O467" s="208"/>
      <c r="P467" s="208"/>
      <c r="Q467" s="208"/>
      <c r="R467" s="208"/>
      <c r="S467" s="208"/>
      <c r="T467" s="208"/>
      <c r="U467" s="208"/>
      <c r="V467" s="208"/>
    </row>
    <row r="468" spans="1:22" ht="15.75" customHeight="1" x14ac:dyDescent="0.3">
      <c r="A468" s="208"/>
      <c r="B468" s="208"/>
      <c r="C468" s="208"/>
      <c r="D468" s="208"/>
      <c r="E468" s="208"/>
      <c r="F468" s="208"/>
      <c r="G468" s="208"/>
      <c r="H468" s="208"/>
      <c r="I468" s="208"/>
      <c r="J468" s="208"/>
      <c r="K468" s="208"/>
      <c r="L468" s="208"/>
      <c r="M468" s="208"/>
      <c r="N468" s="208"/>
      <c r="O468" s="208"/>
      <c r="P468" s="208"/>
      <c r="Q468" s="208"/>
      <c r="R468" s="208"/>
      <c r="S468" s="208"/>
      <c r="T468" s="208"/>
      <c r="U468" s="208"/>
      <c r="V468" s="208"/>
    </row>
    <row r="469" spans="1:22" ht="15.75" customHeight="1" x14ac:dyDescent="0.3">
      <c r="A469" s="208"/>
      <c r="B469" s="208"/>
      <c r="C469" s="208"/>
      <c r="D469" s="208"/>
      <c r="E469" s="208"/>
      <c r="F469" s="208"/>
      <c r="G469" s="208"/>
      <c r="H469" s="208"/>
      <c r="I469" s="208"/>
      <c r="J469" s="208"/>
      <c r="K469" s="208"/>
      <c r="L469" s="208"/>
      <c r="M469" s="208"/>
      <c r="N469" s="208"/>
      <c r="O469" s="208"/>
      <c r="P469" s="208"/>
      <c r="Q469" s="208"/>
      <c r="R469" s="208"/>
      <c r="S469" s="208"/>
      <c r="T469" s="208"/>
      <c r="U469" s="208"/>
      <c r="V469" s="208"/>
    </row>
    <row r="470" spans="1:22" ht="15.75" customHeight="1" x14ac:dyDescent="0.3">
      <c r="A470" s="208"/>
      <c r="B470" s="208"/>
      <c r="C470" s="208"/>
      <c r="D470" s="208"/>
      <c r="E470" s="208"/>
      <c r="F470" s="208"/>
      <c r="G470" s="208"/>
      <c r="H470" s="208"/>
      <c r="I470" s="208"/>
      <c r="J470" s="208"/>
      <c r="K470" s="208"/>
      <c r="L470" s="208"/>
      <c r="M470" s="208"/>
      <c r="N470" s="208"/>
      <c r="O470" s="208"/>
      <c r="P470" s="208"/>
      <c r="Q470" s="208"/>
      <c r="R470" s="208"/>
      <c r="S470" s="208"/>
      <c r="T470" s="208"/>
      <c r="U470" s="208"/>
      <c r="V470" s="208"/>
    </row>
    <row r="471" spans="1:22" ht="15.75" customHeight="1" x14ac:dyDescent="0.3">
      <c r="A471" s="208"/>
      <c r="B471" s="208"/>
      <c r="C471" s="208"/>
      <c r="D471" s="208"/>
      <c r="E471" s="208"/>
      <c r="F471" s="208"/>
      <c r="G471" s="208"/>
      <c r="H471" s="208"/>
      <c r="I471" s="208"/>
      <c r="J471" s="208"/>
      <c r="K471" s="208"/>
      <c r="L471" s="208"/>
      <c r="M471" s="208"/>
      <c r="N471" s="208"/>
      <c r="O471" s="208"/>
      <c r="P471" s="208"/>
      <c r="Q471" s="208"/>
      <c r="R471" s="208"/>
      <c r="S471" s="208"/>
      <c r="T471" s="208"/>
      <c r="U471" s="208"/>
      <c r="V471" s="208"/>
    </row>
    <row r="472" spans="1:22" ht="15.75" customHeight="1" x14ac:dyDescent="0.3">
      <c r="A472" s="208"/>
      <c r="B472" s="208"/>
      <c r="C472" s="208"/>
      <c r="D472" s="208"/>
      <c r="E472" s="208"/>
      <c r="F472" s="208"/>
      <c r="G472" s="208"/>
      <c r="H472" s="208"/>
      <c r="I472" s="208"/>
      <c r="J472" s="208"/>
      <c r="K472" s="208"/>
      <c r="L472" s="208"/>
      <c r="M472" s="208"/>
      <c r="N472" s="208"/>
      <c r="O472" s="208"/>
      <c r="P472" s="208"/>
      <c r="Q472" s="208"/>
      <c r="R472" s="208"/>
      <c r="S472" s="208"/>
      <c r="T472" s="208"/>
      <c r="U472" s="208"/>
      <c r="V472" s="208"/>
    </row>
    <row r="473" spans="1:22" ht="15.75" customHeight="1" x14ac:dyDescent="0.3">
      <c r="A473" s="208"/>
      <c r="B473" s="208"/>
      <c r="C473" s="208"/>
      <c r="D473" s="208"/>
      <c r="E473" s="208"/>
      <c r="F473" s="208"/>
      <c r="G473" s="208"/>
      <c r="H473" s="208"/>
      <c r="I473" s="208"/>
      <c r="J473" s="208"/>
      <c r="K473" s="208"/>
      <c r="L473" s="208"/>
      <c r="M473" s="208"/>
      <c r="N473" s="208"/>
      <c r="O473" s="208"/>
      <c r="P473" s="208"/>
      <c r="Q473" s="208"/>
      <c r="R473" s="208"/>
      <c r="S473" s="208"/>
      <c r="T473" s="208"/>
      <c r="U473" s="208"/>
      <c r="V473" s="208"/>
    </row>
    <row r="474" spans="1:22" ht="15.75" customHeight="1" x14ac:dyDescent="0.3">
      <c r="A474" s="208"/>
      <c r="B474" s="208"/>
      <c r="C474" s="208"/>
      <c r="D474" s="208"/>
      <c r="E474" s="208"/>
      <c r="F474" s="208"/>
      <c r="G474" s="208"/>
      <c r="H474" s="208"/>
      <c r="I474" s="208"/>
      <c r="J474" s="208"/>
      <c r="K474" s="208"/>
      <c r="L474" s="208"/>
      <c r="M474" s="208"/>
      <c r="N474" s="208"/>
      <c r="O474" s="208"/>
      <c r="P474" s="208"/>
      <c r="Q474" s="208"/>
      <c r="R474" s="208"/>
      <c r="S474" s="208"/>
      <c r="T474" s="208"/>
      <c r="U474" s="208"/>
      <c r="V474" s="208"/>
    </row>
    <row r="475" spans="1:22" ht="15.75" customHeight="1" x14ac:dyDescent="0.3">
      <c r="A475" s="208"/>
      <c r="B475" s="208"/>
      <c r="C475" s="208"/>
      <c r="D475" s="208"/>
      <c r="E475" s="208"/>
      <c r="F475" s="208"/>
      <c r="G475" s="208"/>
      <c r="H475" s="208"/>
      <c r="I475" s="208"/>
      <c r="J475" s="208"/>
      <c r="K475" s="208"/>
      <c r="L475" s="208"/>
      <c r="M475" s="208"/>
      <c r="N475" s="208"/>
      <c r="O475" s="208"/>
      <c r="P475" s="208"/>
      <c r="Q475" s="208"/>
      <c r="R475" s="208"/>
      <c r="S475" s="208"/>
      <c r="T475" s="208"/>
      <c r="U475" s="208"/>
      <c r="V475" s="208"/>
    </row>
    <row r="476" spans="1:22" ht="15.75" customHeight="1" x14ac:dyDescent="0.3">
      <c r="A476" s="208"/>
      <c r="B476" s="208"/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208"/>
      <c r="P476" s="208"/>
      <c r="Q476" s="208"/>
      <c r="R476" s="208"/>
      <c r="S476" s="208"/>
      <c r="T476" s="208"/>
      <c r="U476" s="208"/>
      <c r="V476" s="208"/>
    </row>
    <row r="477" spans="1:22" ht="15.75" customHeight="1" x14ac:dyDescent="0.3">
      <c r="A477" s="208"/>
      <c r="B477" s="208"/>
      <c r="C477" s="208"/>
      <c r="D477" s="208"/>
      <c r="E477" s="208"/>
      <c r="F477" s="208"/>
      <c r="G477" s="208"/>
      <c r="H477" s="208"/>
      <c r="I477" s="208"/>
      <c r="J477" s="208"/>
      <c r="K477" s="208"/>
      <c r="L477" s="208"/>
      <c r="M477" s="208"/>
      <c r="N477" s="208"/>
      <c r="O477" s="208"/>
      <c r="P477" s="208"/>
      <c r="Q477" s="208"/>
      <c r="R477" s="208"/>
      <c r="S477" s="208"/>
      <c r="T477" s="208"/>
      <c r="U477" s="208"/>
      <c r="V477" s="208"/>
    </row>
    <row r="478" spans="1:22" ht="15.75" customHeight="1" x14ac:dyDescent="0.3">
      <c r="A478" s="208"/>
      <c r="B478" s="208"/>
      <c r="C478" s="208"/>
      <c r="D478" s="208"/>
      <c r="E478" s="208"/>
      <c r="F478" s="208"/>
      <c r="G478" s="208"/>
      <c r="H478" s="208"/>
      <c r="I478" s="208"/>
      <c r="J478" s="208"/>
      <c r="K478" s="208"/>
      <c r="L478" s="208"/>
      <c r="M478" s="208"/>
      <c r="N478" s="208"/>
      <c r="O478" s="208"/>
      <c r="P478" s="208"/>
      <c r="Q478" s="208"/>
      <c r="R478" s="208"/>
      <c r="S478" s="208"/>
      <c r="T478" s="208"/>
      <c r="U478" s="208"/>
      <c r="V478" s="208"/>
    </row>
    <row r="479" spans="1:22" ht="15.75" customHeight="1" x14ac:dyDescent="0.3">
      <c r="A479" s="208"/>
      <c r="B479" s="208"/>
      <c r="C479" s="208"/>
      <c r="D479" s="208"/>
      <c r="E479" s="208"/>
      <c r="F479" s="208"/>
      <c r="G479" s="208"/>
      <c r="H479" s="208"/>
      <c r="I479" s="208"/>
      <c r="J479" s="208"/>
      <c r="K479" s="208"/>
      <c r="L479" s="208"/>
      <c r="M479" s="208"/>
      <c r="N479" s="208"/>
      <c r="O479" s="208"/>
      <c r="P479" s="208"/>
      <c r="Q479" s="208"/>
      <c r="R479" s="208"/>
      <c r="S479" s="208"/>
      <c r="T479" s="208"/>
      <c r="U479" s="208"/>
      <c r="V479" s="208"/>
    </row>
    <row r="480" spans="1:22" ht="15.75" customHeight="1" x14ac:dyDescent="0.3">
      <c r="A480" s="208"/>
      <c r="B480" s="208"/>
      <c r="C480" s="208"/>
      <c r="D480" s="208"/>
      <c r="E480" s="208"/>
      <c r="F480" s="208"/>
      <c r="G480" s="208"/>
      <c r="H480" s="208"/>
      <c r="I480" s="208"/>
      <c r="J480" s="208"/>
      <c r="K480" s="208"/>
      <c r="L480" s="208"/>
      <c r="M480" s="208"/>
      <c r="N480" s="208"/>
      <c r="O480" s="208"/>
      <c r="P480" s="208"/>
      <c r="Q480" s="208"/>
      <c r="R480" s="208"/>
      <c r="S480" s="208"/>
      <c r="T480" s="208"/>
      <c r="U480" s="208"/>
      <c r="V480" s="208"/>
    </row>
    <row r="481" spans="1:22" ht="15.75" customHeight="1" x14ac:dyDescent="0.3">
      <c r="A481" s="208"/>
      <c r="B481" s="208"/>
      <c r="C481" s="208"/>
      <c r="D481" s="208"/>
      <c r="E481" s="208"/>
      <c r="F481" s="208"/>
      <c r="G481" s="208"/>
      <c r="H481" s="208"/>
      <c r="I481" s="208"/>
      <c r="J481" s="208"/>
      <c r="K481" s="208"/>
      <c r="L481" s="208"/>
      <c r="M481" s="208"/>
      <c r="N481" s="208"/>
      <c r="O481" s="208"/>
      <c r="P481" s="208"/>
      <c r="Q481" s="208"/>
      <c r="R481" s="208"/>
      <c r="S481" s="208"/>
      <c r="T481" s="208"/>
      <c r="U481" s="208"/>
      <c r="V481" s="208"/>
    </row>
    <row r="482" spans="1:22" ht="15.75" customHeight="1" x14ac:dyDescent="0.3">
      <c r="A482" s="208"/>
      <c r="B482" s="208"/>
      <c r="C482" s="208"/>
      <c r="D482" s="208"/>
      <c r="E482" s="208"/>
      <c r="F482" s="208"/>
      <c r="G482" s="208"/>
      <c r="H482" s="208"/>
      <c r="I482" s="208"/>
      <c r="J482" s="208"/>
      <c r="K482" s="208"/>
      <c r="L482" s="208"/>
      <c r="M482" s="208"/>
      <c r="N482" s="208"/>
      <c r="O482" s="208"/>
      <c r="P482" s="208"/>
      <c r="Q482" s="208"/>
      <c r="R482" s="208"/>
      <c r="S482" s="208"/>
      <c r="T482" s="208"/>
      <c r="U482" s="208"/>
      <c r="V482" s="208"/>
    </row>
    <row r="483" spans="1:22" ht="15.75" customHeight="1" x14ac:dyDescent="0.3">
      <c r="A483" s="208"/>
      <c r="B483" s="208"/>
      <c r="C483" s="208"/>
      <c r="D483" s="208"/>
      <c r="E483" s="208"/>
      <c r="F483" s="208"/>
      <c r="G483" s="208"/>
      <c r="H483" s="208"/>
      <c r="I483" s="208"/>
      <c r="J483" s="208"/>
      <c r="K483" s="208"/>
      <c r="L483" s="208"/>
      <c r="M483" s="208"/>
      <c r="N483" s="208"/>
      <c r="O483" s="208"/>
      <c r="P483" s="208"/>
      <c r="Q483" s="208"/>
      <c r="R483" s="208"/>
      <c r="S483" s="208"/>
      <c r="T483" s="208"/>
      <c r="U483" s="208"/>
      <c r="V483" s="208"/>
    </row>
    <row r="484" spans="1:22" ht="15.75" customHeight="1" x14ac:dyDescent="0.3">
      <c r="A484" s="208"/>
      <c r="B484" s="208"/>
      <c r="C484" s="208"/>
      <c r="D484" s="208"/>
      <c r="E484" s="208"/>
      <c r="F484" s="208"/>
      <c r="G484" s="208"/>
      <c r="H484" s="208"/>
      <c r="I484" s="208"/>
      <c r="J484" s="208"/>
      <c r="K484" s="208"/>
      <c r="L484" s="208"/>
      <c r="M484" s="208"/>
      <c r="N484" s="208"/>
      <c r="O484" s="208"/>
      <c r="P484" s="208"/>
      <c r="Q484" s="208"/>
      <c r="R484" s="208"/>
      <c r="S484" s="208"/>
      <c r="T484" s="208"/>
      <c r="U484" s="208"/>
      <c r="V484" s="208"/>
    </row>
    <row r="485" spans="1:22" ht="15.75" customHeight="1" x14ac:dyDescent="0.3">
      <c r="A485" s="208"/>
      <c r="B485" s="208"/>
      <c r="C485" s="208"/>
      <c r="D485" s="208"/>
      <c r="E485" s="208"/>
      <c r="F485" s="208"/>
      <c r="G485" s="208"/>
      <c r="H485" s="208"/>
      <c r="I485" s="208"/>
      <c r="J485" s="208"/>
      <c r="K485" s="208"/>
      <c r="L485" s="208"/>
      <c r="M485" s="208"/>
      <c r="N485" s="208"/>
      <c r="O485" s="208"/>
      <c r="P485" s="208"/>
      <c r="Q485" s="208"/>
      <c r="R485" s="208"/>
      <c r="S485" s="208"/>
      <c r="T485" s="208"/>
      <c r="U485" s="208"/>
      <c r="V485" s="208"/>
    </row>
    <row r="486" spans="1:22" ht="15.75" customHeight="1" x14ac:dyDescent="0.3">
      <c r="A486" s="208"/>
      <c r="B486" s="208"/>
      <c r="C486" s="208"/>
      <c r="D486" s="208"/>
      <c r="E486" s="208"/>
      <c r="F486" s="208"/>
      <c r="G486" s="208"/>
      <c r="H486" s="208"/>
      <c r="I486" s="208"/>
      <c r="J486" s="208"/>
      <c r="K486" s="208"/>
      <c r="L486" s="208"/>
      <c r="M486" s="208"/>
      <c r="N486" s="208"/>
      <c r="O486" s="208"/>
      <c r="P486" s="208"/>
      <c r="Q486" s="208"/>
      <c r="R486" s="208"/>
      <c r="S486" s="208"/>
      <c r="T486" s="208"/>
      <c r="U486" s="208"/>
      <c r="V486" s="208"/>
    </row>
    <row r="487" spans="1:22" ht="15.75" customHeight="1" x14ac:dyDescent="0.3">
      <c r="A487" s="208"/>
      <c r="B487" s="208"/>
      <c r="C487" s="208"/>
      <c r="D487" s="208"/>
      <c r="E487" s="208"/>
      <c r="F487" s="208"/>
      <c r="G487" s="208"/>
      <c r="H487" s="208"/>
      <c r="I487" s="208"/>
      <c r="J487" s="208"/>
      <c r="K487" s="208"/>
      <c r="L487" s="208"/>
      <c r="M487" s="208"/>
      <c r="N487" s="208"/>
      <c r="O487" s="208"/>
      <c r="P487" s="208"/>
      <c r="Q487" s="208"/>
      <c r="R487" s="208"/>
      <c r="S487" s="208"/>
      <c r="T487" s="208"/>
      <c r="U487" s="208"/>
      <c r="V487" s="208"/>
    </row>
    <row r="488" spans="1:22" ht="15.75" customHeight="1" x14ac:dyDescent="0.3">
      <c r="A488" s="208"/>
      <c r="B488" s="208"/>
      <c r="C488" s="208"/>
      <c r="D488" s="208"/>
      <c r="E488" s="208"/>
      <c r="F488" s="208"/>
      <c r="G488" s="208"/>
      <c r="H488" s="208"/>
      <c r="I488" s="208"/>
      <c r="J488" s="208"/>
      <c r="K488" s="208"/>
      <c r="L488" s="208"/>
      <c r="M488" s="208"/>
      <c r="N488" s="208"/>
      <c r="O488" s="208"/>
      <c r="P488" s="208"/>
      <c r="Q488" s="208"/>
      <c r="R488" s="208"/>
      <c r="S488" s="208"/>
      <c r="T488" s="208"/>
      <c r="U488" s="208"/>
      <c r="V488" s="208"/>
    </row>
    <row r="489" spans="1:22" ht="15.75" customHeight="1" x14ac:dyDescent="0.3">
      <c r="A489" s="208"/>
      <c r="B489" s="208"/>
      <c r="C489" s="208"/>
      <c r="D489" s="208"/>
      <c r="E489" s="208"/>
      <c r="F489" s="208"/>
      <c r="G489" s="208"/>
      <c r="H489" s="208"/>
      <c r="I489" s="208"/>
      <c r="J489" s="208"/>
      <c r="K489" s="208"/>
      <c r="L489" s="208"/>
      <c r="M489" s="208"/>
      <c r="N489" s="208"/>
      <c r="O489" s="208"/>
      <c r="P489" s="208"/>
      <c r="Q489" s="208"/>
      <c r="R489" s="208"/>
      <c r="S489" s="208"/>
      <c r="T489" s="208"/>
      <c r="U489" s="208"/>
      <c r="V489" s="208"/>
    </row>
    <row r="490" spans="1:22" ht="15.75" customHeight="1" x14ac:dyDescent="0.3">
      <c r="A490" s="208"/>
      <c r="B490" s="208"/>
      <c r="C490" s="208"/>
      <c r="D490" s="208"/>
      <c r="E490" s="208"/>
      <c r="F490" s="208"/>
      <c r="G490" s="208"/>
      <c r="H490" s="208"/>
      <c r="I490" s="208"/>
      <c r="J490" s="208"/>
      <c r="K490" s="208"/>
      <c r="L490" s="208"/>
      <c r="M490" s="208"/>
      <c r="N490" s="208"/>
      <c r="O490" s="208"/>
      <c r="P490" s="208"/>
      <c r="Q490" s="208"/>
      <c r="R490" s="208"/>
      <c r="S490" s="208"/>
      <c r="T490" s="208"/>
      <c r="U490" s="208"/>
      <c r="V490" s="208"/>
    </row>
    <row r="491" spans="1:22" ht="15.75" customHeight="1" x14ac:dyDescent="0.3">
      <c r="A491" s="208"/>
      <c r="B491" s="208"/>
      <c r="C491" s="208"/>
      <c r="D491" s="208"/>
      <c r="E491" s="208"/>
      <c r="F491" s="208"/>
      <c r="G491" s="208"/>
      <c r="H491" s="208"/>
      <c r="I491" s="208"/>
      <c r="J491" s="208"/>
      <c r="K491" s="208"/>
      <c r="L491" s="208"/>
      <c r="M491" s="208"/>
      <c r="N491" s="208"/>
      <c r="O491" s="208"/>
      <c r="P491" s="208"/>
      <c r="Q491" s="208"/>
      <c r="R491" s="208"/>
      <c r="S491" s="208"/>
      <c r="T491" s="208"/>
      <c r="U491" s="208"/>
      <c r="V491" s="208"/>
    </row>
    <row r="492" spans="1:22" ht="15.75" customHeight="1" x14ac:dyDescent="0.3">
      <c r="A492" s="208"/>
      <c r="B492" s="208"/>
      <c r="C492" s="208"/>
      <c r="D492" s="208"/>
      <c r="E492" s="208"/>
      <c r="F492" s="208"/>
      <c r="G492" s="208"/>
      <c r="H492" s="208"/>
      <c r="I492" s="208"/>
      <c r="J492" s="208"/>
      <c r="K492" s="208"/>
      <c r="L492" s="208"/>
      <c r="M492" s="208"/>
      <c r="N492" s="208"/>
      <c r="O492" s="208"/>
      <c r="P492" s="208"/>
      <c r="Q492" s="208"/>
      <c r="R492" s="208"/>
      <c r="S492" s="208"/>
      <c r="T492" s="208"/>
      <c r="U492" s="208"/>
      <c r="V492" s="208"/>
    </row>
    <row r="493" spans="1:22" ht="15.75" customHeight="1" x14ac:dyDescent="0.3">
      <c r="A493" s="208"/>
      <c r="B493" s="208"/>
      <c r="C493" s="208"/>
      <c r="D493" s="208"/>
      <c r="E493" s="208"/>
      <c r="F493" s="208"/>
      <c r="G493" s="208"/>
      <c r="H493" s="208"/>
      <c r="I493" s="208"/>
      <c r="J493" s="208"/>
      <c r="K493" s="208"/>
      <c r="L493" s="208"/>
      <c r="M493" s="208"/>
      <c r="N493" s="208"/>
      <c r="O493" s="208"/>
      <c r="P493" s="208"/>
      <c r="Q493" s="208"/>
      <c r="R493" s="208"/>
      <c r="S493" s="208"/>
      <c r="T493" s="208"/>
      <c r="U493" s="208"/>
      <c r="V493" s="208"/>
    </row>
    <row r="494" spans="1:22" ht="15.75" customHeight="1" x14ac:dyDescent="0.3">
      <c r="A494" s="208"/>
      <c r="B494" s="208"/>
      <c r="C494" s="208"/>
      <c r="D494" s="208"/>
      <c r="E494" s="208"/>
      <c r="F494" s="208"/>
      <c r="G494" s="208"/>
      <c r="H494" s="208"/>
      <c r="I494" s="208"/>
      <c r="J494" s="208"/>
      <c r="K494" s="208"/>
      <c r="L494" s="208"/>
      <c r="M494" s="208"/>
      <c r="N494" s="208"/>
      <c r="O494" s="208"/>
      <c r="P494" s="208"/>
      <c r="Q494" s="208"/>
      <c r="R494" s="208"/>
      <c r="S494" s="208"/>
      <c r="T494" s="208"/>
      <c r="U494" s="208"/>
      <c r="V494" s="208"/>
    </row>
    <row r="495" spans="1:22" ht="15.75" customHeight="1" x14ac:dyDescent="0.3">
      <c r="A495" s="208"/>
      <c r="B495" s="208"/>
      <c r="C495" s="208"/>
      <c r="D495" s="208"/>
      <c r="E495" s="208"/>
      <c r="F495" s="208"/>
      <c r="G495" s="208"/>
      <c r="H495" s="208"/>
      <c r="I495" s="208"/>
      <c r="J495" s="208"/>
      <c r="K495" s="208"/>
      <c r="L495" s="208"/>
      <c r="M495" s="208"/>
      <c r="N495" s="208"/>
      <c r="O495" s="208"/>
      <c r="P495" s="208"/>
      <c r="Q495" s="208"/>
      <c r="R495" s="208"/>
      <c r="S495" s="208"/>
      <c r="T495" s="208"/>
      <c r="U495" s="208"/>
      <c r="V495" s="208"/>
    </row>
    <row r="496" spans="1:22" ht="15.75" customHeight="1" x14ac:dyDescent="0.3">
      <c r="A496" s="208"/>
      <c r="B496" s="208"/>
      <c r="C496" s="208"/>
      <c r="D496" s="208"/>
      <c r="E496" s="208"/>
      <c r="F496" s="208"/>
      <c r="G496" s="208"/>
      <c r="H496" s="208"/>
      <c r="I496" s="208"/>
      <c r="J496" s="208"/>
      <c r="K496" s="208"/>
      <c r="L496" s="208"/>
      <c r="M496" s="208"/>
      <c r="N496" s="208"/>
      <c r="O496" s="208"/>
      <c r="P496" s="208"/>
      <c r="Q496" s="208"/>
      <c r="R496" s="208"/>
      <c r="S496" s="208"/>
      <c r="T496" s="208"/>
      <c r="U496" s="208"/>
      <c r="V496" s="208"/>
    </row>
    <row r="497" spans="1:22" ht="15.75" customHeight="1" x14ac:dyDescent="0.3">
      <c r="A497" s="208"/>
      <c r="B497" s="208"/>
      <c r="C497" s="208"/>
      <c r="D497" s="208"/>
      <c r="E497" s="208"/>
      <c r="F497" s="208"/>
      <c r="G497" s="208"/>
      <c r="H497" s="208"/>
      <c r="I497" s="208"/>
      <c r="J497" s="208"/>
      <c r="K497" s="208"/>
      <c r="L497" s="208"/>
      <c r="M497" s="208"/>
      <c r="N497" s="208"/>
      <c r="O497" s="208"/>
      <c r="P497" s="208"/>
      <c r="Q497" s="208"/>
      <c r="R497" s="208"/>
      <c r="S497" s="208"/>
      <c r="T497" s="208"/>
      <c r="U497" s="208"/>
      <c r="V497" s="208"/>
    </row>
    <row r="498" spans="1:22" ht="15.75" customHeight="1" x14ac:dyDescent="0.3">
      <c r="A498" s="208"/>
      <c r="B498" s="208"/>
      <c r="C498" s="208"/>
      <c r="D498" s="208"/>
      <c r="E498" s="208"/>
      <c r="F498" s="208"/>
      <c r="G498" s="208"/>
      <c r="H498" s="208"/>
      <c r="I498" s="208"/>
      <c r="J498" s="208"/>
      <c r="K498" s="208"/>
      <c r="L498" s="208"/>
      <c r="M498" s="208"/>
      <c r="N498" s="208"/>
      <c r="O498" s="208"/>
      <c r="P498" s="208"/>
      <c r="Q498" s="208"/>
      <c r="R498" s="208"/>
      <c r="S498" s="208"/>
      <c r="T498" s="208"/>
      <c r="U498" s="208"/>
      <c r="V498" s="208"/>
    </row>
    <row r="499" spans="1:22" ht="15.75" customHeight="1" x14ac:dyDescent="0.3">
      <c r="A499" s="208"/>
      <c r="B499" s="208"/>
      <c r="C499" s="208"/>
      <c r="D499" s="208"/>
      <c r="E499" s="208"/>
      <c r="F499" s="208"/>
      <c r="G499" s="208"/>
      <c r="H499" s="208"/>
      <c r="I499" s="208"/>
      <c r="J499" s="208"/>
      <c r="K499" s="208"/>
      <c r="L499" s="208"/>
      <c r="M499" s="208"/>
      <c r="N499" s="208"/>
      <c r="O499" s="208"/>
      <c r="P499" s="208"/>
      <c r="Q499" s="208"/>
      <c r="R499" s="208"/>
      <c r="S499" s="208"/>
      <c r="T499" s="208"/>
      <c r="U499" s="208"/>
      <c r="V499" s="208"/>
    </row>
    <row r="500" spans="1:22" ht="15.75" customHeight="1" x14ac:dyDescent="0.3">
      <c r="A500" s="208"/>
      <c r="B500" s="208"/>
      <c r="C500" s="208"/>
      <c r="D500" s="208"/>
      <c r="E500" s="208"/>
      <c r="F500" s="208"/>
      <c r="G500" s="208"/>
      <c r="H500" s="208"/>
      <c r="I500" s="208"/>
      <c r="J500" s="208"/>
      <c r="K500" s="208"/>
      <c r="L500" s="208"/>
      <c r="M500" s="208"/>
      <c r="N500" s="208"/>
      <c r="O500" s="208"/>
      <c r="P500" s="208"/>
      <c r="Q500" s="208"/>
      <c r="R500" s="208"/>
      <c r="S500" s="208"/>
      <c r="T500" s="208"/>
      <c r="U500" s="208"/>
      <c r="V500" s="208"/>
    </row>
    <row r="501" spans="1:22" ht="15.75" customHeight="1" x14ac:dyDescent="0.3">
      <c r="A501" s="208"/>
      <c r="B501" s="208"/>
      <c r="C501" s="208"/>
      <c r="D501" s="208"/>
      <c r="E501" s="208"/>
      <c r="F501" s="208"/>
      <c r="G501" s="208"/>
      <c r="H501" s="208"/>
      <c r="I501" s="208"/>
      <c r="J501" s="208"/>
      <c r="K501" s="208"/>
      <c r="L501" s="208"/>
      <c r="M501" s="208"/>
      <c r="N501" s="208"/>
      <c r="O501" s="208"/>
      <c r="P501" s="208"/>
      <c r="Q501" s="208"/>
      <c r="R501" s="208"/>
      <c r="S501" s="208"/>
      <c r="T501" s="208"/>
      <c r="U501" s="208"/>
      <c r="V501" s="208"/>
    </row>
    <row r="502" spans="1:22" ht="15.75" customHeight="1" x14ac:dyDescent="0.3">
      <c r="A502" s="208"/>
      <c r="B502" s="208"/>
      <c r="C502" s="208"/>
      <c r="D502" s="208"/>
      <c r="E502" s="208"/>
      <c r="F502" s="208"/>
      <c r="G502" s="208"/>
      <c r="H502" s="208"/>
      <c r="I502" s="208"/>
      <c r="J502" s="208"/>
      <c r="K502" s="208"/>
      <c r="L502" s="208"/>
      <c r="M502" s="208"/>
      <c r="N502" s="208"/>
      <c r="O502" s="208"/>
      <c r="P502" s="208"/>
      <c r="Q502" s="208"/>
      <c r="R502" s="208"/>
      <c r="S502" s="208"/>
      <c r="T502" s="208"/>
      <c r="U502" s="208"/>
      <c r="V502" s="208"/>
    </row>
    <row r="503" spans="1:22" ht="15.75" customHeight="1" x14ac:dyDescent="0.3">
      <c r="A503" s="208"/>
      <c r="B503" s="208"/>
      <c r="C503" s="208"/>
      <c r="D503" s="208"/>
      <c r="E503" s="208"/>
      <c r="F503" s="208"/>
      <c r="G503" s="208"/>
      <c r="H503" s="208"/>
      <c r="I503" s="208"/>
      <c r="J503" s="208"/>
      <c r="K503" s="208"/>
      <c r="L503" s="208"/>
      <c r="M503" s="208"/>
      <c r="N503" s="208"/>
      <c r="O503" s="208"/>
      <c r="P503" s="208"/>
      <c r="Q503" s="208"/>
      <c r="R503" s="208"/>
      <c r="S503" s="208"/>
      <c r="T503" s="208"/>
      <c r="U503" s="208"/>
      <c r="V503" s="208"/>
    </row>
    <row r="504" spans="1:22" ht="15.75" customHeight="1" x14ac:dyDescent="0.3">
      <c r="A504" s="208"/>
      <c r="B504" s="208"/>
      <c r="C504" s="208"/>
      <c r="D504" s="208"/>
      <c r="E504" s="208"/>
      <c r="F504" s="208"/>
      <c r="G504" s="208"/>
      <c r="H504" s="208"/>
      <c r="I504" s="208"/>
      <c r="J504" s="208"/>
      <c r="K504" s="208"/>
      <c r="L504" s="208"/>
      <c r="M504" s="208"/>
      <c r="N504" s="208"/>
      <c r="O504" s="208"/>
      <c r="P504" s="208"/>
      <c r="Q504" s="208"/>
      <c r="R504" s="208"/>
      <c r="S504" s="208"/>
      <c r="T504" s="208"/>
      <c r="U504" s="208"/>
      <c r="V504" s="208"/>
    </row>
    <row r="505" spans="1:22" ht="15.75" customHeight="1" x14ac:dyDescent="0.3">
      <c r="A505" s="208"/>
      <c r="B505" s="208"/>
      <c r="C505" s="208"/>
      <c r="D505" s="208"/>
      <c r="E505" s="208"/>
      <c r="F505" s="208"/>
      <c r="G505" s="208"/>
      <c r="H505" s="208"/>
      <c r="I505" s="208"/>
      <c r="J505" s="208"/>
      <c r="K505" s="208"/>
      <c r="L505" s="208"/>
      <c r="M505" s="208"/>
      <c r="N505" s="208"/>
      <c r="O505" s="208"/>
      <c r="P505" s="208"/>
      <c r="Q505" s="208"/>
      <c r="R505" s="208"/>
      <c r="S505" s="208"/>
      <c r="T505" s="208"/>
      <c r="U505" s="208"/>
      <c r="V505" s="208"/>
    </row>
    <row r="506" spans="1:22" ht="15.75" customHeight="1" x14ac:dyDescent="0.3">
      <c r="A506" s="208"/>
      <c r="B506" s="208"/>
      <c r="C506" s="208"/>
      <c r="D506" s="208"/>
      <c r="E506" s="208"/>
      <c r="F506" s="208"/>
      <c r="G506" s="208"/>
      <c r="H506" s="208"/>
      <c r="I506" s="208"/>
      <c r="J506" s="208"/>
      <c r="K506" s="208"/>
      <c r="L506" s="208"/>
      <c r="M506" s="208"/>
      <c r="N506" s="208"/>
      <c r="O506" s="208"/>
      <c r="P506" s="208"/>
      <c r="Q506" s="208"/>
      <c r="R506" s="208"/>
      <c r="S506" s="208"/>
      <c r="T506" s="208"/>
      <c r="U506" s="208"/>
      <c r="V506" s="208"/>
    </row>
    <row r="507" spans="1:22" ht="15.75" customHeight="1" x14ac:dyDescent="0.3">
      <c r="A507" s="208"/>
      <c r="B507" s="208"/>
      <c r="C507" s="208"/>
      <c r="D507" s="208"/>
      <c r="E507" s="208"/>
      <c r="F507" s="208"/>
      <c r="G507" s="208"/>
      <c r="H507" s="208"/>
      <c r="I507" s="208"/>
      <c r="J507" s="208"/>
      <c r="K507" s="208"/>
      <c r="L507" s="208"/>
      <c r="M507" s="208"/>
      <c r="N507" s="208"/>
      <c r="O507" s="208"/>
      <c r="P507" s="208"/>
      <c r="Q507" s="208"/>
      <c r="R507" s="208"/>
      <c r="S507" s="208"/>
      <c r="T507" s="208"/>
      <c r="U507" s="208"/>
      <c r="V507" s="208"/>
    </row>
    <row r="508" spans="1:22" ht="15.75" customHeight="1" x14ac:dyDescent="0.3">
      <c r="A508" s="208"/>
      <c r="B508" s="208"/>
      <c r="C508" s="208"/>
      <c r="D508" s="208"/>
      <c r="E508" s="208"/>
      <c r="F508" s="208"/>
      <c r="G508" s="208"/>
      <c r="H508" s="208"/>
      <c r="I508" s="208"/>
      <c r="J508" s="208"/>
      <c r="K508" s="208"/>
      <c r="L508" s="208"/>
      <c r="M508" s="208"/>
      <c r="N508" s="208"/>
      <c r="O508" s="208"/>
      <c r="P508" s="208"/>
      <c r="Q508" s="208"/>
      <c r="R508" s="208"/>
      <c r="S508" s="208"/>
      <c r="T508" s="208"/>
      <c r="U508" s="208"/>
      <c r="V508" s="208"/>
    </row>
    <row r="509" spans="1:22" ht="15.75" customHeight="1" x14ac:dyDescent="0.3">
      <c r="A509" s="208"/>
      <c r="B509" s="208"/>
      <c r="C509" s="208"/>
      <c r="D509" s="208"/>
      <c r="E509" s="208"/>
      <c r="F509" s="208"/>
      <c r="G509" s="208"/>
      <c r="H509" s="208"/>
      <c r="I509" s="208"/>
      <c r="J509" s="208"/>
      <c r="K509" s="208"/>
      <c r="L509" s="208"/>
      <c r="M509" s="208"/>
      <c r="N509" s="208"/>
      <c r="O509" s="208"/>
      <c r="P509" s="208"/>
      <c r="Q509" s="208"/>
      <c r="R509" s="208"/>
      <c r="S509" s="208"/>
      <c r="T509" s="208"/>
      <c r="U509" s="208"/>
      <c r="V509" s="208"/>
    </row>
    <row r="510" spans="1:22" ht="15.75" customHeight="1" x14ac:dyDescent="0.3">
      <c r="A510" s="208"/>
      <c r="B510" s="208"/>
      <c r="C510" s="208"/>
      <c r="D510" s="208"/>
      <c r="E510" s="208"/>
      <c r="F510" s="208"/>
      <c r="G510" s="208"/>
      <c r="H510" s="208"/>
      <c r="I510" s="208"/>
      <c r="J510" s="208"/>
      <c r="K510" s="208"/>
      <c r="L510" s="208"/>
      <c r="M510" s="208"/>
      <c r="N510" s="208"/>
      <c r="O510" s="208"/>
      <c r="P510" s="208"/>
      <c r="Q510" s="208"/>
      <c r="R510" s="208"/>
      <c r="S510" s="208"/>
      <c r="T510" s="208"/>
      <c r="U510" s="208"/>
      <c r="V510" s="208"/>
    </row>
    <row r="511" spans="1:22" ht="15.75" customHeight="1" x14ac:dyDescent="0.3">
      <c r="A511" s="208"/>
      <c r="B511" s="208"/>
      <c r="C511" s="208"/>
      <c r="D511" s="208"/>
      <c r="E511" s="208"/>
      <c r="F511" s="208"/>
      <c r="G511" s="208"/>
      <c r="H511" s="208"/>
      <c r="I511" s="208"/>
      <c r="J511" s="208"/>
      <c r="K511" s="208"/>
      <c r="L511" s="208"/>
      <c r="M511" s="208"/>
      <c r="N511" s="208"/>
      <c r="O511" s="208"/>
      <c r="P511" s="208"/>
      <c r="Q511" s="208"/>
      <c r="R511" s="208"/>
      <c r="S511" s="208"/>
      <c r="T511" s="208"/>
      <c r="U511" s="208"/>
      <c r="V511" s="208"/>
    </row>
    <row r="512" spans="1:22" ht="15.75" customHeight="1" x14ac:dyDescent="0.3">
      <c r="A512" s="208"/>
      <c r="B512" s="208"/>
      <c r="C512" s="208"/>
      <c r="D512" s="208"/>
      <c r="E512" s="208"/>
      <c r="F512" s="208"/>
      <c r="G512" s="208"/>
      <c r="H512" s="208"/>
      <c r="I512" s="208"/>
      <c r="J512" s="208"/>
      <c r="K512" s="208"/>
      <c r="L512" s="208"/>
      <c r="M512" s="208"/>
      <c r="N512" s="208"/>
      <c r="O512" s="208"/>
      <c r="P512" s="208"/>
      <c r="Q512" s="208"/>
      <c r="R512" s="208"/>
      <c r="S512" s="208"/>
      <c r="T512" s="208"/>
      <c r="U512" s="208"/>
      <c r="V512" s="208"/>
    </row>
    <row r="513" spans="1:22" ht="15.75" customHeight="1" x14ac:dyDescent="0.3">
      <c r="A513" s="208"/>
      <c r="B513" s="208"/>
      <c r="C513" s="208"/>
      <c r="D513" s="208"/>
      <c r="E513" s="208"/>
      <c r="F513" s="208"/>
      <c r="G513" s="208"/>
      <c r="H513" s="208"/>
      <c r="I513" s="208"/>
      <c r="J513" s="208"/>
      <c r="K513" s="208"/>
      <c r="L513" s="208"/>
      <c r="M513" s="208"/>
      <c r="N513" s="208"/>
      <c r="O513" s="208"/>
      <c r="P513" s="208"/>
      <c r="Q513" s="208"/>
      <c r="R513" s="208"/>
      <c r="S513" s="208"/>
      <c r="T513" s="208"/>
      <c r="U513" s="208"/>
      <c r="V513" s="208"/>
    </row>
    <row r="514" spans="1:22" ht="15.75" customHeight="1" x14ac:dyDescent="0.3">
      <c r="A514" s="208"/>
      <c r="B514" s="208"/>
      <c r="C514" s="208"/>
      <c r="D514" s="208"/>
      <c r="E514" s="208"/>
      <c r="F514" s="208"/>
      <c r="G514" s="208"/>
      <c r="H514" s="208"/>
      <c r="I514" s="208"/>
      <c r="J514" s="208"/>
      <c r="K514" s="208"/>
      <c r="L514" s="208"/>
      <c r="M514" s="208"/>
      <c r="N514" s="208"/>
      <c r="O514" s="208"/>
      <c r="P514" s="208"/>
      <c r="Q514" s="208"/>
      <c r="R514" s="208"/>
      <c r="S514" s="208"/>
      <c r="T514" s="208"/>
      <c r="U514" s="208"/>
      <c r="V514" s="208"/>
    </row>
    <row r="515" spans="1:22" ht="15.75" customHeight="1" x14ac:dyDescent="0.3">
      <c r="A515" s="208"/>
      <c r="B515" s="208"/>
      <c r="C515" s="208"/>
      <c r="D515" s="208"/>
      <c r="E515" s="208"/>
      <c r="F515" s="208"/>
      <c r="G515" s="208"/>
      <c r="H515" s="208"/>
      <c r="I515" s="208"/>
      <c r="J515" s="208"/>
      <c r="K515" s="208"/>
      <c r="L515" s="208"/>
      <c r="M515" s="208"/>
      <c r="N515" s="208"/>
      <c r="O515" s="208"/>
      <c r="P515" s="208"/>
      <c r="Q515" s="208"/>
      <c r="R515" s="208"/>
      <c r="S515" s="208"/>
      <c r="T515" s="208"/>
      <c r="U515" s="208"/>
      <c r="V515" s="208"/>
    </row>
    <row r="516" spans="1:22" ht="15.75" customHeight="1" x14ac:dyDescent="0.3">
      <c r="A516" s="208"/>
      <c r="B516" s="208"/>
      <c r="C516" s="208"/>
      <c r="D516" s="208"/>
      <c r="E516" s="208"/>
      <c r="F516" s="208"/>
      <c r="G516" s="208"/>
      <c r="H516" s="208"/>
      <c r="I516" s="208"/>
      <c r="J516" s="208"/>
      <c r="K516" s="208"/>
      <c r="L516" s="208"/>
      <c r="M516" s="208"/>
      <c r="N516" s="208"/>
      <c r="O516" s="208"/>
      <c r="P516" s="208"/>
      <c r="Q516" s="208"/>
      <c r="R516" s="208"/>
      <c r="S516" s="208"/>
      <c r="T516" s="208"/>
      <c r="U516" s="208"/>
      <c r="V516" s="208"/>
    </row>
    <row r="517" spans="1:22" ht="15.75" customHeight="1" x14ac:dyDescent="0.3">
      <c r="A517" s="208"/>
      <c r="B517" s="208"/>
      <c r="C517" s="208"/>
      <c r="D517" s="208"/>
      <c r="E517" s="208"/>
      <c r="F517" s="208"/>
      <c r="G517" s="208"/>
      <c r="H517" s="208"/>
      <c r="I517" s="208"/>
      <c r="J517" s="208"/>
      <c r="K517" s="208"/>
      <c r="L517" s="208"/>
      <c r="M517" s="208"/>
      <c r="N517" s="208"/>
      <c r="O517" s="208"/>
      <c r="P517" s="208"/>
      <c r="Q517" s="208"/>
      <c r="R517" s="208"/>
      <c r="S517" s="208"/>
      <c r="T517" s="208"/>
      <c r="U517" s="208"/>
      <c r="V517" s="208"/>
    </row>
    <row r="518" spans="1:22" ht="15.75" customHeight="1" x14ac:dyDescent="0.3">
      <c r="A518" s="208"/>
      <c r="B518" s="208"/>
      <c r="C518" s="208"/>
      <c r="D518" s="208"/>
      <c r="E518" s="208"/>
      <c r="F518" s="208"/>
      <c r="G518" s="208"/>
      <c r="H518" s="208"/>
      <c r="I518" s="208"/>
      <c r="J518" s="208"/>
      <c r="K518" s="208"/>
      <c r="L518" s="208"/>
      <c r="M518" s="208"/>
      <c r="N518" s="208"/>
      <c r="O518" s="208"/>
      <c r="P518" s="208"/>
      <c r="Q518" s="208"/>
      <c r="R518" s="208"/>
      <c r="S518" s="208"/>
      <c r="T518" s="208"/>
      <c r="U518" s="208"/>
      <c r="V518" s="208"/>
    </row>
    <row r="519" spans="1:22" ht="15.75" customHeight="1" x14ac:dyDescent="0.3">
      <c r="A519" s="208"/>
      <c r="B519" s="208"/>
      <c r="C519" s="208"/>
      <c r="D519" s="208"/>
      <c r="E519" s="208"/>
      <c r="F519" s="208"/>
      <c r="G519" s="208"/>
      <c r="H519" s="208"/>
      <c r="I519" s="208"/>
      <c r="J519" s="208"/>
      <c r="K519" s="208"/>
      <c r="L519" s="208"/>
      <c r="M519" s="208"/>
      <c r="N519" s="208"/>
      <c r="O519" s="208"/>
      <c r="P519" s="208"/>
      <c r="Q519" s="208"/>
      <c r="R519" s="208"/>
      <c r="S519" s="208"/>
      <c r="T519" s="208"/>
      <c r="U519" s="208"/>
      <c r="V519" s="208"/>
    </row>
    <row r="520" spans="1:22" ht="15.75" customHeight="1" x14ac:dyDescent="0.3">
      <c r="A520" s="208"/>
      <c r="B520" s="208"/>
      <c r="C520" s="208"/>
      <c r="D520" s="208"/>
      <c r="E520" s="208"/>
      <c r="F520" s="208"/>
      <c r="G520" s="208"/>
      <c r="H520" s="208"/>
      <c r="I520" s="208"/>
      <c r="J520" s="208"/>
      <c r="K520" s="208"/>
      <c r="L520" s="208"/>
      <c r="M520" s="208"/>
      <c r="N520" s="208"/>
      <c r="O520" s="208"/>
      <c r="P520" s="208"/>
      <c r="Q520" s="208"/>
      <c r="R520" s="208"/>
      <c r="S520" s="208"/>
      <c r="T520" s="208"/>
      <c r="U520" s="208"/>
      <c r="V520" s="208"/>
    </row>
    <row r="521" spans="1:22" ht="15.75" customHeight="1" x14ac:dyDescent="0.3">
      <c r="A521" s="208"/>
      <c r="B521" s="208"/>
      <c r="C521" s="208"/>
      <c r="D521" s="208"/>
      <c r="E521" s="208"/>
      <c r="F521" s="208"/>
      <c r="G521" s="208"/>
      <c r="H521" s="208"/>
      <c r="I521" s="208"/>
      <c r="J521" s="208"/>
      <c r="K521" s="208"/>
      <c r="L521" s="208"/>
      <c r="M521" s="208"/>
      <c r="N521" s="208"/>
      <c r="O521" s="208"/>
      <c r="P521" s="208"/>
      <c r="Q521" s="208"/>
      <c r="R521" s="208"/>
      <c r="S521" s="208"/>
      <c r="T521" s="208"/>
      <c r="U521" s="208"/>
      <c r="V521" s="208"/>
    </row>
    <row r="522" spans="1:22" ht="15.75" customHeight="1" x14ac:dyDescent="0.3">
      <c r="A522" s="208"/>
      <c r="B522" s="208"/>
      <c r="C522" s="208"/>
      <c r="D522" s="208"/>
      <c r="E522" s="208"/>
      <c r="F522" s="208"/>
      <c r="G522" s="208"/>
      <c r="H522" s="208"/>
      <c r="I522" s="208"/>
      <c r="J522" s="208"/>
      <c r="K522" s="208"/>
      <c r="L522" s="208"/>
      <c r="M522" s="208"/>
      <c r="N522" s="208"/>
      <c r="O522" s="208"/>
      <c r="P522" s="208"/>
      <c r="Q522" s="208"/>
      <c r="R522" s="208"/>
      <c r="S522" s="208"/>
      <c r="T522" s="208"/>
      <c r="U522" s="208"/>
      <c r="V522" s="208"/>
    </row>
    <row r="523" spans="1:22" ht="15.75" customHeight="1" x14ac:dyDescent="0.3">
      <c r="A523" s="208"/>
      <c r="B523" s="208"/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208"/>
      <c r="P523" s="208"/>
      <c r="Q523" s="208"/>
      <c r="R523" s="208"/>
      <c r="S523" s="208"/>
      <c r="T523" s="208"/>
      <c r="U523" s="208"/>
      <c r="V523" s="208"/>
    </row>
    <row r="524" spans="1:22" ht="15.75" customHeight="1" x14ac:dyDescent="0.3">
      <c r="A524" s="208"/>
      <c r="B524" s="208"/>
      <c r="C524" s="208"/>
      <c r="D524" s="208"/>
      <c r="E524" s="208"/>
      <c r="F524" s="208"/>
      <c r="G524" s="208"/>
      <c r="H524" s="208"/>
      <c r="I524" s="208"/>
      <c r="J524" s="208"/>
      <c r="K524" s="208"/>
      <c r="L524" s="208"/>
      <c r="M524" s="208"/>
      <c r="N524" s="208"/>
      <c r="O524" s="208"/>
      <c r="P524" s="208"/>
      <c r="Q524" s="208"/>
      <c r="R524" s="208"/>
      <c r="S524" s="208"/>
      <c r="T524" s="208"/>
      <c r="U524" s="208"/>
      <c r="V524" s="208"/>
    </row>
    <row r="525" spans="1:22" ht="15.75" customHeight="1" x14ac:dyDescent="0.3">
      <c r="A525" s="208"/>
      <c r="B525" s="208"/>
      <c r="C525" s="208"/>
      <c r="D525" s="208"/>
      <c r="E525" s="208"/>
      <c r="F525" s="208"/>
      <c r="G525" s="208"/>
      <c r="H525" s="208"/>
      <c r="I525" s="208"/>
      <c r="J525" s="208"/>
      <c r="K525" s="208"/>
      <c r="L525" s="208"/>
      <c r="M525" s="208"/>
      <c r="N525" s="208"/>
      <c r="O525" s="208"/>
      <c r="P525" s="208"/>
      <c r="Q525" s="208"/>
      <c r="R525" s="208"/>
      <c r="S525" s="208"/>
      <c r="T525" s="208"/>
      <c r="U525" s="208"/>
      <c r="V525" s="208"/>
    </row>
    <row r="526" spans="1:22" ht="15.75" customHeight="1" x14ac:dyDescent="0.3">
      <c r="A526" s="208"/>
      <c r="B526" s="208"/>
      <c r="C526" s="208"/>
      <c r="D526" s="208"/>
      <c r="E526" s="208"/>
      <c r="F526" s="208"/>
      <c r="G526" s="208"/>
      <c r="H526" s="208"/>
      <c r="I526" s="208"/>
      <c r="J526" s="208"/>
      <c r="K526" s="208"/>
      <c r="L526" s="208"/>
      <c r="M526" s="208"/>
      <c r="N526" s="208"/>
      <c r="O526" s="208"/>
      <c r="P526" s="208"/>
      <c r="Q526" s="208"/>
      <c r="R526" s="208"/>
      <c r="S526" s="208"/>
      <c r="T526" s="208"/>
      <c r="U526" s="208"/>
      <c r="V526" s="208"/>
    </row>
    <row r="527" spans="1:22" ht="15.75" customHeight="1" x14ac:dyDescent="0.3">
      <c r="A527" s="208"/>
      <c r="B527" s="208"/>
      <c r="C527" s="208"/>
      <c r="D527" s="208"/>
      <c r="E527" s="208"/>
      <c r="F527" s="208"/>
      <c r="G527" s="208"/>
      <c r="H527" s="208"/>
      <c r="I527" s="208"/>
      <c r="J527" s="208"/>
      <c r="K527" s="208"/>
      <c r="L527" s="208"/>
      <c r="M527" s="208"/>
      <c r="N527" s="208"/>
      <c r="O527" s="208"/>
      <c r="P527" s="208"/>
      <c r="Q527" s="208"/>
      <c r="R527" s="208"/>
      <c r="S527" s="208"/>
      <c r="T527" s="208"/>
      <c r="U527" s="208"/>
      <c r="V527" s="208"/>
    </row>
    <row r="528" spans="1:22" ht="15.75" customHeight="1" x14ac:dyDescent="0.3">
      <c r="A528" s="208"/>
      <c r="B528" s="208"/>
      <c r="C528" s="208"/>
      <c r="D528" s="208"/>
      <c r="E528" s="208"/>
      <c r="F528" s="208"/>
      <c r="G528" s="208"/>
      <c r="H528" s="208"/>
      <c r="I528" s="208"/>
      <c r="J528" s="208"/>
      <c r="K528" s="208"/>
      <c r="L528" s="208"/>
      <c r="M528" s="208"/>
      <c r="N528" s="208"/>
      <c r="O528" s="208"/>
      <c r="P528" s="208"/>
      <c r="Q528" s="208"/>
      <c r="R528" s="208"/>
      <c r="S528" s="208"/>
      <c r="T528" s="208"/>
      <c r="U528" s="208"/>
      <c r="V528" s="208"/>
    </row>
    <row r="529" spans="1:22" ht="15.75" customHeight="1" x14ac:dyDescent="0.3">
      <c r="A529" s="208"/>
      <c r="B529" s="208"/>
      <c r="C529" s="208"/>
      <c r="D529" s="208"/>
      <c r="E529" s="208"/>
      <c r="F529" s="208"/>
      <c r="G529" s="208"/>
      <c r="H529" s="208"/>
      <c r="I529" s="208"/>
      <c r="J529" s="208"/>
      <c r="K529" s="208"/>
      <c r="L529" s="208"/>
      <c r="M529" s="208"/>
      <c r="N529" s="208"/>
      <c r="O529" s="208"/>
      <c r="P529" s="208"/>
      <c r="Q529" s="208"/>
      <c r="R529" s="208"/>
      <c r="S529" s="208"/>
      <c r="T529" s="208"/>
      <c r="U529" s="208"/>
      <c r="V529" s="208"/>
    </row>
    <row r="530" spans="1:22" ht="15.75" customHeight="1" x14ac:dyDescent="0.3">
      <c r="A530" s="208"/>
      <c r="B530" s="208"/>
      <c r="C530" s="208"/>
      <c r="D530" s="208"/>
      <c r="E530" s="208"/>
      <c r="F530" s="208"/>
      <c r="G530" s="208"/>
      <c r="H530" s="208"/>
      <c r="I530" s="208"/>
      <c r="J530" s="208"/>
      <c r="K530" s="208"/>
      <c r="L530" s="208"/>
      <c r="M530" s="208"/>
      <c r="N530" s="208"/>
      <c r="O530" s="208"/>
      <c r="P530" s="208"/>
      <c r="Q530" s="208"/>
      <c r="R530" s="208"/>
      <c r="S530" s="208"/>
      <c r="T530" s="208"/>
      <c r="U530" s="208"/>
      <c r="V530" s="208"/>
    </row>
    <row r="531" spans="1:22" ht="15.75" customHeight="1" x14ac:dyDescent="0.3">
      <c r="A531" s="208"/>
      <c r="B531" s="208"/>
      <c r="C531" s="208"/>
      <c r="D531" s="208"/>
      <c r="E531" s="208"/>
      <c r="F531" s="208"/>
      <c r="G531" s="208"/>
      <c r="H531" s="208"/>
      <c r="I531" s="208"/>
      <c r="J531" s="208"/>
      <c r="K531" s="208"/>
      <c r="L531" s="208"/>
      <c r="M531" s="208"/>
      <c r="N531" s="208"/>
      <c r="O531" s="208"/>
      <c r="P531" s="208"/>
      <c r="Q531" s="208"/>
      <c r="R531" s="208"/>
      <c r="S531" s="208"/>
      <c r="T531" s="208"/>
      <c r="U531" s="208"/>
      <c r="V531" s="208"/>
    </row>
    <row r="532" spans="1:22" ht="15.75" customHeight="1" x14ac:dyDescent="0.3">
      <c r="A532" s="208"/>
      <c r="B532" s="208"/>
      <c r="C532" s="208"/>
      <c r="D532" s="208"/>
      <c r="E532" s="208"/>
      <c r="F532" s="208"/>
      <c r="G532" s="208"/>
      <c r="H532" s="208"/>
      <c r="I532" s="208"/>
      <c r="J532" s="208"/>
      <c r="K532" s="208"/>
      <c r="L532" s="208"/>
      <c r="M532" s="208"/>
      <c r="N532" s="208"/>
      <c r="O532" s="208"/>
      <c r="P532" s="208"/>
      <c r="Q532" s="208"/>
      <c r="R532" s="208"/>
      <c r="S532" s="208"/>
      <c r="T532" s="208"/>
      <c r="U532" s="208"/>
      <c r="V532" s="208"/>
    </row>
    <row r="533" spans="1:22" ht="15.75" customHeight="1" x14ac:dyDescent="0.3">
      <c r="A533" s="208"/>
      <c r="B533" s="208"/>
      <c r="C533" s="208"/>
      <c r="D533" s="208"/>
      <c r="E533" s="208"/>
      <c r="F533" s="208"/>
      <c r="G533" s="208"/>
      <c r="H533" s="208"/>
      <c r="I533" s="208"/>
      <c r="J533" s="208"/>
      <c r="K533" s="208"/>
      <c r="L533" s="208"/>
      <c r="M533" s="208"/>
      <c r="N533" s="208"/>
      <c r="O533" s="208"/>
      <c r="P533" s="208"/>
      <c r="Q533" s="208"/>
      <c r="R533" s="208"/>
      <c r="S533" s="208"/>
      <c r="T533" s="208"/>
      <c r="U533" s="208"/>
      <c r="V533" s="208"/>
    </row>
    <row r="534" spans="1:22" ht="15.75" customHeight="1" x14ac:dyDescent="0.3">
      <c r="A534" s="208"/>
      <c r="B534" s="208"/>
      <c r="C534" s="208"/>
      <c r="D534" s="208"/>
      <c r="E534" s="208"/>
      <c r="F534" s="208"/>
      <c r="G534" s="208"/>
      <c r="H534" s="208"/>
      <c r="I534" s="208"/>
      <c r="J534" s="208"/>
      <c r="K534" s="208"/>
      <c r="L534" s="208"/>
      <c r="M534" s="208"/>
      <c r="N534" s="208"/>
      <c r="O534" s="208"/>
      <c r="P534" s="208"/>
      <c r="Q534" s="208"/>
      <c r="R534" s="208"/>
      <c r="S534" s="208"/>
      <c r="T534" s="208"/>
      <c r="U534" s="208"/>
      <c r="V534" s="208"/>
    </row>
    <row r="535" spans="1:22" ht="15.75" customHeight="1" x14ac:dyDescent="0.3">
      <c r="A535" s="208"/>
      <c r="B535" s="208"/>
      <c r="C535" s="208"/>
      <c r="D535" s="208"/>
      <c r="E535" s="208"/>
      <c r="F535" s="208"/>
      <c r="G535" s="208"/>
      <c r="H535" s="208"/>
      <c r="I535" s="208"/>
      <c r="J535" s="208"/>
      <c r="K535" s="208"/>
      <c r="L535" s="208"/>
      <c r="M535" s="208"/>
      <c r="N535" s="208"/>
      <c r="O535" s="208"/>
      <c r="P535" s="208"/>
      <c r="Q535" s="208"/>
      <c r="R535" s="208"/>
      <c r="S535" s="208"/>
      <c r="T535" s="208"/>
      <c r="U535" s="208"/>
      <c r="V535" s="208"/>
    </row>
    <row r="536" spans="1:22" ht="15.75" customHeight="1" x14ac:dyDescent="0.3">
      <c r="A536" s="208"/>
      <c r="B536" s="208"/>
      <c r="C536" s="208"/>
      <c r="D536" s="208"/>
      <c r="E536" s="208"/>
      <c r="F536" s="208"/>
      <c r="G536" s="208"/>
      <c r="H536" s="208"/>
      <c r="I536" s="208"/>
      <c r="J536" s="208"/>
      <c r="K536" s="208"/>
      <c r="L536" s="208"/>
      <c r="M536" s="208"/>
      <c r="N536" s="208"/>
      <c r="O536" s="208"/>
      <c r="P536" s="208"/>
      <c r="Q536" s="208"/>
      <c r="R536" s="208"/>
      <c r="S536" s="208"/>
      <c r="T536" s="208"/>
      <c r="U536" s="208"/>
      <c r="V536" s="208"/>
    </row>
    <row r="537" spans="1:22" ht="15.75" customHeight="1" x14ac:dyDescent="0.3">
      <c r="A537" s="208"/>
      <c r="B537" s="208"/>
      <c r="C537" s="208"/>
      <c r="D537" s="208"/>
      <c r="E537" s="208"/>
      <c r="F537" s="208"/>
      <c r="G537" s="208"/>
      <c r="H537" s="208"/>
      <c r="I537" s="208"/>
      <c r="J537" s="208"/>
      <c r="K537" s="208"/>
      <c r="L537" s="208"/>
      <c r="M537" s="208"/>
      <c r="N537" s="208"/>
      <c r="O537" s="208"/>
      <c r="P537" s="208"/>
      <c r="Q537" s="208"/>
      <c r="R537" s="208"/>
      <c r="S537" s="208"/>
      <c r="T537" s="208"/>
      <c r="U537" s="208"/>
      <c r="V537" s="208"/>
    </row>
    <row r="538" spans="1:22" ht="15.75" customHeight="1" x14ac:dyDescent="0.3">
      <c r="A538" s="208"/>
      <c r="B538" s="208"/>
      <c r="C538" s="208"/>
      <c r="D538" s="208"/>
      <c r="E538" s="208"/>
      <c r="F538" s="208"/>
      <c r="G538" s="208"/>
      <c r="H538" s="208"/>
      <c r="I538" s="208"/>
      <c r="J538" s="208"/>
      <c r="K538" s="208"/>
      <c r="L538" s="208"/>
      <c r="M538" s="208"/>
      <c r="N538" s="208"/>
      <c r="O538" s="208"/>
      <c r="P538" s="208"/>
      <c r="Q538" s="208"/>
      <c r="R538" s="208"/>
      <c r="S538" s="208"/>
      <c r="T538" s="208"/>
      <c r="U538" s="208"/>
      <c r="V538" s="208"/>
    </row>
    <row r="539" spans="1:22" ht="15.75" customHeight="1" x14ac:dyDescent="0.3">
      <c r="A539" s="208"/>
      <c r="B539" s="208"/>
      <c r="C539" s="208"/>
      <c r="D539" s="208"/>
      <c r="E539" s="208"/>
      <c r="F539" s="208"/>
      <c r="G539" s="208"/>
      <c r="H539" s="208"/>
      <c r="I539" s="208"/>
      <c r="J539" s="208"/>
      <c r="K539" s="208"/>
      <c r="L539" s="208"/>
      <c r="M539" s="208"/>
      <c r="N539" s="208"/>
      <c r="O539" s="208"/>
      <c r="P539" s="208"/>
      <c r="Q539" s="208"/>
      <c r="R539" s="208"/>
      <c r="S539" s="208"/>
      <c r="T539" s="208"/>
      <c r="U539" s="208"/>
      <c r="V539" s="208"/>
    </row>
    <row r="540" spans="1:22" ht="15.75" customHeight="1" x14ac:dyDescent="0.3">
      <c r="A540" s="208"/>
      <c r="B540" s="208"/>
      <c r="C540" s="208"/>
      <c r="D540" s="208"/>
      <c r="E540" s="208"/>
      <c r="F540" s="208"/>
      <c r="G540" s="208"/>
      <c r="H540" s="208"/>
      <c r="I540" s="208"/>
      <c r="J540" s="208"/>
      <c r="K540" s="208"/>
      <c r="L540" s="208"/>
      <c r="M540" s="208"/>
      <c r="N540" s="208"/>
      <c r="O540" s="208"/>
      <c r="P540" s="208"/>
      <c r="Q540" s="208"/>
      <c r="R540" s="208"/>
      <c r="S540" s="208"/>
      <c r="T540" s="208"/>
      <c r="U540" s="208"/>
      <c r="V540" s="208"/>
    </row>
    <row r="541" spans="1:22" ht="15.75" customHeight="1" x14ac:dyDescent="0.3">
      <c r="A541" s="208"/>
      <c r="B541" s="208"/>
      <c r="C541" s="208"/>
      <c r="D541" s="208"/>
      <c r="E541" s="208"/>
      <c r="F541" s="208"/>
      <c r="G541" s="208"/>
      <c r="H541" s="208"/>
      <c r="I541" s="208"/>
      <c r="J541" s="208"/>
      <c r="K541" s="208"/>
      <c r="L541" s="208"/>
      <c r="M541" s="208"/>
      <c r="N541" s="208"/>
      <c r="O541" s="208"/>
      <c r="P541" s="208"/>
      <c r="Q541" s="208"/>
      <c r="R541" s="208"/>
      <c r="S541" s="208"/>
      <c r="T541" s="208"/>
      <c r="U541" s="208"/>
      <c r="V541" s="208"/>
    </row>
    <row r="542" spans="1:22" ht="15.75" customHeight="1" x14ac:dyDescent="0.3">
      <c r="A542" s="208"/>
      <c r="B542" s="208"/>
      <c r="C542" s="208"/>
      <c r="D542" s="208"/>
      <c r="E542" s="208"/>
      <c r="F542" s="208"/>
      <c r="G542" s="208"/>
      <c r="H542" s="208"/>
      <c r="I542" s="208"/>
      <c r="J542" s="208"/>
      <c r="K542" s="208"/>
      <c r="L542" s="208"/>
      <c r="M542" s="208"/>
      <c r="N542" s="208"/>
      <c r="O542" s="208"/>
      <c r="P542" s="208"/>
      <c r="Q542" s="208"/>
      <c r="R542" s="208"/>
      <c r="S542" s="208"/>
      <c r="T542" s="208"/>
      <c r="U542" s="208"/>
      <c r="V542" s="208"/>
    </row>
    <row r="543" spans="1:22" ht="15.75" customHeight="1" x14ac:dyDescent="0.3">
      <c r="A543" s="208"/>
      <c r="B543" s="208"/>
      <c r="C543" s="208"/>
      <c r="D543" s="208"/>
      <c r="E543" s="208"/>
      <c r="F543" s="208"/>
      <c r="G543" s="208"/>
      <c r="H543" s="208"/>
      <c r="I543" s="208"/>
      <c r="J543" s="208"/>
      <c r="K543" s="208"/>
      <c r="L543" s="208"/>
      <c r="M543" s="208"/>
      <c r="N543" s="208"/>
      <c r="O543" s="208"/>
      <c r="P543" s="208"/>
      <c r="Q543" s="208"/>
      <c r="R543" s="208"/>
      <c r="S543" s="208"/>
      <c r="T543" s="208"/>
      <c r="U543" s="208"/>
      <c r="V543" s="208"/>
    </row>
    <row r="544" spans="1:22" ht="15.75" customHeight="1" x14ac:dyDescent="0.3">
      <c r="A544" s="208"/>
      <c r="B544" s="208"/>
      <c r="C544" s="208"/>
      <c r="D544" s="208"/>
      <c r="E544" s="208"/>
      <c r="F544" s="208"/>
      <c r="G544" s="208"/>
      <c r="H544" s="208"/>
      <c r="I544" s="208"/>
      <c r="J544" s="208"/>
      <c r="K544" s="208"/>
      <c r="L544" s="208"/>
      <c r="M544" s="208"/>
      <c r="N544" s="208"/>
      <c r="O544" s="208"/>
      <c r="P544" s="208"/>
      <c r="Q544" s="208"/>
      <c r="R544" s="208"/>
      <c r="S544" s="208"/>
      <c r="T544" s="208"/>
      <c r="U544" s="208"/>
      <c r="V544" s="208"/>
    </row>
    <row r="545" spans="1:22" ht="15.75" customHeight="1" x14ac:dyDescent="0.3">
      <c r="A545" s="208"/>
      <c r="B545" s="208"/>
      <c r="C545" s="208"/>
      <c r="D545" s="208"/>
      <c r="E545" s="208"/>
      <c r="F545" s="208"/>
      <c r="G545" s="208"/>
      <c r="H545" s="208"/>
      <c r="I545" s="208"/>
      <c r="J545" s="208"/>
      <c r="K545" s="208"/>
      <c r="L545" s="208"/>
      <c r="M545" s="208"/>
      <c r="N545" s="208"/>
      <c r="O545" s="208"/>
      <c r="P545" s="208"/>
      <c r="Q545" s="208"/>
      <c r="R545" s="208"/>
      <c r="S545" s="208"/>
      <c r="T545" s="208"/>
      <c r="U545" s="208"/>
      <c r="V545" s="208"/>
    </row>
    <row r="546" spans="1:22" ht="15.75" customHeight="1" x14ac:dyDescent="0.3">
      <c r="A546" s="208"/>
      <c r="B546" s="208"/>
      <c r="C546" s="208"/>
      <c r="D546" s="208"/>
      <c r="E546" s="208"/>
      <c r="F546" s="208"/>
      <c r="G546" s="208"/>
      <c r="H546" s="208"/>
      <c r="I546" s="208"/>
      <c r="J546" s="208"/>
      <c r="K546" s="208"/>
      <c r="L546" s="208"/>
      <c r="M546" s="208"/>
      <c r="N546" s="208"/>
      <c r="O546" s="208"/>
      <c r="P546" s="208"/>
      <c r="Q546" s="208"/>
      <c r="R546" s="208"/>
      <c r="S546" s="208"/>
      <c r="T546" s="208"/>
      <c r="U546" s="208"/>
      <c r="V546" s="208"/>
    </row>
    <row r="547" spans="1:22" ht="15.75" customHeight="1" x14ac:dyDescent="0.3">
      <c r="A547" s="208"/>
      <c r="B547" s="208"/>
      <c r="C547" s="208"/>
      <c r="D547" s="208"/>
      <c r="E547" s="208"/>
      <c r="F547" s="208"/>
      <c r="G547" s="208"/>
      <c r="H547" s="208"/>
      <c r="I547" s="208"/>
      <c r="J547" s="208"/>
      <c r="K547" s="208"/>
      <c r="L547" s="208"/>
      <c r="M547" s="208"/>
      <c r="N547" s="208"/>
      <c r="O547" s="208"/>
      <c r="P547" s="208"/>
      <c r="Q547" s="208"/>
      <c r="R547" s="208"/>
      <c r="S547" s="208"/>
      <c r="T547" s="208"/>
      <c r="U547" s="208"/>
      <c r="V547" s="208"/>
    </row>
    <row r="548" spans="1:22" ht="15.75" customHeight="1" x14ac:dyDescent="0.3">
      <c r="A548" s="208"/>
      <c r="B548" s="208"/>
      <c r="C548" s="208"/>
      <c r="D548" s="208"/>
      <c r="E548" s="208"/>
      <c r="F548" s="208"/>
      <c r="G548" s="208"/>
      <c r="H548" s="208"/>
      <c r="I548" s="208"/>
      <c r="J548" s="208"/>
      <c r="K548" s="208"/>
      <c r="L548" s="208"/>
      <c r="M548" s="208"/>
      <c r="N548" s="208"/>
      <c r="O548" s="208"/>
      <c r="P548" s="208"/>
      <c r="Q548" s="208"/>
      <c r="R548" s="208"/>
      <c r="S548" s="208"/>
      <c r="T548" s="208"/>
      <c r="U548" s="208"/>
      <c r="V548" s="208"/>
    </row>
    <row r="549" spans="1:22" ht="15.75" customHeight="1" x14ac:dyDescent="0.3">
      <c r="A549" s="208"/>
      <c r="B549" s="208"/>
      <c r="C549" s="208"/>
      <c r="D549" s="208"/>
      <c r="E549" s="208"/>
      <c r="F549" s="208"/>
      <c r="G549" s="208"/>
      <c r="H549" s="208"/>
      <c r="I549" s="208"/>
      <c r="J549" s="208"/>
      <c r="K549" s="208"/>
      <c r="L549" s="208"/>
      <c r="M549" s="208"/>
      <c r="N549" s="208"/>
      <c r="O549" s="208"/>
      <c r="P549" s="208"/>
      <c r="Q549" s="208"/>
      <c r="R549" s="208"/>
      <c r="S549" s="208"/>
      <c r="T549" s="208"/>
      <c r="U549" s="208"/>
      <c r="V549" s="208"/>
    </row>
    <row r="550" spans="1:22" ht="15.75" customHeight="1" x14ac:dyDescent="0.3">
      <c r="A550" s="208"/>
      <c r="B550" s="208"/>
      <c r="C550" s="208"/>
      <c r="D550" s="208"/>
      <c r="E550" s="208"/>
      <c r="F550" s="208"/>
      <c r="G550" s="208"/>
      <c r="H550" s="208"/>
      <c r="I550" s="208"/>
      <c r="J550" s="208"/>
      <c r="K550" s="208"/>
      <c r="L550" s="208"/>
      <c r="M550" s="208"/>
      <c r="N550" s="208"/>
      <c r="O550" s="208"/>
      <c r="P550" s="208"/>
      <c r="Q550" s="208"/>
      <c r="R550" s="208"/>
      <c r="S550" s="208"/>
      <c r="T550" s="208"/>
      <c r="U550" s="208"/>
      <c r="V550" s="208"/>
    </row>
    <row r="551" spans="1:22" ht="15.75" customHeight="1" x14ac:dyDescent="0.3">
      <c r="A551" s="208"/>
      <c r="B551" s="208"/>
      <c r="C551" s="208"/>
      <c r="D551" s="208"/>
      <c r="E551" s="208"/>
      <c r="F551" s="208"/>
      <c r="G551" s="208"/>
      <c r="H551" s="208"/>
      <c r="I551" s="208"/>
      <c r="J551" s="208"/>
      <c r="K551" s="208"/>
      <c r="L551" s="208"/>
      <c r="M551" s="208"/>
      <c r="N551" s="208"/>
      <c r="O551" s="208"/>
      <c r="P551" s="208"/>
      <c r="Q551" s="208"/>
      <c r="R551" s="208"/>
      <c r="S551" s="208"/>
      <c r="T551" s="208"/>
      <c r="U551" s="208"/>
      <c r="V551" s="208"/>
    </row>
    <row r="552" spans="1:22" ht="15.75" customHeight="1" x14ac:dyDescent="0.3">
      <c r="A552" s="208"/>
      <c r="B552" s="208"/>
      <c r="C552" s="208"/>
      <c r="D552" s="208"/>
      <c r="E552" s="208"/>
      <c r="F552" s="208"/>
      <c r="G552" s="208"/>
      <c r="H552" s="208"/>
      <c r="I552" s="208"/>
      <c r="J552" s="208"/>
      <c r="K552" s="208"/>
      <c r="L552" s="208"/>
      <c r="M552" s="208"/>
      <c r="N552" s="208"/>
      <c r="O552" s="208"/>
      <c r="P552" s="208"/>
      <c r="Q552" s="208"/>
      <c r="R552" s="208"/>
      <c r="S552" s="208"/>
      <c r="T552" s="208"/>
      <c r="U552" s="208"/>
      <c r="V552" s="208"/>
    </row>
    <row r="553" spans="1:22" ht="15.75" customHeight="1" x14ac:dyDescent="0.3">
      <c r="A553" s="208"/>
      <c r="B553" s="208"/>
      <c r="C553" s="208"/>
      <c r="D553" s="208"/>
      <c r="E553" s="208"/>
      <c r="F553" s="208"/>
      <c r="G553" s="208"/>
      <c r="H553" s="208"/>
      <c r="I553" s="208"/>
      <c r="J553" s="208"/>
      <c r="K553" s="208"/>
      <c r="L553" s="208"/>
      <c r="M553" s="208"/>
      <c r="N553" s="208"/>
      <c r="O553" s="208"/>
      <c r="P553" s="208"/>
      <c r="Q553" s="208"/>
      <c r="R553" s="208"/>
      <c r="S553" s="208"/>
      <c r="T553" s="208"/>
      <c r="U553" s="208"/>
      <c r="V553" s="208"/>
    </row>
    <row r="554" spans="1:22" ht="15.75" customHeight="1" x14ac:dyDescent="0.3">
      <c r="A554" s="208"/>
      <c r="B554" s="208"/>
      <c r="C554" s="208"/>
      <c r="D554" s="208"/>
      <c r="E554" s="208"/>
      <c r="F554" s="208"/>
      <c r="G554" s="208"/>
      <c r="H554" s="208"/>
      <c r="I554" s="208"/>
      <c r="J554" s="208"/>
      <c r="K554" s="208"/>
      <c r="L554" s="208"/>
      <c r="M554" s="208"/>
      <c r="N554" s="208"/>
      <c r="O554" s="208"/>
      <c r="P554" s="208"/>
      <c r="Q554" s="208"/>
      <c r="R554" s="208"/>
      <c r="S554" s="208"/>
      <c r="T554" s="208"/>
      <c r="U554" s="208"/>
      <c r="V554" s="208"/>
    </row>
    <row r="555" spans="1:22" ht="15.75" customHeight="1" x14ac:dyDescent="0.3">
      <c r="A555" s="208"/>
      <c r="B555" s="208"/>
      <c r="C555" s="208"/>
      <c r="D555" s="208"/>
      <c r="E555" s="208"/>
      <c r="F555" s="208"/>
      <c r="G555" s="208"/>
      <c r="H555" s="208"/>
      <c r="I555" s="208"/>
      <c r="J555" s="208"/>
      <c r="K555" s="208"/>
      <c r="L555" s="208"/>
      <c r="M555" s="208"/>
      <c r="N555" s="208"/>
      <c r="O555" s="208"/>
      <c r="P555" s="208"/>
      <c r="Q555" s="208"/>
      <c r="R555" s="208"/>
      <c r="S555" s="208"/>
      <c r="T555" s="208"/>
      <c r="U555" s="208"/>
      <c r="V555" s="208"/>
    </row>
    <row r="556" spans="1:22" ht="15.75" customHeight="1" x14ac:dyDescent="0.3">
      <c r="A556" s="208"/>
      <c r="B556" s="208"/>
      <c r="C556" s="208"/>
      <c r="D556" s="208"/>
      <c r="E556" s="208"/>
      <c r="F556" s="208"/>
      <c r="G556" s="208"/>
      <c r="H556" s="208"/>
      <c r="I556" s="208"/>
      <c r="J556" s="208"/>
      <c r="K556" s="208"/>
      <c r="L556" s="208"/>
      <c r="M556" s="208"/>
      <c r="N556" s="208"/>
      <c r="O556" s="208"/>
      <c r="P556" s="208"/>
      <c r="Q556" s="208"/>
      <c r="R556" s="208"/>
      <c r="S556" s="208"/>
      <c r="T556" s="208"/>
      <c r="U556" s="208"/>
      <c r="V556" s="208"/>
    </row>
    <row r="557" spans="1:22" ht="15.75" customHeight="1" x14ac:dyDescent="0.3">
      <c r="A557" s="208"/>
      <c r="B557" s="208"/>
      <c r="C557" s="208"/>
      <c r="D557" s="208"/>
      <c r="E557" s="208"/>
      <c r="F557" s="208"/>
      <c r="G557" s="208"/>
      <c r="H557" s="208"/>
      <c r="I557" s="208"/>
      <c r="J557" s="208"/>
      <c r="K557" s="208"/>
      <c r="L557" s="208"/>
      <c r="M557" s="208"/>
      <c r="N557" s="208"/>
      <c r="O557" s="208"/>
      <c r="P557" s="208"/>
      <c r="Q557" s="208"/>
      <c r="R557" s="208"/>
      <c r="S557" s="208"/>
      <c r="T557" s="208"/>
      <c r="U557" s="208"/>
      <c r="V557" s="208"/>
    </row>
    <row r="558" spans="1:22" ht="15.75" customHeight="1" x14ac:dyDescent="0.3">
      <c r="A558" s="208"/>
      <c r="B558" s="208"/>
      <c r="C558" s="208"/>
      <c r="D558" s="208"/>
      <c r="E558" s="208"/>
      <c r="F558" s="208"/>
      <c r="G558" s="208"/>
      <c r="H558" s="208"/>
      <c r="I558" s="208"/>
      <c r="J558" s="208"/>
      <c r="K558" s="208"/>
      <c r="L558" s="208"/>
      <c r="M558" s="208"/>
      <c r="N558" s="208"/>
      <c r="O558" s="208"/>
      <c r="P558" s="208"/>
      <c r="Q558" s="208"/>
      <c r="R558" s="208"/>
      <c r="S558" s="208"/>
      <c r="T558" s="208"/>
      <c r="U558" s="208"/>
      <c r="V558" s="208"/>
    </row>
    <row r="559" spans="1:22" ht="15.75" customHeight="1" x14ac:dyDescent="0.3">
      <c r="A559" s="208"/>
      <c r="B559" s="208"/>
      <c r="C559" s="208"/>
      <c r="D559" s="208"/>
      <c r="E559" s="208"/>
      <c r="F559" s="208"/>
      <c r="G559" s="208"/>
      <c r="H559" s="208"/>
      <c r="I559" s="208"/>
      <c r="J559" s="208"/>
      <c r="K559" s="208"/>
      <c r="L559" s="208"/>
      <c r="M559" s="208"/>
      <c r="N559" s="208"/>
      <c r="O559" s="208"/>
      <c r="P559" s="208"/>
      <c r="Q559" s="208"/>
      <c r="R559" s="208"/>
      <c r="S559" s="208"/>
      <c r="T559" s="208"/>
      <c r="U559" s="208"/>
      <c r="V559" s="208"/>
    </row>
    <row r="560" spans="1:22" ht="15.75" customHeight="1" x14ac:dyDescent="0.3">
      <c r="A560" s="208"/>
      <c r="B560" s="208"/>
      <c r="C560" s="208"/>
      <c r="D560" s="208"/>
      <c r="E560" s="208"/>
      <c r="F560" s="208"/>
      <c r="G560" s="208"/>
      <c r="H560" s="208"/>
      <c r="I560" s="208"/>
      <c r="J560" s="208"/>
      <c r="K560" s="208"/>
      <c r="L560" s="208"/>
      <c r="M560" s="208"/>
      <c r="N560" s="208"/>
      <c r="O560" s="208"/>
      <c r="P560" s="208"/>
      <c r="Q560" s="208"/>
      <c r="R560" s="208"/>
      <c r="S560" s="208"/>
      <c r="T560" s="208"/>
      <c r="U560" s="208"/>
      <c r="V560" s="208"/>
    </row>
    <row r="561" spans="1:22" ht="15.75" customHeight="1" x14ac:dyDescent="0.3">
      <c r="A561" s="208"/>
      <c r="B561" s="208"/>
      <c r="C561" s="208"/>
      <c r="D561" s="208"/>
      <c r="E561" s="208"/>
      <c r="F561" s="208"/>
      <c r="G561" s="208"/>
      <c r="H561" s="208"/>
      <c r="I561" s="208"/>
      <c r="J561" s="208"/>
      <c r="K561" s="208"/>
      <c r="L561" s="208"/>
      <c r="M561" s="208"/>
      <c r="N561" s="208"/>
      <c r="O561" s="208"/>
      <c r="P561" s="208"/>
      <c r="Q561" s="208"/>
      <c r="R561" s="208"/>
      <c r="S561" s="208"/>
      <c r="T561" s="208"/>
      <c r="U561" s="208"/>
      <c r="V561" s="208"/>
    </row>
    <row r="562" spans="1:22" ht="15.75" customHeight="1" x14ac:dyDescent="0.3">
      <c r="A562" s="208"/>
      <c r="B562" s="208"/>
      <c r="C562" s="208"/>
      <c r="D562" s="208"/>
      <c r="E562" s="208"/>
      <c r="F562" s="208"/>
      <c r="G562" s="208"/>
      <c r="H562" s="208"/>
      <c r="I562" s="208"/>
      <c r="J562" s="208"/>
      <c r="K562" s="208"/>
      <c r="L562" s="208"/>
      <c r="M562" s="208"/>
      <c r="N562" s="208"/>
      <c r="O562" s="208"/>
      <c r="P562" s="208"/>
      <c r="Q562" s="208"/>
      <c r="R562" s="208"/>
      <c r="S562" s="208"/>
      <c r="T562" s="208"/>
      <c r="U562" s="208"/>
      <c r="V562" s="208"/>
    </row>
    <row r="563" spans="1:22" ht="15.75" customHeight="1" x14ac:dyDescent="0.3">
      <c r="A563" s="208"/>
      <c r="B563" s="208"/>
      <c r="C563" s="208"/>
      <c r="D563" s="208"/>
      <c r="E563" s="208"/>
      <c r="F563" s="208"/>
      <c r="G563" s="208"/>
      <c r="H563" s="208"/>
      <c r="I563" s="208"/>
      <c r="J563" s="208"/>
      <c r="K563" s="208"/>
      <c r="L563" s="208"/>
      <c r="M563" s="208"/>
      <c r="N563" s="208"/>
      <c r="O563" s="208"/>
      <c r="P563" s="208"/>
      <c r="Q563" s="208"/>
      <c r="R563" s="208"/>
      <c r="S563" s="208"/>
      <c r="T563" s="208"/>
      <c r="U563" s="208"/>
      <c r="V563" s="208"/>
    </row>
    <row r="564" spans="1:22" ht="15.75" customHeight="1" x14ac:dyDescent="0.3">
      <c r="A564" s="208"/>
      <c r="B564" s="208"/>
      <c r="C564" s="208"/>
      <c r="D564" s="208"/>
      <c r="E564" s="208"/>
      <c r="F564" s="208"/>
      <c r="G564" s="208"/>
      <c r="H564" s="208"/>
      <c r="I564" s="208"/>
      <c r="J564" s="208"/>
      <c r="K564" s="208"/>
      <c r="L564" s="208"/>
      <c r="M564" s="208"/>
      <c r="N564" s="208"/>
      <c r="O564" s="208"/>
      <c r="P564" s="208"/>
      <c r="Q564" s="208"/>
      <c r="R564" s="208"/>
      <c r="S564" s="208"/>
      <c r="T564" s="208"/>
      <c r="U564" s="208"/>
      <c r="V564" s="208"/>
    </row>
    <row r="565" spans="1:22" ht="15.75" customHeight="1" x14ac:dyDescent="0.3">
      <c r="A565" s="208"/>
      <c r="B565" s="208"/>
      <c r="C565" s="208"/>
      <c r="D565" s="208"/>
      <c r="E565" s="208"/>
      <c r="F565" s="208"/>
      <c r="G565" s="208"/>
      <c r="H565" s="208"/>
      <c r="I565" s="208"/>
      <c r="J565" s="208"/>
      <c r="K565" s="208"/>
      <c r="L565" s="208"/>
      <c r="M565" s="208"/>
      <c r="N565" s="208"/>
      <c r="O565" s="208"/>
      <c r="P565" s="208"/>
      <c r="Q565" s="208"/>
      <c r="R565" s="208"/>
      <c r="S565" s="208"/>
      <c r="T565" s="208"/>
      <c r="U565" s="208"/>
      <c r="V565" s="208"/>
    </row>
    <row r="566" spans="1:22" ht="15.75" customHeight="1" x14ac:dyDescent="0.3">
      <c r="A566" s="208"/>
      <c r="B566" s="208"/>
      <c r="C566" s="208"/>
      <c r="D566" s="208"/>
      <c r="E566" s="208"/>
      <c r="F566" s="208"/>
      <c r="G566" s="208"/>
      <c r="H566" s="208"/>
      <c r="I566" s="208"/>
      <c r="J566" s="208"/>
      <c r="K566" s="208"/>
      <c r="L566" s="208"/>
      <c r="M566" s="208"/>
      <c r="N566" s="208"/>
      <c r="O566" s="208"/>
      <c r="P566" s="208"/>
      <c r="Q566" s="208"/>
      <c r="R566" s="208"/>
      <c r="S566" s="208"/>
      <c r="T566" s="208"/>
      <c r="U566" s="208"/>
      <c r="V566" s="208"/>
    </row>
    <row r="567" spans="1:22" ht="15.75" customHeight="1" x14ac:dyDescent="0.3">
      <c r="A567" s="208"/>
      <c r="B567" s="208"/>
      <c r="C567" s="208"/>
      <c r="D567" s="208"/>
      <c r="E567" s="208"/>
      <c r="F567" s="208"/>
      <c r="G567" s="208"/>
      <c r="H567" s="208"/>
      <c r="I567" s="208"/>
      <c r="J567" s="208"/>
      <c r="K567" s="208"/>
      <c r="L567" s="208"/>
      <c r="M567" s="208"/>
      <c r="N567" s="208"/>
      <c r="O567" s="208"/>
      <c r="P567" s="208"/>
      <c r="Q567" s="208"/>
      <c r="R567" s="208"/>
      <c r="S567" s="208"/>
      <c r="T567" s="208"/>
      <c r="U567" s="208"/>
      <c r="V567" s="208"/>
    </row>
    <row r="568" spans="1:22" ht="15.75" customHeight="1" x14ac:dyDescent="0.3">
      <c r="A568" s="208"/>
      <c r="B568" s="208"/>
      <c r="C568" s="208"/>
      <c r="D568" s="208"/>
      <c r="E568" s="208"/>
      <c r="F568" s="208"/>
      <c r="G568" s="208"/>
      <c r="H568" s="208"/>
      <c r="I568" s="208"/>
      <c r="J568" s="208"/>
      <c r="K568" s="208"/>
      <c r="L568" s="208"/>
      <c r="M568" s="208"/>
      <c r="N568" s="208"/>
      <c r="O568" s="208"/>
      <c r="P568" s="208"/>
      <c r="Q568" s="208"/>
      <c r="R568" s="208"/>
      <c r="S568" s="208"/>
      <c r="T568" s="208"/>
      <c r="U568" s="208"/>
      <c r="V568" s="208"/>
    </row>
    <row r="569" spans="1:22" ht="15.75" customHeight="1" x14ac:dyDescent="0.3">
      <c r="A569" s="208"/>
      <c r="B569" s="208"/>
      <c r="C569" s="208"/>
      <c r="D569" s="208"/>
      <c r="E569" s="208"/>
      <c r="F569" s="208"/>
      <c r="G569" s="208"/>
      <c r="H569" s="208"/>
      <c r="I569" s="208"/>
      <c r="J569" s="208"/>
      <c r="K569" s="208"/>
      <c r="L569" s="208"/>
      <c r="M569" s="208"/>
      <c r="N569" s="208"/>
      <c r="O569" s="208"/>
      <c r="P569" s="208"/>
      <c r="Q569" s="208"/>
      <c r="R569" s="208"/>
      <c r="S569" s="208"/>
      <c r="T569" s="208"/>
      <c r="U569" s="208"/>
      <c r="V569" s="208"/>
    </row>
    <row r="570" spans="1:22" ht="15.75" customHeight="1" x14ac:dyDescent="0.3">
      <c r="A570" s="208"/>
      <c r="B570" s="208"/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208"/>
      <c r="P570" s="208"/>
      <c r="Q570" s="208"/>
      <c r="R570" s="208"/>
      <c r="S570" s="208"/>
      <c r="T570" s="208"/>
      <c r="U570" s="208"/>
      <c r="V570" s="208"/>
    </row>
    <row r="571" spans="1:22" ht="15.75" customHeight="1" x14ac:dyDescent="0.3">
      <c r="A571" s="208"/>
      <c r="B571" s="208"/>
      <c r="C571" s="208"/>
      <c r="D571" s="208"/>
      <c r="E571" s="208"/>
      <c r="F571" s="208"/>
      <c r="G571" s="208"/>
      <c r="H571" s="208"/>
      <c r="I571" s="208"/>
      <c r="J571" s="208"/>
      <c r="K571" s="208"/>
      <c r="L571" s="208"/>
      <c r="M571" s="208"/>
      <c r="N571" s="208"/>
      <c r="O571" s="208"/>
      <c r="P571" s="208"/>
      <c r="Q571" s="208"/>
      <c r="R571" s="208"/>
      <c r="S571" s="208"/>
      <c r="T571" s="208"/>
      <c r="U571" s="208"/>
      <c r="V571" s="208"/>
    </row>
    <row r="572" spans="1:22" ht="15.75" customHeight="1" x14ac:dyDescent="0.3">
      <c r="A572" s="208"/>
      <c r="B572" s="208"/>
      <c r="C572" s="208"/>
      <c r="D572" s="208"/>
      <c r="E572" s="208"/>
      <c r="F572" s="208"/>
      <c r="G572" s="208"/>
      <c r="H572" s="208"/>
      <c r="I572" s="208"/>
      <c r="J572" s="208"/>
      <c r="K572" s="208"/>
      <c r="L572" s="208"/>
      <c r="M572" s="208"/>
      <c r="N572" s="208"/>
      <c r="O572" s="208"/>
      <c r="P572" s="208"/>
      <c r="Q572" s="208"/>
      <c r="R572" s="208"/>
      <c r="S572" s="208"/>
      <c r="T572" s="208"/>
      <c r="U572" s="208"/>
      <c r="V572" s="208"/>
    </row>
    <row r="573" spans="1:22" ht="15.75" customHeight="1" x14ac:dyDescent="0.3">
      <c r="A573" s="208"/>
      <c r="B573" s="208"/>
      <c r="C573" s="208"/>
      <c r="D573" s="208"/>
      <c r="E573" s="208"/>
      <c r="F573" s="208"/>
      <c r="G573" s="208"/>
      <c r="H573" s="208"/>
      <c r="I573" s="208"/>
      <c r="J573" s="208"/>
      <c r="K573" s="208"/>
      <c r="L573" s="208"/>
      <c r="M573" s="208"/>
      <c r="N573" s="208"/>
      <c r="O573" s="208"/>
      <c r="P573" s="208"/>
      <c r="Q573" s="208"/>
      <c r="R573" s="208"/>
      <c r="S573" s="208"/>
      <c r="T573" s="208"/>
      <c r="U573" s="208"/>
      <c r="V573" s="208"/>
    </row>
    <row r="574" spans="1:22" ht="15.75" customHeight="1" x14ac:dyDescent="0.3">
      <c r="A574" s="208"/>
      <c r="B574" s="208"/>
      <c r="C574" s="208"/>
      <c r="D574" s="208"/>
      <c r="E574" s="208"/>
      <c r="F574" s="208"/>
      <c r="G574" s="208"/>
      <c r="H574" s="208"/>
      <c r="I574" s="208"/>
      <c r="J574" s="208"/>
      <c r="K574" s="208"/>
      <c r="L574" s="208"/>
      <c r="M574" s="208"/>
      <c r="N574" s="208"/>
      <c r="O574" s="208"/>
      <c r="P574" s="208"/>
      <c r="Q574" s="208"/>
      <c r="R574" s="208"/>
      <c r="S574" s="208"/>
      <c r="T574" s="208"/>
      <c r="U574" s="208"/>
      <c r="V574" s="208"/>
    </row>
    <row r="575" spans="1:22" ht="15.75" customHeight="1" x14ac:dyDescent="0.3">
      <c r="A575" s="208"/>
      <c r="B575" s="208"/>
      <c r="C575" s="208"/>
      <c r="D575" s="208"/>
      <c r="E575" s="208"/>
      <c r="F575" s="208"/>
      <c r="G575" s="208"/>
      <c r="H575" s="208"/>
      <c r="I575" s="208"/>
      <c r="J575" s="208"/>
      <c r="K575" s="208"/>
      <c r="L575" s="208"/>
      <c r="M575" s="208"/>
      <c r="N575" s="208"/>
      <c r="O575" s="208"/>
      <c r="P575" s="208"/>
      <c r="Q575" s="208"/>
      <c r="R575" s="208"/>
      <c r="S575" s="208"/>
      <c r="T575" s="208"/>
      <c r="U575" s="208"/>
      <c r="V575" s="208"/>
    </row>
    <row r="576" spans="1:22" ht="15.75" customHeight="1" x14ac:dyDescent="0.3">
      <c r="A576" s="208"/>
      <c r="B576" s="208"/>
      <c r="C576" s="208"/>
      <c r="D576" s="208"/>
      <c r="E576" s="208"/>
      <c r="F576" s="208"/>
      <c r="G576" s="208"/>
      <c r="H576" s="208"/>
      <c r="I576" s="208"/>
      <c r="J576" s="208"/>
      <c r="K576" s="208"/>
      <c r="L576" s="208"/>
      <c r="M576" s="208"/>
      <c r="N576" s="208"/>
      <c r="O576" s="208"/>
      <c r="P576" s="208"/>
      <c r="Q576" s="208"/>
      <c r="R576" s="208"/>
      <c r="S576" s="208"/>
      <c r="T576" s="208"/>
      <c r="U576" s="208"/>
      <c r="V576" s="208"/>
    </row>
    <row r="577" spans="1:22" ht="15.75" customHeight="1" x14ac:dyDescent="0.3">
      <c r="A577" s="208"/>
      <c r="B577" s="208"/>
      <c r="C577" s="208"/>
      <c r="D577" s="208"/>
      <c r="E577" s="208"/>
      <c r="F577" s="208"/>
      <c r="G577" s="208"/>
      <c r="H577" s="208"/>
      <c r="I577" s="208"/>
      <c r="J577" s="208"/>
      <c r="K577" s="208"/>
      <c r="L577" s="208"/>
      <c r="M577" s="208"/>
      <c r="N577" s="208"/>
      <c r="O577" s="208"/>
      <c r="P577" s="208"/>
      <c r="Q577" s="208"/>
      <c r="R577" s="208"/>
      <c r="S577" s="208"/>
      <c r="T577" s="208"/>
      <c r="U577" s="208"/>
      <c r="V577" s="208"/>
    </row>
    <row r="578" spans="1:22" ht="15.75" customHeight="1" x14ac:dyDescent="0.3">
      <c r="A578" s="208"/>
      <c r="B578" s="208"/>
      <c r="C578" s="208"/>
      <c r="D578" s="208"/>
      <c r="E578" s="208"/>
      <c r="F578" s="208"/>
      <c r="G578" s="208"/>
      <c r="H578" s="208"/>
      <c r="I578" s="208"/>
      <c r="J578" s="208"/>
      <c r="K578" s="208"/>
      <c r="L578" s="208"/>
      <c r="M578" s="208"/>
      <c r="N578" s="208"/>
      <c r="O578" s="208"/>
      <c r="P578" s="208"/>
      <c r="Q578" s="208"/>
      <c r="R578" s="208"/>
      <c r="S578" s="208"/>
      <c r="T578" s="208"/>
      <c r="U578" s="208"/>
      <c r="V578" s="208"/>
    </row>
    <row r="579" spans="1:22" ht="15.75" customHeight="1" x14ac:dyDescent="0.3">
      <c r="A579" s="208"/>
      <c r="B579" s="208"/>
      <c r="C579" s="208"/>
      <c r="D579" s="208"/>
      <c r="E579" s="208"/>
      <c r="F579" s="208"/>
      <c r="G579" s="208"/>
      <c r="H579" s="208"/>
      <c r="I579" s="208"/>
      <c r="J579" s="208"/>
      <c r="K579" s="208"/>
      <c r="L579" s="208"/>
      <c r="M579" s="208"/>
      <c r="N579" s="208"/>
      <c r="O579" s="208"/>
      <c r="P579" s="208"/>
      <c r="Q579" s="208"/>
      <c r="R579" s="208"/>
      <c r="S579" s="208"/>
      <c r="T579" s="208"/>
      <c r="U579" s="208"/>
      <c r="V579" s="208"/>
    </row>
    <row r="580" spans="1:22" ht="15.75" customHeight="1" x14ac:dyDescent="0.3">
      <c r="A580" s="208"/>
      <c r="B580" s="208"/>
      <c r="C580" s="208"/>
      <c r="D580" s="208"/>
      <c r="E580" s="208"/>
      <c r="F580" s="208"/>
      <c r="G580" s="208"/>
      <c r="H580" s="208"/>
      <c r="I580" s="208"/>
      <c r="J580" s="208"/>
      <c r="K580" s="208"/>
      <c r="L580" s="208"/>
      <c r="M580" s="208"/>
      <c r="N580" s="208"/>
      <c r="O580" s="208"/>
      <c r="P580" s="208"/>
      <c r="Q580" s="208"/>
      <c r="R580" s="208"/>
      <c r="S580" s="208"/>
      <c r="T580" s="208"/>
      <c r="U580" s="208"/>
      <c r="V580" s="208"/>
    </row>
    <row r="581" spans="1:22" ht="15.75" customHeight="1" x14ac:dyDescent="0.3">
      <c r="A581" s="208"/>
      <c r="B581" s="208"/>
      <c r="C581" s="208"/>
      <c r="D581" s="208"/>
      <c r="E581" s="208"/>
      <c r="F581" s="208"/>
      <c r="G581" s="208"/>
      <c r="H581" s="208"/>
      <c r="I581" s="208"/>
      <c r="J581" s="208"/>
      <c r="K581" s="208"/>
      <c r="L581" s="208"/>
      <c r="M581" s="208"/>
      <c r="N581" s="208"/>
      <c r="O581" s="208"/>
      <c r="P581" s="208"/>
      <c r="Q581" s="208"/>
      <c r="R581" s="208"/>
      <c r="S581" s="208"/>
      <c r="T581" s="208"/>
      <c r="U581" s="208"/>
      <c r="V581" s="208"/>
    </row>
    <row r="582" spans="1:22" ht="15.75" customHeight="1" x14ac:dyDescent="0.3">
      <c r="A582" s="208"/>
      <c r="B582" s="208"/>
      <c r="C582" s="208"/>
      <c r="D582" s="208"/>
      <c r="E582" s="208"/>
      <c r="F582" s="208"/>
      <c r="G582" s="208"/>
      <c r="H582" s="208"/>
      <c r="I582" s="208"/>
      <c r="J582" s="208"/>
      <c r="K582" s="208"/>
      <c r="L582" s="208"/>
      <c r="M582" s="208"/>
      <c r="N582" s="208"/>
      <c r="O582" s="208"/>
      <c r="P582" s="208"/>
      <c r="Q582" s="208"/>
      <c r="R582" s="208"/>
      <c r="S582" s="208"/>
      <c r="T582" s="208"/>
      <c r="U582" s="208"/>
      <c r="V582" s="208"/>
    </row>
    <row r="583" spans="1:22" ht="15.75" customHeight="1" x14ac:dyDescent="0.3">
      <c r="A583" s="208"/>
      <c r="B583" s="208"/>
      <c r="C583" s="208"/>
      <c r="D583" s="208"/>
      <c r="E583" s="208"/>
      <c r="F583" s="208"/>
      <c r="G583" s="208"/>
      <c r="H583" s="208"/>
      <c r="I583" s="208"/>
      <c r="J583" s="208"/>
      <c r="K583" s="208"/>
      <c r="L583" s="208"/>
      <c r="M583" s="208"/>
      <c r="N583" s="208"/>
      <c r="O583" s="208"/>
      <c r="P583" s="208"/>
      <c r="Q583" s="208"/>
      <c r="R583" s="208"/>
      <c r="S583" s="208"/>
      <c r="T583" s="208"/>
      <c r="U583" s="208"/>
      <c r="V583" s="208"/>
    </row>
    <row r="584" spans="1:22" ht="15.75" customHeight="1" x14ac:dyDescent="0.3">
      <c r="A584" s="208"/>
      <c r="B584" s="208"/>
      <c r="C584" s="208"/>
      <c r="D584" s="208"/>
      <c r="E584" s="208"/>
      <c r="F584" s="208"/>
      <c r="G584" s="208"/>
      <c r="H584" s="208"/>
      <c r="I584" s="208"/>
      <c r="J584" s="208"/>
      <c r="K584" s="208"/>
      <c r="L584" s="208"/>
      <c r="M584" s="208"/>
      <c r="N584" s="208"/>
      <c r="O584" s="208"/>
      <c r="P584" s="208"/>
      <c r="Q584" s="208"/>
      <c r="R584" s="208"/>
      <c r="S584" s="208"/>
      <c r="T584" s="208"/>
      <c r="U584" s="208"/>
      <c r="V584" s="208"/>
    </row>
    <row r="585" spans="1:22" ht="15.75" customHeight="1" x14ac:dyDescent="0.3">
      <c r="A585" s="208"/>
      <c r="B585" s="208"/>
      <c r="C585" s="208"/>
      <c r="D585" s="208"/>
      <c r="E585" s="208"/>
      <c r="F585" s="208"/>
      <c r="G585" s="208"/>
      <c r="H585" s="208"/>
      <c r="I585" s="208"/>
      <c r="J585" s="208"/>
      <c r="K585" s="208"/>
      <c r="L585" s="208"/>
      <c r="M585" s="208"/>
      <c r="N585" s="208"/>
      <c r="O585" s="208"/>
      <c r="P585" s="208"/>
      <c r="Q585" s="208"/>
      <c r="R585" s="208"/>
      <c r="S585" s="208"/>
      <c r="T585" s="208"/>
      <c r="U585" s="208"/>
      <c r="V585" s="208"/>
    </row>
    <row r="586" spans="1:22" ht="15.75" customHeight="1" x14ac:dyDescent="0.3">
      <c r="A586" s="208"/>
      <c r="B586" s="208"/>
      <c r="C586" s="208"/>
      <c r="D586" s="208"/>
      <c r="E586" s="208"/>
      <c r="F586" s="208"/>
      <c r="G586" s="208"/>
      <c r="H586" s="208"/>
      <c r="I586" s="208"/>
      <c r="J586" s="208"/>
      <c r="K586" s="208"/>
      <c r="L586" s="208"/>
      <c r="M586" s="208"/>
      <c r="N586" s="208"/>
      <c r="O586" s="208"/>
      <c r="P586" s="208"/>
      <c r="Q586" s="208"/>
      <c r="R586" s="208"/>
      <c r="S586" s="208"/>
      <c r="T586" s="208"/>
      <c r="U586" s="208"/>
      <c r="V586" s="208"/>
    </row>
    <row r="587" spans="1:22" ht="15.75" customHeight="1" x14ac:dyDescent="0.3">
      <c r="A587" s="208"/>
      <c r="B587" s="208"/>
      <c r="C587" s="208"/>
      <c r="D587" s="208"/>
      <c r="E587" s="208"/>
      <c r="F587" s="208"/>
      <c r="G587" s="208"/>
      <c r="H587" s="208"/>
      <c r="I587" s="208"/>
      <c r="J587" s="208"/>
      <c r="K587" s="208"/>
      <c r="L587" s="208"/>
      <c r="M587" s="208"/>
      <c r="N587" s="208"/>
      <c r="O587" s="208"/>
      <c r="P587" s="208"/>
      <c r="Q587" s="208"/>
      <c r="R587" s="208"/>
      <c r="S587" s="208"/>
      <c r="T587" s="208"/>
      <c r="U587" s="208"/>
      <c r="V587" s="208"/>
    </row>
    <row r="588" spans="1:22" ht="15.75" customHeight="1" x14ac:dyDescent="0.3">
      <c r="A588" s="208"/>
      <c r="B588" s="208"/>
      <c r="C588" s="208"/>
      <c r="D588" s="208"/>
      <c r="E588" s="208"/>
      <c r="F588" s="208"/>
      <c r="G588" s="208"/>
      <c r="H588" s="208"/>
      <c r="I588" s="208"/>
      <c r="J588" s="208"/>
      <c r="K588" s="208"/>
      <c r="L588" s="208"/>
      <c r="M588" s="208"/>
      <c r="N588" s="208"/>
      <c r="O588" s="208"/>
      <c r="P588" s="208"/>
      <c r="Q588" s="208"/>
      <c r="R588" s="208"/>
      <c r="S588" s="208"/>
      <c r="T588" s="208"/>
      <c r="U588" s="208"/>
      <c r="V588" s="208"/>
    </row>
    <row r="589" spans="1:22" ht="15.75" customHeight="1" x14ac:dyDescent="0.3">
      <c r="A589" s="208"/>
      <c r="B589" s="208"/>
      <c r="C589" s="208"/>
      <c r="D589" s="208"/>
      <c r="E589" s="208"/>
      <c r="F589" s="208"/>
      <c r="G589" s="208"/>
      <c r="H589" s="208"/>
      <c r="I589" s="208"/>
      <c r="J589" s="208"/>
      <c r="K589" s="208"/>
      <c r="L589" s="208"/>
      <c r="M589" s="208"/>
      <c r="N589" s="208"/>
      <c r="O589" s="208"/>
      <c r="P589" s="208"/>
      <c r="Q589" s="208"/>
      <c r="R589" s="208"/>
      <c r="S589" s="208"/>
      <c r="T589" s="208"/>
      <c r="U589" s="208"/>
      <c r="V589" s="208"/>
    </row>
    <row r="590" spans="1:22" ht="15.75" customHeight="1" x14ac:dyDescent="0.3">
      <c r="A590" s="208"/>
      <c r="B590" s="208"/>
      <c r="C590" s="208"/>
      <c r="D590" s="208"/>
      <c r="E590" s="208"/>
      <c r="F590" s="208"/>
      <c r="G590" s="208"/>
      <c r="H590" s="208"/>
      <c r="I590" s="208"/>
      <c r="J590" s="208"/>
      <c r="K590" s="208"/>
      <c r="L590" s="208"/>
      <c r="M590" s="208"/>
      <c r="N590" s="208"/>
      <c r="O590" s="208"/>
      <c r="P590" s="208"/>
      <c r="Q590" s="208"/>
      <c r="R590" s="208"/>
      <c r="S590" s="208"/>
      <c r="T590" s="208"/>
      <c r="U590" s="208"/>
      <c r="V590" s="208"/>
    </row>
    <row r="591" spans="1:22" ht="15.75" customHeight="1" x14ac:dyDescent="0.3">
      <c r="A591" s="208"/>
      <c r="B591" s="208"/>
      <c r="C591" s="208"/>
      <c r="D591" s="208"/>
      <c r="E591" s="208"/>
      <c r="F591" s="208"/>
      <c r="G591" s="208"/>
      <c r="H591" s="208"/>
      <c r="I591" s="208"/>
      <c r="J591" s="208"/>
      <c r="K591" s="208"/>
      <c r="L591" s="208"/>
      <c r="M591" s="208"/>
      <c r="N591" s="208"/>
      <c r="O591" s="208"/>
      <c r="P591" s="208"/>
      <c r="Q591" s="208"/>
      <c r="R591" s="208"/>
      <c r="S591" s="208"/>
      <c r="T591" s="208"/>
      <c r="U591" s="208"/>
      <c r="V591" s="208"/>
    </row>
    <row r="592" spans="1:22" ht="15.75" customHeight="1" x14ac:dyDescent="0.3">
      <c r="A592" s="208"/>
      <c r="B592" s="208"/>
      <c r="C592" s="208"/>
      <c r="D592" s="208"/>
      <c r="E592" s="208"/>
      <c r="F592" s="208"/>
      <c r="G592" s="208"/>
      <c r="H592" s="208"/>
      <c r="I592" s="208"/>
      <c r="J592" s="208"/>
      <c r="K592" s="208"/>
      <c r="L592" s="208"/>
      <c r="M592" s="208"/>
      <c r="N592" s="208"/>
      <c r="O592" s="208"/>
      <c r="P592" s="208"/>
      <c r="Q592" s="208"/>
      <c r="R592" s="208"/>
      <c r="S592" s="208"/>
      <c r="T592" s="208"/>
      <c r="U592" s="208"/>
      <c r="V592" s="208"/>
    </row>
    <row r="593" spans="1:22" ht="15.75" customHeight="1" x14ac:dyDescent="0.3">
      <c r="A593" s="208"/>
      <c r="B593" s="208"/>
      <c r="C593" s="208"/>
      <c r="D593" s="208"/>
      <c r="E593" s="208"/>
      <c r="F593" s="208"/>
      <c r="G593" s="208"/>
      <c r="H593" s="208"/>
      <c r="I593" s="208"/>
      <c r="J593" s="208"/>
      <c r="K593" s="208"/>
      <c r="L593" s="208"/>
      <c r="M593" s="208"/>
      <c r="N593" s="208"/>
      <c r="O593" s="208"/>
      <c r="P593" s="208"/>
      <c r="Q593" s="208"/>
      <c r="R593" s="208"/>
      <c r="S593" s="208"/>
      <c r="T593" s="208"/>
      <c r="U593" s="208"/>
      <c r="V593" s="208"/>
    </row>
    <row r="594" spans="1:22" ht="15.75" customHeight="1" x14ac:dyDescent="0.3">
      <c r="A594" s="208"/>
      <c r="B594" s="208"/>
      <c r="C594" s="208"/>
      <c r="D594" s="208"/>
      <c r="E594" s="208"/>
      <c r="F594" s="208"/>
      <c r="G594" s="208"/>
      <c r="H594" s="208"/>
      <c r="I594" s="208"/>
      <c r="J594" s="208"/>
      <c r="K594" s="208"/>
      <c r="L594" s="208"/>
      <c r="M594" s="208"/>
      <c r="N594" s="208"/>
      <c r="O594" s="208"/>
      <c r="P594" s="208"/>
      <c r="Q594" s="208"/>
      <c r="R594" s="208"/>
      <c r="S594" s="208"/>
      <c r="T594" s="208"/>
      <c r="U594" s="208"/>
      <c r="V594" s="208"/>
    </row>
    <row r="595" spans="1:22" ht="15.75" customHeight="1" x14ac:dyDescent="0.3">
      <c r="A595" s="208"/>
      <c r="B595" s="208"/>
      <c r="C595" s="208"/>
      <c r="D595" s="208"/>
      <c r="E595" s="208"/>
      <c r="F595" s="208"/>
      <c r="G595" s="208"/>
      <c r="H595" s="208"/>
      <c r="I595" s="208"/>
      <c r="J595" s="208"/>
      <c r="K595" s="208"/>
      <c r="L595" s="208"/>
      <c r="M595" s="208"/>
      <c r="N595" s="208"/>
      <c r="O595" s="208"/>
      <c r="P595" s="208"/>
      <c r="Q595" s="208"/>
      <c r="R595" s="208"/>
      <c r="S595" s="208"/>
      <c r="T595" s="208"/>
      <c r="U595" s="208"/>
      <c r="V595" s="208"/>
    </row>
    <row r="596" spans="1:22" ht="15.75" customHeight="1" x14ac:dyDescent="0.3">
      <c r="A596" s="208"/>
      <c r="B596" s="208"/>
      <c r="C596" s="208"/>
      <c r="D596" s="208"/>
      <c r="E596" s="208"/>
      <c r="F596" s="208"/>
      <c r="G596" s="208"/>
      <c r="H596" s="208"/>
      <c r="I596" s="208"/>
      <c r="J596" s="208"/>
      <c r="K596" s="208"/>
      <c r="L596" s="208"/>
      <c r="M596" s="208"/>
      <c r="N596" s="208"/>
      <c r="O596" s="208"/>
      <c r="P596" s="208"/>
      <c r="Q596" s="208"/>
      <c r="R596" s="208"/>
      <c r="S596" s="208"/>
      <c r="T596" s="208"/>
      <c r="U596" s="208"/>
      <c r="V596" s="208"/>
    </row>
    <row r="597" spans="1:22" ht="15.75" customHeight="1" x14ac:dyDescent="0.3">
      <c r="A597" s="208"/>
      <c r="B597" s="208"/>
      <c r="C597" s="208"/>
      <c r="D597" s="208"/>
      <c r="E597" s="208"/>
      <c r="F597" s="208"/>
      <c r="G597" s="208"/>
      <c r="H597" s="208"/>
      <c r="I597" s="208"/>
      <c r="J597" s="208"/>
      <c r="K597" s="208"/>
      <c r="L597" s="208"/>
      <c r="M597" s="208"/>
      <c r="N597" s="208"/>
      <c r="O597" s="208"/>
      <c r="P597" s="208"/>
      <c r="Q597" s="208"/>
      <c r="R597" s="208"/>
      <c r="S597" s="208"/>
      <c r="T597" s="208"/>
      <c r="U597" s="208"/>
      <c r="V597" s="208"/>
    </row>
    <row r="598" spans="1:22" ht="15.75" customHeight="1" x14ac:dyDescent="0.3">
      <c r="A598" s="208"/>
      <c r="B598" s="208"/>
      <c r="C598" s="208"/>
      <c r="D598" s="208"/>
      <c r="E598" s="208"/>
      <c r="F598" s="208"/>
      <c r="G598" s="208"/>
      <c r="H598" s="208"/>
      <c r="I598" s="208"/>
      <c r="J598" s="208"/>
      <c r="K598" s="208"/>
      <c r="L598" s="208"/>
      <c r="M598" s="208"/>
      <c r="N598" s="208"/>
      <c r="O598" s="208"/>
      <c r="P598" s="208"/>
      <c r="Q598" s="208"/>
      <c r="R598" s="208"/>
      <c r="S598" s="208"/>
      <c r="T598" s="208"/>
      <c r="U598" s="208"/>
      <c r="V598" s="208"/>
    </row>
    <row r="599" spans="1:22" ht="15.75" customHeight="1" x14ac:dyDescent="0.3">
      <c r="A599" s="208"/>
      <c r="B599" s="208"/>
      <c r="C599" s="208"/>
      <c r="D599" s="208"/>
      <c r="E599" s="208"/>
      <c r="F599" s="208"/>
      <c r="G599" s="208"/>
      <c r="H599" s="208"/>
      <c r="I599" s="208"/>
      <c r="J599" s="208"/>
      <c r="K599" s="208"/>
      <c r="L599" s="208"/>
      <c r="M599" s="208"/>
      <c r="N599" s="208"/>
      <c r="O599" s="208"/>
      <c r="P599" s="208"/>
      <c r="Q599" s="208"/>
      <c r="R599" s="208"/>
      <c r="S599" s="208"/>
      <c r="T599" s="208"/>
      <c r="U599" s="208"/>
      <c r="V599" s="208"/>
    </row>
    <row r="600" spans="1:22" ht="15.75" customHeight="1" x14ac:dyDescent="0.3">
      <c r="A600" s="208"/>
      <c r="B600" s="208"/>
      <c r="C600" s="208"/>
      <c r="D600" s="208"/>
      <c r="E600" s="208"/>
      <c r="F600" s="208"/>
      <c r="G600" s="208"/>
      <c r="H600" s="208"/>
      <c r="I600" s="208"/>
      <c r="J600" s="208"/>
      <c r="K600" s="208"/>
      <c r="L600" s="208"/>
      <c r="M600" s="208"/>
      <c r="N600" s="208"/>
      <c r="O600" s="208"/>
      <c r="P600" s="208"/>
      <c r="Q600" s="208"/>
      <c r="R600" s="208"/>
      <c r="S600" s="208"/>
      <c r="T600" s="208"/>
      <c r="U600" s="208"/>
      <c r="V600" s="208"/>
    </row>
    <row r="601" spans="1:22" ht="15.75" customHeight="1" x14ac:dyDescent="0.3">
      <c r="A601" s="208"/>
      <c r="B601" s="208"/>
      <c r="C601" s="208"/>
      <c r="D601" s="208"/>
      <c r="E601" s="208"/>
      <c r="F601" s="208"/>
      <c r="G601" s="208"/>
      <c r="H601" s="208"/>
      <c r="I601" s="208"/>
      <c r="J601" s="208"/>
      <c r="K601" s="208"/>
      <c r="L601" s="208"/>
      <c r="M601" s="208"/>
      <c r="N601" s="208"/>
      <c r="O601" s="208"/>
      <c r="P601" s="208"/>
      <c r="Q601" s="208"/>
      <c r="R601" s="208"/>
      <c r="S601" s="208"/>
      <c r="T601" s="208"/>
      <c r="U601" s="208"/>
      <c r="V601" s="208"/>
    </row>
    <row r="602" spans="1:22" ht="15.75" customHeight="1" x14ac:dyDescent="0.3">
      <c r="A602" s="208"/>
      <c r="B602" s="208"/>
      <c r="C602" s="208"/>
      <c r="D602" s="208"/>
      <c r="E602" s="208"/>
      <c r="F602" s="208"/>
      <c r="G602" s="208"/>
      <c r="H602" s="208"/>
      <c r="I602" s="208"/>
      <c r="J602" s="208"/>
      <c r="K602" s="208"/>
      <c r="L602" s="208"/>
      <c r="M602" s="208"/>
      <c r="N602" s="208"/>
      <c r="O602" s="208"/>
      <c r="P602" s="208"/>
      <c r="Q602" s="208"/>
      <c r="R602" s="208"/>
      <c r="S602" s="208"/>
      <c r="T602" s="208"/>
      <c r="U602" s="208"/>
      <c r="V602" s="208"/>
    </row>
    <row r="603" spans="1:22" ht="15.75" customHeight="1" x14ac:dyDescent="0.3">
      <c r="A603" s="208"/>
      <c r="B603" s="208"/>
      <c r="C603" s="208"/>
      <c r="D603" s="208"/>
      <c r="E603" s="208"/>
      <c r="F603" s="208"/>
      <c r="G603" s="208"/>
      <c r="H603" s="208"/>
      <c r="I603" s="208"/>
      <c r="J603" s="208"/>
      <c r="K603" s="208"/>
      <c r="L603" s="208"/>
      <c r="M603" s="208"/>
      <c r="N603" s="208"/>
      <c r="O603" s="208"/>
      <c r="P603" s="208"/>
      <c r="Q603" s="208"/>
      <c r="R603" s="208"/>
      <c r="S603" s="208"/>
      <c r="T603" s="208"/>
      <c r="U603" s="208"/>
      <c r="V603" s="208"/>
    </row>
    <row r="604" spans="1:22" ht="15.75" customHeight="1" x14ac:dyDescent="0.3">
      <c r="A604" s="208"/>
      <c r="B604" s="208"/>
      <c r="C604" s="208"/>
      <c r="D604" s="208"/>
      <c r="E604" s="208"/>
      <c r="F604" s="208"/>
      <c r="G604" s="208"/>
      <c r="H604" s="208"/>
      <c r="I604" s="208"/>
      <c r="J604" s="208"/>
      <c r="K604" s="208"/>
      <c r="L604" s="208"/>
      <c r="M604" s="208"/>
      <c r="N604" s="208"/>
      <c r="O604" s="208"/>
      <c r="P604" s="208"/>
      <c r="Q604" s="208"/>
      <c r="R604" s="208"/>
      <c r="S604" s="208"/>
      <c r="T604" s="208"/>
      <c r="U604" s="208"/>
      <c r="V604" s="208"/>
    </row>
    <row r="605" spans="1:22" ht="15.75" customHeight="1" x14ac:dyDescent="0.3">
      <c r="A605" s="208"/>
      <c r="B605" s="208"/>
      <c r="C605" s="208"/>
      <c r="D605" s="208"/>
      <c r="E605" s="208"/>
      <c r="F605" s="208"/>
      <c r="G605" s="208"/>
      <c r="H605" s="208"/>
      <c r="I605" s="208"/>
      <c r="J605" s="208"/>
      <c r="K605" s="208"/>
      <c r="L605" s="208"/>
      <c r="M605" s="208"/>
      <c r="N605" s="208"/>
      <c r="O605" s="208"/>
      <c r="P605" s="208"/>
      <c r="Q605" s="208"/>
      <c r="R605" s="208"/>
      <c r="S605" s="208"/>
      <c r="T605" s="208"/>
      <c r="U605" s="208"/>
      <c r="V605" s="208"/>
    </row>
    <row r="606" spans="1:22" ht="15.75" customHeight="1" x14ac:dyDescent="0.3">
      <c r="A606" s="208"/>
      <c r="B606" s="208"/>
      <c r="C606" s="208"/>
      <c r="D606" s="208"/>
      <c r="E606" s="208"/>
      <c r="F606" s="208"/>
      <c r="G606" s="208"/>
      <c r="H606" s="208"/>
      <c r="I606" s="208"/>
      <c r="J606" s="208"/>
      <c r="K606" s="208"/>
      <c r="L606" s="208"/>
      <c r="M606" s="208"/>
      <c r="N606" s="208"/>
      <c r="O606" s="208"/>
      <c r="P606" s="208"/>
      <c r="Q606" s="208"/>
      <c r="R606" s="208"/>
      <c r="S606" s="208"/>
      <c r="T606" s="208"/>
      <c r="U606" s="208"/>
      <c r="V606" s="208"/>
    </row>
    <row r="607" spans="1:22" ht="15.75" customHeight="1" x14ac:dyDescent="0.3">
      <c r="A607" s="208"/>
      <c r="B607" s="208"/>
      <c r="C607" s="208"/>
      <c r="D607" s="208"/>
      <c r="E607" s="208"/>
      <c r="F607" s="208"/>
      <c r="G607" s="208"/>
      <c r="H607" s="208"/>
      <c r="I607" s="208"/>
      <c r="J607" s="208"/>
      <c r="K607" s="208"/>
      <c r="L607" s="208"/>
      <c r="M607" s="208"/>
      <c r="N607" s="208"/>
      <c r="O607" s="208"/>
      <c r="P607" s="208"/>
      <c r="Q607" s="208"/>
      <c r="R607" s="208"/>
      <c r="S607" s="208"/>
      <c r="T607" s="208"/>
      <c r="U607" s="208"/>
      <c r="V607" s="208"/>
    </row>
    <row r="608" spans="1:22" ht="15.75" customHeight="1" x14ac:dyDescent="0.3">
      <c r="A608" s="208"/>
      <c r="B608" s="208"/>
      <c r="C608" s="208"/>
      <c r="D608" s="208"/>
      <c r="E608" s="208"/>
      <c r="F608" s="208"/>
      <c r="G608" s="208"/>
      <c r="H608" s="208"/>
      <c r="I608" s="208"/>
      <c r="J608" s="208"/>
      <c r="K608" s="208"/>
      <c r="L608" s="208"/>
      <c r="M608" s="208"/>
      <c r="N608" s="208"/>
      <c r="O608" s="208"/>
      <c r="P608" s="208"/>
      <c r="Q608" s="208"/>
      <c r="R608" s="208"/>
      <c r="S608" s="208"/>
      <c r="T608" s="208"/>
      <c r="U608" s="208"/>
      <c r="V608" s="208"/>
    </row>
    <row r="609" spans="1:22" ht="15.75" customHeight="1" x14ac:dyDescent="0.3">
      <c r="A609" s="208"/>
      <c r="B609" s="208"/>
      <c r="C609" s="208"/>
      <c r="D609" s="208"/>
      <c r="E609" s="208"/>
      <c r="F609" s="208"/>
      <c r="G609" s="208"/>
      <c r="H609" s="208"/>
      <c r="I609" s="208"/>
      <c r="J609" s="208"/>
      <c r="K609" s="208"/>
      <c r="L609" s="208"/>
      <c r="M609" s="208"/>
      <c r="N609" s="208"/>
      <c r="O609" s="208"/>
      <c r="P609" s="208"/>
      <c r="Q609" s="208"/>
      <c r="R609" s="208"/>
      <c r="S609" s="208"/>
      <c r="T609" s="208"/>
      <c r="U609" s="208"/>
      <c r="V609" s="208"/>
    </row>
    <row r="610" spans="1:22" ht="15.75" customHeight="1" x14ac:dyDescent="0.3">
      <c r="A610" s="208"/>
      <c r="B610" s="208"/>
      <c r="C610" s="208"/>
      <c r="D610" s="208"/>
      <c r="E610" s="208"/>
      <c r="F610" s="208"/>
      <c r="G610" s="208"/>
      <c r="H610" s="208"/>
      <c r="I610" s="208"/>
      <c r="J610" s="208"/>
      <c r="K610" s="208"/>
      <c r="L610" s="208"/>
      <c r="M610" s="208"/>
      <c r="N610" s="208"/>
      <c r="O610" s="208"/>
      <c r="P610" s="208"/>
      <c r="Q610" s="208"/>
      <c r="R610" s="208"/>
      <c r="S610" s="208"/>
      <c r="T610" s="208"/>
      <c r="U610" s="208"/>
      <c r="V610" s="208"/>
    </row>
    <row r="611" spans="1:22" ht="15.75" customHeight="1" x14ac:dyDescent="0.3">
      <c r="A611" s="208"/>
      <c r="B611" s="208"/>
      <c r="C611" s="208"/>
      <c r="D611" s="208"/>
      <c r="E611" s="208"/>
      <c r="F611" s="208"/>
      <c r="G611" s="208"/>
      <c r="H611" s="208"/>
      <c r="I611" s="208"/>
      <c r="J611" s="208"/>
      <c r="K611" s="208"/>
      <c r="L611" s="208"/>
      <c r="M611" s="208"/>
      <c r="N611" s="208"/>
      <c r="O611" s="208"/>
      <c r="P611" s="208"/>
      <c r="Q611" s="208"/>
      <c r="R611" s="208"/>
      <c r="S611" s="208"/>
      <c r="T611" s="208"/>
      <c r="U611" s="208"/>
      <c r="V611" s="208"/>
    </row>
    <row r="612" spans="1:22" ht="15.75" customHeight="1" x14ac:dyDescent="0.3">
      <c r="A612" s="208"/>
      <c r="B612" s="208"/>
      <c r="C612" s="208"/>
      <c r="D612" s="208"/>
      <c r="E612" s="208"/>
      <c r="F612" s="208"/>
      <c r="G612" s="208"/>
      <c r="H612" s="208"/>
      <c r="I612" s="208"/>
      <c r="J612" s="208"/>
      <c r="K612" s="208"/>
      <c r="L612" s="208"/>
      <c r="M612" s="208"/>
      <c r="N612" s="208"/>
      <c r="O612" s="208"/>
      <c r="P612" s="208"/>
      <c r="Q612" s="208"/>
      <c r="R612" s="208"/>
      <c r="S612" s="208"/>
      <c r="T612" s="208"/>
      <c r="U612" s="208"/>
      <c r="V612" s="208"/>
    </row>
    <row r="613" spans="1:22" ht="15.75" customHeight="1" x14ac:dyDescent="0.3">
      <c r="A613" s="208"/>
      <c r="B613" s="208"/>
      <c r="C613" s="208"/>
      <c r="D613" s="208"/>
      <c r="E613" s="208"/>
      <c r="F613" s="208"/>
      <c r="G613" s="208"/>
      <c r="H613" s="208"/>
      <c r="I613" s="208"/>
      <c r="J613" s="208"/>
      <c r="K613" s="208"/>
      <c r="L613" s="208"/>
      <c r="M613" s="208"/>
      <c r="N613" s="208"/>
      <c r="O613" s="208"/>
      <c r="P613" s="208"/>
      <c r="Q613" s="208"/>
      <c r="R613" s="208"/>
      <c r="S613" s="208"/>
      <c r="T613" s="208"/>
      <c r="U613" s="208"/>
      <c r="V613" s="208"/>
    </row>
    <row r="614" spans="1:22" ht="15.75" customHeight="1" x14ac:dyDescent="0.3">
      <c r="A614" s="208"/>
      <c r="B614" s="208"/>
      <c r="C614" s="208"/>
      <c r="D614" s="208"/>
      <c r="E614" s="208"/>
      <c r="F614" s="208"/>
      <c r="G614" s="208"/>
      <c r="H614" s="208"/>
      <c r="I614" s="208"/>
      <c r="J614" s="208"/>
      <c r="K614" s="208"/>
      <c r="L614" s="208"/>
      <c r="M614" s="208"/>
      <c r="N614" s="208"/>
      <c r="O614" s="208"/>
      <c r="P614" s="208"/>
      <c r="Q614" s="208"/>
      <c r="R614" s="208"/>
      <c r="S614" s="208"/>
      <c r="T614" s="208"/>
      <c r="U614" s="208"/>
      <c r="V614" s="208"/>
    </row>
    <row r="615" spans="1:22" ht="15.75" customHeight="1" x14ac:dyDescent="0.3">
      <c r="A615" s="208"/>
      <c r="B615" s="208"/>
      <c r="C615" s="208"/>
      <c r="D615" s="208"/>
      <c r="E615" s="208"/>
      <c r="F615" s="208"/>
      <c r="G615" s="208"/>
      <c r="H615" s="208"/>
      <c r="I615" s="208"/>
      <c r="J615" s="208"/>
      <c r="K615" s="208"/>
      <c r="L615" s="208"/>
      <c r="M615" s="208"/>
      <c r="N615" s="208"/>
      <c r="O615" s="208"/>
      <c r="P615" s="208"/>
      <c r="Q615" s="208"/>
      <c r="R615" s="208"/>
      <c r="S615" s="208"/>
      <c r="T615" s="208"/>
      <c r="U615" s="208"/>
      <c r="V615" s="208"/>
    </row>
    <row r="616" spans="1:22" ht="15.75" customHeight="1" x14ac:dyDescent="0.3">
      <c r="A616" s="208"/>
      <c r="B616" s="208"/>
      <c r="C616" s="208"/>
      <c r="D616" s="208"/>
      <c r="E616" s="208"/>
      <c r="F616" s="208"/>
      <c r="G616" s="208"/>
      <c r="H616" s="208"/>
      <c r="I616" s="208"/>
      <c r="J616" s="208"/>
      <c r="K616" s="208"/>
      <c r="L616" s="208"/>
      <c r="M616" s="208"/>
      <c r="N616" s="208"/>
      <c r="O616" s="208"/>
      <c r="P616" s="208"/>
      <c r="Q616" s="208"/>
      <c r="R616" s="208"/>
      <c r="S616" s="208"/>
      <c r="T616" s="208"/>
      <c r="U616" s="208"/>
      <c r="V616" s="208"/>
    </row>
    <row r="617" spans="1:22" ht="15.75" customHeight="1" x14ac:dyDescent="0.3">
      <c r="A617" s="208"/>
      <c r="B617" s="208"/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208"/>
      <c r="P617" s="208"/>
      <c r="Q617" s="208"/>
      <c r="R617" s="208"/>
      <c r="S617" s="208"/>
      <c r="T617" s="208"/>
      <c r="U617" s="208"/>
      <c r="V617" s="208"/>
    </row>
    <row r="618" spans="1:22" ht="15.75" customHeight="1" x14ac:dyDescent="0.3">
      <c r="A618" s="208"/>
      <c r="B618" s="208"/>
      <c r="C618" s="208"/>
      <c r="D618" s="208"/>
      <c r="E618" s="208"/>
      <c r="F618" s="208"/>
      <c r="G618" s="208"/>
      <c r="H618" s="208"/>
      <c r="I618" s="208"/>
      <c r="J618" s="208"/>
      <c r="K618" s="208"/>
      <c r="L618" s="208"/>
      <c r="M618" s="208"/>
      <c r="N618" s="208"/>
      <c r="O618" s="208"/>
      <c r="P618" s="208"/>
      <c r="Q618" s="208"/>
      <c r="R618" s="208"/>
      <c r="S618" s="208"/>
      <c r="T618" s="208"/>
      <c r="U618" s="208"/>
      <c r="V618" s="208"/>
    </row>
    <row r="619" spans="1:22" ht="15.75" customHeight="1" x14ac:dyDescent="0.3">
      <c r="A619" s="208"/>
      <c r="B619" s="208"/>
      <c r="C619" s="208"/>
      <c r="D619" s="208"/>
      <c r="E619" s="208"/>
      <c r="F619" s="208"/>
      <c r="G619" s="208"/>
      <c r="H619" s="208"/>
      <c r="I619" s="208"/>
      <c r="J619" s="208"/>
      <c r="K619" s="208"/>
      <c r="L619" s="208"/>
      <c r="M619" s="208"/>
      <c r="N619" s="208"/>
      <c r="O619" s="208"/>
      <c r="P619" s="208"/>
      <c r="Q619" s="208"/>
      <c r="R619" s="208"/>
      <c r="S619" s="208"/>
      <c r="T619" s="208"/>
      <c r="U619" s="208"/>
      <c r="V619" s="208"/>
    </row>
    <row r="620" spans="1:22" ht="15.75" customHeight="1" x14ac:dyDescent="0.3">
      <c r="A620" s="208"/>
      <c r="B620" s="208"/>
      <c r="C620" s="208"/>
      <c r="D620" s="208"/>
      <c r="E620" s="208"/>
      <c r="F620" s="208"/>
      <c r="G620" s="208"/>
      <c r="H620" s="208"/>
      <c r="I620" s="208"/>
      <c r="J620" s="208"/>
      <c r="K620" s="208"/>
      <c r="L620" s="208"/>
      <c r="M620" s="208"/>
      <c r="N620" s="208"/>
      <c r="O620" s="208"/>
      <c r="P620" s="208"/>
      <c r="Q620" s="208"/>
      <c r="R620" s="208"/>
      <c r="S620" s="208"/>
      <c r="T620" s="208"/>
      <c r="U620" s="208"/>
      <c r="V620" s="208"/>
    </row>
    <row r="621" spans="1:22" ht="15.75" customHeight="1" x14ac:dyDescent="0.3">
      <c r="A621" s="208"/>
      <c r="B621" s="208"/>
      <c r="C621" s="208"/>
      <c r="D621" s="208"/>
      <c r="E621" s="208"/>
      <c r="F621" s="208"/>
      <c r="G621" s="208"/>
      <c r="H621" s="208"/>
      <c r="I621" s="208"/>
      <c r="J621" s="208"/>
      <c r="K621" s="208"/>
      <c r="L621" s="208"/>
      <c r="M621" s="208"/>
      <c r="N621" s="208"/>
      <c r="O621" s="208"/>
      <c r="P621" s="208"/>
      <c r="Q621" s="208"/>
      <c r="R621" s="208"/>
      <c r="S621" s="208"/>
      <c r="T621" s="208"/>
      <c r="U621" s="208"/>
      <c r="V621" s="208"/>
    </row>
    <row r="622" spans="1:22" ht="15.75" customHeight="1" x14ac:dyDescent="0.3">
      <c r="A622" s="208"/>
      <c r="B622" s="208"/>
      <c r="C622" s="208"/>
      <c r="D622" s="208"/>
      <c r="E622" s="208"/>
      <c r="F622" s="208"/>
      <c r="G622" s="208"/>
      <c r="H622" s="208"/>
      <c r="I622" s="208"/>
      <c r="J622" s="208"/>
      <c r="K622" s="208"/>
      <c r="L622" s="208"/>
      <c r="M622" s="208"/>
      <c r="N622" s="208"/>
      <c r="O622" s="208"/>
      <c r="P622" s="208"/>
      <c r="Q622" s="208"/>
      <c r="R622" s="208"/>
      <c r="S622" s="208"/>
      <c r="T622" s="208"/>
      <c r="U622" s="208"/>
      <c r="V622" s="208"/>
    </row>
    <row r="623" spans="1:22" ht="15.75" customHeight="1" x14ac:dyDescent="0.3">
      <c r="A623" s="208"/>
      <c r="B623" s="208"/>
      <c r="C623" s="208"/>
      <c r="D623" s="208"/>
      <c r="E623" s="208"/>
      <c r="F623" s="208"/>
      <c r="G623" s="208"/>
      <c r="H623" s="208"/>
      <c r="I623" s="208"/>
      <c r="J623" s="208"/>
      <c r="K623" s="208"/>
      <c r="L623" s="208"/>
      <c r="M623" s="208"/>
      <c r="N623" s="208"/>
      <c r="O623" s="208"/>
      <c r="P623" s="208"/>
      <c r="Q623" s="208"/>
      <c r="R623" s="208"/>
      <c r="S623" s="208"/>
      <c r="T623" s="208"/>
      <c r="U623" s="208"/>
      <c r="V623" s="208"/>
    </row>
    <row r="624" spans="1:22" ht="15.75" customHeight="1" x14ac:dyDescent="0.3">
      <c r="A624" s="208"/>
      <c r="B624" s="208"/>
      <c r="C624" s="208"/>
      <c r="D624" s="208"/>
      <c r="E624" s="208"/>
      <c r="F624" s="208"/>
      <c r="G624" s="208"/>
      <c r="H624" s="208"/>
      <c r="I624" s="208"/>
      <c r="J624" s="208"/>
      <c r="K624" s="208"/>
      <c r="L624" s="208"/>
      <c r="M624" s="208"/>
      <c r="N624" s="208"/>
      <c r="O624" s="208"/>
      <c r="P624" s="208"/>
      <c r="Q624" s="208"/>
      <c r="R624" s="208"/>
      <c r="S624" s="208"/>
      <c r="T624" s="208"/>
      <c r="U624" s="208"/>
      <c r="V624" s="208"/>
    </row>
    <row r="625" spans="1:22" ht="15.75" customHeight="1" x14ac:dyDescent="0.3">
      <c r="A625" s="208"/>
      <c r="B625" s="208"/>
      <c r="C625" s="208"/>
      <c r="D625" s="208"/>
      <c r="E625" s="208"/>
      <c r="F625" s="208"/>
      <c r="G625" s="208"/>
      <c r="H625" s="208"/>
      <c r="I625" s="208"/>
      <c r="J625" s="208"/>
      <c r="K625" s="208"/>
      <c r="L625" s="208"/>
      <c r="M625" s="208"/>
      <c r="N625" s="208"/>
      <c r="O625" s="208"/>
      <c r="P625" s="208"/>
      <c r="Q625" s="208"/>
      <c r="R625" s="208"/>
      <c r="S625" s="208"/>
      <c r="T625" s="208"/>
      <c r="U625" s="208"/>
      <c r="V625" s="208"/>
    </row>
    <row r="626" spans="1:22" ht="15.75" customHeight="1" x14ac:dyDescent="0.3">
      <c r="A626" s="208"/>
      <c r="B626" s="208"/>
      <c r="C626" s="208"/>
      <c r="D626" s="208"/>
      <c r="E626" s="208"/>
      <c r="F626" s="208"/>
      <c r="G626" s="208"/>
      <c r="H626" s="208"/>
      <c r="I626" s="208"/>
      <c r="J626" s="208"/>
      <c r="K626" s="208"/>
      <c r="L626" s="208"/>
      <c r="M626" s="208"/>
      <c r="N626" s="208"/>
      <c r="O626" s="208"/>
      <c r="P626" s="208"/>
      <c r="Q626" s="208"/>
      <c r="R626" s="208"/>
      <c r="S626" s="208"/>
      <c r="T626" s="208"/>
      <c r="U626" s="208"/>
      <c r="V626" s="208"/>
    </row>
    <row r="627" spans="1:22" ht="15.75" customHeight="1" x14ac:dyDescent="0.3">
      <c r="A627" s="208"/>
      <c r="B627" s="208"/>
      <c r="C627" s="208"/>
      <c r="D627" s="208"/>
      <c r="E627" s="208"/>
      <c r="F627" s="208"/>
      <c r="G627" s="208"/>
      <c r="H627" s="208"/>
      <c r="I627" s="208"/>
      <c r="J627" s="208"/>
      <c r="K627" s="208"/>
      <c r="L627" s="208"/>
      <c r="M627" s="208"/>
      <c r="N627" s="208"/>
      <c r="O627" s="208"/>
      <c r="P627" s="208"/>
      <c r="Q627" s="208"/>
      <c r="R627" s="208"/>
      <c r="S627" s="208"/>
      <c r="T627" s="208"/>
      <c r="U627" s="208"/>
      <c r="V627" s="208"/>
    </row>
    <row r="628" spans="1:22" ht="15.75" customHeight="1" x14ac:dyDescent="0.3">
      <c r="A628" s="208"/>
      <c r="B628" s="208"/>
      <c r="C628" s="208"/>
      <c r="D628" s="208"/>
      <c r="E628" s="208"/>
      <c r="F628" s="208"/>
      <c r="G628" s="208"/>
      <c r="H628" s="208"/>
      <c r="I628" s="208"/>
      <c r="J628" s="208"/>
      <c r="K628" s="208"/>
      <c r="L628" s="208"/>
      <c r="M628" s="208"/>
      <c r="N628" s="208"/>
      <c r="O628" s="208"/>
      <c r="P628" s="208"/>
      <c r="Q628" s="208"/>
      <c r="R628" s="208"/>
      <c r="S628" s="208"/>
      <c r="T628" s="208"/>
      <c r="U628" s="208"/>
      <c r="V628" s="208"/>
    </row>
    <row r="629" spans="1:22" ht="15.75" customHeight="1" x14ac:dyDescent="0.3">
      <c r="A629" s="208"/>
      <c r="B629" s="208"/>
      <c r="C629" s="208"/>
      <c r="D629" s="208"/>
      <c r="E629" s="208"/>
      <c r="F629" s="208"/>
      <c r="G629" s="208"/>
      <c r="H629" s="208"/>
      <c r="I629" s="208"/>
      <c r="J629" s="208"/>
      <c r="K629" s="208"/>
      <c r="L629" s="208"/>
      <c r="M629" s="208"/>
      <c r="N629" s="208"/>
      <c r="O629" s="208"/>
      <c r="P629" s="208"/>
      <c r="Q629" s="208"/>
      <c r="R629" s="208"/>
      <c r="S629" s="208"/>
      <c r="T629" s="208"/>
      <c r="U629" s="208"/>
      <c r="V629" s="208"/>
    </row>
    <row r="630" spans="1:22" ht="15.75" customHeight="1" x14ac:dyDescent="0.3">
      <c r="A630" s="208"/>
      <c r="B630" s="208"/>
      <c r="C630" s="208"/>
      <c r="D630" s="208"/>
      <c r="E630" s="208"/>
      <c r="F630" s="208"/>
      <c r="G630" s="208"/>
      <c r="H630" s="208"/>
      <c r="I630" s="208"/>
      <c r="J630" s="208"/>
      <c r="K630" s="208"/>
      <c r="L630" s="208"/>
      <c r="M630" s="208"/>
      <c r="N630" s="208"/>
      <c r="O630" s="208"/>
      <c r="P630" s="208"/>
      <c r="Q630" s="208"/>
      <c r="R630" s="208"/>
      <c r="S630" s="208"/>
      <c r="T630" s="208"/>
      <c r="U630" s="208"/>
      <c r="V630" s="208"/>
    </row>
    <row r="631" spans="1:22" ht="15.75" customHeight="1" x14ac:dyDescent="0.3">
      <c r="A631" s="208"/>
      <c r="B631" s="208"/>
      <c r="C631" s="208"/>
      <c r="D631" s="208"/>
      <c r="E631" s="208"/>
      <c r="F631" s="208"/>
      <c r="G631" s="208"/>
      <c r="H631" s="208"/>
      <c r="I631" s="208"/>
      <c r="J631" s="208"/>
      <c r="K631" s="208"/>
      <c r="L631" s="208"/>
      <c r="M631" s="208"/>
      <c r="N631" s="208"/>
      <c r="O631" s="208"/>
      <c r="P631" s="208"/>
      <c r="Q631" s="208"/>
      <c r="R631" s="208"/>
      <c r="S631" s="208"/>
      <c r="T631" s="208"/>
      <c r="U631" s="208"/>
      <c r="V631" s="208"/>
    </row>
    <row r="632" spans="1:22" ht="15.75" customHeight="1" x14ac:dyDescent="0.3">
      <c r="A632" s="208"/>
      <c r="B632" s="208"/>
      <c r="C632" s="208"/>
      <c r="D632" s="208"/>
      <c r="E632" s="208"/>
      <c r="F632" s="208"/>
      <c r="G632" s="208"/>
      <c r="H632" s="208"/>
      <c r="I632" s="208"/>
      <c r="J632" s="208"/>
      <c r="K632" s="208"/>
      <c r="L632" s="208"/>
      <c r="M632" s="208"/>
      <c r="N632" s="208"/>
      <c r="O632" s="208"/>
      <c r="P632" s="208"/>
      <c r="Q632" s="208"/>
      <c r="R632" s="208"/>
      <c r="S632" s="208"/>
      <c r="T632" s="208"/>
      <c r="U632" s="208"/>
      <c r="V632" s="208"/>
    </row>
    <row r="633" spans="1:22" ht="15.75" customHeight="1" x14ac:dyDescent="0.3">
      <c r="A633" s="208"/>
      <c r="B633" s="208"/>
      <c r="C633" s="208"/>
      <c r="D633" s="208"/>
      <c r="E633" s="208"/>
      <c r="F633" s="208"/>
      <c r="G633" s="208"/>
      <c r="H633" s="208"/>
      <c r="I633" s="208"/>
      <c r="J633" s="208"/>
      <c r="K633" s="208"/>
      <c r="L633" s="208"/>
      <c r="M633" s="208"/>
      <c r="N633" s="208"/>
      <c r="O633" s="208"/>
      <c r="P633" s="208"/>
      <c r="Q633" s="208"/>
      <c r="R633" s="208"/>
      <c r="S633" s="208"/>
      <c r="T633" s="208"/>
      <c r="U633" s="208"/>
      <c r="V633" s="208"/>
    </row>
    <row r="634" spans="1:22" ht="15.75" customHeight="1" x14ac:dyDescent="0.3">
      <c r="A634" s="208"/>
      <c r="B634" s="208"/>
      <c r="C634" s="208"/>
      <c r="D634" s="208"/>
      <c r="E634" s="208"/>
      <c r="F634" s="208"/>
      <c r="G634" s="208"/>
      <c r="H634" s="208"/>
      <c r="I634" s="208"/>
      <c r="J634" s="208"/>
      <c r="K634" s="208"/>
      <c r="L634" s="208"/>
      <c r="M634" s="208"/>
      <c r="N634" s="208"/>
      <c r="O634" s="208"/>
      <c r="P634" s="208"/>
      <c r="Q634" s="208"/>
      <c r="R634" s="208"/>
      <c r="S634" s="208"/>
      <c r="T634" s="208"/>
      <c r="U634" s="208"/>
      <c r="V634" s="208"/>
    </row>
    <row r="635" spans="1:22" ht="15.75" customHeight="1" x14ac:dyDescent="0.3">
      <c r="A635" s="208"/>
      <c r="B635" s="208"/>
      <c r="C635" s="208"/>
      <c r="D635" s="208"/>
      <c r="E635" s="208"/>
      <c r="F635" s="208"/>
      <c r="G635" s="208"/>
      <c r="H635" s="208"/>
      <c r="I635" s="208"/>
      <c r="J635" s="208"/>
      <c r="K635" s="208"/>
      <c r="L635" s="208"/>
      <c r="M635" s="208"/>
      <c r="N635" s="208"/>
      <c r="O635" s="208"/>
      <c r="P635" s="208"/>
      <c r="Q635" s="208"/>
      <c r="R635" s="208"/>
      <c r="S635" s="208"/>
      <c r="T635" s="208"/>
      <c r="U635" s="208"/>
      <c r="V635" s="208"/>
    </row>
    <row r="636" spans="1:22" ht="15.75" customHeight="1" x14ac:dyDescent="0.3">
      <c r="A636" s="208"/>
      <c r="B636" s="208"/>
      <c r="C636" s="208"/>
      <c r="D636" s="208"/>
      <c r="E636" s="208"/>
      <c r="F636" s="208"/>
      <c r="G636" s="208"/>
      <c r="H636" s="208"/>
      <c r="I636" s="208"/>
      <c r="J636" s="208"/>
      <c r="K636" s="208"/>
      <c r="L636" s="208"/>
      <c r="M636" s="208"/>
      <c r="N636" s="208"/>
      <c r="O636" s="208"/>
      <c r="P636" s="208"/>
      <c r="Q636" s="208"/>
      <c r="R636" s="208"/>
      <c r="S636" s="208"/>
      <c r="T636" s="208"/>
      <c r="U636" s="208"/>
      <c r="V636" s="208"/>
    </row>
    <row r="637" spans="1:22" ht="15.75" customHeight="1" x14ac:dyDescent="0.3">
      <c r="A637" s="208"/>
      <c r="B637" s="208"/>
      <c r="C637" s="208"/>
      <c r="D637" s="208"/>
      <c r="E637" s="208"/>
      <c r="F637" s="208"/>
      <c r="G637" s="208"/>
      <c r="H637" s="208"/>
      <c r="I637" s="208"/>
      <c r="J637" s="208"/>
      <c r="K637" s="208"/>
      <c r="L637" s="208"/>
      <c r="M637" s="208"/>
      <c r="N637" s="208"/>
      <c r="O637" s="208"/>
      <c r="P637" s="208"/>
      <c r="Q637" s="208"/>
      <c r="R637" s="208"/>
      <c r="S637" s="208"/>
      <c r="T637" s="208"/>
      <c r="U637" s="208"/>
      <c r="V637" s="208"/>
    </row>
    <row r="638" spans="1:22" ht="15.75" customHeight="1" x14ac:dyDescent="0.3">
      <c r="A638" s="208"/>
      <c r="B638" s="208"/>
      <c r="C638" s="208"/>
      <c r="D638" s="208"/>
      <c r="E638" s="208"/>
      <c r="F638" s="208"/>
      <c r="G638" s="208"/>
      <c r="H638" s="208"/>
      <c r="I638" s="208"/>
      <c r="J638" s="208"/>
      <c r="K638" s="208"/>
      <c r="L638" s="208"/>
      <c r="M638" s="208"/>
      <c r="N638" s="208"/>
      <c r="O638" s="208"/>
      <c r="P638" s="208"/>
      <c r="Q638" s="208"/>
      <c r="R638" s="208"/>
      <c r="S638" s="208"/>
      <c r="T638" s="208"/>
      <c r="U638" s="208"/>
      <c r="V638" s="208"/>
    </row>
    <row r="639" spans="1:22" ht="15.75" customHeight="1" x14ac:dyDescent="0.3">
      <c r="A639" s="208"/>
      <c r="B639" s="208"/>
      <c r="C639" s="208"/>
      <c r="D639" s="208"/>
      <c r="E639" s="208"/>
      <c r="F639" s="208"/>
      <c r="G639" s="208"/>
      <c r="H639" s="208"/>
      <c r="I639" s="208"/>
      <c r="J639" s="208"/>
      <c r="K639" s="208"/>
      <c r="L639" s="208"/>
      <c r="M639" s="208"/>
      <c r="N639" s="208"/>
      <c r="O639" s="208"/>
      <c r="P639" s="208"/>
      <c r="Q639" s="208"/>
      <c r="R639" s="208"/>
      <c r="S639" s="208"/>
      <c r="T639" s="208"/>
      <c r="U639" s="208"/>
      <c r="V639" s="208"/>
    </row>
    <row r="640" spans="1:22" ht="15.75" customHeight="1" x14ac:dyDescent="0.3">
      <c r="A640" s="208"/>
      <c r="B640" s="208"/>
      <c r="C640" s="208"/>
      <c r="D640" s="208"/>
      <c r="E640" s="208"/>
      <c r="F640" s="208"/>
      <c r="G640" s="208"/>
      <c r="H640" s="208"/>
      <c r="I640" s="208"/>
      <c r="J640" s="208"/>
      <c r="K640" s="208"/>
      <c r="L640" s="208"/>
      <c r="M640" s="208"/>
      <c r="N640" s="208"/>
      <c r="O640" s="208"/>
      <c r="P640" s="208"/>
      <c r="Q640" s="208"/>
      <c r="R640" s="208"/>
      <c r="S640" s="208"/>
      <c r="T640" s="208"/>
      <c r="U640" s="208"/>
      <c r="V640" s="208"/>
    </row>
    <row r="641" spans="1:22" ht="15.75" customHeight="1" x14ac:dyDescent="0.3">
      <c r="A641" s="208"/>
      <c r="B641" s="208"/>
      <c r="C641" s="208"/>
      <c r="D641" s="208"/>
      <c r="E641" s="208"/>
      <c r="F641" s="208"/>
      <c r="G641" s="208"/>
      <c r="H641" s="208"/>
      <c r="I641" s="208"/>
      <c r="J641" s="208"/>
      <c r="K641" s="208"/>
      <c r="L641" s="208"/>
      <c r="M641" s="208"/>
      <c r="N641" s="208"/>
      <c r="O641" s="208"/>
      <c r="P641" s="208"/>
      <c r="Q641" s="208"/>
      <c r="R641" s="208"/>
      <c r="S641" s="208"/>
      <c r="T641" s="208"/>
      <c r="U641" s="208"/>
      <c r="V641" s="208"/>
    </row>
    <row r="642" spans="1:22" ht="15.75" customHeight="1" x14ac:dyDescent="0.3">
      <c r="A642" s="208"/>
      <c r="B642" s="208"/>
      <c r="C642" s="208"/>
      <c r="D642" s="208"/>
      <c r="E642" s="208"/>
      <c r="F642" s="208"/>
      <c r="G642" s="208"/>
      <c r="H642" s="208"/>
      <c r="I642" s="208"/>
      <c r="J642" s="208"/>
      <c r="K642" s="208"/>
      <c r="L642" s="208"/>
      <c r="M642" s="208"/>
      <c r="N642" s="208"/>
      <c r="O642" s="208"/>
      <c r="P642" s="208"/>
      <c r="Q642" s="208"/>
      <c r="R642" s="208"/>
      <c r="S642" s="208"/>
      <c r="T642" s="208"/>
      <c r="U642" s="208"/>
      <c r="V642" s="208"/>
    </row>
    <row r="643" spans="1:22" ht="15.75" customHeight="1" x14ac:dyDescent="0.3">
      <c r="A643" s="208"/>
      <c r="B643" s="208"/>
      <c r="C643" s="208"/>
      <c r="D643" s="208"/>
      <c r="E643" s="208"/>
      <c r="F643" s="208"/>
      <c r="G643" s="208"/>
      <c r="H643" s="208"/>
      <c r="I643" s="208"/>
      <c r="J643" s="208"/>
      <c r="K643" s="208"/>
      <c r="L643" s="208"/>
      <c r="M643" s="208"/>
      <c r="N643" s="208"/>
      <c r="O643" s="208"/>
      <c r="P643" s="208"/>
      <c r="Q643" s="208"/>
      <c r="R643" s="208"/>
      <c r="S643" s="208"/>
      <c r="T643" s="208"/>
      <c r="U643" s="208"/>
      <c r="V643" s="208"/>
    </row>
    <row r="644" spans="1:22" ht="15.75" customHeight="1" x14ac:dyDescent="0.3">
      <c r="A644" s="208"/>
      <c r="B644" s="208"/>
      <c r="C644" s="208"/>
      <c r="D644" s="208"/>
      <c r="E644" s="208"/>
      <c r="F644" s="208"/>
      <c r="G644" s="208"/>
      <c r="H644" s="208"/>
      <c r="I644" s="208"/>
      <c r="J644" s="208"/>
      <c r="K644" s="208"/>
      <c r="L644" s="208"/>
      <c r="M644" s="208"/>
      <c r="N644" s="208"/>
      <c r="O644" s="208"/>
      <c r="P644" s="208"/>
      <c r="Q644" s="208"/>
      <c r="R644" s="208"/>
      <c r="S644" s="208"/>
      <c r="T644" s="208"/>
      <c r="U644" s="208"/>
      <c r="V644" s="208"/>
    </row>
    <row r="645" spans="1:22" ht="15.75" customHeight="1" x14ac:dyDescent="0.3">
      <c r="A645" s="208"/>
      <c r="B645" s="208"/>
      <c r="C645" s="208"/>
      <c r="D645" s="208"/>
      <c r="E645" s="208"/>
      <c r="F645" s="208"/>
      <c r="G645" s="208"/>
      <c r="H645" s="208"/>
      <c r="I645" s="208"/>
      <c r="J645" s="208"/>
      <c r="K645" s="208"/>
      <c r="L645" s="208"/>
      <c r="M645" s="208"/>
      <c r="N645" s="208"/>
      <c r="O645" s="208"/>
      <c r="P645" s="208"/>
      <c r="Q645" s="208"/>
      <c r="R645" s="208"/>
      <c r="S645" s="208"/>
      <c r="T645" s="208"/>
      <c r="U645" s="208"/>
      <c r="V645" s="208"/>
    </row>
    <row r="646" spans="1:22" ht="15.75" customHeight="1" x14ac:dyDescent="0.3">
      <c r="A646" s="208"/>
      <c r="B646" s="208"/>
      <c r="C646" s="208"/>
      <c r="D646" s="208"/>
      <c r="E646" s="208"/>
      <c r="F646" s="208"/>
      <c r="G646" s="208"/>
      <c r="H646" s="208"/>
      <c r="I646" s="208"/>
      <c r="J646" s="208"/>
      <c r="K646" s="208"/>
      <c r="L646" s="208"/>
      <c r="M646" s="208"/>
      <c r="N646" s="208"/>
      <c r="O646" s="208"/>
      <c r="P646" s="208"/>
      <c r="Q646" s="208"/>
      <c r="R646" s="208"/>
      <c r="S646" s="208"/>
      <c r="T646" s="208"/>
      <c r="U646" s="208"/>
      <c r="V646" s="208"/>
    </row>
    <row r="647" spans="1:22" ht="15.75" customHeight="1" x14ac:dyDescent="0.3">
      <c r="A647" s="208"/>
      <c r="B647" s="208"/>
      <c r="C647" s="208"/>
      <c r="D647" s="208"/>
      <c r="E647" s="208"/>
      <c r="F647" s="208"/>
      <c r="G647" s="208"/>
      <c r="H647" s="208"/>
      <c r="I647" s="208"/>
      <c r="J647" s="208"/>
      <c r="K647" s="208"/>
      <c r="L647" s="208"/>
      <c r="M647" s="208"/>
      <c r="N647" s="208"/>
      <c r="O647" s="208"/>
      <c r="P647" s="208"/>
      <c r="Q647" s="208"/>
      <c r="R647" s="208"/>
      <c r="S647" s="208"/>
      <c r="T647" s="208"/>
      <c r="U647" s="208"/>
      <c r="V647" s="208"/>
    </row>
    <row r="648" spans="1:22" ht="15.75" customHeight="1" x14ac:dyDescent="0.3">
      <c r="A648" s="208"/>
      <c r="B648" s="208"/>
      <c r="C648" s="208"/>
      <c r="D648" s="208"/>
      <c r="E648" s="208"/>
      <c r="F648" s="208"/>
      <c r="G648" s="208"/>
      <c r="H648" s="208"/>
      <c r="I648" s="208"/>
      <c r="J648" s="208"/>
      <c r="K648" s="208"/>
      <c r="L648" s="208"/>
      <c r="M648" s="208"/>
      <c r="N648" s="208"/>
      <c r="O648" s="208"/>
      <c r="P648" s="208"/>
      <c r="Q648" s="208"/>
      <c r="R648" s="208"/>
      <c r="S648" s="208"/>
      <c r="T648" s="208"/>
      <c r="U648" s="208"/>
      <c r="V648" s="208"/>
    </row>
    <row r="649" spans="1:22" ht="15.75" customHeight="1" x14ac:dyDescent="0.3">
      <c r="A649" s="208"/>
      <c r="B649" s="208"/>
      <c r="C649" s="208"/>
      <c r="D649" s="208"/>
      <c r="E649" s="208"/>
      <c r="F649" s="208"/>
      <c r="G649" s="208"/>
      <c r="H649" s="208"/>
      <c r="I649" s="208"/>
      <c r="J649" s="208"/>
      <c r="K649" s="208"/>
      <c r="L649" s="208"/>
      <c r="M649" s="208"/>
      <c r="N649" s="208"/>
      <c r="O649" s="208"/>
      <c r="P649" s="208"/>
      <c r="Q649" s="208"/>
      <c r="R649" s="208"/>
      <c r="S649" s="208"/>
      <c r="T649" s="208"/>
      <c r="U649" s="208"/>
      <c r="V649" s="208"/>
    </row>
    <row r="650" spans="1:22" ht="15.75" customHeight="1" x14ac:dyDescent="0.3">
      <c r="A650" s="208"/>
      <c r="B650" s="208"/>
      <c r="C650" s="208"/>
      <c r="D650" s="208"/>
      <c r="E650" s="208"/>
      <c r="F650" s="208"/>
      <c r="G650" s="208"/>
      <c r="H650" s="208"/>
      <c r="I650" s="208"/>
      <c r="J650" s="208"/>
      <c r="K650" s="208"/>
      <c r="L650" s="208"/>
      <c r="M650" s="208"/>
      <c r="N650" s="208"/>
      <c r="O650" s="208"/>
      <c r="P650" s="208"/>
      <c r="Q650" s="208"/>
      <c r="R650" s="208"/>
      <c r="S650" s="208"/>
      <c r="T650" s="208"/>
      <c r="U650" s="208"/>
      <c r="V650" s="208"/>
    </row>
    <row r="651" spans="1:22" ht="15.75" customHeight="1" x14ac:dyDescent="0.3">
      <c r="A651" s="208"/>
      <c r="B651" s="208"/>
      <c r="C651" s="208"/>
      <c r="D651" s="208"/>
      <c r="E651" s="208"/>
      <c r="F651" s="208"/>
      <c r="G651" s="208"/>
      <c r="H651" s="208"/>
      <c r="I651" s="208"/>
      <c r="J651" s="208"/>
      <c r="K651" s="208"/>
      <c r="L651" s="208"/>
      <c r="M651" s="208"/>
      <c r="N651" s="208"/>
      <c r="O651" s="208"/>
      <c r="P651" s="208"/>
      <c r="Q651" s="208"/>
      <c r="R651" s="208"/>
      <c r="S651" s="208"/>
      <c r="T651" s="208"/>
      <c r="U651" s="208"/>
      <c r="V651" s="208"/>
    </row>
    <row r="652" spans="1:22" ht="15.75" customHeight="1" x14ac:dyDescent="0.3">
      <c r="A652" s="208"/>
      <c r="B652" s="208"/>
      <c r="C652" s="208"/>
      <c r="D652" s="208"/>
      <c r="E652" s="208"/>
      <c r="F652" s="208"/>
      <c r="G652" s="208"/>
      <c r="H652" s="208"/>
      <c r="I652" s="208"/>
      <c r="J652" s="208"/>
      <c r="K652" s="208"/>
      <c r="L652" s="208"/>
      <c r="M652" s="208"/>
      <c r="N652" s="208"/>
      <c r="O652" s="208"/>
      <c r="P652" s="208"/>
      <c r="Q652" s="208"/>
      <c r="R652" s="208"/>
      <c r="S652" s="208"/>
      <c r="T652" s="208"/>
      <c r="U652" s="208"/>
      <c r="V652" s="208"/>
    </row>
    <row r="653" spans="1:22" ht="15.75" customHeight="1" x14ac:dyDescent="0.3">
      <c r="A653" s="208"/>
      <c r="B653" s="208"/>
      <c r="C653" s="208"/>
      <c r="D653" s="208"/>
      <c r="E653" s="208"/>
      <c r="F653" s="208"/>
      <c r="G653" s="208"/>
      <c r="H653" s="208"/>
      <c r="I653" s="208"/>
      <c r="J653" s="208"/>
      <c r="K653" s="208"/>
      <c r="L653" s="208"/>
      <c r="M653" s="208"/>
      <c r="N653" s="208"/>
      <c r="O653" s="208"/>
      <c r="P653" s="208"/>
      <c r="Q653" s="208"/>
      <c r="R653" s="208"/>
      <c r="S653" s="208"/>
      <c r="T653" s="208"/>
      <c r="U653" s="208"/>
      <c r="V653" s="208"/>
    </row>
    <row r="654" spans="1:22" ht="15.75" customHeight="1" x14ac:dyDescent="0.3">
      <c r="A654" s="208"/>
      <c r="B654" s="208"/>
      <c r="C654" s="208"/>
      <c r="D654" s="208"/>
      <c r="E654" s="208"/>
      <c r="F654" s="208"/>
      <c r="G654" s="208"/>
      <c r="H654" s="208"/>
      <c r="I654" s="208"/>
      <c r="J654" s="208"/>
      <c r="K654" s="208"/>
      <c r="L654" s="208"/>
      <c r="M654" s="208"/>
      <c r="N654" s="208"/>
      <c r="O654" s="208"/>
      <c r="P654" s="208"/>
      <c r="Q654" s="208"/>
      <c r="R654" s="208"/>
      <c r="S654" s="208"/>
      <c r="T654" s="208"/>
      <c r="U654" s="208"/>
      <c r="V654" s="208"/>
    </row>
    <row r="655" spans="1:22" ht="15.75" customHeight="1" x14ac:dyDescent="0.3">
      <c r="A655" s="208"/>
      <c r="B655" s="208"/>
      <c r="C655" s="208"/>
      <c r="D655" s="208"/>
      <c r="E655" s="208"/>
      <c r="F655" s="208"/>
      <c r="G655" s="208"/>
      <c r="H655" s="208"/>
      <c r="I655" s="208"/>
      <c r="J655" s="208"/>
      <c r="K655" s="208"/>
      <c r="L655" s="208"/>
      <c r="M655" s="208"/>
      <c r="N655" s="208"/>
      <c r="O655" s="208"/>
      <c r="P655" s="208"/>
      <c r="Q655" s="208"/>
      <c r="R655" s="208"/>
      <c r="S655" s="208"/>
      <c r="T655" s="208"/>
      <c r="U655" s="208"/>
      <c r="V655" s="208"/>
    </row>
    <row r="656" spans="1:22" ht="15.75" customHeight="1" x14ac:dyDescent="0.3">
      <c r="A656" s="208"/>
      <c r="B656" s="208"/>
      <c r="C656" s="208"/>
      <c r="D656" s="208"/>
      <c r="E656" s="208"/>
      <c r="F656" s="208"/>
      <c r="G656" s="208"/>
      <c r="H656" s="208"/>
      <c r="I656" s="208"/>
      <c r="J656" s="208"/>
      <c r="K656" s="208"/>
      <c r="L656" s="208"/>
      <c r="M656" s="208"/>
      <c r="N656" s="208"/>
      <c r="O656" s="208"/>
      <c r="P656" s="208"/>
      <c r="Q656" s="208"/>
      <c r="R656" s="208"/>
      <c r="S656" s="208"/>
      <c r="T656" s="208"/>
      <c r="U656" s="208"/>
      <c r="V656" s="208"/>
    </row>
    <row r="657" spans="1:22" ht="15.75" customHeight="1" x14ac:dyDescent="0.3">
      <c r="A657" s="208"/>
      <c r="B657" s="208"/>
      <c r="C657" s="208"/>
      <c r="D657" s="208"/>
      <c r="E657" s="208"/>
      <c r="F657" s="208"/>
      <c r="G657" s="208"/>
      <c r="H657" s="208"/>
      <c r="I657" s="208"/>
      <c r="J657" s="208"/>
      <c r="K657" s="208"/>
      <c r="L657" s="208"/>
      <c r="M657" s="208"/>
      <c r="N657" s="208"/>
      <c r="O657" s="208"/>
      <c r="P657" s="208"/>
      <c r="Q657" s="208"/>
      <c r="R657" s="208"/>
      <c r="S657" s="208"/>
      <c r="T657" s="208"/>
      <c r="U657" s="208"/>
      <c r="V657" s="208"/>
    </row>
    <row r="658" spans="1:22" ht="15.75" customHeight="1" x14ac:dyDescent="0.3">
      <c r="A658" s="208"/>
      <c r="B658" s="208"/>
      <c r="C658" s="208"/>
      <c r="D658" s="208"/>
      <c r="E658" s="208"/>
      <c r="F658" s="208"/>
      <c r="G658" s="208"/>
      <c r="H658" s="208"/>
      <c r="I658" s="208"/>
      <c r="J658" s="208"/>
      <c r="K658" s="208"/>
      <c r="L658" s="208"/>
      <c r="M658" s="208"/>
      <c r="N658" s="208"/>
      <c r="O658" s="208"/>
      <c r="P658" s="208"/>
      <c r="Q658" s="208"/>
      <c r="R658" s="208"/>
      <c r="S658" s="208"/>
      <c r="T658" s="208"/>
      <c r="U658" s="208"/>
      <c r="V658" s="208"/>
    </row>
    <row r="659" spans="1:22" ht="15.75" customHeight="1" x14ac:dyDescent="0.3">
      <c r="A659" s="208"/>
      <c r="B659" s="208"/>
      <c r="C659" s="208"/>
      <c r="D659" s="208"/>
      <c r="E659" s="208"/>
      <c r="F659" s="208"/>
      <c r="G659" s="208"/>
      <c r="H659" s="208"/>
      <c r="I659" s="208"/>
      <c r="J659" s="208"/>
      <c r="K659" s="208"/>
      <c r="L659" s="208"/>
      <c r="M659" s="208"/>
      <c r="N659" s="208"/>
      <c r="O659" s="208"/>
      <c r="P659" s="208"/>
      <c r="Q659" s="208"/>
      <c r="R659" s="208"/>
      <c r="S659" s="208"/>
      <c r="T659" s="208"/>
      <c r="U659" s="208"/>
      <c r="V659" s="208"/>
    </row>
    <row r="660" spans="1:22" ht="15.75" customHeight="1" x14ac:dyDescent="0.3">
      <c r="A660" s="208"/>
      <c r="B660" s="208"/>
      <c r="C660" s="208"/>
      <c r="D660" s="208"/>
      <c r="E660" s="208"/>
      <c r="F660" s="208"/>
      <c r="G660" s="208"/>
      <c r="H660" s="208"/>
      <c r="I660" s="208"/>
      <c r="J660" s="208"/>
      <c r="K660" s="208"/>
      <c r="L660" s="208"/>
      <c r="M660" s="208"/>
      <c r="N660" s="208"/>
      <c r="O660" s="208"/>
      <c r="P660" s="208"/>
      <c r="Q660" s="208"/>
      <c r="R660" s="208"/>
      <c r="S660" s="208"/>
      <c r="T660" s="208"/>
      <c r="U660" s="208"/>
      <c r="V660" s="208"/>
    </row>
    <row r="661" spans="1:22" ht="15.75" customHeight="1" x14ac:dyDescent="0.3">
      <c r="A661" s="208"/>
      <c r="B661" s="208"/>
      <c r="C661" s="208"/>
      <c r="D661" s="208"/>
      <c r="E661" s="208"/>
      <c r="F661" s="208"/>
      <c r="G661" s="208"/>
      <c r="H661" s="208"/>
      <c r="I661" s="208"/>
      <c r="J661" s="208"/>
      <c r="K661" s="208"/>
      <c r="L661" s="208"/>
      <c r="M661" s="208"/>
      <c r="N661" s="208"/>
      <c r="O661" s="208"/>
      <c r="P661" s="208"/>
      <c r="Q661" s="208"/>
      <c r="R661" s="208"/>
      <c r="S661" s="208"/>
      <c r="T661" s="208"/>
      <c r="U661" s="208"/>
      <c r="V661" s="208"/>
    </row>
    <row r="662" spans="1:22" ht="15.75" customHeight="1" x14ac:dyDescent="0.3">
      <c r="A662" s="208"/>
      <c r="B662" s="208"/>
      <c r="C662" s="208"/>
      <c r="D662" s="208"/>
      <c r="E662" s="208"/>
      <c r="F662" s="208"/>
      <c r="G662" s="208"/>
      <c r="H662" s="208"/>
      <c r="I662" s="208"/>
      <c r="J662" s="208"/>
      <c r="K662" s="208"/>
      <c r="L662" s="208"/>
      <c r="M662" s="208"/>
      <c r="N662" s="208"/>
      <c r="O662" s="208"/>
      <c r="P662" s="208"/>
      <c r="Q662" s="208"/>
      <c r="R662" s="208"/>
      <c r="S662" s="208"/>
      <c r="T662" s="208"/>
      <c r="U662" s="208"/>
      <c r="V662" s="208"/>
    </row>
    <row r="663" spans="1:22" ht="15.75" customHeight="1" x14ac:dyDescent="0.3">
      <c r="A663" s="208"/>
      <c r="B663" s="208"/>
      <c r="C663" s="208"/>
      <c r="D663" s="208"/>
      <c r="E663" s="208"/>
      <c r="F663" s="208"/>
      <c r="G663" s="208"/>
      <c r="H663" s="208"/>
      <c r="I663" s="208"/>
      <c r="J663" s="208"/>
      <c r="K663" s="208"/>
      <c r="L663" s="208"/>
      <c r="M663" s="208"/>
      <c r="N663" s="208"/>
      <c r="O663" s="208"/>
      <c r="P663" s="208"/>
      <c r="Q663" s="208"/>
      <c r="R663" s="208"/>
      <c r="S663" s="208"/>
      <c r="T663" s="208"/>
      <c r="U663" s="208"/>
      <c r="V663" s="208"/>
    </row>
    <row r="664" spans="1:22" ht="15.75" customHeight="1" x14ac:dyDescent="0.3">
      <c r="A664" s="208"/>
      <c r="B664" s="208"/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208"/>
      <c r="P664" s="208"/>
      <c r="Q664" s="208"/>
      <c r="R664" s="208"/>
      <c r="S664" s="208"/>
      <c r="T664" s="208"/>
      <c r="U664" s="208"/>
      <c r="V664" s="208"/>
    </row>
    <row r="665" spans="1:22" ht="15.75" customHeight="1" x14ac:dyDescent="0.3">
      <c r="A665" s="208"/>
      <c r="B665" s="208"/>
      <c r="C665" s="208"/>
      <c r="D665" s="208"/>
      <c r="E665" s="208"/>
      <c r="F665" s="208"/>
      <c r="G665" s="208"/>
      <c r="H665" s="208"/>
      <c r="I665" s="208"/>
      <c r="J665" s="208"/>
      <c r="K665" s="208"/>
      <c r="L665" s="208"/>
      <c r="M665" s="208"/>
      <c r="N665" s="208"/>
      <c r="O665" s="208"/>
      <c r="P665" s="208"/>
      <c r="Q665" s="208"/>
      <c r="R665" s="208"/>
      <c r="S665" s="208"/>
      <c r="T665" s="208"/>
      <c r="U665" s="208"/>
      <c r="V665" s="208"/>
    </row>
    <row r="666" spans="1:22" ht="15.75" customHeight="1" x14ac:dyDescent="0.3">
      <c r="A666" s="208"/>
      <c r="B666" s="208"/>
      <c r="C666" s="208"/>
      <c r="D666" s="208"/>
      <c r="E666" s="208"/>
      <c r="F666" s="208"/>
      <c r="G666" s="208"/>
      <c r="H666" s="208"/>
      <c r="I666" s="208"/>
      <c r="J666" s="208"/>
      <c r="K666" s="208"/>
      <c r="L666" s="208"/>
      <c r="M666" s="208"/>
      <c r="N666" s="208"/>
      <c r="O666" s="208"/>
      <c r="P666" s="208"/>
      <c r="Q666" s="208"/>
      <c r="R666" s="208"/>
      <c r="S666" s="208"/>
      <c r="T666" s="208"/>
      <c r="U666" s="208"/>
      <c r="V666" s="208"/>
    </row>
    <row r="667" spans="1:22" ht="15.75" customHeight="1" x14ac:dyDescent="0.3">
      <c r="A667" s="208"/>
      <c r="B667" s="208"/>
      <c r="C667" s="208"/>
      <c r="D667" s="208"/>
      <c r="E667" s="208"/>
      <c r="F667" s="208"/>
      <c r="G667" s="208"/>
      <c r="H667" s="208"/>
      <c r="I667" s="208"/>
      <c r="J667" s="208"/>
      <c r="K667" s="208"/>
      <c r="L667" s="208"/>
      <c r="M667" s="208"/>
      <c r="N667" s="208"/>
      <c r="O667" s="208"/>
      <c r="P667" s="208"/>
      <c r="Q667" s="208"/>
      <c r="R667" s="208"/>
      <c r="S667" s="208"/>
      <c r="T667" s="208"/>
      <c r="U667" s="208"/>
      <c r="V667" s="208"/>
    </row>
    <row r="668" spans="1:22" ht="15.75" customHeight="1" x14ac:dyDescent="0.3">
      <c r="A668" s="208"/>
      <c r="B668" s="208"/>
      <c r="C668" s="208"/>
      <c r="D668" s="208"/>
      <c r="E668" s="208"/>
      <c r="F668" s="208"/>
      <c r="G668" s="208"/>
      <c r="H668" s="208"/>
      <c r="I668" s="208"/>
      <c r="J668" s="208"/>
      <c r="K668" s="208"/>
      <c r="L668" s="208"/>
      <c r="M668" s="208"/>
      <c r="N668" s="208"/>
      <c r="O668" s="208"/>
      <c r="P668" s="208"/>
      <c r="Q668" s="208"/>
      <c r="R668" s="208"/>
      <c r="S668" s="208"/>
      <c r="T668" s="208"/>
      <c r="U668" s="208"/>
      <c r="V668" s="208"/>
    </row>
    <row r="669" spans="1:22" ht="15.75" customHeight="1" x14ac:dyDescent="0.3">
      <c r="A669" s="208"/>
      <c r="B669" s="208"/>
      <c r="C669" s="208"/>
      <c r="D669" s="208"/>
      <c r="E669" s="208"/>
      <c r="F669" s="208"/>
      <c r="G669" s="208"/>
      <c r="H669" s="208"/>
      <c r="I669" s="208"/>
      <c r="J669" s="208"/>
      <c r="K669" s="208"/>
      <c r="L669" s="208"/>
      <c r="M669" s="208"/>
      <c r="N669" s="208"/>
      <c r="O669" s="208"/>
      <c r="P669" s="208"/>
      <c r="Q669" s="208"/>
      <c r="R669" s="208"/>
      <c r="S669" s="208"/>
      <c r="T669" s="208"/>
      <c r="U669" s="208"/>
      <c r="V669" s="208"/>
    </row>
    <row r="670" spans="1:22" ht="15.75" customHeight="1" x14ac:dyDescent="0.3">
      <c r="A670" s="208"/>
      <c r="B670" s="208"/>
      <c r="C670" s="208"/>
      <c r="D670" s="208"/>
      <c r="E670" s="208"/>
      <c r="F670" s="208"/>
      <c r="G670" s="208"/>
      <c r="H670" s="208"/>
      <c r="I670" s="208"/>
      <c r="J670" s="208"/>
      <c r="K670" s="208"/>
      <c r="L670" s="208"/>
      <c r="M670" s="208"/>
      <c r="N670" s="208"/>
      <c r="O670" s="208"/>
      <c r="P670" s="208"/>
      <c r="Q670" s="208"/>
      <c r="R670" s="208"/>
      <c r="S670" s="208"/>
      <c r="T670" s="208"/>
      <c r="U670" s="208"/>
      <c r="V670" s="208"/>
    </row>
    <row r="671" spans="1:22" ht="15.75" customHeight="1" x14ac:dyDescent="0.3">
      <c r="A671" s="208"/>
      <c r="B671" s="208"/>
      <c r="C671" s="208"/>
      <c r="D671" s="208"/>
      <c r="E671" s="208"/>
      <c r="F671" s="208"/>
      <c r="G671" s="208"/>
      <c r="H671" s="208"/>
      <c r="I671" s="208"/>
      <c r="J671" s="208"/>
      <c r="K671" s="208"/>
      <c r="L671" s="208"/>
      <c r="M671" s="208"/>
      <c r="N671" s="208"/>
      <c r="O671" s="208"/>
      <c r="P671" s="208"/>
      <c r="Q671" s="208"/>
      <c r="R671" s="208"/>
      <c r="S671" s="208"/>
      <c r="T671" s="208"/>
      <c r="U671" s="208"/>
      <c r="V671" s="208"/>
    </row>
    <row r="672" spans="1:22" ht="15.75" customHeight="1" x14ac:dyDescent="0.3">
      <c r="A672" s="208"/>
      <c r="B672" s="208"/>
      <c r="C672" s="208"/>
      <c r="D672" s="208"/>
      <c r="E672" s="208"/>
      <c r="F672" s="208"/>
      <c r="G672" s="208"/>
      <c r="H672" s="208"/>
      <c r="I672" s="208"/>
      <c r="J672" s="208"/>
      <c r="K672" s="208"/>
      <c r="L672" s="208"/>
      <c r="M672" s="208"/>
      <c r="N672" s="208"/>
      <c r="O672" s="208"/>
      <c r="P672" s="208"/>
      <c r="Q672" s="208"/>
      <c r="R672" s="208"/>
      <c r="S672" s="208"/>
      <c r="T672" s="208"/>
      <c r="U672" s="208"/>
      <c r="V672" s="208"/>
    </row>
    <row r="673" spans="1:22" ht="15.75" customHeight="1" x14ac:dyDescent="0.3">
      <c r="A673" s="208"/>
      <c r="B673" s="208"/>
      <c r="C673" s="208"/>
      <c r="D673" s="208"/>
      <c r="E673" s="208"/>
      <c r="F673" s="208"/>
      <c r="G673" s="208"/>
      <c r="H673" s="208"/>
      <c r="I673" s="208"/>
      <c r="J673" s="208"/>
      <c r="K673" s="208"/>
      <c r="L673" s="208"/>
      <c r="M673" s="208"/>
      <c r="N673" s="208"/>
      <c r="O673" s="208"/>
      <c r="P673" s="208"/>
      <c r="Q673" s="208"/>
      <c r="R673" s="208"/>
      <c r="S673" s="208"/>
      <c r="T673" s="208"/>
      <c r="U673" s="208"/>
      <c r="V673" s="208"/>
    </row>
    <row r="674" spans="1:22" ht="15.75" customHeight="1" x14ac:dyDescent="0.3">
      <c r="A674" s="208"/>
      <c r="B674" s="208"/>
      <c r="C674" s="208"/>
      <c r="D674" s="208"/>
      <c r="E674" s="208"/>
      <c r="F674" s="208"/>
      <c r="G674" s="208"/>
      <c r="H674" s="208"/>
      <c r="I674" s="208"/>
      <c r="J674" s="208"/>
      <c r="K674" s="208"/>
      <c r="L674" s="208"/>
      <c r="M674" s="208"/>
      <c r="N674" s="208"/>
      <c r="O674" s="208"/>
      <c r="P674" s="208"/>
      <c r="Q674" s="208"/>
      <c r="R674" s="208"/>
      <c r="S674" s="208"/>
      <c r="T674" s="208"/>
      <c r="U674" s="208"/>
      <c r="V674" s="208"/>
    </row>
    <row r="675" spans="1:22" ht="15.75" customHeight="1" x14ac:dyDescent="0.3">
      <c r="A675" s="208"/>
      <c r="B675" s="208"/>
      <c r="C675" s="208"/>
      <c r="D675" s="208"/>
      <c r="E675" s="208"/>
      <c r="F675" s="208"/>
      <c r="G675" s="208"/>
      <c r="H675" s="208"/>
      <c r="I675" s="208"/>
      <c r="J675" s="208"/>
      <c r="K675" s="208"/>
      <c r="L675" s="208"/>
      <c r="M675" s="208"/>
      <c r="N675" s="208"/>
      <c r="O675" s="208"/>
      <c r="P675" s="208"/>
      <c r="Q675" s="208"/>
      <c r="R675" s="208"/>
      <c r="S675" s="208"/>
      <c r="T675" s="208"/>
      <c r="U675" s="208"/>
      <c r="V675" s="208"/>
    </row>
    <row r="676" spans="1:22" ht="15.75" customHeight="1" x14ac:dyDescent="0.3">
      <c r="A676" s="208"/>
      <c r="B676" s="208"/>
      <c r="C676" s="208"/>
      <c r="D676" s="208"/>
      <c r="E676" s="208"/>
      <c r="F676" s="208"/>
      <c r="G676" s="208"/>
      <c r="H676" s="208"/>
      <c r="I676" s="208"/>
      <c r="J676" s="208"/>
      <c r="K676" s="208"/>
      <c r="L676" s="208"/>
      <c r="M676" s="208"/>
      <c r="N676" s="208"/>
      <c r="O676" s="208"/>
      <c r="P676" s="208"/>
      <c r="Q676" s="208"/>
      <c r="R676" s="208"/>
      <c r="S676" s="208"/>
      <c r="T676" s="208"/>
      <c r="U676" s="208"/>
      <c r="V676" s="208"/>
    </row>
    <row r="677" spans="1:22" ht="15.75" customHeight="1" x14ac:dyDescent="0.3">
      <c r="A677" s="208"/>
      <c r="B677" s="208"/>
      <c r="C677" s="208"/>
      <c r="D677" s="208"/>
      <c r="E677" s="208"/>
      <c r="F677" s="208"/>
      <c r="G677" s="208"/>
      <c r="H677" s="208"/>
      <c r="I677" s="208"/>
      <c r="J677" s="208"/>
      <c r="K677" s="208"/>
      <c r="L677" s="208"/>
      <c r="M677" s="208"/>
      <c r="N677" s="208"/>
      <c r="O677" s="208"/>
      <c r="P677" s="208"/>
      <c r="Q677" s="208"/>
      <c r="R677" s="208"/>
      <c r="S677" s="208"/>
      <c r="T677" s="208"/>
      <c r="U677" s="208"/>
      <c r="V677" s="208"/>
    </row>
    <row r="678" spans="1:22" ht="15.75" customHeight="1" x14ac:dyDescent="0.3">
      <c r="A678" s="208"/>
      <c r="B678" s="208"/>
      <c r="C678" s="208"/>
      <c r="D678" s="208"/>
      <c r="E678" s="208"/>
      <c r="F678" s="208"/>
      <c r="G678" s="208"/>
      <c r="H678" s="208"/>
      <c r="I678" s="208"/>
      <c r="J678" s="208"/>
      <c r="K678" s="208"/>
      <c r="L678" s="208"/>
      <c r="M678" s="208"/>
      <c r="N678" s="208"/>
      <c r="O678" s="208"/>
      <c r="P678" s="208"/>
      <c r="Q678" s="208"/>
      <c r="R678" s="208"/>
      <c r="S678" s="208"/>
      <c r="T678" s="208"/>
      <c r="U678" s="208"/>
      <c r="V678" s="208"/>
    </row>
    <row r="679" spans="1:22" ht="15.75" customHeight="1" x14ac:dyDescent="0.3">
      <c r="A679" s="208"/>
      <c r="B679" s="208"/>
      <c r="C679" s="208"/>
      <c r="D679" s="208"/>
      <c r="E679" s="208"/>
      <c r="F679" s="208"/>
      <c r="G679" s="208"/>
      <c r="H679" s="208"/>
      <c r="I679" s="208"/>
      <c r="J679" s="208"/>
      <c r="K679" s="208"/>
      <c r="L679" s="208"/>
      <c r="M679" s="208"/>
      <c r="N679" s="208"/>
      <c r="O679" s="208"/>
      <c r="P679" s="208"/>
      <c r="Q679" s="208"/>
      <c r="R679" s="208"/>
      <c r="S679" s="208"/>
      <c r="T679" s="208"/>
      <c r="U679" s="208"/>
      <c r="V679" s="208"/>
    </row>
    <row r="680" spans="1:22" ht="15.75" customHeight="1" x14ac:dyDescent="0.3">
      <c r="A680" s="208"/>
      <c r="B680" s="208"/>
      <c r="C680" s="208"/>
      <c r="D680" s="208"/>
      <c r="E680" s="208"/>
      <c r="F680" s="208"/>
      <c r="G680" s="208"/>
      <c r="H680" s="208"/>
      <c r="I680" s="208"/>
      <c r="J680" s="208"/>
      <c r="K680" s="208"/>
      <c r="L680" s="208"/>
      <c r="M680" s="208"/>
      <c r="N680" s="208"/>
      <c r="O680" s="208"/>
      <c r="P680" s="208"/>
      <c r="Q680" s="208"/>
      <c r="R680" s="208"/>
      <c r="S680" s="208"/>
      <c r="T680" s="208"/>
      <c r="U680" s="208"/>
      <c r="V680" s="208"/>
    </row>
    <row r="681" spans="1:22" ht="15.75" customHeight="1" x14ac:dyDescent="0.3">
      <c r="A681" s="208"/>
      <c r="B681" s="208"/>
      <c r="C681" s="208"/>
      <c r="D681" s="208"/>
      <c r="E681" s="208"/>
      <c r="F681" s="208"/>
      <c r="G681" s="208"/>
      <c r="H681" s="208"/>
      <c r="I681" s="208"/>
      <c r="J681" s="208"/>
      <c r="K681" s="208"/>
      <c r="L681" s="208"/>
      <c r="M681" s="208"/>
      <c r="N681" s="208"/>
      <c r="O681" s="208"/>
      <c r="P681" s="208"/>
      <c r="Q681" s="208"/>
      <c r="R681" s="208"/>
      <c r="S681" s="208"/>
      <c r="T681" s="208"/>
      <c r="U681" s="208"/>
      <c r="V681" s="208"/>
    </row>
    <row r="682" spans="1:22" ht="15.75" customHeight="1" x14ac:dyDescent="0.3">
      <c r="A682" s="208"/>
      <c r="B682" s="208"/>
      <c r="C682" s="208"/>
      <c r="D682" s="208"/>
      <c r="E682" s="208"/>
      <c r="F682" s="208"/>
      <c r="G682" s="208"/>
      <c r="H682" s="208"/>
      <c r="I682" s="208"/>
      <c r="J682" s="208"/>
      <c r="K682" s="208"/>
      <c r="L682" s="208"/>
      <c r="M682" s="208"/>
      <c r="N682" s="208"/>
      <c r="O682" s="208"/>
      <c r="P682" s="208"/>
      <c r="Q682" s="208"/>
      <c r="R682" s="208"/>
      <c r="S682" s="208"/>
      <c r="T682" s="208"/>
      <c r="U682" s="208"/>
      <c r="V682" s="208"/>
    </row>
    <row r="683" spans="1:22" ht="15.75" customHeight="1" x14ac:dyDescent="0.3">
      <c r="A683" s="208"/>
      <c r="B683" s="208"/>
      <c r="C683" s="208"/>
      <c r="D683" s="208"/>
      <c r="E683" s="208"/>
      <c r="F683" s="208"/>
      <c r="G683" s="208"/>
      <c r="H683" s="208"/>
      <c r="I683" s="208"/>
      <c r="J683" s="208"/>
      <c r="K683" s="208"/>
      <c r="L683" s="208"/>
      <c r="M683" s="208"/>
      <c r="N683" s="208"/>
      <c r="O683" s="208"/>
      <c r="P683" s="208"/>
      <c r="Q683" s="208"/>
      <c r="R683" s="208"/>
      <c r="S683" s="208"/>
      <c r="T683" s="208"/>
      <c r="U683" s="208"/>
      <c r="V683" s="208"/>
    </row>
    <row r="684" spans="1:22" ht="15.75" customHeight="1" x14ac:dyDescent="0.3">
      <c r="A684" s="208"/>
      <c r="B684" s="208"/>
      <c r="C684" s="208"/>
      <c r="D684" s="208"/>
      <c r="E684" s="208"/>
      <c r="F684" s="208"/>
      <c r="G684" s="208"/>
      <c r="H684" s="208"/>
      <c r="I684" s="208"/>
      <c r="J684" s="208"/>
      <c r="K684" s="208"/>
      <c r="L684" s="208"/>
      <c r="M684" s="208"/>
      <c r="N684" s="208"/>
      <c r="O684" s="208"/>
      <c r="P684" s="208"/>
      <c r="Q684" s="208"/>
      <c r="R684" s="208"/>
      <c r="S684" s="208"/>
      <c r="T684" s="208"/>
      <c r="U684" s="208"/>
      <c r="V684" s="208"/>
    </row>
    <row r="685" spans="1:22" ht="15.75" customHeight="1" x14ac:dyDescent="0.3">
      <c r="A685" s="208"/>
      <c r="B685" s="208"/>
      <c r="C685" s="208"/>
      <c r="D685" s="208"/>
      <c r="E685" s="208"/>
      <c r="F685" s="208"/>
      <c r="G685" s="208"/>
      <c r="H685" s="208"/>
      <c r="I685" s="208"/>
      <c r="J685" s="208"/>
      <c r="K685" s="208"/>
      <c r="L685" s="208"/>
      <c r="M685" s="208"/>
      <c r="N685" s="208"/>
      <c r="O685" s="208"/>
      <c r="P685" s="208"/>
      <c r="Q685" s="208"/>
      <c r="R685" s="208"/>
      <c r="S685" s="208"/>
      <c r="T685" s="208"/>
      <c r="U685" s="208"/>
      <c r="V685" s="208"/>
    </row>
    <row r="686" spans="1:22" ht="15.75" customHeight="1" x14ac:dyDescent="0.3">
      <c r="A686" s="208"/>
      <c r="B686" s="208"/>
      <c r="C686" s="208"/>
      <c r="D686" s="208"/>
      <c r="E686" s="208"/>
      <c r="F686" s="208"/>
      <c r="G686" s="208"/>
      <c r="H686" s="208"/>
      <c r="I686" s="208"/>
      <c r="J686" s="208"/>
      <c r="K686" s="208"/>
      <c r="L686" s="208"/>
      <c r="M686" s="208"/>
      <c r="N686" s="208"/>
      <c r="O686" s="208"/>
      <c r="P686" s="208"/>
      <c r="Q686" s="208"/>
      <c r="R686" s="208"/>
      <c r="S686" s="208"/>
      <c r="T686" s="208"/>
      <c r="U686" s="208"/>
      <c r="V686" s="208"/>
    </row>
    <row r="687" spans="1:22" ht="15.75" customHeight="1" x14ac:dyDescent="0.3">
      <c r="A687" s="208"/>
      <c r="B687" s="208"/>
      <c r="C687" s="208"/>
      <c r="D687" s="208"/>
      <c r="E687" s="208"/>
      <c r="F687" s="208"/>
      <c r="G687" s="208"/>
      <c r="H687" s="208"/>
      <c r="I687" s="208"/>
      <c r="J687" s="208"/>
      <c r="K687" s="208"/>
      <c r="L687" s="208"/>
      <c r="M687" s="208"/>
      <c r="N687" s="208"/>
      <c r="O687" s="208"/>
      <c r="P687" s="208"/>
      <c r="Q687" s="208"/>
      <c r="R687" s="208"/>
      <c r="S687" s="208"/>
      <c r="T687" s="208"/>
      <c r="U687" s="208"/>
      <c r="V687" s="208"/>
    </row>
    <row r="688" spans="1:22" ht="15.75" customHeight="1" x14ac:dyDescent="0.3">
      <c r="A688" s="208"/>
      <c r="B688" s="208"/>
      <c r="C688" s="208"/>
      <c r="D688" s="208"/>
      <c r="E688" s="208"/>
      <c r="F688" s="208"/>
      <c r="G688" s="208"/>
      <c r="H688" s="208"/>
      <c r="I688" s="208"/>
      <c r="J688" s="208"/>
      <c r="K688" s="208"/>
      <c r="L688" s="208"/>
      <c r="M688" s="208"/>
      <c r="N688" s="208"/>
      <c r="O688" s="208"/>
      <c r="P688" s="208"/>
      <c r="Q688" s="208"/>
      <c r="R688" s="208"/>
      <c r="S688" s="208"/>
      <c r="T688" s="208"/>
      <c r="U688" s="208"/>
      <c r="V688" s="208"/>
    </row>
    <row r="689" spans="1:22" ht="15.75" customHeight="1" x14ac:dyDescent="0.3">
      <c r="A689" s="208"/>
      <c r="B689" s="208"/>
      <c r="C689" s="208"/>
      <c r="D689" s="208"/>
      <c r="E689" s="208"/>
      <c r="F689" s="208"/>
      <c r="G689" s="208"/>
      <c r="H689" s="208"/>
      <c r="I689" s="208"/>
      <c r="J689" s="208"/>
      <c r="K689" s="208"/>
      <c r="L689" s="208"/>
      <c r="M689" s="208"/>
      <c r="N689" s="208"/>
      <c r="O689" s="208"/>
      <c r="P689" s="208"/>
      <c r="Q689" s="208"/>
      <c r="R689" s="208"/>
      <c r="S689" s="208"/>
      <c r="T689" s="208"/>
      <c r="U689" s="208"/>
      <c r="V689" s="208"/>
    </row>
    <row r="690" spans="1:22" ht="15.75" customHeight="1" x14ac:dyDescent="0.3">
      <c r="A690" s="208"/>
      <c r="B690" s="208"/>
      <c r="C690" s="208"/>
      <c r="D690" s="208"/>
      <c r="E690" s="208"/>
      <c r="F690" s="208"/>
      <c r="G690" s="208"/>
      <c r="H690" s="208"/>
      <c r="I690" s="208"/>
      <c r="J690" s="208"/>
      <c r="K690" s="208"/>
      <c r="L690" s="208"/>
      <c r="M690" s="208"/>
      <c r="N690" s="208"/>
      <c r="O690" s="208"/>
      <c r="P690" s="208"/>
      <c r="Q690" s="208"/>
      <c r="R690" s="208"/>
      <c r="S690" s="208"/>
      <c r="T690" s="208"/>
      <c r="U690" s="208"/>
      <c r="V690" s="208"/>
    </row>
    <row r="691" spans="1:22" ht="15.75" customHeight="1" x14ac:dyDescent="0.3">
      <c r="A691" s="208"/>
      <c r="B691" s="208"/>
      <c r="C691" s="208"/>
      <c r="D691" s="208"/>
      <c r="E691" s="208"/>
      <c r="F691" s="208"/>
      <c r="G691" s="208"/>
      <c r="H691" s="208"/>
      <c r="I691" s="208"/>
      <c r="J691" s="208"/>
      <c r="K691" s="208"/>
      <c r="L691" s="208"/>
      <c r="M691" s="208"/>
      <c r="N691" s="208"/>
      <c r="O691" s="208"/>
      <c r="P691" s="208"/>
      <c r="Q691" s="208"/>
      <c r="R691" s="208"/>
      <c r="S691" s="208"/>
      <c r="T691" s="208"/>
      <c r="U691" s="208"/>
      <c r="V691" s="208"/>
    </row>
    <row r="692" spans="1:22" ht="15.75" customHeight="1" x14ac:dyDescent="0.3">
      <c r="A692" s="208"/>
      <c r="B692" s="208"/>
      <c r="C692" s="208"/>
      <c r="D692" s="208"/>
      <c r="E692" s="208"/>
      <c r="F692" s="208"/>
      <c r="G692" s="208"/>
      <c r="H692" s="208"/>
      <c r="I692" s="208"/>
      <c r="J692" s="208"/>
      <c r="K692" s="208"/>
      <c r="L692" s="208"/>
      <c r="M692" s="208"/>
      <c r="N692" s="208"/>
      <c r="O692" s="208"/>
      <c r="P692" s="208"/>
      <c r="Q692" s="208"/>
      <c r="R692" s="208"/>
      <c r="S692" s="208"/>
      <c r="T692" s="208"/>
      <c r="U692" s="208"/>
      <c r="V692" s="208"/>
    </row>
    <row r="693" spans="1:22" ht="15.75" customHeight="1" x14ac:dyDescent="0.3">
      <c r="A693" s="208"/>
      <c r="B693" s="208"/>
      <c r="C693" s="208"/>
      <c r="D693" s="208"/>
      <c r="E693" s="208"/>
      <c r="F693" s="208"/>
      <c r="G693" s="208"/>
      <c r="H693" s="208"/>
      <c r="I693" s="208"/>
      <c r="J693" s="208"/>
      <c r="K693" s="208"/>
      <c r="L693" s="208"/>
      <c r="M693" s="208"/>
      <c r="N693" s="208"/>
      <c r="O693" s="208"/>
      <c r="P693" s="208"/>
      <c r="Q693" s="208"/>
      <c r="R693" s="208"/>
      <c r="S693" s="208"/>
      <c r="T693" s="208"/>
      <c r="U693" s="208"/>
      <c r="V693" s="208"/>
    </row>
    <row r="694" spans="1:22" ht="15.75" customHeight="1" x14ac:dyDescent="0.3">
      <c r="A694" s="208"/>
      <c r="B694" s="208"/>
      <c r="C694" s="208"/>
      <c r="D694" s="208"/>
      <c r="E694" s="208"/>
      <c r="F694" s="208"/>
      <c r="G694" s="208"/>
      <c r="H694" s="208"/>
      <c r="I694" s="208"/>
      <c r="J694" s="208"/>
      <c r="K694" s="208"/>
      <c r="L694" s="208"/>
      <c r="M694" s="208"/>
      <c r="N694" s="208"/>
      <c r="O694" s="208"/>
      <c r="P694" s="208"/>
      <c r="Q694" s="208"/>
      <c r="R694" s="208"/>
      <c r="S694" s="208"/>
      <c r="T694" s="208"/>
      <c r="U694" s="208"/>
      <c r="V694" s="208"/>
    </row>
    <row r="695" spans="1:22" ht="15.75" customHeight="1" x14ac:dyDescent="0.3">
      <c r="A695" s="208"/>
      <c r="B695" s="208"/>
      <c r="C695" s="208"/>
      <c r="D695" s="208"/>
      <c r="E695" s="208"/>
      <c r="F695" s="208"/>
      <c r="G695" s="208"/>
      <c r="H695" s="208"/>
      <c r="I695" s="208"/>
      <c r="J695" s="208"/>
      <c r="K695" s="208"/>
      <c r="L695" s="208"/>
      <c r="M695" s="208"/>
      <c r="N695" s="208"/>
      <c r="O695" s="208"/>
      <c r="P695" s="208"/>
      <c r="Q695" s="208"/>
      <c r="R695" s="208"/>
      <c r="S695" s="208"/>
      <c r="T695" s="208"/>
      <c r="U695" s="208"/>
      <c r="V695" s="208"/>
    </row>
    <row r="696" spans="1:22" ht="15.75" customHeight="1" x14ac:dyDescent="0.3">
      <c r="A696" s="208"/>
      <c r="B696" s="208"/>
      <c r="C696" s="208"/>
      <c r="D696" s="208"/>
      <c r="E696" s="208"/>
      <c r="F696" s="208"/>
      <c r="G696" s="208"/>
      <c r="H696" s="208"/>
      <c r="I696" s="208"/>
      <c r="J696" s="208"/>
      <c r="K696" s="208"/>
      <c r="L696" s="208"/>
      <c r="M696" s="208"/>
      <c r="N696" s="208"/>
      <c r="O696" s="208"/>
      <c r="P696" s="208"/>
      <c r="Q696" s="208"/>
      <c r="R696" s="208"/>
      <c r="S696" s="208"/>
      <c r="T696" s="208"/>
      <c r="U696" s="208"/>
      <c r="V696" s="208"/>
    </row>
    <row r="697" spans="1:22" ht="15.75" customHeight="1" x14ac:dyDescent="0.3">
      <c r="A697" s="208"/>
      <c r="B697" s="208"/>
      <c r="C697" s="208"/>
      <c r="D697" s="208"/>
      <c r="E697" s="208"/>
      <c r="F697" s="208"/>
      <c r="G697" s="208"/>
      <c r="H697" s="208"/>
      <c r="I697" s="208"/>
      <c r="J697" s="208"/>
      <c r="K697" s="208"/>
      <c r="L697" s="208"/>
      <c r="M697" s="208"/>
      <c r="N697" s="208"/>
      <c r="O697" s="208"/>
      <c r="P697" s="208"/>
      <c r="Q697" s="208"/>
      <c r="R697" s="208"/>
      <c r="S697" s="208"/>
      <c r="T697" s="208"/>
      <c r="U697" s="208"/>
      <c r="V697" s="208"/>
    </row>
    <row r="698" spans="1:22" ht="15.75" customHeight="1" x14ac:dyDescent="0.3">
      <c r="A698" s="208"/>
      <c r="B698" s="208"/>
      <c r="C698" s="208"/>
      <c r="D698" s="208"/>
      <c r="E698" s="208"/>
      <c r="F698" s="208"/>
      <c r="G698" s="208"/>
      <c r="H698" s="208"/>
      <c r="I698" s="208"/>
      <c r="J698" s="208"/>
      <c r="K698" s="208"/>
      <c r="L698" s="208"/>
      <c r="M698" s="208"/>
      <c r="N698" s="208"/>
      <c r="O698" s="208"/>
      <c r="P698" s="208"/>
      <c r="Q698" s="208"/>
      <c r="R698" s="208"/>
      <c r="S698" s="208"/>
      <c r="T698" s="208"/>
      <c r="U698" s="208"/>
      <c r="V698" s="208"/>
    </row>
    <row r="699" spans="1:22" ht="15.75" customHeight="1" x14ac:dyDescent="0.3">
      <c r="A699" s="208"/>
      <c r="B699" s="208"/>
      <c r="C699" s="208"/>
      <c r="D699" s="208"/>
      <c r="E699" s="208"/>
      <c r="F699" s="208"/>
      <c r="G699" s="208"/>
      <c r="H699" s="208"/>
      <c r="I699" s="208"/>
      <c r="J699" s="208"/>
      <c r="K699" s="208"/>
      <c r="L699" s="208"/>
      <c r="M699" s="208"/>
      <c r="N699" s="208"/>
      <c r="O699" s="208"/>
      <c r="P699" s="208"/>
      <c r="Q699" s="208"/>
      <c r="R699" s="208"/>
      <c r="S699" s="208"/>
      <c r="T699" s="208"/>
      <c r="U699" s="208"/>
      <c r="V699" s="208"/>
    </row>
    <row r="700" spans="1:22" ht="15.75" customHeight="1" x14ac:dyDescent="0.3">
      <c r="A700" s="208"/>
      <c r="B700" s="208"/>
      <c r="C700" s="208"/>
      <c r="D700" s="208"/>
      <c r="E700" s="208"/>
      <c r="F700" s="208"/>
      <c r="G700" s="208"/>
      <c r="H700" s="208"/>
      <c r="I700" s="208"/>
      <c r="J700" s="208"/>
      <c r="K700" s="208"/>
      <c r="L700" s="208"/>
      <c r="M700" s="208"/>
      <c r="N700" s="208"/>
      <c r="O700" s="208"/>
      <c r="P700" s="208"/>
      <c r="Q700" s="208"/>
      <c r="R700" s="208"/>
      <c r="S700" s="208"/>
      <c r="T700" s="208"/>
      <c r="U700" s="208"/>
      <c r="V700" s="208"/>
    </row>
    <row r="701" spans="1:22" ht="15.75" customHeight="1" x14ac:dyDescent="0.3">
      <c r="A701" s="208"/>
      <c r="B701" s="208"/>
      <c r="C701" s="208"/>
      <c r="D701" s="208"/>
      <c r="E701" s="208"/>
      <c r="F701" s="208"/>
      <c r="G701" s="208"/>
      <c r="H701" s="208"/>
      <c r="I701" s="208"/>
      <c r="J701" s="208"/>
      <c r="K701" s="208"/>
      <c r="L701" s="208"/>
      <c r="M701" s="208"/>
      <c r="N701" s="208"/>
      <c r="O701" s="208"/>
      <c r="P701" s="208"/>
      <c r="Q701" s="208"/>
      <c r="R701" s="208"/>
      <c r="S701" s="208"/>
      <c r="T701" s="208"/>
      <c r="U701" s="208"/>
      <c r="V701" s="208"/>
    </row>
    <row r="702" spans="1:22" ht="15.75" customHeight="1" x14ac:dyDescent="0.3">
      <c r="A702" s="208"/>
      <c r="B702" s="208"/>
      <c r="C702" s="208"/>
      <c r="D702" s="208"/>
      <c r="E702" s="208"/>
      <c r="F702" s="208"/>
      <c r="G702" s="208"/>
      <c r="H702" s="208"/>
      <c r="I702" s="208"/>
      <c r="J702" s="208"/>
      <c r="K702" s="208"/>
      <c r="L702" s="208"/>
      <c r="M702" s="208"/>
      <c r="N702" s="208"/>
      <c r="O702" s="208"/>
      <c r="P702" s="208"/>
      <c r="Q702" s="208"/>
      <c r="R702" s="208"/>
      <c r="S702" s="208"/>
      <c r="T702" s="208"/>
      <c r="U702" s="208"/>
      <c r="V702" s="208"/>
    </row>
    <row r="703" spans="1:22" ht="15.75" customHeight="1" x14ac:dyDescent="0.3">
      <c r="A703" s="208"/>
      <c r="B703" s="208"/>
      <c r="C703" s="208"/>
      <c r="D703" s="208"/>
      <c r="E703" s="208"/>
      <c r="F703" s="208"/>
      <c r="G703" s="208"/>
      <c r="H703" s="208"/>
      <c r="I703" s="208"/>
      <c r="J703" s="208"/>
      <c r="K703" s="208"/>
      <c r="L703" s="208"/>
      <c r="M703" s="208"/>
      <c r="N703" s="208"/>
      <c r="O703" s="208"/>
      <c r="P703" s="208"/>
      <c r="Q703" s="208"/>
      <c r="R703" s="208"/>
      <c r="S703" s="208"/>
      <c r="T703" s="208"/>
      <c r="U703" s="208"/>
      <c r="V703" s="208"/>
    </row>
    <row r="704" spans="1:22" ht="15.75" customHeight="1" x14ac:dyDescent="0.3">
      <c r="A704" s="208"/>
      <c r="B704" s="208"/>
      <c r="C704" s="208"/>
      <c r="D704" s="208"/>
      <c r="E704" s="208"/>
      <c r="F704" s="208"/>
      <c r="G704" s="208"/>
      <c r="H704" s="208"/>
      <c r="I704" s="208"/>
      <c r="J704" s="208"/>
      <c r="K704" s="208"/>
      <c r="L704" s="208"/>
      <c r="M704" s="208"/>
      <c r="N704" s="208"/>
      <c r="O704" s="208"/>
      <c r="P704" s="208"/>
      <c r="Q704" s="208"/>
      <c r="R704" s="208"/>
      <c r="S704" s="208"/>
      <c r="T704" s="208"/>
      <c r="U704" s="208"/>
      <c r="V704" s="208"/>
    </row>
    <row r="705" spans="1:22" ht="15.75" customHeight="1" x14ac:dyDescent="0.3">
      <c r="A705" s="208"/>
      <c r="B705" s="208"/>
      <c r="C705" s="208"/>
      <c r="D705" s="208"/>
      <c r="E705" s="208"/>
      <c r="F705" s="208"/>
      <c r="G705" s="208"/>
      <c r="H705" s="208"/>
      <c r="I705" s="208"/>
      <c r="J705" s="208"/>
      <c r="K705" s="208"/>
      <c r="L705" s="208"/>
      <c r="M705" s="208"/>
      <c r="N705" s="208"/>
      <c r="O705" s="208"/>
      <c r="P705" s="208"/>
      <c r="Q705" s="208"/>
      <c r="R705" s="208"/>
      <c r="S705" s="208"/>
      <c r="T705" s="208"/>
      <c r="U705" s="208"/>
      <c r="V705" s="208"/>
    </row>
    <row r="706" spans="1:22" ht="15.75" customHeight="1" x14ac:dyDescent="0.3">
      <c r="A706" s="208"/>
      <c r="B706" s="208"/>
      <c r="C706" s="208"/>
      <c r="D706" s="208"/>
      <c r="E706" s="208"/>
      <c r="F706" s="208"/>
      <c r="G706" s="208"/>
      <c r="H706" s="208"/>
      <c r="I706" s="208"/>
      <c r="J706" s="208"/>
      <c r="K706" s="208"/>
      <c r="L706" s="208"/>
      <c r="M706" s="208"/>
      <c r="N706" s="208"/>
      <c r="O706" s="208"/>
      <c r="P706" s="208"/>
      <c r="Q706" s="208"/>
      <c r="R706" s="208"/>
      <c r="S706" s="208"/>
      <c r="T706" s="208"/>
      <c r="U706" s="208"/>
      <c r="V706" s="208"/>
    </row>
    <row r="707" spans="1:22" ht="15.75" customHeight="1" x14ac:dyDescent="0.3">
      <c r="A707" s="208"/>
      <c r="B707" s="208"/>
      <c r="C707" s="208"/>
      <c r="D707" s="208"/>
      <c r="E707" s="208"/>
      <c r="F707" s="208"/>
      <c r="G707" s="208"/>
      <c r="H707" s="208"/>
      <c r="I707" s="208"/>
      <c r="J707" s="208"/>
      <c r="K707" s="208"/>
      <c r="L707" s="208"/>
      <c r="M707" s="208"/>
      <c r="N707" s="208"/>
      <c r="O707" s="208"/>
      <c r="P707" s="208"/>
      <c r="Q707" s="208"/>
      <c r="R707" s="208"/>
      <c r="S707" s="208"/>
      <c r="T707" s="208"/>
      <c r="U707" s="208"/>
      <c r="V707" s="208"/>
    </row>
    <row r="708" spans="1:22" ht="15.75" customHeight="1" x14ac:dyDescent="0.3">
      <c r="A708" s="208"/>
      <c r="B708" s="208"/>
      <c r="C708" s="208"/>
      <c r="D708" s="208"/>
      <c r="E708" s="208"/>
      <c r="F708" s="208"/>
      <c r="G708" s="208"/>
      <c r="H708" s="208"/>
      <c r="I708" s="208"/>
      <c r="J708" s="208"/>
      <c r="K708" s="208"/>
      <c r="L708" s="208"/>
      <c r="M708" s="208"/>
      <c r="N708" s="208"/>
      <c r="O708" s="208"/>
      <c r="P708" s="208"/>
      <c r="Q708" s="208"/>
      <c r="R708" s="208"/>
      <c r="S708" s="208"/>
      <c r="T708" s="208"/>
      <c r="U708" s="208"/>
      <c r="V708" s="208"/>
    </row>
    <row r="709" spans="1:22" ht="15.75" customHeight="1" x14ac:dyDescent="0.3">
      <c r="A709" s="208"/>
      <c r="B709" s="208"/>
      <c r="C709" s="208"/>
      <c r="D709" s="208"/>
      <c r="E709" s="208"/>
      <c r="F709" s="208"/>
      <c r="G709" s="208"/>
      <c r="H709" s="208"/>
      <c r="I709" s="208"/>
      <c r="J709" s="208"/>
      <c r="K709" s="208"/>
      <c r="L709" s="208"/>
      <c r="M709" s="208"/>
      <c r="N709" s="208"/>
      <c r="O709" s="208"/>
      <c r="P709" s="208"/>
      <c r="Q709" s="208"/>
      <c r="R709" s="208"/>
      <c r="S709" s="208"/>
      <c r="T709" s="208"/>
      <c r="U709" s="208"/>
      <c r="V709" s="208"/>
    </row>
    <row r="710" spans="1:22" ht="15.75" customHeight="1" x14ac:dyDescent="0.3">
      <c r="A710" s="208"/>
      <c r="B710" s="208"/>
      <c r="C710" s="208"/>
      <c r="D710" s="208"/>
      <c r="E710" s="208"/>
      <c r="F710" s="208"/>
      <c r="G710" s="208"/>
      <c r="H710" s="208"/>
      <c r="I710" s="208"/>
      <c r="J710" s="208"/>
      <c r="K710" s="208"/>
      <c r="L710" s="208"/>
      <c r="M710" s="208"/>
      <c r="N710" s="208"/>
      <c r="O710" s="208"/>
      <c r="P710" s="208"/>
      <c r="Q710" s="208"/>
      <c r="R710" s="208"/>
      <c r="S710" s="208"/>
      <c r="T710" s="208"/>
      <c r="U710" s="208"/>
      <c r="V710" s="208"/>
    </row>
    <row r="711" spans="1:22" ht="15.75" customHeight="1" x14ac:dyDescent="0.3">
      <c r="A711" s="208"/>
      <c r="B711" s="208"/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208"/>
      <c r="P711" s="208"/>
      <c r="Q711" s="208"/>
      <c r="R711" s="208"/>
      <c r="S711" s="208"/>
      <c r="T711" s="208"/>
      <c r="U711" s="208"/>
      <c r="V711" s="208"/>
    </row>
    <row r="712" spans="1:22" ht="15.75" customHeight="1" x14ac:dyDescent="0.3">
      <c r="A712" s="208"/>
      <c r="B712" s="208"/>
      <c r="C712" s="208"/>
      <c r="D712" s="208"/>
      <c r="E712" s="208"/>
      <c r="F712" s="208"/>
      <c r="G712" s="208"/>
      <c r="H712" s="208"/>
      <c r="I712" s="208"/>
      <c r="J712" s="208"/>
      <c r="K712" s="208"/>
      <c r="L712" s="208"/>
      <c r="M712" s="208"/>
      <c r="N712" s="208"/>
      <c r="O712" s="208"/>
      <c r="P712" s="208"/>
      <c r="Q712" s="208"/>
      <c r="R712" s="208"/>
      <c r="S712" s="208"/>
      <c r="T712" s="208"/>
      <c r="U712" s="208"/>
      <c r="V712" s="208"/>
    </row>
    <row r="713" spans="1:22" ht="15.75" customHeight="1" x14ac:dyDescent="0.3">
      <c r="A713" s="208"/>
      <c r="B713" s="208"/>
      <c r="C713" s="208"/>
      <c r="D713" s="208"/>
      <c r="E713" s="208"/>
      <c r="F713" s="208"/>
      <c r="G713" s="208"/>
      <c r="H713" s="208"/>
      <c r="I713" s="208"/>
      <c r="J713" s="208"/>
      <c r="K713" s="208"/>
      <c r="L713" s="208"/>
      <c r="M713" s="208"/>
      <c r="N713" s="208"/>
      <c r="O713" s="208"/>
      <c r="P713" s="208"/>
      <c r="Q713" s="208"/>
      <c r="R713" s="208"/>
      <c r="S713" s="208"/>
      <c r="T713" s="208"/>
      <c r="U713" s="208"/>
      <c r="V713" s="208"/>
    </row>
    <row r="714" spans="1:22" ht="15.75" customHeight="1" x14ac:dyDescent="0.3">
      <c r="A714" s="208"/>
      <c r="B714" s="208"/>
      <c r="C714" s="208"/>
      <c r="D714" s="208"/>
      <c r="E714" s="208"/>
      <c r="F714" s="208"/>
      <c r="G714" s="208"/>
      <c r="H714" s="208"/>
      <c r="I714" s="208"/>
      <c r="J714" s="208"/>
      <c r="K714" s="208"/>
      <c r="L714" s="208"/>
      <c r="M714" s="208"/>
      <c r="N714" s="208"/>
      <c r="O714" s="208"/>
      <c r="P714" s="208"/>
      <c r="Q714" s="208"/>
      <c r="R714" s="208"/>
      <c r="S714" s="208"/>
      <c r="T714" s="208"/>
      <c r="U714" s="208"/>
      <c r="V714" s="208"/>
    </row>
    <row r="715" spans="1:22" ht="15.75" customHeight="1" x14ac:dyDescent="0.3">
      <c r="A715" s="208"/>
      <c r="B715" s="208"/>
      <c r="C715" s="208"/>
      <c r="D715" s="208"/>
      <c r="E715" s="208"/>
      <c r="F715" s="208"/>
      <c r="G715" s="208"/>
      <c r="H715" s="208"/>
      <c r="I715" s="208"/>
      <c r="J715" s="208"/>
      <c r="K715" s="208"/>
      <c r="L715" s="208"/>
      <c r="M715" s="208"/>
      <c r="N715" s="208"/>
      <c r="O715" s="208"/>
      <c r="P715" s="208"/>
      <c r="Q715" s="208"/>
      <c r="R715" s="208"/>
      <c r="S715" s="208"/>
      <c r="T715" s="208"/>
      <c r="U715" s="208"/>
      <c r="V715" s="208"/>
    </row>
    <row r="716" spans="1:22" ht="15.75" customHeight="1" x14ac:dyDescent="0.3">
      <c r="A716" s="208"/>
      <c r="B716" s="208"/>
      <c r="C716" s="208"/>
      <c r="D716" s="208"/>
      <c r="E716" s="208"/>
      <c r="F716" s="208"/>
      <c r="G716" s="208"/>
      <c r="H716" s="208"/>
      <c r="I716" s="208"/>
      <c r="J716" s="208"/>
      <c r="K716" s="208"/>
      <c r="L716" s="208"/>
      <c r="M716" s="208"/>
      <c r="N716" s="208"/>
      <c r="O716" s="208"/>
      <c r="P716" s="208"/>
      <c r="Q716" s="208"/>
      <c r="R716" s="208"/>
      <c r="S716" s="208"/>
      <c r="T716" s="208"/>
      <c r="U716" s="208"/>
      <c r="V716" s="208"/>
    </row>
    <row r="717" spans="1:22" ht="15.75" customHeight="1" x14ac:dyDescent="0.3">
      <c r="A717" s="208"/>
      <c r="B717" s="208"/>
      <c r="C717" s="208"/>
      <c r="D717" s="208"/>
      <c r="E717" s="208"/>
      <c r="F717" s="208"/>
      <c r="G717" s="208"/>
      <c r="H717" s="208"/>
      <c r="I717" s="208"/>
      <c r="J717" s="208"/>
      <c r="K717" s="208"/>
      <c r="L717" s="208"/>
      <c r="M717" s="208"/>
      <c r="N717" s="208"/>
      <c r="O717" s="208"/>
      <c r="P717" s="208"/>
      <c r="Q717" s="208"/>
      <c r="R717" s="208"/>
      <c r="S717" s="208"/>
      <c r="T717" s="208"/>
      <c r="U717" s="208"/>
      <c r="V717" s="208"/>
    </row>
    <row r="718" spans="1:22" ht="15.75" customHeight="1" x14ac:dyDescent="0.3">
      <c r="A718" s="208"/>
      <c r="B718" s="208"/>
      <c r="C718" s="208"/>
      <c r="D718" s="208"/>
      <c r="E718" s="208"/>
      <c r="F718" s="208"/>
      <c r="G718" s="208"/>
      <c r="H718" s="208"/>
      <c r="I718" s="208"/>
      <c r="J718" s="208"/>
      <c r="K718" s="208"/>
      <c r="L718" s="208"/>
      <c r="M718" s="208"/>
      <c r="N718" s="208"/>
      <c r="O718" s="208"/>
      <c r="P718" s="208"/>
      <c r="Q718" s="208"/>
      <c r="R718" s="208"/>
      <c r="S718" s="208"/>
      <c r="T718" s="208"/>
      <c r="U718" s="208"/>
      <c r="V718" s="208"/>
    </row>
    <row r="719" spans="1:22" ht="15.75" customHeight="1" x14ac:dyDescent="0.3">
      <c r="A719" s="208"/>
      <c r="B719" s="208"/>
      <c r="C719" s="208"/>
      <c r="D719" s="208"/>
      <c r="E719" s="208"/>
      <c r="F719" s="208"/>
      <c r="G719" s="208"/>
      <c r="H719" s="208"/>
      <c r="I719" s="208"/>
      <c r="J719" s="208"/>
      <c r="K719" s="208"/>
      <c r="L719" s="208"/>
      <c r="M719" s="208"/>
      <c r="N719" s="208"/>
      <c r="O719" s="208"/>
      <c r="P719" s="208"/>
      <c r="Q719" s="208"/>
      <c r="R719" s="208"/>
      <c r="S719" s="208"/>
      <c r="T719" s="208"/>
      <c r="U719" s="208"/>
      <c r="V719" s="208"/>
    </row>
    <row r="720" spans="1:22" ht="15.75" customHeight="1" x14ac:dyDescent="0.3">
      <c r="A720" s="208"/>
      <c r="B720" s="208"/>
      <c r="C720" s="208"/>
      <c r="D720" s="208"/>
      <c r="E720" s="208"/>
      <c r="F720" s="208"/>
      <c r="G720" s="208"/>
      <c r="H720" s="208"/>
      <c r="I720" s="208"/>
      <c r="J720" s="208"/>
      <c r="K720" s="208"/>
      <c r="L720" s="208"/>
      <c r="M720" s="208"/>
      <c r="N720" s="208"/>
      <c r="O720" s="208"/>
      <c r="P720" s="208"/>
      <c r="Q720" s="208"/>
      <c r="R720" s="208"/>
      <c r="S720" s="208"/>
      <c r="T720" s="208"/>
      <c r="U720" s="208"/>
      <c r="V720" s="208"/>
    </row>
    <row r="721" spans="1:22" ht="15.75" customHeight="1" x14ac:dyDescent="0.3">
      <c r="A721" s="208"/>
      <c r="B721" s="208"/>
      <c r="C721" s="208"/>
      <c r="D721" s="208"/>
      <c r="E721" s="208"/>
      <c r="F721" s="208"/>
      <c r="G721" s="208"/>
      <c r="H721" s="208"/>
      <c r="I721" s="208"/>
      <c r="J721" s="208"/>
      <c r="K721" s="208"/>
      <c r="L721" s="208"/>
      <c r="M721" s="208"/>
      <c r="N721" s="208"/>
      <c r="O721" s="208"/>
      <c r="P721" s="208"/>
      <c r="Q721" s="208"/>
      <c r="R721" s="208"/>
      <c r="S721" s="208"/>
      <c r="T721" s="208"/>
      <c r="U721" s="208"/>
      <c r="V721" s="208"/>
    </row>
    <row r="722" spans="1:22" ht="15.75" customHeight="1" x14ac:dyDescent="0.3">
      <c r="A722" s="208"/>
      <c r="B722" s="208"/>
      <c r="C722" s="208"/>
      <c r="D722" s="208"/>
      <c r="E722" s="208"/>
      <c r="F722" s="208"/>
      <c r="G722" s="208"/>
      <c r="H722" s="208"/>
      <c r="I722" s="208"/>
      <c r="J722" s="208"/>
      <c r="K722" s="208"/>
      <c r="L722" s="208"/>
      <c r="M722" s="208"/>
      <c r="N722" s="208"/>
      <c r="O722" s="208"/>
      <c r="P722" s="208"/>
      <c r="Q722" s="208"/>
      <c r="R722" s="208"/>
      <c r="S722" s="208"/>
      <c r="T722" s="208"/>
      <c r="U722" s="208"/>
      <c r="V722" s="208"/>
    </row>
    <row r="723" spans="1:22" ht="15.75" customHeight="1" x14ac:dyDescent="0.3">
      <c r="A723" s="208"/>
      <c r="B723" s="208"/>
      <c r="C723" s="208"/>
      <c r="D723" s="208"/>
      <c r="E723" s="208"/>
      <c r="F723" s="208"/>
      <c r="G723" s="208"/>
      <c r="H723" s="208"/>
      <c r="I723" s="208"/>
      <c r="J723" s="208"/>
      <c r="K723" s="208"/>
      <c r="L723" s="208"/>
      <c r="M723" s="208"/>
      <c r="N723" s="208"/>
      <c r="O723" s="208"/>
      <c r="P723" s="208"/>
      <c r="Q723" s="208"/>
      <c r="R723" s="208"/>
      <c r="S723" s="208"/>
      <c r="T723" s="208"/>
      <c r="U723" s="208"/>
      <c r="V723" s="208"/>
    </row>
    <row r="724" spans="1:22" ht="15.75" customHeight="1" x14ac:dyDescent="0.3">
      <c r="A724" s="208"/>
      <c r="B724" s="208"/>
      <c r="C724" s="208"/>
      <c r="D724" s="208"/>
      <c r="E724" s="208"/>
      <c r="F724" s="208"/>
      <c r="G724" s="208"/>
      <c r="H724" s="208"/>
      <c r="I724" s="208"/>
      <c r="J724" s="208"/>
      <c r="K724" s="208"/>
      <c r="L724" s="208"/>
      <c r="M724" s="208"/>
      <c r="N724" s="208"/>
      <c r="O724" s="208"/>
      <c r="P724" s="208"/>
      <c r="Q724" s="208"/>
      <c r="R724" s="208"/>
      <c r="S724" s="208"/>
      <c r="T724" s="208"/>
      <c r="U724" s="208"/>
      <c r="V724" s="208"/>
    </row>
    <row r="725" spans="1:22" ht="15.75" customHeight="1" x14ac:dyDescent="0.3">
      <c r="A725" s="208"/>
      <c r="B725" s="208"/>
      <c r="C725" s="208"/>
      <c r="D725" s="208"/>
      <c r="E725" s="208"/>
      <c r="F725" s="208"/>
      <c r="G725" s="208"/>
      <c r="H725" s="208"/>
      <c r="I725" s="208"/>
      <c r="J725" s="208"/>
      <c r="K725" s="208"/>
      <c r="L725" s="208"/>
      <c r="M725" s="208"/>
      <c r="N725" s="208"/>
      <c r="O725" s="208"/>
      <c r="P725" s="208"/>
      <c r="Q725" s="208"/>
      <c r="R725" s="208"/>
      <c r="S725" s="208"/>
      <c r="T725" s="208"/>
      <c r="U725" s="208"/>
      <c r="V725" s="208"/>
    </row>
    <row r="726" spans="1:22" ht="15.75" customHeight="1" x14ac:dyDescent="0.3">
      <c r="A726" s="208"/>
      <c r="B726" s="208"/>
      <c r="C726" s="208"/>
      <c r="D726" s="208"/>
      <c r="E726" s="208"/>
      <c r="F726" s="208"/>
      <c r="G726" s="208"/>
      <c r="H726" s="208"/>
      <c r="I726" s="208"/>
      <c r="J726" s="208"/>
      <c r="K726" s="208"/>
      <c r="L726" s="208"/>
      <c r="M726" s="208"/>
      <c r="N726" s="208"/>
      <c r="O726" s="208"/>
      <c r="P726" s="208"/>
      <c r="Q726" s="208"/>
      <c r="R726" s="208"/>
      <c r="S726" s="208"/>
      <c r="T726" s="208"/>
      <c r="U726" s="208"/>
      <c r="V726" s="208"/>
    </row>
    <row r="727" spans="1:22" ht="15.75" customHeight="1" x14ac:dyDescent="0.3">
      <c r="A727" s="208"/>
      <c r="B727" s="208"/>
      <c r="C727" s="208"/>
      <c r="D727" s="208"/>
      <c r="E727" s="208"/>
      <c r="F727" s="208"/>
      <c r="G727" s="208"/>
      <c r="H727" s="208"/>
      <c r="I727" s="208"/>
      <c r="J727" s="208"/>
      <c r="K727" s="208"/>
      <c r="L727" s="208"/>
      <c r="M727" s="208"/>
      <c r="N727" s="208"/>
      <c r="O727" s="208"/>
      <c r="P727" s="208"/>
      <c r="Q727" s="208"/>
      <c r="R727" s="208"/>
      <c r="S727" s="208"/>
      <c r="T727" s="208"/>
      <c r="U727" s="208"/>
      <c r="V727" s="208"/>
    </row>
    <row r="728" spans="1:22" ht="15.75" customHeight="1" x14ac:dyDescent="0.3">
      <c r="A728" s="208"/>
      <c r="B728" s="208"/>
      <c r="C728" s="208"/>
      <c r="D728" s="208"/>
      <c r="E728" s="208"/>
      <c r="F728" s="208"/>
      <c r="G728" s="208"/>
      <c r="H728" s="208"/>
      <c r="I728" s="208"/>
      <c r="J728" s="208"/>
      <c r="K728" s="208"/>
      <c r="L728" s="208"/>
      <c r="M728" s="208"/>
      <c r="N728" s="208"/>
      <c r="O728" s="208"/>
      <c r="P728" s="208"/>
      <c r="Q728" s="208"/>
      <c r="R728" s="208"/>
      <c r="S728" s="208"/>
      <c r="T728" s="208"/>
      <c r="U728" s="208"/>
      <c r="V728" s="208"/>
    </row>
    <row r="729" spans="1:22" ht="15.75" customHeight="1" x14ac:dyDescent="0.3">
      <c r="A729" s="208"/>
      <c r="B729" s="208"/>
      <c r="C729" s="208"/>
      <c r="D729" s="208"/>
      <c r="E729" s="208"/>
      <c r="F729" s="208"/>
      <c r="G729" s="208"/>
      <c r="H729" s="208"/>
      <c r="I729" s="208"/>
      <c r="J729" s="208"/>
      <c r="K729" s="208"/>
      <c r="L729" s="208"/>
      <c r="M729" s="208"/>
      <c r="N729" s="208"/>
      <c r="O729" s="208"/>
      <c r="P729" s="208"/>
      <c r="Q729" s="208"/>
      <c r="R729" s="208"/>
      <c r="S729" s="208"/>
      <c r="T729" s="208"/>
      <c r="U729" s="208"/>
      <c r="V729" s="208"/>
    </row>
    <row r="730" spans="1:22" ht="15.75" customHeight="1" x14ac:dyDescent="0.3">
      <c r="A730" s="208"/>
      <c r="B730" s="208"/>
      <c r="C730" s="208"/>
      <c r="D730" s="208"/>
      <c r="E730" s="208"/>
      <c r="F730" s="208"/>
      <c r="G730" s="208"/>
      <c r="H730" s="208"/>
      <c r="I730" s="208"/>
      <c r="J730" s="208"/>
      <c r="K730" s="208"/>
      <c r="L730" s="208"/>
      <c r="M730" s="208"/>
      <c r="N730" s="208"/>
      <c r="O730" s="208"/>
      <c r="P730" s="208"/>
      <c r="Q730" s="208"/>
      <c r="R730" s="208"/>
      <c r="S730" s="208"/>
      <c r="T730" s="208"/>
      <c r="U730" s="208"/>
      <c r="V730" s="208"/>
    </row>
    <row r="731" spans="1:22" ht="15.75" customHeight="1" x14ac:dyDescent="0.3">
      <c r="A731" s="208"/>
      <c r="B731" s="208"/>
      <c r="C731" s="208"/>
      <c r="D731" s="208"/>
      <c r="E731" s="208"/>
      <c r="F731" s="208"/>
      <c r="G731" s="208"/>
      <c r="H731" s="208"/>
      <c r="I731" s="208"/>
      <c r="J731" s="208"/>
      <c r="K731" s="208"/>
      <c r="L731" s="208"/>
      <c r="M731" s="208"/>
      <c r="N731" s="208"/>
      <c r="O731" s="208"/>
      <c r="P731" s="208"/>
      <c r="Q731" s="208"/>
      <c r="R731" s="208"/>
      <c r="S731" s="208"/>
      <c r="T731" s="208"/>
      <c r="U731" s="208"/>
      <c r="V731" s="208"/>
    </row>
    <row r="732" spans="1:22" ht="15.75" customHeight="1" x14ac:dyDescent="0.3">
      <c r="A732" s="208"/>
      <c r="B732" s="208"/>
      <c r="C732" s="208"/>
      <c r="D732" s="208"/>
      <c r="E732" s="208"/>
      <c r="F732" s="208"/>
      <c r="G732" s="208"/>
      <c r="H732" s="208"/>
      <c r="I732" s="208"/>
      <c r="J732" s="208"/>
      <c r="K732" s="208"/>
      <c r="L732" s="208"/>
      <c r="M732" s="208"/>
      <c r="N732" s="208"/>
      <c r="O732" s="208"/>
      <c r="P732" s="208"/>
      <c r="Q732" s="208"/>
      <c r="R732" s="208"/>
      <c r="S732" s="208"/>
      <c r="T732" s="208"/>
      <c r="U732" s="208"/>
      <c r="V732" s="208"/>
    </row>
    <row r="733" spans="1:22" ht="15.75" customHeight="1" x14ac:dyDescent="0.3">
      <c r="A733" s="208"/>
      <c r="B733" s="208"/>
      <c r="C733" s="208"/>
      <c r="D733" s="208"/>
      <c r="E733" s="208"/>
      <c r="F733" s="208"/>
      <c r="G733" s="208"/>
      <c r="H733" s="208"/>
      <c r="I733" s="208"/>
      <c r="J733" s="208"/>
      <c r="K733" s="208"/>
      <c r="L733" s="208"/>
      <c r="M733" s="208"/>
      <c r="N733" s="208"/>
      <c r="O733" s="208"/>
      <c r="P733" s="208"/>
      <c r="Q733" s="208"/>
      <c r="R733" s="208"/>
      <c r="S733" s="208"/>
      <c r="T733" s="208"/>
      <c r="U733" s="208"/>
      <c r="V733" s="208"/>
    </row>
    <row r="734" spans="1:22" ht="15.75" customHeight="1" x14ac:dyDescent="0.3">
      <c r="A734" s="208"/>
      <c r="B734" s="208"/>
      <c r="C734" s="208"/>
      <c r="D734" s="208"/>
      <c r="E734" s="208"/>
      <c r="F734" s="208"/>
      <c r="G734" s="208"/>
      <c r="H734" s="208"/>
      <c r="I734" s="208"/>
      <c r="J734" s="208"/>
      <c r="K734" s="208"/>
      <c r="L734" s="208"/>
      <c r="M734" s="208"/>
      <c r="N734" s="208"/>
      <c r="O734" s="208"/>
      <c r="P734" s="208"/>
      <c r="Q734" s="208"/>
      <c r="R734" s="208"/>
      <c r="S734" s="208"/>
      <c r="T734" s="208"/>
      <c r="U734" s="208"/>
      <c r="V734" s="208"/>
    </row>
    <row r="735" spans="1:22" ht="15.75" customHeight="1" x14ac:dyDescent="0.3">
      <c r="A735" s="208"/>
      <c r="B735" s="208"/>
      <c r="C735" s="208"/>
      <c r="D735" s="208"/>
      <c r="E735" s="208"/>
      <c r="F735" s="208"/>
      <c r="G735" s="208"/>
      <c r="H735" s="208"/>
      <c r="I735" s="208"/>
      <c r="J735" s="208"/>
      <c r="K735" s="208"/>
      <c r="L735" s="208"/>
      <c r="M735" s="208"/>
      <c r="N735" s="208"/>
      <c r="O735" s="208"/>
      <c r="P735" s="208"/>
      <c r="Q735" s="208"/>
      <c r="R735" s="208"/>
      <c r="S735" s="208"/>
      <c r="T735" s="208"/>
      <c r="U735" s="208"/>
      <c r="V735" s="208"/>
    </row>
    <row r="736" spans="1:22" ht="15.75" customHeight="1" x14ac:dyDescent="0.3">
      <c r="A736" s="208"/>
      <c r="B736" s="208"/>
      <c r="C736" s="208"/>
      <c r="D736" s="208"/>
      <c r="E736" s="208"/>
      <c r="F736" s="208"/>
      <c r="G736" s="208"/>
      <c r="H736" s="208"/>
      <c r="I736" s="208"/>
      <c r="J736" s="208"/>
      <c r="K736" s="208"/>
      <c r="L736" s="208"/>
      <c r="M736" s="208"/>
      <c r="N736" s="208"/>
      <c r="O736" s="208"/>
      <c r="P736" s="208"/>
      <c r="Q736" s="208"/>
      <c r="R736" s="208"/>
      <c r="S736" s="208"/>
      <c r="T736" s="208"/>
      <c r="U736" s="208"/>
      <c r="V736" s="208"/>
    </row>
    <row r="737" spans="1:22" ht="15.75" customHeight="1" x14ac:dyDescent="0.3">
      <c r="A737" s="208"/>
      <c r="B737" s="208"/>
      <c r="C737" s="208"/>
      <c r="D737" s="208"/>
      <c r="E737" s="208"/>
      <c r="F737" s="208"/>
      <c r="G737" s="208"/>
      <c r="H737" s="208"/>
      <c r="I737" s="208"/>
      <c r="J737" s="208"/>
      <c r="K737" s="208"/>
      <c r="L737" s="208"/>
      <c r="M737" s="208"/>
      <c r="N737" s="208"/>
      <c r="O737" s="208"/>
      <c r="P737" s="208"/>
      <c r="Q737" s="208"/>
      <c r="R737" s="208"/>
      <c r="S737" s="208"/>
      <c r="T737" s="208"/>
      <c r="U737" s="208"/>
      <c r="V737" s="208"/>
    </row>
    <row r="738" spans="1:22" ht="15.75" customHeight="1" x14ac:dyDescent="0.3">
      <c r="A738" s="208"/>
      <c r="B738" s="208"/>
      <c r="C738" s="208"/>
      <c r="D738" s="208"/>
      <c r="E738" s="208"/>
      <c r="F738" s="208"/>
      <c r="G738" s="208"/>
      <c r="H738" s="208"/>
      <c r="I738" s="208"/>
      <c r="J738" s="208"/>
      <c r="K738" s="208"/>
      <c r="L738" s="208"/>
      <c r="M738" s="208"/>
      <c r="N738" s="208"/>
      <c r="O738" s="208"/>
      <c r="P738" s="208"/>
      <c r="Q738" s="208"/>
      <c r="R738" s="208"/>
      <c r="S738" s="208"/>
      <c r="T738" s="208"/>
      <c r="U738" s="208"/>
      <c r="V738" s="208"/>
    </row>
    <row r="739" spans="1:22" ht="15.75" customHeight="1" x14ac:dyDescent="0.3">
      <c r="A739" s="208"/>
      <c r="B739" s="208"/>
      <c r="C739" s="208"/>
      <c r="D739" s="208"/>
      <c r="E739" s="208"/>
      <c r="F739" s="208"/>
      <c r="G739" s="208"/>
      <c r="H739" s="208"/>
      <c r="I739" s="208"/>
      <c r="J739" s="208"/>
      <c r="K739" s="208"/>
      <c r="L739" s="208"/>
      <c r="M739" s="208"/>
      <c r="N739" s="208"/>
      <c r="O739" s="208"/>
      <c r="P739" s="208"/>
      <c r="Q739" s="208"/>
      <c r="R739" s="208"/>
      <c r="S739" s="208"/>
      <c r="T739" s="208"/>
      <c r="U739" s="208"/>
      <c r="V739" s="208"/>
    </row>
    <row r="740" spans="1:22" ht="15.75" customHeight="1" x14ac:dyDescent="0.3">
      <c r="A740" s="208"/>
      <c r="B740" s="208"/>
      <c r="C740" s="208"/>
      <c r="D740" s="208"/>
      <c r="E740" s="208"/>
      <c r="F740" s="208"/>
      <c r="G740" s="208"/>
      <c r="H740" s="208"/>
      <c r="I740" s="208"/>
      <c r="J740" s="208"/>
      <c r="K740" s="208"/>
      <c r="L740" s="208"/>
      <c r="M740" s="208"/>
      <c r="N740" s="208"/>
      <c r="O740" s="208"/>
      <c r="P740" s="208"/>
      <c r="Q740" s="208"/>
      <c r="R740" s="208"/>
      <c r="S740" s="208"/>
      <c r="T740" s="208"/>
      <c r="U740" s="208"/>
      <c r="V740" s="208"/>
    </row>
    <row r="741" spans="1:22" ht="15.75" customHeight="1" x14ac:dyDescent="0.3">
      <c r="A741" s="208"/>
      <c r="B741" s="208"/>
      <c r="C741" s="208"/>
      <c r="D741" s="208"/>
      <c r="E741" s="208"/>
      <c r="F741" s="208"/>
      <c r="G741" s="208"/>
      <c r="H741" s="208"/>
      <c r="I741" s="208"/>
      <c r="J741" s="208"/>
      <c r="K741" s="208"/>
      <c r="L741" s="208"/>
      <c r="M741" s="208"/>
      <c r="N741" s="208"/>
      <c r="O741" s="208"/>
      <c r="P741" s="208"/>
      <c r="Q741" s="208"/>
      <c r="R741" s="208"/>
      <c r="S741" s="208"/>
      <c r="T741" s="208"/>
      <c r="U741" s="208"/>
      <c r="V741" s="208"/>
    </row>
    <row r="742" spans="1:22" ht="15.75" customHeight="1" x14ac:dyDescent="0.3">
      <c r="A742" s="208"/>
      <c r="B742" s="208"/>
      <c r="C742" s="208"/>
      <c r="D742" s="208"/>
      <c r="E742" s="208"/>
      <c r="F742" s="208"/>
      <c r="G742" s="208"/>
      <c r="H742" s="208"/>
      <c r="I742" s="208"/>
      <c r="J742" s="208"/>
      <c r="K742" s="208"/>
      <c r="L742" s="208"/>
      <c r="M742" s="208"/>
      <c r="N742" s="208"/>
      <c r="O742" s="208"/>
      <c r="P742" s="208"/>
      <c r="Q742" s="208"/>
      <c r="R742" s="208"/>
      <c r="S742" s="208"/>
      <c r="T742" s="208"/>
      <c r="U742" s="208"/>
      <c r="V742" s="208"/>
    </row>
    <row r="743" spans="1:22" ht="15.75" customHeight="1" x14ac:dyDescent="0.3">
      <c r="A743" s="208"/>
      <c r="B743" s="208"/>
      <c r="C743" s="208"/>
      <c r="D743" s="208"/>
      <c r="E743" s="208"/>
      <c r="F743" s="208"/>
      <c r="G743" s="208"/>
      <c r="H743" s="208"/>
      <c r="I743" s="208"/>
      <c r="J743" s="208"/>
      <c r="K743" s="208"/>
      <c r="L743" s="208"/>
      <c r="M743" s="208"/>
      <c r="N743" s="208"/>
      <c r="O743" s="208"/>
      <c r="P743" s="208"/>
      <c r="Q743" s="208"/>
      <c r="R743" s="208"/>
      <c r="S743" s="208"/>
      <c r="T743" s="208"/>
      <c r="U743" s="208"/>
      <c r="V743" s="208"/>
    </row>
    <row r="744" spans="1:22" ht="15.75" customHeight="1" x14ac:dyDescent="0.3">
      <c r="A744" s="208"/>
      <c r="B744" s="208"/>
      <c r="C744" s="208"/>
      <c r="D744" s="208"/>
      <c r="E744" s="208"/>
      <c r="F744" s="208"/>
      <c r="G744" s="208"/>
      <c r="H744" s="208"/>
      <c r="I744" s="208"/>
      <c r="J744" s="208"/>
      <c r="K744" s="208"/>
      <c r="L744" s="208"/>
      <c r="M744" s="208"/>
      <c r="N744" s="208"/>
      <c r="O744" s="208"/>
      <c r="P744" s="208"/>
      <c r="Q744" s="208"/>
      <c r="R744" s="208"/>
      <c r="S744" s="208"/>
      <c r="T744" s="208"/>
      <c r="U744" s="208"/>
      <c r="V744" s="208"/>
    </row>
    <row r="745" spans="1:22" ht="15.75" customHeight="1" x14ac:dyDescent="0.3">
      <c r="A745" s="208"/>
      <c r="B745" s="208"/>
      <c r="C745" s="208"/>
      <c r="D745" s="208"/>
      <c r="E745" s="208"/>
      <c r="F745" s="208"/>
      <c r="G745" s="208"/>
      <c r="H745" s="208"/>
      <c r="I745" s="208"/>
      <c r="J745" s="208"/>
      <c r="K745" s="208"/>
      <c r="L745" s="208"/>
      <c r="M745" s="208"/>
      <c r="N745" s="208"/>
      <c r="O745" s="208"/>
      <c r="P745" s="208"/>
      <c r="Q745" s="208"/>
      <c r="R745" s="208"/>
      <c r="S745" s="208"/>
      <c r="T745" s="208"/>
      <c r="U745" s="208"/>
      <c r="V745" s="208"/>
    </row>
    <row r="746" spans="1:22" ht="15.75" customHeight="1" x14ac:dyDescent="0.3">
      <c r="A746" s="208"/>
      <c r="B746" s="208"/>
      <c r="C746" s="208"/>
      <c r="D746" s="208"/>
      <c r="E746" s="208"/>
      <c r="F746" s="208"/>
      <c r="G746" s="208"/>
      <c r="H746" s="208"/>
      <c r="I746" s="208"/>
      <c r="J746" s="208"/>
      <c r="K746" s="208"/>
      <c r="L746" s="208"/>
      <c r="M746" s="208"/>
      <c r="N746" s="208"/>
      <c r="O746" s="208"/>
      <c r="P746" s="208"/>
      <c r="Q746" s="208"/>
      <c r="R746" s="208"/>
      <c r="S746" s="208"/>
      <c r="T746" s="208"/>
      <c r="U746" s="208"/>
      <c r="V746" s="208"/>
    </row>
    <row r="747" spans="1:22" ht="15.75" customHeight="1" x14ac:dyDescent="0.3">
      <c r="A747" s="208"/>
      <c r="B747" s="208"/>
      <c r="C747" s="208"/>
      <c r="D747" s="208"/>
      <c r="E747" s="208"/>
      <c r="F747" s="208"/>
      <c r="G747" s="208"/>
      <c r="H747" s="208"/>
      <c r="I747" s="208"/>
      <c r="J747" s="208"/>
      <c r="K747" s="208"/>
      <c r="L747" s="208"/>
      <c r="M747" s="208"/>
      <c r="N747" s="208"/>
      <c r="O747" s="208"/>
      <c r="P747" s="208"/>
      <c r="Q747" s="208"/>
      <c r="R747" s="208"/>
      <c r="S747" s="208"/>
      <c r="T747" s="208"/>
      <c r="U747" s="208"/>
      <c r="V747" s="208"/>
    </row>
    <row r="748" spans="1:22" ht="15.75" customHeight="1" x14ac:dyDescent="0.3">
      <c r="A748" s="208"/>
      <c r="B748" s="208"/>
      <c r="C748" s="208"/>
      <c r="D748" s="208"/>
      <c r="E748" s="208"/>
      <c r="F748" s="208"/>
      <c r="G748" s="208"/>
      <c r="H748" s="208"/>
      <c r="I748" s="208"/>
      <c r="J748" s="208"/>
      <c r="K748" s="208"/>
      <c r="L748" s="208"/>
      <c r="M748" s="208"/>
      <c r="N748" s="208"/>
      <c r="O748" s="208"/>
      <c r="P748" s="208"/>
      <c r="Q748" s="208"/>
      <c r="R748" s="208"/>
      <c r="S748" s="208"/>
      <c r="T748" s="208"/>
      <c r="U748" s="208"/>
      <c r="V748" s="208"/>
    </row>
    <row r="749" spans="1:22" ht="15.75" customHeight="1" x14ac:dyDescent="0.3">
      <c r="A749" s="208"/>
      <c r="B749" s="208"/>
      <c r="C749" s="208"/>
      <c r="D749" s="208"/>
      <c r="E749" s="208"/>
      <c r="F749" s="208"/>
      <c r="G749" s="208"/>
      <c r="H749" s="208"/>
      <c r="I749" s="208"/>
      <c r="J749" s="208"/>
      <c r="K749" s="208"/>
      <c r="L749" s="208"/>
      <c r="M749" s="208"/>
      <c r="N749" s="208"/>
      <c r="O749" s="208"/>
      <c r="P749" s="208"/>
      <c r="Q749" s="208"/>
      <c r="R749" s="208"/>
      <c r="S749" s="208"/>
      <c r="T749" s="208"/>
      <c r="U749" s="208"/>
      <c r="V749" s="208"/>
    </row>
    <row r="750" spans="1:22" ht="15.75" customHeight="1" x14ac:dyDescent="0.3">
      <c r="A750" s="208"/>
      <c r="B750" s="208"/>
      <c r="C750" s="208"/>
      <c r="D750" s="208"/>
      <c r="E750" s="208"/>
      <c r="F750" s="208"/>
      <c r="G750" s="208"/>
      <c r="H750" s="208"/>
      <c r="I750" s="208"/>
      <c r="J750" s="208"/>
      <c r="K750" s="208"/>
      <c r="L750" s="208"/>
      <c r="M750" s="208"/>
      <c r="N750" s="208"/>
      <c r="O750" s="208"/>
      <c r="P750" s="208"/>
      <c r="Q750" s="208"/>
      <c r="R750" s="208"/>
      <c r="S750" s="208"/>
      <c r="T750" s="208"/>
      <c r="U750" s="208"/>
      <c r="V750" s="208"/>
    </row>
    <row r="751" spans="1:22" ht="15.75" customHeight="1" x14ac:dyDescent="0.3">
      <c r="A751" s="208"/>
      <c r="B751" s="208"/>
      <c r="C751" s="208"/>
      <c r="D751" s="208"/>
      <c r="E751" s="208"/>
      <c r="F751" s="208"/>
      <c r="G751" s="208"/>
      <c r="H751" s="208"/>
      <c r="I751" s="208"/>
      <c r="J751" s="208"/>
      <c r="K751" s="208"/>
      <c r="L751" s="208"/>
      <c r="M751" s="208"/>
      <c r="N751" s="208"/>
      <c r="O751" s="208"/>
      <c r="P751" s="208"/>
      <c r="Q751" s="208"/>
      <c r="R751" s="208"/>
      <c r="S751" s="208"/>
      <c r="T751" s="208"/>
      <c r="U751" s="208"/>
      <c r="V751" s="208"/>
    </row>
    <row r="752" spans="1:22" ht="15.75" customHeight="1" x14ac:dyDescent="0.3">
      <c r="A752" s="208"/>
      <c r="B752" s="208"/>
      <c r="C752" s="208"/>
      <c r="D752" s="208"/>
      <c r="E752" s="208"/>
      <c r="F752" s="208"/>
      <c r="G752" s="208"/>
      <c r="H752" s="208"/>
      <c r="I752" s="208"/>
      <c r="J752" s="208"/>
      <c r="K752" s="208"/>
      <c r="L752" s="208"/>
      <c r="M752" s="208"/>
      <c r="N752" s="208"/>
      <c r="O752" s="208"/>
      <c r="P752" s="208"/>
      <c r="Q752" s="208"/>
      <c r="R752" s="208"/>
      <c r="S752" s="208"/>
      <c r="T752" s="208"/>
      <c r="U752" s="208"/>
      <c r="V752" s="208"/>
    </row>
    <row r="753" spans="1:22" ht="15.75" customHeight="1" x14ac:dyDescent="0.3">
      <c r="A753" s="208"/>
      <c r="B753" s="208"/>
      <c r="C753" s="208"/>
      <c r="D753" s="208"/>
      <c r="E753" s="208"/>
      <c r="F753" s="208"/>
      <c r="G753" s="208"/>
      <c r="H753" s="208"/>
      <c r="I753" s="208"/>
      <c r="J753" s="208"/>
      <c r="K753" s="208"/>
      <c r="L753" s="208"/>
      <c r="M753" s="208"/>
      <c r="N753" s="208"/>
      <c r="O753" s="208"/>
      <c r="P753" s="208"/>
      <c r="Q753" s="208"/>
      <c r="R753" s="208"/>
      <c r="S753" s="208"/>
      <c r="T753" s="208"/>
      <c r="U753" s="208"/>
      <c r="V753" s="208"/>
    </row>
    <row r="754" spans="1:22" ht="15.75" customHeight="1" x14ac:dyDescent="0.3">
      <c r="A754" s="208"/>
      <c r="B754" s="208"/>
      <c r="C754" s="208"/>
      <c r="D754" s="208"/>
      <c r="E754" s="208"/>
      <c r="F754" s="208"/>
      <c r="G754" s="208"/>
      <c r="H754" s="208"/>
      <c r="I754" s="208"/>
      <c r="J754" s="208"/>
      <c r="K754" s="208"/>
      <c r="L754" s="208"/>
      <c r="M754" s="208"/>
      <c r="N754" s="208"/>
      <c r="O754" s="208"/>
      <c r="P754" s="208"/>
      <c r="Q754" s="208"/>
      <c r="R754" s="208"/>
      <c r="S754" s="208"/>
      <c r="T754" s="208"/>
      <c r="U754" s="208"/>
      <c r="V754" s="208"/>
    </row>
    <row r="755" spans="1:22" ht="15.75" customHeight="1" x14ac:dyDescent="0.3">
      <c r="A755" s="208"/>
      <c r="B755" s="208"/>
      <c r="C755" s="208"/>
      <c r="D755" s="208"/>
      <c r="E755" s="208"/>
      <c r="F755" s="208"/>
      <c r="G755" s="208"/>
      <c r="H755" s="208"/>
      <c r="I755" s="208"/>
      <c r="J755" s="208"/>
      <c r="K755" s="208"/>
      <c r="L755" s="208"/>
      <c r="M755" s="208"/>
      <c r="N755" s="208"/>
      <c r="O755" s="208"/>
      <c r="P755" s="208"/>
      <c r="Q755" s="208"/>
      <c r="R755" s="208"/>
      <c r="S755" s="208"/>
      <c r="T755" s="208"/>
      <c r="U755" s="208"/>
      <c r="V755" s="208"/>
    </row>
    <row r="756" spans="1:22" ht="15.75" customHeight="1" x14ac:dyDescent="0.3">
      <c r="A756" s="208"/>
      <c r="B756" s="208"/>
      <c r="C756" s="208"/>
      <c r="D756" s="208"/>
      <c r="E756" s="208"/>
      <c r="F756" s="208"/>
      <c r="G756" s="208"/>
      <c r="H756" s="208"/>
      <c r="I756" s="208"/>
      <c r="J756" s="208"/>
      <c r="K756" s="208"/>
      <c r="L756" s="208"/>
      <c r="M756" s="208"/>
      <c r="N756" s="208"/>
      <c r="O756" s="208"/>
      <c r="P756" s="208"/>
      <c r="Q756" s="208"/>
      <c r="R756" s="208"/>
      <c r="S756" s="208"/>
      <c r="T756" s="208"/>
      <c r="U756" s="208"/>
      <c r="V756" s="208"/>
    </row>
    <row r="757" spans="1:22" ht="15.75" customHeight="1" x14ac:dyDescent="0.3">
      <c r="A757" s="208"/>
      <c r="B757" s="208"/>
      <c r="C757" s="208"/>
      <c r="D757" s="208"/>
      <c r="E757" s="208"/>
      <c r="F757" s="208"/>
      <c r="G757" s="208"/>
      <c r="H757" s="208"/>
      <c r="I757" s="208"/>
      <c r="J757" s="208"/>
      <c r="K757" s="208"/>
      <c r="L757" s="208"/>
      <c r="M757" s="208"/>
      <c r="N757" s="208"/>
      <c r="O757" s="208"/>
      <c r="P757" s="208"/>
      <c r="Q757" s="208"/>
      <c r="R757" s="208"/>
      <c r="S757" s="208"/>
      <c r="T757" s="208"/>
      <c r="U757" s="208"/>
      <c r="V757" s="208"/>
    </row>
    <row r="758" spans="1:22" ht="15.75" customHeight="1" x14ac:dyDescent="0.3">
      <c r="A758" s="208"/>
      <c r="B758" s="208"/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208"/>
      <c r="P758" s="208"/>
      <c r="Q758" s="208"/>
      <c r="R758" s="208"/>
      <c r="S758" s="208"/>
      <c r="T758" s="208"/>
      <c r="U758" s="208"/>
      <c r="V758" s="208"/>
    </row>
    <row r="759" spans="1:22" ht="15.75" customHeight="1" x14ac:dyDescent="0.3">
      <c r="A759" s="208"/>
      <c r="B759" s="208"/>
      <c r="C759" s="208"/>
      <c r="D759" s="208"/>
      <c r="E759" s="208"/>
      <c r="F759" s="208"/>
      <c r="G759" s="208"/>
      <c r="H759" s="208"/>
      <c r="I759" s="208"/>
      <c r="J759" s="208"/>
      <c r="K759" s="208"/>
      <c r="L759" s="208"/>
      <c r="M759" s="208"/>
      <c r="N759" s="208"/>
      <c r="O759" s="208"/>
      <c r="P759" s="208"/>
      <c r="Q759" s="208"/>
      <c r="R759" s="208"/>
      <c r="S759" s="208"/>
      <c r="T759" s="208"/>
      <c r="U759" s="208"/>
      <c r="V759" s="208"/>
    </row>
    <row r="760" spans="1:22" ht="15.75" customHeight="1" x14ac:dyDescent="0.3">
      <c r="A760" s="208"/>
      <c r="B760" s="208"/>
      <c r="C760" s="208"/>
      <c r="D760" s="208"/>
      <c r="E760" s="208"/>
      <c r="F760" s="208"/>
      <c r="G760" s="208"/>
      <c r="H760" s="208"/>
      <c r="I760" s="208"/>
      <c r="J760" s="208"/>
      <c r="K760" s="208"/>
      <c r="L760" s="208"/>
      <c r="M760" s="208"/>
      <c r="N760" s="208"/>
      <c r="O760" s="208"/>
      <c r="P760" s="208"/>
      <c r="Q760" s="208"/>
      <c r="R760" s="208"/>
      <c r="S760" s="208"/>
      <c r="T760" s="208"/>
      <c r="U760" s="208"/>
      <c r="V760" s="208"/>
    </row>
    <row r="761" spans="1:22" ht="15.75" customHeight="1" x14ac:dyDescent="0.3">
      <c r="A761" s="208"/>
      <c r="B761" s="208"/>
      <c r="C761" s="208"/>
      <c r="D761" s="208"/>
      <c r="E761" s="208"/>
      <c r="F761" s="208"/>
      <c r="G761" s="208"/>
      <c r="H761" s="208"/>
      <c r="I761" s="208"/>
      <c r="J761" s="208"/>
      <c r="K761" s="208"/>
      <c r="L761" s="208"/>
      <c r="M761" s="208"/>
      <c r="N761" s="208"/>
      <c r="O761" s="208"/>
      <c r="P761" s="208"/>
      <c r="Q761" s="208"/>
      <c r="R761" s="208"/>
      <c r="S761" s="208"/>
      <c r="T761" s="208"/>
      <c r="U761" s="208"/>
      <c r="V761" s="208"/>
    </row>
    <row r="762" spans="1:22" ht="15.75" customHeight="1" x14ac:dyDescent="0.3">
      <c r="A762" s="208"/>
      <c r="B762" s="208"/>
      <c r="C762" s="208"/>
      <c r="D762" s="208"/>
      <c r="E762" s="208"/>
      <c r="F762" s="208"/>
      <c r="G762" s="208"/>
      <c r="H762" s="208"/>
      <c r="I762" s="208"/>
      <c r="J762" s="208"/>
      <c r="K762" s="208"/>
      <c r="L762" s="208"/>
      <c r="M762" s="208"/>
      <c r="N762" s="208"/>
      <c r="O762" s="208"/>
      <c r="P762" s="208"/>
      <c r="Q762" s="208"/>
      <c r="R762" s="208"/>
      <c r="S762" s="208"/>
      <c r="T762" s="208"/>
      <c r="U762" s="208"/>
      <c r="V762" s="208"/>
    </row>
    <row r="763" spans="1:22" ht="15.75" customHeight="1" x14ac:dyDescent="0.3">
      <c r="A763" s="208"/>
      <c r="B763" s="208"/>
      <c r="C763" s="208"/>
      <c r="D763" s="208"/>
      <c r="E763" s="208"/>
      <c r="F763" s="208"/>
      <c r="G763" s="208"/>
      <c r="H763" s="208"/>
      <c r="I763" s="208"/>
      <c r="J763" s="208"/>
      <c r="K763" s="208"/>
      <c r="L763" s="208"/>
      <c r="M763" s="208"/>
      <c r="N763" s="208"/>
      <c r="O763" s="208"/>
      <c r="P763" s="208"/>
      <c r="Q763" s="208"/>
      <c r="R763" s="208"/>
      <c r="S763" s="208"/>
      <c r="T763" s="208"/>
      <c r="U763" s="208"/>
      <c r="V763" s="208"/>
    </row>
    <row r="764" spans="1:22" ht="15.75" customHeight="1" x14ac:dyDescent="0.3">
      <c r="A764" s="208"/>
      <c r="B764" s="208"/>
      <c r="C764" s="208"/>
      <c r="D764" s="208"/>
      <c r="E764" s="208"/>
      <c r="F764" s="208"/>
      <c r="G764" s="208"/>
      <c r="H764" s="208"/>
      <c r="I764" s="208"/>
      <c r="J764" s="208"/>
      <c r="K764" s="208"/>
      <c r="L764" s="208"/>
      <c r="M764" s="208"/>
      <c r="N764" s="208"/>
      <c r="O764" s="208"/>
      <c r="P764" s="208"/>
      <c r="Q764" s="208"/>
      <c r="R764" s="208"/>
      <c r="S764" s="208"/>
      <c r="T764" s="208"/>
      <c r="U764" s="208"/>
      <c r="V764" s="208"/>
    </row>
    <row r="765" spans="1:22" ht="15.75" customHeight="1" x14ac:dyDescent="0.3">
      <c r="A765" s="208"/>
      <c r="B765" s="208"/>
      <c r="C765" s="208"/>
      <c r="D765" s="208"/>
      <c r="E765" s="208"/>
      <c r="F765" s="208"/>
      <c r="G765" s="208"/>
      <c r="H765" s="208"/>
      <c r="I765" s="208"/>
      <c r="J765" s="208"/>
      <c r="K765" s="208"/>
      <c r="L765" s="208"/>
      <c r="M765" s="208"/>
      <c r="N765" s="208"/>
      <c r="O765" s="208"/>
      <c r="P765" s="208"/>
      <c r="Q765" s="208"/>
      <c r="R765" s="208"/>
      <c r="S765" s="208"/>
      <c r="T765" s="208"/>
      <c r="U765" s="208"/>
      <c r="V765" s="208"/>
    </row>
    <row r="766" spans="1:22" ht="15.75" customHeight="1" x14ac:dyDescent="0.3">
      <c r="A766" s="208"/>
      <c r="B766" s="208"/>
      <c r="C766" s="208"/>
      <c r="D766" s="208"/>
      <c r="E766" s="208"/>
      <c r="F766" s="208"/>
      <c r="G766" s="208"/>
      <c r="H766" s="208"/>
      <c r="I766" s="208"/>
      <c r="J766" s="208"/>
      <c r="K766" s="208"/>
      <c r="L766" s="208"/>
      <c r="M766" s="208"/>
      <c r="N766" s="208"/>
      <c r="O766" s="208"/>
      <c r="P766" s="208"/>
      <c r="Q766" s="208"/>
      <c r="R766" s="208"/>
      <c r="S766" s="208"/>
      <c r="T766" s="208"/>
      <c r="U766" s="208"/>
      <c r="V766" s="208"/>
    </row>
    <row r="767" spans="1:22" ht="15.75" customHeight="1" x14ac:dyDescent="0.3">
      <c r="A767" s="208"/>
      <c r="B767" s="208"/>
      <c r="C767" s="208"/>
      <c r="D767" s="208"/>
      <c r="E767" s="208"/>
      <c r="F767" s="208"/>
      <c r="G767" s="208"/>
      <c r="H767" s="208"/>
      <c r="I767" s="208"/>
      <c r="J767" s="208"/>
      <c r="K767" s="208"/>
      <c r="L767" s="208"/>
      <c r="M767" s="208"/>
      <c r="N767" s="208"/>
      <c r="O767" s="208"/>
      <c r="P767" s="208"/>
      <c r="Q767" s="208"/>
      <c r="R767" s="208"/>
      <c r="S767" s="208"/>
      <c r="T767" s="208"/>
      <c r="U767" s="208"/>
      <c r="V767" s="208"/>
    </row>
    <row r="768" spans="1:22" ht="15.75" customHeight="1" x14ac:dyDescent="0.3">
      <c r="A768" s="208"/>
      <c r="B768" s="208"/>
      <c r="C768" s="208"/>
      <c r="D768" s="208"/>
      <c r="E768" s="208"/>
      <c r="F768" s="208"/>
      <c r="G768" s="208"/>
      <c r="H768" s="208"/>
      <c r="I768" s="208"/>
      <c r="J768" s="208"/>
      <c r="K768" s="208"/>
      <c r="L768" s="208"/>
      <c r="M768" s="208"/>
      <c r="N768" s="208"/>
      <c r="O768" s="208"/>
      <c r="P768" s="208"/>
      <c r="Q768" s="208"/>
      <c r="R768" s="208"/>
      <c r="S768" s="208"/>
      <c r="T768" s="208"/>
      <c r="U768" s="208"/>
      <c r="V768" s="208"/>
    </row>
    <row r="769" spans="1:22" ht="15.75" customHeight="1" x14ac:dyDescent="0.3">
      <c r="A769" s="208"/>
      <c r="B769" s="208"/>
      <c r="C769" s="208"/>
      <c r="D769" s="208"/>
      <c r="E769" s="208"/>
      <c r="F769" s="208"/>
      <c r="G769" s="208"/>
      <c r="H769" s="208"/>
      <c r="I769" s="208"/>
      <c r="J769" s="208"/>
      <c r="K769" s="208"/>
      <c r="L769" s="208"/>
      <c r="M769" s="208"/>
      <c r="N769" s="208"/>
      <c r="O769" s="208"/>
      <c r="P769" s="208"/>
      <c r="Q769" s="208"/>
      <c r="R769" s="208"/>
      <c r="S769" s="208"/>
      <c r="T769" s="208"/>
      <c r="U769" s="208"/>
      <c r="V769" s="208"/>
    </row>
    <row r="770" spans="1:22" ht="15.75" customHeight="1" x14ac:dyDescent="0.3">
      <c r="A770" s="208"/>
      <c r="B770" s="208"/>
      <c r="C770" s="208"/>
      <c r="D770" s="208"/>
      <c r="E770" s="208"/>
      <c r="F770" s="208"/>
      <c r="G770" s="208"/>
      <c r="H770" s="208"/>
      <c r="I770" s="208"/>
      <c r="J770" s="208"/>
      <c r="K770" s="208"/>
      <c r="L770" s="208"/>
      <c r="M770" s="208"/>
      <c r="N770" s="208"/>
      <c r="O770" s="208"/>
      <c r="P770" s="208"/>
      <c r="Q770" s="208"/>
      <c r="R770" s="208"/>
      <c r="S770" s="208"/>
      <c r="T770" s="208"/>
      <c r="U770" s="208"/>
      <c r="V770" s="208"/>
    </row>
    <row r="771" spans="1:22" ht="15.75" customHeight="1" x14ac:dyDescent="0.3">
      <c r="A771" s="208"/>
      <c r="B771" s="208"/>
      <c r="C771" s="208"/>
      <c r="D771" s="208"/>
      <c r="E771" s="208"/>
      <c r="F771" s="208"/>
      <c r="G771" s="208"/>
      <c r="H771" s="208"/>
      <c r="I771" s="208"/>
      <c r="J771" s="208"/>
      <c r="K771" s="208"/>
      <c r="L771" s="208"/>
      <c r="M771" s="208"/>
      <c r="N771" s="208"/>
      <c r="O771" s="208"/>
      <c r="P771" s="208"/>
      <c r="Q771" s="208"/>
      <c r="R771" s="208"/>
      <c r="S771" s="208"/>
      <c r="T771" s="208"/>
      <c r="U771" s="208"/>
      <c r="V771" s="208"/>
    </row>
    <row r="772" spans="1:22" ht="15.75" customHeight="1" x14ac:dyDescent="0.3">
      <c r="A772" s="208"/>
      <c r="B772" s="208"/>
      <c r="C772" s="208"/>
      <c r="D772" s="208"/>
      <c r="E772" s="208"/>
      <c r="F772" s="208"/>
      <c r="G772" s="208"/>
      <c r="H772" s="208"/>
      <c r="I772" s="208"/>
      <c r="J772" s="208"/>
      <c r="K772" s="208"/>
      <c r="L772" s="208"/>
      <c r="M772" s="208"/>
      <c r="N772" s="208"/>
      <c r="O772" s="208"/>
      <c r="P772" s="208"/>
      <c r="Q772" s="208"/>
      <c r="R772" s="208"/>
      <c r="S772" s="208"/>
      <c r="T772" s="208"/>
      <c r="U772" s="208"/>
      <c r="V772" s="208"/>
    </row>
    <row r="773" spans="1:22" ht="15.75" customHeight="1" x14ac:dyDescent="0.3">
      <c r="A773" s="208"/>
      <c r="B773" s="208"/>
      <c r="C773" s="208"/>
      <c r="D773" s="208"/>
      <c r="E773" s="208"/>
      <c r="F773" s="208"/>
      <c r="G773" s="208"/>
      <c r="H773" s="208"/>
      <c r="I773" s="208"/>
      <c r="J773" s="208"/>
      <c r="K773" s="208"/>
      <c r="L773" s="208"/>
      <c r="M773" s="208"/>
      <c r="N773" s="208"/>
      <c r="O773" s="208"/>
      <c r="P773" s="208"/>
      <c r="Q773" s="208"/>
      <c r="R773" s="208"/>
      <c r="S773" s="208"/>
      <c r="T773" s="208"/>
      <c r="U773" s="208"/>
      <c r="V773" s="208"/>
    </row>
    <row r="774" spans="1:22" ht="15.75" customHeight="1" x14ac:dyDescent="0.3">
      <c r="A774" s="208"/>
      <c r="B774" s="208"/>
      <c r="C774" s="208"/>
      <c r="D774" s="208"/>
      <c r="E774" s="208"/>
      <c r="F774" s="208"/>
      <c r="G774" s="208"/>
      <c r="H774" s="208"/>
      <c r="I774" s="208"/>
      <c r="J774" s="208"/>
      <c r="K774" s="208"/>
      <c r="L774" s="208"/>
      <c r="M774" s="208"/>
      <c r="N774" s="208"/>
      <c r="O774" s="208"/>
      <c r="P774" s="208"/>
      <c r="Q774" s="208"/>
      <c r="R774" s="208"/>
      <c r="S774" s="208"/>
      <c r="T774" s="208"/>
      <c r="U774" s="208"/>
      <c r="V774" s="208"/>
    </row>
    <row r="775" spans="1:22" ht="15.75" customHeight="1" x14ac:dyDescent="0.3">
      <c r="A775" s="208"/>
      <c r="B775" s="208"/>
      <c r="C775" s="208"/>
      <c r="D775" s="208"/>
      <c r="E775" s="208"/>
      <c r="F775" s="208"/>
      <c r="G775" s="208"/>
      <c r="H775" s="208"/>
      <c r="I775" s="208"/>
      <c r="J775" s="208"/>
      <c r="K775" s="208"/>
      <c r="L775" s="208"/>
      <c r="M775" s="208"/>
      <c r="N775" s="208"/>
      <c r="O775" s="208"/>
      <c r="P775" s="208"/>
      <c r="Q775" s="208"/>
      <c r="R775" s="208"/>
      <c r="S775" s="208"/>
      <c r="T775" s="208"/>
      <c r="U775" s="208"/>
      <c r="V775" s="208"/>
    </row>
    <row r="776" spans="1:22" ht="15.75" customHeight="1" x14ac:dyDescent="0.3">
      <c r="A776" s="208"/>
      <c r="B776" s="208"/>
      <c r="C776" s="208"/>
      <c r="D776" s="208"/>
      <c r="E776" s="208"/>
      <c r="F776" s="208"/>
      <c r="G776" s="208"/>
      <c r="H776" s="208"/>
      <c r="I776" s="208"/>
      <c r="J776" s="208"/>
      <c r="K776" s="208"/>
      <c r="L776" s="208"/>
      <c r="M776" s="208"/>
      <c r="N776" s="208"/>
      <c r="O776" s="208"/>
      <c r="P776" s="208"/>
      <c r="Q776" s="208"/>
      <c r="R776" s="208"/>
      <c r="S776" s="208"/>
      <c r="T776" s="208"/>
      <c r="U776" s="208"/>
      <c r="V776" s="208"/>
    </row>
    <row r="777" spans="1:22" ht="15.75" customHeight="1" x14ac:dyDescent="0.3">
      <c r="A777" s="208"/>
      <c r="B777" s="208"/>
      <c r="C777" s="208"/>
      <c r="D777" s="208"/>
      <c r="E777" s="208"/>
      <c r="F777" s="208"/>
      <c r="G777" s="208"/>
      <c r="H777" s="208"/>
      <c r="I777" s="208"/>
      <c r="J777" s="208"/>
      <c r="K777" s="208"/>
      <c r="L777" s="208"/>
      <c r="M777" s="208"/>
      <c r="N777" s="208"/>
      <c r="O777" s="208"/>
      <c r="P777" s="208"/>
      <c r="Q777" s="208"/>
      <c r="R777" s="208"/>
      <c r="S777" s="208"/>
      <c r="T777" s="208"/>
      <c r="U777" s="208"/>
      <c r="V777" s="208"/>
    </row>
    <row r="778" spans="1:22" ht="15.75" customHeight="1" x14ac:dyDescent="0.3">
      <c r="A778" s="208"/>
      <c r="B778" s="208"/>
      <c r="C778" s="208"/>
      <c r="D778" s="208"/>
      <c r="E778" s="208"/>
      <c r="F778" s="208"/>
      <c r="G778" s="208"/>
      <c r="H778" s="208"/>
      <c r="I778" s="208"/>
      <c r="J778" s="208"/>
      <c r="K778" s="208"/>
      <c r="L778" s="208"/>
      <c r="M778" s="208"/>
      <c r="N778" s="208"/>
      <c r="O778" s="208"/>
      <c r="P778" s="208"/>
      <c r="Q778" s="208"/>
      <c r="R778" s="208"/>
      <c r="S778" s="208"/>
      <c r="T778" s="208"/>
      <c r="U778" s="208"/>
      <c r="V778" s="208"/>
    </row>
    <row r="779" spans="1:22" ht="15.75" customHeight="1" x14ac:dyDescent="0.3">
      <c r="A779" s="208"/>
      <c r="B779" s="208"/>
      <c r="C779" s="208"/>
      <c r="D779" s="208"/>
      <c r="E779" s="208"/>
      <c r="F779" s="208"/>
      <c r="G779" s="208"/>
      <c r="H779" s="208"/>
      <c r="I779" s="208"/>
      <c r="J779" s="208"/>
      <c r="K779" s="208"/>
      <c r="L779" s="208"/>
      <c r="M779" s="208"/>
      <c r="N779" s="208"/>
      <c r="O779" s="208"/>
      <c r="P779" s="208"/>
      <c r="Q779" s="208"/>
      <c r="R779" s="208"/>
      <c r="S779" s="208"/>
      <c r="T779" s="208"/>
      <c r="U779" s="208"/>
      <c r="V779" s="208"/>
    </row>
    <row r="780" spans="1:22" ht="15.75" customHeight="1" x14ac:dyDescent="0.3">
      <c r="A780" s="208"/>
      <c r="B780" s="208"/>
      <c r="C780" s="208"/>
      <c r="D780" s="208"/>
      <c r="E780" s="208"/>
      <c r="F780" s="208"/>
      <c r="G780" s="208"/>
      <c r="H780" s="208"/>
      <c r="I780" s="208"/>
      <c r="J780" s="208"/>
      <c r="K780" s="208"/>
      <c r="L780" s="208"/>
      <c r="M780" s="208"/>
      <c r="N780" s="208"/>
      <c r="O780" s="208"/>
      <c r="P780" s="208"/>
      <c r="Q780" s="208"/>
      <c r="R780" s="208"/>
      <c r="S780" s="208"/>
      <c r="T780" s="208"/>
      <c r="U780" s="208"/>
      <c r="V780" s="208"/>
    </row>
    <row r="781" spans="1:22" ht="15.75" customHeight="1" x14ac:dyDescent="0.3">
      <c r="A781" s="208"/>
      <c r="B781" s="208"/>
      <c r="C781" s="208"/>
      <c r="D781" s="208"/>
      <c r="E781" s="208"/>
      <c r="F781" s="208"/>
      <c r="G781" s="208"/>
      <c r="H781" s="208"/>
      <c r="I781" s="208"/>
      <c r="J781" s="208"/>
      <c r="K781" s="208"/>
      <c r="L781" s="208"/>
      <c r="M781" s="208"/>
      <c r="N781" s="208"/>
      <c r="O781" s="208"/>
      <c r="P781" s="208"/>
      <c r="Q781" s="208"/>
      <c r="R781" s="208"/>
      <c r="S781" s="208"/>
      <c r="T781" s="208"/>
      <c r="U781" s="208"/>
      <c r="V781" s="208"/>
    </row>
    <row r="782" spans="1:22" ht="15.75" customHeight="1" x14ac:dyDescent="0.3">
      <c r="A782" s="208"/>
      <c r="B782" s="208"/>
      <c r="C782" s="208"/>
      <c r="D782" s="208"/>
      <c r="E782" s="208"/>
      <c r="F782" s="208"/>
      <c r="G782" s="208"/>
      <c r="H782" s="208"/>
      <c r="I782" s="208"/>
      <c r="J782" s="208"/>
      <c r="K782" s="208"/>
      <c r="L782" s="208"/>
      <c r="M782" s="208"/>
      <c r="N782" s="208"/>
      <c r="O782" s="208"/>
      <c r="P782" s="208"/>
      <c r="Q782" s="208"/>
      <c r="R782" s="208"/>
      <c r="S782" s="208"/>
      <c r="T782" s="208"/>
      <c r="U782" s="208"/>
      <c r="V782" s="208"/>
    </row>
    <row r="783" spans="1:22" ht="15.75" customHeight="1" x14ac:dyDescent="0.3">
      <c r="A783" s="208"/>
      <c r="B783" s="208"/>
      <c r="C783" s="208"/>
      <c r="D783" s="208"/>
      <c r="E783" s="208"/>
      <c r="F783" s="208"/>
      <c r="G783" s="208"/>
      <c r="H783" s="208"/>
      <c r="I783" s="208"/>
      <c r="J783" s="208"/>
      <c r="K783" s="208"/>
      <c r="L783" s="208"/>
      <c r="M783" s="208"/>
      <c r="N783" s="208"/>
      <c r="O783" s="208"/>
      <c r="P783" s="208"/>
      <c r="Q783" s="208"/>
      <c r="R783" s="208"/>
      <c r="S783" s="208"/>
      <c r="T783" s="208"/>
      <c r="U783" s="208"/>
      <c r="V783" s="208"/>
    </row>
    <row r="784" spans="1:22" ht="15.75" customHeight="1" x14ac:dyDescent="0.3">
      <c r="A784" s="208"/>
      <c r="B784" s="208"/>
      <c r="C784" s="208"/>
      <c r="D784" s="208"/>
      <c r="E784" s="208"/>
      <c r="F784" s="208"/>
      <c r="G784" s="208"/>
      <c r="H784" s="208"/>
      <c r="I784" s="208"/>
      <c r="J784" s="208"/>
      <c r="K784" s="208"/>
      <c r="L784" s="208"/>
      <c r="M784" s="208"/>
      <c r="N784" s="208"/>
      <c r="O784" s="208"/>
      <c r="P784" s="208"/>
      <c r="Q784" s="208"/>
      <c r="R784" s="208"/>
      <c r="S784" s="208"/>
      <c r="T784" s="208"/>
      <c r="U784" s="208"/>
      <c r="V784" s="208"/>
    </row>
    <row r="785" spans="1:22" ht="15.75" customHeight="1" x14ac:dyDescent="0.3">
      <c r="A785" s="208"/>
      <c r="B785" s="208"/>
      <c r="C785" s="208"/>
      <c r="D785" s="208"/>
      <c r="E785" s="208"/>
      <c r="F785" s="208"/>
      <c r="G785" s="208"/>
      <c r="H785" s="208"/>
      <c r="I785" s="208"/>
      <c r="J785" s="208"/>
      <c r="K785" s="208"/>
      <c r="L785" s="208"/>
      <c r="M785" s="208"/>
      <c r="N785" s="208"/>
      <c r="O785" s="208"/>
      <c r="P785" s="208"/>
      <c r="Q785" s="208"/>
      <c r="R785" s="208"/>
      <c r="S785" s="208"/>
      <c r="T785" s="208"/>
      <c r="U785" s="208"/>
      <c r="V785" s="208"/>
    </row>
    <row r="786" spans="1:22" ht="15.75" customHeight="1" x14ac:dyDescent="0.3">
      <c r="A786" s="208"/>
      <c r="B786" s="208"/>
      <c r="C786" s="208"/>
      <c r="D786" s="208"/>
      <c r="E786" s="208"/>
      <c r="F786" s="208"/>
      <c r="G786" s="208"/>
      <c r="H786" s="208"/>
      <c r="I786" s="208"/>
      <c r="J786" s="208"/>
      <c r="K786" s="208"/>
      <c r="L786" s="208"/>
      <c r="M786" s="208"/>
      <c r="N786" s="208"/>
      <c r="O786" s="208"/>
      <c r="P786" s="208"/>
      <c r="Q786" s="208"/>
      <c r="R786" s="208"/>
      <c r="S786" s="208"/>
      <c r="T786" s="208"/>
      <c r="U786" s="208"/>
      <c r="V786" s="208"/>
    </row>
    <row r="787" spans="1:22" ht="15.75" customHeight="1" x14ac:dyDescent="0.3">
      <c r="A787" s="208"/>
      <c r="B787" s="208"/>
      <c r="C787" s="208"/>
      <c r="D787" s="208"/>
      <c r="E787" s="208"/>
      <c r="F787" s="208"/>
      <c r="G787" s="208"/>
      <c r="H787" s="208"/>
      <c r="I787" s="208"/>
      <c r="J787" s="208"/>
      <c r="K787" s="208"/>
      <c r="L787" s="208"/>
      <c r="M787" s="208"/>
      <c r="N787" s="208"/>
      <c r="O787" s="208"/>
      <c r="P787" s="208"/>
      <c r="Q787" s="208"/>
      <c r="R787" s="208"/>
      <c r="S787" s="208"/>
      <c r="T787" s="208"/>
      <c r="U787" s="208"/>
      <c r="V787" s="208"/>
    </row>
    <row r="788" spans="1:22" ht="15.75" customHeight="1" x14ac:dyDescent="0.3">
      <c r="A788" s="208"/>
      <c r="B788" s="208"/>
      <c r="C788" s="208"/>
      <c r="D788" s="208"/>
      <c r="E788" s="208"/>
      <c r="F788" s="208"/>
      <c r="G788" s="208"/>
      <c r="H788" s="208"/>
      <c r="I788" s="208"/>
      <c r="J788" s="208"/>
      <c r="K788" s="208"/>
      <c r="L788" s="208"/>
      <c r="M788" s="208"/>
      <c r="N788" s="208"/>
      <c r="O788" s="208"/>
      <c r="P788" s="208"/>
      <c r="Q788" s="208"/>
      <c r="R788" s="208"/>
      <c r="S788" s="208"/>
      <c r="T788" s="208"/>
      <c r="U788" s="208"/>
      <c r="V788" s="208"/>
    </row>
    <row r="789" spans="1:22" ht="15.75" customHeight="1" x14ac:dyDescent="0.3">
      <c r="A789" s="208"/>
      <c r="B789" s="208"/>
      <c r="C789" s="208"/>
      <c r="D789" s="208"/>
      <c r="E789" s="208"/>
      <c r="F789" s="208"/>
      <c r="G789" s="208"/>
      <c r="H789" s="208"/>
      <c r="I789" s="208"/>
      <c r="J789" s="208"/>
      <c r="K789" s="208"/>
      <c r="L789" s="208"/>
      <c r="M789" s="208"/>
      <c r="N789" s="208"/>
      <c r="O789" s="208"/>
      <c r="P789" s="208"/>
      <c r="Q789" s="208"/>
      <c r="R789" s="208"/>
      <c r="S789" s="208"/>
      <c r="T789" s="208"/>
      <c r="U789" s="208"/>
      <c r="V789" s="208"/>
    </row>
    <row r="790" spans="1:22" ht="15.75" customHeight="1" x14ac:dyDescent="0.3">
      <c r="A790" s="208"/>
      <c r="B790" s="208"/>
      <c r="C790" s="208"/>
      <c r="D790" s="208"/>
      <c r="E790" s="208"/>
      <c r="F790" s="208"/>
      <c r="G790" s="208"/>
      <c r="H790" s="208"/>
      <c r="I790" s="208"/>
      <c r="J790" s="208"/>
      <c r="K790" s="208"/>
      <c r="L790" s="208"/>
      <c r="M790" s="208"/>
      <c r="N790" s="208"/>
      <c r="O790" s="208"/>
      <c r="P790" s="208"/>
      <c r="Q790" s="208"/>
      <c r="R790" s="208"/>
      <c r="S790" s="208"/>
      <c r="T790" s="208"/>
      <c r="U790" s="208"/>
      <c r="V790" s="208"/>
    </row>
    <row r="791" spans="1:22" ht="15.75" customHeight="1" x14ac:dyDescent="0.3">
      <c r="A791" s="208"/>
      <c r="B791" s="208"/>
      <c r="C791" s="208"/>
      <c r="D791" s="208"/>
      <c r="E791" s="208"/>
      <c r="F791" s="208"/>
      <c r="G791" s="208"/>
      <c r="H791" s="208"/>
      <c r="I791" s="208"/>
      <c r="J791" s="208"/>
      <c r="K791" s="208"/>
      <c r="L791" s="208"/>
      <c r="M791" s="208"/>
      <c r="N791" s="208"/>
      <c r="O791" s="208"/>
      <c r="P791" s="208"/>
      <c r="Q791" s="208"/>
      <c r="R791" s="208"/>
      <c r="S791" s="208"/>
      <c r="T791" s="208"/>
      <c r="U791" s="208"/>
      <c r="V791" s="208"/>
    </row>
    <row r="792" spans="1:22" ht="15.75" customHeight="1" x14ac:dyDescent="0.3">
      <c r="A792" s="208"/>
      <c r="B792" s="208"/>
      <c r="C792" s="208"/>
      <c r="D792" s="208"/>
      <c r="E792" s="208"/>
      <c r="F792" s="208"/>
      <c r="G792" s="208"/>
      <c r="H792" s="208"/>
      <c r="I792" s="208"/>
      <c r="J792" s="208"/>
      <c r="K792" s="208"/>
      <c r="L792" s="208"/>
      <c r="M792" s="208"/>
      <c r="N792" s="208"/>
      <c r="O792" s="208"/>
      <c r="P792" s="208"/>
      <c r="Q792" s="208"/>
      <c r="R792" s="208"/>
      <c r="S792" s="208"/>
      <c r="T792" s="208"/>
      <c r="U792" s="208"/>
      <c r="V792" s="208"/>
    </row>
    <row r="793" spans="1:22" ht="15.75" customHeight="1" x14ac:dyDescent="0.3">
      <c r="A793" s="208"/>
      <c r="B793" s="208"/>
      <c r="C793" s="208"/>
      <c r="D793" s="208"/>
      <c r="E793" s="208"/>
      <c r="F793" s="208"/>
      <c r="G793" s="208"/>
      <c r="H793" s="208"/>
      <c r="I793" s="208"/>
      <c r="J793" s="208"/>
      <c r="K793" s="208"/>
      <c r="L793" s="208"/>
      <c r="M793" s="208"/>
      <c r="N793" s="208"/>
      <c r="O793" s="208"/>
      <c r="P793" s="208"/>
      <c r="Q793" s="208"/>
      <c r="R793" s="208"/>
      <c r="S793" s="208"/>
      <c r="T793" s="208"/>
      <c r="U793" s="208"/>
      <c r="V793" s="208"/>
    </row>
    <row r="794" spans="1:22" ht="15.75" customHeight="1" x14ac:dyDescent="0.3">
      <c r="A794" s="208"/>
      <c r="B794" s="208"/>
      <c r="C794" s="208"/>
      <c r="D794" s="208"/>
      <c r="E794" s="208"/>
      <c r="F794" s="208"/>
      <c r="G794" s="208"/>
      <c r="H794" s="208"/>
      <c r="I794" s="208"/>
      <c r="J794" s="208"/>
      <c r="K794" s="208"/>
      <c r="L794" s="208"/>
      <c r="M794" s="208"/>
      <c r="N794" s="208"/>
      <c r="O794" s="208"/>
      <c r="P794" s="208"/>
      <c r="Q794" s="208"/>
      <c r="R794" s="208"/>
      <c r="S794" s="208"/>
      <c r="T794" s="208"/>
      <c r="U794" s="208"/>
      <c r="V794" s="208"/>
    </row>
    <row r="795" spans="1:22" ht="15.75" customHeight="1" x14ac:dyDescent="0.3">
      <c r="A795" s="208"/>
      <c r="B795" s="208"/>
      <c r="C795" s="208"/>
      <c r="D795" s="208"/>
      <c r="E795" s="208"/>
      <c r="F795" s="208"/>
      <c r="G795" s="208"/>
      <c r="H795" s="208"/>
      <c r="I795" s="208"/>
      <c r="J795" s="208"/>
      <c r="K795" s="208"/>
      <c r="L795" s="208"/>
      <c r="M795" s="208"/>
      <c r="N795" s="208"/>
      <c r="O795" s="208"/>
      <c r="P795" s="208"/>
      <c r="Q795" s="208"/>
      <c r="R795" s="208"/>
      <c r="S795" s="208"/>
      <c r="T795" s="208"/>
      <c r="U795" s="208"/>
      <c r="V795" s="208"/>
    </row>
    <row r="796" spans="1:22" ht="15.75" customHeight="1" x14ac:dyDescent="0.3">
      <c r="A796" s="208"/>
      <c r="B796" s="208"/>
      <c r="C796" s="208"/>
      <c r="D796" s="208"/>
      <c r="E796" s="208"/>
      <c r="F796" s="208"/>
      <c r="G796" s="208"/>
      <c r="H796" s="208"/>
      <c r="I796" s="208"/>
      <c r="J796" s="208"/>
      <c r="K796" s="208"/>
      <c r="L796" s="208"/>
      <c r="M796" s="208"/>
      <c r="N796" s="208"/>
      <c r="O796" s="208"/>
      <c r="P796" s="208"/>
      <c r="Q796" s="208"/>
      <c r="R796" s="208"/>
      <c r="S796" s="208"/>
      <c r="T796" s="208"/>
      <c r="U796" s="208"/>
      <c r="V796" s="208"/>
    </row>
    <row r="797" spans="1:22" ht="15.75" customHeight="1" x14ac:dyDescent="0.3">
      <c r="A797" s="208"/>
      <c r="B797" s="208"/>
      <c r="C797" s="208"/>
      <c r="D797" s="208"/>
      <c r="E797" s="208"/>
      <c r="F797" s="208"/>
      <c r="G797" s="208"/>
      <c r="H797" s="208"/>
      <c r="I797" s="208"/>
      <c r="J797" s="208"/>
      <c r="K797" s="208"/>
      <c r="L797" s="208"/>
      <c r="M797" s="208"/>
      <c r="N797" s="208"/>
      <c r="O797" s="208"/>
      <c r="P797" s="208"/>
      <c r="Q797" s="208"/>
      <c r="R797" s="208"/>
      <c r="S797" s="208"/>
      <c r="T797" s="208"/>
      <c r="U797" s="208"/>
      <c r="V797" s="208"/>
    </row>
    <row r="798" spans="1:22" ht="15.75" customHeight="1" x14ac:dyDescent="0.3">
      <c r="A798" s="208"/>
      <c r="B798" s="208"/>
      <c r="C798" s="208"/>
      <c r="D798" s="208"/>
      <c r="E798" s="208"/>
      <c r="F798" s="208"/>
      <c r="G798" s="208"/>
      <c r="H798" s="208"/>
      <c r="I798" s="208"/>
      <c r="J798" s="208"/>
      <c r="K798" s="208"/>
      <c r="L798" s="208"/>
      <c r="M798" s="208"/>
      <c r="N798" s="208"/>
      <c r="O798" s="208"/>
      <c r="P798" s="208"/>
      <c r="Q798" s="208"/>
      <c r="R798" s="208"/>
      <c r="S798" s="208"/>
      <c r="T798" s="208"/>
      <c r="U798" s="208"/>
      <c r="V798" s="208"/>
    </row>
    <row r="799" spans="1:22" ht="15.75" customHeight="1" x14ac:dyDescent="0.3">
      <c r="A799" s="208"/>
      <c r="B799" s="208"/>
      <c r="C799" s="208"/>
      <c r="D799" s="208"/>
      <c r="E799" s="208"/>
      <c r="F799" s="208"/>
      <c r="G799" s="208"/>
      <c r="H799" s="208"/>
      <c r="I799" s="208"/>
      <c r="J799" s="208"/>
      <c r="K799" s="208"/>
      <c r="L799" s="208"/>
      <c r="M799" s="208"/>
      <c r="N799" s="208"/>
      <c r="O799" s="208"/>
      <c r="P799" s="208"/>
      <c r="Q799" s="208"/>
      <c r="R799" s="208"/>
      <c r="S799" s="208"/>
      <c r="T799" s="208"/>
      <c r="U799" s="208"/>
      <c r="V799" s="208"/>
    </row>
    <row r="800" spans="1:22" ht="15.75" customHeight="1" x14ac:dyDescent="0.3">
      <c r="A800" s="208"/>
      <c r="B800" s="208"/>
      <c r="C800" s="208"/>
      <c r="D800" s="208"/>
      <c r="E800" s="208"/>
      <c r="F800" s="208"/>
      <c r="G800" s="208"/>
      <c r="H800" s="208"/>
      <c r="I800" s="208"/>
      <c r="J800" s="208"/>
      <c r="K800" s="208"/>
      <c r="L800" s="208"/>
      <c r="M800" s="208"/>
      <c r="N800" s="208"/>
      <c r="O800" s="208"/>
      <c r="P800" s="208"/>
      <c r="Q800" s="208"/>
      <c r="R800" s="208"/>
      <c r="S800" s="208"/>
      <c r="T800" s="208"/>
      <c r="U800" s="208"/>
      <c r="V800" s="208"/>
    </row>
    <row r="801" spans="1:22" ht="15.75" customHeight="1" x14ac:dyDescent="0.3">
      <c r="A801" s="208"/>
      <c r="B801" s="208"/>
      <c r="C801" s="208"/>
      <c r="D801" s="208"/>
      <c r="E801" s="208"/>
      <c r="F801" s="208"/>
      <c r="G801" s="208"/>
      <c r="H801" s="208"/>
      <c r="I801" s="208"/>
      <c r="J801" s="208"/>
      <c r="K801" s="208"/>
      <c r="L801" s="208"/>
      <c r="M801" s="208"/>
      <c r="N801" s="208"/>
      <c r="O801" s="208"/>
      <c r="P801" s="208"/>
      <c r="Q801" s="208"/>
      <c r="R801" s="208"/>
      <c r="S801" s="208"/>
      <c r="T801" s="208"/>
      <c r="U801" s="208"/>
      <c r="V801" s="208"/>
    </row>
    <row r="802" spans="1:22" ht="15.75" customHeight="1" x14ac:dyDescent="0.3">
      <c r="A802" s="208"/>
      <c r="B802" s="208"/>
      <c r="C802" s="208"/>
      <c r="D802" s="208"/>
      <c r="E802" s="208"/>
      <c r="F802" s="208"/>
      <c r="G802" s="208"/>
      <c r="H802" s="208"/>
      <c r="I802" s="208"/>
      <c r="J802" s="208"/>
      <c r="K802" s="208"/>
      <c r="L802" s="208"/>
      <c r="M802" s="208"/>
      <c r="N802" s="208"/>
      <c r="O802" s="208"/>
      <c r="P802" s="208"/>
      <c r="Q802" s="208"/>
      <c r="R802" s="208"/>
      <c r="S802" s="208"/>
      <c r="T802" s="208"/>
      <c r="U802" s="208"/>
      <c r="V802" s="208"/>
    </row>
    <row r="803" spans="1:22" ht="15.75" customHeight="1" x14ac:dyDescent="0.3">
      <c r="A803" s="208"/>
      <c r="B803" s="208"/>
      <c r="C803" s="208"/>
      <c r="D803" s="208"/>
      <c r="E803" s="208"/>
      <c r="F803" s="208"/>
      <c r="G803" s="208"/>
      <c r="H803" s="208"/>
      <c r="I803" s="208"/>
      <c r="J803" s="208"/>
      <c r="K803" s="208"/>
      <c r="L803" s="208"/>
      <c r="M803" s="208"/>
      <c r="N803" s="208"/>
      <c r="O803" s="208"/>
      <c r="P803" s="208"/>
      <c r="Q803" s="208"/>
      <c r="R803" s="208"/>
      <c r="S803" s="208"/>
      <c r="T803" s="208"/>
      <c r="U803" s="208"/>
      <c r="V803" s="208"/>
    </row>
    <row r="804" spans="1:22" ht="15.75" customHeight="1" x14ac:dyDescent="0.3">
      <c r="A804" s="208"/>
      <c r="B804" s="208"/>
      <c r="C804" s="208"/>
      <c r="D804" s="208"/>
      <c r="E804" s="208"/>
      <c r="F804" s="208"/>
      <c r="G804" s="208"/>
      <c r="H804" s="208"/>
      <c r="I804" s="208"/>
      <c r="J804" s="208"/>
      <c r="K804" s="208"/>
      <c r="L804" s="208"/>
      <c r="M804" s="208"/>
      <c r="N804" s="208"/>
      <c r="O804" s="208"/>
      <c r="P804" s="208"/>
      <c r="Q804" s="208"/>
      <c r="R804" s="208"/>
      <c r="S804" s="208"/>
      <c r="T804" s="208"/>
      <c r="U804" s="208"/>
      <c r="V804" s="208"/>
    </row>
    <row r="805" spans="1:22" ht="15.75" customHeight="1" x14ac:dyDescent="0.3">
      <c r="A805" s="208"/>
      <c r="B805" s="208"/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208"/>
      <c r="P805" s="208"/>
      <c r="Q805" s="208"/>
      <c r="R805" s="208"/>
      <c r="S805" s="208"/>
      <c r="T805" s="208"/>
      <c r="U805" s="208"/>
      <c r="V805" s="208"/>
    </row>
    <row r="806" spans="1:22" ht="15.75" customHeight="1" x14ac:dyDescent="0.3">
      <c r="A806" s="208"/>
      <c r="B806" s="208"/>
      <c r="C806" s="208"/>
      <c r="D806" s="208"/>
      <c r="E806" s="208"/>
      <c r="F806" s="208"/>
      <c r="G806" s="208"/>
      <c r="H806" s="208"/>
      <c r="I806" s="208"/>
      <c r="J806" s="208"/>
      <c r="K806" s="208"/>
      <c r="L806" s="208"/>
      <c r="M806" s="208"/>
      <c r="N806" s="208"/>
      <c r="O806" s="208"/>
      <c r="P806" s="208"/>
      <c r="Q806" s="208"/>
      <c r="R806" s="208"/>
      <c r="S806" s="208"/>
      <c r="T806" s="208"/>
      <c r="U806" s="208"/>
      <c r="V806" s="208"/>
    </row>
    <row r="807" spans="1:22" ht="15.75" customHeight="1" x14ac:dyDescent="0.3">
      <c r="A807" s="208"/>
      <c r="B807" s="208"/>
      <c r="C807" s="208"/>
      <c r="D807" s="208"/>
      <c r="E807" s="208"/>
      <c r="F807" s="208"/>
      <c r="G807" s="208"/>
      <c r="H807" s="208"/>
      <c r="I807" s="208"/>
      <c r="J807" s="208"/>
      <c r="K807" s="208"/>
      <c r="L807" s="208"/>
      <c r="M807" s="208"/>
      <c r="N807" s="208"/>
      <c r="O807" s="208"/>
      <c r="P807" s="208"/>
      <c r="Q807" s="208"/>
      <c r="R807" s="208"/>
      <c r="S807" s="208"/>
      <c r="T807" s="208"/>
      <c r="U807" s="208"/>
      <c r="V807" s="208"/>
    </row>
    <row r="808" spans="1:22" ht="15.75" customHeight="1" x14ac:dyDescent="0.3">
      <c r="A808" s="208"/>
      <c r="B808" s="208"/>
      <c r="C808" s="208"/>
      <c r="D808" s="208"/>
      <c r="E808" s="208"/>
      <c r="F808" s="208"/>
      <c r="G808" s="208"/>
      <c r="H808" s="208"/>
      <c r="I808" s="208"/>
      <c r="J808" s="208"/>
      <c r="K808" s="208"/>
      <c r="L808" s="208"/>
      <c r="M808" s="208"/>
      <c r="N808" s="208"/>
      <c r="O808" s="208"/>
      <c r="P808" s="208"/>
      <c r="Q808" s="208"/>
      <c r="R808" s="208"/>
      <c r="S808" s="208"/>
      <c r="T808" s="208"/>
      <c r="U808" s="208"/>
      <c r="V808" s="208"/>
    </row>
    <row r="809" spans="1:22" ht="15.75" customHeight="1" x14ac:dyDescent="0.3">
      <c r="A809" s="208"/>
      <c r="B809" s="208"/>
      <c r="C809" s="208"/>
      <c r="D809" s="208"/>
      <c r="E809" s="208"/>
      <c r="F809" s="208"/>
      <c r="G809" s="208"/>
      <c r="H809" s="208"/>
      <c r="I809" s="208"/>
      <c r="J809" s="208"/>
      <c r="K809" s="208"/>
      <c r="L809" s="208"/>
      <c r="M809" s="208"/>
      <c r="N809" s="208"/>
      <c r="O809" s="208"/>
      <c r="P809" s="208"/>
      <c r="Q809" s="208"/>
      <c r="R809" s="208"/>
      <c r="S809" s="208"/>
      <c r="T809" s="208"/>
      <c r="U809" s="208"/>
      <c r="V809" s="208"/>
    </row>
    <row r="810" spans="1:22" ht="15.75" customHeight="1" x14ac:dyDescent="0.3">
      <c r="A810" s="208"/>
      <c r="B810" s="208"/>
      <c r="C810" s="208"/>
      <c r="D810" s="208"/>
      <c r="E810" s="208"/>
      <c r="F810" s="208"/>
      <c r="G810" s="208"/>
      <c r="H810" s="208"/>
      <c r="I810" s="208"/>
      <c r="J810" s="208"/>
      <c r="K810" s="208"/>
      <c r="L810" s="208"/>
      <c r="M810" s="208"/>
      <c r="N810" s="208"/>
      <c r="O810" s="208"/>
      <c r="P810" s="208"/>
      <c r="Q810" s="208"/>
      <c r="R810" s="208"/>
      <c r="S810" s="208"/>
      <c r="T810" s="208"/>
      <c r="U810" s="208"/>
      <c r="V810" s="208"/>
    </row>
    <row r="811" spans="1:22" ht="15.75" customHeight="1" x14ac:dyDescent="0.3">
      <c r="A811" s="208"/>
      <c r="B811" s="208"/>
      <c r="C811" s="208"/>
      <c r="D811" s="208"/>
      <c r="E811" s="208"/>
      <c r="F811" s="208"/>
      <c r="G811" s="208"/>
      <c r="H811" s="208"/>
      <c r="I811" s="208"/>
      <c r="J811" s="208"/>
      <c r="K811" s="208"/>
      <c r="L811" s="208"/>
      <c r="M811" s="208"/>
      <c r="N811" s="208"/>
      <c r="O811" s="208"/>
      <c r="P811" s="208"/>
      <c r="Q811" s="208"/>
      <c r="R811" s="208"/>
      <c r="S811" s="208"/>
      <c r="T811" s="208"/>
      <c r="U811" s="208"/>
      <c r="V811" s="208"/>
    </row>
    <row r="812" spans="1:22" ht="15.75" customHeight="1" x14ac:dyDescent="0.3">
      <c r="A812" s="208"/>
      <c r="B812" s="208"/>
      <c r="C812" s="208"/>
      <c r="D812" s="208"/>
      <c r="E812" s="208"/>
      <c r="F812" s="208"/>
      <c r="G812" s="208"/>
      <c r="H812" s="208"/>
      <c r="I812" s="208"/>
      <c r="J812" s="208"/>
      <c r="K812" s="208"/>
      <c r="L812" s="208"/>
      <c r="M812" s="208"/>
      <c r="N812" s="208"/>
      <c r="O812" s="208"/>
      <c r="P812" s="208"/>
      <c r="Q812" s="208"/>
      <c r="R812" s="208"/>
      <c r="S812" s="208"/>
      <c r="T812" s="208"/>
      <c r="U812" s="208"/>
      <c r="V812" s="208"/>
    </row>
    <row r="813" spans="1:22" ht="15.75" customHeight="1" x14ac:dyDescent="0.3">
      <c r="A813" s="208"/>
      <c r="B813" s="208"/>
      <c r="C813" s="208"/>
      <c r="D813" s="208"/>
      <c r="E813" s="208"/>
      <c r="F813" s="208"/>
      <c r="G813" s="208"/>
      <c r="H813" s="208"/>
      <c r="I813" s="208"/>
      <c r="J813" s="208"/>
      <c r="K813" s="208"/>
      <c r="L813" s="208"/>
      <c r="M813" s="208"/>
      <c r="N813" s="208"/>
      <c r="O813" s="208"/>
      <c r="P813" s="208"/>
      <c r="Q813" s="208"/>
      <c r="R813" s="208"/>
      <c r="S813" s="208"/>
      <c r="T813" s="208"/>
      <c r="U813" s="208"/>
      <c r="V813" s="208"/>
    </row>
    <row r="814" spans="1:22" ht="15.75" customHeight="1" x14ac:dyDescent="0.3">
      <c r="A814" s="208"/>
      <c r="B814" s="208"/>
      <c r="C814" s="208"/>
      <c r="D814" s="208"/>
      <c r="E814" s="208"/>
      <c r="F814" s="208"/>
      <c r="G814" s="208"/>
      <c r="H814" s="208"/>
      <c r="I814" s="208"/>
      <c r="J814" s="208"/>
      <c r="K814" s="208"/>
      <c r="L814" s="208"/>
      <c r="M814" s="208"/>
      <c r="N814" s="208"/>
      <c r="O814" s="208"/>
      <c r="P814" s="208"/>
      <c r="Q814" s="208"/>
      <c r="R814" s="208"/>
      <c r="S814" s="208"/>
      <c r="T814" s="208"/>
      <c r="U814" s="208"/>
      <c r="V814" s="208"/>
    </row>
    <row r="815" spans="1:22" ht="15.75" customHeight="1" x14ac:dyDescent="0.3">
      <c r="A815" s="208"/>
      <c r="B815" s="208"/>
      <c r="C815" s="208"/>
      <c r="D815" s="208"/>
      <c r="E815" s="208"/>
      <c r="F815" s="208"/>
      <c r="G815" s="208"/>
      <c r="H815" s="208"/>
      <c r="I815" s="208"/>
      <c r="J815" s="208"/>
      <c r="K815" s="208"/>
      <c r="L815" s="208"/>
      <c r="M815" s="208"/>
      <c r="N815" s="208"/>
      <c r="O815" s="208"/>
      <c r="P815" s="208"/>
      <c r="Q815" s="208"/>
      <c r="R815" s="208"/>
      <c r="S815" s="208"/>
      <c r="T815" s="208"/>
      <c r="U815" s="208"/>
      <c r="V815" s="208"/>
    </row>
    <row r="816" spans="1:22" ht="15.75" customHeight="1" x14ac:dyDescent="0.3">
      <c r="A816" s="208"/>
      <c r="B816" s="208"/>
      <c r="C816" s="208"/>
      <c r="D816" s="208"/>
      <c r="E816" s="208"/>
      <c r="F816" s="208"/>
      <c r="G816" s="208"/>
      <c r="H816" s="208"/>
      <c r="I816" s="208"/>
      <c r="J816" s="208"/>
      <c r="K816" s="208"/>
      <c r="L816" s="208"/>
      <c r="M816" s="208"/>
      <c r="N816" s="208"/>
      <c r="O816" s="208"/>
      <c r="P816" s="208"/>
      <c r="Q816" s="208"/>
      <c r="R816" s="208"/>
      <c r="S816" s="208"/>
      <c r="T816" s="208"/>
      <c r="U816" s="208"/>
      <c r="V816" s="208"/>
    </row>
    <row r="817" spans="1:22" ht="15.75" customHeight="1" x14ac:dyDescent="0.3">
      <c r="A817" s="208"/>
      <c r="B817" s="208"/>
      <c r="C817" s="208"/>
      <c r="D817" s="208"/>
      <c r="E817" s="208"/>
      <c r="F817" s="208"/>
      <c r="G817" s="208"/>
      <c r="H817" s="208"/>
      <c r="I817" s="208"/>
      <c r="J817" s="208"/>
      <c r="K817" s="208"/>
      <c r="L817" s="208"/>
      <c r="M817" s="208"/>
      <c r="N817" s="208"/>
      <c r="O817" s="208"/>
      <c r="P817" s="208"/>
      <c r="Q817" s="208"/>
      <c r="R817" s="208"/>
      <c r="S817" s="208"/>
      <c r="T817" s="208"/>
      <c r="U817" s="208"/>
      <c r="V817" s="208"/>
    </row>
    <row r="818" spans="1:22" ht="15.75" customHeight="1" x14ac:dyDescent="0.3">
      <c r="A818" s="208"/>
      <c r="B818" s="208"/>
      <c r="C818" s="208"/>
      <c r="D818" s="208"/>
      <c r="E818" s="208"/>
      <c r="F818" s="208"/>
      <c r="G818" s="208"/>
      <c r="H818" s="208"/>
      <c r="I818" s="208"/>
      <c r="J818" s="208"/>
      <c r="K818" s="208"/>
      <c r="L818" s="208"/>
      <c r="M818" s="208"/>
      <c r="N818" s="208"/>
      <c r="O818" s="208"/>
      <c r="P818" s="208"/>
      <c r="Q818" s="208"/>
      <c r="R818" s="208"/>
      <c r="S818" s="208"/>
      <c r="T818" s="208"/>
      <c r="U818" s="208"/>
      <c r="V818" s="208"/>
    </row>
    <row r="819" spans="1:22" ht="15.75" customHeight="1" x14ac:dyDescent="0.3">
      <c r="A819" s="208"/>
      <c r="B819" s="208"/>
      <c r="C819" s="208"/>
      <c r="D819" s="208"/>
      <c r="E819" s="208"/>
      <c r="F819" s="208"/>
      <c r="G819" s="208"/>
      <c r="H819" s="208"/>
      <c r="I819" s="208"/>
      <c r="J819" s="208"/>
      <c r="K819" s="208"/>
      <c r="L819" s="208"/>
      <c r="M819" s="208"/>
      <c r="N819" s="208"/>
      <c r="O819" s="208"/>
      <c r="P819" s="208"/>
      <c r="Q819" s="208"/>
      <c r="R819" s="208"/>
      <c r="S819" s="208"/>
      <c r="T819" s="208"/>
      <c r="U819" s="208"/>
      <c r="V819" s="208"/>
    </row>
    <row r="820" spans="1:22" ht="15.75" customHeight="1" x14ac:dyDescent="0.3">
      <c r="A820" s="208"/>
      <c r="B820" s="208"/>
      <c r="C820" s="208"/>
      <c r="D820" s="208"/>
      <c r="E820" s="208"/>
      <c r="F820" s="208"/>
      <c r="G820" s="208"/>
      <c r="H820" s="208"/>
      <c r="I820" s="208"/>
      <c r="J820" s="208"/>
      <c r="K820" s="208"/>
      <c r="L820" s="208"/>
      <c r="M820" s="208"/>
      <c r="N820" s="208"/>
      <c r="O820" s="208"/>
      <c r="P820" s="208"/>
      <c r="Q820" s="208"/>
      <c r="R820" s="208"/>
      <c r="S820" s="208"/>
      <c r="T820" s="208"/>
      <c r="U820" s="208"/>
      <c r="V820" s="208"/>
    </row>
    <row r="821" spans="1:22" ht="15.75" customHeight="1" x14ac:dyDescent="0.3">
      <c r="A821" s="208"/>
      <c r="B821" s="208"/>
      <c r="C821" s="208"/>
      <c r="D821" s="208"/>
      <c r="E821" s="208"/>
      <c r="F821" s="208"/>
      <c r="G821" s="208"/>
      <c r="H821" s="208"/>
      <c r="I821" s="208"/>
      <c r="J821" s="208"/>
      <c r="K821" s="208"/>
      <c r="L821" s="208"/>
      <c r="M821" s="208"/>
      <c r="N821" s="208"/>
      <c r="O821" s="208"/>
      <c r="P821" s="208"/>
      <c r="Q821" s="208"/>
      <c r="R821" s="208"/>
      <c r="S821" s="208"/>
      <c r="T821" s="208"/>
      <c r="U821" s="208"/>
      <c r="V821" s="208"/>
    </row>
    <row r="822" spans="1:22" ht="15.75" customHeight="1" x14ac:dyDescent="0.3">
      <c r="A822" s="208"/>
      <c r="B822" s="208"/>
      <c r="C822" s="208"/>
      <c r="D822" s="208"/>
      <c r="E822" s="208"/>
      <c r="F822" s="208"/>
      <c r="G822" s="208"/>
      <c r="H822" s="208"/>
      <c r="I822" s="208"/>
      <c r="J822" s="208"/>
      <c r="K822" s="208"/>
      <c r="L822" s="208"/>
      <c r="M822" s="208"/>
      <c r="N822" s="208"/>
      <c r="O822" s="208"/>
      <c r="P822" s="208"/>
      <c r="Q822" s="208"/>
      <c r="R822" s="208"/>
      <c r="S822" s="208"/>
      <c r="T822" s="208"/>
      <c r="U822" s="208"/>
      <c r="V822" s="208"/>
    </row>
    <row r="823" spans="1:22" ht="15.75" customHeight="1" x14ac:dyDescent="0.3">
      <c r="A823" s="208"/>
      <c r="B823" s="208"/>
      <c r="C823" s="208"/>
      <c r="D823" s="208"/>
      <c r="E823" s="208"/>
      <c r="F823" s="208"/>
      <c r="G823" s="208"/>
      <c r="H823" s="208"/>
      <c r="I823" s="208"/>
      <c r="J823" s="208"/>
      <c r="K823" s="208"/>
      <c r="L823" s="208"/>
      <c r="M823" s="208"/>
      <c r="N823" s="208"/>
      <c r="O823" s="208"/>
      <c r="P823" s="208"/>
      <c r="Q823" s="208"/>
      <c r="R823" s="208"/>
      <c r="S823" s="208"/>
      <c r="T823" s="208"/>
      <c r="U823" s="208"/>
      <c r="V823" s="208"/>
    </row>
    <row r="824" spans="1:22" ht="15.75" customHeight="1" x14ac:dyDescent="0.3">
      <c r="A824" s="208"/>
      <c r="B824" s="208"/>
      <c r="C824" s="208"/>
      <c r="D824" s="208"/>
      <c r="E824" s="208"/>
      <c r="F824" s="208"/>
      <c r="G824" s="208"/>
      <c r="H824" s="208"/>
      <c r="I824" s="208"/>
      <c r="J824" s="208"/>
      <c r="K824" s="208"/>
      <c r="L824" s="208"/>
      <c r="M824" s="208"/>
      <c r="N824" s="208"/>
      <c r="O824" s="208"/>
      <c r="P824" s="208"/>
      <c r="Q824" s="208"/>
      <c r="R824" s="208"/>
      <c r="S824" s="208"/>
      <c r="T824" s="208"/>
      <c r="U824" s="208"/>
      <c r="V824" s="208"/>
    </row>
    <row r="825" spans="1:22" ht="15.75" customHeight="1" x14ac:dyDescent="0.3">
      <c r="A825" s="208"/>
      <c r="B825" s="208"/>
      <c r="C825" s="208"/>
      <c r="D825" s="208"/>
      <c r="E825" s="208"/>
      <c r="F825" s="208"/>
      <c r="G825" s="208"/>
      <c r="H825" s="208"/>
      <c r="I825" s="208"/>
      <c r="J825" s="208"/>
      <c r="K825" s="208"/>
      <c r="L825" s="208"/>
      <c r="M825" s="208"/>
      <c r="N825" s="208"/>
      <c r="O825" s="208"/>
      <c r="P825" s="208"/>
      <c r="Q825" s="208"/>
      <c r="R825" s="208"/>
      <c r="S825" s="208"/>
      <c r="T825" s="208"/>
      <c r="U825" s="208"/>
      <c r="V825" s="208"/>
    </row>
    <row r="826" spans="1:22" ht="15.75" customHeight="1" x14ac:dyDescent="0.3">
      <c r="A826" s="208"/>
      <c r="B826" s="208"/>
      <c r="C826" s="208"/>
      <c r="D826" s="208"/>
      <c r="E826" s="208"/>
      <c r="F826" s="208"/>
      <c r="G826" s="208"/>
      <c r="H826" s="208"/>
      <c r="I826" s="208"/>
      <c r="J826" s="208"/>
      <c r="K826" s="208"/>
      <c r="L826" s="208"/>
      <c r="M826" s="208"/>
      <c r="N826" s="208"/>
      <c r="O826" s="208"/>
      <c r="P826" s="208"/>
      <c r="Q826" s="208"/>
      <c r="R826" s="208"/>
      <c r="S826" s="208"/>
      <c r="T826" s="208"/>
      <c r="U826" s="208"/>
      <c r="V826" s="208"/>
    </row>
    <row r="827" spans="1:22" ht="15.75" customHeight="1" x14ac:dyDescent="0.3">
      <c r="A827" s="208"/>
      <c r="B827" s="208"/>
      <c r="C827" s="208"/>
      <c r="D827" s="208"/>
      <c r="E827" s="208"/>
      <c r="F827" s="208"/>
      <c r="G827" s="208"/>
      <c r="H827" s="208"/>
      <c r="I827" s="208"/>
      <c r="J827" s="208"/>
      <c r="K827" s="208"/>
      <c r="L827" s="208"/>
      <c r="M827" s="208"/>
      <c r="N827" s="208"/>
      <c r="O827" s="208"/>
      <c r="P827" s="208"/>
      <c r="Q827" s="208"/>
      <c r="R827" s="208"/>
      <c r="S827" s="208"/>
      <c r="T827" s="208"/>
      <c r="U827" s="208"/>
      <c r="V827" s="208"/>
    </row>
    <row r="828" spans="1:22" ht="15.75" customHeight="1" x14ac:dyDescent="0.3">
      <c r="A828" s="208"/>
      <c r="B828" s="208"/>
      <c r="C828" s="208"/>
      <c r="D828" s="208"/>
      <c r="E828" s="208"/>
      <c r="F828" s="208"/>
      <c r="G828" s="208"/>
      <c r="H828" s="208"/>
      <c r="I828" s="208"/>
      <c r="J828" s="208"/>
      <c r="K828" s="208"/>
      <c r="L828" s="208"/>
      <c r="M828" s="208"/>
      <c r="N828" s="208"/>
      <c r="O828" s="208"/>
      <c r="P828" s="208"/>
      <c r="Q828" s="208"/>
      <c r="R828" s="208"/>
      <c r="S828" s="208"/>
      <c r="T828" s="208"/>
      <c r="U828" s="208"/>
      <c r="V828" s="208"/>
    </row>
    <row r="829" spans="1:22" ht="15.75" customHeight="1" x14ac:dyDescent="0.3">
      <c r="A829" s="208"/>
      <c r="B829" s="208"/>
      <c r="C829" s="208"/>
      <c r="D829" s="208"/>
      <c r="E829" s="208"/>
      <c r="F829" s="208"/>
      <c r="G829" s="208"/>
      <c r="H829" s="208"/>
      <c r="I829" s="208"/>
      <c r="J829" s="208"/>
      <c r="K829" s="208"/>
      <c r="L829" s="208"/>
      <c r="M829" s="208"/>
      <c r="N829" s="208"/>
      <c r="O829" s="208"/>
      <c r="P829" s="208"/>
      <c r="Q829" s="208"/>
      <c r="R829" s="208"/>
      <c r="S829" s="208"/>
      <c r="T829" s="208"/>
      <c r="U829" s="208"/>
      <c r="V829" s="208"/>
    </row>
    <row r="830" spans="1:22" ht="15.75" customHeight="1" x14ac:dyDescent="0.3">
      <c r="A830" s="208"/>
      <c r="B830" s="208"/>
      <c r="C830" s="208"/>
      <c r="D830" s="208"/>
      <c r="E830" s="208"/>
      <c r="F830" s="208"/>
      <c r="G830" s="208"/>
      <c r="H830" s="208"/>
      <c r="I830" s="208"/>
      <c r="J830" s="208"/>
      <c r="K830" s="208"/>
      <c r="L830" s="208"/>
      <c r="M830" s="208"/>
      <c r="N830" s="208"/>
      <c r="O830" s="208"/>
      <c r="P830" s="208"/>
      <c r="Q830" s="208"/>
      <c r="R830" s="208"/>
      <c r="S830" s="208"/>
      <c r="T830" s="208"/>
      <c r="U830" s="208"/>
      <c r="V830" s="208"/>
    </row>
    <row r="831" spans="1:22" ht="15.75" customHeight="1" x14ac:dyDescent="0.3">
      <c r="A831" s="208"/>
      <c r="B831" s="208"/>
      <c r="C831" s="208"/>
      <c r="D831" s="208"/>
      <c r="E831" s="208"/>
      <c r="F831" s="208"/>
      <c r="G831" s="208"/>
      <c r="H831" s="208"/>
      <c r="I831" s="208"/>
      <c r="J831" s="208"/>
      <c r="K831" s="208"/>
      <c r="L831" s="208"/>
      <c r="M831" s="208"/>
      <c r="N831" s="208"/>
      <c r="O831" s="208"/>
      <c r="P831" s="208"/>
      <c r="Q831" s="208"/>
      <c r="R831" s="208"/>
      <c r="S831" s="208"/>
      <c r="T831" s="208"/>
      <c r="U831" s="208"/>
      <c r="V831" s="208"/>
    </row>
    <row r="832" spans="1:22" ht="15.75" customHeight="1" x14ac:dyDescent="0.3">
      <c r="A832" s="208"/>
      <c r="B832" s="208"/>
      <c r="C832" s="208"/>
      <c r="D832" s="208"/>
      <c r="E832" s="208"/>
      <c r="F832" s="208"/>
      <c r="G832" s="208"/>
      <c r="H832" s="208"/>
      <c r="I832" s="208"/>
      <c r="J832" s="208"/>
      <c r="K832" s="208"/>
      <c r="L832" s="208"/>
      <c r="M832" s="208"/>
      <c r="N832" s="208"/>
      <c r="O832" s="208"/>
      <c r="P832" s="208"/>
      <c r="Q832" s="208"/>
      <c r="R832" s="208"/>
      <c r="S832" s="208"/>
      <c r="T832" s="208"/>
      <c r="U832" s="208"/>
      <c r="V832" s="208"/>
    </row>
    <row r="833" spans="1:22" ht="15.75" customHeight="1" x14ac:dyDescent="0.3">
      <c r="A833" s="208"/>
      <c r="B833" s="208"/>
      <c r="C833" s="208"/>
      <c r="D833" s="208"/>
      <c r="E833" s="208"/>
      <c r="F833" s="208"/>
      <c r="G833" s="208"/>
      <c r="H833" s="208"/>
      <c r="I833" s="208"/>
      <c r="J833" s="208"/>
      <c r="K833" s="208"/>
      <c r="L833" s="208"/>
      <c r="M833" s="208"/>
      <c r="N833" s="208"/>
      <c r="O833" s="208"/>
      <c r="P833" s="208"/>
      <c r="Q833" s="208"/>
      <c r="R833" s="208"/>
      <c r="S833" s="208"/>
      <c r="T833" s="208"/>
      <c r="U833" s="208"/>
      <c r="V833" s="208"/>
    </row>
    <row r="834" spans="1:22" ht="15.75" customHeight="1" x14ac:dyDescent="0.3">
      <c r="A834" s="208"/>
      <c r="B834" s="208"/>
      <c r="C834" s="208"/>
      <c r="D834" s="208"/>
      <c r="E834" s="208"/>
      <c r="F834" s="208"/>
      <c r="G834" s="208"/>
      <c r="H834" s="208"/>
      <c r="I834" s="208"/>
      <c r="J834" s="208"/>
      <c r="K834" s="208"/>
      <c r="L834" s="208"/>
      <c r="M834" s="208"/>
      <c r="N834" s="208"/>
      <c r="O834" s="208"/>
      <c r="P834" s="208"/>
      <c r="Q834" s="208"/>
      <c r="R834" s="208"/>
      <c r="S834" s="208"/>
      <c r="T834" s="208"/>
      <c r="U834" s="208"/>
      <c r="V834" s="208"/>
    </row>
    <row r="835" spans="1:22" ht="15.75" customHeight="1" x14ac:dyDescent="0.3">
      <c r="A835" s="208"/>
      <c r="B835" s="208"/>
      <c r="C835" s="208"/>
      <c r="D835" s="208"/>
      <c r="E835" s="208"/>
      <c r="F835" s="208"/>
      <c r="G835" s="208"/>
      <c r="H835" s="208"/>
      <c r="I835" s="208"/>
      <c r="J835" s="208"/>
      <c r="K835" s="208"/>
      <c r="L835" s="208"/>
      <c r="M835" s="208"/>
      <c r="N835" s="208"/>
      <c r="O835" s="208"/>
      <c r="P835" s="208"/>
      <c r="Q835" s="208"/>
      <c r="R835" s="208"/>
      <c r="S835" s="208"/>
      <c r="T835" s="208"/>
      <c r="U835" s="208"/>
      <c r="V835" s="208"/>
    </row>
    <row r="836" spans="1:22" ht="15.75" customHeight="1" x14ac:dyDescent="0.3">
      <c r="A836" s="208"/>
      <c r="B836" s="208"/>
      <c r="C836" s="208"/>
      <c r="D836" s="208"/>
      <c r="E836" s="208"/>
      <c r="F836" s="208"/>
      <c r="G836" s="208"/>
      <c r="H836" s="208"/>
      <c r="I836" s="208"/>
      <c r="J836" s="208"/>
      <c r="K836" s="208"/>
      <c r="L836" s="208"/>
      <c r="M836" s="208"/>
      <c r="N836" s="208"/>
      <c r="O836" s="208"/>
      <c r="P836" s="208"/>
      <c r="Q836" s="208"/>
      <c r="R836" s="208"/>
      <c r="S836" s="208"/>
      <c r="T836" s="208"/>
      <c r="U836" s="208"/>
      <c r="V836" s="208"/>
    </row>
    <row r="837" spans="1:22" ht="15.75" customHeight="1" x14ac:dyDescent="0.3">
      <c r="A837" s="208"/>
      <c r="B837" s="208"/>
      <c r="C837" s="208"/>
      <c r="D837" s="208"/>
      <c r="E837" s="208"/>
      <c r="F837" s="208"/>
      <c r="G837" s="208"/>
      <c r="H837" s="208"/>
      <c r="I837" s="208"/>
      <c r="J837" s="208"/>
      <c r="K837" s="208"/>
      <c r="L837" s="208"/>
      <c r="M837" s="208"/>
      <c r="N837" s="208"/>
      <c r="O837" s="208"/>
      <c r="P837" s="208"/>
      <c r="Q837" s="208"/>
      <c r="R837" s="208"/>
      <c r="S837" s="208"/>
      <c r="T837" s="208"/>
      <c r="U837" s="208"/>
      <c r="V837" s="208"/>
    </row>
    <row r="838" spans="1:22" ht="15.75" customHeight="1" x14ac:dyDescent="0.3">
      <c r="A838" s="208"/>
      <c r="B838" s="208"/>
      <c r="C838" s="208"/>
      <c r="D838" s="208"/>
      <c r="E838" s="208"/>
      <c r="F838" s="208"/>
      <c r="G838" s="208"/>
      <c r="H838" s="208"/>
      <c r="I838" s="208"/>
      <c r="J838" s="208"/>
      <c r="K838" s="208"/>
      <c r="L838" s="208"/>
      <c r="M838" s="208"/>
      <c r="N838" s="208"/>
      <c r="O838" s="208"/>
      <c r="P838" s="208"/>
      <c r="Q838" s="208"/>
      <c r="R838" s="208"/>
      <c r="S838" s="208"/>
      <c r="T838" s="208"/>
      <c r="U838" s="208"/>
      <c r="V838" s="208"/>
    </row>
    <row r="839" spans="1:22" ht="15.75" customHeight="1" x14ac:dyDescent="0.3">
      <c r="A839" s="208"/>
      <c r="B839" s="208"/>
      <c r="C839" s="208"/>
      <c r="D839" s="208"/>
      <c r="E839" s="208"/>
      <c r="F839" s="208"/>
      <c r="G839" s="208"/>
      <c r="H839" s="208"/>
      <c r="I839" s="208"/>
      <c r="J839" s="208"/>
      <c r="K839" s="208"/>
      <c r="L839" s="208"/>
      <c r="M839" s="208"/>
      <c r="N839" s="208"/>
      <c r="O839" s="208"/>
      <c r="P839" s="208"/>
      <c r="Q839" s="208"/>
      <c r="R839" s="208"/>
      <c r="S839" s="208"/>
      <c r="T839" s="208"/>
      <c r="U839" s="208"/>
      <c r="V839" s="208"/>
    </row>
    <row r="840" spans="1:22" ht="15.75" customHeight="1" x14ac:dyDescent="0.3">
      <c r="A840" s="208"/>
      <c r="B840" s="208"/>
      <c r="C840" s="208"/>
      <c r="D840" s="208"/>
      <c r="E840" s="208"/>
      <c r="F840" s="208"/>
      <c r="G840" s="208"/>
      <c r="H840" s="208"/>
      <c r="I840" s="208"/>
      <c r="J840" s="208"/>
      <c r="K840" s="208"/>
      <c r="L840" s="208"/>
      <c r="M840" s="208"/>
      <c r="N840" s="208"/>
      <c r="O840" s="208"/>
      <c r="P840" s="208"/>
      <c r="Q840" s="208"/>
      <c r="R840" s="208"/>
      <c r="S840" s="208"/>
      <c r="T840" s="208"/>
      <c r="U840" s="208"/>
      <c r="V840" s="208"/>
    </row>
    <row r="841" spans="1:22" ht="15.75" customHeight="1" x14ac:dyDescent="0.3">
      <c r="A841" s="208"/>
      <c r="B841" s="208"/>
      <c r="C841" s="208"/>
      <c r="D841" s="208"/>
      <c r="E841" s="208"/>
      <c r="F841" s="208"/>
      <c r="G841" s="208"/>
      <c r="H841" s="208"/>
      <c r="I841" s="208"/>
      <c r="J841" s="208"/>
      <c r="K841" s="208"/>
      <c r="L841" s="208"/>
      <c r="M841" s="208"/>
      <c r="N841" s="208"/>
      <c r="O841" s="208"/>
      <c r="P841" s="208"/>
      <c r="Q841" s="208"/>
      <c r="R841" s="208"/>
      <c r="S841" s="208"/>
      <c r="T841" s="208"/>
      <c r="U841" s="208"/>
      <c r="V841" s="208"/>
    </row>
    <row r="842" spans="1:22" ht="15.75" customHeight="1" x14ac:dyDescent="0.3">
      <c r="A842" s="208"/>
      <c r="B842" s="208"/>
      <c r="C842" s="208"/>
      <c r="D842" s="208"/>
      <c r="E842" s="208"/>
      <c r="F842" s="208"/>
      <c r="G842" s="208"/>
      <c r="H842" s="208"/>
      <c r="I842" s="208"/>
      <c r="J842" s="208"/>
      <c r="K842" s="208"/>
      <c r="L842" s="208"/>
      <c r="M842" s="208"/>
      <c r="N842" s="208"/>
      <c r="O842" s="208"/>
      <c r="P842" s="208"/>
      <c r="Q842" s="208"/>
      <c r="R842" s="208"/>
      <c r="S842" s="208"/>
      <c r="T842" s="208"/>
      <c r="U842" s="208"/>
      <c r="V842" s="208"/>
    </row>
    <row r="843" spans="1:22" ht="15.75" customHeight="1" x14ac:dyDescent="0.3">
      <c r="A843" s="208"/>
      <c r="B843" s="208"/>
      <c r="C843" s="208"/>
      <c r="D843" s="208"/>
      <c r="E843" s="208"/>
      <c r="F843" s="208"/>
      <c r="G843" s="208"/>
      <c r="H843" s="208"/>
      <c r="I843" s="208"/>
      <c r="J843" s="208"/>
      <c r="K843" s="208"/>
      <c r="L843" s="208"/>
      <c r="M843" s="208"/>
      <c r="N843" s="208"/>
      <c r="O843" s="208"/>
      <c r="P843" s="208"/>
      <c r="Q843" s="208"/>
      <c r="R843" s="208"/>
      <c r="S843" s="208"/>
      <c r="T843" s="208"/>
      <c r="U843" s="208"/>
      <c r="V843" s="208"/>
    </row>
    <row r="844" spans="1:22" ht="15.75" customHeight="1" x14ac:dyDescent="0.3">
      <c r="A844" s="208"/>
      <c r="B844" s="208"/>
      <c r="C844" s="208"/>
      <c r="D844" s="208"/>
      <c r="E844" s="208"/>
      <c r="F844" s="208"/>
      <c r="G844" s="208"/>
      <c r="H844" s="208"/>
      <c r="I844" s="208"/>
      <c r="J844" s="208"/>
      <c r="K844" s="208"/>
      <c r="L844" s="208"/>
      <c r="M844" s="208"/>
      <c r="N844" s="208"/>
      <c r="O844" s="208"/>
      <c r="P844" s="208"/>
      <c r="Q844" s="208"/>
      <c r="R844" s="208"/>
      <c r="S844" s="208"/>
      <c r="T844" s="208"/>
      <c r="U844" s="208"/>
      <c r="V844" s="208"/>
    </row>
    <row r="845" spans="1:22" ht="15.75" customHeight="1" x14ac:dyDescent="0.3">
      <c r="A845" s="208"/>
      <c r="B845" s="208"/>
      <c r="C845" s="208"/>
      <c r="D845" s="208"/>
      <c r="E845" s="208"/>
      <c r="F845" s="208"/>
      <c r="G845" s="208"/>
      <c r="H845" s="208"/>
      <c r="I845" s="208"/>
      <c r="J845" s="208"/>
      <c r="K845" s="208"/>
      <c r="L845" s="208"/>
      <c r="M845" s="208"/>
      <c r="N845" s="208"/>
      <c r="O845" s="208"/>
      <c r="P845" s="208"/>
      <c r="Q845" s="208"/>
      <c r="R845" s="208"/>
      <c r="S845" s="208"/>
      <c r="T845" s="208"/>
      <c r="U845" s="208"/>
      <c r="V845" s="208"/>
    </row>
    <row r="846" spans="1:22" ht="15.75" customHeight="1" x14ac:dyDescent="0.3">
      <c r="A846" s="208"/>
      <c r="B846" s="208"/>
      <c r="C846" s="208"/>
      <c r="D846" s="208"/>
      <c r="E846" s="208"/>
      <c r="F846" s="208"/>
      <c r="G846" s="208"/>
      <c r="H846" s="208"/>
      <c r="I846" s="208"/>
      <c r="J846" s="208"/>
      <c r="K846" s="208"/>
      <c r="L846" s="208"/>
      <c r="M846" s="208"/>
      <c r="N846" s="208"/>
      <c r="O846" s="208"/>
      <c r="P846" s="208"/>
      <c r="Q846" s="208"/>
      <c r="R846" s="208"/>
      <c r="S846" s="208"/>
      <c r="T846" s="208"/>
      <c r="U846" s="208"/>
      <c r="V846" s="208"/>
    </row>
    <row r="847" spans="1:22" ht="15.75" customHeight="1" x14ac:dyDescent="0.3">
      <c r="A847" s="208"/>
      <c r="B847" s="208"/>
      <c r="C847" s="208"/>
      <c r="D847" s="208"/>
      <c r="E847" s="208"/>
      <c r="F847" s="208"/>
      <c r="G847" s="208"/>
      <c r="H847" s="208"/>
      <c r="I847" s="208"/>
      <c r="J847" s="208"/>
      <c r="K847" s="208"/>
      <c r="L847" s="208"/>
      <c r="M847" s="208"/>
      <c r="N847" s="208"/>
      <c r="O847" s="208"/>
      <c r="P847" s="208"/>
      <c r="Q847" s="208"/>
      <c r="R847" s="208"/>
      <c r="S847" s="208"/>
      <c r="T847" s="208"/>
      <c r="U847" s="208"/>
      <c r="V847" s="208"/>
    </row>
    <row r="848" spans="1:22" ht="15.75" customHeight="1" x14ac:dyDescent="0.3">
      <c r="A848" s="208"/>
      <c r="B848" s="208"/>
      <c r="C848" s="208"/>
      <c r="D848" s="208"/>
      <c r="E848" s="208"/>
      <c r="F848" s="208"/>
      <c r="G848" s="208"/>
      <c r="H848" s="208"/>
      <c r="I848" s="208"/>
      <c r="J848" s="208"/>
      <c r="K848" s="208"/>
      <c r="L848" s="208"/>
      <c r="M848" s="208"/>
      <c r="N848" s="208"/>
      <c r="O848" s="208"/>
      <c r="P848" s="208"/>
      <c r="Q848" s="208"/>
      <c r="R848" s="208"/>
      <c r="S848" s="208"/>
      <c r="T848" s="208"/>
      <c r="U848" s="208"/>
      <c r="V848" s="208"/>
    </row>
    <row r="849" spans="1:22" ht="15.75" customHeight="1" x14ac:dyDescent="0.3">
      <c r="A849" s="208"/>
      <c r="B849" s="208"/>
      <c r="C849" s="208"/>
      <c r="D849" s="208"/>
      <c r="E849" s="208"/>
      <c r="F849" s="208"/>
      <c r="G849" s="208"/>
      <c r="H849" s="208"/>
      <c r="I849" s="208"/>
      <c r="J849" s="208"/>
      <c r="K849" s="208"/>
      <c r="L849" s="208"/>
      <c r="M849" s="208"/>
      <c r="N849" s="208"/>
      <c r="O849" s="208"/>
      <c r="P849" s="208"/>
      <c r="Q849" s="208"/>
      <c r="R849" s="208"/>
      <c r="S849" s="208"/>
      <c r="T849" s="208"/>
      <c r="U849" s="208"/>
      <c r="V849" s="208"/>
    </row>
    <row r="850" spans="1:22" ht="15.75" customHeight="1" x14ac:dyDescent="0.3">
      <c r="A850" s="208"/>
      <c r="B850" s="208"/>
      <c r="C850" s="208"/>
      <c r="D850" s="208"/>
      <c r="E850" s="208"/>
      <c r="F850" s="208"/>
      <c r="G850" s="208"/>
      <c r="H850" s="208"/>
      <c r="I850" s="208"/>
      <c r="J850" s="208"/>
      <c r="K850" s="208"/>
      <c r="L850" s="208"/>
      <c r="M850" s="208"/>
      <c r="N850" s="208"/>
      <c r="O850" s="208"/>
      <c r="P850" s="208"/>
      <c r="Q850" s="208"/>
      <c r="R850" s="208"/>
      <c r="S850" s="208"/>
      <c r="T850" s="208"/>
      <c r="U850" s="208"/>
      <c r="V850" s="208"/>
    </row>
    <row r="851" spans="1:22" ht="15.75" customHeight="1" x14ac:dyDescent="0.3">
      <c r="A851" s="208"/>
      <c r="B851" s="208"/>
      <c r="C851" s="208"/>
      <c r="D851" s="208"/>
      <c r="E851" s="208"/>
      <c r="F851" s="208"/>
      <c r="G851" s="208"/>
      <c r="H851" s="208"/>
      <c r="I851" s="208"/>
      <c r="J851" s="208"/>
      <c r="K851" s="208"/>
      <c r="L851" s="208"/>
      <c r="M851" s="208"/>
      <c r="N851" s="208"/>
      <c r="O851" s="208"/>
      <c r="P851" s="208"/>
      <c r="Q851" s="208"/>
      <c r="R851" s="208"/>
      <c r="S851" s="208"/>
      <c r="T851" s="208"/>
      <c r="U851" s="208"/>
      <c r="V851" s="208"/>
    </row>
    <row r="852" spans="1:22" ht="15.75" customHeight="1" x14ac:dyDescent="0.3">
      <c r="A852" s="208"/>
      <c r="B852" s="208"/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208"/>
      <c r="P852" s="208"/>
      <c r="Q852" s="208"/>
      <c r="R852" s="208"/>
      <c r="S852" s="208"/>
      <c r="T852" s="208"/>
      <c r="U852" s="208"/>
      <c r="V852" s="208"/>
    </row>
    <row r="853" spans="1:22" ht="15.75" customHeight="1" x14ac:dyDescent="0.3">
      <c r="A853" s="208"/>
      <c r="B853" s="208"/>
      <c r="C853" s="208"/>
      <c r="D853" s="208"/>
      <c r="E853" s="208"/>
      <c r="F853" s="208"/>
      <c r="G853" s="208"/>
      <c r="H853" s="208"/>
      <c r="I853" s="208"/>
      <c r="J853" s="208"/>
      <c r="K853" s="208"/>
      <c r="L853" s="208"/>
      <c r="M853" s="208"/>
      <c r="N853" s="208"/>
      <c r="O853" s="208"/>
      <c r="P853" s="208"/>
      <c r="Q853" s="208"/>
      <c r="R853" s="208"/>
      <c r="S853" s="208"/>
      <c r="T853" s="208"/>
      <c r="U853" s="208"/>
      <c r="V853" s="208"/>
    </row>
    <row r="854" spans="1:22" ht="15.75" customHeight="1" x14ac:dyDescent="0.3">
      <c r="A854" s="208"/>
      <c r="B854" s="208"/>
      <c r="C854" s="208"/>
      <c r="D854" s="208"/>
      <c r="E854" s="208"/>
      <c r="F854" s="208"/>
      <c r="G854" s="208"/>
      <c r="H854" s="208"/>
      <c r="I854" s="208"/>
      <c r="J854" s="208"/>
      <c r="K854" s="208"/>
      <c r="L854" s="208"/>
      <c r="M854" s="208"/>
      <c r="N854" s="208"/>
      <c r="O854" s="208"/>
      <c r="P854" s="208"/>
      <c r="Q854" s="208"/>
      <c r="R854" s="208"/>
      <c r="S854" s="208"/>
      <c r="T854" s="208"/>
      <c r="U854" s="208"/>
      <c r="V854" s="208"/>
    </row>
    <row r="855" spans="1:22" ht="15.75" customHeight="1" x14ac:dyDescent="0.3">
      <c r="A855" s="208"/>
      <c r="B855" s="208"/>
      <c r="C855" s="208"/>
      <c r="D855" s="208"/>
      <c r="E855" s="208"/>
      <c r="F855" s="208"/>
      <c r="G855" s="208"/>
      <c r="H855" s="208"/>
      <c r="I855" s="208"/>
      <c r="J855" s="208"/>
      <c r="K855" s="208"/>
      <c r="L855" s="208"/>
      <c r="M855" s="208"/>
      <c r="N855" s="208"/>
      <c r="O855" s="208"/>
      <c r="P855" s="208"/>
      <c r="Q855" s="208"/>
      <c r="R855" s="208"/>
      <c r="S855" s="208"/>
      <c r="T855" s="208"/>
      <c r="U855" s="208"/>
      <c r="V855" s="208"/>
    </row>
    <row r="856" spans="1:22" ht="15.75" customHeight="1" x14ac:dyDescent="0.3">
      <c r="A856" s="208"/>
      <c r="B856" s="208"/>
      <c r="C856" s="208"/>
      <c r="D856" s="208"/>
      <c r="E856" s="208"/>
      <c r="F856" s="208"/>
      <c r="G856" s="208"/>
      <c r="H856" s="208"/>
      <c r="I856" s="208"/>
      <c r="J856" s="208"/>
      <c r="K856" s="208"/>
      <c r="L856" s="208"/>
      <c r="M856" s="208"/>
      <c r="N856" s="208"/>
      <c r="O856" s="208"/>
      <c r="P856" s="208"/>
      <c r="Q856" s="208"/>
      <c r="R856" s="208"/>
      <c r="S856" s="208"/>
      <c r="T856" s="208"/>
      <c r="U856" s="208"/>
      <c r="V856" s="208"/>
    </row>
    <row r="857" spans="1:22" ht="15.75" customHeight="1" x14ac:dyDescent="0.3">
      <c r="A857" s="208"/>
      <c r="B857" s="208"/>
      <c r="C857" s="208"/>
      <c r="D857" s="208"/>
      <c r="E857" s="208"/>
      <c r="F857" s="208"/>
      <c r="G857" s="208"/>
      <c r="H857" s="208"/>
      <c r="I857" s="208"/>
      <c r="J857" s="208"/>
      <c r="K857" s="208"/>
      <c r="L857" s="208"/>
      <c r="M857" s="208"/>
      <c r="N857" s="208"/>
      <c r="O857" s="208"/>
      <c r="P857" s="208"/>
      <c r="Q857" s="208"/>
      <c r="R857" s="208"/>
      <c r="S857" s="208"/>
      <c r="T857" s="208"/>
      <c r="U857" s="208"/>
      <c r="V857" s="208"/>
    </row>
    <row r="858" spans="1:22" ht="15.75" customHeight="1" x14ac:dyDescent="0.3">
      <c r="A858" s="208"/>
      <c r="B858" s="208"/>
      <c r="C858" s="208"/>
      <c r="D858" s="208"/>
      <c r="E858" s="208"/>
      <c r="F858" s="208"/>
      <c r="G858" s="208"/>
      <c r="H858" s="208"/>
      <c r="I858" s="208"/>
      <c r="J858" s="208"/>
      <c r="K858" s="208"/>
      <c r="L858" s="208"/>
      <c r="M858" s="208"/>
      <c r="N858" s="208"/>
      <c r="O858" s="208"/>
      <c r="P858" s="208"/>
      <c r="Q858" s="208"/>
      <c r="R858" s="208"/>
      <c r="S858" s="208"/>
      <c r="T858" s="208"/>
      <c r="U858" s="208"/>
      <c r="V858" s="208"/>
    </row>
    <row r="859" spans="1:22" ht="15.75" customHeight="1" x14ac:dyDescent="0.3">
      <c r="A859" s="208"/>
      <c r="B859" s="208"/>
      <c r="C859" s="208"/>
      <c r="D859" s="208"/>
      <c r="E859" s="208"/>
      <c r="F859" s="208"/>
      <c r="G859" s="208"/>
      <c r="H859" s="208"/>
      <c r="I859" s="208"/>
      <c r="J859" s="208"/>
      <c r="K859" s="208"/>
      <c r="L859" s="208"/>
      <c r="M859" s="208"/>
      <c r="N859" s="208"/>
      <c r="O859" s="208"/>
      <c r="P859" s="208"/>
      <c r="Q859" s="208"/>
      <c r="R859" s="208"/>
      <c r="S859" s="208"/>
      <c r="T859" s="208"/>
      <c r="U859" s="208"/>
      <c r="V859" s="208"/>
    </row>
    <row r="860" spans="1:22" ht="15.75" customHeight="1" x14ac:dyDescent="0.3">
      <c r="A860" s="208"/>
      <c r="B860" s="208"/>
      <c r="C860" s="208"/>
      <c r="D860" s="208"/>
      <c r="E860" s="208"/>
      <c r="F860" s="208"/>
      <c r="G860" s="208"/>
      <c r="H860" s="208"/>
      <c r="I860" s="208"/>
      <c r="J860" s="208"/>
      <c r="K860" s="208"/>
      <c r="L860" s="208"/>
      <c r="M860" s="208"/>
      <c r="N860" s="208"/>
      <c r="O860" s="208"/>
      <c r="P860" s="208"/>
      <c r="Q860" s="208"/>
      <c r="R860" s="208"/>
      <c r="S860" s="208"/>
      <c r="T860" s="208"/>
      <c r="U860" s="208"/>
      <c r="V860" s="208"/>
    </row>
    <row r="861" spans="1:22" ht="15.75" customHeight="1" x14ac:dyDescent="0.3">
      <c r="A861" s="208"/>
      <c r="B861" s="208"/>
      <c r="C861" s="208"/>
      <c r="D861" s="208"/>
      <c r="E861" s="208"/>
      <c r="F861" s="208"/>
      <c r="G861" s="208"/>
      <c r="H861" s="208"/>
      <c r="I861" s="208"/>
      <c r="J861" s="208"/>
      <c r="K861" s="208"/>
      <c r="L861" s="208"/>
      <c r="M861" s="208"/>
      <c r="N861" s="208"/>
      <c r="O861" s="208"/>
      <c r="P861" s="208"/>
      <c r="Q861" s="208"/>
      <c r="R861" s="208"/>
      <c r="S861" s="208"/>
      <c r="T861" s="208"/>
      <c r="U861" s="208"/>
      <c r="V861" s="208"/>
    </row>
    <row r="862" spans="1:22" ht="15.75" customHeight="1" x14ac:dyDescent="0.3">
      <c r="A862" s="208"/>
      <c r="B862" s="208"/>
      <c r="C862" s="208"/>
      <c r="D862" s="208"/>
      <c r="E862" s="208"/>
      <c r="F862" s="208"/>
      <c r="G862" s="208"/>
      <c r="H862" s="208"/>
      <c r="I862" s="208"/>
      <c r="J862" s="208"/>
      <c r="K862" s="208"/>
      <c r="L862" s="208"/>
      <c r="M862" s="208"/>
      <c r="N862" s="208"/>
      <c r="O862" s="208"/>
      <c r="P862" s="208"/>
      <c r="Q862" s="208"/>
      <c r="R862" s="208"/>
      <c r="S862" s="208"/>
      <c r="T862" s="208"/>
      <c r="U862" s="208"/>
      <c r="V862" s="208"/>
    </row>
    <row r="863" spans="1:22" ht="15.75" customHeight="1" x14ac:dyDescent="0.3">
      <c r="A863" s="208"/>
      <c r="B863" s="208"/>
      <c r="C863" s="208"/>
      <c r="D863" s="208"/>
      <c r="E863" s="208"/>
      <c r="F863" s="208"/>
      <c r="G863" s="208"/>
      <c r="H863" s="208"/>
      <c r="I863" s="208"/>
      <c r="J863" s="208"/>
      <c r="K863" s="208"/>
      <c r="L863" s="208"/>
      <c r="M863" s="208"/>
      <c r="N863" s="208"/>
      <c r="O863" s="208"/>
      <c r="P863" s="208"/>
      <c r="Q863" s="208"/>
      <c r="R863" s="208"/>
      <c r="S863" s="208"/>
      <c r="T863" s="208"/>
      <c r="U863" s="208"/>
      <c r="V863" s="208"/>
    </row>
    <row r="864" spans="1:22" ht="15.75" customHeight="1" x14ac:dyDescent="0.3">
      <c r="A864" s="208"/>
      <c r="B864" s="208"/>
      <c r="C864" s="208"/>
      <c r="D864" s="208"/>
      <c r="E864" s="208"/>
      <c r="F864" s="208"/>
      <c r="G864" s="208"/>
      <c r="H864" s="208"/>
      <c r="I864" s="208"/>
      <c r="J864" s="208"/>
      <c r="K864" s="208"/>
      <c r="L864" s="208"/>
      <c r="M864" s="208"/>
      <c r="N864" s="208"/>
      <c r="O864" s="208"/>
      <c r="P864" s="208"/>
      <c r="Q864" s="208"/>
      <c r="R864" s="208"/>
      <c r="S864" s="208"/>
      <c r="T864" s="208"/>
      <c r="U864" s="208"/>
      <c r="V864" s="208"/>
    </row>
    <row r="865" spans="1:22" ht="15.75" customHeight="1" x14ac:dyDescent="0.3">
      <c r="A865" s="208"/>
      <c r="B865" s="208"/>
      <c r="C865" s="208"/>
      <c r="D865" s="208"/>
      <c r="E865" s="208"/>
      <c r="F865" s="208"/>
      <c r="G865" s="208"/>
      <c r="H865" s="208"/>
      <c r="I865" s="208"/>
      <c r="J865" s="208"/>
      <c r="K865" s="208"/>
      <c r="L865" s="208"/>
      <c r="M865" s="208"/>
      <c r="N865" s="208"/>
      <c r="O865" s="208"/>
      <c r="P865" s="208"/>
      <c r="Q865" s="208"/>
      <c r="R865" s="208"/>
      <c r="S865" s="208"/>
      <c r="T865" s="208"/>
      <c r="U865" s="208"/>
      <c r="V865" s="208"/>
    </row>
    <row r="866" spans="1:22" ht="15.75" customHeight="1" x14ac:dyDescent="0.3">
      <c r="A866" s="208"/>
      <c r="B866" s="208"/>
      <c r="C866" s="208"/>
      <c r="D866" s="208"/>
      <c r="E866" s="208"/>
      <c r="F866" s="208"/>
      <c r="G866" s="208"/>
      <c r="H866" s="208"/>
      <c r="I866" s="208"/>
      <c r="J866" s="208"/>
      <c r="K866" s="208"/>
      <c r="L866" s="208"/>
      <c r="M866" s="208"/>
      <c r="N866" s="208"/>
      <c r="O866" s="208"/>
      <c r="P866" s="208"/>
      <c r="Q866" s="208"/>
      <c r="R866" s="208"/>
      <c r="S866" s="208"/>
      <c r="T866" s="208"/>
      <c r="U866" s="208"/>
      <c r="V866" s="208"/>
    </row>
    <row r="867" spans="1:22" ht="15.75" customHeight="1" x14ac:dyDescent="0.3">
      <c r="A867" s="208"/>
      <c r="B867" s="208"/>
      <c r="C867" s="208"/>
      <c r="D867" s="208"/>
      <c r="E867" s="208"/>
      <c r="F867" s="208"/>
      <c r="G867" s="208"/>
      <c r="H867" s="208"/>
      <c r="I867" s="208"/>
      <c r="J867" s="208"/>
      <c r="K867" s="208"/>
      <c r="L867" s="208"/>
      <c r="M867" s="208"/>
      <c r="N867" s="208"/>
      <c r="O867" s="208"/>
      <c r="P867" s="208"/>
      <c r="Q867" s="208"/>
      <c r="R867" s="208"/>
      <c r="S867" s="208"/>
      <c r="T867" s="208"/>
      <c r="U867" s="208"/>
      <c r="V867" s="208"/>
    </row>
    <row r="868" spans="1:22" ht="15.75" customHeight="1" x14ac:dyDescent="0.3">
      <c r="A868" s="208"/>
      <c r="B868" s="208"/>
      <c r="C868" s="208"/>
      <c r="D868" s="208"/>
      <c r="E868" s="208"/>
      <c r="F868" s="208"/>
      <c r="G868" s="208"/>
      <c r="H868" s="208"/>
      <c r="I868" s="208"/>
      <c r="J868" s="208"/>
      <c r="K868" s="208"/>
      <c r="L868" s="208"/>
      <c r="M868" s="208"/>
      <c r="N868" s="208"/>
      <c r="O868" s="208"/>
      <c r="P868" s="208"/>
      <c r="Q868" s="208"/>
      <c r="R868" s="208"/>
      <c r="S868" s="208"/>
      <c r="T868" s="208"/>
      <c r="U868" s="208"/>
      <c r="V868" s="208"/>
    </row>
    <row r="869" spans="1:22" ht="15.75" customHeight="1" x14ac:dyDescent="0.3">
      <c r="A869" s="208"/>
      <c r="B869" s="208"/>
      <c r="C869" s="208"/>
      <c r="D869" s="208"/>
      <c r="E869" s="208"/>
      <c r="F869" s="208"/>
      <c r="G869" s="208"/>
      <c r="H869" s="208"/>
      <c r="I869" s="208"/>
      <c r="J869" s="208"/>
      <c r="K869" s="208"/>
      <c r="L869" s="208"/>
      <c r="M869" s="208"/>
      <c r="N869" s="208"/>
      <c r="O869" s="208"/>
      <c r="P869" s="208"/>
      <c r="Q869" s="208"/>
      <c r="R869" s="208"/>
      <c r="S869" s="208"/>
      <c r="T869" s="208"/>
      <c r="U869" s="208"/>
      <c r="V869" s="208"/>
    </row>
    <row r="870" spans="1:22" ht="15.75" customHeight="1" x14ac:dyDescent="0.3">
      <c r="A870" s="208"/>
      <c r="B870" s="208"/>
      <c r="C870" s="208"/>
      <c r="D870" s="208"/>
      <c r="E870" s="208"/>
      <c r="F870" s="208"/>
      <c r="G870" s="208"/>
      <c r="H870" s="208"/>
      <c r="I870" s="208"/>
      <c r="J870" s="208"/>
      <c r="K870" s="208"/>
      <c r="L870" s="208"/>
      <c r="M870" s="208"/>
      <c r="N870" s="208"/>
      <c r="O870" s="208"/>
      <c r="P870" s="208"/>
      <c r="Q870" s="208"/>
      <c r="R870" s="208"/>
      <c r="S870" s="208"/>
      <c r="T870" s="208"/>
      <c r="U870" s="208"/>
      <c r="V870" s="208"/>
    </row>
    <row r="871" spans="1:22" ht="15.75" customHeight="1" x14ac:dyDescent="0.3">
      <c r="A871" s="208"/>
      <c r="B871" s="208"/>
      <c r="C871" s="208"/>
      <c r="D871" s="208"/>
      <c r="E871" s="208"/>
      <c r="F871" s="208"/>
      <c r="G871" s="208"/>
      <c r="H871" s="208"/>
      <c r="I871" s="208"/>
      <c r="J871" s="208"/>
      <c r="K871" s="208"/>
      <c r="L871" s="208"/>
      <c r="M871" s="208"/>
      <c r="N871" s="208"/>
      <c r="O871" s="208"/>
      <c r="P871" s="208"/>
      <c r="Q871" s="208"/>
      <c r="R871" s="208"/>
      <c r="S871" s="208"/>
      <c r="T871" s="208"/>
      <c r="U871" s="208"/>
      <c r="V871" s="208"/>
    </row>
    <row r="872" spans="1:22" ht="15.75" customHeight="1" x14ac:dyDescent="0.3">
      <c r="A872" s="208"/>
      <c r="B872" s="208"/>
      <c r="C872" s="208"/>
      <c r="D872" s="208"/>
      <c r="E872" s="208"/>
      <c r="F872" s="208"/>
      <c r="G872" s="208"/>
      <c r="H872" s="208"/>
      <c r="I872" s="208"/>
      <c r="J872" s="208"/>
      <c r="K872" s="208"/>
      <c r="L872" s="208"/>
      <c r="M872" s="208"/>
      <c r="N872" s="208"/>
      <c r="O872" s="208"/>
      <c r="P872" s="208"/>
      <c r="Q872" s="208"/>
      <c r="R872" s="208"/>
      <c r="S872" s="208"/>
      <c r="T872" s="208"/>
      <c r="U872" s="208"/>
      <c r="V872" s="208"/>
    </row>
    <row r="873" spans="1:22" ht="15.75" customHeight="1" x14ac:dyDescent="0.3">
      <c r="A873" s="208"/>
      <c r="B873" s="208"/>
      <c r="C873" s="208"/>
      <c r="D873" s="208"/>
      <c r="E873" s="208"/>
      <c r="F873" s="208"/>
      <c r="G873" s="208"/>
      <c r="H873" s="208"/>
      <c r="I873" s="208"/>
      <c r="J873" s="208"/>
      <c r="K873" s="208"/>
      <c r="L873" s="208"/>
      <c r="M873" s="208"/>
      <c r="N873" s="208"/>
      <c r="O873" s="208"/>
      <c r="P873" s="208"/>
      <c r="Q873" s="208"/>
      <c r="R873" s="208"/>
      <c r="S873" s="208"/>
      <c r="T873" s="208"/>
      <c r="U873" s="208"/>
      <c r="V873" s="208"/>
    </row>
    <row r="874" spans="1:22" ht="15.75" customHeight="1" x14ac:dyDescent="0.3">
      <c r="A874" s="208"/>
      <c r="B874" s="208"/>
      <c r="C874" s="208"/>
      <c r="D874" s="208"/>
      <c r="E874" s="208"/>
      <c r="F874" s="208"/>
      <c r="G874" s="208"/>
      <c r="H874" s="208"/>
      <c r="I874" s="208"/>
      <c r="J874" s="208"/>
      <c r="K874" s="208"/>
      <c r="L874" s="208"/>
      <c r="M874" s="208"/>
      <c r="N874" s="208"/>
      <c r="O874" s="208"/>
      <c r="P874" s="208"/>
      <c r="Q874" s="208"/>
      <c r="R874" s="208"/>
      <c r="S874" s="208"/>
      <c r="T874" s="208"/>
      <c r="U874" s="208"/>
      <c r="V874" s="208"/>
    </row>
    <row r="875" spans="1:22" ht="15.75" customHeight="1" x14ac:dyDescent="0.3">
      <c r="A875" s="208"/>
      <c r="B875" s="208"/>
      <c r="C875" s="208"/>
      <c r="D875" s="208"/>
      <c r="E875" s="208"/>
      <c r="F875" s="208"/>
      <c r="G875" s="208"/>
      <c r="H875" s="208"/>
      <c r="I875" s="208"/>
      <c r="J875" s="208"/>
      <c r="K875" s="208"/>
      <c r="L875" s="208"/>
      <c r="M875" s="208"/>
      <c r="N875" s="208"/>
      <c r="O875" s="208"/>
      <c r="P875" s="208"/>
      <c r="Q875" s="208"/>
      <c r="R875" s="208"/>
      <c r="S875" s="208"/>
      <c r="T875" s="208"/>
      <c r="U875" s="208"/>
      <c r="V875" s="208"/>
    </row>
    <row r="876" spans="1:22" ht="15.75" customHeight="1" x14ac:dyDescent="0.3">
      <c r="A876" s="208"/>
      <c r="B876" s="208"/>
      <c r="C876" s="208"/>
      <c r="D876" s="208"/>
      <c r="E876" s="208"/>
      <c r="F876" s="208"/>
      <c r="G876" s="208"/>
      <c r="H876" s="208"/>
      <c r="I876" s="208"/>
      <c r="J876" s="208"/>
      <c r="K876" s="208"/>
      <c r="L876" s="208"/>
      <c r="M876" s="208"/>
      <c r="N876" s="208"/>
      <c r="O876" s="208"/>
      <c r="P876" s="208"/>
      <c r="Q876" s="208"/>
      <c r="R876" s="208"/>
      <c r="S876" s="208"/>
      <c r="T876" s="208"/>
      <c r="U876" s="208"/>
      <c r="V876" s="208"/>
    </row>
    <row r="877" spans="1:22" ht="15.75" customHeight="1" x14ac:dyDescent="0.3">
      <c r="A877" s="208"/>
      <c r="B877" s="208"/>
      <c r="C877" s="208"/>
      <c r="D877" s="208"/>
      <c r="E877" s="208"/>
      <c r="F877" s="208"/>
      <c r="G877" s="208"/>
      <c r="H877" s="208"/>
      <c r="I877" s="208"/>
      <c r="J877" s="208"/>
      <c r="K877" s="208"/>
      <c r="L877" s="208"/>
      <c r="M877" s="208"/>
      <c r="N877" s="208"/>
      <c r="O877" s="208"/>
      <c r="P877" s="208"/>
      <c r="Q877" s="208"/>
      <c r="R877" s="208"/>
      <c r="S877" s="208"/>
      <c r="T877" s="208"/>
      <c r="U877" s="208"/>
      <c r="V877" s="208"/>
    </row>
    <row r="878" spans="1:22" ht="15.75" customHeight="1" x14ac:dyDescent="0.3">
      <c r="A878" s="208"/>
      <c r="B878" s="208"/>
      <c r="C878" s="208"/>
      <c r="D878" s="208"/>
      <c r="E878" s="208"/>
      <c r="F878" s="208"/>
      <c r="G878" s="208"/>
      <c r="H878" s="208"/>
      <c r="I878" s="208"/>
      <c r="J878" s="208"/>
      <c r="K878" s="208"/>
      <c r="L878" s="208"/>
      <c r="M878" s="208"/>
      <c r="N878" s="208"/>
      <c r="O878" s="208"/>
      <c r="P878" s="208"/>
      <c r="Q878" s="208"/>
      <c r="R878" s="208"/>
      <c r="S878" s="208"/>
      <c r="T878" s="208"/>
      <c r="U878" s="208"/>
      <c r="V878" s="208"/>
    </row>
    <row r="879" spans="1:22" ht="15.75" customHeight="1" x14ac:dyDescent="0.3">
      <c r="A879" s="208"/>
      <c r="B879" s="208"/>
      <c r="C879" s="208"/>
      <c r="D879" s="208"/>
      <c r="E879" s="208"/>
      <c r="F879" s="208"/>
      <c r="G879" s="208"/>
      <c r="H879" s="208"/>
      <c r="I879" s="208"/>
      <c r="J879" s="208"/>
      <c r="K879" s="208"/>
      <c r="L879" s="208"/>
      <c r="M879" s="208"/>
      <c r="N879" s="208"/>
      <c r="O879" s="208"/>
      <c r="P879" s="208"/>
      <c r="Q879" s="208"/>
      <c r="R879" s="208"/>
      <c r="S879" s="208"/>
      <c r="T879" s="208"/>
      <c r="U879" s="208"/>
      <c r="V879" s="208"/>
    </row>
    <row r="880" spans="1:22" ht="15.75" customHeight="1" x14ac:dyDescent="0.3">
      <c r="A880" s="208"/>
      <c r="B880" s="208"/>
      <c r="C880" s="208"/>
      <c r="D880" s="208"/>
      <c r="E880" s="208"/>
      <c r="F880" s="208"/>
      <c r="G880" s="208"/>
      <c r="H880" s="208"/>
      <c r="I880" s="208"/>
      <c r="J880" s="208"/>
      <c r="K880" s="208"/>
      <c r="L880" s="208"/>
      <c r="M880" s="208"/>
      <c r="N880" s="208"/>
      <c r="O880" s="208"/>
      <c r="P880" s="208"/>
      <c r="Q880" s="208"/>
      <c r="R880" s="208"/>
      <c r="S880" s="208"/>
      <c r="T880" s="208"/>
      <c r="U880" s="208"/>
      <c r="V880" s="208"/>
    </row>
    <row r="881" spans="1:22" ht="15.75" customHeight="1" x14ac:dyDescent="0.3">
      <c r="A881" s="208"/>
      <c r="B881" s="208"/>
      <c r="C881" s="208"/>
      <c r="D881" s="208"/>
      <c r="E881" s="208"/>
      <c r="F881" s="208"/>
      <c r="G881" s="208"/>
      <c r="H881" s="208"/>
      <c r="I881" s="208"/>
      <c r="J881" s="208"/>
      <c r="K881" s="208"/>
      <c r="L881" s="208"/>
      <c r="M881" s="208"/>
      <c r="N881" s="208"/>
      <c r="O881" s="208"/>
      <c r="P881" s="208"/>
      <c r="Q881" s="208"/>
      <c r="R881" s="208"/>
      <c r="S881" s="208"/>
      <c r="T881" s="208"/>
      <c r="U881" s="208"/>
      <c r="V881" s="208"/>
    </row>
    <row r="882" spans="1:22" ht="15.75" customHeight="1" x14ac:dyDescent="0.3">
      <c r="A882" s="208"/>
      <c r="B882" s="208"/>
      <c r="C882" s="208"/>
      <c r="D882" s="208"/>
      <c r="E882" s="208"/>
      <c r="F882" s="208"/>
      <c r="G882" s="208"/>
      <c r="H882" s="208"/>
      <c r="I882" s="208"/>
      <c r="J882" s="208"/>
      <c r="K882" s="208"/>
      <c r="L882" s="208"/>
      <c r="M882" s="208"/>
      <c r="N882" s="208"/>
      <c r="O882" s="208"/>
      <c r="P882" s="208"/>
      <c r="Q882" s="208"/>
      <c r="R882" s="208"/>
      <c r="S882" s="208"/>
      <c r="T882" s="208"/>
      <c r="U882" s="208"/>
      <c r="V882" s="208"/>
    </row>
    <row r="883" spans="1:22" ht="15.75" customHeight="1" x14ac:dyDescent="0.3">
      <c r="A883" s="208"/>
      <c r="B883" s="208"/>
      <c r="C883" s="208"/>
      <c r="D883" s="208"/>
      <c r="E883" s="208"/>
      <c r="F883" s="208"/>
      <c r="G883" s="208"/>
      <c r="H883" s="208"/>
      <c r="I883" s="208"/>
      <c r="J883" s="208"/>
      <c r="K883" s="208"/>
      <c r="L883" s="208"/>
      <c r="M883" s="208"/>
      <c r="N883" s="208"/>
      <c r="O883" s="208"/>
      <c r="P883" s="208"/>
      <c r="Q883" s="208"/>
      <c r="R883" s="208"/>
      <c r="S883" s="208"/>
      <c r="T883" s="208"/>
      <c r="U883" s="208"/>
      <c r="V883" s="208"/>
    </row>
    <row r="884" spans="1:22" ht="15.75" customHeight="1" x14ac:dyDescent="0.3">
      <c r="A884" s="208"/>
      <c r="B884" s="208"/>
      <c r="C884" s="208"/>
      <c r="D884" s="208"/>
      <c r="E884" s="208"/>
      <c r="F884" s="208"/>
      <c r="G884" s="208"/>
      <c r="H884" s="208"/>
      <c r="I884" s="208"/>
      <c r="J884" s="208"/>
      <c r="K884" s="208"/>
      <c r="L884" s="208"/>
      <c r="M884" s="208"/>
      <c r="N884" s="208"/>
      <c r="O884" s="208"/>
      <c r="P884" s="208"/>
      <c r="Q884" s="208"/>
      <c r="R884" s="208"/>
      <c r="S884" s="208"/>
      <c r="T884" s="208"/>
      <c r="U884" s="208"/>
      <c r="V884" s="208"/>
    </row>
    <row r="885" spans="1:22" ht="15.75" customHeight="1" x14ac:dyDescent="0.3">
      <c r="A885" s="208"/>
      <c r="B885" s="208"/>
      <c r="C885" s="208"/>
      <c r="D885" s="208"/>
      <c r="E885" s="208"/>
      <c r="F885" s="208"/>
      <c r="G885" s="208"/>
      <c r="H885" s="208"/>
      <c r="I885" s="208"/>
      <c r="J885" s="208"/>
      <c r="K885" s="208"/>
      <c r="L885" s="208"/>
      <c r="M885" s="208"/>
      <c r="N885" s="208"/>
      <c r="O885" s="208"/>
      <c r="P885" s="208"/>
      <c r="Q885" s="208"/>
      <c r="R885" s="208"/>
      <c r="S885" s="208"/>
      <c r="T885" s="208"/>
      <c r="U885" s="208"/>
      <c r="V885" s="208"/>
    </row>
    <row r="886" spans="1:22" ht="15.75" customHeight="1" x14ac:dyDescent="0.3">
      <c r="A886" s="208"/>
      <c r="B886" s="208"/>
      <c r="C886" s="208"/>
      <c r="D886" s="208"/>
      <c r="E886" s="208"/>
      <c r="F886" s="208"/>
      <c r="G886" s="208"/>
      <c r="H886" s="208"/>
      <c r="I886" s="208"/>
      <c r="J886" s="208"/>
      <c r="K886" s="208"/>
      <c r="L886" s="208"/>
      <c r="M886" s="208"/>
      <c r="N886" s="208"/>
      <c r="O886" s="208"/>
      <c r="P886" s="208"/>
      <c r="Q886" s="208"/>
      <c r="R886" s="208"/>
      <c r="S886" s="208"/>
      <c r="T886" s="208"/>
      <c r="U886" s="208"/>
      <c r="V886" s="208"/>
    </row>
    <row r="887" spans="1:22" ht="15.75" customHeight="1" x14ac:dyDescent="0.3">
      <c r="A887" s="208"/>
      <c r="B887" s="208"/>
      <c r="C887" s="208"/>
      <c r="D887" s="208"/>
      <c r="E887" s="208"/>
      <c r="F887" s="208"/>
      <c r="G887" s="208"/>
      <c r="H887" s="208"/>
      <c r="I887" s="208"/>
      <c r="J887" s="208"/>
      <c r="K887" s="208"/>
      <c r="L887" s="208"/>
      <c r="M887" s="208"/>
      <c r="N887" s="208"/>
      <c r="O887" s="208"/>
      <c r="P887" s="208"/>
      <c r="Q887" s="208"/>
      <c r="R887" s="208"/>
      <c r="S887" s="208"/>
      <c r="T887" s="208"/>
      <c r="U887" s="208"/>
      <c r="V887" s="208"/>
    </row>
    <row r="888" spans="1:22" ht="15.75" customHeight="1" x14ac:dyDescent="0.3">
      <c r="A888" s="208"/>
      <c r="B888" s="208"/>
      <c r="C888" s="208"/>
      <c r="D888" s="208"/>
      <c r="E888" s="208"/>
      <c r="F888" s="208"/>
      <c r="G888" s="208"/>
      <c r="H888" s="208"/>
      <c r="I888" s="208"/>
      <c r="J888" s="208"/>
      <c r="K888" s="208"/>
      <c r="L888" s="208"/>
      <c r="M888" s="208"/>
      <c r="N888" s="208"/>
      <c r="O888" s="208"/>
      <c r="P888" s="208"/>
      <c r="Q888" s="208"/>
      <c r="R888" s="208"/>
      <c r="S888" s="208"/>
      <c r="T888" s="208"/>
      <c r="U888" s="208"/>
      <c r="V888" s="208"/>
    </row>
    <row r="889" spans="1:22" ht="15.75" customHeight="1" x14ac:dyDescent="0.3">
      <c r="A889" s="208"/>
      <c r="B889" s="208"/>
      <c r="C889" s="208"/>
      <c r="D889" s="208"/>
      <c r="E889" s="208"/>
      <c r="F889" s="208"/>
      <c r="G889" s="208"/>
      <c r="H889" s="208"/>
      <c r="I889" s="208"/>
      <c r="J889" s="208"/>
      <c r="K889" s="208"/>
      <c r="L889" s="208"/>
      <c r="M889" s="208"/>
      <c r="N889" s="208"/>
      <c r="O889" s="208"/>
      <c r="P889" s="208"/>
      <c r="Q889" s="208"/>
      <c r="R889" s="208"/>
      <c r="S889" s="208"/>
      <c r="T889" s="208"/>
      <c r="U889" s="208"/>
      <c r="V889" s="208"/>
    </row>
    <row r="890" spans="1:22" ht="15.75" customHeight="1" x14ac:dyDescent="0.3">
      <c r="A890" s="208"/>
      <c r="B890" s="208"/>
      <c r="C890" s="208"/>
      <c r="D890" s="208"/>
      <c r="E890" s="208"/>
      <c r="F890" s="208"/>
      <c r="G890" s="208"/>
      <c r="H890" s="208"/>
      <c r="I890" s="208"/>
      <c r="J890" s="208"/>
      <c r="K890" s="208"/>
      <c r="L890" s="208"/>
      <c r="M890" s="208"/>
      <c r="N890" s="208"/>
      <c r="O890" s="208"/>
      <c r="P890" s="208"/>
      <c r="Q890" s="208"/>
      <c r="R890" s="208"/>
      <c r="S890" s="208"/>
      <c r="T890" s="208"/>
      <c r="U890" s="208"/>
      <c r="V890" s="208"/>
    </row>
    <row r="891" spans="1:22" ht="15.75" customHeight="1" x14ac:dyDescent="0.3">
      <c r="A891" s="208"/>
      <c r="B891" s="208"/>
      <c r="C891" s="208"/>
      <c r="D891" s="208"/>
      <c r="E891" s="208"/>
      <c r="F891" s="208"/>
      <c r="G891" s="208"/>
      <c r="H891" s="208"/>
      <c r="I891" s="208"/>
      <c r="J891" s="208"/>
      <c r="K891" s="208"/>
      <c r="L891" s="208"/>
      <c r="M891" s="208"/>
      <c r="N891" s="208"/>
      <c r="O891" s="208"/>
      <c r="P891" s="208"/>
      <c r="Q891" s="208"/>
      <c r="R891" s="208"/>
      <c r="S891" s="208"/>
      <c r="T891" s="208"/>
      <c r="U891" s="208"/>
      <c r="V891" s="208"/>
    </row>
    <row r="892" spans="1:22" ht="15.75" customHeight="1" x14ac:dyDescent="0.3">
      <c r="A892" s="208"/>
      <c r="B892" s="208"/>
      <c r="C892" s="208"/>
      <c r="D892" s="208"/>
      <c r="E892" s="208"/>
      <c r="F892" s="208"/>
      <c r="G892" s="208"/>
      <c r="H892" s="208"/>
      <c r="I892" s="208"/>
      <c r="J892" s="208"/>
      <c r="K892" s="208"/>
      <c r="L892" s="208"/>
      <c r="M892" s="208"/>
      <c r="N892" s="208"/>
      <c r="O892" s="208"/>
      <c r="P892" s="208"/>
      <c r="Q892" s="208"/>
      <c r="R892" s="208"/>
      <c r="S892" s="208"/>
      <c r="T892" s="208"/>
      <c r="U892" s="208"/>
      <c r="V892" s="208"/>
    </row>
    <row r="893" spans="1:22" ht="15.75" customHeight="1" x14ac:dyDescent="0.3">
      <c r="A893" s="208"/>
      <c r="B893" s="208"/>
      <c r="C893" s="208"/>
      <c r="D893" s="208"/>
      <c r="E893" s="208"/>
      <c r="F893" s="208"/>
      <c r="G893" s="208"/>
      <c r="H893" s="208"/>
      <c r="I893" s="208"/>
      <c r="J893" s="208"/>
      <c r="K893" s="208"/>
      <c r="L893" s="208"/>
      <c r="M893" s="208"/>
      <c r="N893" s="208"/>
      <c r="O893" s="208"/>
      <c r="P893" s="208"/>
      <c r="Q893" s="208"/>
      <c r="R893" s="208"/>
      <c r="S893" s="208"/>
      <c r="T893" s="208"/>
      <c r="U893" s="208"/>
      <c r="V893" s="208"/>
    </row>
    <row r="894" spans="1:22" ht="15.75" customHeight="1" x14ac:dyDescent="0.3">
      <c r="A894" s="208"/>
      <c r="B894" s="208"/>
      <c r="C894" s="208"/>
      <c r="D894" s="208"/>
      <c r="E894" s="208"/>
      <c r="F894" s="208"/>
      <c r="G894" s="208"/>
      <c r="H894" s="208"/>
      <c r="I894" s="208"/>
      <c r="J894" s="208"/>
      <c r="K894" s="208"/>
      <c r="L894" s="208"/>
      <c r="M894" s="208"/>
      <c r="N894" s="208"/>
      <c r="O894" s="208"/>
      <c r="P894" s="208"/>
      <c r="Q894" s="208"/>
      <c r="R894" s="208"/>
      <c r="S894" s="208"/>
      <c r="T894" s="208"/>
      <c r="U894" s="208"/>
      <c r="V894" s="208"/>
    </row>
    <row r="895" spans="1:22" ht="15.75" customHeight="1" x14ac:dyDescent="0.3">
      <c r="A895" s="208"/>
      <c r="B895" s="208"/>
      <c r="C895" s="208"/>
      <c r="D895" s="208"/>
      <c r="E895" s="208"/>
      <c r="F895" s="208"/>
      <c r="G895" s="208"/>
      <c r="H895" s="208"/>
      <c r="I895" s="208"/>
      <c r="J895" s="208"/>
      <c r="K895" s="208"/>
      <c r="L895" s="208"/>
      <c r="M895" s="208"/>
      <c r="N895" s="208"/>
      <c r="O895" s="208"/>
      <c r="P895" s="208"/>
      <c r="Q895" s="208"/>
      <c r="R895" s="208"/>
      <c r="S895" s="208"/>
      <c r="T895" s="208"/>
      <c r="U895" s="208"/>
      <c r="V895" s="208"/>
    </row>
    <row r="896" spans="1:22" ht="15.75" customHeight="1" x14ac:dyDescent="0.3">
      <c r="A896" s="208"/>
      <c r="B896" s="208"/>
      <c r="C896" s="208"/>
      <c r="D896" s="208"/>
      <c r="E896" s="208"/>
      <c r="F896" s="208"/>
      <c r="G896" s="208"/>
      <c r="H896" s="208"/>
      <c r="I896" s="208"/>
      <c r="J896" s="208"/>
      <c r="K896" s="208"/>
      <c r="L896" s="208"/>
      <c r="M896" s="208"/>
      <c r="N896" s="208"/>
      <c r="O896" s="208"/>
      <c r="P896" s="208"/>
      <c r="Q896" s="208"/>
      <c r="R896" s="208"/>
      <c r="S896" s="208"/>
      <c r="T896" s="208"/>
      <c r="U896" s="208"/>
      <c r="V896" s="208"/>
    </row>
    <row r="897" spans="1:22" ht="15.75" customHeight="1" x14ac:dyDescent="0.3">
      <c r="A897" s="208"/>
      <c r="B897" s="208"/>
      <c r="C897" s="208"/>
      <c r="D897" s="208"/>
      <c r="E897" s="208"/>
      <c r="F897" s="208"/>
      <c r="G897" s="208"/>
      <c r="H897" s="208"/>
      <c r="I897" s="208"/>
      <c r="J897" s="208"/>
      <c r="K897" s="208"/>
      <c r="L897" s="208"/>
      <c r="M897" s="208"/>
      <c r="N897" s="208"/>
      <c r="O897" s="208"/>
      <c r="P897" s="208"/>
      <c r="Q897" s="208"/>
      <c r="R897" s="208"/>
      <c r="S897" s="208"/>
      <c r="T897" s="208"/>
      <c r="U897" s="208"/>
      <c r="V897" s="208"/>
    </row>
    <row r="898" spans="1:22" ht="15.75" customHeight="1" x14ac:dyDescent="0.3">
      <c r="A898" s="208"/>
      <c r="B898" s="208"/>
      <c r="C898" s="208"/>
      <c r="D898" s="208"/>
      <c r="E898" s="208"/>
      <c r="F898" s="208"/>
      <c r="G898" s="208"/>
      <c r="H898" s="208"/>
      <c r="I898" s="208"/>
      <c r="J898" s="208"/>
      <c r="K898" s="208"/>
      <c r="L898" s="208"/>
      <c r="M898" s="208"/>
      <c r="N898" s="208"/>
      <c r="O898" s="208"/>
      <c r="P898" s="208"/>
      <c r="Q898" s="208"/>
      <c r="R898" s="208"/>
      <c r="S898" s="208"/>
      <c r="T898" s="208"/>
      <c r="U898" s="208"/>
      <c r="V898" s="208"/>
    </row>
    <row r="899" spans="1:22" ht="15.75" customHeight="1" x14ac:dyDescent="0.3">
      <c r="A899" s="208"/>
      <c r="B899" s="208"/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208"/>
      <c r="P899" s="208"/>
      <c r="Q899" s="208"/>
      <c r="R899" s="208"/>
      <c r="S899" s="208"/>
      <c r="T899" s="208"/>
      <c r="U899" s="208"/>
      <c r="V899" s="208"/>
    </row>
    <row r="900" spans="1:22" ht="15.75" customHeight="1" x14ac:dyDescent="0.3">
      <c r="A900" s="208"/>
      <c r="B900" s="208"/>
      <c r="C900" s="208"/>
      <c r="D900" s="208"/>
      <c r="E900" s="208"/>
      <c r="F900" s="208"/>
      <c r="G900" s="208"/>
      <c r="H900" s="208"/>
      <c r="I900" s="208"/>
      <c r="J900" s="208"/>
      <c r="K900" s="208"/>
      <c r="L900" s="208"/>
      <c r="M900" s="208"/>
      <c r="N900" s="208"/>
      <c r="O900" s="208"/>
      <c r="P900" s="208"/>
      <c r="Q900" s="208"/>
      <c r="R900" s="208"/>
      <c r="S900" s="208"/>
      <c r="T900" s="208"/>
      <c r="U900" s="208"/>
      <c r="V900" s="208"/>
    </row>
    <row r="901" spans="1:22" ht="15.75" customHeight="1" x14ac:dyDescent="0.3">
      <c r="A901" s="208"/>
      <c r="B901" s="208"/>
      <c r="C901" s="208"/>
      <c r="D901" s="208"/>
      <c r="E901" s="208"/>
      <c r="F901" s="208"/>
      <c r="G901" s="208"/>
      <c r="H901" s="208"/>
      <c r="I901" s="208"/>
      <c r="J901" s="208"/>
      <c r="K901" s="208"/>
      <c r="L901" s="208"/>
      <c r="M901" s="208"/>
      <c r="N901" s="208"/>
      <c r="O901" s="208"/>
      <c r="P901" s="208"/>
      <c r="Q901" s="208"/>
      <c r="R901" s="208"/>
      <c r="S901" s="208"/>
      <c r="T901" s="208"/>
      <c r="U901" s="208"/>
      <c r="V901" s="208"/>
    </row>
    <row r="902" spans="1:22" ht="15.75" customHeight="1" x14ac:dyDescent="0.3">
      <c r="A902" s="208"/>
      <c r="B902" s="208"/>
      <c r="C902" s="208"/>
      <c r="D902" s="208"/>
      <c r="E902" s="208"/>
      <c r="F902" s="208"/>
      <c r="G902" s="208"/>
      <c r="H902" s="208"/>
      <c r="I902" s="208"/>
      <c r="J902" s="208"/>
      <c r="K902" s="208"/>
      <c r="L902" s="208"/>
      <c r="M902" s="208"/>
      <c r="N902" s="208"/>
      <c r="O902" s="208"/>
      <c r="P902" s="208"/>
      <c r="Q902" s="208"/>
      <c r="R902" s="208"/>
      <c r="S902" s="208"/>
      <c r="T902" s="208"/>
      <c r="U902" s="208"/>
      <c r="V902" s="208"/>
    </row>
    <row r="903" spans="1:22" ht="15.75" customHeight="1" x14ac:dyDescent="0.3">
      <c r="A903" s="208"/>
      <c r="B903" s="208"/>
      <c r="C903" s="208"/>
      <c r="D903" s="208"/>
      <c r="E903" s="208"/>
      <c r="F903" s="208"/>
      <c r="G903" s="208"/>
      <c r="H903" s="208"/>
      <c r="I903" s="208"/>
      <c r="J903" s="208"/>
      <c r="K903" s="208"/>
      <c r="L903" s="208"/>
      <c r="M903" s="208"/>
      <c r="N903" s="208"/>
      <c r="O903" s="208"/>
      <c r="P903" s="208"/>
      <c r="Q903" s="208"/>
      <c r="R903" s="208"/>
      <c r="S903" s="208"/>
      <c r="T903" s="208"/>
      <c r="U903" s="208"/>
      <c r="V903" s="208"/>
    </row>
    <row r="904" spans="1:22" ht="15.75" customHeight="1" x14ac:dyDescent="0.3">
      <c r="A904" s="208"/>
      <c r="B904" s="208"/>
      <c r="C904" s="208"/>
      <c r="D904" s="208"/>
      <c r="E904" s="208"/>
      <c r="F904" s="208"/>
      <c r="G904" s="208"/>
      <c r="H904" s="208"/>
      <c r="I904" s="208"/>
      <c r="J904" s="208"/>
      <c r="K904" s="208"/>
      <c r="L904" s="208"/>
      <c r="M904" s="208"/>
      <c r="N904" s="208"/>
      <c r="O904" s="208"/>
      <c r="P904" s="208"/>
      <c r="Q904" s="208"/>
      <c r="R904" s="208"/>
      <c r="S904" s="208"/>
      <c r="T904" s="208"/>
      <c r="U904" s="208"/>
      <c r="V904" s="208"/>
    </row>
    <row r="905" spans="1:22" ht="15.75" customHeight="1" x14ac:dyDescent="0.3">
      <c r="A905" s="208"/>
      <c r="B905" s="208"/>
      <c r="C905" s="208"/>
      <c r="D905" s="208"/>
      <c r="E905" s="208"/>
      <c r="F905" s="208"/>
      <c r="G905" s="208"/>
      <c r="H905" s="208"/>
      <c r="I905" s="208"/>
      <c r="J905" s="208"/>
      <c r="K905" s="208"/>
      <c r="L905" s="208"/>
      <c r="M905" s="208"/>
      <c r="N905" s="208"/>
      <c r="O905" s="208"/>
      <c r="P905" s="208"/>
      <c r="Q905" s="208"/>
      <c r="R905" s="208"/>
      <c r="S905" s="208"/>
      <c r="T905" s="208"/>
      <c r="U905" s="208"/>
      <c r="V905" s="208"/>
    </row>
    <row r="906" spans="1:22" ht="15.75" customHeight="1" x14ac:dyDescent="0.3">
      <c r="A906" s="208"/>
      <c r="B906" s="208"/>
      <c r="C906" s="208"/>
      <c r="D906" s="208"/>
      <c r="E906" s="208"/>
      <c r="F906" s="208"/>
      <c r="G906" s="208"/>
      <c r="H906" s="208"/>
      <c r="I906" s="208"/>
      <c r="J906" s="208"/>
      <c r="K906" s="208"/>
      <c r="L906" s="208"/>
      <c r="M906" s="208"/>
      <c r="N906" s="208"/>
      <c r="O906" s="208"/>
      <c r="P906" s="208"/>
      <c r="Q906" s="208"/>
      <c r="R906" s="208"/>
      <c r="S906" s="208"/>
      <c r="T906" s="208"/>
      <c r="U906" s="208"/>
      <c r="V906" s="208"/>
    </row>
    <row r="907" spans="1:22" ht="15.75" customHeight="1" x14ac:dyDescent="0.3">
      <c r="A907" s="208"/>
      <c r="B907" s="208"/>
      <c r="C907" s="208"/>
      <c r="D907" s="208"/>
      <c r="E907" s="208"/>
      <c r="F907" s="208"/>
      <c r="G907" s="208"/>
      <c r="H907" s="208"/>
      <c r="I907" s="208"/>
      <c r="J907" s="208"/>
      <c r="K907" s="208"/>
      <c r="L907" s="208"/>
      <c r="M907" s="208"/>
      <c r="N907" s="208"/>
      <c r="O907" s="208"/>
      <c r="P907" s="208"/>
      <c r="Q907" s="208"/>
      <c r="R907" s="208"/>
      <c r="S907" s="208"/>
      <c r="T907" s="208"/>
      <c r="U907" s="208"/>
      <c r="V907" s="208"/>
    </row>
    <row r="908" spans="1:22" ht="15.75" customHeight="1" x14ac:dyDescent="0.3">
      <c r="A908" s="208"/>
      <c r="B908" s="208"/>
      <c r="C908" s="208"/>
      <c r="D908" s="208"/>
      <c r="E908" s="208"/>
      <c r="F908" s="208"/>
      <c r="G908" s="208"/>
      <c r="H908" s="208"/>
      <c r="I908" s="208"/>
      <c r="J908" s="208"/>
      <c r="K908" s="208"/>
      <c r="L908" s="208"/>
      <c r="M908" s="208"/>
      <c r="N908" s="208"/>
      <c r="O908" s="208"/>
      <c r="P908" s="208"/>
      <c r="Q908" s="208"/>
      <c r="R908" s="208"/>
      <c r="S908" s="208"/>
      <c r="T908" s="208"/>
      <c r="U908" s="208"/>
      <c r="V908" s="208"/>
    </row>
    <row r="909" spans="1:22" ht="15.75" customHeight="1" x14ac:dyDescent="0.3">
      <c r="A909" s="208"/>
      <c r="B909" s="208"/>
      <c r="C909" s="208"/>
      <c r="D909" s="208"/>
      <c r="E909" s="208"/>
      <c r="F909" s="208"/>
      <c r="G909" s="208"/>
      <c r="H909" s="208"/>
      <c r="I909" s="208"/>
      <c r="J909" s="208"/>
      <c r="K909" s="208"/>
      <c r="L909" s="208"/>
      <c r="M909" s="208"/>
      <c r="N909" s="208"/>
      <c r="O909" s="208"/>
      <c r="P909" s="208"/>
      <c r="Q909" s="208"/>
      <c r="R909" s="208"/>
      <c r="S909" s="208"/>
      <c r="T909" s="208"/>
      <c r="U909" s="208"/>
      <c r="V909" s="208"/>
    </row>
    <row r="910" spans="1:22" ht="15.75" customHeight="1" x14ac:dyDescent="0.3">
      <c r="A910" s="208"/>
      <c r="B910" s="208"/>
      <c r="C910" s="208"/>
      <c r="D910" s="208"/>
      <c r="E910" s="208"/>
      <c r="F910" s="208"/>
      <c r="G910" s="208"/>
      <c r="H910" s="208"/>
      <c r="I910" s="208"/>
      <c r="J910" s="208"/>
      <c r="K910" s="208"/>
      <c r="L910" s="208"/>
      <c r="M910" s="208"/>
      <c r="N910" s="208"/>
      <c r="O910" s="208"/>
      <c r="P910" s="208"/>
      <c r="Q910" s="208"/>
      <c r="R910" s="208"/>
      <c r="S910" s="208"/>
      <c r="T910" s="208"/>
      <c r="U910" s="208"/>
      <c r="V910" s="208"/>
    </row>
    <row r="911" spans="1:22" ht="15.75" customHeight="1" x14ac:dyDescent="0.3">
      <c r="A911" s="208"/>
      <c r="B911" s="208"/>
      <c r="C911" s="208"/>
      <c r="D911" s="208"/>
      <c r="E911" s="208"/>
      <c r="F911" s="208"/>
      <c r="G911" s="208"/>
      <c r="H911" s="208"/>
      <c r="I911" s="208"/>
      <c r="J911" s="208"/>
      <c r="K911" s="208"/>
      <c r="L911" s="208"/>
      <c r="M911" s="208"/>
      <c r="N911" s="208"/>
      <c r="O911" s="208"/>
      <c r="P911" s="208"/>
      <c r="Q911" s="208"/>
      <c r="R911" s="208"/>
      <c r="S911" s="208"/>
      <c r="T911" s="208"/>
      <c r="U911" s="208"/>
      <c r="V911" s="208"/>
    </row>
    <row r="912" spans="1:22" ht="15.75" customHeight="1" x14ac:dyDescent="0.3">
      <c r="A912" s="208"/>
      <c r="B912" s="208"/>
      <c r="C912" s="208"/>
      <c r="D912" s="208"/>
      <c r="E912" s="208"/>
      <c r="F912" s="208"/>
      <c r="G912" s="208"/>
      <c r="H912" s="208"/>
      <c r="I912" s="208"/>
      <c r="J912" s="208"/>
      <c r="K912" s="208"/>
      <c r="L912" s="208"/>
      <c r="M912" s="208"/>
      <c r="N912" s="208"/>
      <c r="O912" s="208"/>
      <c r="P912" s="208"/>
      <c r="Q912" s="208"/>
      <c r="R912" s="208"/>
      <c r="S912" s="208"/>
      <c r="T912" s="208"/>
      <c r="U912" s="208"/>
      <c r="V912" s="208"/>
    </row>
    <row r="913" spans="1:22" ht="15.75" customHeight="1" x14ac:dyDescent="0.3">
      <c r="A913" s="208"/>
      <c r="B913" s="208"/>
      <c r="C913" s="208"/>
      <c r="D913" s="208"/>
      <c r="E913" s="208"/>
      <c r="F913" s="208"/>
      <c r="G913" s="208"/>
      <c r="H913" s="208"/>
      <c r="I913" s="208"/>
      <c r="J913" s="208"/>
      <c r="K913" s="208"/>
      <c r="L913" s="208"/>
      <c r="M913" s="208"/>
      <c r="N913" s="208"/>
      <c r="O913" s="208"/>
      <c r="P913" s="208"/>
      <c r="Q913" s="208"/>
      <c r="R913" s="208"/>
      <c r="S913" s="208"/>
      <c r="T913" s="208"/>
      <c r="U913" s="208"/>
      <c r="V913" s="208"/>
    </row>
    <row r="914" spans="1:22" ht="15.75" customHeight="1" x14ac:dyDescent="0.3">
      <c r="A914" s="208"/>
      <c r="B914" s="208"/>
      <c r="C914" s="208"/>
      <c r="D914" s="208"/>
      <c r="E914" s="208"/>
      <c r="F914" s="208"/>
      <c r="G914" s="208"/>
      <c r="H914" s="208"/>
      <c r="I914" s="208"/>
      <c r="J914" s="208"/>
      <c r="K914" s="208"/>
      <c r="L914" s="208"/>
      <c r="M914" s="208"/>
      <c r="N914" s="208"/>
      <c r="O914" s="208"/>
      <c r="P914" s="208"/>
      <c r="Q914" s="208"/>
      <c r="R914" s="208"/>
      <c r="S914" s="208"/>
      <c r="T914" s="208"/>
      <c r="U914" s="208"/>
      <c r="V914" s="208"/>
    </row>
    <row r="915" spans="1:22" ht="15.75" customHeight="1" x14ac:dyDescent="0.3">
      <c r="A915" s="208"/>
      <c r="B915" s="208"/>
      <c r="C915" s="208"/>
      <c r="D915" s="208"/>
      <c r="E915" s="208"/>
      <c r="F915" s="208"/>
      <c r="G915" s="208"/>
      <c r="H915" s="208"/>
      <c r="I915" s="208"/>
      <c r="J915" s="208"/>
      <c r="K915" s="208"/>
      <c r="L915" s="208"/>
      <c r="M915" s="208"/>
      <c r="N915" s="208"/>
      <c r="O915" s="208"/>
      <c r="P915" s="208"/>
      <c r="Q915" s="208"/>
      <c r="R915" s="208"/>
      <c r="S915" s="208"/>
      <c r="T915" s="208"/>
      <c r="U915" s="208"/>
      <c r="V915" s="208"/>
    </row>
    <row r="916" spans="1:22" ht="15.75" customHeight="1" x14ac:dyDescent="0.3">
      <c r="A916" s="208"/>
      <c r="B916" s="208"/>
      <c r="C916" s="208"/>
      <c r="D916" s="208"/>
      <c r="E916" s="208"/>
      <c r="F916" s="208"/>
      <c r="G916" s="208"/>
      <c r="H916" s="208"/>
      <c r="I916" s="208"/>
      <c r="J916" s="208"/>
      <c r="K916" s="208"/>
      <c r="L916" s="208"/>
      <c r="M916" s="208"/>
      <c r="N916" s="208"/>
      <c r="O916" s="208"/>
      <c r="P916" s="208"/>
      <c r="Q916" s="208"/>
      <c r="R916" s="208"/>
      <c r="S916" s="208"/>
      <c r="T916" s="208"/>
      <c r="U916" s="208"/>
      <c r="V916" s="208"/>
    </row>
    <row r="917" spans="1:22" ht="15.75" customHeight="1" x14ac:dyDescent="0.3">
      <c r="A917" s="208"/>
      <c r="B917" s="208"/>
      <c r="C917" s="208"/>
      <c r="D917" s="208"/>
      <c r="E917" s="208"/>
      <c r="F917" s="208"/>
      <c r="G917" s="208"/>
      <c r="H917" s="208"/>
      <c r="I917" s="208"/>
      <c r="J917" s="208"/>
      <c r="K917" s="208"/>
      <c r="L917" s="208"/>
      <c r="M917" s="208"/>
      <c r="N917" s="208"/>
      <c r="O917" s="208"/>
      <c r="P917" s="208"/>
      <c r="Q917" s="208"/>
      <c r="R917" s="208"/>
      <c r="S917" s="208"/>
      <c r="T917" s="208"/>
      <c r="U917" s="208"/>
      <c r="V917" s="208"/>
    </row>
    <row r="918" spans="1:22" ht="15.75" customHeight="1" x14ac:dyDescent="0.3">
      <c r="A918" s="208"/>
      <c r="B918" s="208"/>
      <c r="C918" s="208"/>
      <c r="D918" s="208"/>
      <c r="E918" s="208"/>
      <c r="F918" s="208"/>
      <c r="G918" s="208"/>
      <c r="H918" s="208"/>
      <c r="I918" s="208"/>
      <c r="J918" s="208"/>
      <c r="K918" s="208"/>
      <c r="L918" s="208"/>
      <c r="M918" s="208"/>
      <c r="N918" s="208"/>
      <c r="O918" s="208"/>
      <c r="P918" s="208"/>
      <c r="Q918" s="208"/>
      <c r="R918" s="208"/>
      <c r="S918" s="208"/>
      <c r="T918" s="208"/>
      <c r="U918" s="208"/>
      <c r="V918" s="208"/>
    </row>
    <row r="919" spans="1:22" ht="15.75" customHeight="1" x14ac:dyDescent="0.3">
      <c r="A919" s="208"/>
      <c r="B919" s="208"/>
      <c r="C919" s="208"/>
      <c r="D919" s="208"/>
      <c r="E919" s="208"/>
      <c r="F919" s="208"/>
      <c r="G919" s="208"/>
      <c r="H919" s="208"/>
      <c r="I919" s="208"/>
      <c r="J919" s="208"/>
      <c r="K919" s="208"/>
      <c r="L919" s="208"/>
      <c r="M919" s="208"/>
      <c r="N919" s="208"/>
      <c r="O919" s="208"/>
      <c r="P919" s="208"/>
      <c r="Q919" s="208"/>
      <c r="R919" s="208"/>
      <c r="S919" s="208"/>
      <c r="T919" s="208"/>
      <c r="U919" s="208"/>
      <c r="V919" s="208"/>
    </row>
    <row r="920" spans="1:22" ht="15.75" customHeight="1" x14ac:dyDescent="0.3">
      <c r="A920" s="208"/>
      <c r="B920" s="208"/>
      <c r="C920" s="208"/>
      <c r="D920" s="208"/>
      <c r="E920" s="208"/>
      <c r="F920" s="208"/>
      <c r="G920" s="208"/>
      <c r="H920" s="208"/>
      <c r="I920" s="208"/>
      <c r="J920" s="208"/>
      <c r="K920" s="208"/>
      <c r="L920" s="208"/>
      <c r="M920" s="208"/>
      <c r="N920" s="208"/>
      <c r="O920" s="208"/>
      <c r="P920" s="208"/>
      <c r="Q920" s="208"/>
      <c r="R920" s="208"/>
      <c r="S920" s="208"/>
      <c r="T920" s="208"/>
      <c r="U920" s="208"/>
      <c r="V920" s="208"/>
    </row>
    <row r="921" spans="1:22" ht="15.75" customHeight="1" x14ac:dyDescent="0.3">
      <c r="A921" s="208"/>
      <c r="B921" s="208"/>
      <c r="C921" s="208"/>
      <c r="D921" s="208"/>
      <c r="E921" s="208"/>
      <c r="F921" s="208"/>
      <c r="G921" s="208"/>
      <c r="H921" s="208"/>
      <c r="I921" s="208"/>
      <c r="J921" s="208"/>
      <c r="K921" s="208"/>
      <c r="L921" s="208"/>
      <c r="M921" s="208"/>
      <c r="N921" s="208"/>
      <c r="O921" s="208"/>
      <c r="P921" s="208"/>
      <c r="Q921" s="208"/>
      <c r="R921" s="208"/>
      <c r="S921" s="208"/>
      <c r="T921" s="208"/>
      <c r="U921" s="208"/>
      <c r="V921" s="208"/>
    </row>
    <row r="922" spans="1:22" ht="15.75" customHeight="1" x14ac:dyDescent="0.3">
      <c r="A922" s="208"/>
      <c r="B922" s="208"/>
      <c r="C922" s="208"/>
      <c r="D922" s="208"/>
      <c r="E922" s="208"/>
      <c r="F922" s="208"/>
      <c r="G922" s="208"/>
      <c r="H922" s="208"/>
      <c r="I922" s="208"/>
      <c r="J922" s="208"/>
      <c r="K922" s="208"/>
      <c r="L922" s="208"/>
      <c r="M922" s="208"/>
      <c r="N922" s="208"/>
      <c r="O922" s="208"/>
      <c r="P922" s="208"/>
      <c r="Q922" s="208"/>
      <c r="R922" s="208"/>
      <c r="S922" s="208"/>
      <c r="T922" s="208"/>
      <c r="U922" s="208"/>
      <c r="V922" s="208"/>
    </row>
    <row r="923" spans="1:22" ht="15.75" customHeight="1" x14ac:dyDescent="0.3">
      <c r="A923" s="208"/>
      <c r="B923" s="208"/>
      <c r="C923" s="208"/>
      <c r="D923" s="208"/>
      <c r="E923" s="208"/>
      <c r="F923" s="208"/>
      <c r="G923" s="208"/>
      <c r="H923" s="208"/>
      <c r="I923" s="208"/>
      <c r="J923" s="208"/>
      <c r="K923" s="208"/>
      <c r="L923" s="208"/>
      <c r="M923" s="208"/>
      <c r="N923" s="208"/>
      <c r="O923" s="208"/>
      <c r="P923" s="208"/>
      <c r="Q923" s="208"/>
      <c r="R923" s="208"/>
      <c r="S923" s="208"/>
      <c r="T923" s="208"/>
      <c r="U923" s="208"/>
      <c r="V923" s="208"/>
    </row>
    <row r="924" spans="1:22" ht="15.75" customHeight="1" x14ac:dyDescent="0.3">
      <c r="A924" s="208"/>
      <c r="B924" s="208"/>
      <c r="C924" s="208"/>
      <c r="D924" s="208"/>
      <c r="E924" s="208"/>
      <c r="F924" s="208"/>
      <c r="G924" s="208"/>
      <c r="H924" s="208"/>
      <c r="I924" s="208"/>
      <c r="J924" s="208"/>
      <c r="K924" s="208"/>
      <c r="L924" s="208"/>
      <c r="M924" s="208"/>
      <c r="N924" s="208"/>
      <c r="O924" s="208"/>
      <c r="P924" s="208"/>
      <c r="Q924" s="208"/>
      <c r="R924" s="208"/>
      <c r="S924" s="208"/>
      <c r="T924" s="208"/>
      <c r="U924" s="208"/>
      <c r="V924" s="208"/>
    </row>
    <row r="925" spans="1:22" ht="15.75" customHeight="1" x14ac:dyDescent="0.3">
      <c r="A925" s="208"/>
      <c r="B925" s="208"/>
      <c r="C925" s="208"/>
      <c r="D925" s="208"/>
      <c r="E925" s="208"/>
      <c r="F925" s="208"/>
      <c r="G925" s="208"/>
      <c r="H925" s="208"/>
      <c r="I925" s="208"/>
      <c r="J925" s="208"/>
      <c r="K925" s="208"/>
      <c r="L925" s="208"/>
      <c r="M925" s="208"/>
      <c r="N925" s="208"/>
      <c r="O925" s="208"/>
      <c r="P925" s="208"/>
      <c r="Q925" s="208"/>
      <c r="R925" s="208"/>
      <c r="S925" s="208"/>
      <c r="T925" s="208"/>
      <c r="U925" s="208"/>
      <c r="V925" s="208"/>
    </row>
    <row r="926" spans="1:22" ht="15.75" customHeight="1" x14ac:dyDescent="0.3">
      <c r="A926" s="208"/>
      <c r="B926" s="208"/>
      <c r="C926" s="208"/>
      <c r="D926" s="208"/>
      <c r="E926" s="208"/>
      <c r="F926" s="208"/>
      <c r="G926" s="208"/>
      <c r="H926" s="208"/>
      <c r="I926" s="208"/>
      <c r="J926" s="208"/>
      <c r="K926" s="208"/>
      <c r="L926" s="208"/>
      <c r="M926" s="208"/>
      <c r="N926" s="208"/>
      <c r="O926" s="208"/>
      <c r="P926" s="208"/>
      <c r="Q926" s="208"/>
      <c r="R926" s="208"/>
      <c r="S926" s="208"/>
      <c r="T926" s="208"/>
      <c r="U926" s="208"/>
      <c r="V926" s="208"/>
    </row>
    <row r="927" spans="1:22" ht="15.75" customHeight="1" x14ac:dyDescent="0.3">
      <c r="A927" s="208"/>
      <c r="B927" s="208"/>
      <c r="C927" s="208"/>
      <c r="D927" s="208"/>
      <c r="E927" s="208"/>
      <c r="F927" s="208"/>
      <c r="G927" s="208"/>
      <c r="H927" s="208"/>
      <c r="I927" s="208"/>
      <c r="J927" s="208"/>
      <c r="K927" s="208"/>
      <c r="L927" s="208"/>
      <c r="M927" s="208"/>
      <c r="N927" s="208"/>
      <c r="O927" s="208"/>
      <c r="P927" s="208"/>
      <c r="Q927" s="208"/>
      <c r="R927" s="208"/>
      <c r="S927" s="208"/>
      <c r="T927" s="208"/>
      <c r="U927" s="208"/>
      <c r="V927" s="208"/>
    </row>
    <row r="928" spans="1:22" ht="15.75" customHeight="1" x14ac:dyDescent="0.3">
      <c r="A928" s="208"/>
      <c r="B928" s="208"/>
      <c r="C928" s="208"/>
      <c r="D928" s="208"/>
      <c r="E928" s="208"/>
      <c r="F928" s="208"/>
      <c r="G928" s="208"/>
      <c r="H928" s="208"/>
      <c r="I928" s="208"/>
      <c r="J928" s="208"/>
      <c r="K928" s="208"/>
      <c r="L928" s="208"/>
      <c r="M928" s="208"/>
      <c r="N928" s="208"/>
      <c r="O928" s="208"/>
      <c r="P928" s="208"/>
      <c r="Q928" s="208"/>
      <c r="R928" s="208"/>
      <c r="S928" s="208"/>
      <c r="T928" s="208"/>
      <c r="U928" s="208"/>
      <c r="V928" s="208"/>
    </row>
    <row r="929" spans="1:22" ht="15.75" customHeight="1" x14ac:dyDescent="0.3">
      <c r="A929" s="208"/>
      <c r="B929" s="208"/>
      <c r="C929" s="208"/>
      <c r="D929" s="208"/>
      <c r="E929" s="208"/>
      <c r="F929" s="208"/>
      <c r="G929" s="208"/>
      <c r="H929" s="208"/>
      <c r="I929" s="208"/>
      <c r="J929" s="208"/>
      <c r="K929" s="208"/>
      <c r="L929" s="208"/>
      <c r="M929" s="208"/>
      <c r="N929" s="208"/>
      <c r="O929" s="208"/>
      <c r="P929" s="208"/>
      <c r="Q929" s="208"/>
      <c r="R929" s="208"/>
      <c r="S929" s="208"/>
      <c r="T929" s="208"/>
      <c r="U929" s="208"/>
      <c r="V929" s="208"/>
    </row>
    <row r="930" spans="1:22" ht="15.75" customHeight="1" x14ac:dyDescent="0.3">
      <c r="A930" s="208"/>
      <c r="B930" s="208"/>
      <c r="C930" s="208"/>
      <c r="D930" s="208"/>
      <c r="E930" s="208"/>
      <c r="F930" s="208"/>
      <c r="G930" s="208"/>
      <c r="H930" s="208"/>
      <c r="I930" s="208"/>
      <c r="J930" s="208"/>
      <c r="K930" s="208"/>
      <c r="L930" s="208"/>
      <c r="M930" s="208"/>
      <c r="N930" s="208"/>
      <c r="O930" s="208"/>
      <c r="P930" s="208"/>
      <c r="Q930" s="208"/>
      <c r="R930" s="208"/>
      <c r="S930" s="208"/>
      <c r="T930" s="208"/>
      <c r="U930" s="208"/>
      <c r="V930" s="208"/>
    </row>
    <row r="931" spans="1:22" ht="15.75" customHeight="1" x14ac:dyDescent="0.3">
      <c r="A931" s="208"/>
      <c r="B931" s="208"/>
      <c r="C931" s="208"/>
      <c r="D931" s="208"/>
      <c r="E931" s="208"/>
      <c r="F931" s="208"/>
      <c r="G931" s="208"/>
      <c r="H931" s="208"/>
      <c r="I931" s="208"/>
      <c r="J931" s="208"/>
      <c r="K931" s="208"/>
      <c r="L931" s="208"/>
      <c r="M931" s="208"/>
      <c r="N931" s="208"/>
      <c r="O931" s="208"/>
      <c r="P931" s="208"/>
      <c r="Q931" s="208"/>
      <c r="R931" s="208"/>
      <c r="S931" s="208"/>
      <c r="T931" s="208"/>
      <c r="U931" s="208"/>
      <c r="V931" s="208"/>
    </row>
    <row r="932" spans="1:22" ht="15.75" customHeight="1" x14ac:dyDescent="0.3">
      <c r="A932" s="208"/>
      <c r="B932" s="208"/>
      <c r="C932" s="208"/>
      <c r="D932" s="208"/>
      <c r="E932" s="208"/>
      <c r="F932" s="208"/>
      <c r="G932" s="208"/>
      <c r="H932" s="208"/>
      <c r="I932" s="208"/>
      <c r="J932" s="208"/>
      <c r="K932" s="208"/>
      <c r="L932" s="208"/>
      <c r="M932" s="208"/>
      <c r="N932" s="208"/>
      <c r="O932" s="208"/>
      <c r="P932" s="208"/>
      <c r="Q932" s="208"/>
      <c r="R932" s="208"/>
      <c r="S932" s="208"/>
      <c r="T932" s="208"/>
      <c r="U932" s="208"/>
      <c r="V932" s="208"/>
    </row>
    <row r="933" spans="1:22" ht="15.75" customHeight="1" x14ac:dyDescent="0.3">
      <c r="A933" s="208"/>
      <c r="B933" s="208"/>
      <c r="C933" s="208"/>
      <c r="D933" s="208"/>
      <c r="E933" s="208"/>
      <c r="F933" s="208"/>
      <c r="G933" s="208"/>
      <c r="H933" s="208"/>
      <c r="I933" s="208"/>
      <c r="J933" s="208"/>
      <c r="K933" s="208"/>
      <c r="L933" s="208"/>
      <c r="M933" s="208"/>
      <c r="N933" s="208"/>
      <c r="O933" s="208"/>
      <c r="P933" s="208"/>
      <c r="Q933" s="208"/>
      <c r="R933" s="208"/>
      <c r="S933" s="208"/>
      <c r="T933" s="208"/>
      <c r="U933" s="208"/>
      <c r="V933" s="208"/>
    </row>
    <row r="934" spans="1:22" ht="15.75" customHeight="1" x14ac:dyDescent="0.3">
      <c r="A934" s="208"/>
      <c r="B934" s="208"/>
      <c r="C934" s="208"/>
      <c r="D934" s="208"/>
      <c r="E934" s="208"/>
      <c r="F934" s="208"/>
      <c r="G934" s="208"/>
      <c r="H934" s="208"/>
      <c r="I934" s="208"/>
      <c r="J934" s="208"/>
      <c r="K934" s="208"/>
      <c r="L934" s="208"/>
      <c r="M934" s="208"/>
      <c r="N934" s="208"/>
      <c r="O934" s="208"/>
      <c r="P934" s="208"/>
      <c r="Q934" s="208"/>
      <c r="R934" s="208"/>
      <c r="S934" s="208"/>
      <c r="T934" s="208"/>
      <c r="U934" s="208"/>
      <c r="V934" s="208"/>
    </row>
    <row r="935" spans="1:22" ht="15.75" customHeight="1" x14ac:dyDescent="0.3">
      <c r="A935" s="208"/>
      <c r="B935" s="208"/>
      <c r="C935" s="208"/>
      <c r="D935" s="208"/>
      <c r="E935" s="208"/>
      <c r="F935" s="208"/>
      <c r="G935" s="208"/>
      <c r="H935" s="208"/>
      <c r="I935" s="208"/>
      <c r="J935" s="208"/>
      <c r="K935" s="208"/>
      <c r="L935" s="208"/>
      <c r="M935" s="208"/>
      <c r="N935" s="208"/>
      <c r="O935" s="208"/>
      <c r="P935" s="208"/>
      <c r="Q935" s="208"/>
      <c r="R935" s="208"/>
      <c r="S935" s="208"/>
      <c r="T935" s="208"/>
      <c r="U935" s="208"/>
      <c r="V935" s="208"/>
    </row>
    <row r="936" spans="1:22" ht="15.75" customHeight="1" x14ac:dyDescent="0.3">
      <c r="A936" s="208"/>
      <c r="B936" s="208"/>
      <c r="C936" s="208"/>
      <c r="D936" s="208"/>
      <c r="E936" s="208"/>
      <c r="F936" s="208"/>
      <c r="G936" s="208"/>
      <c r="H936" s="208"/>
      <c r="I936" s="208"/>
      <c r="J936" s="208"/>
      <c r="K936" s="208"/>
      <c r="L936" s="208"/>
      <c r="M936" s="208"/>
      <c r="N936" s="208"/>
      <c r="O936" s="208"/>
      <c r="P936" s="208"/>
      <c r="Q936" s="208"/>
      <c r="R936" s="208"/>
      <c r="S936" s="208"/>
      <c r="T936" s="208"/>
      <c r="U936" s="208"/>
      <c r="V936" s="208"/>
    </row>
    <row r="937" spans="1:22" ht="15.75" customHeight="1" x14ac:dyDescent="0.3">
      <c r="A937" s="208"/>
      <c r="B937" s="208"/>
      <c r="C937" s="208"/>
      <c r="D937" s="208"/>
      <c r="E937" s="208"/>
      <c r="F937" s="208"/>
      <c r="G937" s="208"/>
      <c r="H937" s="208"/>
      <c r="I937" s="208"/>
      <c r="J937" s="208"/>
      <c r="K937" s="208"/>
      <c r="L937" s="208"/>
      <c r="M937" s="208"/>
      <c r="N937" s="208"/>
      <c r="O937" s="208"/>
      <c r="P937" s="208"/>
      <c r="Q937" s="208"/>
      <c r="R937" s="208"/>
      <c r="S937" s="208"/>
      <c r="T937" s="208"/>
      <c r="U937" s="208"/>
      <c r="V937" s="208"/>
    </row>
    <row r="938" spans="1:22" ht="15.75" customHeight="1" x14ac:dyDescent="0.3">
      <c r="A938" s="208"/>
      <c r="B938" s="208"/>
      <c r="C938" s="208"/>
      <c r="D938" s="208"/>
      <c r="E938" s="208"/>
      <c r="F938" s="208"/>
      <c r="G938" s="208"/>
      <c r="H938" s="208"/>
      <c r="I938" s="208"/>
      <c r="J938" s="208"/>
      <c r="K938" s="208"/>
      <c r="L938" s="208"/>
      <c r="M938" s="208"/>
      <c r="N938" s="208"/>
      <c r="O938" s="208"/>
      <c r="P938" s="208"/>
      <c r="Q938" s="208"/>
      <c r="R938" s="208"/>
      <c r="S938" s="208"/>
      <c r="T938" s="208"/>
      <c r="U938" s="208"/>
      <c r="V938" s="208"/>
    </row>
    <row r="939" spans="1:22" ht="15.75" customHeight="1" x14ac:dyDescent="0.3">
      <c r="A939" s="208"/>
      <c r="B939" s="208"/>
      <c r="C939" s="208"/>
      <c r="D939" s="208"/>
      <c r="E939" s="208"/>
      <c r="F939" s="208"/>
      <c r="G939" s="208"/>
      <c r="H939" s="208"/>
      <c r="I939" s="208"/>
      <c r="J939" s="208"/>
      <c r="K939" s="208"/>
      <c r="L939" s="208"/>
      <c r="M939" s="208"/>
      <c r="N939" s="208"/>
      <c r="O939" s="208"/>
      <c r="P939" s="208"/>
      <c r="Q939" s="208"/>
      <c r="R939" s="208"/>
      <c r="S939" s="208"/>
      <c r="T939" s="208"/>
      <c r="U939" s="208"/>
      <c r="V939" s="208"/>
    </row>
    <row r="940" spans="1:22" ht="15.75" customHeight="1" x14ac:dyDescent="0.3">
      <c r="A940" s="208"/>
      <c r="B940" s="208"/>
      <c r="C940" s="208"/>
      <c r="D940" s="208"/>
      <c r="E940" s="208"/>
      <c r="F940" s="208"/>
      <c r="G940" s="208"/>
      <c r="H940" s="208"/>
      <c r="I940" s="208"/>
      <c r="J940" s="208"/>
      <c r="K940" s="208"/>
      <c r="L940" s="208"/>
      <c r="M940" s="208"/>
      <c r="N940" s="208"/>
      <c r="O940" s="208"/>
      <c r="P940" s="208"/>
      <c r="Q940" s="208"/>
      <c r="R940" s="208"/>
      <c r="S940" s="208"/>
      <c r="T940" s="208"/>
      <c r="U940" s="208"/>
      <c r="V940" s="208"/>
    </row>
    <row r="941" spans="1:22" ht="15.75" customHeight="1" x14ac:dyDescent="0.3">
      <c r="A941" s="208"/>
      <c r="B941" s="208"/>
      <c r="C941" s="208"/>
      <c r="D941" s="208"/>
      <c r="E941" s="208"/>
      <c r="F941" s="208"/>
      <c r="G941" s="208"/>
      <c r="H941" s="208"/>
      <c r="I941" s="208"/>
      <c r="J941" s="208"/>
      <c r="K941" s="208"/>
      <c r="L941" s="208"/>
      <c r="M941" s="208"/>
      <c r="N941" s="208"/>
      <c r="O941" s="208"/>
      <c r="P941" s="208"/>
      <c r="Q941" s="208"/>
      <c r="R941" s="208"/>
      <c r="S941" s="208"/>
      <c r="T941" s="208"/>
      <c r="U941" s="208"/>
      <c r="V941" s="208"/>
    </row>
    <row r="942" spans="1:22" ht="15.75" customHeight="1" x14ac:dyDescent="0.3">
      <c r="A942" s="208"/>
      <c r="B942" s="208"/>
      <c r="C942" s="208"/>
      <c r="D942" s="208"/>
      <c r="E942" s="208"/>
      <c r="F942" s="208"/>
      <c r="G942" s="208"/>
      <c r="H942" s="208"/>
      <c r="I942" s="208"/>
      <c r="J942" s="208"/>
      <c r="K942" s="208"/>
      <c r="L942" s="208"/>
      <c r="M942" s="208"/>
      <c r="N942" s="208"/>
      <c r="O942" s="208"/>
      <c r="P942" s="208"/>
      <c r="Q942" s="208"/>
      <c r="R942" s="208"/>
      <c r="S942" s="208"/>
      <c r="T942" s="208"/>
      <c r="U942" s="208"/>
      <c r="V942" s="208"/>
    </row>
    <row r="943" spans="1:22" ht="15.75" customHeight="1" x14ac:dyDescent="0.3">
      <c r="A943" s="208"/>
      <c r="B943" s="208"/>
      <c r="C943" s="208"/>
      <c r="D943" s="208"/>
      <c r="E943" s="208"/>
      <c r="F943" s="208"/>
      <c r="G943" s="208"/>
      <c r="H943" s="208"/>
      <c r="I943" s="208"/>
      <c r="J943" s="208"/>
      <c r="K943" s="208"/>
      <c r="L943" s="208"/>
      <c r="M943" s="208"/>
      <c r="N943" s="208"/>
      <c r="O943" s="208"/>
      <c r="P943" s="208"/>
      <c r="Q943" s="208"/>
      <c r="R943" s="208"/>
      <c r="S943" s="208"/>
      <c r="T943" s="208"/>
      <c r="U943" s="208"/>
      <c r="V943" s="208"/>
    </row>
    <row r="944" spans="1:22" ht="15.75" customHeight="1" x14ac:dyDescent="0.3">
      <c r="A944" s="208"/>
      <c r="B944" s="208"/>
      <c r="C944" s="208"/>
      <c r="D944" s="208"/>
      <c r="E944" s="208"/>
      <c r="F944" s="208"/>
      <c r="G944" s="208"/>
      <c r="H944" s="208"/>
      <c r="I944" s="208"/>
      <c r="J944" s="208"/>
      <c r="K944" s="208"/>
      <c r="L944" s="208"/>
      <c r="M944" s="208"/>
      <c r="N944" s="208"/>
      <c r="O944" s="208"/>
      <c r="P944" s="208"/>
      <c r="Q944" s="208"/>
      <c r="R944" s="208"/>
      <c r="S944" s="208"/>
      <c r="T944" s="208"/>
      <c r="U944" s="208"/>
      <c r="V944" s="208"/>
    </row>
    <row r="945" spans="1:22" ht="15.75" customHeight="1" x14ac:dyDescent="0.3">
      <c r="A945" s="208"/>
      <c r="B945" s="208"/>
      <c r="C945" s="208"/>
      <c r="D945" s="208"/>
      <c r="E945" s="208"/>
      <c r="F945" s="208"/>
      <c r="G945" s="208"/>
      <c r="H945" s="208"/>
      <c r="I945" s="208"/>
      <c r="J945" s="208"/>
      <c r="K945" s="208"/>
      <c r="L945" s="208"/>
      <c r="M945" s="208"/>
      <c r="N945" s="208"/>
      <c r="O945" s="208"/>
      <c r="P945" s="208"/>
      <c r="Q945" s="208"/>
      <c r="R945" s="208"/>
      <c r="S945" s="208"/>
      <c r="T945" s="208"/>
      <c r="U945" s="208"/>
      <c r="V945" s="208"/>
    </row>
    <row r="946" spans="1:22" ht="15.75" customHeight="1" x14ac:dyDescent="0.3">
      <c r="A946" s="208"/>
      <c r="B946" s="208"/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208"/>
      <c r="P946" s="208"/>
      <c r="Q946" s="208"/>
      <c r="R946" s="208"/>
      <c r="S946" s="208"/>
      <c r="T946" s="208"/>
      <c r="U946" s="208"/>
      <c r="V946" s="208"/>
    </row>
    <row r="947" spans="1:22" ht="15.75" customHeight="1" x14ac:dyDescent="0.3">
      <c r="A947" s="208"/>
      <c r="B947" s="208"/>
      <c r="C947" s="208"/>
      <c r="D947" s="208"/>
      <c r="E947" s="208"/>
      <c r="F947" s="208"/>
      <c r="G947" s="208"/>
      <c r="H947" s="208"/>
      <c r="I947" s="208"/>
      <c r="J947" s="208"/>
      <c r="K947" s="208"/>
      <c r="L947" s="208"/>
      <c r="M947" s="208"/>
      <c r="N947" s="208"/>
      <c r="O947" s="208"/>
      <c r="P947" s="208"/>
      <c r="Q947" s="208"/>
      <c r="R947" s="208"/>
      <c r="S947" s="208"/>
      <c r="T947" s="208"/>
      <c r="U947" s="208"/>
      <c r="V947" s="208"/>
    </row>
    <row r="948" spans="1:22" ht="15.75" customHeight="1" x14ac:dyDescent="0.3">
      <c r="A948" s="208"/>
      <c r="B948" s="208"/>
      <c r="C948" s="208"/>
      <c r="D948" s="208"/>
      <c r="E948" s="208"/>
      <c r="F948" s="208"/>
      <c r="G948" s="208"/>
      <c r="H948" s="208"/>
      <c r="I948" s="208"/>
      <c r="J948" s="208"/>
      <c r="K948" s="208"/>
      <c r="L948" s="208"/>
      <c r="M948" s="208"/>
      <c r="N948" s="208"/>
      <c r="O948" s="208"/>
      <c r="P948" s="208"/>
      <c r="Q948" s="208"/>
      <c r="R948" s="208"/>
      <c r="S948" s="208"/>
      <c r="T948" s="208"/>
      <c r="U948" s="208"/>
      <c r="V948" s="208"/>
    </row>
    <row r="949" spans="1:22" ht="15.75" customHeight="1" x14ac:dyDescent="0.3">
      <c r="A949" s="208"/>
      <c r="B949" s="208"/>
      <c r="C949" s="208"/>
      <c r="D949" s="208"/>
      <c r="E949" s="208"/>
      <c r="F949" s="208"/>
      <c r="G949" s="208"/>
      <c r="H949" s="208"/>
      <c r="I949" s="208"/>
      <c r="J949" s="208"/>
      <c r="K949" s="208"/>
      <c r="L949" s="208"/>
      <c r="M949" s="208"/>
      <c r="N949" s="208"/>
      <c r="O949" s="208"/>
      <c r="P949" s="208"/>
      <c r="Q949" s="208"/>
      <c r="R949" s="208"/>
      <c r="S949" s="208"/>
      <c r="T949" s="208"/>
      <c r="U949" s="208"/>
      <c r="V949" s="208"/>
    </row>
    <row r="950" spans="1:22" ht="15.75" customHeight="1" x14ac:dyDescent="0.3">
      <c r="A950" s="208"/>
      <c r="B950" s="208"/>
      <c r="C950" s="208"/>
      <c r="D950" s="208"/>
      <c r="E950" s="208"/>
      <c r="F950" s="208"/>
      <c r="G950" s="208"/>
      <c r="H950" s="208"/>
      <c r="I950" s="208"/>
      <c r="J950" s="208"/>
      <c r="K950" s="208"/>
      <c r="L950" s="208"/>
      <c r="M950" s="208"/>
      <c r="N950" s="208"/>
      <c r="O950" s="208"/>
      <c r="P950" s="208"/>
      <c r="Q950" s="208"/>
      <c r="R950" s="208"/>
      <c r="S950" s="208"/>
      <c r="T950" s="208"/>
      <c r="U950" s="208"/>
      <c r="V950" s="208"/>
    </row>
    <row r="951" spans="1:22" ht="15.75" customHeight="1" x14ac:dyDescent="0.3">
      <c r="A951" s="208"/>
      <c r="B951" s="208"/>
      <c r="C951" s="208"/>
      <c r="D951" s="208"/>
      <c r="E951" s="208"/>
      <c r="F951" s="208"/>
      <c r="G951" s="208"/>
      <c r="H951" s="208"/>
      <c r="I951" s="208"/>
      <c r="J951" s="208"/>
      <c r="K951" s="208"/>
      <c r="L951" s="208"/>
      <c r="M951" s="208"/>
      <c r="N951" s="208"/>
      <c r="O951" s="208"/>
      <c r="P951" s="208"/>
      <c r="Q951" s="208"/>
      <c r="R951" s="208"/>
      <c r="S951" s="208"/>
      <c r="T951" s="208"/>
      <c r="U951" s="208"/>
      <c r="V951" s="208"/>
    </row>
    <row r="952" spans="1:22" ht="15.75" customHeight="1" x14ac:dyDescent="0.3">
      <c r="A952" s="208"/>
      <c r="B952" s="208"/>
      <c r="C952" s="208"/>
      <c r="D952" s="208"/>
      <c r="E952" s="208"/>
      <c r="F952" s="208"/>
      <c r="G952" s="208"/>
      <c r="H952" s="208"/>
      <c r="I952" s="208"/>
      <c r="J952" s="208"/>
      <c r="K952" s="208"/>
      <c r="L952" s="208"/>
      <c r="M952" s="208"/>
      <c r="N952" s="208"/>
      <c r="O952" s="208"/>
      <c r="P952" s="208"/>
      <c r="Q952" s="208"/>
      <c r="R952" s="208"/>
      <c r="S952" s="208"/>
      <c r="T952" s="208"/>
      <c r="U952" s="208"/>
      <c r="V952" s="208"/>
    </row>
    <row r="953" spans="1:22" ht="15.75" customHeight="1" x14ac:dyDescent="0.3">
      <c r="A953" s="208"/>
      <c r="B953" s="208"/>
      <c r="C953" s="208"/>
      <c r="D953" s="208"/>
      <c r="E953" s="208"/>
      <c r="F953" s="208"/>
      <c r="G953" s="208"/>
      <c r="H953" s="208"/>
      <c r="I953" s="208"/>
      <c r="J953" s="208"/>
      <c r="K953" s="208"/>
      <c r="L953" s="208"/>
      <c r="M953" s="208"/>
      <c r="N953" s="208"/>
      <c r="O953" s="208"/>
      <c r="P953" s="208"/>
      <c r="Q953" s="208"/>
      <c r="R953" s="208"/>
      <c r="S953" s="208"/>
      <c r="T953" s="208"/>
      <c r="U953" s="208"/>
      <c r="V953" s="208"/>
    </row>
    <row r="954" spans="1:22" ht="15.75" customHeight="1" x14ac:dyDescent="0.3">
      <c r="A954" s="208"/>
      <c r="B954" s="208"/>
      <c r="C954" s="208"/>
      <c r="D954" s="208"/>
      <c r="E954" s="208"/>
      <c r="F954" s="208"/>
      <c r="G954" s="208"/>
      <c r="H954" s="208"/>
      <c r="I954" s="208"/>
      <c r="J954" s="208"/>
      <c r="K954" s="208"/>
      <c r="L954" s="208"/>
      <c r="M954" s="208"/>
      <c r="N954" s="208"/>
      <c r="O954" s="208"/>
      <c r="P954" s="208"/>
      <c r="Q954" s="208"/>
      <c r="R954" s="208"/>
      <c r="S954" s="208"/>
      <c r="T954" s="208"/>
      <c r="U954" s="208"/>
      <c r="V954" s="208"/>
    </row>
    <row r="955" spans="1:22" ht="15.75" customHeight="1" x14ac:dyDescent="0.3">
      <c r="A955" s="208"/>
      <c r="B955" s="208"/>
      <c r="C955" s="208"/>
      <c r="D955" s="208"/>
      <c r="E955" s="208"/>
      <c r="F955" s="208"/>
      <c r="G955" s="208"/>
      <c r="H955" s="208"/>
      <c r="I955" s="208"/>
      <c r="J955" s="208"/>
      <c r="K955" s="208"/>
      <c r="L955" s="208"/>
      <c r="M955" s="208"/>
      <c r="N955" s="208"/>
      <c r="O955" s="208"/>
      <c r="P955" s="208"/>
      <c r="Q955" s="208"/>
      <c r="R955" s="208"/>
      <c r="S955" s="208"/>
      <c r="T955" s="208"/>
      <c r="U955" s="208"/>
      <c r="V955" s="208"/>
    </row>
    <row r="956" spans="1:22" ht="15.75" customHeight="1" x14ac:dyDescent="0.3">
      <c r="A956" s="208"/>
      <c r="B956" s="208"/>
      <c r="C956" s="208"/>
      <c r="D956" s="208"/>
      <c r="E956" s="208"/>
      <c r="F956" s="208"/>
      <c r="G956" s="208"/>
      <c r="H956" s="208"/>
      <c r="I956" s="208"/>
      <c r="J956" s="208"/>
      <c r="K956" s="208"/>
      <c r="L956" s="208"/>
      <c r="M956" s="208"/>
      <c r="N956" s="208"/>
      <c r="O956" s="208"/>
      <c r="P956" s="208"/>
      <c r="Q956" s="208"/>
      <c r="R956" s="208"/>
      <c r="S956" s="208"/>
      <c r="T956" s="208"/>
      <c r="U956" s="208"/>
      <c r="V956" s="208"/>
    </row>
    <row r="957" spans="1:22" ht="15.75" customHeight="1" x14ac:dyDescent="0.3">
      <c r="A957" s="208"/>
      <c r="B957" s="208"/>
      <c r="C957" s="208"/>
      <c r="D957" s="208"/>
      <c r="E957" s="208"/>
      <c r="F957" s="208"/>
      <c r="G957" s="208"/>
      <c r="H957" s="208"/>
      <c r="I957" s="208"/>
      <c r="J957" s="208"/>
      <c r="K957" s="208"/>
      <c r="L957" s="208"/>
      <c r="M957" s="208"/>
      <c r="N957" s="208"/>
      <c r="O957" s="208"/>
      <c r="P957" s="208"/>
      <c r="Q957" s="208"/>
      <c r="R957" s="208"/>
      <c r="S957" s="208"/>
      <c r="T957" s="208"/>
      <c r="U957" s="208"/>
      <c r="V957" s="208"/>
    </row>
    <row r="958" spans="1:22" ht="15.75" customHeight="1" x14ac:dyDescent="0.3">
      <c r="A958" s="208"/>
      <c r="B958" s="208"/>
      <c r="C958" s="208"/>
      <c r="D958" s="208"/>
      <c r="E958" s="208"/>
      <c r="F958" s="208"/>
      <c r="G958" s="208"/>
      <c r="H958" s="208"/>
      <c r="I958" s="208"/>
      <c r="J958" s="208"/>
      <c r="K958" s="208"/>
      <c r="L958" s="208"/>
      <c r="M958" s="208"/>
      <c r="N958" s="208"/>
      <c r="O958" s="208"/>
      <c r="P958" s="208"/>
      <c r="Q958" s="208"/>
      <c r="R958" s="208"/>
      <c r="S958" s="208"/>
      <c r="T958" s="208"/>
      <c r="U958" s="208"/>
      <c r="V958" s="208"/>
    </row>
    <row r="959" spans="1:22" ht="15.75" customHeight="1" x14ac:dyDescent="0.3">
      <c r="A959" s="208"/>
      <c r="B959" s="208"/>
      <c r="C959" s="208"/>
      <c r="D959" s="208"/>
      <c r="E959" s="208"/>
      <c r="F959" s="208"/>
      <c r="G959" s="208"/>
      <c r="H959" s="208"/>
      <c r="I959" s="208"/>
      <c r="J959" s="208"/>
      <c r="K959" s="208"/>
      <c r="L959" s="208"/>
      <c r="M959" s="208"/>
      <c r="N959" s="208"/>
      <c r="O959" s="208"/>
      <c r="P959" s="208"/>
      <c r="Q959" s="208"/>
      <c r="R959" s="208"/>
      <c r="S959" s="208"/>
      <c r="T959" s="208"/>
      <c r="U959" s="208"/>
      <c r="V959" s="208"/>
    </row>
    <row r="960" spans="1:22" ht="15.75" customHeight="1" x14ac:dyDescent="0.3">
      <c r="A960" s="208"/>
      <c r="B960" s="208"/>
      <c r="C960" s="208"/>
      <c r="D960" s="208"/>
      <c r="E960" s="208"/>
      <c r="F960" s="208"/>
      <c r="G960" s="208"/>
      <c r="H960" s="208"/>
      <c r="I960" s="208"/>
      <c r="J960" s="208"/>
      <c r="K960" s="208"/>
      <c r="L960" s="208"/>
      <c r="M960" s="208"/>
      <c r="N960" s="208"/>
      <c r="O960" s="208"/>
      <c r="P960" s="208"/>
      <c r="Q960" s="208"/>
      <c r="R960" s="208"/>
      <c r="S960" s="208"/>
      <c r="T960" s="208"/>
      <c r="U960" s="208"/>
      <c r="V960" s="208"/>
    </row>
    <row r="961" spans="1:22" ht="15.75" customHeight="1" x14ac:dyDescent="0.3">
      <c r="A961" s="208"/>
      <c r="B961" s="208"/>
      <c r="C961" s="208"/>
      <c r="D961" s="208"/>
      <c r="E961" s="208"/>
      <c r="F961" s="208"/>
      <c r="G961" s="208"/>
      <c r="H961" s="208"/>
      <c r="I961" s="208"/>
      <c r="J961" s="208"/>
      <c r="K961" s="208"/>
      <c r="L961" s="208"/>
      <c r="M961" s="208"/>
      <c r="N961" s="208"/>
      <c r="O961" s="208"/>
      <c r="P961" s="208"/>
      <c r="Q961" s="208"/>
      <c r="R961" s="208"/>
      <c r="S961" s="208"/>
      <c r="T961" s="208"/>
      <c r="U961" s="208"/>
      <c r="V961" s="208"/>
    </row>
    <row r="962" spans="1:22" ht="15.75" customHeight="1" x14ac:dyDescent="0.3">
      <c r="A962" s="208"/>
      <c r="B962" s="208"/>
      <c r="C962" s="208"/>
      <c r="D962" s="208"/>
      <c r="E962" s="208"/>
      <c r="F962" s="208"/>
      <c r="G962" s="208"/>
      <c r="H962" s="208"/>
      <c r="I962" s="208"/>
      <c r="J962" s="208"/>
      <c r="K962" s="208"/>
      <c r="L962" s="208"/>
      <c r="M962" s="208"/>
      <c r="N962" s="208"/>
      <c r="O962" s="208"/>
      <c r="P962" s="208"/>
      <c r="Q962" s="208"/>
      <c r="R962" s="208"/>
      <c r="S962" s="208"/>
      <c r="T962" s="208"/>
      <c r="U962" s="208"/>
      <c r="V962" s="208"/>
    </row>
    <row r="963" spans="1:22" ht="15.75" customHeight="1" x14ac:dyDescent="0.3">
      <c r="A963" s="208"/>
      <c r="B963" s="208"/>
      <c r="C963" s="208"/>
      <c r="D963" s="208"/>
      <c r="E963" s="208"/>
      <c r="F963" s="208"/>
      <c r="G963" s="208"/>
      <c r="H963" s="208"/>
      <c r="I963" s="208"/>
      <c r="J963" s="208"/>
      <c r="K963" s="208"/>
      <c r="L963" s="208"/>
      <c r="M963" s="208"/>
      <c r="N963" s="208"/>
      <c r="O963" s="208"/>
      <c r="P963" s="208"/>
      <c r="Q963" s="208"/>
      <c r="R963" s="208"/>
      <c r="S963" s="208"/>
      <c r="T963" s="208"/>
      <c r="U963" s="208"/>
      <c r="V963" s="208"/>
    </row>
    <row r="964" spans="1:22" ht="15.75" customHeight="1" x14ac:dyDescent="0.3">
      <c r="A964" s="208"/>
      <c r="B964" s="208"/>
      <c r="C964" s="208"/>
      <c r="D964" s="208"/>
      <c r="E964" s="208"/>
      <c r="F964" s="208"/>
      <c r="G964" s="208"/>
      <c r="H964" s="208"/>
      <c r="I964" s="208"/>
      <c r="J964" s="208"/>
      <c r="K964" s="208"/>
      <c r="L964" s="208"/>
      <c r="M964" s="208"/>
      <c r="N964" s="208"/>
      <c r="O964" s="208"/>
      <c r="P964" s="208"/>
      <c r="Q964" s="208"/>
      <c r="R964" s="208"/>
      <c r="S964" s="208"/>
      <c r="T964" s="208"/>
      <c r="U964" s="208"/>
      <c r="V964" s="208"/>
    </row>
    <row r="965" spans="1:22" ht="15.75" customHeight="1" x14ac:dyDescent="0.3">
      <c r="A965" s="208"/>
      <c r="B965" s="208"/>
      <c r="C965" s="208"/>
      <c r="D965" s="208"/>
      <c r="E965" s="208"/>
      <c r="F965" s="208"/>
      <c r="G965" s="208"/>
      <c r="H965" s="208"/>
      <c r="I965" s="208"/>
      <c r="J965" s="208"/>
      <c r="K965" s="208"/>
      <c r="L965" s="208"/>
      <c r="M965" s="208"/>
      <c r="N965" s="208"/>
      <c r="O965" s="208"/>
      <c r="P965" s="208"/>
      <c r="Q965" s="208"/>
      <c r="R965" s="208"/>
      <c r="S965" s="208"/>
      <c r="T965" s="208"/>
      <c r="U965" s="208"/>
      <c r="V965" s="208"/>
    </row>
    <row r="966" spans="1:22" ht="15.75" customHeight="1" x14ac:dyDescent="0.3">
      <c r="A966" s="208"/>
      <c r="B966" s="208"/>
      <c r="C966" s="208"/>
      <c r="D966" s="208"/>
      <c r="E966" s="208"/>
      <c r="F966" s="208"/>
      <c r="G966" s="208"/>
      <c r="H966" s="208"/>
      <c r="I966" s="208"/>
      <c r="J966" s="208"/>
      <c r="K966" s="208"/>
      <c r="L966" s="208"/>
      <c r="M966" s="208"/>
      <c r="N966" s="208"/>
      <c r="O966" s="208"/>
      <c r="P966" s="208"/>
      <c r="Q966" s="208"/>
      <c r="R966" s="208"/>
      <c r="S966" s="208"/>
      <c r="T966" s="208"/>
      <c r="U966" s="208"/>
      <c r="V966" s="208"/>
    </row>
    <row r="967" spans="1:22" ht="15.75" customHeight="1" x14ac:dyDescent="0.3">
      <c r="A967" s="208"/>
      <c r="B967" s="208"/>
      <c r="C967" s="208"/>
      <c r="D967" s="208"/>
      <c r="E967" s="208"/>
      <c r="F967" s="208"/>
      <c r="G967" s="208"/>
      <c r="H967" s="208"/>
      <c r="I967" s="208"/>
      <c r="J967" s="208"/>
      <c r="K967" s="208"/>
      <c r="L967" s="208"/>
      <c r="M967" s="208"/>
      <c r="N967" s="208"/>
      <c r="O967" s="208"/>
      <c r="P967" s="208"/>
      <c r="Q967" s="208"/>
      <c r="R967" s="208"/>
      <c r="S967" s="208"/>
      <c r="T967" s="208"/>
      <c r="U967" s="208"/>
      <c r="V967" s="208"/>
    </row>
    <row r="968" spans="1:22" ht="15.75" customHeight="1" x14ac:dyDescent="0.3">
      <c r="A968" s="208"/>
      <c r="B968" s="208"/>
      <c r="C968" s="208"/>
      <c r="D968" s="208"/>
      <c r="E968" s="208"/>
      <c r="F968" s="208"/>
      <c r="G968" s="208"/>
      <c r="H968" s="208"/>
      <c r="I968" s="208"/>
      <c r="J968" s="208"/>
      <c r="K968" s="208"/>
      <c r="L968" s="208"/>
      <c r="M968" s="208"/>
      <c r="N968" s="208"/>
      <c r="O968" s="208"/>
      <c r="P968" s="208"/>
      <c r="Q968" s="208"/>
      <c r="R968" s="208"/>
      <c r="S968" s="208"/>
      <c r="T968" s="208"/>
      <c r="U968" s="208"/>
      <c r="V968" s="208"/>
    </row>
    <row r="969" spans="1:22" ht="15.75" customHeight="1" x14ac:dyDescent="0.3">
      <c r="A969" s="208"/>
      <c r="B969" s="208"/>
      <c r="C969" s="208"/>
      <c r="D969" s="208"/>
      <c r="E969" s="208"/>
      <c r="F969" s="208"/>
      <c r="G969" s="208"/>
      <c r="H969" s="208"/>
      <c r="I969" s="208"/>
      <c r="J969" s="208"/>
      <c r="K969" s="208"/>
      <c r="L969" s="208"/>
      <c r="M969" s="208"/>
      <c r="N969" s="208"/>
      <c r="O969" s="208"/>
      <c r="P969" s="208"/>
      <c r="Q969" s="208"/>
      <c r="R969" s="208"/>
      <c r="S969" s="208"/>
      <c r="T969" s="208"/>
      <c r="U969" s="208"/>
      <c r="V969" s="208"/>
    </row>
    <row r="970" spans="1:22" ht="15.75" customHeight="1" x14ac:dyDescent="0.3">
      <c r="A970" s="208"/>
      <c r="B970" s="208"/>
      <c r="C970" s="208"/>
      <c r="D970" s="208"/>
      <c r="E970" s="208"/>
      <c r="F970" s="208"/>
      <c r="G970" s="208"/>
      <c r="H970" s="208"/>
      <c r="I970" s="208"/>
      <c r="J970" s="208"/>
      <c r="K970" s="208"/>
      <c r="L970" s="208"/>
      <c r="M970" s="208"/>
      <c r="N970" s="208"/>
      <c r="O970" s="208"/>
      <c r="P970" s="208"/>
      <c r="Q970" s="208"/>
      <c r="R970" s="208"/>
      <c r="S970" s="208"/>
      <c r="T970" s="208"/>
      <c r="U970" s="208"/>
      <c r="V970" s="208"/>
    </row>
    <row r="971" spans="1:22" ht="15.75" customHeight="1" x14ac:dyDescent="0.3">
      <c r="A971" s="208"/>
      <c r="B971" s="208"/>
      <c r="C971" s="208"/>
      <c r="D971" s="208"/>
      <c r="E971" s="208"/>
      <c r="F971" s="208"/>
      <c r="G971" s="208"/>
      <c r="H971" s="208"/>
      <c r="I971" s="208"/>
      <c r="J971" s="208"/>
      <c r="K971" s="208"/>
      <c r="L971" s="208"/>
      <c r="M971" s="208"/>
      <c r="N971" s="208"/>
      <c r="O971" s="208"/>
      <c r="P971" s="208"/>
      <c r="Q971" s="208"/>
      <c r="R971" s="208"/>
      <c r="S971" s="208"/>
      <c r="T971" s="208"/>
      <c r="U971" s="208"/>
      <c r="V971" s="208"/>
    </row>
    <row r="972" spans="1:22" ht="15.75" customHeight="1" x14ac:dyDescent="0.3">
      <c r="A972" s="208"/>
      <c r="B972" s="208"/>
      <c r="C972" s="208"/>
      <c r="D972" s="208"/>
      <c r="E972" s="208"/>
      <c r="F972" s="208"/>
      <c r="G972" s="208"/>
      <c r="H972" s="208"/>
      <c r="I972" s="208"/>
      <c r="J972" s="208"/>
      <c r="K972" s="208"/>
      <c r="L972" s="208"/>
      <c r="M972" s="208"/>
      <c r="N972" s="208"/>
      <c r="O972" s="208"/>
      <c r="P972" s="208"/>
      <c r="Q972" s="208"/>
      <c r="R972" s="208"/>
      <c r="S972" s="208"/>
      <c r="T972" s="208"/>
      <c r="U972" s="208"/>
      <c r="V972" s="208"/>
    </row>
    <row r="973" spans="1:22" ht="15.75" customHeight="1" x14ac:dyDescent="0.3">
      <c r="A973" s="208"/>
      <c r="B973" s="208"/>
      <c r="C973" s="208"/>
      <c r="D973" s="208"/>
      <c r="E973" s="208"/>
      <c r="F973" s="208"/>
      <c r="G973" s="208"/>
      <c r="H973" s="208"/>
      <c r="I973" s="208"/>
      <c r="J973" s="208"/>
      <c r="K973" s="208"/>
      <c r="L973" s="208"/>
      <c r="M973" s="208"/>
      <c r="N973" s="208"/>
      <c r="O973" s="208"/>
      <c r="P973" s="208"/>
      <c r="Q973" s="208"/>
      <c r="R973" s="208"/>
      <c r="S973" s="208"/>
      <c r="T973" s="208"/>
      <c r="U973" s="208"/>
      <c r="V973" s="208"/>
    </row>
    <row r="974" spans="1:22" ht="15.75" customHeight="1" x14ac:dyDescent="0.3">
      <c r="A974" s="208"/>
      <c r="B974" s="208"/>
      <c r="C974" s="208"/>
      <c r="D974" s="208"/>
      <c r="E974" s="208"/>
      <c r="F974" s="208"/>
      <c r="G974" s="208"/>
      <c r="H974" s="208"/>
      <c r="I974" s="208"/>
      <c r="J974" s="208"/>
      <c r="K974" s="208"/>
      <c r="L974" s="208"/>
      <c r="M974" s="208"/>
      <c r="N974" s="208"/>
      <c r="O974" s="208"/>
      <c r="P974" s="208"/>
      <c r="Q974" s="208"/>
      <c r="R974" s="208"/>
      <c r="S974" s="208"/>
      <c r="T974" s="208"/>
      <c r="U974" s="208"/>
      <c r="V974" s="208"/>
    </row>
    <row r="975" spans="1:22" ht="15.75" customHeight="1" x14ac:dyDescent="0.3">
      <c r="A975" s="208"/>
      <c r="B975" s="208"/>
      <c r="C975" s="208"/>
      <c r="D975" s="208"/>
      <c r="E975" s="208"/>
      <c r="F975" s="208"/>
      <c r="G975" s="208"/>
      <c r="H975" s="208"/>
      <c r="I975" s="208"/>
      <c r="J975" s="208"/>
      <c r="K975" s="208"/>
      <c r="L975" s="208"/>
      <c r="M975" s="208"/>
      <c r="N975" s="208"/>
      <c r="O975" s="208"/>
      <c r="P975" s="208"/>
      <c r="Q975" s="208"/>
      <c r="R975" s="208"/>
      <c r="S975" s="208"/>
      <c r="T975" s="208"/>
      <c r="U975" s="208"/>
      <c r="V975" s="208"/>
    </row>
    <row r="976" spans="1:22" ht="15.75" customHeight="1" x14ac:dyDescent="0.3">
      <c r="A976" s="208"/>
      <c r="B976" s="208"/>
      <c r="C976" s="208"/>
      <c r="D976" s="208"/>
      <c r="E976" s="208"/>
      <c r="F976" s="208"/>
      <c r="G976" s="208"/>
      <c r="H976" s="208"/>
      <c r="I976" s="208"/>
      <c r="J976" s="208"/>
      <c r="K976" s="208"/>
      <c r="L976" s="208"/>
      <c r="M976" s="208"/>
      <c r="N976" s="208"/>
      <c r="O976" s="208"/>
      <c r="P976" s="208"/>
      <c r="Q976" s="208"/>
      <c r="R976" s="208"/>
      <c r="S976" s="208"/>
      <c r="T976" s="208"/>
      <c r="U976" s="208"/>
      <c r="V976" s="208"/>
    </row>
    <row r="977" spans="1:22" ht="15.75" customHeight="1" x14ac:dyDescent="0.3">
      <c r="A977" s="208"/>
      <c r="B977" s="208"/>
      <c r="C977" s="208"/>
      <c r="D977" s="208"/>
      <c r="E977" s="208"/>
      <c r="F977" s="208"/>
      <c r="G977" s="208"/>
      <c r="H977" s="208"/>
      <c r="I977" s="208"/>
      <c r="J977" s="208"/>
      <c r="K977" s="208"/>
      <c r="L977" s="208"/>
      <c r="M977" s="208"/>
      <c r="N977" s="208"/>
      <c r="O977" s="208"/>
      <c r="P977" s="208"/>
      <c r="Q977" s="208"/>
      <c r="R977" s="208"/>
      <c r="S977" s="208"/>
      <c r="T977" s="208"/>
      <c r="U977" s="208"/>
      <c r="V977" s="208"/>
    </row>
    <row r="978" spans="1:22" ht="15.75" customHeight="1" x14ac:dyDescent="0.3">
      <c r="A978" s="208"/>
      <c r="B978" s="208"/>
      <c r="C978" s="208"/>
      <c r="D978" s="208"/>
      <c r="E978" s="208"/>
      <c r="F978" s="208"/>
      <c r="G978" s="208"/>
      <c r="H978" s="208"/>
      <c r="I978" s="208"/>
      <c r="J978" s="208"/>
      <c r="K978" s="208"/>
      <c r="L978" s="208"/>
      <c r="M978" s="208"/>
      <c r="N978" s="208"/>
      <c r="O978" s="208"/>
      <c r="P978" s="208"/>
      <c r="Q978" s="208"/>
      <c r="R978" s="208"/>
      <c r="S978" s="208"/>
      <c r="T978" s="208"/>
      <c r="U978" s="208"/>
      <c r="V978" s="208"/>
    </row>
    <row r="979" spans="1:22" ht="15.75" customHeight="1" x14ac:dyDescent="0.3">
      <c r="A979" s="208"/>
      <c r="B979" s="208"/>
      <c r="C979" s="208"/>
      <c r="D979" s="208"/>
      <c r="E979" s="208"/>
      <c r="F979" s="208"/>
      <c r="G979" s="208"/>
      <c r="H979" s="208"/>
      <c r="I979" s="208"/>
      <c r="J979" s="208"/>
      <c r="K979" s="208"/>
      <c r="L979" s="208"/>
      <c r="M979" s="208"/>
      <c r="N979" s="208"/>
      <c r="O979" s="208"/>
      <c r="P979" s="208"/>
      <c r="Q979" s="208"/>
      <c r="R979" s="208"/>
      <c r="S979" s="208"/>
      <c r="T979" s="208"/>
      <c r="U979" s="208"/>
      <c r="V979" s="208"/>
    </row>
    <row r="980" spans="1:22" ht="15.75" customHeight="1" x14ac:dyDescent="0.3">
      <c r="A980" s="208"/>
      <c r="B980" s="208"/>
      <c r="C980" s="208"/>
      <c r="D980" s="208"/>
      <c r="E980" s="208"/>
      <c r="F980" s="208"/>
      <c r="G980" s="208"/>
      <c r="H980" s="208"/>
      <c r="I980" s="208"/>
      <c r="J980" s="208"/>
      <c r="K980" s="208"/>
      <c r="L980" s="208"/>
      <c r="M980" s="208"/>
      <c r="N980" s="208"/>
      <c r="O980" s="208"/>
      <c r="P980" s="208"/>
      <c r="Q980" s="208"/>
      <c r="R980" s="208"/>
      <c r="S980" s="208"/>
      <c r="T980" s="208"/>
      <c r="U980" s="208"/>
      <c r="V980" s="208"/>
    </row>
    <row r="981" spans="1:22" ht="15.75" customHeight="1" x14ac:dyDescent="0.3">
      <c r="A981" s="208"/>
      <c r="B981" s="208"/>
      <c r="C981" s="208"/>
      <c r="D981" s="208"/>
      <c r="E981" s="208"/>
      <c r="F981" s="208"/>
      <c r="G981" s="208"/>
      <c r="H981" s="208"/>
      <c r="I981" s="208"/>
      <c r="J981" s="208"/>
      <c r="K981" s="208"/>
      <c r="L981" s="208"/>
      <c r="M981" s="208"/>
      <c r="N981" s="208"/>
      <c r="O981" s="208"/>
      <c r="P981" s="208"/>
      <c r="Q981" s="208"/>
      <c r="R981" s="208"/>
      <c r="S981" s="208"/>
      <c r="T981" s="208"/>
      <c r="U981" s="208"/>
      <c r="V981" s="208"/>
    </row>
    <row r="982" spans="1:22" ht="15.75" customHeight="1" x14ac:dyDescent="0.3">
      <c r="A982" s="208"/>
      <c r="B982" s="208"/>
      <c r="C982" s="208"/>
      <c r="D982" s="208"/>
      <c r="E982" s="208"/>
      <c r="F982" s="208"/>
      <c r="G982" s="208"/>
      <c r="H982" s="208"/>
      <c r="I982" s="208"/>
      <c r="J982" s="208"/>
      <c r="K982" s="208"/>
      <c r="L982" s="208"/>
      <c r="M982" s="208"/>
      <c r="N982" s="208"/>
      <c r="O982" s="208"/>
      <c r="P982" s="208"/>
      <c r="Q982" s="208"/>
      <c r="R982" s="208"/>
      <c r="S982" s="208"/>
      <c r="T982" s="208"/>
      <c r="U982" s="208"/>
      <c r="V982" s="208"/>
    </row>
    <row r="983" spans="1:22" ht="15.75" customHeight="1" x14ac:dyDescent="0.3">
      <c r="A983" s="208"/>
      <c r="B983" s="208"/>
      <c r="C983" s="208"/>
      <c r="D983" s="208"/>
      <c r="E983" s="208"/>
      <c r="F983" s="208"/>
      <c r="G983" s="208"/>
      <c r="H983" s="208"/>
      <c r="I983" s="208"/>
      <c r="J983" s="208"/>
      <c r="K983" s="208"/>
      <c r="L983" s="208"/>
      <c r="M983" s="208"/>
      <c r="N983" s="208"/>
      <c r="O983" s="208"/>
      <c r="P983" s="208"/>
      <c r="Q983" s="208"/>
      <c r="R983" s="208"/>
      <c r="S983" s="208"/>
      <c r="T983" s="208"/>
      <c r="U983" s="208"/>
      <c r="V983" s="208"/>
    </row>
    <row r="984" spans="1:22" ht="15.75" customHeight="1" x14ac:dyDescent="0.3">
      <c r="A984" s="208"/>
      <c r="B984" s="208"/>
      <c r="C984" s="208"/>
      <c r="D984" s="208"/>
      <c r="E984" s="208"/>
      <c r="F984" s="208"/>
      <c r="G984" s="208"/>
      <c r="H984" s="208"/>
      <c r="I984" s="208"/>
      <c r="J984" s="208"/>
      <c r="K984" s="208"/>
      <c r="L984" s="208"/>
      <c r="M984" s="208"/>
      <c r="N984" s="208"/>
      <c r="O984" s="208"/>
      <c r="P984" s="208"/>
      <c r="Q984" s="208"/>
      <c r="R984" s="208"/>
      <c r="S984" s="208"/>
      <c r="T984" s="208"/>
      <c r="U984" s="208"/>
      <c r="V984" s="208"/>
    </row>
    <row r="985" spans="1:22" ht="15.75" customHeight="1" x14ac:dyDescent="0.3">
      <c r="A985" s="208"/>
      <c r="B985" s="208"/>
      <c r="C985" s="208"/>
      <c r="D985" s="208"/>
      <c r="E985" s="208"/>
      <c r="F985" s="208"/>
      <c r="G985" s="208"/>
      <c r="H985" s="208"/>
      <c r="I985" s="208"/>
      <c r="J985" s="208"/>
      <c r="K985" s="208"/>
      <c r="L985" s="208"/>
      <c r="M985" s="208"/>
      <c r="N985" s="208"/>
      <c r="O985" s="208"/>
      <c r="P985" s="208"/>
      <c r="Q985" s="208"/>
      <c r="R985" s="208"/>
      <c r="S985" s="208"/>
      <c r="T985" s="208"/>
      <c r="U985" s="208"/>
      <c r="V985" s="208"/>
    </row>
    <row r="986" spans="1:22" ht="15.75" customHeight="1" x14ac:dyDescent="0.3">
      <c r="A986" s="208"/>
      <c r="B986" s="208"/>
      <c r="C986" s="208"/>
      <c r="D986" s="208"/>
      <c r="E986" s="208"/>
      <c r="F986" s="208"/>
      <c r="G986" s="208"/>
      <c r="H986" s="208"/>
      <c r="I986" s="208"/>
      <c r="J986" s="208"/>
      <c r="K986" s="208"/>
      <c r="L986" s="208"/>
      <c r="M986" s="208"/>
      <c r="N986" s="208"/>
      <c r="O986" s="208"/>
      <c r="P986" s="208"/>
      <c r="Q986" s="208"/>
      <c r="R986" s="208"/>
      <c r="S986" s="208"/>
      <c r="T986" s="208"/>
      <c r="U986" s="208"/>
      <c r="V986" s="208"/>
    </row>
    <row r="987" spans="1:22" ht="15.75" customHeight="1" x14ac:dyDescent="0.3">
      <c r="A987" s="208"/>
      <c r="B987" s="208"/>
      <c r="C987" s="208"/>
      <c r="D987" s="208"/>
      <c r="E987" s="208"/>
      <c r="F987" s="208"/>
      <c r="G987" s="208"/>
      <c r="H987" s="208"/>
      <c r="I987" s="208"/>
      <c r="J987" s="208"/>
      <c r="K987" s="208"/>
      <c r="L987" s="208"/>
      <c r="M987" s="208"/>
      <c r="N987" s="208"/>
      <c r="O987" s="208"/>
      <c r="P987" s="208"/>
      <c r="Q987" s="208"/>
      <c r="R987" s="208"/>
      <c r="S987" s="208"/>
      <c r="T987" s="208"/>
      <c r="U987" s="208"/>
      <c r="V987" s="208"/>
    </row>
    <row r="988" spans="1:22" ht="15.75" customHeight="1" x14ac:dyDescent="0.3">
      <c r="A988" s="208"/>
      <c r="B988" s="208"/>
      <c r="C988" s="208"/>
      <c r="D988" s="208"/>
      <c r="E988" s="208"/>
      <c r="F988" s="208"/>
      <c r="G988" s="208"/>
      <c r="H988" s="208"/>
      <c r="I988" s="208"/>
      <c r="J988" s="208"/>
      <c r="K988" s="208"/>
      <c r="L988" s="208"/>
      <c r="M988" s="208"/>
      <c r="N988" s="208"/>
      <c r="O988" s="208"/>
      <c r="P988" s="208"/>
      <c r="Q988" s="208"/>
      <c r="R988" s="208"/>
      <c r="S988" s="208"/>
      <c r="T988" s="208"/>
      <c r="U988" s="208"/>
      <c r="V988" s="208"/>
    </row>
    <row r="989" spans="1:22" ht="15.75" customHeight="1" x14ac:dyDescent="0.3">
      <c r="A989" s="208"/>
      <c r="B989" s="208"/>
      <c r="C989" s="208"/>
      <c r="D989" s="208"/>
      <c r="E989" s="208"/>
      <c r="F989" s="208"/>
      <c r="G989" s="208"/>
      <c r="H989" s="208"/>
      <c r="I989" s="208"/>
      <c r="J989" s="208"/>
      <c r="K989" s="208"/>
      <c r="L989" s="208"/>
      <c r="M989" s="208"/>
      <c r="N989" s="208"/>
      <c r="O989" s="208"/>
      <c r="P989" s="208"/>
      <c r="Q989" s="208"/>
      <c r="R989" s="208"/>
      <c r="S989" s="208"/>
      <c r="T989" s="208"/>
      <c r="U989" s="208"/>
      <c r="V989" s="208"/>
    </row>
    <row r="990" spans="1:22" ht="15.75" customHeight="1" x14ac:dyDescent="0.3">
      <c r="A990" s="208"/>
      <c r="B990" s="208"/>
      <c r="C990" s="208"/>
      <c r="D990" s="208"/>
      <c r="E990" s="208"/>
      <c r="F990" s="208"/>
      <c r="G990" s="208"/>
      <c r="H990" s="208"/>
      <c r="I990" s="208"/>
      <c r="J990" s="208"/>
      <c r="K990" s="208"/>
      <c r="L990" s="208"/>
      <c r="M990" s="208"/>
      <c r="N990" s="208"/>
      <c r="O990" s="208"/>
      <c r="P990" s="208"/>
      <c r="Q990" s="208"/>
      <c r="R990" s="208"/>
      <c r="S990" s="208"/>
      <c r="T990" s="208"/>
      <c r="U990" s="208"/>
      <c r="V990" s="208"/>
    </row>
    <row r="991" spans="1:22" ht="15.75" customHeight="1" x14ac:dyDescent="0.3">
      <c r="A991" s="208"/>
      <c r="B991" s="208"/>
      <c r="C991" s="208"/>
      <c r="D991" s="208"/>
      <c r="E991" s="208"/>
      <c r="F991" s="208"/>
      <c r="G991" s="208"/>
      <c r="H991" s="208"/>
      <c r="I991" s="208"/>
      <c r="J991" s="208"/>
      <c r="K991" s="208"/>
      <c r="L991" s="208"/>
      <c r="M991" s="208"/>
      <c r="N991" s="208"/>
      <c r="O991" s="208"/>
      <c r="P991" s="208"/>
      <c r="Q991" s="208"/>
      <c r="R991" s="208"/>
      <c r="S991" s="208"/>
      <c r="T991" s="208"/>
      <c r="U991" s="208"/>
      <c r="V991" s="208"/>
    </row>
    <row r="992" spans="1:22" ht="15.75" customHeight="1" x14ac:dyDescent="0.3">
      <c r="A992" s="208"/>
      <c r="B992" s="208"/>
      <c r="C992" s="208"/>
      <c r="D992" s="208"/>
      <c r="E992" s="208"/>
      <c r="F992" s="208"/>
      <c r="G992" s="208"/>
      <c r="H992" s="208"/>
      <c r="I992" s="208"/>
      <c r="J992" s="208"/>
      <c r="K992" s="208"/>
      <c r="L992" s="208"/>
      <c r="M992" s="208"/>
      <c r="N992" s="208"/>
      <c r="O992" s="208"/>
      <c r="P992" s="208"/>
      <c r="Q992" s="208"/>
      <c r="R992" s="208"/>
      <c r="S992" s="208"/>
      <c r="T992" s="208"/>
      <c r="U992" s="208"/>
      <c r="V992" s="208"/>
    </row>
    <row r="993" spans="1:22" ht="15.75" customHeight="1" x14ac:dyDescent="0.3">
      <c r="A993" s="208"/>
      <c r="B993" s="208"/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208"/>
      <c r="P993" s="208"/>
      <c r="Q993" s="208"/>
      <c r="R993" s="208"/>
      <c r="S993" s="208"/>
      <c r="T993" s="208"/>
      <c r="U993" s="208"/>
      <c r="V993" s="208"/>
    </row>
    <row r="994" spans="1:22" ht="15.75" customHeight="1" x14ac:dyDescent="0.3">
      <c r="A994" s="208"/>
      <c r="B994" s="208"/>
      <c r="C994" s="208"/>
      <c r="D994" s="208"/>
      <c r="E994" s="208"/>
      <c r="F994" s="208"/>
      <c r="G994" s="208"/>
      <c r="H994" s="208"/>
      <c r="I994" s="208"/>
      <c r="J994" s="208"/>
      <c r="K994" s="208"/>
      <c r="L994" s="208"/>
      <c r="M994" s="208"/>
      <c r="N994" s="208"/>
      <c r="O994" s="208"/>
      <c r="P994" s="208"/>
      <c r="Q994" s="208"/>
      <c r="R994" s="208"/>
      <c r="S994" s="208"/>
      <c r="T994" s="208"/>
      <c r="U994" s="208"/>
      <c r="V994" s="208"/>
    </row>
    <row r="995" spans="1:22" ht="15.75" customHeight="1" x14ac:dyDescent="0.3">
      <c r="A995" s="208"/>
      <c r="B995" s="208"/>
      <c r="C995" s="208"/>
      <c r="D995" s="208"/>
      <c r="E995" s="208"/>
      <c r="F995" s="208"/>
      <c r="G995" s="208"/>
      <c r="H995" s="208"/>
      <c r="I995" s="208"/>
      <c r="J995" s="208"/>
      <c r="K995" s="208"/>
      <c r="L995" s="208"/>
      <c r="M995" s="208"/>
      <c r="N995" s="208"/>
      <c r="O995" s="208"/>
      <c r="P995" s="208"/>
      <c r="Q995" s="208"/>
      <c r="R995" s="208"/>
      <c r="S995" s="208"/>
      <c r="T995" s="208"/>
      <c r="U995" s="208"/>
      <c r="V995" s="208"/>
    </row>
    <row r="996" spans="1:22" ht="15.75" customHeight="1" x14ac:dyDescent="0.3">
      <c r="A996" s="208"/>
      <c r="B996" s="208"/>
      <c r="C996" s="208"/>
      <c r="D996" s="208"/>
      <c r="E996" s="208"/>
      <c r="F996" s="208"/>
      <c r="G996" s="208"/>
      <c r="H996" s="208"/>
      <c r="I996" s="208"/>
      <c r="J996" s="208"/>
      <c r="K996" s="208"/>
      <c r="L996" s="208"/>
      <c r="M996" s="208"/>
      <c r="N996" s="208"/>
      <c r="O996" s="208"/>
      <c r="P996" s="208"/>
      <c r="Q996" s="208"/>
      <c r="R996" s="208"/>
      <c r="S996" s="208"/>
      <c r="T996" s="208"/>
      <c r="U996" s="208"/>
      <c r="V996" s="208"/>
    </row>
    <row r="997" spans="1:22" ht="15.75" customHeight="1" x14ac:dyDescent="0.3">
      <c r="A997" s="208"/>
      <c r="B997" s="208"/>
      <c r="C997" s="208"/>
      <c r="D997" s="208"/>
      <c r="E997" s="208"/>
      <c r="F997" s="208"/>
      <c r="G997" s="208"/>
      <c r="H997" s="208"/>
      <c r="I997" s="208"/>
      <c r="J997" s="208"/>
      <c r="K997" s="208"/>
      <c r="L997" s="208"/>
      <c r="M997" s="208"/>
      <c r="N997" s="208"/>
      <c r="O997" s="208"/>
      <c r="P997" s="208"/>
      <c r="Q997" s="208"/>
      <c r="R997" s="208"/>
      <c r="S997" s="208"/>
      <c r="T997" s="208"/>
      <c r="U997" s="208"/>
      <c r="V997" s="208"/>
    </row>
    <row r="998" spans="1:22" ht="15.75" customHeight="1" x14ac:dyDescent="0.3">
      <c r="A998" s="208"/>
      <c r="B998" s="208"/>
      <c r="C998" s="208"/>
      <c r="D998" s="208"/>
      <c r="E998" s="208"/>
      <c r="F998" s="208"/>
      <c r="G998" s="208"/>
      <c r="H998" s="208"/>
      <c r="I998" s="208"/>
      <c r="J998" s="208"/>
      <c r="K998" s="208"/>
      <c r="L998" s="208"/>
      <c r="M998" s="208"/>
      <c r="N998" s="208"/>
      <c r="O998" s="208"/>
      <c r="P998" s="208"/>
      <c r="Q998" s="208"/>
      <c r="R998" s="208"/>
      <c r="S998" s="208"/>
      <c r="T998" s="208"/>
      <c r="U998" s="208"/>
      <c r="V998" s="208"/>
    </row>
    <row r="999" spans="1:22" ht="15.75" customHeight="1" x14ac:dyDescent="0.3">
      <c r="A999" s="208"/>
      <c r="B999" s="208"/>
      <c r="C999" s="208"/>
      <c r="D999" s="208"/>
      <c r="E999" s="208"/>
      <c r="F999" s="208"/>
      <c r="G999" s="208"/>
      <c r="H999" s="208"/>
      <c r="I999" s="208"/>
      <c r="J999" s="208"/>
      <c r="K999" s="208"/>
      <c r="L999" s="208"/>
      <c r="M999" s="208"/>
      <c r="N999" s="208"/>
      <c r="O999" s="208"/>
      <c r="P999" s="208"/>
      <c r="Q999" s="208"/>
      <c r="R999" s="208"/>
      <c r="S999" s="208"/>
      <c r="T999" s="208"/>
      <c r="U999" s="208"/>
      <c r="V999" s="208"/>
    </row>
    <row r="1000" spans="1:22" ht="15.75" customHeight="1" x14ac:dyDescent="0.3">
      <c r="A1000" s="208"/>
      <c r="B1000" s="208"/>
      <c r="C1000" s="208"/>
      <c r="D1000" s="208"/>
      <c r="E1000" s="208"/>
      <c r="F1000" s="208"/>
      <c r="G1000" s="208"/>
      <c r="H1000" s="208"/>
      <c r="I1000" s="208"/>
      <c r="J1000" s="208"/>
      <c r="K1000" s="208"/>
      <c r="L1000" s="208"/>
      <c r="M1000" s="208"/>
      <c r="N1000" s="208"/>
      <c r="O1000" s="208"/>
      <c r="P1000" s="208"/>
      <c r="Q1000" s="208"/>
      <c r="R1000" s="208"/>
      <c r="S1000" s="208"/>
      <c r="T1000" s="208"/>
      <c r="U1000" s="208"/>
      <c r="V1000" s="208"/>
    </row>
    <row r="1001" spans="1:22" ht="15.75" customHeight="1" x14ac:dyDescent="0.3">
      <c r="A1001" s="208"/>
      <c r="B1001" s="208"/>
      <c r="C1001" s="208"/>
      <c r="D1001" s="208"/>
      <c r="E1001" s="208"/>
      <c r="F1001" s="208"/>
      <c r="G1001" s="208"/>
      <c r="H1001" s="208"/>
      <c r="I1001" s="208"/>
      <c r="J1001" s="208"/>
      <c r="K1001" s="208"/>
      <c r="L1001" s="208"/>
      <c r="M1001" s="208"/>
      <c r="N1001" s="208"/>
      <c r="O1001" s="208"/>
      <c r="P1001" s="208"/>
      <c r="Q1001" s="208"/>
      <c r="R1001" s="208"/>
      <c r="S1001" s="208"/>
      <c r="T1001" s="208"/>
      <c r="U1001" s="208"/>
      <c r="V1001" s="208"/>
    </row>
    <row r="1002" spans="1:22" ht="15.75" customHeight="1" x14ac:dyDescent="0.3">
      <c r="A1002" s="208"/>
      <c r="B1002" s="208"/>
      <c r="C1002" s="208"/>
      <c r="D1002" s="208"/>
      <c r="E1002" s="208"/>
      <c r="F1002" s="208"/>
      <c r="G1002" s="208"/>
      <c r="H1002" s="208"/>
      <c r="I1002" s="208"/>
      <c r="J1002" s="208"/>
      <c r="K1002" s="208"/>
      <c r="L1002" s="208"/>
      <c r="M1002" s="208"/>
      <c r="N1002" s="208"/>
      <c r="O1002" s="208"/>
      <c r="P1002" s="208"/>
      <c r="Q1002" s="208"/>
      <c r="R1002" s="208"/>
      <c r="S1002" s="208"/>
      <c r="T1002" s="208"/>
      <c r="U1002" s="208"/>
      <c r="V1002" s="208"/>
    </row>
    <row r="1003" spans="1:22" ht="15.75" customHeight="1" x14ac:dyDescent="0.3">
      <c r="A1003" s="208"/>
      <c r="B1003" s="208"/>
      <c r="C1003" s="208"/>
      <c r="D1003" s="208"/>
      <c r="E1003" s="208"/>
      <c r="F1003" s="208"/>
      <c r="G1003" s="208"/>
      <c r="H1003" s="208"/>
      <c r="I1003" s="208"/>
      <c r="J1003" s="208"/>
      <c r="K1003" s="208"/>
      <c r="L1003" s="208"/>
      <c r="M1003" s="208"/>
      <c r="N1003" s="208"/>
      <c r="O1003" s="208"/>
      <c r="P1003" s="208"/>
      <c r="Q1003" s="208"/>
      <c r="R1003" s="208"/>
      <c r="S1003" s="208"/>
      <c r="T1003" s="208"/>
      <c r="U1003" s="208"/>
      <c r="V1003" s="208"/>
    </row>
    <row r="1004" spans="1:22" ht="15.75" customHeight="1" x14ac:dyDescent="0.3">
      <c r="A1004" s="208"/>
      <c r="B1004" s="208"/>
      <c r="C1004" s="208"/>
      <c r="D1004" s="208"/>
      <c r="E1004" s="208"/>
      <c r="F1004" s="208"/>
      <c r="G1004" s="208"/>
      <c r="H1004" s="208"/>
      <c r="I1004" s="208"/>
      <c r="J1004" s="208"/>
      <c r="K1004" s="208"/>
      <c r="L1004" s="208"/>
      <c r="M1004" s="208"/>
      <c r="N1004" s="208"/>
      <c r="O1004" s="208"/>
      <c r="P1004" s="208"/>
      <c r="Q1004" s="208"/>
      <c r="R1004" s="208"/>
      <c r="S1004" s="208"/>
      <c r="T1004" s="208"/>
      <c r="U1004" s="208"/>
      <c r="V1004" s="208"/>
    </row>
    <row r="1005" spans="1:22" ht="15.75" customHeight="1" x14ac:dyDescent="0.3">
      <c r="A1005" s="208"/>
      <c r="B1005" s="208"/>
      <c r="C1005" s="208"/>
      <c r="D1005" s="208"/>
      <c r="E1005" s="208"/>
      <c r="F1005" s="208"/>
      <c r="G1005" s="208"/>
      <c r="H1005" s="208"/>
      <c r="I1005" s="208"/>
      <c r="J1005" s="208"/>
      <c r="K1005" s="208"/>
      <c r="L1005" s="208"/>
      <c r="M1005" s="208"/>
      <c r="N1005" s="208"/>
      <c r="O1005" s="208"/>
      <c r="P1005" s="208"/>
      <c r="Q1005" s="208"/>
      <c r="R1005" s="208"/>
      <c r="S1005" s="208"/>
      <c r="T1005" s="208"/>
      <c r="U1005" s="208"/>
      <c r="V1005" s="208"/>
    </row>
    <row r="1006" spans="1:22" ht="15.75" customHeight="1" x14ac:dyDescent="0.3">
      <c r="A1006" s="208"/>
      <c r="B1006" s="208"/>
      <c r="C1006" s="208"/>
      <c r="D1006" s="208"/>
      <c r="E1006" s="208"/>
      <c r="F1006" s="208"/>
      <c r="G1006" s="208"/>
      <c r="H1006" s="208"/>
      <c r="I1006" s="208"/>
      <c r="J1006" s="208"/>
      <c r="K1006" s="208"/>
      <c r="L1006" s="208"/>
      <c r="M1006" s="208"/>
      <c r="N1006" s="208"/>
      <c r="O1006" s="208"/>
      <c r="P1006" s="208"/>
      <c r="Q1006" s="208"/>
      <c r="R1006" s="208"/>
      <c r="S1006" s="208"/>
      <c r="T1006" s="208"/>
      <c r="U1006" s="208"/>
      <c r="V1006" s="208"/>
    </row>
    <row r="1007" spans="1:22" ht="15.75" customHeight="1" x14ac:dyDescent="0.3">
      <c r="A1007" s="208"/>
      <c r="B1007" s="208"/>
      <c r="C1007" s="208"/>
      <c r="D1007" s="208"/>
      <c r="E1007" s="208"/>
      <c r="F1007" s="208"/>
      <c r="G1007" s="208"/>
      <c r="H1007" s="208"/>
      <c r="I1007" s="208"/>
      <c r="J1007" s="208"/>
      <c r="K1007" s="208"/>
      <c r="L1007" s="208"/>
      <c r="M1007" s="208"/>
      <c r="N1007" s="208"/>
      <c r="O1007" s="208"/>
      <c r="P1007" s="208"/>
      <c r="Q1007" s="208"/>
      <c r="R1007" s="208"/>
      <c r="S1007" s="208"/>
      <c r="T1007" s="208"/>
      <c r="U1007" s="208"/>
      <c r="V1007" s="208"/>
    </row>
    <row r="1008" spans="1:22" ht="15.75" customHeight="1" x14ac:dyDescent="0.3">
      <c r="A1008" s="208"/>
      <c r="B1008" s="208"/>
      <c r="C1008" s="208"/>
      <c r="D1008" s="208"/>
      <c r="E1008" s="208"/>
      <c r="F1008" s="208"/>
      <c r="G1008" s="208"/>
      <c r="H1008" s="208"/>
      <c r="I1008" s="208"/>
      <c r="J1008" s="208"/>
      <c r="K1008" s="208"/>
      <c r="L1008" s="208"/>
      <c r="M1008" s="208"/>
      <c r="N1008" s="208"/>
      <c r="O1008" s="208"/>
      <c r="P1008" s="208"/>
      <c r="Q1008" s="208"/>
      <c r="R1008" s="208"/>
      <c r="S1008" s="208"/>
      <c r="T1008" s="208"/>
      <c r="U1008" s="208"/>
      <c r="V1008" s="208"/>
    </row>
    <row r="1009" spans="1:22" ht="15.75" customHeight="1" x14ac:dyDescent="0.3">
      <c r="A1009" s="208"/>
      <c r="B1009" s="208"/>
      <c r="C1009" s="208"/>
      <c r="D1009" s="208"/>
      <c r="E1009" s="208"/>
      <c r="F1009" s="208"/>
      <c r="G1009" s="208"/>
      <c r="H1009" s="208"/>
      <c r="I1009" s="208"/>
      <c r="J1009" s="208"/>
      <c r="K1009" s="208"/>
      <c r="L1009" s="208"/>
      <c r="M1009" s="208"/>
      <c r="N1009" s="208"/>
      <c r="O1009" s="208"/>
      <c r="P1009" s="208"/>
      <c r="Q1009" s="208"/>
      <c r="R1009" s="208"/>
      <c r="S1009" s="208"/>
      <c r="T1009" s="208"/>
      <c r="U1009" s="208"/>
      <c r="V1009" s="208"/>
    </row>
    <row r="1010" spans="1:22" ht="15.75" customHeight="1" x14ac:dyDescent="0.3">
      <c r="A1010" s="208"/>
      <c r="B1010" s="208"/>
      <c r="C1010" s="208"/>
      <c r="D1010" s="208"/>
      <c r="E1010" s="208"/>
      <c r="F1010" s="208"/>
      <c r="G1010" s="208"/>
      <c r="H1010" s="208"/>
      <c r="I1010" s="208"/>
      <c r="J1010" s="208"/>
      <c r="K1010" s="208"/>
      <c r="L1010" s="208"/>
      <c r="M1010" s="208"/>
      <c r="N1010" s="208"/>
      <c r="O1010" s="208"/>
      <c r="P1010" s="208"/>
      <c r="Q1010" s="208"/>
      <c r="R1010" s="208"/>
      <c r="S1010" s="208"/>
      <c r="T1010" s="208"/>
      <c r="U1010" s="208"/>
      <c r="V1010" s="208"/>
    </row>
    <row r="1011" spans="1:22" ht="15.75" customHeight="1" x14ac:dyDescent="0.3">
      <c r="A1011" s="208"/>
      <c r="B1011" s="208"/>
      <c r="C1011" s="208"/>
      <c r="D1011" s="208"/>
      <c r="E1011" s="208"/>
      <c r="F1011" s="208"/>
      <c r="G1011" s="208"/>
      <c r="H1011" s="208"/>
      <c r="I1011" s="208"/>
      <c r="J1011" s="208"/>
      <c r="K1011" s="208"/>
      <c r="L1011" s="208"/>
      <c r="M1011" s="208"/>
      <c r="N1011" s="208"/>
      <c r="O1011" s="208"/>
      <c r="P1011" s="208"/>
      <c r="Q1011" s="208"/>
      <c r="R1011" s="208"/>
      <c r="S1011" s="208"/>
      <c r="T1011" s="208"/>
      <c r="U1011" s="208"/>
      <c r="V1011" s="208"/>
    </row>
    <row r="1012" spans="1:22" ht="15.75" customHeight="1" x14ac:dyDescent="0.3">
      <c r="A1012" s="208"/>
      <c r="B1012" s="208"/>
      <c r="C1012" s="208"/>
      <c r="D1012" s="208"/>
      <c r="E1012" s="208"/>
      <c r="F1012" s="208"/>
      <c r="G1012" s="208"/>
      <c r="H1012" s="208"/>
      <c r="I1012" s="208"/>
      <c r="J1012" s="208"/>
      <c r="K1012" s="208"/>
      <c r="L1012" s="208"/>
      <c r="M1012" s="208"/>
      <c r="N1012" s="208"/>
      <c r="O1012" s="208"/>
      <c r="P1012" s="208"/>
      <c r="Q1012" s="208"/>
      <c r="R1012" s="208"/>
      <c r="S1012" s="208"/>
      <c r="T1012" s="208"/>
      <c r="U1012" s="208"/>
      <c r="V1012" s="208"/>
    </row>
    <row r="1013" spans="1:22" ht="15.75" customHeight="1" x14ac:dyDescent="0.3">
      <c r="A1013" s="208"/>
      <c r="B1013" s="208"/>
      <c r="C1013" s="208"/>
      <c r="D1013" s="208"/>
      <c r="E1013" s="208"/>
      <c r="F1013" s="208"/>
      <c r="G1013" s="208"/>
      <c r="H1013" s="208"/>
      <c r="I1013" s="208"/>
      <c r="J1013" s="208"/>
      <c r="K1013" s="208"/>
      <c r="L1013" s="208"/>
      <c r="M1013" s="208"/>
      <c r="N1013" s="208"/>
      <c r="O1013" s="208"/>
      <c r="P1013" s="208"/>
      <c r="Q1013" s="208"/>
      <c r="R1013" s="208"/>
      <c r="S1013" s="208"/>
      <c r="T1013" s="208"/>
      <c r="U1013" s="208"/>
      <c r="V1013" s="208"/>
    </row>
    <row r="1014" spans="1:22" ht="15.75" customHeight="1" x14ac:dyDescent="0.3">
      <c r="A1014" s="208"/>
      <c r="B1014" s="208"/>
      <c r="C1014" s="208"/>
      <c r="D1014" s="208"/>
      <c r="E1014" s="208"/>
      <c r="F1014" s="208"/>
      <c r="G1014" s="208"/>
      <c r="H1014" s="208"/>
      <c r="I1014" s="208"/>
      <c r="J1014" s="208"/>
      <c r="K1014" s="208"/>
      <c r="L1014" s="208"/>
      <c r="M1014" s="208"/>
      <c r="N1014" s="208"/>
      <c r="O1014" s="208"/>
      <c r="P1014" s="208"/>
      <c r="Q1014" s="208"/>
      <c r="R1014" s="208"/>
      <c r="S1014" s="208"/>
      <c r="T1014" s="208"/>
      <c r="U1014" s="208"/>
      <c r="V1014" s="208"/>
    </row>
    <row r="1015" spans="1:22" ht="15.75" customHeight="1" x14ac:dyDescent="0.3">
      <c r="A1015" s="208"/>
      <c r="B1015" s="208"/>
      <c r="C1015" s="208"/>
      <c r="D1015" s="208"/>
      <c r="E1015" s="208"/>
      <c r="F1015" s="208"/>
      <c r="G1015" s="208"/>
      <c r="H1015" s="208"/>
      <c r="I1015" s="208"/>
      <c r="J1015" s="208"/>
      <c r="K1015" s="208"/>
      <c r="L1015" s="208"/>
      <c r="M1015" s="208"/>
      <c r="N1015" s="208"/>
      <c r="O1015" s="208"/>
      <c r="P1015" s="208"/>
      <c r="Q1015" s="208"/>
      <c r="R1015" s="208"/>
      <c r="S1015" s="208"/>
      <c r="T1015" s="208"/>
      <c r="U1015" s="208"/>
      <c r="V1015" s="208"/>
    </row>
    <row r="1016" spans="1:22" ht="15.75" customHeight="1" x14ac:dyDescent="0.3">
      <c r="A1016" s="208"/>
      <c r="B1016" s="208"/>
      <c r="C1016" s="208"/>
      <c r="D1016" s="208"/>
      <c r="E1016" s="208"/>
      <c r="F1016" s="208"/>
      <c r="G1016" s="208"/>
      <c r="H1016" s="208"/>
      <c r="I1016" s="208"/>
      <c r="J1016" s="208"/>
      <c r="K1016" s="208"/>
      <c r="L1016" s="208"/>
      <c r="M1016" s="208"/>
      <c r="N1016" s="208"/>
      <c r="O1016" s="208"/>
      <c r="P1016" s="208"/>
      <c r="Q1016" s="208"/>
      <c r="R1016" s="208"/>
      <c r="S1016" s="208"/>
      <c r="T1016" s="208"/>
      <c r="U1016" s="208"/>
      <c r="V1016" s="208"/>
    </row>
    <row r="1017" spans="1:22" ht="15.75" customHeight="1" x14ac:dyDescent="0.3">
      <c r="A1017" s="208"/>
      <c r="B1017" s="208"/>
      <c r="C1017" s="208"/>
      <c r="D1017" s="208"/>
      <c r="E1017" s="208"/>
      <c r="F1017" s="208"/>
      <c r="G1017" s="208"/>
      <c r="H1017" s="208"/>
      <c r="I1017" s="208"/>
      <c r="J1017" s="208"/>
      <c r="K1017" s="208"/>
      <c r="L1017" s="208"/>
      <c r="M1017" s="208"/>
      <c r="N1017" s="208"/>
      <c r="O1017" s="208"/>
      <c r="P1017" s="208"/>
      <c r="Q1017" s="208"/>
      <c r="R1017" s="208"/>
      <c r="S1017" s="208"/>
      <c r="T1017" s="208"/>
      <c r="U1017" s="208"/>
      <c r="V1017" s="208"/>
    </row>
    <row r="1018" spans="1:22" ht="15.75" customHeight="1" x14ac:dyDescent="0.3">
      <c r="A1018" s="208"/>
      <c r="B1018" s="208"/>
      <c r="C1018" s="208"/>
      <c r="D1018" s="208"/>
      <c r="E1018" s="208"/>
      <c r="F1018" s="208"/>
      <c r="G1018" s="208"/>
      <c r="H1018" s="208"/>
      <c r="I1018" s="208"/>
      <c r="J1018" s="208"/>
      <c r="K1018" s="208"/>
      <c r="L1018" s="208"/>
      <c r="M1018" s="208"/>
      <c r="N1018" s="208"/>
      <c r="O1018" s="208"/>
      <c r="P1018" s="208"/>
      <c r="Q1018" s="208"/>
      <c r="R1018" s="208"/>
      <c r="S1018" s="208"/>
      <c r="T1018" s="208"/>
      <c r="U1018" s="208"/>
      <c r="V1018" s="208"/>
    </row>
    <row r="1019" spans="1:22" ht="15.75" customHeight="1" x14ac:dyDescent="0.3">
      <c r="A1019" s="208"/>
      <c r="B1019" s="208"/>
      <c r="C1019" s="208"/>
      <c r="D1019" s="208"/>
      <c r="E1019" s="208"/>
      <c r="F1019" s="208"/>
      <c r="G1019" s="208"/>
      <c r="H1019" s="208"/>
      <c r="I1019" s="208"/>
      <c r="J1019" s="208"/>
      <c r="K1019" s="208"/>
      <c r="L1019" s="208"/>
      <c r="M1019" s="208"/>
      <c r="N1019" s="208"/>
      <c r="O1019" s="208"/>
      <c r="P1019" s="208"/>
      <c r="Q1019" s="208"/>
      <c r="R1019" s="208"/>
      <c r="S1019" s="208"/>
      <c r="T1019" s="208"/>
      <c r="U1019" s="208"/>
      <c r="V1019" s="208"/>
    </row>
  </sheetData>
  <dataConsolidate topLabels="1"/>
  <mergeCells count="4">
    <mergeCell ref="C2:E2"/>
    <mergeCell ref="F26:H26"/>
    <mergeCell ref="B1:J1"/>
    <mergeCell ref="B24:J24"/>
  </mergeCells>
  <conditionalFormatting sqref="D144:I144">
    <cfRule type="cellIs" dxfId="14" priority="1" stopIfTrue="1" operator="lessThan">
      <formula>0</formula>
    </cfRule>
  </conditionalFormatting>
  <dataValidations count="1">
    <dataValidation type="list" allowBlank="1" showInputMessage="1" showErrorMessage="1" sqref="H4:H20" xr:uid="{D9ED9BDE-ED24-4E6B-98A6-A90FE5074F3B}">
      <formula1>$Z$1:$Z$2</formula1>
    </dataValidation>
  </dataValidations>
  <pageMargins left="0.7" right="0.7" top="0.75" bottom="0.75" header="0.3" footer="0.3"/>
  <pageSetup paperSize="9" orientation="portrait" r:id="rId1"/>
  <ignoredErrors>
    <ignoredError sqref="D153:H153 D151:E151 D126:H141 D150:H150 D44 F44:H44 D52:H54 G149 E149 D149 F149 H149 D59:H61 D68:H70 D77:H79 D87:H89 D97:H99 D107:H109 D118:H120 D123:H125 E121:H121 Y20:Z20 E122:H122 D155:H248 D154:E154 G154:H154 E152:H152" unlocked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46301-40E0-4476-B18C-7B5262361AC7}">
  <sheetPr codeName="Sheet13"/>
  <dimension ref="A1:BF85"/>
  <sheetViews>
    <sheetView zoomScaleNormal="100" workbookViewId="0">
      <pane ySplit="2" topLeftCell="A36" activePane="bottomLeft" state="frozen"/>
      <selection pane="bottomLeft" activeCell="B52" sqref="B52"/>
    </sheetView>
  </sheetViews>
  <sheetFormatPr defaultColWidth="9.109375" defaultRowHeight="15.6" x14ac:dyDescent="0.3"/>
  <cols>
    <col min="1" max="1" width="33.44140625" style="1" bestFit="1" customWidth="1"/>
    <col min="2" max="54" width="15.33203125" style="139" customWidth="1"/>
    <col min="55" max="58" width="14.33203125" style="1" customWidth="1"/>
    <col min="59" max="16384" width="9.109375" style="1"/>
  </cols>
  <sheetData>
    <row r="1" spans="1:58" s="12" customFormat="1" x14ac:dyDescent="0.3">
      <c r="B1" s="12">
        <v>49</v>
      </c>
      <c r="C1" s="12">
        <f>B1+1</f>
        <v>50</v>
      </c>
      <c r="D1" s="12">
        <f t="shared" ref="D1:AR1" si="0">C1+1</f>
        <v>51</v>
      </c>
      <c r="E1" s="12">
        <f t="shared" si="0"/>
        <v>52</v>
      </c>
      <c r="F1" s="12">
        <f t="shared" si="0"/>
        <v>53</v>
      </c>
      <c r="G1" s="12">
        <f t="shared" si="0"/>
        <v>54</v>
      </c>
      <c r="H1" s="12">
        <f t="shared" si="0"/>
        <v>55</v>
      </c>
      <c r="I1" s="12">
        <f t="shared" si="0"/>
        <v>56</v>
      </c>
      <c r="J1" s="12">
        <f t="shared" si="0"/>
        <v>57</v>
      </c>
      <c r="K1" s="12">
        <f t="shared" si="0"/>
        <v>58</v>
      </c>
      <c r="L1" s="12">
        <f t="shared" si="0"/>
        <v>59</v>
      </c>
      <c r="M1" s="12">
        <f t="shared" si="0"/>
        <v>60</v>
      </c>
      <c r="N1" s="12">
        <f t="shared" si="0"/>
        <v>61</v>
      </c>
      <c r="O1" s="12">
        <f t="shared" si="0"/>
        <v>62</v>
      </c>
      <c r="P1" s="12">
        <f t="shared" si="0"/>
        <v>63</v>
      </c>
      <c r="Q1" s="12">
        <f t="shared" si="0"/>
        <v>64</v>
      </c>
      <c r="R1" s="12">
        <f t="shared" si="0"/>
        <v>65</v>
      </c>
      <c r="S1" s="12">
        <f t="shared" si="0"/>
        <v>66</v>
      </c>
      <c r="T1" s="12">
        <f t="shared" si="0"/>
        <v>67</v>
      </c>
      <c r="U1" s="12">
        <f t="shared" si="0"/>
        <v>68</v>
      </c>
      <c r="V1" s="12">
        <f t="shared" si="0"/>
        <v>69</v>
      </c>
      <c r="W1" s="12">
        <f t="shared" si="0"/>
        <v>70</v>
      </c>
      <c r="X1" s="12">
        <f t="shared" si="0"/>
        <v>71</v>
      </c>
      <c r="Y1" s="12">
        <f t="shared" si="0"/>
        <v>72</v>
      </c>
      <c r="Z1" s="12">
        <f t="shared" si="0"/>
        <v>73</v>
      </c>
      <c r="AA1" s="12">
        <f t="shared" si="0"/>
        <v>74</v>
      </c>
      <c r="AB1" s="12">
        <f t="shared" si="0"/>
        <v>75</v>
      </c>
      <c r="AC1" s="12">
        <f t="shared" si="0"/>
        <v>76</v>
      </c>
      <c r="AD1" s="12">
        <f t="shared" si="0"/>
        <v>77</v>
      </c>
      <c r="AE1" s="12">
        <f t="shared" si="0"/>
        <v>78</v>
      </c>
      <c r="AF1" s="12">
        <f t="shared" si="0"/>
        <v>79</v>
      </c>
      <c r="AG1" s="12">
        <f t="shared" si="0"/>
        <v>80</v>
      </c>
      <c r="AH1" s="12">
        <f t="shared" si="0"/>
        <v>81</v>
      </c>
      <c r="AI1" s="12">
        <f t="shared" si="0"/>
        <v>82</v>
      </c>
      <c r="AJ1" s="12">
        <f t="shared" si="0"/>
        <v>83</v>
      </c>
      <c r="AK1" s="12">
        <f t="shared" si="0"/>
        <v>84</v>
      </c>
      <c r="AL1" s="12">
        <f t="shared" si="0"/>
        <v>85</v>
      </c>
      <c r="AM1" s="12">
        <f t="shared" si="0"/>
        <v>86</v>
      </c>
      <c r="AN1" s="12">
        <f t="shared" si="0"/>
        <v>87</v>
      </c>
      <c r="AO1" s="12">
        <f t="shared" si="0"/>
        <v>88</v>
      </c>
      <c r="AP1" s="12">
        <f t="shared" si="0"/>
        <v>89</v>
      </c>
      <c r="AQ1" s="12">
        <f t="shared" si="0"/>
        <v>90</v>
      </c>
      <c r="AR1" s="12">
        <f t="shared" si="0"/>
        <v>91</v>
      </c>
      <c r="AS1" s="12">
        <f t="shared" ref="AS1:AY1" si="1">AR1+1</f>
        <v>92</v>
      </c>
      <c r="AT1" s="12">
        <f t="shared" si="1"/>
        <v>93</v>
      </c>
      <c r="AU1" s="12">
        <f t="shared" si="1"/>
        <v>94</v>
      </c>
      <c r="AV1" s="12">
        <f t="shared" si="1"/>
        <v>95</v>
      </c>
      <c r="AW1" s="12">
        <f t="shared" si="1"/>
        <v>96</v>
      </c>
      <c r="AX1" s="12">
        <f t="shared" si="1"/>
        <v>97</v>
      </c>
      <c r="AY1" s="12">
        <f t="shared" si="1"/>
        <v>98</v>
      </c>
      <c r="AZ1" s="12">
        <f t="shared" ref="AZ1:BB1" si="2">AY1+1</f>
        <v>99</v>
      </c>
      <c r="BA1" s="12">
        <f t="shared" si="2"/>
        <v>100</v>
      </c>
      <c r="BB1" s="12">
        <f t="shared" si="2"/>
        <v>101</v>
      </c>
      <c r="BC1" s="12">
        <f t="shared" ref="BC1:BC2" si="3">BB1+1</f>
        <v>102</v>
      </c>
      <c r="BD1" s="12">
        <f t="shared" ref="BD1:BD2" si="4">BC1+1</f>
        <v>103</v>
      </c>
      <c r="BE1" s="12">
        <f t="shared" ref="BE1:BE2" si="5">BD1+1</f>
        <v>104</v>
      </c>
      <c r="BF1" s="12">
        <f t="shared" ref="BF1:BF2" si="6">BE1+1</f>
        <v>105</v>
      </c>
    </row>
    <row r="2" spans="1:58" s="12" customFormat="1" x14ac:dyDescent="0.3">
      <c r="B2" s="12">
        <v>2025</v>
      </c>
      <c r="C2" s="12">
        <f>B2+1</f>
        <v>2026</v>
      </c>
      <c r="D2" s="12">
        <f t="shared" ref="D2:AR2" si="7">C2+1</f>
        <v>2027</v>
      </c>
      <c r="E2" s="12">
        <f t="shared" si="7"/>
        <v>2028</v>
      </c>
      <c r="F2" s="12">
        <f t="shared" si="7"/>
        <v>2029</v>
      </c>
      <c r="G2" s="12">
        <f t="shared" si="7"/>
        <v>2030</v>
      </c>
      <c r="H2" s="12">
        <f t="shared" si="7"/>
        <v>2031</v>
      </c>
      <c r="I2" s="12">
        <f t="shared" si="7"/>
        <v>2032</v>
      </c>
      <c r="J2" s="12">
        <f t="shared" si="7"/>
        <v>2033</v>
      </c>
      <c r="K2" s="12">
        <f t="shared" si="7"/>
        <v>2034</v>
      </c>
      <c r="L2" s="12">
        <f t="shared" si="7"/>
        <v>2035</v>
      </c>
      <c r="M2" s="12">
        <f t="shared" si="7"/>
        <v>2036</v>
      </c>
      <c r="N2" s="12">
        <f t="shared" si="7"/>
        <v>2037</v>
      </c>
      <c r="O2" s="12">
        <f t="shared" si="7"/>
        <v>2038</v>
      </c>
      <c r="P2" s="12">
        <f t="shared" si="7"/>
        <v>2039</v>
      </c>
      <c r="Q2" s="12">
        <f t="shared" si="7"/>
        <v>2040</v>
      </c>
      <c r="R2" s="12">
        <f t="shared" si="7"/>
        <v>2041</v>
      </c>
      <c r="S2" s="12">
        <f t="shared" si="7"/>
        <v>2042</v>
      </c>
      <c r="T2" s="12">
        <f t="shared" si="7"/>
        <v>2043</v>
      </c>
      <c r="U2" s="12">
        <f t="shared" si="7"/>
        <v>2044</v>
      </c>
      <c r="V2" s="12">
        <f t="shared" si="7"/>
        <v>2045</v>
      </c>
      <c r="W2" s="12">
        <f t="shared" si="7"/>
        <v>2046</v>
      </c>
      <c r="X2" s="12">
        <f t="shared" si="7"/>
        <v>2047</v>
      </c>
      <c r="Y2" s="12">
        <f t="shared" si="7"/>
        <v>2048</v>
      </c>
      <c r="Z2" s="12">
        <f t="shared" si="7"/>
        <v>2049</v>
      </c>
      <c r="AA2" s="12">
        <f t="shared" si="7"/>
        <v>2050</v>
      </c>
      <c r="AB2" s="12">
        <f t="shared" si="7"/>
        <v>2051</v>
      </c>
      <c r="AC2" s="12">
        <f t="shared" si="7"/>
        <v>2052</v>
      </c>
      <c r="AD2" s="12">
        <f t="shared" si="7"/>
        <v>2053</v>
      </c>
      <c r="AE2" s="12">
        <f t="shared" si="7"/>
        <v>2054</v>
      </c>
      <c r="AF2" s="12">
        <f t="shared" si="7"/>
        <v>2055</v>
      </c>
      <c r="AG2" s="12">
        <f t="shared" si="7"/>
        <v>2056</v>
      </c>
      <c r="AH2" s="12">
        <f t="shared" si="7"/>
        <v>2057</v>
      </c>
      <c r="AI2" s="12">
        <f t="shared" si="7"/>
        <v>2058</v>
      </c>
      <c r="AJ2" s="12">
        <f t="shared" si="7"/>
        <v>2059</v>
      </c>
      <c r="AK2" s="12">
        <f t="shared" si="7"/>
        <v>2060</v>
      </c>
      <c r="AL2" s="12">
        <f t="shared" si="7"/>
        <v>2061</v>
      </c>
      <c r="AM2" s="12">
        <f t="shared" si="7"/>
        <v>2062</v>
      </c>
      <c r="AN2" s="12">
        <f t="shared" si="7"/>
        <v>2063</v>
      </c>
      <c r="AO2" s="12">
        <f t="shared" si="7"/>
        <v>2064</v>
      </c>
      <c r="AP2" s="12">
        <f t="shared" si="7"/>
        <v>2065</v>
      </c>
      <c r="AQ2" s="12">
        <f t="shared" si="7"/>
        <v>2066</v>
      </c>
      <c r="AR2" s="12">
        <f t="shared" si="7"/>
        <v>2067</v>
      </c>
      <c r="AS2" s="12">
        <f t="shared" ref="AS2:AY2" si="8">AR2+1</f>
        <v>2068</v>
      </c>
      <c r="AT2" s="12">
        <f t="shared" si="8"/>
        <v>2069</v>
      </c>
      <c r="AU2" s="12">
        <f t="shared" si="8"/>
        <v>2070</v>
      </c>
      <c r="AV2" s="12">
        <f t="shared" si="8"/>
        <v>2071</v>
      </c>
      <c r="AW2" s="12">
        <f t="shared" si="8"/>
        <v>2072</v>
      </c>
      <c r="AX2" s="12">
        <f t="shared" si="8"/>
        <v>2073</v>
      </c>
      <c r="AY2" s="12">
        <f t="shared" si="8"/>
        <v>2074</v>
      </c>
      <c r="AZ2" s="12">
        <f t="shared" ref="AZ2:BB2" si="9">AY2+1</f>
        <v>2075</v>
      </c>
      <c r="BA2" s="12">
        <f t="shared" si="9"/>
        <v>2076</v>
      </c>
      <c r="BB2" s="12">
        <f t="shared" si="9"/>
        <v>2077</v>
      </c>
      <c r="BC2" s="12">
        <f t="shared" si="3"/>
        <v>2078</v>
      </c>
      <c r="BD2" s="12">
        <f t="shared" si="4"/>
        <v>2079</v>
      </c>
      <c r="BE2" s="12">
        <f t="shared" si="5"/>
        <v>2080</v>
      </c>
      <c r="BF2" s="12">
        <f t="shared" si="6"/>
        <v>2081</v>
      </c>
    </row>
    <row r="3" spans="1:58" ht="17.399999999999999" x14ac:dyDescent="0.3">
      <c r="A3" s="558" t="s">
        <v>339</v>
      </c>
    </row>
    <row r="4" spans="1:58" ht="14.4" x14ac:dyDescent="0.3">
      <c r="A4" s="142" t="str">
        <f>Budget!B4</f>
        <v>SG OFFICE</v>
      </c>
      <c r="B4" s="146">
        <f>IF(AND(B$2&gt;=Budget!$F4,B$2&lt;=IF(Budget!$H4=Budget!$Z$1,Budget!$K4,Budget!$J4)),Budget!$D4,0)</f>
        <v>10361332</v>
      </c>
      <c r="C4" s="146">
        <f>IF(AND(C$2&gt;=Budget!$F4,C$2&lt;=IF(Budget!$H4=Budget!$Z$1,Budget!$K4,Budget!$J4)),Budget!$D4,0)</f>
        <v>10361332</v>
      </c>
      <c r="D4" s="146">
        <f>IF(AND(D$2&gt;=Budget!$F4,D$2&lt;=IF(Budget!$H4=Budget!$Z$1,Budget!$K4,Budget!$J4)),Budget!$D4,0)</f>
        <v>10361332</v>
      </c>
      <c r="E4" s="146">
        <f>IF(AND(E$2&gt;=Budget!$F4,E$2&lt;=IF(Budget!$H4=Budget!$Z$1,Budget!$K4,Budget!$J4)),Budget!$D4,0)</f>
        <v>10361332</v>
      </c>
      <c r="F4" s="146">
        <f>IF(AND(F$2&gt;=Budget!$F4,F$2&lt;=IF(Budget!$H4=Budget!$Z$1,Budget!$K4,Budget!$J4)),Budget!$D4,0)</f>
        <v>10361332</v>
      </c>
      <c r="G4" s="146">
        <f>IF(AND(G$2&gt;=Budget!$F4,G$2&lt;=IF(Budget!$H4=Budget!$Z$1,Budget!$K4,Budget!$J4)),Budget!$D4,0)</f>
        <v>10361332</v>
      </c>
      <c r="H4" s="146">
        <f>IF(AND(H$2&gt;=Budget!$F4,H$2&lt;=IF(Budget!$H4=Budget!$Z$1,Budget!$K4,Budget!$J4)),Budget!$D4,0)</f>
        <v>10361332</v>
      </c>
      <c r="I4" s="146">
        <f>IF(AND(I$2&gt;=Budget!$F4,I$2&lt;=IF(Budget!$H4=Budget!$Z$1,Budget!$K4,Budget!$J4)),Budget!$D4,0)</f>
        <v>0</v>
      </c>
      <c r="J4" s="146">
        <f>IF(AND(J$2&gt;=Budget!$F4,J$2&lt;=IF(Budget!$H4=Budget!$Z$1,Budget!$K4,Budget!$J4)),Budget!$D4,0)</f>
        <v>0</v>
      </c>
      <c r="K4" s="146">
        <f>IF(AND(K$2&gt;=Budget!$F4,K$2&lt;=IF(Budget!$H4=Budget!$Z$1,Budget!$K4,Budget!$J4)),Budget!$D4,0)</f>
        <v>0</v>
      </c>
      <c r="L4" s="146">
        <f>IF(AND(L$2&gt;=Budget!$F4,L$2&lt;=IF(Budget!$H4=Budget!$Z$1,Budget!$K4,Budget!$J4)),Budget!$D4,0)</f>
        <v>0</v>
      </c>
      <c r="M4" s="146">
        <f>IF(AND(M$2&gt;=Budget!$F4,M$2&lt;=IF(Budget!$H4=Budget!$Z$1,Budget!$K4,Budget!$J4)),Budget!$D4,0)</f>
        <v>0</v>
      </c>
      <c r="N4" s="146">
        <f>IF(AND(N$2&gt;=Budget!$F4,N$2&lt;=IF(Budget!$H4=Budget!$Z$1,Budget!$K4,Budget!$J4)),Budget!$D4,0)</f>
        <v>0</v>
      </c>
      <c r="O4" s="146">
        <f>IF(AND(O$2&gt;=Budget!$F4,O$2&lt;=IF(Budget!$H4=Budget!$Z$1,Budget!$K4,Budget!$J4)),Budget!$D4,0)</f>
        <v>0</v>
      </c>
      <c r="P4" s="146">
        <f>IF(AND(P$2&gt;=Budget!$F4,P$2&lt;=IF(Budget!$H4=Budget!$Z$1,Budget!$K4,Budget!$J4)),Budget!$D4,0)</f>
        <v>0</v>
      </c>
      <c r="Q4" s="146">
        <f>IF(AND(Q$2&gt;=Budget!$F4,Q$2&lt;=IF(Budget!$H4=Budget!$Z$1,Budget!$K4,Budget!$J4)),Budget!$D4,0)</f>
        <v>0</v>
      </c>
      <c r="R4" s="146">
        <f>IF(AND(R$2&gt;=Budget!$F4,R$2&lt;=IF(Budget!$H4=Budget!$Z$1,Budget!$K4,Budget!$J4)),Budget!$D4,0)</f>
        <v>0</v>
      </c>
      <c r="S4" s="146">
        <f>IF(AND(S$2&gt;=Budget!$F4,S$2&lt;=IF(Budget!$H4=Budget!$Z$1,Budget!$K4,Budget!$J4)),Budget!$D4,0)</f>
        <v>0</v>
      </c>
      <c r="T4" s="146">
        <f>IF(AND(T$2&gt;=Budget!$F4,T$2&lt;=IF(Budget!$H4=Budget!$Z$1,Budget!$K4,Budget!$J4)),Budget!$D4,0)</f>
        <v>0</v>
      </c>
      <c r="U4" s="146">
        <f>IF(AND(U$2&gt;=Budget!$F4,U$2&lt;=IF(Budget!$H4=Budget!$Z$1,Budget!$K4,Budget!$J4)),Budget!$D4,0)</f>
        <v>0</v>
      </c>
      <c r="V4" s="146">
        <f>IF(AND(V$2&gt;=Budget!$F4,V$2&lt;=IF(Budget!$H4=Budget!$Z$1,Budget!$K4,Budget!$J4)),Budget!$D4,0)</f>
        <v>0</v>
      </c>
      <c r="W4" s="146">
        <f>IF(AND(W$2&gt;=Budget!$F4,W$2&lt;=IF(Budget!$H4=Budget!$Z$1,Budget!$K4,Budget!$J4)),Budget!$D4,0)</f>
        <v>0</v>
      </c>
      <c r="X4" s="146">
        <f>IF(AND(X$2&gt;=Budget!$F4,X$2&lt;=IF(Budget!$H4=Budget!$Z$1,Budget!$K4,Budget!$J4)),Budget!$D4,0)</f>
        <v>0</v>
      </c>
      <c r="Y4" s="146">
        <f>IF(AND(Y$2&gt;=Budget!$F4,Y$2&lt;=IF(Budget!$H4=Budget!$Z$1,Budget!$K4,Budget!$J4)),Budget!$D4,0)</f>
        <v>0</v>
      </c>
      <c r="Z4" s="146">
        <f>IF(AND(Z$2&gt;=Budget!$F4,Z$2&lt;=IF(Budget!$H4=Budget!$Z$1,Budget!$K4,Budget!$J4)),Budget!$D4,0)</f>
        <v>0</v>
      </c>
      <c r="AA4" s="146">
        <f>IF(AND(AA$2&gt;=Budget!$F4,AA$2&lt;=IF(Budget!$H4=Budget!$Z$1,Budget!$K4,Budget!$J4)),Budget!$D4,0)</f>
        <v>0</v>
      </c>
      <c r="AB4" s="146">
        <f>IF(AND(AB$2&gt;=Budget!$F4,AB$2&lt;=IF(Budget!$H4=Budget!$Z$1,Budget!$K4,Budget!$J4)),Budget!$D4,0)</f>
        <v>0</v>
      </c>
      <c r="AC4" s="146">
        <f>IF(AND(AC$2&gt;=Budget!$F4,AC$2&lt;=IF(Budget!$H4=Budget!$Z$1,Budget!$K4,Budget!$J4)),Budget!$D4,0)</f>
        <v>0</v>
      </c>
      <c r="AD4" s="146">
        <f>IF(AND(AD$2&gt;=Budget!$F4,AD$2&lt;=IF(Budget!$H4=Budget!$Z$1,Budget!$K4,Budget!$J4)),Budget!$D4,0)</f>
        <v>0</v>
      </c>
      <c r="AE4" s="146">
        <f>IF(AND(AE$2&gt;=Budget!$F4,AE$2&lt;=IF(Budget!$H4=Budget!$Z$1,Budget!$K4,Budget!$J4)),Budget!$D4,0)</f>
        <v>0</v>
      </c>
      <c r="AF4" s="146">
        <f>IF(AND(AF$2&gt;=Budget!$F4,AF$2&lt;=IF(Budget!$H4=Budget!$Z$1,Budget!$K4,Budget!$J4)),Budget!$D4,0)</f>
        <v>0</v>
      </c>
      <c r="AG4" s="146">
        <f>IF(AND(AG$2&gt;=Budget!$F4,AG$2&lt;=IF(Budget!$H4=Budget!$Z$1,Budget!$K4,Budget!$J4)),Budget!$D4,0)</f>
        <v>0</v>
      </c>
      <c r="AH4" s="146">
        <f>IF(AND(AH$2&gt;=Budget!$F4,AH$2&lt;=IF(Budget!$H4=Budget!$Z$1,Budget!$K4,Budget!$J4)),Budget!$D4,0)</f>
        <v>0</v>
      </c>
      <c r="AI4" s="146">
        <f>IF(AND(AI$2&gt;=Budget!$F4,AI$2&lt;=IF(Budget!$H4=Budget!$Z$1,Budget!$K4,Budget!$J4)),Budget!$D4,0)</f>
        <v>0</v>
      </c>
      <c r="AJ4" s="146">
        <f>IF(AND(AJ$2&gt;=Budget!$F4,AJ$2&lt;=IF(Budget!$H4=Budget!$Z$1,Budget!$K4,Budget!$J4)),Budget!$D4,0)</f>
        <v>0</v>
      </c>
      <c r="AK4" s="146">
        <f>IF(AND(AK$2&gt;=Budget!$F4,AK$2&lt;=IF(Budget!$H4=Budget!$Z$1,Budget!$K4,Budget!$J4)),Budget!$D4,0)</f>
        <v>0</v>
      </c>
      <c r="AL4" s="146">
        <f>IF(AND(AL$2&gt;=Budget!$F4,AL$2&lt;=IF(Budget!$H4=Budget!$Z$1,Budget!$K4,Budget!$J4)),Budget!$D4,0)</f>
        <v>0</v>
      </c>
      <c r="AM4" s="146">
        <f>IF(AND(AM$2&gt;=Budget!$F4,AM$2&lt;=IF(Budget!$H4=Budget!$Z$1,Budget!$K4,Budget!$J4)),Budget!$D4,0)</f>
        <v>0</v>
      </c>
      <c r="AN4" s="146">
        <f>IF(AND(AN$2&gt;=Budget!$F4,AN$2&lt;=IF(Budget!$H4=Budget!$Z$1,Budget!$K4,Budget!$J4)),Budget!$D4,0)</f>
        <v>0</v>
      </c>
      <c r="AO4" s="146">
        <f>IF(AND(AO$2&gt;=Budget!$F4,AO$2&lt;=IF(Budget!$H4=Budget!$Z$1,Budget!$K4,Budget!$J4)),Budget!$D4,0)</f>
        <v>0</v>
      </c>
      <c r="AP4" s="146">
        <f>IF(AND(AP$2&gt;=Budget!$F4,AP$2&lt;=IF(Budget!$H4=Budget!$Z$1,Budget!$K4,Budget!$J4)),Budget!$D4,0)</f>
        <v>0</v>
      </c>
      <c r="AQ4" s="146">
        <f>IF(AND(AQ$2&gt;=Budget!$F4,AQ$2&lt;=IF(Budget!$H4=Budget!$Z$1,Budget!$K4,Budget!$J4)),Budget!$D4,0)</f>
        <v>0</v>
      </c>
      <c r="AR4" s="146">
        <f>IF(AND(AR$2&gt;=Budget!$F4,AR$2&lt;=IF(Budget!$H4=Budget!$Z$1,Budget!$K4,Budget!$J4)),Budget!$D4,0)</f>
        <v>0</v>
      </c>
      <c r="AS4" s="146">
        <f>IF(AND(AS$2&gt;=Budget!$F4,AS$2&lt;=IF(Budget!$H4=Budget!$Z$1,Budget!$K4,Budget!$J4)),Budget!$D4,0)</f>
        <v>0</v>
      </c>
      <c r="AT4" s="146">
        <f>IF(AND(AT$2&gt;=Budget!$F4,AT$2&lt;=IF(Budget!$H4=Budget!$Z$1,Budget!$K4,Budget!$J4)),Budget!$D4,0)</f>
        <v>0</v>
      </c>
      <c r="AU4" s="146">
        <f>IF(AND(AU$2&gt;=Budget!$F4,AU$2&lt;=IF(Budget!$H4=Budget!$Z$1,Budget!$K4,Budget!$J4)),Budget!$D4,0)</f>
        <v>0</v>
      </c>
      <c r="AV4" s="146">
        <f>IF(AND(AV$2&gt;=Budget!$F4,AV$2&lt;=IF(Budget!$H4=Budget!$Z$1,Budget!$K4,Budget!$J4)),Budget!$D4,0)</f>
        <v>0</v>
      </c>
      <c r="AW4" s="146">
        <f>IF(AND(AW$2&gt;=Budget!$F4,AW$2&lt;=IF(Budget!$H4=Budget!$Z$1,Budget!$K4,Budget!$J4)),Budget!$D4,0)</f>
        <v>0</v>
      </c>
      <c r="AX4" s="146">
        <f>IF(AND(AX$2&gt;=Budget!$F4,AX$2&lt;=IF(Budget!$H4=Budget!$Z$1,Budget!$K4,Budget!$J4)),Budget!$D4,0)</f>
        <v>0</v>
      </c>
      <c r="AY4" s="146">
        <f>IF(AND(AY$2&gt;=Budget!$F4,AY$2&lt;=IF(Budget!$H4=Budget!$Z$1,Budget!$K4,Budget!$J4)),Budget!$D4,0)</f>
        <v>0</v>
      </c>
      <c r="AZ4" s="146">
        <f>IF(AND(AZ$2&gt;=Budget!$F4,AZ$2&lt;=IF(Budget!$H4=Budget!$Z$1,Budget!$K4,Budget!$J4)),Budget!$D4,0)</f>
        <v>0</v>
      </c>
      <c r="BA4" s="146">
        <f>IF(AND(BA$2&gt;=Budget!$F4,BA$2&lt;=IF(Budget!$H4=Budget!$Z$1,Budget!$K4,Budget!$J4)),Budget!$D4,0)</f>
        <v>0</v>
      </c>
      <c r="BB4" s="146">
        <f>IF(AND(BB$2&gt;=Budget!$F4,BB$2&lt;=IF(Budget!$H4=Budget!$Z$1,Budget!$K4,Budget!$J4)),Budget!$D4,0)</f>
        <v>0</v>
      </c>
      <c r="BC4" s="146">
        <f>IF(AND(BC$2&gt;=Budget!$F4,BC$2&lt;=IF(Budget!$H4=Budget!$Z$1,Budget!$K4,Budget!$J4)),Budget!$D4,0)</f>
        <v>0</v>
      </c>
      <c r="BD4" s="146">
        <f>IF(AND(BD$2&gt;=Budget!$F4,BD$2&lt;=IF(Budget!$H4=Budget!$Z$1,Budget!$K4,Budget!$J4)),Budget!$D4,0)</f>
        <v>0</v>
      </c>
      <c r="BE4" s="146">
        <f>IF(AND(BE$2&gt;=Budget!$F4,BE$2&lt;=IF(Budget!$H4=Budget!$Z$1,Budget!$K4,Budget!$J4)),Budget!$D4,0)</f>
        <v>0</v>
      </c>
      <c r="BF4" s="146">
        <f>IF(AND(BF$2&gt;=Budget!$F4,BF$2&lt;=IF(Budget!$H4=Budget!$Z$1,Budget!$K4,Budget!$J4)),Budget!$D4,0)</f>
        <v>0</v>
      </c>
    </row>
    <row r="5" spans="1:58" ht="14.4" x14ac:dyDescent="0.3">
      <c r="A5" s="142" t="str">
        <f>Budget!B5</f>
        <v>HS FREELANCING</v>
      </c>
      <c r="B5" s="146">
        <f>IF(AND(B$2&gt;=Budget!$F5,B$2&lt;=IF(Budget!$H5=Budget!$Z$1,Budget!$K5,Budget!$J5)),Budget!$D5,0)</f>
        <v>300000</v>
      </c>
      <c r="C5" s="146">
        <f>IF(AND(C$2&gt;=Budget!$F5,C$2&lt;=IF(Budget!$H5=Budget!$Z$1,Budget!$K5,Budget!$J5)),Budget!$D5,0)</f>
        <v>300000</v>
      </c>
      <c r="D5" s="146">
        <f>IF(AND(D$2&gt;=Budget!$F5,D$2&lt;=IF(Budget!$H5=Budget!$Z$1,Budget!$K5,Budget!$J5)),Budget!$D5,0)</f>
        <v>300000</v>
      </c>
      <c r="E5" s="146">
        <f>IF(AND(E$2&gt;=Budget!$F5,E$2&lt;=IF(Budget!$H5=Budget!$Z$1,Budget!$K5,Budget!$J5)),Budget!$D5,0)</f>
        <v>300000</v>
      </c>
      <c r="F5" s="146">
        <f>IF(AND(F$2&gt;=Budget!$F5,F$2&lt;=IF(Budget!$H5=Budget!$Z$1,Budget!$K5,Budget!$J5)),Budget!$D5,0)</f>
        <v>300000</v>
      </c>
      <c r="G5" s="146">
        <f>IF(AND(G$2&gt;=Budget!$F5,G$2&lt;=IF(Budget!$H5=Budget!$Z$1,Budget!$K5,Budget!$J5)),Budget!$D5,0)</f>
        <v>300000</v>
      </c>
      <c r="H5" s="146">
        <f>IF(AND(H$2&gt;=Budget!$F5,H$2&lt;=IF(Budget!$H5=Budget!$Z$1,Budget!$K5,Budget!$J5)),Budget!$D5,0)</f>
        <v>300000</v>
      </c>
      <c r="I5" s="146">
        <f>IF(AND(I$2&gt;=Budget!$F5,I$2&lt;=IF(Budget!$H5=Budget!$Z$1,Budget!$K5,Budget!$J5)),Budget!$D5,0)</f>
        <v>300000</v>
      </c>
      <c r="J5" s="146">
        <f>IF(AND(J$2&gt;=Budget!$F5,J$2&lt;=IF(Budget!$H5=Budget!$Z$1,Budget!$K5,Budget!$J5)),Budget!$D5,0)</f>
        <v>300000</v>
      </c>
      <c r="K5" s="146">
        <f>IF(AND(K$2&gt;=Budget!$F5,K$2&lt;=IF(Budget!$H5=Budget!$Z$1,Budget!$K5,Budget!$J5)),Budget!$D5,0)</f>
        <v>300000</v>
      </c>
      <c r="L5" s="146">
        <f>IF(AND(L$2&gt;=Budget!$F5,L$2&lt;=IF(Budget!$H5=Budget!$Z$1,Budget!$K5,Budget!$J5)),Budget!$D5,0)</f>
        <v>300000</v>
      </c>
      <c r="M5" s="146">
        <f>IF(AND(M$2&gt;=Budget!$F5,M$2&lt;=IF(Budget!$H5=Budget!$Z$1,Budget!$K5,Budget!$J5)),Budget!$D5,0)</f>
        <v>0</v>
      </c>
      <c r="N5" s="146">
        <f>IF(AND(N$2&gt;=Budget!$F5,N$2&lt;=IF(Budget!$H5=Budget!$Z$1,Budget!$K5,Budget!$J5)),Budget!$D5,0)</f>
        <v>0</v>
      </c>
      <c r="O5" s="146">
        <f>IF(AND(O$2&gt;=Budget!$F5,O$2&lt;=IF(Budget!$H5=Budget!$Z$1,Budget!$K5,Budget!$J5)),Budget!$D5,0)</f>
        <v>0</v>
      </c>
      <c r="P5" s="146">
        <f>IF(AND(P$2&gt;=Budget!$F5,P$2&lt;=IF(Budget!$H5=Budget!$Z$1,Budget!$K5,Budget!$J5)),Budget!$D5,0)</f>
        <v>0</v>
      </c>
      <c r="Q5" s="146">
        <f>IF(AND(Q$2&gt;=Budget!$F5,Q$2&lt;=IF(Budget!$H5=Budget!$Z$1,Budget!$K5,Budget!$J5)),Budget!$D5,0)</f>
        <v>0</v>
      </c>
      <c r="R5" s="146">
        <f>IF(AND(R$2&gt;=Budget!$F5,R$2&lt;=IF(Budget!$H5=Budget!$Z$1,Budget!$K5,Budget!$J5)),Budget!$D5,0)</f>
        <v>0</v>
      </c>
      <c r="S5" s="146">
        <f>IF(AND(S$2&gt;=Budget!$F5,S$2&lt;=IF(Budget!$H5=Budget!$Z$1,Budget!$K5,Budget!$J5)),Budget!$D5,0)</f>
        <v>0</v>
      </c>
      <c r="T5" s="146">
        <f>IF(AND(T$2&gt;=Budget!$F5,T$2&lt;=IF(Budget!$H5=Budget!$Z$1,Budget!$K5,Budget!$J5)),Budget!$D5,0)</f>
        <v>0</v>
      </c>
      <c r="U5" s="146">
        <f>IF(AND(U$2&gt;=Budget!$F5,U$2&lt;=IF(Budget!$H5=Budget!$Z$1,Budget!$K5,Budget!$J5)),Budget!$D5,0)</f>
        <v>0</v>
      </c>
      <c r="V5" s="146">
        <f>IF(AND(V$2&gt;=Budget!$F5,V$2&lt;=IF(Budget!$H5=Budget!$Z$1,Budget!$K5,Budget!$J5)),Budget!$D5,0)</f>
        <v>0</v>
      </c>
      <c r="W5" s="146">
        <f>IF(AND(W$2&gt;=Budget!$F5,W$2&lt;=IF(Budget!$H5=Budget!$Z$1,Budget!$K5,Budget!$J5)),Budget!$D5,0)</f>
        <v>0</v>
      </c>
      <c r="X5" s="146">
        <f>IF(AND(X$2&gt;=Budget!$F5,X$2&lt;=IF(Budget!$H5=Budget!$Z$1,Budget!$K5,Budget!$J5)),Budget!$D5,0)</f>
        <v>0</v>
      </c>
      <c r="Y5" s="146">
        <f>IF(AND(Y$2&gt;=Budget!$F5,Y$2&lt;=IF(Budget!$H5=Budget!$Z$1,Budget!$K5,Budget!$J5)),Budget!$D5,0)</f>
        <v>0</v>
      </c>
      <c r="Z5" s="146">
        <f>IF(AND(Z$2&gt;=Budget!$F5,Z$2&lt;=IF(Budget!$H5=Budget!$Z$1,Budget!$K5,Budget!$J5)),Budget!$D5,0)</f>
        <v>0</v>
      </c>
      <c r="AA5" s="146">
        <f>IF(AND(AA$2&gt;=Budget!$F5,AA$2&lt;=IF(Budget!$H5=Budget!$Z$1,Budget!$K5,Budget!$J5)),Budget!$D5,0)</f>
        <v>0</v>
      </c>
      <c r="AB5" s="146">
        <f>IF(AND(AB$2&gt;=Budget!$F5,AB$2&lt;=IF(Budget!$H5=Budget!$Z$1,Budget!$K5,Budget!$J5)),Budget!$D5,0)</f>
        <v>0</v>
      </c>
      <c r="AC5" s="146">
        <f>IF(AND(AC$2&gt;=Budget!$F5,AC$2&lt;=IF(Budget!$H5=Budget!$Z$1,Budget!$K5,Budget!$J5)),Budget!$D5,0)</f>
        <v>0</v>
      </c>
      <c r="AD5" s="146">
        <f>IF(AND(AD$2&gt;=Budget!$F5,AD$2&lt;=IF(Budget!$H5=Budget!$Z$1,Budget!$K5,Budget!$J5)),Budget!$D5,0)</f>
        <v>0</v>
      </c>
      <c r="AE5" s="146">
        <f>IF(AND(AE$2&gt;=Budget!$F5,AE$2&lt;=IF(Budget!$H5=Budget!$Z$1,Budget!$K5,Budget!$J5)),Budget!$D5,0)</f>
        <v>0</v>
      </c>
      <c r="AF5" s="146">
        <f>IF(AND(AF$2&gt;=Budget!$F5,AF$2&lt;=IF(Budget!$H5=Budget!$Z$1,Budget!$K5,Budget!$J5)),Budget!$D5,0)</f>
        <v>0</v>
      </c>
      <c r="AG5" s="146">
        <f>IF(AND(AG$2&gt;=Budget!$F5,AG$2&lt;=IF(Budget!$H5=Budget!$Z$1,Budget!$K5,Budget!$J5)),Budget!$D5,0)</f>
        <v>0</v>
      </c>
      <c r="AH5" s="146">
        <f>IF(AND(AH$2&gt;=Budget!$F5,AH$2&lt;=IF(Budget!$H5=Budget!$Z$1,Budget!$K5,Budget!$J5)),Budget!$D5,0)</f>
        <v>0</v>
      </c>
      <c r="AI5" s="146">
        <f>IF(AND(AI$2&gt;=Budget!$F5,AI$2&lt;=IF(Budget!$H5=Budget!$Z$1,Budget!$K5,Budget!$J5)),Budget!$D5,0)</f>
        <v>0</v>
      </c>
      <c r="AJ5" s="146">
        <f>IF(AND(AJ$2&gt;=Budget!$F5,AJ$2&lt;=IF(Budget!$H5=Budget!$Z$1,Budget!$K5,Budget!$J5)),Budget!$D5,0)</f>
        <v>0</v>
      </c>
      <c r="AK5" s="146">
        <f>IF(AND(AK$2&gt;=Budget!$F5,AK$2&lt;=IF(Budget!$H5=Budget!$Z$1,Budget!$K5,Budget!$J5)),Budget!$D5,0)</f>
        <v>0</v>
      </c>
      <c r="AL5" s="146">
        <f>IF(AND(AL$2&gt;=Budget!$F5,AL$2&lt;=IF(Budget!$H5=Budget!$Z$1,Budget!$K5,Budget!$J5)),Budget!$D5,0)</f>
        <v>0</v>
      </c>
      <c r="AM5" s="146">
        <f>IF(AND(AM$2&gt;=Budget!$F5,AM$2&lt;=IF(Budget!$H5=Budget!$Z$1,Budget!$K5,Budget!$J5)),Budget!$D5,0)</f>
        <v>0</v>
      </c>
      <c r="AN5" s="146">
        <f>IF(AND(AN$2&gt;=Budget!$F5,AN$2&lt;=IF(Budget!$H5=Budget!$Z$1,Budget!$K5,Budget!$J5)),Budget!$D5,0)</f>
        <v>0</v>
      </c>
      <c r="AO5" s="146">
        <f>IF(AND(AO$2&gt;=Budget!$F5,AO$2&lt;=IF(Budget!$H5=Budget!$Z$1,Budget!$K5,Budget!$J5)),Budget!$D5,0)</f>
        <v>0</v>
      </c>
      <c r="AP5" s="146">
        <f>IF(AND(AP$2&gt;=Budget!$F5,AP$2&lt;=IF(Budget!$H5=Budget!$Z$1,Budget!$K5,Budget!$J5)),Budget!$D5,0)</f>
        <v>0</v>
      </c>
      <c r="AQ5" s="146">
        <f>IF(AND(AQ$2&gt;=Budget!$F5,AQ$2&lt;=IF(Budget!$H5=Budget!$Z$1,Budget!$K5,Budget!$J5)),Budget!$D5,0)</f>
        <v>0</v>
      </c>
      <c r="AR5" s="146">
        <f>IF(AND(AR$2&gt;=Budget!$F5,AR$2&lt;=IF(Budget!$H5=Budget!$Z$1,Budget!$K5,Budget!$J5)),Budget!$D5,0)</f>
        <v>0</v>
      </c>
      <c r="AS5" s="146">
        <f>IF(AND(AS$2&gt;=Budget!$F5,AS$2&lt;=IF(Budget!$H5=Budget!$Z$1,Budget!$K5,Budget!$J5)),Budget!$D5,0)</f>
        <v>0</v>
      </c>
      <c r="AT5" s="146">
        <f>IF(AND(AT$2&gt;=Budget!$F5,AT$2&lt;=IF(Budget!$H5=Budget!$Z$1,Budget!$K5,Budget!$J5)),Budget!$D5,0)</f>
        <v>0</v>
      </c>
      <c r="AU5" s="146">
        <f>IF(AND(AU$2&gt;=Budget!$F5,AU$2&lt;=IF(Budget!$H5=Budget!$Z$1,Budget!$K5,Budget!$J5)),Budget!$D5,0)</f>
        <v>0</v>
      </c>
      <c r="AV5" s="146">
        <f>IF(AND(AV$2&gt;=Budget!$F5,AV$2&lt;=IF(Budget!$H5=Budget!$Z$1,Budget!$K5,Budget!$J5)),Budget!$D5,0)</f>
        <v>0</v>
      </c>
      <c r="AW5" s="146">
        <f>IF(AND(AW$2&gt;=Budget!$F5,AW$2&lt;=IF(Budget!$H5=Budget!$Z$1,Budget!$K5,Budget!$J5)),Budget!$D5,0)</f>
        <v>0</v>
      </c>
      <c r="AX5" s="146">
        <f>IF(AND(AX$2&gt;=Budget!$F5,AX$2&lt;=IF(Budget!$H5=Budget!$Z$1,Budget!$K5,Budget!$J5)),Budget!$D5,0)</f>
        <v>0</v>
      </c>
      <c r="AY5" s="146">
        <f>IF(AND(AY$2&gt;=Budget!$F5,AY$2&lt;=IF(Budget!$H5=Budget!$Z$1,Budget!$K5,Budget!$J5)),Budget!$D5,0)</f>
        <v>0</v>
      </c>
      <c r="AZ5" s="146">
        <f>IF(AND(AZ$2&gt;=Budget!$F5,AZ$2&lt;=IF(Budget!$H5=Budget!$Z$1,Budget!$K5,Budget!$J5)),Budget!$D5,0)</f>
        <v>0</v>
      </c>
      <c r="BA5" s="146">
        <f>IF(AND(BA$2&gt;=Budget!$F5,BA$2&lt;=IF(Budget!$H5=Budget!$Z$1,Budget!$K5,Budget!$J5)),Budget!$D5,0)</f>
        <v>0</v>
      </c>
      <c r="BB5" s="146">
        <f>IF(AND(BB$2&gt;=Budget!$F5,BB$2&lt;=IF(Budget!$H5=Budget!$Z$1,Budget!$K5,Budget!$J5)),Budget!$D5,0)</f>
        <v>0</v>
      </c>
      <c r="BC5" s="146">
        <f>IF(AND(BC$2&gt;=Budget!$F5,BC$2&lt;=IF(Budget!$H5=Budget!$Z$1,Budget!$K5,Budget!$J5)),Budget!$D5,0)</f>
        <v>0</v>
      </c>
      <c r="BD5" s="146">
        <f>IF(AND(BD$2&gt;=Budget!$F5,BD$2&lt;=IF(Budget!$H5=Budget!$Z$1,Budget!$K5,Budget!$J5)),Budget!$D5,0)</f>
        <v>0</v>
      </c>
      <c r="BE5" s="146">
        <f>IF(AND(BE$2&gt;=Budget!$F5,BE$2&lt;=IF(Budget!$H5=Budget!$Z$1,Budget!$K5,Budget!$J5)),Budget!$D5,0)</f>
        <v>0</v>
      </c>
      <c r="BF5" s="146">
        <f>IF(AND(BF$2&gt;=Budget!$F5,BF$2&lt;=IF(Budget!$H5=Budget!$Z$1,Budget!$K5,Budget!$J5)),Budget!$D5,0)</f>
        <v>0</v>
      </c>
    </row>
    <row r="6" spans="1:58" ht="14.4" x14ac:dyDescent="0.3">
      <c r="A6" s="142">
        <f>Budget!B6</f>
        <v>0</v>
      </c>
      <c r="B6" s="146">
        <f>IF(AND(B$2&gt;=Budget!$F6,B$2&lt;=IF(Budget!$H6=Budget!$Z$1,Budget!$K6,Budget!$J6)),Budget!$D6,0)</f>
        <v>0</v>
      </c>
      <c r="C6" s="146">
        <f>IF(AND(C$2&gt;=Budget!$F6,C$2&lt;=IF(Budget!$H6=Budget!$Z$1,Budget!$K6,Budget!$J6)),Budget!$D6,0)</f>
        <v>0</v>
      </c>
      <c r="D6" s="146">
        <f>IF(AND(D$2&gt;=Budget!$F6,D$2&lt;=IF(Budget!$H6=Budget!$Z$1,Budget!$K6,Budget!$J6)),Budget!$D6,0)</f>
        <v>0</v>
      </c>
      <c r="E6" s="146">
        <f>IF(AND(E$2&gt;=Budget!$F6,E$2&lt;=IF(Budget!$H6=Budget!$Z$1,Budget!$K6,Budget!$J6)),Budget!$D6,0)</f>
        <v>0</v>
      </c>
      <c r="F6" s="146">
        <f>IF(AND(F$2&gt;=Budget!$F6,F$2&lt;=IF(Budget!$H6=Budget!$Z$1,Budget!$K6,Budget!$J6)),Budget!$D6,0)</f>
        <v>0</v>
      </c>
      <c r="G6" s="146">
        <f>IF(AND(G$2&gt;=Budget!$F6,G$2&lt;=IF(Budget!$H6=Budget!$Z$1,Budget!$K6,Budget!$J6)),Budget!$D6,0)</f>
        <v>0</v>
      </c>
      <c r="H6" s="146">
        <f>IF(AND(H$2&gt;=Budget!$F6,H$2&lt;=IF(Budget!$H6=Budget!$Z$1,Budget!$K6,Budget!$J6)),Budget!$D6,0)</f>
        <v>0</v>
      </c>
      <c r="I6" s="146">
        <f>IF(AND(I$2&gt;=Budget!$F6,I$2&lt;=IF(Budget!$H6=Budget!$Z$1,Budget!$K6,Budget!$J6)),Budget!$D6,0)</f>
        <v>0</v>
      </c>
      <c r="J6" s="146">
        <f>IF(AND(J$2&gt;=Budget!$F6,J$2&lt;=IF(Budget!$H6=Budget!$Z$1,Budget!$K6,Budget!$J6)),Budget!$D6,0)</f>
        <v>0</v>
      </c>
      <c r="K6" s="146">
        <f>IF(AND(K$2&gt;=Budget!$F6,K$2&lt;=IF(Budget!$H6=Budget!$Z$1,Budget!$K6,Budget!$J6)),Budget!$D6,0)</f>
        <v>0</v>
      </c>
      <c r="L6" s="146">
        <f>IF(AND(L$2&gt;=Budget!$F6,L$2&lt;=IF(Budget!$H6=Budget!$Z$1,Budget!$K6,Budget!$J6)),Budget!$D6,0)</f>
        <v>0</v>
      </c>
      <c r="M6" s="146">
        <f>IF(AND(M$2&gt;=Budget!$F6,M$2&lt;=IF(Budget!$H6=Budget!$Z$1,Budget!$K6,Budget!$J6)),Budget!$D6,0)</f>
        <v>0</v>
      </c>
      <c r="N6" s="146">
        <f>IF(AND(N$2&gt;=Budget!$F6,N$2&lt;=IF(Budget!$H6=Budget!$Z$1,Budget!$K6,Budget!$J6)),Budget!$D6,0)</f>
        <v>0</v>
      </c>
      <c r="O6" s="146">
        <f>IF(AND(O$2&gt;=Budget!$F6,O$2&lt;=IF(Budget!$H6=Budget!$Z$1,Budget!$K6,Budget!$J6)),Budget!$D6,0)</f>
        <v>0</v>
      </c>
      <c r="P6" s="146">
        <f>IF(AND(P$2&gt;=Budget!$F6,P$2&lt;=IF(Budget!$H6=Budget!$Z$1,Budget!$K6,Budget!$J6)),Budget!$D6,0)</f>
        <v>0</v>
      </c>
      <c r="Q6" s="146">
        <f>IF(AND(Q$2&gt;=Budget!$F6,Q$2&lt;=IF(Budget!$H6=Budget!$Z$1,Budget!$K6,Budget!$J6)),Budget!$D6,0)</f>
        <v>0</v>
      </c>
      <c r="R6" s="146">
        <f>IF(AND(R$2&gt;=Budget!$F6,R$2&lt;=IF(Budget!$H6=Budget!$Z$1,Budget!$K6,Budget!$J6)),Budget!$D6,0)</f>
        <v>0</v>
      </c>
      <c r="S6" s="146">
        <f>IF(AND(S$2&gt;=Budget!$F6,S$2&lt;=IF(Budget!$H6=Budget!$Z$1,Budget!$K6,Budget!$J6)),Budget!$D6,0)</f>
        <v>0</v>
      </c>
      <c r="T6" s="146">
        <f>IF(AND(T$2&gt;=Budget!$F6,T$2&lt;=IF(Budget!$H6=Budget!$Z$1,Budget!$K6,Budget!$J6)),Budget!$D6,0)</f>
        <v>0</v>
      </c>
      <c r="U6" s="146">
        <f>IF(AND(U$2&gt;=Budget!$F6,U$2&lt;=IF(Budget!$H6=Budget!$Z$1,Budget!$K6,Budget!$J6)),Budget!$D6,0)</f>
        <v>0</v>
      </c>
      <c r="V6" s="146">
        <f>IF(AND(V$2&gt;=Budget!$F6,V$2&lt;=IF(Budget!$H6=Budget!$Z$1,Budget!$K6,Budget!$J6)),Budget!$D6,0)</f>
        <v>0</v>
      </c>
      <c r="W6" s="146">
        <f>IF(AND(W$2&gt;=Budget!$F6,W$2&lt;=IF(Budget!$H6=Budget!$Z$1,Budget!$K6,Budget!$J6)),Budget!$D6,0)</f>
        <v>0</v>
      </c>
      <c r="X6" s="146">
        <f>IF(AND(X$2&gt;=Budget!$F6,X$2&lt;=IF(Budget!$H6=Budget!$Z$1,Budget!$K6,Budget!$J6)),Budget!$D6,0)</f>
        <v>0</v>
      </c>
      <c r="Y6" s="146">
        <f>IF(AND(Y$2&gt;=Budget!$F6,Y$2&lt;=IF(Budget!$H6=Budget!$Z$1,Budget!$K6,Budget!$J6)),Budget!$D6,0)</f>
        <v>0</v>
      </c>
      <c r="Z6" s="146">
        <f>IF(AND(Z$2&gt;=Budget!$F6,Z$2&lt;=IF(Budget!$H6=Budget!$Z$1,Budget!$K6,Budget!$J6)),Budget!$D6,0)</f>
        <v>0</v>
      </c>
      <c r="AA6" s="146">
        <f>IF(AND(AA$2&gt;=Budget!$F6,AA$2&lt;=IF(Budget!$H6=Budget!$Z$1,Budget!$K6,Budget!$J6)),Budget!$D6,0)</f>
        <v>0</v>
      </c>
      <c r="AB6" s="146">
        <f>IF(AND(AB$2&gt;=Budget!$F6,AB$2&lt;=IF(Budget!$H6=Budget!$Z$1,Budget!$K6,Budget!$J6)),Budget!$D6,0)</f>
        <v>0</v>
      </c>
      <c r="AC6" s="146">
        <f>IF(AND(AC$2&gt;=Budget!$F6,AC$2&lt;=IF(Budget!$H6=Budget!$Z$1,Budget!$K6,Budget!$J6)),Budget!$D6,0)</f>
        <v>0</v>
      </c>
      <c r="AD6" s="146">
        <f>IF(AND(AD$2&gt;=Budget!$F6,AD$2&lt;=IF(Budget!$H6=Budget!$Z$1,Budget!$K6,Budget!$J6)),Budget!$D6,0)</f>
        <v>0</v>
      </c>
      <c r="AE6" s="146">
        <f>IF(AND(AE$2&gt;=Budget!$F6,AE$2&lt;=IF(Budget!$H6=Budget!$Z$1,Budget!$K6,Budget!$J6)),Budget!$D6,0)</f>
        <v>0</v>
      </c>
      <c r="AF6" s="146">
        <f>IF(AND(AF$2&gt;=Budget!$F6,AF$2&lt;=IF(Budget!$H6=Budget!$Z$1,Budget!$K6,Budget!$J6)),Budget!$D6,0)</f>
        <v>0</v>
      </c>
      <c r="AG6" s="146">
        <f>IF(AND(AG$2&gt;=Budget!$F6,AG$2&lt;=IF(Budget!$H6=Budget!$Z$1,Budget!$K6,Budget!$J6)),Budget!$D6,0)</f>
        <v>0</v>
      </c>
      <c r="AH6" s="146">
        <f>IF(AND(AH$2&gt;=Budget!$F6,AH$2&lt;=IF(Budget!$H6=Budget!$Z$1,Budget!$K6,Budget!$J6)),Budget!$D6,0)</f>
        <v>0</v>
      </c>
      <c r="AI6" s="146">
        <f>IF(AND(AI$2&gt;=Budget!$F6,AI$2&lt;=IF(Budget!$H6=Budget!$Z$1,Budget!$K6,Budget!$J6)),Budget!$D6,0)</f>
        <v>0</v>
      </c>
      <c r="AJ6" s="146">
        <f>IF(AND(AJ$2&gt;=Budget!$F6,AJ$2&lt;=IF(Budget!$H6=Budget!$Z$1,Budget!$K6,Budget!$J6)),Budget!$D6,0)</f>
        <v>0</v>
      </c>
      <c r="AK6" s="146">
        <f>IF(AND(AK$2&gt;=Budget!$F6,AK$2&lt;=IF(Budget!$H6=Budget!$Z$1,Budget!$K6,Budget!$J6)),Budget!$D6,0)</f>
        <v>0</v>
      </c>
      <c r="AL6" s="146">
        <f>IF(AND(AL$2&gt;=Budget!$F6,AL$2&lt;=IF(Budget!$H6=Budget!$Z$1,Budget!$K6,Budget!$J6)),Budget!$D6,0)</f>
        <v>0</v>
      </c>
      <c r="AM6" s="146">
        <f>IF(AND(AM$2&gt;=Budget!$F6,AM$2&lt;=IF(Budget!$H6=Budget!$Z$1,Budget!$K6,Budget!$J6)),Budget!$D6,0)</f>
        <v>0</v>
      </c>
      <c r="AN6" s="146">
        <f>IF(AND(AN$2&gt;=Budget!$F6,AN$2&lt;=IF(Budget!$H6=Budget!$Z$1,Budget!$K6,Budget!$J6)),Budget!$D6,0)</f>
        <v>0</v>
      </c>
      <c r="AO6" s="146">
        <f>IF(AND(AO$2&gt;=Budget!$F6,AO$2&lt;=IF(Budget!$H6=Budget!$Z$1,Budget!$K6,Budget!$J6)),Budget!$D6,0)</f>
        <v>0</v>
      </c>
      <c r="AP6" s="146">
        <f>IF(AND(AP$2&gt;=Budget!$F6,AP$2&lt;=IF(Budget!$H6=Budget!$Z$1,Budget!$K6,Budget!$J6)),Budget!$D6,0)</f>
        <v>0</v>
      </c>
      <c r="AQ6" s="146">
        <f>IF(AND(AQ$2&gt;=Budget!$F6,AQ$2&lt;=IF(Budget!$H6=Budget!$Z$1,Budget!$K6,Budget!$J6)),Budget!$D6,0)</f>
        <v>0</v>
      </c>
      <c r="AR6" s="146">
        <f>IF(AND(AR$2&gt;=Budget!$F6,AR$2&lt;=IF(Budget!$H6=Budget!$Z$1,Budget!$K6,Budget!$J6)),Budget!$D6,0)</f>
        <v>0</v>
      </c>
      <c r="AS6" s="146">
        <f>IF(AND(AS$2&gt;=Budget!$F6,AS$2&lt;=IF(Budget!$H6=Budget!$Z$1,Budget!$K6,Budget!$J6)),Budget!$D6,0)</f>
        <v>0</v>
      </c>
      <c r="AT6" s="146">
        <f>IF(AND(AT$2&gt;=Budget!$F6,AT$2&lt;=IF(Budget!$H6=Budget!$Z$1,Budget!$K6,Budget!$J6)),Budget!$D6,0)</f>
        <v>0</v>
      </c>
      <c r="AU6" s="146">
        <f>IF(AND(AU$2&gt;=Budget!$F6,AU$2&lt;=IF(Budget!$H6=Budget!$Z$1,Budget!$K6,Budget!$J6)),Budget!$D6,0)</f>
        <v>0</v>
      </c>
      <c r="AV6" s="146">
        <f>IF(AND(AV$2&gt;=Budget!$F6,AV$2&lt;=IF(Budget!$H6=Budget!$Z$1,Budget!$K6,Budget!$J6)),Budget!$D6,0)</f>
        <v>0</v>
      </c>
      <c r="AW6" s="146">
        <f>IF(AND(AW$2&gt;=Budget!$F6,AW$2&lt;=IF(Budget!$H6=Budget!$Z$1,Budget!$K6,Budget!$J6)),Budget!$D6,0)</f>
        <v>0</v>
      </c>
      <c r="AX6" s="146">
        <f>IF(AND(AX$2&gt;=Budget!$F6,AX$2&lt;=IF(Budget!$H6=Budget!$Z$1,Budget!$K6,Budget!$J6)),Budget!$D6,0)</f>
        <v>0</v>
      </c>
      <c r="AY6" s="146">
        <f>IF(AND(AY$2&gt;=Budget!$F6,AY$2&lt;=IF(Budget!$H6=Budget!$Z$1,Budget!$K6,Budget!$J6)),Budget!$D6,0)</f>
        <v>0</v>
      </c>
      <c r="AZ6" s="146">
        <f>IF(AND(AZ$2&gt;=Budget!$F6,AZ$2&lt;=IF(Budget!$H6=Budget!$Z$1,Budget!$K6,Budget!$J6)),Budget!$D6,0)</f>
        <v>0</v>
      </c>
      <c r="BA6" s="146">
        <f>IF(AND(BA$2&gt;=Budget!$F6,BA$2&lt;=IF(Budget!$H6=Budget!$Z$1,Budget!$K6,Budget!$J6)),Budget!$D6,0)</f>
        <v>0</v>
      </c>
      <c r="BB6" s="146">
        <f>IF(AND(BB$2&gt;=Budget!$F6,BB$2&lt;=IF(Budget!$H6=Budget!$Z$1,Budget!$K6,Budget!$J6)),Budget!$D6,0)</f>
        <v>0</v>
      </c>
      <c r="BC6" s="146">
        <f>IF(AND(BC$2&gt;=Budget!$F6,BC$2&lt;=IF(Budget!$H6=Budget!$Z$1,Budget!$K6,Budget!$J6)),Budget!$D6,0)</f>
        <v>0</v>
      </c>
      <c r="BD6" s="146">
        <f>IF(AND(BD$2&gt;=Budget!$F6,BD$2&lt;=IF(Budget!$H6=Budget!$Z$1,Budget!$K6,Budget!$J6)),Budget!$D6,0)</f>
        <v>0</v>
      </c>
      <c r="BE6" s="146">
        <f>IF(AND(BE$2&gt;=Budget!$F6,BE$2&lt;=IF(Budget!$H6=Budget!$Z$1,Budget!$K6,Budget!$J6)),Budget!$D6,0)</f>
        <v>0</v>
      </c>
      <c r="BF6" s="146">
        <f>IF(AND(BF$2&gt;=Budget!$F6,BF$2&lt;=IF(Budget!$H6=Budget!$Z$1,Budget!$K6,Budget!$J6)),Budget!$D6,0)</f>
        <v>0</v>
      </c>
    </row>
    <row r="7" spans="1:58" ht="14.4" x14ac:dyDescent="0.3">
      <c r="A7" s="142" t="str">
        <f>Budget!B7</f>
        <v>SG HDFC Life Annuity Plan</v>
      </c>
      <c r="B7" s="146">
        <f>IF(AND(B$2&gt;=Budget!$F7,B$2&lt;=IF(Budget!$H7=Budget!$Z$1,Budget!$K7,Budget!$J7)),Budget!$D7,0)</f>
        <v>84000</v>
      </c>
      <c r="C7" s="146">
        <f>IF(AND(C$2&gt;=Budget!$F7,C$2&lt;=IF(Budget!$H7=Budget!$Z$1,Budget!$K7,Budget!$J7)),Budget!$D7,0)</f>
        <v>84000</v>
      </c>
      <c r="D7" s="146">
        <f>IF(AND(D$2&gt;=Budget!$F7,D$2&lt;=IF(Budget!$H7=Budget!$Z$1,Budget!$K7,Budget!$J7)),Budget!$D7,0)</f>
        <v>84000</v>
      </c>
      <c r="E7" s="146">
        <f>IF(AND(E$2&gt;=Budget!$F7,E$2&lt;=IF(Budget!$H7=Budget!$Z$1,Budget!$K7,Budget!$J7)),Budget!$D7,0)</f>
        <v>84000</v>
      </c>
      <c r="F7" s="146">
        <f>IF(AND(F$2&gt;=Budget!$F7,F$2&lt;=IF(Budget!$H7=Budget!$Z$1,Budget!$K7,Budget!$J7)),Budget!$D7,0)</f>
        <v>84000</v>
      </c>
      <c r="G7" s="146">
        <f>IF(AND(G$2&gt;=Budget!$F7,G$2&lt;=IF(Budget!$H7=Budget!$Z$1,Budget!$K7,Budget!$J7)),Budget!$D7,0)</f>
        <v>84000</v>
      </c>
      <c r="H7" s="146">
        <f>IF(AND(H$2&gt;=Budget!$F7,H$2&lt;=IF(Budget!$H7=Budget!$Z$1,Budget!$K7,Budget!$J7)),Budget!$D7,0)</f>
        <v>84000</v>
      </c>
      <c r="I7" s="146">
        <f>IF(AND(I$2&gt;=Budget!$F7,I$2&lt;=IF(Budget!$H7=Budget!$Z$1,Budget!$K7,Budget!$J7)),Budget!$D7,0)</f>
        <v>84000</v>
      </c>
      <c r="J7" s="146">
        <f>IF(AND(J$2&gt;=Budget!$F7,J$2&lt;=IF(Budget!$H7=Budget!$Z$1,Budget!$K7,Budget!$J7)),Budget!$D7,0)</f>
        <v>84000</v>
      </c>
      <c r="K7" s="146">
        <f>IF(AND(K$2&gt;=Budget!$F7,K$2&lt;=IF(Budget!$H7=Budget!$Z$1,Budget!$K7,Budget!$J7)),Budget!$D7,0)</f>
        <v>84000</v>
      </c>
      <c r="L7" s="146">
        <f>IF(AND(L$2&gt;=Budget!$F7,L$2&lt;=IF(Budget!$H7=Budget!$Z$1,Budget!$K7,Budget!$J7)),Budget!$D7,0)</f>
        <v>84000</v>
      </c>
      <c r="M7" s="146">
        <f>IF(AND(M$2&gt;=Budget!$F7,M$2&lt;=IF(Budget!$H7=Budget!$Z$1,Budget!$K7,Budget!$J7)),Budget!$D7,0)</f>
        <v>84000</v>
      </c>
      <c r="N7" s="146">
        <f>IF(AND(N$2&gt;=Budget!$F7,N$2&lt;=IF(Budget!$H7=Budget!$Z$1,Budget!$K7,Budget!$J7)),Budget!$D7,0)</f>
        <v>84000</v>
      </c>
      <c r="O7" s="146">
        <f>IF(AND(O$2&gt;=Budget!$F7,O$2&lt;=IF(Budget!$H7=Budget!$Z$1,Budget!$K7,Budget!$J7)),Budget!$D7,0)</f>
        <v>84000</v>
      </c>
      <c r="P7" s="146">
        <f>IF(AND(P$2&gt;=Budget!$F7,P$2&lt;=IF(Budget!$H7=Budget!$Z$1,Budget!$K7,Budget!$J7)),Budget!$D7,0)</f>
        <v>84000</v>
      </c>
      <c r="Q7" s="146">
        <f>IF(AND(Q$2&gt;=Budget!$F7,Q$2&lt;=IF(Budget!$H7=Budget!$Z$1,Budget!$K7,Budget!$J7)),Budget!$D7,0)</f>
        <v>84000</v>
      </c>
      <c r="R7" s="146">
        <f>IF(AND(R$2&gt;=Budget!$F7,R$2&lt;=IF(Budget!$H7=Budget!$Z$1,Budget!$K7,Budget!$J7)),Budget!$D7,0)</f>
        <v>84000</v>
      </c>
      <c r="S7" s="146">
        <f>IF(AND(S$2&gt;=Budget!$F7,S$2&lt;=IF(Budget!$H7=Budget!$Z$1,Budget!$K7,Budget!$J7)),Budget!$D7,0)</f>
        <v>84000</v>
      </c>
      <c r="T7" s="146">
        <f>IF(AND(T$2&gt;=Budget!$F7,T$2&lt;=IF(Budget!$H7=Budget!$Z$1,Budget!$K7,Budget!$J7)),Budget!$D7,0)</f>
        <v>84000</v>
      </c>
      <c r="U7" s="146">
        <f>IF(AND(U$2&gt;=Budget!$F7,U$2&lt;=IF(Budget!$H7=Budget!$Z$1,Budget!$K7,Budget!$J7)),Budget!$D7,0)</f>
        <v>84000</v>
      </c>
      <c r="V7" s="146">
        <f>IF(AND(V$2&gt;=Budget!$F7,V$2&lt;=IF(Budget!$H7=Budget!$Z$1,Budget!$K7,Budget!$J7)),Budget!$D7,0)</f>
        <v>84000</v>
      </c>
      <c r="W7" s="146">
        <f>IF(AND(W$2&gt;=Budget!$F7,W$2&lt;=IF(Budget!$H7=Budget!$Z$1,Budget!$K7,Budget!$J7)),Budget!$D7,0)</f>
        <v>84000</v>
      </c>
      <c r="X7" s="146">
        <f>IF(AND(X$2&gt;=Budget!$F7,X$2&lt;=IF(Budget!$H7=Budget!$Z$1,Budget!$K7,Budget!$J7)),Budget!$D7,0)</f>
        <v>84000</v>
      </c>
      <c r="Y7" s="146">
        <f>IF(AND(Y$2&gt;=Budget!$F7,Y$2&lt;=IF(Budget!$H7=Budget!$Z$1,Budget!$K7,Budget!$J7)),Budget!$D7,0)</f>
        <v>84000</v>
      </c>
      <c r="Z7" s="146">
        <f>IF(AND(Z$2&gt;=Budget!$F7,Z$2&lt;=IF(Budget!$H7=Budget!$Z$1,Budget!$K7,Budget!$J7)),Budget!$D7,0)</f>
        <v>84000</v>
      </c>
      <c r="AA7" s="146">
        <f>IF(AND(AA$2&gt;=Budget!$F7,AA$2&lt;=IF(Budget!$H7=Budget!$Z$1,Budget!$K7,Budget!$J7)),Budget!$D7,0)</f>
        <v>84000</v>
      </c>
      <c r="AB7" s="146">
        <f>IF(AND(AB$2&gt;=Budget!$F7,AB$2&lt;=IF(Budget!$H7=Budget!$Z$1,Budget!$K7,Budget!$J7)),Budget!$D7,0)</f>
        <v>84000</v>
      </c>
      <c r="AC7" s="146">
        <f>IF(AND(AC$2&gt;=Budget!$F7,AC$2&lt;=IF(Budget!$H7=Budget!$Z$1,Budget!$K7,Budget!$J7)),Budget!$D7,0)</f>
        <v>84000</v>
      </c>
      <c r="AD7" s="146">
        <f>IF(AND(AD$2&gt;=Budget!$F7,AD$2&lt;=IF(Budget!$H7=Budget!$Z$1,Budget!$K7,Budget!$J7)),Budget!$D7,0)</f>
        <v>84000</v>
      </c>
      <c r="AE7" s="146">
        <f>IF(AND(AE$2&gt;=Budget!$F7,AE$2&lt;=IF(Budget!$H7=Budget!$Z$1,Budget!$K7,Budget!$J7)),Budget!$D7,0)</f>
        <v>84000</v>
      </c>
      <c r="AF7" s="146">
        <f>IF(AND(AF$2&gt;=Budget!$F7,AF$2&lt;=IF(Budget!$H7=Budget!$Z$1,Budget!$K7,Budget!$J7)),Budget!$D7,0)</f>
        <v>84000</v>
      </c>
      <c r="AG7" s="146">
        <f>IF(AND(AG$2&gt;=Budget!$F7,AG$2&lt;=IF(Budget!$H7=Budget!$Z$1,Budget!$K7,Budget!$J7)),Budget!$D7,0)</f>
        <v>84000</v>
      </c>
      <c r="AH7" s="146">
        <f>IF(AND(AH$2&gt;=Budget!$F7,AH$2&lt;=IF(Budget!$H7=Budget!$Z$1,Budget!$K7,Budget!$J7)),Budget!$D7,0)</f>
        <v>84000</v>
      </c>
      <c r="AI7" s="146">
        <f>IF(AND(AI$2&gt;=Budget!$F7,AI$2&lt;=IF(Budget!$H7=Budget!$Z$1,Budget!$K7,Budget!$J7)),Budget!$D7,0)</f>
        <v>84000</v>
      </c>
      <c r="AJ7" s="146">
        <f>IF(AND(AJ$2&gt;=Budget!$F7,AJ$2&lt;=IF(Budget!$H7=Budget!$Z$1,Budget!$K7,Budget!$J7)),Budget!$D7,0)</f>
        <v>84000</v>
      </c>
      <c r="AK7" s="146">
        <f>IF(AND(AK$2&gt;=Budget!$F7,AK$2&lt;=IF(Budget!$H7=Budget!$Z$1,Budget!$K7,Budget!$J7)),Budget!$D7,0)</f>
        <v>84000</v>
      </c>
      <c r="AL7" s="146">
        <f>IF(AND(AL$2&gt;=Budget!$F7,AL$2&lt;=IF(Budget!$H7=Budget!$Z$1,Budget!$K7,Budget!$J7)),Budget!$D7,0)</f>
        <v>84000</v>
      </c>
      <c r="AM7" s="146">
        <f>IF(AND(AM$2&gt;=Budget!$F7,AM$2&lt;=IF(Budget!$H7=Budget!$Z$1,Budget!$K7,Budget!$J7)),Budget!$D7,0)</f>
        <v>84000</v>
      </c>
      <c r="AN7" s="146">
        <f>IF(AND(AN$2&gt;=Budget!$F7,AN$2&lt;=IF(Budget!$H7=Budget!$Z$1,Budget!$K7,Budget!$J7)),Budget!$D7,0)</f>
        <v>84000</v>
      </c>
      <c r="AO7" s="146">
        <f>IF(AND(AO$2&gt;=Budget!$F7,AO$2&lt;=IF(Budget!$H7=Budget!$Z$1,Budget!$K7,Budget!$J7)),Budget!$D7,0)</f>
        <v>84000</v>
      </c>
      <c r="AP7" s="146">
        <f>IF(AND(AP$2&gt;=Budget!$F7,AP$2&lt;=IF(Budget!$H7=Budget!$Z$1,Budget!$K7,Budget!$J7)),Budget!$D7,0)</f>
        <v>84000</v>
      </c>
      <c r="AQ7" s="146">
        <f>IF(AND(AQ$2&gt;=Budget!$F7,AQ$2&lt;=IF(Budget!$H7=Budget!$Z$1,Budget!$K7,Budget!$J7)),Budget!$D7,0)</f>
        <v>84000</v>
      </c>
      <c r="AR7" s="146">
        <f>IF(AND(AR$2&gt;=Budget!$F7,AR$2&lt;=IF(Budget!$H7=Budget!$Z$1,Budget!$K7,Budget!$J7)),Budget!$D7,0)</f>
        <v>84000</v>
      </c>
      <c r="AS7" s="146">
        <f>IF(AND(AS$2&gt;=Budget!$F7,AS$2&lt;=IF(Budget!$H7=Budget!$Z$1,Budget!$K7,Budget!$J7)),Budget!$D7,0)</f>
        <v>84000</v>
      </c>
      <c r="AT7" s="146">
        <f>IF(AND(AT$2&gt;=Budget!$F7,AT$2&lt;=IF(Budget!$H7=Budget!$Z$1,Budget!$K7,Budget!$J7)),Budget!$D7,0)</f>
        <v>84000</v>
      </c>
      <c r="AU7" s="146">
        <f>IF(AND(AU$2&gt;=Budget!$F7,AU$2&lt;=IF(Budget!$H7=Budget!$Z$1,Budget!$K7,Budget!$J7)),Budget!$D7,0)</f>
        <v>84000</v>
      </c>
      <c r="AV7" s="146">
        <f>IF(AND(AV$2&gt;=Budget!$F7,AV$2&lt;=IF(Budget!$H7=Budget!$Z$1,Budget!$K7,Budget!$J7)),Budget!$D7,0)</f>
        <v>84000</v>
      </c>
      <c r="AW7" s="146">
        <f>IF(AND(AW$2&gt;=Budget!$F7,AW$2&lt;=IF(Budget!$H7=Budget!$Z$1,Budget!$K7,Budget!$J7)),Budget!$D7,0)</f>
        <v>84000</v>
      </c>
      <c r="AX7" s="146">
        <f>IF(AND(AX$2&gt;=Budget!$F7,AX$2&lt;=IF(Budget!$H7=Budget!$Z$1,Budget!$K7,Budget!$J7)),Budget!$D7,0)</f>
        <v>84000</v>
      </c>
      <c r="AY7" s="146">
        <f>IF(AND(AY$2&gt;=Budget!$F7,AY$2&lt;=IF(Budget!$H7=Budget!$Z$1,Budget!$K7,Budget!$J7)),Budget!$D7,0)</f>
        <v>84000</v>
      </c>
      <c r="AZ7" s="146">
        <f>IF(AND(AZ$2&gt;=Budget!$F7,AZ$2&lt;=IF(Budget!$H7=Budget!$Z$1,Budget!$K7,Budget!$J7)),Budget!$D7,0)</f>
        <v>84000</v>
      </c>
      <c r="BA7" s="146">
        <f>IF(AND(BA$2&gt;=Budget!$F7,BA$2&lt;=IF(Budget!$H7=Budget!$Z$1,Budget!$K7,Budget!$J7)),Budget!$D7,0)</f>
        <v>84000</v>
      </c>
      <c r="BB7" s="146">
        <f>IF(AND(BB$2&gt;=Budget!$F7,BB$2&lt;=IF(Budget!$H7=Budget!$Z$1,Budget!$K7,Budget!$J7)),Budget!$D7,0)</f>
        <v>84000</v>
      </c>
      <c r="BC7" s="146">
        <f>IF(AND(BC$2&gt;=Budget!$F7,BC$2&lt;=IF(Budget!$H7=Budget!$Z$1,Budget!$K7,Budget!$J7)),Budget!$D7,0)</f>
        <v>84000</v>
      </c>
      <c r="BD7" s="146">
        <f>IF(AND(BD$2&gt;=Budget!$F7,BD$2&lt;=IF(Budget!$H7=Budget!$Z$1,Budget!$K7,Budget!$J7)),Budget!$D7,0)</f>
        <v>84000</v>
      </c>
      <c r="BE7" s="146">
        <f>IF(AND(BE$2&gt;=Budget!$F7,BE$2&lt;=IF(Budget!$H7=Budget!$Z$1,Budget!$K7,Budget!$J7)),Budget!$D7,0)</f>
        <v>84000</v>
      </c>
      <c r="BF7" s="146">
        <f>IF(AND(BF$2&gt;=Budget!$F7,BF$2&lt;=IF(Budget!$H7=Budget!$Z$1,Budget!$K7,Budget!$J7)),Budget!$D7,0)</f>
        <v>84000</v>
      </c>
    </row>
    <row r="8" spans="1:58" ht="14.4" x14ac:dyDescent="0.3">
      <c r="A8" s="142" t="str">
        <f>Budget!B8</f>
        <v>HS Jeevan Anand</v>
      </c>
      <c r="B8" s="146">
        <f>IF(AND(B$2&gt;=Budget!$F8,B$2&lt;=IF(Budget!$H8=Budget!$Z$1,Budget!$K8,Budget!$J8)),Budget!$D8,0)</f>
        <v>200000</v>
      </c>
      <c r="C8" s="146">
        <f>IF(AND(C$2&gt;=Budget!$F8,C$2&lt;=IF(Budget!$H8=Budget!$Z$1,Budget!$K8,Budget!$J8)),Budget!$D8,0)</f>
        <v>200000</v>
      </c>
      <c r="D8" s="146">
        <f>IF(AND(D$2&gt;=Budget!$F8,D$2&lt;=IF(Budget!$H8=Budget!$Z$1,Budget!$K8,Budget!$J8)),Budget!$D8,0)</f>
        <v>200000</v>
      </c>
      <c r="E8" s="146">
        <f>IF(AND(E$2&gt;=Budget!$F8,E$2&lt;=IF(Budget!$H8=Budget!$Z$1,Budget!$K8,Budget!$J8)),Budget!$D8,0)</f>
        <v>200000</v>
      </c>
      <c r="F8" s="146">
        <f>IF(AND(F$2&gt;=Budget!$F8,F$2&lt;=IF(Budget!$H8=Budget!$Z$1,Budget!$K8,Budget!$J8)),Budget!$D8,0)</f>
        <v>200000</v>
      </c>
      <c r="G8" s="146">
        <f>IF(AND(G$2&gt;=Budget!$F8,G$2&lt;=IF(Budget!$H8=Budget!$Z$1,Budget!$K8,Budget!$J8)),Budget!$D8,0)</f>
        <v>200000</v>
      </c>
      <c r="H8" s="146">
        <f>IF(AND(H$2&gt;=Budget!$F8,H$2&lt;=IF(Budget!$H8=Budget!$Z$1,Budget!$K8,Budget!$J8)),Budget!$D8,0)</f>
        <v>200000</v>
      </c>
      <c r="I8" s="146">
        <f>IF(AND(I$2&gt;=Budget!$F8,I$2&lt;=IF(Budget!$H8=Budget!$Z$1,Budget!$K8,Budget!$J8)),Budget!$D8,0)</f>
        <v>200000</v>
      </c>
      <c r="J8" s="146">
        <f>IF(AND(J$2&gt;=Budget!$F8,J$2&lt;=IF(Budget!$H8=Budget!$Z$1,Budget!$K8,Budget!$J8)),Budget!$D8,0)</f>
        <v>0</v>
      </c>
      <c r="K8" s="146">
        <f>IF(AND(K$2&gt;=Budget!$F8,K$2&lt;=IF(Budget!$H8=Budget!$Z$1,Budget!$K8,Budget!$J8)),Budget!$D8,0)</f>
        <v>0</v>
      </c>
      <c r="L8" s="146">
        <f>IF(AND(L$2&gt;=Budget!$F8,L$2&lt;=IF(Budget!$H8=Budget!$Z$1,Budget!$K8,Budget!$J8)),Budget!$D8,0)</f>
        <v>0</v>
      </c>
      <c r="M8" s="146">
        <f>IF(AND(M$2&gt;=Budget!$F8,M$2&lt;=IF(Budget!$H8=Budget!$Z$1,Budget!$K8,Budget!$J8)),Budget!$D8,0)</f>
        <v>0</v>
      </c>
      <c r="N8" s="146">
        <f>IF(AND(N$2&gt;=Budget!$F8,N$2&lt;=IF(Budget!$H8=Budget!$Z$1,Budget!$K8,Budget!$J8)),Budget!$D8,0)</f>
        <v>0</v>
      </c>
      <c r="O8" s="146">
        <f>IF(AND(O$2&gt;=Budget!$F8,O$2&lt;=IF(Budget!$H8=Budget!$Z$1,Budget!$K8,Budget!$J8)),Budget!$D8,0)</f>
        <v>0</v>
      </c>
      <c r="P8" s="146">
        <f>IF(AND(P$2&gt;=Budget!$F8,P$2&lt;=IF(Budget!$H8=Budget!$Z$1,Budget!$K8,Budget!$J8)),Budget!$D8,0)</f>
        <v>0</v>
      </c>
      <c r="Q8" s="146">
        <f>IF(AND(Q$2&gt;=Budget!$F8,Q$2&lt;=IF(Budget!$H8=Budget!$Z$1,Budget!$K8,Budget!$J8)),Budget!$D8,0)</f>
        <v>0</v>
      </c>
      <c r="R8" s="146">
        <f>IF(AND(R$2&gt;=Budget!$F8,R$2&lt;=IF(Budget!$H8=Budget!$Z$1,Budget!$K8,Budget!$J8)),Budget!$D8,0)</f>
        <v>0</v>
      </c>
      <c r="S8" s="146">
        <f>IF(AND(S$2&gt;=Budget!$F8,S$2&lt;=IF(Budget!$H8=Budget!$Z$1,Budget!$K8,Budget!$J8)),Budget!$D8,0)</f>
        <v>0</v>
      </c>
      <c r="T8" s="146">
        <f>IF(AND(T$2&gt;=Budget!$F8,T$2&lt;=IF(Budget!$H8=Budget!$Z$1,Budget!$K8,Budget!$J8)),Budget!$D8,0)</f>
        <v>0</v>
      </c>
      <c r="U8" s="146">
        <f>IF(AND(U$2&gt;=Budget!$F8,U$2&lt;=IF(Budget!$H8=Budget!$Z$1,Budget!$K8,Budget!$J8)),Budget!$D8,0)</f>
        <v>0</v>
      </c>
      <c r="V8" s="146">
        <f>IF(AND(V$2&gt;=Budget!$F8,V$2&lt;=IF(Budget!$H8=Budget!$Z$1,Budget!$K8,Budget!$J8)),Budget!$D8,0)</f>
        <v>0</v>
      </c>
      <c r="W8" s="146">
        <f>IF(AND(W$2&gt;=Budget!$F8,W$2&lt;=IF(Budget!$H8=Budget!$Z$1,Budget!$K8,Budget!$J8)),Budget!$D8,0)</f>
        <v>0</v>
      </c>
      <c r="X8" s="146">
        <f>IF(AND(X$2&gt;=Budget!$F8,X$2&lt;=IF(Budget!$H8=Budget!$Z$1,Budget!$K8,Budget!$J8)),Budget!$D8,0)</f>
        <v>0</v>
      </c>
      <c r="Y8" s="146">
        <f>IF(AND(Y$2&gt;=Budget!$F8,Y$2&lt;=IF(Budget!$H8=Budget!$Z$1,Budget!$K8,Budget!$J8)),Budget!$D8,0)</f>
        <v>0</v>
      </c>
      <c r="Z8" s="146">
        <f>IF(AND(Z$2&gt;=Budget!$F8,Z$2&lt;=IF(Budget!$H8=Budget!$Z$1,Budget!$K8,Budget!$J8)),Budget!$D8,0)</f>
        <v>0</v>
      </c>
      <c r="AA8" s="146">
        <f>IF(AND(AA$2&gt;=Budget!$F8,AA$2&lt;=IF(Budget!$H8=Budget!$Z$1,Budget!$K8,Budget!$J8)),Budget!$D8,0)</f>
        <v>0</v>
      </c>
      <c r="AB8" s="146">
        <f>IF(AND(AB$2&gt;=Budget!$F8,AB$2&lt;=IF(Budget!$H8=Budget!$Z$1,Budget!$K8,Budget!$J8)),Budget!$D8,0)</f>
        <v>0</v>
      </c>
      <c r="AC8" s="146">
        <f>IF(AND(AC$2&gt;=Budget!$F8,AC$2&lt;=IF(Budget!$H8=Budget!$Z$1,Budget!$K8,Budget!$J8)),Budget!$D8,0)</f>
        <v>0</v>
      </c>
      <c r="AD8" s="146">
        <f>IF(AND(AD$2&gt;=Budget!$F8,AD$2&lt;=IF(Budget!$H8=Budget!$Z$1,Budget!$K8,Budget!$J8)),Budget!$D8,0)</f>
        <v>0</v>
      </c>
      <c r="AE8" s="146">
        <f>IF(AND(AE$2&gt;=Budget!$F8,AE$2&lt;=IF(Budget!$H8=Budget!$Z$1,Budget!$K8,Budget!$J8)),Budget!$D8,0)</f>
        <v>0</v>
      </c>
      <c r="AF8" s="146">
        <f>IF(AND(AF$2&gt;=Budget!$F8,AF$2&lt;=IF(Budget!$H8=Budget!$Z$1,Budget!$K8,Budget!$J8)),Budget!$D8,0)</f>
        <v>0</v>
      </c>
      <c r="AG8" s="146">
        <f>IF(AND(AG$2&gt;=Budget!$F8,AG$2&lt;=IF(Budget!$H8=Budget!$Z$1,Budget!$K8,Budget!$J8)),Budget!$D8,0)</f>
        <v>0</v>
      </c>
      <c r="AH8" s="146">
        <f>IF(AND(AH$2&gt;=Budget!$F8,AH$2&lt;=IF(Budget!$H8=Budget!$Z$1,Budget!$K8,Budget!$J8)),Budget!$D8,0)</f>
        <v>0</v>
      </c>
      <c r="AI8" s="146">
        <f>IF(AND(AI$2&gt;=Budget!$F8,AI$2&lt;=IF(Budget!$H8=Budget!$Z$1,Budget!$K8,Budget!$J8)),Budget!$D8,0)</f>
        <v>0</v>
      </c>
      <c r="AJ8" s="146">
        <f>IF(AND(AJ$2&gt;=Budget!$F8,AJ$2&lt;=IF(Budget!$H8=Budget!$Z$1,Budget!$K8,Budget!$J8)),Budget!$D8,0)</f>
        <v>0</v>
      </c>
      <c r="AK8" s="146">
        <f>IF(AND(AK$2&gt;=Budget!$F8,AK$2&lt;=IF(Budget!$H8=Budget!$Z$1,Budget!$K8,Budget!$J8)),Budget!$D8,0)</f>
        <v>0</v>
      </c>
      <c r="AL8" s="146">
        <f>IF(AND(AL$2&gt;=Budget!$F8,AL$2&lt;=IF(Budget!$H8=Budget!$Z$1,Budget!$K8,Budget!$J8)),Budget!$D8,0)</f>
        <v>0</v>
      </c>
      <c r="AM8" s="146">
        <f>IF(AND(AM$2&gt;=Budget!$F8,AM$2&lt;=IF(Budget!$H8=Budget!$Z$1,Budget!$K8,Budget!$J8)),Budget!$D8,0)</f>
        <v>0</v>
      </c>
      <c r="AN8" s="146">
        <f>IF(AND(AN$2&gt;=Budget!$F8,AN$2&lt;=IF(Budget!$H8=Budget!$Z$1,Budget!$K8,Budget!$J8)),Budget!$D8,0)</f>
        <v>0</v>
      </c>
      <c r="AO8" s="146">
        <f>IF(AND(AO$2&gt;=Budget!$F8,AO$2&lt;=IF(Budget!$H8=Budget!$Z$1,Budget!$K8,Budget!$J8)),Budget!$D8,0)</f>
        <v>0</v>
      </c>
      <c r="AP8" s="146">
        <f>IF(AND(AP$2&gt;=Budget!$F8,AP$2&lt;=IF(Budget!$H8=Budget!$Z$1,Budget!$K8,Budget!$J8)),Budget!$D8,0)</f>
        <v>0</v>
      </c>
      <c r="AQ8" s="146">
        <f>IF(AND(AQ$2&gt;=Budget!$F8,AQ$2&lt;=IF(Budget!$H8=Budget!$Z$1,Budget!$K8,Budget!$J8)),Budget!$D8,0)</f>
        <v>0</v>
      </c>
      <c r="AR8" s="146">
        <f>IF(AND(AR$2&gt;=Budget!$F8,AR$2&lt;=IF(Budget!$H8=Budget!$Z$1,Budget!$K8,Budget!$J8)),Budget!$D8,0)</f>
        <v>0</v>
      </c>
      <c r="AS8" s="146">
        <f>IF(AND(AS$2&gt;=Budget!$F8,AS$2&lt;=IF(Budget!$H8=Budget!$Z$1,Budget!$K8,Budget!$J8)),Budget!$D8,0)</f>
        <v>0</v>
      </c>
      <c r="AT8" s="146">
        <f>IF(AND(AT$2&gt;=Budget!$F8,AT$2&lt;=IF(Budget!$H8=Budget!$Z$1,Budget!$K8,Budget!$J8)),Budget!$D8,0)</f>
        <v>0</v>
      </c>
      <c r="AU8" s="146">
        <f>IF(AND(AU$2&gt;=Budget!$F8,AU$2&lt;=IF(Budget!$H8=Budget!$Z$1,Budget!$K8,Budget!$J8)),Budget!$D8,0)</f>
        <v>0</v>
      </c>
      <c r="AV8" s="146">
        <f>IF(AND(AV$2&gt;=Budget!$F8,AV$2&lt;=IF(Budget!$H8=Budget!$Z$1,Budget!$K8,Budget!$J8)),Budget!$D8,0)</f>
        <v>0</v>
      </c>
      <c r="AW8" s="146">
        <f>IF(AND(AW$2&gt;=Budget!$F8,AW$2&lt;=IF(Budget!$H8=Budget!$Z$1,Budget!$K8,Budget!$J8)),Budget!$D8,0)</f>
        <v>0</v>
      </c>
      <c r="AX8" s="146">
        <f>IF(AND(AX$2&gt;=Budget!$F8,AX$2&lt;=IF(Budget!$H8=Budget!$Z$1,Budget!$K8,Budget!$J8)),Budget!$D8,0)</f>
        <v>0</v>
      </c>
      <c r="AY8" s="146">
        <f>IF(AND(AY$2&gt;=Budget!$F8,AY$2&lt;=IF(Budget!$H8=Budget!$Z$1,Budget!$K8,Budget!$J8)),Budget!$D8,0)</f>
        <v>0</v>
      </c>
      <c r="AZ8" s="146">
        <f>IF(AND(AZ$2&gt;=Budget!$F8,AZ$2&lt;=IF(Budget!$H8=Budget!$Z$1,Budget!$K8,Budget!$J8)),Budget!$D8,0)</f>
        <v>0</v>
      </c>
      <c r="BA8" s="146">
        <f>IF(AND(BA$2&gt;=Budget!$F8,BA$2&lt;=IF(Budget!$H8=Budget!$Z$1,Budget!$K8,Budget!$J8)),Budget!$D8,0)</f>
        <v>0</v>
      </c>
      <c r="BB8" s="146">
        <f>IF(AND(BB$2&gt;=Budget!$F8,BB$2&lt;=IF(Budget!$H8=Budget!$Z$1,Budget!$K8,Budget!$J8)),Budget!$D8,0)</f>
        <v>0</v>
      </c>
      <c r="BC8" s="146">
        <f>IF(AND(BC$2&gt;=Budget!$F8,BC$2&lt;=IF(Budget!$H8=Budget!$Z$1,Budget!$K8,Budget!$J8)),Budget!$D8,0)</f>
        <v>0</v>
      </c>
      <c r="BD8" s="146">
        <f>IF(AND(BD$2&gt;=Budget!$F8,BD$2&lt;=IF(Budget!$H8=Budget!$Z$1,Budget!$K8,Budget!$J8)),Budget!$D8,0)</f>
        <v>0</v>
      </c>
      <c r="BE8" s="146">
        <f>IF(AND(BE$2&gt;=Budget!$F8,BE$2&lt;=IF(Budget!$H8=Budget!$Z$1,Budget!$K8,Budget!$J8)),Budget!$D8,0)</f>
        <v>0</v>
      </c>
      <c r="BF8" s="146">
        <f>IF(AND(BF$2&gt;=Budget!$F8,BF$2&lt;=IF(Budget!$H8=Budget!$Z$1,Budget!$K8,Budget!$J8)),Budget!$D8,0)</f>
        <v>0</v>
      </c>
    </row>
    <row r="9" spans="1:58" ht="14.4" x14ac:dyDescent="0.3">
      <c r="A9" s="142" t="str">
        <f>Budget!B9</f>
        <v>NS Jeevan Tarang</v>
      </c>
      <c r="B9" s="146">
        <f>IF(AND(B$2&gt;=Budget!$F9,B$2&lt;=IF(Budget!$H9=Budget!$Z$1,Budget!$K9,Budget!$J9)),Budget!$D9,0)</f>
        <v>0</v>
      </c>
      <c r="C9" s="146">
        <f>IF(AND(C$2&gt;=Budget!$F9,C$2&lt;=IF(Budget!$H9=Budget!$Z$1,Budget!$K9,Budget!$J9)),Budget!$D9,0)</f>
        <v>0</v>
      </c>
      <c r="D9" s="146">
        <f>IF(AND(D$2&gt;=Budget!$F9,D$2&lt;=IF(Budget!$H9=Budget!$Z$1,Budget!$K9,Budget!$J9)),Budget!$D9,0)</f>
        <v>0</v>
      </c>
      <c r="E9" s="146">
        <f>IF(AND(E$2&gt;=Budget!$F9,E$2&lt;=IF(Budget!$H9=Budget!$Z$1,Budget!$K9,Budget!$J9)),Budget!$D9,0)</f>
        <v>0</v>
      </c>
      <c r="F9" s="146">
        <f>IF(AND(F$2&gt;=Budget!$F9,F$2&lt;=IF(Budget!$H9=Budget!$Z$1,Budget!$K9,Budget!$J9)),Budget!$D9,0)</f>
        <v>0</v>
      </c>
      <c r="G9" s="146">
        <f>IF(AND(G$2&gt;=Budget!$F9,G$2&lt;=IF(Budget!$H9=Budget!$Z$1,Budget!$K9,Budget!$J9)),Budget!$D9,0)</f>
        <v>0</v>
      </c>
      <c r="H9" s="146">
        <f>IF(AND(H$2&gt;=Budget!$F9,H$2&lt;=IF(Budget!$H9=Budget!$Z$1,Budget!$K9,Budget!$J9)),Budget!$D9,0)</f>
        <v>0</v>
      </c>
      <c r="I9" s="146">
        <f>IF(AND(I$2&gt;=Budget!$F9,I$2&lt;=IF(Budget!$H9=Budget!$Z$1,Budget!$K9,Budget!$J9)),Budget!$D9,0)</f>
        <v>0</v>
      </c>
      <c r="J9" s="146">
        <f>IF(AND(J$2&gt;=Budget!$F9,J$2&lt;=IF(Budget!$H9=Budget!$Z$1,Budget!$K9,Budget!$J9)),Budget!$D9,0)</f>
        <v>4750000</v>
      </c>
      <c r="K9" s="146">
        <f>IF(AND(K$2&gt;=Budget!$F9,K$2&lt;=IF(Budget!$H9=Budget!$Z$1,Budget!$K9,Budget!$J9)),Budget!$D9,0)</f>
        <v>0</v>
      </c>
      <c r="L9" s="146">
        <f>IF(AND(L$2&gt;=Budget!$F9,L$2&lt;=IF(Budget!$H9=Budget!$Z$1,Budget!$K9,Budget!$J9)),Budget!$D9,0)</f>
        <v>0</v>
      </c>
      <c r="M9" s="146">
        <f>IF(AND(M$2&gt;=Budget!$F9,M$2&lt;=IF(Budget!$H9=Budget!$Z$1,Budget!$K9,Budget!$J9)),Budget!$D9,0)</f>
        <v>0</v>
      </c>
      <c r="N9" s="146">
        <f>IF(AND(N$2&gt;=Budget!$F9,N$2&lt;=IF(Budget!$H9=Budget!$Z$1,Budget!$K9,Budget!$J9)),Budget!$D9,0)</f>
        <v>0</v>
      </c>
      <c r="O9" s="146">
        <f>IF(AND(O$2&gt;=Budget!$F9,O$2&lt;=IF(Budget!$H9=Budget!$Z$1,Budget!$K9,Budget!$J9)),Budget!$D9,0)</f>
        <v>0</v>
      </c>
      <c r="P9" s="146">
        <f>IF(AND(P$2&gt;=Budget!$F9,P$2&lt;=IF(Budget!$H9=Budget!$Z$1,Budget!$K9,Budget!$J9)),Budget!$D9,0)</f>
        <v>0</v>
      </c>
      <c r="Q9" s="146">
        <f>IF(AND(Q$2&gt;=Budget!$F9,Q$2&lt;=IF(Budget!$H9=Budget!$Z$1,Budget!$K9,Budget!$J9)),Budget!$D9,0)</f>
        <v>0</v>
      </c>
      <c r="R9" s="146">
        <f>IF(AND(R$2&gt;=Budget!$F9,R$2&lt;=IF(Budget!$H9=Budget!$Z$1,Budget!$K9,Budget!$J9)),Budget!$D9,0)</f>
        <v>0</v>
      </c>
      <c r="S9" s="146">
        <f>IF(AND(S$2&gt;=Budget!$F9,S$2&lt;=IF(Budget!$H9=Budget!$Z$1,Budget!$K9,Budget!$J9)),Budget!$D9,0)</f>
        <v>0</v>
      </c>
      <c r="T9" s="146">
        <f>IF(AND(T$2&gt;=Budget!$F9,T$2&lt;=IF(Budget!$H9=Budget!$Z$1,Budget!$K9,Budget!$J9)),Budget!$D9,0)</f>
        <v>0</v>
      </c>
      <c r="U9" s="146">
        <f>IF(AND(U$2&gt;=Budget!$F9,U$2&lt;=IF(Budget!$H9=Budget!$Z$1,Budget!$K9,Budget!$J9)),Budget!$D9,0)</f>
        <v>0</v>
      </c>
      <c r="V9" s="146">
        <f>IF(AND(V$2&gt;=Budget!$F9,V$2&lt;=IF(Budget!$H9=Budget!$Z$1,Budget!$K9,Budget!$J9)),Budget!$D9,0)</f>
        <v>0</v>
      </c>
      <c r="W9" s="146">
        <f>IF(AND(W$2&gt;=Budget!$F9,W$2&lt;=IF(Budget!$H9=Budget!$Z$1,Budget!$K9,Budget!$J9)),Budget!$D9,0)</f>
        <v>0</v>
      </c>
      <c r="X9" s="146">
        <f>IF(AND(X$2&gt;=Budget!$F9,X$2&lt;=IF(Budget!$H9=Budget!$Z$1,Budget!$K9,Budget!$J9)),Budget!$D9,0)</f>
        <v>0</v>
      </c>
      <c r="Y9" s="146">
        <f>IF(AND(Y$2&gt;=Budget!$F9,Y$2&lt;=IF(Budget!$H9=Budget!$Z$1,Budget!$K9,Budget!$J9)),Budget!$D9,0)</f>
        <v>0</v>
      </c>
      <c r="Z9" s="146">
        <f>IF(AND(Z$2&gt;=Budget!$F9,Z$2&lt;=IF(Budget!$H9=Budget!$Z$1,Budget!$K9,Budget!$J9)),Budget!$D9,0)</f>
        <v>0</v>
      </c>
      <c r="AA9" s="146">
        <f>IF(AND(AA$2&gt;=Budget!$F9,AA$2&lt;=IF(Budget!$H9=Budget!$Z$1,Budget!$K9,Budget!$J9)),Budget!$D9,0)</f>
        <v>0</v>
      </c>
      <c r="AB9" s="146">
        <f>IF(AND(AB$2&gt;=Budget!$F9,AB$2&lt;=IF(Budget!$H9=Budget!$Z$1,Budget!$K9,Budget!$J9)),Budget!$D9,0)</f>
        <v>0</v>
      </c>
      <c r="AC9" s="146">
        <f>IF(AND(AC$2&gt;=Budget!$F9,AC$2&lt;=IF(Budget!$H9=Budget!$Z$1,Budget!$K9,Budget!$J9)),Budget!$D9,0)</f>
        <v>0</v>
      </c>
      <c r="AD9" s="146">
        <f>IF(AND(AD$2&gt;=Budget!$F9,AD$2&lt;=IF(Budget!$H9=Budget!$Z$1,Budget!$K9,Budget!$J9)),Budget!$D9,0)</f>
        <v>0</v>
      </c>
      <c r="AE9" s="146">
        <f>IF(AND(AE$2&gt;=Budget!$F9,AE$2&lt;=IF(Budget!$H9=Budget!$Z$1,Budget!$K9,Budget!$J9)),Budget!$D9,0)</f>
        <v>0</v>
      </c>
      <c r="AF9" s="146">
        <f>IF(AND(AF$2&gt;=Budget!$F9,AF$2&lt;=IF(Budget!$H9=Budget!$Z$1,Budget!$K9,Budget!$J9)),Budget!$D9,0)</f>
        <v>0</v>
      </c>
      <c r="AG9" s="146">
        <f>IF(AND(AG$2&gt;=Budget!$F9,AG$2&lt;=IF(Budget!$H9=Budget!$Z$1,Budget!$K9,Budget!$J9)),Budget!$D9,0)</f>
        <v>0</v>
      </c>
      <c r="AH9" s="146">
        <f>IF(AND(AH$2&gt;=Budget!$F9,AH$2&lt;=IF(Budget!$H9=Budget!$Z$1,Budget!$K9,Budget!$J9)),Budget!$D9,0)</f>
        <v>0</v>
      </c>
      <c r="AI9" s="146">
        <f>IF(AND(AI$2&gt;=Budget!$F9,AI$2&lt;=IF(Budget!$H9=Budget!$Z$1,Budget!$K9,Budget!$J9)),Budget!$D9,0)</f>
        <v>0</v>
      </c>
      <c r="AJ9" s="146">
        <f>IF(AND(AJ$2&gt;=Budget!$F9,AJ$2&lt;=IF(Budget!$H9=Budget!$Z$1,Budget!$K9,Budget!$J9)),Budget!$D9,0)</f>
        <v>0</v>
      </c>
      <c r="AK9" s="146">
        <f>IF(AND(AK$2&gt;=Budget!$F9,AK$2&lt;=IF(Budget!$H9=Budget!$Z$1,Budget!$K9,Budget!$J9)),Budget!$D9,0)</f>
        <v>0</v>
      </c>
      <c r="AL9" s="146">
        <f>IF(AND(AL$2&gt;=Budget!$F9,AL$2&lt;=IF(Budget!$H9=Budget!$Z$1,Budget!$K9,Budget!$J9)),Budget!$D9,0)</f>
        <v>0</v>
      </c>
      <c r="AM9" s="146">
        <f>IF(AND(AM$2&gt;=Budget!$F9,AM$2&lt;=IF(Budget!$H9=Budget!$Z$1,Budget!$K9,Budget!$J9)),Budget!$D9,0)</f>
        <v>0</v>
      </c>
      <c r="AN9" s="146">
        <f>IF(AND(AN$2&gt;=Budget!$F9,AN$2&lt;=IF(Budget!$H9=Budget!$Z$1,Budget!$K9,Budget!$J9)),Budget!$D9,0)</f>
        <v>0</v>
      </c>
      <c r="AO9" s="146">
        <f>IF(AND(AO$2&gt;=Budget!$F9,AO$2&lt;=IF(Budget!$H9=Budget!$Z$1,Budget!$K9,Budget!$J9)),Budget!$D9,0)</f>
        <v>0</v>
      </c>
      <c r="AP9" s="146">
        <f>IF(AND(AP$2&gt;=Budget!$F9,AP$2&lt;=IF(Budget!$H9=Budget!$Z$1,Budget!$K9,Budget!$J9)),Budget!$D9,0)</f>
        <v>0</v>
      </c>
      <c r="AQ9" s="146">
        <f>IF(AND(AQ$2&gt;=Budget!$F9,AQ$2&lt;=IF(Budget!$H9=Budget!$Z$1,Budget!$K9,Budget!$J9)),Budget!$D9,0)</f>
        <v>0</v>
      </c>
      <c r="AR9" s="146">
        <f>IF(AND(AR$2&gt;=Budget!$F9,AR$2&lt;=IF(Budget!$H9=Budget!$Z$1,Budget!$K9,Budget!$J9)),Budget!$D9,0)</f>
        <v>0</v>
      </c>
      <c r="AS9" s="146">
        <f>IF(AND(AS$2&gt;=Budget!$F9,AS$2&lt;=IF(Budget!$H9=Budget!$Z$1,Budget!$K9,Budget!$J9)),Budget!$D9,0)</f>
        <v>0</v>
      </c>
      <c r="AT9" s="146">
        <f>IF(AND(AT$2&gt;=Budget!$F9,AT$2&lt;=IF(Budget!$H9=Budget!$Z$1,Budget!$K9,Budget!$J9)),Budget!$D9,0)</f>
        <v>0</v>
      </c>
      <c r="AU9" s="146">
        <f>IF(AND(AU$2&gt;=Budget!$F9,AU$2&lt;=IF(Budget!$H9=Budget!$Z$1,Budget!$K9,Budget!$J9)),Budget!$D9,0)</f>
        <v>0</v>
      </c>
      <c r="AV9" s="146">
        <f>IF(AND(AV$2&gt;=Budget!$F9,AV$2&lt;=IF(Budget!$H9=Budget!$Z$1,Budget!$K9,Budget!$J9)),Budget!$D9,0)</f>
        <v>0</v>
      </c>
      <c r="AW9" s="146">
        <f>IF(AND(AW$2&gt;=Budget!$F9,AW$2&lt;=IF(Budget!$H9=Budget!$Z$1,Budget!$K9,Budget!$J9)),Budget!$D9,0)</f>
        <v>0</v>
      </c>
      <c r="AX9" s="146">
        <f>IF(AND(AX$2&gt;=Budget!$F9,AX$2&lt;=IF(Budget!$H9=Budget!$Z$1,Budget!$K9,Budget!$J9)),Budget!$D9,0)</f>
        <v>0</v>
      </c>
      <c r="AY9" s="146">
        <f>IF(AND(AY$2&gt;=Budget!$F9,AY$2&lt;=IF(Budget!$H9=Budget!$Z$1,Budget!$K9,Budget!$J9)),Budget!$D9,0)</f>
        <v>0</v>
      </c>
      <c r="AZ9" s="146">
        <f>IF(AND(AZ$2&gt;=Budget!$F9,AZ$2&lt;=IF(Budget!$H9=Budget!$Z$1,Budget!$K9,Budget!$J9)),Budget!$D9,0)</f>
        <v>0</v>
      </c>
      <c r="BA9" s="146">
        <f>IF(AND(BA$2&gt;=Budget!$F9,BA$2&lt;=IF(Budget!$H9=Budget!$Z$1,Budget!$K9,Budget!$J9)),Budget!$D9,0)</f>
        <v>0</v>
      </c>
      <c r="BB9" s="146">
        <f>IF(AND(BB$2&gt;=Budget!$F9,BB$2&lt;=IF(Budget!$H9=Budget!$Z$1,Budget!$K9,Budget!$J9)),Budget!$D9,0)</f>
        <v>0</v>
      </c>
      <c r="BC9" s="146">
        <f>IF(AND(BC$2&gt;=Budget!$F9,BC$2&lt;=IF(Budget!$H9=Budget!$Z$1,Budget!$K9,Budget!$J9)),Budget!$D9,0)</f>
        <v>0</v>
      </c>
      <c r="BD9" s="146">
        <f>IF(AND(BD$2&gt;=Budget!$F9,BD$2&lt;=IF(Budget!$H9=Budget!$Z$1,Budget!$K9,Budget!$J9)),Budget!$D9,0)</f>
        <v>0</v>
      </c>
      <c r="BE9" s="146">
        <f>IF(AND(BE$2&gt;=Budget!$F9,BE$2&lt;=IF(Budget!$H9=Budget!$Z$1,Budget!$K9,Budget!$J9)),Budget!$D9,0)</f>
        <v>0</v>
      </c>
      <c r="BF9" s="146">
        <f>IF(AND(BF$2&gt;=Budget!$F9,BF$2&lt;=IF(Budget!$H9=Budget!$Z$1,Budget!$K9,Budget!$J9)),Budget!$D9,0)</f>
        <v>0</v>
      </c>
    </row>
    <row r="10" spans="1:58" ht="14.4" x14ac:dyDescent="0.3">
      <c r="A10" s="142" t="str">
        <f>Budget!B10</f>
        <v>SG Jeevan Tarang</v>
      </c>
      <c r="B10" s="146">
        <f>IF(AND(B$2&gt;=Budget!$F10,B$2&lt;=IF(Budget!$H10=Budget!$Z$1,Budget!$K10,Budget!$J10)),Budget!$D10,0)</f>
        <v>0</v>
      </c>
      <c r="C10" s="146">
        <f>IF(AND(C$2&gt;=Budget!$F10,C$2&lt;=IF(Budget!$H10=Budget!$Z$1,Budget!$K10,Budget!$J10)),Budget!$D10,0)</f>
        <v>0</v>
      </c>
      <c r="D10" s="146">
        <f>IF(AND(D$2&gt;=Budget!$F10,D$2&lt;=IF(Budget!$H10=Budget!$Z$1,Budget!$K10,Budget!$J10)),Budget!$D10,0)</f>
        <v>0</v>
      </c>
      <c r="E10" s="146">
        <f>IF(AND(E$2&gt;=Budget!$F10,E$2&lt;=IF(Budget!$H10=Budget!$Z$1,Budget!$K10,Budget!$J10)),Budget!$D10,0)</f>
        <v>0</v>
      </c>
      <c r="F10" s="146">
        <f>IF(AND(F$2&gt;=Budget!$F10,F$2&lt;=IF(Budget!$H10=Budget!$Z$1,Budget!$K10,Budget!$J10)),Budget!$D10,0)</f>
        <v>0</v>
      </c>
      <c r="G10" s="146">
        <f>IF(AND(G$2&gt;=Budget!$F10,G$2&lt;=IF(Budget!$H10=Budget!$Z$1,Budget!$K10,Budget!$J10)),Budget!$D10,0)</f>
        <v>0</v>
      </c>
      <c r="H10" s="146">
        <f>IF(AND(H$2&gt;=Budget!$F10,H$2&lt;=IF(Budget!$H10=Budget!$Z$1,Budget!$K10,Budget!$J10)),Budget!$D10,0)</f>
        <v>0</v>
      </c>
      <c r="I10" s="146">
        <f>IF(AND(I$2&gt;=Budget!$F10,I$2&lt;=IF(Budget!$H10=Budget!$Z$1,Budget!$K10,Budget!$J10)),Budget!$D10,0)</f>
        <v>0</v>
      </c>
      <c r="J10" s="146">
        <f>IF(AND(J$2&gt;=Budget!$F10,J$2&lt;=IF(Budget!$H10=Budget!$Z$1,Budget!$K10,Budget!$J10)),Budget!$D10,0)</f>
        <v>4750000</v>
      </c>
      <c r="K10" s="146">
        <f>IF(AND(K$2&gt;=Budget!$F10,K$2&lt;=IF(Budget!$H10=Budget!$Z$1,Budget!$K10,Budget!$J10)),Budget!$D10,0)</f>
        <v>0</v>
      </c>
      <c r="L10" s="146">
        <f>IF(AND(L$2&gt;=Budget!$F10,L$2&lt;=IF(Budget!$H10=Budget!$Z$1,Budget!$K10,Budget!$J10)),Budget!$D10,0)</f>
        <v>0</v>
      </c>
      <c r="M10" s="146">
        <f>IF(AND(M$2&gt;=Budget!$F10,M$2&lt;=IF(Budget!$H10=Budget!$Z$1,Budget!$K10,Budget!$J10)),Budget!$D10,0)</f>
        <v>0</v>
      </c>
      <c r="N10" s="146">
        <f>IF(AND(N$2&gt;=Budget!$F10,N$2&lt;=IF(Budget!$H10=Budget!$Z$1,Budget!$K10,Budget!$J10)),Budget!$D10,0)</f>
        <v>0</v>
      </c>
      <c r="O10" s="146">
        <f>IF(AND(O$2&gt;=Budget!$F10,O$2&lt;=IF(Budget!$H10=Budget!$Z$1,Budget!$K10,Budget!$J10)),Budget!$D10,0)</f>
        <v>0</v>
      </c>
      <c r="P10" s="146">
        <f>IF(AND(P$2&gt;=Budget!$F10,P$2&lt;=IF(Budget!$H10=Budget!$Z$1,Budget!$K10,Budget!$J10)),Budget!$D10,0)</f>
        <v>0</v>
      </c>
      <c r="Q10" s="146">
        <f>IF(AND(Q$2&gt;=Budget!$F10,Q$2&lt;=IF(Budget!$H10=Budget!$Z$1,Budget!$K10,Budget!$J10)),Budget!$D10,0)</f>
        <v>0</v>
      </c>
      <c r="R10" s="146">
        <f>IF(AND(R$2&gt;=Budget!$F10,R$2&lt;=IF(Budget!$H10=Budget!$Z$1,Budget!$K10,Budget!$J10)),Budget!$D10,0)</f>
        <v>0</v>
      </c>
      <c r="S10" s="146">
        <f>IF(AND(S$2&gt;=Budget!$F10,S$2&lt;=IF(Budget!$H10=Budget!$Z$1,Budget!$K10,Budget!$J10)),Budget!$D10,0)</f>
        <v>0</v>
      </c>
      <c r="T10" s="146">
        <f>IF(AND(T$2&gt;=Budget!$F10,T$2&lt;=IF(Budget!$H10=Budget!$Z$1,Budget!$K10,Budget!$J10)),Budget!$D10,0)</f>
        <v>0</v>
      </c>
      <c r="U10" s="146">
        <f>IF(AND(U$2&gt;=Budget!$F10,U$2&lt;=IF(Budget!$H10=Budget!$Z$1,Budget!$K10,Budget!$J10)),Budget!$D10,0)</f>
        <v>0</v>
      </c>
      <c r="V10" s="146">
        <f>IF(AND(V$2&gt;=Budget!$F10,V$2&lt;=IF(Budget!$H10=Budget!$Z$1,Budget!$K10,Budget!$J10)),Budget!$D10,0)</f>
        <v>0</v>
      </c>
      <c r="W10" s="146">
        <f>IF(AND(W$2&gt;=Budget!$F10,W$2&lt;=IF(Budget!$H10=Budget!$Z$1,Budget!$K10,Budget!$J10)),Budget!$D10,0)</f>
        <v>0</v>
      </c>
      <c r="X10" s="146">
        <f>IF(AND(X$2&gt;=Budget!$F10,X$2&lt;=IF(Budget!$H10=Budget!$Z$1,Budget!$K10,Budget!$J10)),Budget!$D10,0)</f>
        <v>0</v>
      </c>
      <c r="Y10" s="146">
        <f>IF(AND(Y$2&gt;=Budget!$F10,Y$2&lt;=IF(Budget!$H10=Budget!$Z$1,Budget!$K10,Budget!$J10)),Budget!$D10,0)</f>
        <v>0</v>
      </c>
      <c r="Z10" s="146">
        <f>IF(AND(Z$2&gt;=Budget!$F10,Z$2&lt;=IF(Budget!$H10=Budget!$Z$1,Budget!$K10,Budget!$J10)),Budget!$D10,0)</f>
        <v>0</v>
      </c>
      <c r="AA10" s="146">
        <f>IF(AND(AA$2&gt;=Budget!$F10,AA$2&lt;=IF(Budget!$H10=Budget!$Z$1,Budget!$K10,Budget!$J10)),Budget!$D10,0)</f>
        <v>0</v>
      </c>
      <c r="AB10" s="146">
        <f>IF(AND(AB$2&gt;=Budget!$F10,AB$2&lt;=IF(Budget!$H10=Budget!$Z$1,Budget!$K10,Budget!$J10)),Budget!$D10,0)</f>
        <v>0</v>
      </c>
      <c r="AC10" s="146">
        <f>IF(AND(AC$2&gt;=Budget!$F10,AC$2&lt;=IF(Budget!$H10=Budget!$Z$1,Budget!$K10,Budget!$J10)),Budget!$D10,0)</f>
        <v>0</v>
      </c>
      <c r="AD10" s="146">
        <f>IF(AND(AD$2&gt;=Budget!$F10,AD$2&lt;=IF(Budget!$H10=Budget!$Z$1,Budget!$K10,Budget!$J10)),Budget!$D10,0)</f>
        <v>0</v>
      </c>
      <c r="AE10" s="146">
        <f>IF(AND(AE$2&gt;=Budget!$F10,AE$2&lt;=IF(Budget!$H10=Budget!$Z$1,Budget!$K10,Budget!$J10)),Budget!$D10,0)</f>
        <v>0</v>
      </c>
      <c r="AF10" s="146">
        <f>IF(AND(AF$2&gt;=Budget!$F10,AF$2&lt;=IF(Budget!$H10=Budget!$Z$1,Budget!$K10,Budget!$J10)),Budget!$D10,0)</f>
        <v>0</v>
      </c>
      <c r="AG10" s="146">
        <f>IF(AND(AG$2&gt;=Budget!$F10,AG$2&lt;=IF(Budget!$H10=Budget!$Z$1,Budget!$K10,Budget!$J10)),Budget!$D10,0)</f>
        <v>0</v>
      </c>
      <c r="AH10" s="146">
        <f>IF(AND(AH$2&gt;=Budget!$F10,AH$2&lt;=IF(Budget!$H10=Budget!$Z$1,Budget!$K10,Budget!$J10)),Budget!$D10,0)</f>
        <v>0</v>
      </c>
      <c r="AI10" s="146">
        <f>IF(AND(AI$2&gt;=Budget!$F10,AI$2&lt;=IF(Budget!$H10=Budget!$Z$1,Budget!$K10,Budget!$J10)),Budget!$D10,0)</f>
        <v>0</v>
      </c>
      <c r="AJ10" s="146">
        <f>IF(AND(AJ$2&gt;=Budget!$F10,AJ$2&lt;=IF(Budget!$H10=Budget!$Z$1,Budget!$K10,Budget!$J10)),Budget!$D10,0)</f>
        <v>0</v>
      </c>
      <c r="AK10" s="146">
        <f>IF(AND(AK$2&gt;=Budget!$F10,AK$2&lt;=IF(Budget!$H10=Budget!$Z$1,Budget!$K10,Budget!$J10)),Budget!$D10,0)</f>
        <v>0</v>
      </c>
      <c r="AL10" s="146">
        <f>IF(AND(AL$2&gt;=Budget!$F10,AL$2&lt;=IF(Budget!$H10=Budget!$Z$1,Budget!$K10,Budget!$J10)),Budget!$D10,0)</f>
        <v>0</v>
      </c>
      <c r="AM10" s="146">
        <f>IF(AND(AM$2&gt;=Budget!$F10,AM$2&lt;=IF(Budget!$H10=Budget!$Z$1,Budget!$K10,Budget!$J10)),Budget!$D10,0)</f>
        <v>0</v>
      </c>
      <c r="AN10" s="146">
        <f>IF(AND(AN$2&gt;=Budget!$F10,AN$2&lt;=IF(Budget!$H10=Budget!$Z$1,Budget!$K10,Budget!$J10)),Budget!$D10,0)</f>
        <v>0</v>
      </c>
      <c r="AO10" s="146">
        <f>IF(AND(AO$2&gt;=Budget!$F10,AO$2&lt;=IF(Budget!$H10=Budget!$Z$1,Budget!$K10,Budget!$J10)),Budget!$D10,0)</f>
        <v>0</v>
      </c>
      <c r="AP10" s="146">
        <f>IF(AND(AP$2&gt;=Budget!$F10,AP$2&lt;=IF(Budget!$H10=Budget!$Z$1,Budget!$K10,Budget!$J10)),Budget!$D10,0)</f>
        <v>0</v>
      </c>
      <c r="AQ10" s="146">
        <f>IF(AND(AQ$2&gt;=Budget!$F10,AQ$2&lt;=IF(Budget!$H10=Budget!$Z$1,Budget!$K10,Budget!$J10)),Budget!$D10,0)</f>
        <v>0</v>
      </c>
      <c r="AR10" s="146">
        <f>IF(AND(AR$2&gt;=Budget!$F10,AR$2&lt;=IF(Budget!$H10=Budget!$Z$1,Budget!$K10,Budget!$J10)),Budget!$D10,0)</f>
        <v>0</v>
      </c>
      <c r="AS10" s="146">
        <f>IF(AND(AS$2&gt;=Budget!$F10,AS$2&lt;=IF(Budget!$H10=Budget!$Z$1,Budget!$K10,Budget!$J10)),Budget!$D10,0)</f>
        <v>0</v>
      </c>
      <c r="AT10" s="146">
        <f>IF(AND(AT$2&gt;=Budget!$F10,AT$2&lt;=IF(Budget!$H10=Budget!$Z$1,Budget!$K10,Budget!$J10)),Budget!$D10,0)</f>
        <v>0</v>
      </c>
      <c r="AU10" s="146">
        <f>IF(AND(AU$2&gt;=Budget!$F10,AU$2&lt;=IF(Budget!$H10=Budget!$Z$1,Budget!$K10,Budget!$J10)),Budget!$D10,0)</f>
        <v>0</v>
      </c>
      <c r="AV10" s="146">
        <f>IF(AND(AV$2&gt;=Budget!$F10,AV$2&lt;=IF(Budget!$H10=Budget!$Z$1,Budget!$K10,Budget!$J10)),Budget!$D10,0)</f>
        <v>0</v>
      </c>
      <c r="AW10" s="146">
        <f>IF(AND(AW$2&gt;=Budget!$F10,AW$2&lt;=IF(Budget!$H10=Budget!$Z$1,Budget!$K10,Budget!$J10)),Budget!$D10,0)</f>
        <v>0</v>
      </c>
      <c r="AX10" s="146">
        <f>IF(AND(AX$2&gt;=Budget!$F10,AX$2&lt;=IF(Budget!$H10=Budget!$Z$1,Budget!$K10,Budget!$J10)),Budget!$D10,0)</f>
        <v>0</v>
      </c>
      <c r="AY10" s="146">
        <f>IF(AND(AY$2&gt;=Budget!$F10,AY$2&lt;=IF(Budget!$H10=Budget!$Z$1,Budget!$K10,Budget!$J10)),Budget!$D10,0)</f>
        <v>0</v>
      </c>
      <c r="AZ10" s="146">
        <f>IF(AND(AZ$2&gt;=Budget!$F10,AZ$2&lt;=IF(Budget!$H10=Budget!$Z$1,Budget!$K10,Budget!$J10)),Budget!$D10,0)</f>
        <v>0</v>
      </c>
      <c r="BA10" s="146">
        <f>IF(AND(BA$2&gt;=Budget!$F10,BA$2&lt;=IF(Budget!$H10=Budget!$Z$1,Budget!$K10,Budget!$J10)),Budget!$D10,0)</f>
        <v>0</v>
      </c>
      <c r="BB10" s="146">
        <f>IF(AND(BB$2&gt;=Budget!$F10,BB$2&lt;=IF(Budget!$H10=Budget!$Z$1,Budget!$K10,Budget!$J10)),Budget!$D10,0)</f>
        <v>0</v>
      </c>
      <c r="BC10" s="146">
        <f>IF(AND(BC$2&gt;=Budget!$F10,BC$2&lt;=IF(Budget!$H10=Budget!$Z$1,Budget!$K10,Budget!$J10)),Budget!$D10,0)</f>
        <v>0</v>
      </c>
      <c r="BD10" s="146">
        <f>IF(AND(BD$2&gt;=Budget!$F10,BD$2&lt;=IF(Budget!$H10=Budget!$Z$1,Budget!$K10,Budget!$J10)),Budget!$D10,0)</f>
        <v>0</v>
      </c>
      <c r="BE10" s="146">
        <f>IF(AND(BE$2&gt;=Budget!$F10,BE$2&lt;=IF(Budget!$H10=Budget!$Z$1,Budget!$K10,Budget!$J10)),Budget!$D10,0)</f>
        <v>0</v>
      </c>
      <c r="BF10" s="146">
        <f>IF(AND(BF$2&gt;=Budget!$F10,BF$2&lt;=IF(Budget!$H10=Budget!$Z$1,Budget!$K10,Budget!$J10)),Budget!$D10,0)</f>
        <v>0</v>
      </c>
    </row>
    <row r="11" spans="1:58" ht="14.4" x14ac:dyDescent="0.3">
      <c r="A11" s="142">
        <f>Budget!B11</f>
        <v>0</v>
      </c>
      <c r="B11" s="146">
        <f>IF(AND(B$2&gt;=Budget!$F11,B$2&lt;=IF(Budget!$H11=Budget!$Z$1,Budget!$K11,Budget!$J11)),Budget!$D11,0)</f>
        <v>0</v>
      </c>
      <c r="C11" s="146">
        <f>IF(AND(C$2&gt;=Budget!$F11,C$2&lt;=IF(Budget!$H11=Budget!$Z$1,Budget!$K11,Budget!$J11)),Budget!$D11,0)</f>
        <v>0</v>
      </c>
      <c r="D11" s="146">
        <f>IF(AND(D$2&gt;=Budget!$F11,D$2&lt;=IF(Budget!$H11=Budget!$Z$1,Budget!$K11,Budget!$J11)),Budget!$D11,0)</f>
        <v>0</v>
      </c>
      <c r="E11" s="146">
        <f>IF(AND(E$2&gt;=Budget!$F11,E$2&lt;=IF(Budget!$H11=Budget!$Z$1,Budget!$K11,Budget!$J11)),Budget!$D11,0)</f>
        <v>0</v>
      </c>
      <c r="F11" s="146">
        <f>IF(AND(F$2&gt;=Budget!$F11,F$2&lt;=IF(Budget!$H11=Budget!$Z$1,Budget!$K11,Budget!$J11)),Budget!$D11,0)</f>
        <v>0</v>
      </c>
      <c r="G11" s="146">
        <f>IF(AND(G$2&gt;=Budget!$F11,G$2&lt;=IF(Budget!$H11=Budget!$Z$1,Budget!$K11,Budget!$J11)),Budget!$D11,0)</f>
        <v>0</v>
      </c>
      <c r="H11" s="146">
        <f>IF(AND(H$2&gt;=Budget!$F11,H$2&lt;=IF(Budget!$H11=Budget!$Z$1,Budget!$K11,Budget!$J11)),Budget!$D11,0)</f>
        <v>0</v>
      </c>
      <c r="I11" s="146">
        <f>IF(AND(I$2&gt;=Budget!$F11,I$2&lt;=IF(Budget!$H11=Budget!$Z$1,Budget!$K11,Budget!$J11)),Budget!$D11,0)</f>
        <v>0</v>
      </c>
      <c r="J11" s="146">
        <f>IF(AND(J$2&gt;=Budget!$F11,J$2&lt;=IF(Budget!$H11=Budget!$Z$1,Budget!$K11,Budget!$J11)),Budget!$D11,0)</f>
        <v>0</v>
      </c>
      <c r="K11" s="146">
        <f>IF(AND(K$2&gt;=Budget!$F11,K$2&lt;=IF(Budget!$H11=Budget!$Z$1,Budget!$K11,Budget!$J11)),Budget!$D11,0)</f>
        <v>0</v>
      </c>
      <c r="L11" s="146">
        <f>IF(AND(L$2&gt;=Budget!$F11,L$2&lt;=IF(Budget!$H11=Budget!$Z$1,Budget!$K11,Budget!$J11)),Budget!$D11,0)</f>
        <v>0</v>
      </c>
      <c r="M11" s="146">
        <f>IF(AND(M$2&gt;=Budget!$F11,M$2&lt;=IF(Budget!$H11=Budget!$Z$1,Budget!$K11,Budget!$J11)),Budget!$D11,0)</f>
        <v>0</v>
      </c>
      <c r="N11" s="146">
        <f>IF(AND(N$2&gt;=Budget!$F11,N$2&lt;=IF(Budget!$H11=Budget!$Z$1,Budget!$K11,Budget!$J11)),Budget!$D11,0)</f>
        <v>0</v>
      </c>
      <c r="O11" s="146">
        <f>IF(AND(O$2&gt;=Budget!$F11,O$2&lt;=IF(Budget!$H11=Budget!$Z$1,Budget!$K11,Budget!$J11)),Budget!$D11,0)</f>
        <v>0</v>
      </c>
      <c r="P11" s="146">
        <f>IF(AND(P$2&gt;=Budget!$F11,P$2&lt;=IF(Budget!$H11=Budget!$Z$1,Budget!$K11,Budget!$J11)),Budget!$D11,0)</f>
        <v>0</v>
      </c>
      <c r="Q11" s="146">
        <f>IF(AND(Q$2&gt;=Budget!$F11,Q$2&lt;=IF(Budget!$H11=Budget!$Z$1,Budget!$K11,Budget!$J11)),Budget!$D11,0)</f>
        <v>0</v>
      </c>
      <c r="R11" s="146">
        <f>IF(AND(R$2&gt;=Budget!$F11,R$2&lt;=IF(Budget!$H11=Budget!$Z$1,Budget!$K11,Budget!$J11)),Budget!$D11,0)</f>
        <v>0</v>
      </c>
      <c r="S11" s="146">
        <f>IF(AND(S$2&gt;=Budget!$F11,S$2&lt;=IF(Budget!$H11=Budget!$Z$1,Budget!$K11,Budget!$J11)),Budget!$D11,0)</f>
        <v>0</v>
      </c>
      <c r="T11" s="146">
        <f>IF(AND(T$2&gt;=Budget!$F11,T$2&lt;=IF(Budget!$H11=Budget!$Z$1,Budget!$K11,Budget!$J11)),Budget!$D11,0)</f>
        <v>0</v>
      </c>
      <c r="U11" s="146">
        <f>IF(AND(U$2&gt;=Budget!$F11,U$2&lt;=IF(Budget!$H11=Budget!$Z$1,Budget!$K11,Budget!$J11)),Budget!$D11,0)</f>
        <v>0</v>
      </c>
      <c r="V11" s="146">
        <f>IF(AND(V$2&gt;=Budget!$F11,V$2&lt;=IF(Budget!$H11=Budget!$Z$1,Budget!$K11,Budget!$J11)),Budget!$D11,0)</f>
        <v>0</v>
      </c>
      <c r="W11" s="146">
        <f>IF(AND(W$2&gt;=Budget!$F11,W$2&lt;=IF(Budget!$H11=Budget!$Z$1,Budget!$K11,Budget!$J11)),Budget!$D11,0)</f>
        <v>0</v>
      </c>
      <c r="X11" s="146">
        <f>IF(AND(X$2&gt;=Budget!$F11,X$2&lt;=IF(Budget!$H11=Budget!$Z$1,Budget!$K11,Budget!$J11)),Budget!$D11,0)</f>
        <v>0</v>
      </c>
      <c r="Y11" s="146">
        <f>IF(AND(Y$2&gt;=Budget!$F11,Y$2&lt;=IF(Budget!$H11=Budget!$Z$1,Budget!$K11,Budget!$J11)),Budget!$D11,0)</f>
        <v>0</v>
      </c>
      <c r="Z11" s="146">
        <f>IF(AND(Z$2&gt;=Budget!$F11,Z$2&lt;=IF(Budget!$H11=Budget!$Z$1,Budget!$K11,Budget!$J11)),Budget!$D11,0)</f>
        <v>0</v>
      </c>
      <c r="AA11" s="146">
        <f>IF(AND(AA$2&gt;=Budget!$F11,AA$2&lt;=IF(Budget!$H11=Budget!$Z$1,Budget!$K11,Budget!$J11)),Budget!$D11,0)</f>
        <v>0</v>
      </c>
      <c r="AB11" s="146">
        <f>IF(AND(AB$2&gt;=Budget!$F11,AB$2&lt;=IF(Budget!$H11=Budget!$Z$1,Budget!$K11,Budget!$J11)),Budget!$D11,0)</f>
        <v>0</v>
      </c>
      <c r="AC11" s="146">
        <f>IF(AND(AC$2&gt;=Budget!$F11,AC$2&lt;=IF(Budget!$H11=Budget!$Z$1,Budget!$K11,Budget!$J11)),Budget!$D11,0)</f>
        <v>0</v>
      </c>
      <c r="AD11" s="146">
        <f>IF(AND(AD$2&gt;=Budget!$F11,AD$2&lt;=IF(Budget!$H11=Budget!$Z$1,Budget!$K11,Budget!$J11)),Budget!$D11,0)</f>
        <v>0</v>
      </c>
      <c r="AE11" s="146">
        <f>IF(AND(AE$2&gt;=Budget!$F11,AE$2&lt;=IF(Budget!$H11=Budget!$Z$1,Budget!$K11,Budget!$J11)),Budget!$D11,0)</f>
        <v>0</v>
      </c>
      <c r="AF11" s="146">
        <f>IF(AND(AF$2&gt;=Budget!$F11,AF$2&lt;=IF(Budget!$H11=Budget!$Z$1,Budget!$K11,Budget!$J11)),Budget!$D11,0)</f>
        <v>0</v>
      </c>
      <c r="AG11" s="146">
        <f>IF(AND(AG$2&gt;=Budget!$F11,AG$2&lt;=IF(Budget!$H11=Budget!$Z$1,Budget!$K11,Budget!$J11)),Budget!$D11,0)</f>
        <v>0</v>
      </c>
      <c r="AH11" s="146">
        <f>IF(AND(AH$2&gt;=Budget!$F11,AH$2&lt;=IF(Budget!$H11=Budget!$Z$1,Budget!$K11,Budget!$J11)),Budget!$D11,0)</f>
        <v>0</v>
      </c>
      <c r="AI11" s="146">
        <f>IF(AND(AI$2&gt;=Budget!$F11,AI$2&lt;=IF(Budget!$H11=Budget!$Z$1,Budget!$K11,Budget!$J11)),Budget!$D11,0)</f>
        <v>0</v>
      </c>
      <c r="AJ11" s="146">
        <f>IF(AND(AJ$2&gt;=Budget!$F11,AJ$2&lt;=IF(Budget!$H11=Budget!$Z$1,Budget!$K11,Budget!$J11)),Budget!$D11,0)</f>
        <v>0</v>
      </c>
      <c r="AK11" s="146">
        <f>IF(AND(AK$2&gt;=Budget!$F11,AK$2&lt;=IF(Budget!$H11=Budget!$Z$1,Budget!$K11,Budget!$J11)),Budget!$D11,0)</f>
        <v>0</v>
      </c>
      <c r="AL11" s="146">
        <f>IF(AND(AL$2&gt;=Budget!$F11,AL$2&lt;=IF(Budget!$H11=Budget!$Z$1,Budget!$K11,Budget!$J11)),Budget!$D11,0)</f>
        <v>0</v>
      </c>
      <c r="AM11" s="146">
        <f>IF(AND(AM$2&gt;=Budget!$F11,AM$2&lt;=IF(Budget!$H11=Budget!$Z$1,Budget!$K11,Budget!$J11)),Budget!$D11,0)</f>
        <v>0</v>
      </c>
      <c r="AN11" s="146">
        <f>IF(AND(AN$2&gt;=Budget!$F11,AN$2&lt;=IF(Budget!$H11=Budget!$Z$1,Budget!$K11,Budget!$J11)),Budget!$D11,0)</f>
        <v>0</v>
      </c>
      <c r="AO11" s="146">
        <f>IF(AND(AO$2&gt;=Budget!$F11,AO$2&lt;=IF(Budget!$H11=Budget!$Z$1,Budget!$K11,Budget!$J11)),Budget!$D11,0)</f>
        <v>0</v>
      </c>
      <c r="AP11" s="146">
        <f>IF(AND(AP$2&gt;=Budget!$F11,AP$2&lt;=IF(Budget!$H11=Budget!$Z$1,Budget!$K11,Budget!$J11)),Budget!$D11,0)</f>
        <v>0</v>
      </c>
      <c r="AQ11" s="146">
        <f>IF(AND(AQ$2&gt;=Budget!$F11,AQ$2&lt;=IF(Budget!$H11=Budget!$Z$1,Budget!$K11,Budget!$J11)),Budget!$D11,0)</f>
        <v>0</v>
      </c>
      <c r="AR11" s="146">
        <f>IF(AND(AR$2&gt;=Budget!$F11,AR$2&lt;=IF(Budget!$H11=Budget!$Z$1,Budget!$K11,Budget!$J11)),Budget!$D11,0)</f>
        <v>0</v>
      </c>
      <c r="AS11" s="146">
        <f>IF(AND(AS$2&gt;=Budget!$F11,AS$2&lt;=IF(Budget!$H11=Budget!$Z$1,Budget!$K11,Budget!$J11)),Budget!$D11,0)</f>
        <v>0</v>
      </c>
      <c r="AT11" s="146">
        <f>IF(AND(AT$2&gt;=Budget!$F11,AT$2&lt;=IF(Budget!$H11=Budget!$Z$1,Budget!$K11,Budget!$J11)),Budget!$D11,0)</f>
        <v>0</v>
      </c>
      <c r="AU11" s="146">
        <f>IF(AND(AU$2&gt;=Budget!$F11,AU$2&lt;=IF(Budget!$H11=Budget!$Z$1,Budget!$K11,Budget!$J11)),Budget!$D11,0)</f>
        <v>0</v>
      </c>
      <c r="AV11" s="146">
        <f>IF(AND(AV$2&gt;=Budget!$F11,AV$2&lt;=IF(Budget!$H11=Budget!$Z$1,Budget!$K11,Budget!$J11)),Budget!$D11,0)</f>
        <v>0</v>
      </c>
      <c r="AW11" s="146">
        <f>IF(AND(AW$2&gt;=Budget!$F11,AW$2&lt;=IF(Budget!$H11=Budget!$Z$1,Budget!$K11,Budget!$J11)),Budget!$D11,0)</f>
        <v>0</v>
      </c>
      <c r="AX11" s="146">
        <f>IF(AND(AX$2&gt;=Budget!$F11,AX$2&lt;=IF(Budget!$H11=Budget!$Z$1,Budget!$K11,Budget!$J11)),Budget!$D11,0)</f>
        <v>0</v>
      </c>
      <c r="AY11" s="146">
        <f>IF(AND(AY$2&gt;=Budget!$F11,AY$2&lt;=IF(Budget!$H11=Budget!$Z$1,Budget!$K11,Budget!$J11)),Budget!$D11,0)</f>
        <v>0</v>
      </c>
      <c r="AZ11" s="146">
        <f>IF(AND(AZ$2&gt;=Budget!$F11,AZ$2&lt;=IF(Budget!$H11=Budget!$Z$1,Budget!$K11,Budget!$J11)),Budget!$D11,0)</f>
        <v>0</v>
      </c>
      <c r="BA11" s="146">
        <f>IF(AND(BA$2&gt;=Budget!$F11,BA$2&lt;=IF(Budget!$H11=Budget!$Z$1,Budget!$K11,Budget!$J11)),Budget!$D11,0)</f>
        <v>0</v>
      </c>
      <c r="BB11" s="146">
        <f>IF(AND(BB$2&gt;=Budget!$F11,BB$2&lt;=IF(Budget!$H11=Budget!$Z$1,Budget!$K11,Budget!$J11)),Budget!$D11,0)</f>
        <v>0</v>
      </c>
      <c r="BC11" s="146">
        <f>IF(AND(BC$2&gt;=Budget!$F11,BC$2&lt;=IF(Budget!$H11=Budget!$Z$1,Budget!$K11,Budget!$J11)),Budget!$D11,0)</f>
        <v>0</v>
      </c>
      <c r="BD11" s="146">
        <f>IF(AND(BD$2&gt;=Budget!$F11,BD$2&lt;=IF(Budget!$H11=Budget!$Z$1,Budget!$K11,Budget!$J11)),Budget!$D11,0)</f>
        <v>0</v>
      </c>
      <c r="BE11" s="146">
        <f>IF(AND(BE$2&gt;=Budget!$F11,BE$2&lt;=IF(Budget!$H11=Budget!$Z$1,Budget!$K11,Budget!$J11)),Budget!$D11,0)</f>
        <v>0</v>
      </c>
      <c r="BF11" s="146">
        <f>IF(AND(BF$2&gt;=Budget!$F11,BF$2&lt;=IF(Budget!$H11=Budget!$Z$1,Budget!$K11,Budget!$J11)),Budget!$D11,0)</f>
        <v>0</v>
      </c>
    </row>
    <row r="12" spans="1:58" ht="14.4" x14ac:dyDescent="0.3">
      <c r="A12" s="142" t="str">
        <f>Budget!B12</f>
        <v>SG EPF</v>
      </c>
      <c r="B12" s="146">
        <f>IF(AND(B$2&gt;=Budget!$F12,B$2&lt;=IF(Budget!$H12=Budget!$Z$1,Budget!$K12,Budget!$J12)),Budget!$D12,0)</f>
        <v>1333332</v>
      </c>
      <c r="C12" s="146">
        <f>IF(AND(C$2&gt;=Budget!$F12,C$2&lt;=IF(Budget!$H12=Budget!$Z$1,Budget!$K12,Budget!$J12)),Budget!$D12,0)</f>
        <v>1333332</v>
      </c>
      <c r="D12" s="146">
        <f>IF(AND(D$2&gt;=Budget!$F12,D$2&lt;=IF(Budget!$H12=Budget!$Z$1,Budget!$K12,Budget!$J12)),Budget!$D12,0)</f>
        <v>1333332</v>
      </c>
      <c r="E12" s="146">
        <f>IF(AND(E$2&gt;=Budget!$F12,E$2&lt;=IF(Budget!$H12=Budget!$Z$1,Budget!$K12,Budget!$J12)),Budget!$D12,0)</f>
        <v>1333332</v>
      </c>
      <c r="F12" s="146">
        <f>IF(AND(F$2&gt;=Budget!$F12,F$2&lt;=IF(Budget!$H12=Budget!$Z$1,Budget!$K12,Budget!$J12)),Budget!$D12,0)</f>
        <v>1333332</v>
      </c>
      <c r="G12" s="146">
        <f>IF(AND(G$2&gt;=Budget!$F12,G$2&lt;=IF(Budget!$H12=Budget!$Z$1,Budget!$K12,Budget!$J12)),Budget!$D12,0)</f>
        <v>1333332</v>
      </c>
      <c r="H12" s="146">
        <f>IF(AND(H$2&gt;=Budget!$F12,H$2&lt;=IF(Budget!$H12=Budget!$Z$1,Budget!$K12,Budget!$J12)),Budget!$D12,0)</f>
        <v>1333332</v>
      </c>
      <c r="I12" s="146">
        <f>IF(AND(I$2&gt;=Budget!$F12,I$2&lt;=IF(Budget!$H12=Budget!$Z$1,Budget!$K12,Budget!$J12)),Budget!$D12,0)</f>
        <v>0</v>
      </c>
      <c r="J12" s="146">
        <f>IF(AND(J$2&gt;=Budget!$F12,J$2&lt;=IF(Budget!$H12=Budget!$Z$1,Budget!$K12,Budget!$J12)),Budget!$D12,0)</f>
        <v>0</v>
      </c>
      <c r="K12" s="146">
        <f>IF(AND(K$2&gt;=Budget!$F12,K$2&lt;=IF(Budget!$H12=Budget!$Z$1,Budget!$K12,Budget!$J12)),Budget!$D12,0)</f>
        <v>0</v>
      </c>
      <c r="L12" s="146">
        <f>IF(AND(L$2&gt;=Budget!$F12,L$2&lt;=IF(Budget!$H12=Budget!$Z$1,Budget!$K12,Budget!$J12)),Budget!$D12,0)</f>
        <v>0</v>
      </c>
      <c r="M12" s="146">
        <f>IF(AND(M$2&gt;=Budget!$F12,M$2&lt;=IF(Budget!$H12=Budget!$Z$1,Budget!$K12,Budget!$J12)),Budget!$D12,0)</f>
        <v>0</v>
      </c>
      <c r="N12" s="146">
        <f>IF(AND(N$2&gt;=Budget!$F12,N$2&lt;=IF(Budget!$H12=Budget!$Z$1,Budget!$K12,Budget!$J12)),Budget!$D12,0)</f>
        <v>0</v>
      </c>
      <c r="O12" s="146">
        <f>IF(AND(O$2&gt;=Budget!$F12,O$2&lt;=IF(Budget!$H12=Budget!$Z$1,Budget!$K12,Budget!$J12)),Budget!$D12,0)</f>
        <v>0</v>
      </c>
      <c r="P12" s="146">
        <f>IF(AND(P$2&gt;=Budget!$F12,P$2&lt;=IF(Budget!$H12=Budget!$Z$1,Budget!$K12,Budget!$J12)),Budget!$D12,0)</f>
        <v>0</v>
      </c>
      <c r="Q12" s="146">
        <f>IF(AND(Q$2&gt;=Budget!$F12,Q$2&lt;=IF(Budget!$H12=Budget!$Z$1,Budget!$K12,Budget!$J12)),Budget!$D12,0)</f>
        <v>0</v>
      </c>
      <c r="R12" s="146">
        <f>IF(AND(R$2&gt;=Budget!$F12,R$2&lt;=IF(Budget!$H12=Budget!$Z$1,Budget!$K12,Budget!$J12)),Budget!$D12,0)</f>
        <v>0</v>
      </c>
      <c r="S12" s="146">
        <f>IF(AND(S$2&gt;=Budget!$F12,S$2&lt;=IF(Budget!$H12=Budget!$Z$1,Budget!$K12,Budget!$J12)),Budget!$D12,0)</f>
        <v>0</v>
      </c>
      <c r="T12" s="146">
        <f>IF(AND(T$2&gt;=Budget!$F12,T$2&lt;=IF(Budget!$H12=Budget!$Z$1,Budget!$K12,Budget!$J12)),Budget!$D12,0)</f>
        <v>0</v>
      </c>
      <c r="U12" s="146">
        <f>IF(AND(U$2&gt;=Budget!$F12,U$2&lt;=IF(Budget!$H12=Budget!$Z$1,Budget!$K12,Budget!$J12)),Budget!$D12,0)</f>
        <v>0</v>
      </c>
      <c r="V12" s="146">
        <f>IF(AND(V$2&gt;=Budget!$F12,V$2&lt;=IF(Budget!$H12=Budget!$Z$1,Budget!$K12,Budget!$J12)),Budget!$D12,0)</f>
        <v>0</v>
      </c>
      <c r="W12" s="146">
        <f>IF(AND(W$2&gt;=Budget!$F12,W$2&lt;=IF(Budget!$H12=Budget!$Z$1,Budget!$K12,Budget!$J12)),Budget!$D12,0)</f>
        <v>0</v>
      </c>
      <c r="X12" s="146">
        <f>IF(AND(X$2&gt;=Budget!$F12,X$2&lt;=IF(Budget!$H12=Budget!$Z$1,Budget!$K12,Budget!$J12)),Budget!$D12,0)</f>
        <v>0</v>
      </c>
      <c r="Y12" s="146">
        <f>IF(AND(Y$2&gt;=Budget!$F12,Y$2&lt;=IF(Budget!$H12=Budget!$Z$1,Budget!$K12,Budget!$J12)),Budget!$D12,0)</f>
        <v>0</v>
      </c>
      <c r="Z12" s="146">
        <f>IF(AND(Z$2&gt;=Budget!$F12,Z$2&lt;=IF(Budget!$H12=Budget!$Z$1,Budget!$K12,Budget!$J12)),Budget!$D12,0)</f>
        <v>0</v>
      </c>
      <c r="AA12" s="146">
        <f>IF(AND(AA$2&gt;=Budget!$F12,AA$2&lt;=IF(Budget!$H12=Budget!$Z$1,Budget!$K12,Budget!$J12)),Budget!$D12,0)</f>
        <v>0</v>
      </c>
      <c r="AB12" s="146">
        <f>IF(AND(AB$2&gt;=Budget!$F12,AB$2&lt;=IF(Budget!$H12=Budget!$Z$1,Budget!$K12,Budget!$J12)),Budget!$D12,0)</f>
        <v>0</v>
      </c>
      <c r="AC12" s="146">
        <f>IF(AND(AC$2&gt;=Budget!$F12,AC$2&lt;=IF(Budget!$H12=Budget!$Z$1,Budget!$K12,Budget!$J12)),Budget!$D12,0)</f>
        <v>0</v>
      </c>
      <c r="AD12" s="146">
        <f>IF(AND(AD$2&gt;=Budget!$F12,AD$2&lt;=IF(Budget!$H12=Budget!$Z$1,Budget!$K12,Budget!$J12)),Budget!$D12,0)</f>
        <v>0</v>
      </c>
      <c r="AE12" s="146">
        <f>IF(AND(AE$2&gt;=Budget!$F12,AE$2&lt;=IF(Budget!$H12=Budget!$Z$1,Budget!$K12,Budget!$J12)),Budget!$D12,0)</f>
        <v>0</v>
      </c>
      <c r="AF12" s="146">
        <f>IF(AND(AF$2&gt;=Budget!$F12,AF$2&lt;=IF(Budget!$H12=Budget!$Z$1,Budget!$K12,Budget!$J12)),Budget!$D12,0)</f>
        <v>0</v>
      </c>
      <c r="AG12" s="146">
        <f>IF(AND(AG$2&gt;=Budget!$F12,AG$2&lt;=IF(Budget!$H12=Budget!$Z$1,Budget!$K12,Budget!$J12)),Budget!$D12,0)</f>
        <v>0</v>
      </c>
      <c r="AH12" s="146">
        <f>IF(AND(AH$2&gt;=Budget!$F12,AH$2&lt;=IF(Budget!$H12=Budget!$Z$1,Budget!$K12,Budget!$J12)),Budget!$D12,0)</f>
        <v>0</v>
      </c>
      <c r="AI12" s="146">
        <f>IF(AND(AI$2&gt;=Budget!$F12,AI$2&lt;=IF(Budget!$H12=Budget!$Z$1,Budget!$K12,Budget!$J12)),Budget!$D12,0)</f>
        <v>0</v>
      </c>
      <c r="AJ12" s="146">
        <f>IF(AND(AJ$2&gt;=Budget!$F12,AJ$2&lt;=IF(Budget!$H12=Budget!$Z$1,Budget!$K12,Budget!$J12)),Budget!$D12,0)</f>
        <v>0</v>
      </c>
      <c r="AK12" s="146">
        <f>IF(AND(AK$2&gt;=Budget!$F12,AK$2&lt;=IF(Budget!$H12=Budget!$Z$1,Budget!$K12,Budget!$J12)),Budget!$D12,0)</f>
        <v>0</v>
      </c>
      <c r="AL12" s="146">
        <f>IF(AND(AL$2&gt;=Budget!$F12,AL$2&lt;=IF(Budget!$H12=Budget!$Z$1,Budget!$K12,Budget!$J12)),Budget!$D12,0)</f>
        <v>0</v>
      </c>
      <c r="AM12" s="146">
        <f>IF(AND(AM$2&gt;=Budget!$F12,AM$2&lt;=IF(Budget!$H12=Budget!$Z$1,Budget!$K12,Budget!$J12)),Budget!$D12,0)</f>
        <v>0</v>
      </c>
      <c r="AN12" s="146">
        <f>IF(AND(AN$2&gt;=Budget!$F12,AN$2&lt;=IF(Budget!$H12=Budget!$Z$1,Budget!$K12,Budget!$J12)),Budget!$D12,0)</f>
        <v>0</v>
      </c>
      <c r="AO12" s="146">
        <f>IF(AND(AO$2&gt;=Budget!$F12,AO$2&lt;=IF(Budget!$H12=Budget!$Z$1,Budget!$K12,Budget!$J12)),Budget!$D12,0)</f>
        <v>0</v>
      </c>
      <c r="AP12" s="146">
        <f>IF(AND(AP$2&gt;=Budget!$F12,AP$2&lt;=IF(Budget!$H12=Budget!$Z$1,Budget!$K12,Budget!$J12)),Budget!$D12,0)</f>
        <v>0</v>
      </c>
      <c r="AQ12" s="146">
        <f>IF(AND(AQ$2&gt;=Budget!$F12,AQ$2&lt;=IF(Budget!$H12=Budget!$Z$1,Budget!$K12,Budget!$J12)),Budget!$D12,0)</f>
        <v>0</v>
      </c>
      <c r="AR12" s="146">
        <f>IF(AND(AR$2&gt;=Budget!$F12,AR$2&lt;=IF(Budget!$H12=Budget!$Z$1,Budget!$K12,Budget!$J12)),Budget!$D12,0)</f>
        <v>0</v>
      </c>
      <c r="AS12" s="146">
        <f>IF(AND(AS$2&gt;=Budget!$F12,AS$2&lt;=IF(Budget!$H12=Budget!$Z$1,Budget!$K12,Budget!$J12)),Budget!$D12,0)</f>
        <v>0</v>
      </c>
      <c r="AT12" s="146">
        <f>IF(AND(AT$2&gt;=Budget!$F12,AT$2&lt;=IF(Budget!$H12=Budget!$Z$1,Budget!$K12,Budget!$J12)),Budget!$D12,0)</f>
        <v>0</v>
      </c>
      <c r="AU12" s="146">
        <f>IF(AND(AU$2&gt;=Budget!$F12,AU$2&lt;=IF(Budget!$H12=Budget!$Z$1,Budget!$K12,Budget!$J12)),Budget!$D12,0)</f>
        <v>0</v>
      </c>
      <c r="AV12" s="146">
        <f>IF(AND(AV$2&gt;=Budget!$F12,AV$2&lt;=IF(Budget!$H12=Budget!$Z$1,Budget!$K12,Budget!$J12)),Budget!$D12,0)</f>
        <v>0</v>
      </c>
      <c r="AW12" s="146">
        <f>IF(AND(AW$2&gt;=Budget!$F12,AW$2&lt;=IF(Budget!$H12=Budget!$Z$1,Budget!$K12,Budget!$J12)),Budget!$D12,0)</f>
        <v>0</v>
      </c>
      <c r="AX12" s="146">
        <f>IF(AND(AX$2&gt;=Budget!$F12,AX$2&lt;=IF(Budget!$H12=Budget!$Z$1,Budget!$K12,Budget!$J12)),Budget!$D12,0)</f>
        <v>0</v>
      </c>
      <c r="AY12" s="146">
        <f>IF(AND(AY$2&gt;=Budget!$F12,AY$2&lt;=IF(Budget!$H12=Budget!$Z$1,Budget!$K12,Budget!$J12)),Budget!$D12,0)</f>
        <v>0</v>
      </c>
      <c r="AZ12" s="146">
        <f>IF(AND(AZ$2&gt;=Budget!$F12,AZ$2&lt;=IF(Budget!$H12=Budget!$Z$1,Budget!$K12,Budget!$J12)),Budget!$D12,0)</f>
        <v>0</v>
      </c>
      <c r="BA12" s="146">
        <f>IF(AND(BA$2&gt;=Budget!$F12,BA$2&lt;=IF(Budget!$H12=Budget!$Z$1,Budget!$K12,Budget!$J12)),Budget!$D12,0)</f>
        <v>0</v>
      </c>
      <c r="BB12" s="146">
        <f>IF(AND(BB$2&gt;=Budget!$F12,BB$2&lt;=IF(Budget!$H12=Budget!$Z$1,Budget!$K12,Budget!$J12)),Budget!$D12,0)</f>
        <v>0</v>
      </c>
      <c r="BC12" s="146">
        <f>IF(AND(BC$2&gt;=Budget!$F12,BC$2&lt;=IF(Budget!$H12=Budget!$Z$1,Budget!$K12,Budget!$J12)),Budget!$D12,0)</f>
        <v>0</v>
      </c>
      <c r="BD12" s="146">
        <f>IF(AND(BD$2&gt;=Budget!$F12,BD$2&lt;=IF(Budget!$H12=Budget!$Z$1,Budget!$K12,Budget!$J12)),Budget!$D12,0)</f>
        <v>0</v>
      </c>
      <c r="BE12" s="146">
        <f>IF(AND(BE$2&gt;=Budget!$F12,BE$2&lt;=IF(Budget!$H12=Budget!$Z$1,Budget!$K12,Budget!$J12)),Budget!$D12,0)</f>
        <v>0</v>
      </c>
      <c r="BF12" s="146">
        <f>IF(AND(BF$2&gt;=Budget!$F12,BF$2&lt;=IF(Budget!$H12=Budget!$Z$1,Budget!$K12,Budget!$J12)),Budget!$D12,0)</f>
        <v>0</v>
      </c>
    </row>
    <row r="13" spans="1:58" ht="14.4" x14ac:dyDescent="0.3">
      <c r="A13" s="142" t="str">
        <f>Budget!B13</f>
        <v>SG Post Ret Income</v>
      </c>
      <c r="B13" s="146">
        <f>IF(AND(B$2&gt;=Budget!$F13,B$2&lt;=IF(Budget!$H13=Budget!$Z$1,Budget!$K13,Budget!$J13)),Budget!$D13,0)</f>
        <v>0</v>
      </c>
      <c r="C13" s="146">
        <f>IF(AND(C$2&gt;=Budget!$F13,C$2&lt;=IF(Budget!$H13=Budget!$Z$1,Budget!$K13,Budget!$J13)),Budget!$D13,0)</f>
        <v>0</v>
      </c>
      <c r="D13" s="146">
        <f>IF(AND(D$2&gt;=Budget!$F13,D$2&lt;=IF(Budget!$H13=Budget!$Z$1,Budget!$K13,Budget!$J13)),Budget!$D13,0)</f>
        <v>0</v>
      </c>
      <c r="E13" s="146">
        <f>IF(AND(E$2&gt;=Budget!$F13,E$2&lt;=IF(Budget!$H13=Budget!$Z$1,Budget!$K13,Budget!$J13)),Budget!$D13,0)</f>
        <v>0</v>
      </c>
      <c r="F13" s="146">
        <f>IF(AND(F$2&gt;=Budget!$F13,F$2&lt;=IF(Budget!$H13=Budget!$Z$1,Budget!$K13,Budget!$J13)),Budget!$D13,0)</f>
        <v>0</v>
      </c>
      <c r="G13" s="146">
        <f>IF(AND(G$2&gt;=Budget!$F13,G$2&lt;=IF(Budget!$H13=Budget!$Z$1,Budget!$K13,Budget!$J13)),Budget!$D13,0)</f>
        <v>0</v>
      </c>
      <c r="H13" s="146">
        <f>IF(AND(H$2&gt;=Budget!$F13,H$2&lt;=IF(Budget!$H13=Budget!$Z$1,Budget!$K13,Budget!$J13)),Budget!$D13,0)</f>
        <v>0</v>
      </c>
      <c r="I13" s="146">
        <f>IF(AND(I$2&gt;=Budget!$F13,I$2&lt;=IF(Budget!$H13=Budget!$Z$1,Budget!$K13,Budget!$J13)),Budget!$D13,0)</f>
        <v>5000000</v>
      </c>
      <c r="J13" s="146">
        <f>IF(AND(J$2&gt;=Budget!$F13,J$2&lt;=IF(Budget!$H13=Budget!$Z$1,Budget!$K13,Budget!$J13)),Budget!$D13,0)</f>
        <v>5000000</v>
      </c>
      <c r="K13" s="146">
        <f>IF(AND(K$2&gt;=Budget!$F13,K$2&lt;=IF(Budget!$H13=Budget!$Z$1,Budget!$K13,Budget!$J13)),Budget!$D13,0)</f>
        <v>5000000</v>
      </c>
      <c r="L13" s="146">
        <f>IF(AND(L$2&gt;=Budget!$F13,L$2&lt;=IF(Budget!$H13=Budget!$Z$1,Budget!$K13,Budget!$J13)),Budget!$D13,0)</f>
        <v>5000000</v>
      </c>
      <c r="M13" s="146">
        <f>IF(AND(M$2&gt;=Budget!$F13,M$2&lt;=IF(Budget!$H13=Budget!$Z$1,Budget!$K13,Budget!$J13)),Budget!$D13,0)</f>
        <v>5000000</v>
      </c>
      <c r="N13" s="146">
        <f>IF(AND(N$2&gt;=Budget!$F13,N$2&lt;=IF(Budget!$H13=Budget!$Z$1,Budget!$K13,Budget!$J13)),Budget!$D13,0)</f>
        <v>5000000</v>
      </c>
      <c r="O13" s="146">
        <f>IF(AND(O$2&gt;=Budget!$F13,O$2&lt;=IF(Budget!$H13=Budget!$Z$1,Budget!$K13,Budget!$J13)),Budget!$D13,0)</f>
        <v>5000000</v>
      </c>
      <c r="P13" s="146">
        <f>IF(AND(P$2&gt;=Budget!$F13,P$2&lt;=IF(Budget!$H13=Budget!$Z$1,Budget!$K13,Budget!$J13)),Budget!$D13,0)</f>
        <v>0</v>
      </c>
      <c r="Q13" s="146">
        <f>IF(AND(Q$2&gt;=Budget!$F13,Q$2&lt;=IF(Budget!$H13=Budget!$Z$1,Budget!$K13,Budget!$J13)),Budget!$D13,0)</f>
        <v>0</v>
      </c>
      <c r="R13" s="146">
        <f>IF(AND(R$2&gt;=Budget!$F13,R$2&lt;=IF(Budget!$H13=Budget!$Z$1,Budget!$K13,Budget!$J13)),Budget!$D13,0)</f>
        <v>0</v>
      </c>
      <c r="S13" s="146">
        <f>IF(AND(S$2&gt;=Budget!$F13,S$2&lt;=IF(Budget!$H13=Budget!$Z$1,Budget!$K13,Budget!$J13)),Budget!$D13,0)</f>
        <v>0</v>
      </c>
      <c r="T13" s="146">
        <f>IF(AND(T$2&gt;=Budget!$F13,T$2&lt;=IF(Budget!$H13=Budget!$Z$1,Budget!$K13,Budget!$J13)),Budget!$D13,0)</f>
        <v>0</v>
      </c>
      <c r="U13" s="146">
        <f>IF(AND(U$2&gt;=Budget!$F13,U$2&lt;=IF(Budget!$H13=Budget!$Z$1,Budget!$K13,Budget!$J13)),Budget!$D13,0)</f>
        <v>0</v>
      </c>
      <c r="V13" s="146">
        <f>IF(AND(V$2&gt;=Budget!$F13,V$2&lt;=IF(Budget!$H13=Budget!$Z$1,Budget!$K13,Budget!$J13)),Budget!$D13,0)</f>
        <v>0</v>
      </c>
      <c r="W13" s="146">
        <f>IF(AND(W$2&gt;=Budget!$F13,W$2&lt;=IF(Budget!$H13=Budget!$Z$1,Budget!$K13,Budget!$J13)),Budget!$D13,0)</f>
        <v>0</v>
      </c>
      <c r="X13" s="146">
        <f>IF(AND(X$2&gt;=Budget!$F13,X$2&lt;=IF(Budget!$H13=Budget!$Z$1,Budget!$K13,Budget!$J13)),Budget!$D13,0)</f>
        <v>0</v>
      </c>
      <c r="Y13" s="146">
        <f>IF(AND(Y$2&gt;=Budget!$F13,Y$2&lt;=IF(Budget!$H13=Budget!$Z$1,Budget!$K13,Budget!$J13)),Budget!$D13,0)</f>
        <v>0</v>
      </c>
      <c r="Z13" s="146">
        <f>IF(AND(Z$2&gt;=Budget!$F13,Z$2&lt;=IF(Budget!$H13=Budget!$Z$1,Budget!$K13,Budget!$J13)),Budget!$D13,0)</f>
        <v>0</v>
      </c>
      <c r="AA13" s="146">
        <f>IF(AND(AA$2&gt;=Budget!$F13,AA$2&lt;=IF(Budget!$H13=Budget!$Z$1,Budget!$K13,Budget!$J13)),Budget!$D13,0)</f>
        <v>0</v>
      </c>
      <c r="AB13" s="146">
        <f>IF(AND(AB$2&gt;=Budget!$F13,AB$2&lt;=IF(Budget!$H13=Budget!$Z$1,Budget!$K13,Budget!$J13)),Budget!$D13,0)</f>
        <v>0</v>
      </c>
      <c r="AC13" s="146">
        <f>IF(AND(AC$2&gt;=Budget!$F13,AC$2&lt;=IF(Budget!$H13=Budget!$Z$1,Budget!$K13,Budget!$J13)),Budget!$D13,0)</f>
        <v>0</v>
      </c>
      <c r="AD13" s="146">
        <f>IF(AND(AD$2&gt;=Budget!$F13,AD$2&lt;=IF(Budget!$H13=Budget!$Z$1,Budget!$K13,Budget!$J13)),Budget!$D13,0)</f>
        <v>0</v>
      </c>
      <c r="AE13" s="146">
        <f>IF(AND(AE$2&gt;=Budget!$F13,AE$2&lt;=IF(Budget!$H13=Budget!$Z$1,Budget!$K13,Budget!$J13)),Budget!$D13,0)</f>
        <v>0</v>
      </c>
      <c r="AF13" s="146">
        <f>IF(AND(AF$2&gt;=Budget!$F13,AF$2&lt;=IF(Budget!$H13=Budget!$Z$1,Budget!$K13,Budget!$J13)),Budget!$D13,0)</f>
        <v>0</v>
      </c>
      <c r="AG13" s="146">
        <f>IF(AND(AG$2&gt;=Budget!$F13,AG$2&lt;=IF(Budget!$H13=Budget!$Z$1,Budget!$K13,Budget!$J13)),Budget!$D13,0)</f>
        <v>0</v>
      </c>
      <c r="AH13" s="146">
        <f>IF(AND(AH$2&gt;=Budget!$F13,AH$2&lt;=IF(Budget!$H13=Budget!$Z$1,Budget!$K13,Budget!$J13)),Budget!$D13,0)</f>
        <v>0</v>
      </c>
      <c r="AI13" s="146">
        <f>IF(AND(AI$2&gt;=Budget!$F13,AI$2&lt;=IF(Budget!$H13=Budget!$Z$1,Budget!$K13,Budget!$J13)),Budget!$D13,0)</f>
        <v>0</v>
      </c>
      <c r="AJ13" s="146">
        <f>IF(AND(AJ$2&gt;=Budget!$F13,AJ$2&lt;=IF(Budget!$H13=Budget!$Z$1,Budget!$K13,Budget!$J13)),Budget!$D13,0)</f>
        <v>0</v>
      </c>
      <c r="AK13" s="146">
        <f>IF(AND(AK$2&gt;=Budget!$F13,AK$2&lt;=IF(Budget!$H13=Budget!$Z$1,Budget!$K13,Budget!$J13)),Budget!$D13,0)</f>
        <v>0</v>
      </c>
      <c r="AL13" s="146">
        <f>IF(AND(AL$2&gt;=Budget!$F13,AL$2&lt;=IF(Budget!$H13=Budget!$Z$1,Budget!$K13,Budget!$J13)),Budget!$D13,0)</f>
        <v>0</v>
      </c>
      <c r="AM13" s="146">
        <f>IF(AND(AM$2&gt;=Budget!$F13,AM$2&lt;=IF(Budget!$H13=Budget!$Z$1,Budget!$K13,Budget!$J13)),Budget!$D13,0)</f>
        <v>0</v>
      </c>
      <c r="AN13" s="146">
        <f>IF(AND(AN$2&gt;=Budget!$F13,AN$2&lt;=IF(Budget!$H13=Budget!$Z$1,Budget!$K13,Budget!$J13)),Budget!$D13,0)</f>
        <v>0</v>
      </c>
      <c r="AO13" s="146">
        <f>IF(AND(AO$2&gt;=Budget!$F13,AO$2&lt;=IF(Budget!$H13=Budget!$Z$1,Budget!$K13,Budget!$J13)),Budget!$D13,0)</f>
        <v>0</v>
      </c>
      <c r="AP13" s="146">
        <f>IF(AND(AP$2&gt;=Budget!$F13,AP$2&lt;=IF(Budget!$H13=Budget!$Z$1,Budget!$K13,Budget!$J13)),Budget!$D13,0)</f>
        <v>0</v>
      </c>
      <c r="AQ13" s="146">
        <f>IF(AND(AQ$2&gt;=Budget!$F13,AQ$2&lt;=IF(Budget!$H13=Budget!$Z$1,Budget!$K13,Budget!$J13)),Budget!$D13,0)</f>
        <v>0</v>
      </c>
      <c r="AR13" s="146">
        <f>IF(AND(AR$2&gt;=Budget!$F13,AR$2&lt;=IF(Budget!$H13=Budget!$Z$1,Budget!$K13,Budget!$J13)),Budget!$D13,0)</f>
        <v>0</v>
      </c>
      <c r="AS13" s="146">
        <f>IF(AND(AS$2&gt;=Budget!$F13,AS$2&lt;=IF(Budget!$H13=Budget!$Z$1,Budget!$K13,Budget!$J13)),Budget!$D13,0)</f>
        <v>0</v>
      </c>
      <c r="AT13" s="146">
        <f>IF(AND(AT$2&gt;=Budget!$F13,AT$2&lt;=IF(Budget!$H13=Budget!$Z$1,Budget!$K13,Budget!$J13)),Budget!$D13,0)</f>
        <v>0</v>
      </c>
      <c r="AU13" s="146">
        <f>IF(AND(AU$2&gt;=Budget!$F13,AU$2&lt;=IF(Budget!$H13=Budget!$Z$1,Budget!$K13,Budget!$J13)),Budget!$D13,0)</f>
        <v>0</v>
      </c>
      <c r="AV13" s="146">
        <f>IF(AND(AV$2&gt;=Budget!$F13,AV$2&lt;=IF(Budget!$H13=Budget!$Z$1,Budget!$K13,Budget!$J13)),Budget!$D13,0)</f>
        <v>0</v>
      </c>
      <c r="AW13" s="146">
        <f>IF(AND(AW$2&gt;=Budget!$F13,AW$2&lt;=IF(Budget!$H13=Budget!$Z$1,Budget!$K13,Budget!$J13)),Budget!$D13,0)</f>
        <v>0</v>
      </c>
      <c r="AX13" s="146">
        <f>IF(AND(AX$2&gt;=Budget!$F13,AX$2&lt;=IF(Budget!$H13=Budget!$Z$1,Budget!$K13,Budget!$J13)),Budget!$D13,0)</f>
        <v>0</v>
      </c>
      <c r="AY13" s="146">
        <f>IF(AND(AY$2&gt;=Budget!$F13,AY$2&lt;=IF(Budget!$H13=Budget!$Z$1,Budget!$K13,Budget!$J13)),Budget!$D13,0)</f>
        <v>0</v>
      </c>
      <c r="AZ13" s="146">
        <f>IF(AND(AZ$2&gt;=Budget!$F13,AZ$2&lt;=IF(Budget!$H13=Budget!$Z$1,Budget!$K13,Budget!$J13)),Budget!$D13,0)</f>
        <v>0</v>
      </c>
      <c r="BA13" s="146">
        <f>IF(AND(BA$2&gt;=Budget!$F13,BA$2&lt;=IF(Budget!$H13=Budget!$Z$1,Budget!$K13,Budget!$J13)),Budget!$D13,0)</f>
        <v>0</v>
      </c>
      <c r="BB13" s="146">
        <f>IF(AND(BB$2&gt;=Budget!$F13,BB$2&lt;=IF(Budget!$H13=Budget!$Z$1,Budget!$K13,Budget!$J13)),Budget!$D13,0)</f>
        <v>0</v>
      </c>
      <c r="BC13" s="146">
        <f>IF(AND(BC$2&gt;=Budget!$F13,BC$2&lt;=IF(Budget!$H13=Budget!$Z$1,Budget!$K13,Budget!$J13)),Budget!$D13,0)</f>
        <v>0</v>
      </c>
      <c r="BD13" s="146">
        <f>IF(AND(BD$2&gt;=Budget!$F13,BD$2&lt;=IF(Budget!$H13=Budget!$Z$1,Budget!$K13,Budget!$J13)),Budget!$D13,0)</f>
        <v>0</v>
      </c>
      <c r="BE13" s="146">
        <f>IF(AND(BE$2&gt;=Budget!$F13,BE$2&lt;=IF(Budget!$H13=Budget!$Z$1,Budget!$K13,Budget!$J13)),Budget!$D13,0)</f>
        <v>0</v>
      </c>
      <c r="BF13" s="146">
        <f>IF(AND(BF$2&gt;=Budget!$F13,BF$2&lt;=IF(Budget!$H13=Budget!$Z$1,Budget!$K13,Budget!$J13)),Budget!$D13,0)</f>
        <v>0</v>
      </c>
    </row>
    <row r="14" spans="1:58" ht="14.4" x14ac:dyDescent="0.3">
      <c r="A14" s="142">
        <f>Budget!B14</f>
        <v>0</v>
      </c>
      <c r="B14" s="146">
        <f>IF(AND(B$2&gt;=Budget!$F14,B$2&lt;=IF(Budget!$H14=Budget!$Z$1,Budget!$K14,Budget!$J14)),Budget!$D14,0)</f>
        <v>0</v>
      </c>
      <c r="C14" s="146">
        <f>IF(AND(C$2&gt;=Budget!$F14,C$2&lt;=IF(Budget!$H14=Budget!$Z$1,Budget!$K14,Budget!$J14)),Budget!$D14,0)</f>
        <v>0</v>
      </c>
      <c r="D14" s="146">
        <f>IF(AND(D$2&gt;=Budget!$F14,D$2&lt;=IF(Budget!$H14=Budget!$Z$1,Budget!$K14,Budget!$J14)),Budget!$D14,0)</f>
        <v>0</v>
      </c>
      <c r="E14" s="146">
        <f>IF(AND(E$2&gt;=Budget!$F14,E$2&lt;=IF(Budget!$H14=Budget!$Z$1,Budget!$K14,Budget!$J14)),Budget!$D14,0)</f>
        <v>0</v>
      </c>
      <c r="F14" s="146">
        <f>IF(AND(F$2&gt;=Budget!$F14,F$2&lt;=IF(Budget!$H14=Budget!$Z$1,Budget!$K14,Budget!$J14)),Budget!$D14,0)</f>
        <v>0</v>
      </c>
      <c r="G14" s="146">
        <f>IF(AND(G$2&gt;=Budget!$F14,G$2&lt;=IF(Budget!$H14=Budget!$Z$1,Budget!$K14,Budget!$J14)),Budget!$D14,0)</f>
        <v>0</v>
      </c>
      <c r="H14" s="146">
        <f>IF(AND(H$2&gt;=Budget!$F14,H$2&lt;=IF(Budget!$H14=Budget!$Z$1,Budget!$K14,Budget!$J14)),Budget!$D14,0)</f>
        <v>0</v>
      </c>
      <c r="I14" s="146">
        <f>IF(AND(I$2&gt;=Budget!$F14,I$2&lt;=IF(Budget!$H14=Budget!$Z$1,Budget!$K14,Budget!$J14)),Budget!$D14,0)</f>
        <v>0</v>
      </c>
      <c r="J14" s="146">
        <f>IF(AND(J$2&gt;=Budget!$F14,J$2&lt;=IF(Budget!$H14=Budget!$Z$1,Budget!$K14,Budget!$J14)),Budget!$D14,0)</f>
        <v>0</v>
      </c>
      <c r="K14" s="146">
        <f>IF(AND(K$2&gt;=Budget!$F14,K$2&lt;=IF(Budget!$H14=Budget!$Z$1,Budget!$K14,Budget!$J14)),Budget!$D14,0)</f>
        <v>0</v>
      </c>
      <c r="L14" s="146">
        <f>IF(AND(L$2&gt;=Budget!$F14,L$2&lt;=IF(Budget!$H14=Budget!$Z$1,Budget!$K14,Budget!$J14)),Budget!$D14,0)</f>
        <v>0</v>
      </c>
      <c r="M14" s="146">
        <f>IF(AND(M$2&gt;=Budget!$F14,M$2&lt;=IF(Budget!$H14=Budget!$Z$1,Budget!$K14,Budget!$J14)),Budget!$D14,0)</f>
        <v>0</v>
      </c>
      <c r="N14" s="146">
        <f>IF(AND(N$2&gt;=Budget!$F14,N$2&lt;=IF(Budget!$H14=Budget!$Z$1,Budget!$K14,Budget!$J14)),Budget!$D14,0)</f>
        <v>0</v>
      </c>
      <c r="O14" s="146">
        <f>IF(AND(O$2&gt;=Budget!$F14,O$2&lt;=IF(Budget!$H14=Budget!$Z$1,Budget!$K14,Budget!$J14)),Budget!$D14,0)</f>
        <v>0</v>
      </c>
      <c r="P14" s="146">
        <f>IF(AND(P$2&gt;=Budget!$F14,P$2&lt;=IF(Budget!$H14=Budget!$Z$1,Budget!$K14,Budget!$J14)),Budget!$D14,0)</f>
        <v>0</v>
      </c>
      <c r="Q14" s="146">
        <f>IF(AND(Q$2&gt;=Budget!$F14,Q$2&lt;=IF(Budget!$H14=Budget!$Z$1,Budget!$K14,Budget!$J14)),Budget!$D14,0)</f>
        <v>0</v>
      </c>
      <c r="R14" s="146">
        <f>IF(AND(R$2&gt;=Budget!$F14,R$2&lt;=IF(Budget!$H14=Budget!$Z$1,Budget!$K14,Budget!$J14)),Budget!$D14,0)</f>
        <v>0</v>
      </c>
      <c r="S14" s="146">
        <f>IF(AND(S$2&gt;=Budget!$F14,S$2&lt;=IF(Budget!$H14=Budget!$Z$1,Budget!$K14,Budget!$J14)),Budget!$D14,0)</f>
        <v>0</v>
      </c>
      <c r="T14" s="146">
        <f>IF(AND(T$2&gt;=Budget!$F14,T$2&lt;=IF(Budget!$H14=Budget!$Z$1,Budget!$K14,Budget!$J14)),Budget!$D14,0)</f>
        <v>0</v>
      </c>
      <c r="U14" s="146">
        <f>IF(AND(U$2&gt;=Budget!$F14,U$2&lt;=IF(Budget!$H14=Budget!$Z$1,Budget!$K14,Budget!$J14)),Budget!$D14,0)</f>
        <v>0</v>
      </c>
      <c r="V14" s="146">
        <f>IF(AND(V$2&gt;=Budget!$F14,V$2&lt;=IF(Budget!$H14=Budget!$Z$1,Budget!$K14,Budget!$J14)),Budget!$D14,0)</f>
        <v>0</v>
      </c>
      <c r="W14" s="146">
        <f>IF(AND(W$2&gt;=Budget!$F14,W$2&lt;=IF(Budget!$H14=Budget!$Z$1,Budget!$K14,Budget!$J14)),Budget!$D14,0)</f>
        <v>0</v>
      </c>
      <c r="X14" s="146">
        <f>IF(AND(X$2&gt;=Budget!$F14,X$2&lt;=IF(Budget!$H14=Budget!$Z$1,Budget!$K14,Budget!$J14)),Budget!$D14,0)</f>
        <v>0</v>
      </c>
      <c r="Y14" s="146">
        <f>IF(AND(Y$2&gt;=Budget!$F14,Y$2&lt;=IF(Budget!$H14=Budget!$Z$1,Budget!$K14,Budget!$J14)),Budget!$D14,0)</f>
        <v>0</v>
      </c>
      <c r="Z14" s="146">
        <f>IF(AND(Z$2&gt;=Budget!$F14,Z$2&lt;=IF(Budget!$H14=Budget!$Z$1,Budget!$K14,Budget!$J14)),Budget!$D14,0)</f>
        <v>0</v>
      </c>
      <c r="AA14" s="146">
        <f>IF(AND(AA$2&gt;=Budget!$F14,AA$2&lt;=IF(Budget!$H14=Budget!$Z$1,Budget!$K14,Budget!$J14)),Budget!$D14,0)</f>
        <v>0</v>
      </c>
      <c r="AB14" s="146">
        <f>IF(AND(AB$2&gt;=Budget!$F14,AB$2&lt;=IF(Budget!$H14=Budget!$Z$1,Budget!$K14,Budget!$J14)),Budget!$D14,0)</f>
        <v>0</v>
      </c>
      <c r="AC14" s="146">
        <f>IF(AND(AC$2&gt;=Budget!$F14,AC$2&lt;=IF(Budget!$H14=Budget!$Z$1,Budget!$K14,Budget!$J14)),Budget!$D14,0)</f>
        <v>0</v>
      </c>
      <c r="AD14" s="146">
        <f>IF(AND(AD$2&gt;=Budget!$F14,AD$2&lt;=IF(Budget!$H14=Budget!$Z$1,Budget!$K14,Budget!$J14)),Budget!$D14,0)</f>
        <v>0</v>
      </c>
      <c r="AE14" s="146">
        <f>IF(AND(AE$2&gt;=Budget!$F14,AE$2&lt;=IF(Budget!$H14=Budget!$Z$1,Budget!$K14,Budget!$J14)),Budget!$D14,0)</f>
        <v>0</v>
      </c>
      <c r="AF14" s="146">
        <f>IF(AND(AF$2&gt;=Budget!$F14,AF$2&lt;=IF(Budget!$H14=Budget!$Z$1,Budget!$K14,Budget!$J14)),Budget!$D14,0)</f>
        <v>0</v>
      </c>
      <c r="AG14" s="146">
        <f>IF(AND(AG$2&gt;=Budget!$F14,AG$2&lt;=IF(Budget!$H14=Budget!$Z$1,Budget!$K14,Budget!$J14)),Budget!$D14,0)</f>
        <v>0</v>
      </c>
      <c r="AH14" s="146">
        <f>IF(AND(AH$2&gt;=Budget!$F14,AH$2&lt;=IF(Budget!$H14=Budget!$Z$1,Budget!$K14,Budget!$J14)),Budget!$D14,0)</f>
        <v>0</v>
      </c>
      <c r="AI14" s="146">
        <f>IF(AND(AI$2&gt;=Budget!$F14,AI$2&lt;=IF(Budget!$H14=Budget!$Z$1,Budget!$K14,Budget!$J14)),Budget!$D14,0)</f>
        <v>0</v>
      </c>
      <c r="AJ14" s="146">
        <f>IF(AND(AJ$2&gt;=Budget!$F14,AJ$2&lt;=IF(Budget!$H14=Budget!$Z$1,Budget!$K14,Budget!$J14)),Budget!$D14,0)</f>
        <v>0</v>
      </c>
      <c r="AK14" s="146">
        <f>IF(AND(AK$2&gt;=Budget!$F14,AK$2&lt;=IF(Budget!$H14=Budget!$Z$1,Budget!$K14,Budget!$J14)),Budget!$D14,0)</f>
        <v>0</v>
      </c>
      <c r="AL14" s="146">
        <f>IF(AND(AL$2&gt;=Budget!$F14,AL$2&lt;=IF(Budget!$H14=Budget!$Z$1,Budget!$K14,Budget!$J14)),Budget!$D14,0)</f>
        <v>0</v>
      </c>
      <c r="AM14" s="146">
        <f>IF(AND(AM$2&gt;=Budget!$F14,AM$2&lt;=IF(Budget!$H14=Budget!$Z$1,Budget!$K14,Budget!$J14)),Budget!$D14,0)</f>
        <v>0</v>
      </c>
      <c r="AN14" s="146">
        <f>IF(AND(AN$2&gt;=Budget!$F14,AN$2&lt;=IF(Budget!$H14=Budget!$Z$1,Budget!$K14,Budget!$J14)),Budget!$D14,0)</f>
        <v>0</v>
      </c>
      <c r="AO14" s="146">
        <f>IF(AND(AO$2&gt;=Budget!$F14,AO$2&lt;=IF(Budget!$H14=Budget!$Z$1,Budget!$K14,Budget!$J14)),Budget!$D14,0)</f>
        <v>0</v>
      </c>
      <c r="AP14" s="146">
        <f>IF(AND(AP$2&gt;=Budget!$F14,AP$2&lt;=IF(Budget!$H14=Budget!$Z$1,Budget!$K14,Budget!$J14)),Budget!$D14,0)</f>
        <v>0</v>
      </c>
      <c r="AQ14" s="146">
        <f>IF(AND(AQ$2&gt;=Budget!$F14,AQ$2&lt;=IF(Budget!$H14=Budget!$Z$1,Budget!$K14,Budget!$J14)),Budget!$D14,0)</f>
        <v>0</v>
      </c>
      <c r="AR14" s="146">
        <f>IF(AND(AR$2&gt;=Budget!$F14,AR$2&lt;=IF(Budget!$H14=Budget!$Z$1,Budget!$K14,Budget!$J14)),Budget!$D14,0)</f>
        <v>0</v>
      </c>
      <c r="AS14" s="146">
        <f>IF(AND(AS$2&gt;=Budget!$F14,AS$2&lt;=IF(Budget!$H14=Budget!$Z$1,Budget!$K14,Budget!$J14)),Budget!$D14,0)</f>
        <v>0</v>
      </c>
      <c r="AT14" s="146">
        <f>IF(AND(AT$2&gt;=Budget!$F14,AT$2&lt;=IF(Budget!$H14=Budget!$Z$1,Budget!$K14,Budget!$J14)),Budget!$D14,0)</f>
        <v>0</v>
      </c>
      <c r="AU14" s="146">
        <f>IF(AND(AU$2&gt;=Budget!$F14,AU$2&lt;=IF(Budget!$H14=Budget!$Z$1,Budget!$K14,Budget!$J14)),Budget!$D14,0)</f>
        <v>0</v>
      </c>
      <c r="AV14" s="146">
        <f>IF(AND(AV$2&gt;=Budget!$F14,AV$2&lt;=IF(Budget!$H14=Budget!$Z$1,Budget!$K14,Budget!$J14)),Budget!$D14,0)</f>
        <v>0</v>
      </c>
      <c r="AW14" s="146">
        <f>IF(AND(AW$2&gt;=Budget!$F14,AW$2&lt;=IF(Budget!$H14=Budget!$Z$1,Budget!$K14,Budget!$J14)),Budget!$D14,0)</f>
        <v>0</v>
      </c>
      <c r="AX14" s="146">
        <f>IF(AND(AX$2&gt;=Budget!$F14,AX$2&lt;=IF(Budget!$H14=Budget!$Z$1,Budget!$K14,Budget!$J14)),Budget!$D14,0)</f>
        <v>0</v>
      </c>
      <c r="AY14" s="146">
        <f>IF(AND(AY$2&gt;=Budget!$F14,AY$2&lt;=IF(Budget!$H14=Budget!$Z$1,Budget!$K14,Budget!$J14)),Budget!$D14,0)</f>
        <v>0</v>
      </c>
      <c r="AZ14" s="146">
        <f>IF(AND(AZ$2&gt;=Budget!$F14,AZ$2&lt;=IF(Budget!$H14=Budget!$Z$1,Budget!$K14,Budget!$J14)),Budget!$D14,0)</f>
        <v>0</v>
      </c>
      <c r="BA14" s="146">
        <f>IF(AND(BA$2&gt;=Budget!$F14,BA$2&lt;=IF(Budget!$H14=Budget!$Z$1,Budget!$K14,Budget!$J14)),Budget!$D14,0)</f>
        <v>0</v>
      </c>
      <c r="BB14" s="146">
        <f>IF(AND(BB$2&gt;=Budget!$F14,BB$2&lt;=IF(Budget!$H14=Budget!$Z$1,Budget!$K14,Budget!$J14)),Budget!$D14,0)</f>
        <v>0</v>
      </c>
      <c r="BC14" s="146">
        <f>IF(AND(BC$2&gt;=Budget!$F14,BC$2&lt;=IF(Budget!$H14=Budget!$Z$1,Budget!$K14,Budget!$J14)),Budget!$D14,0)</f>
        <v>0</v>
      </c>
      <c r="BD14" s="146">
        <f>IF(AND(BD$2&gt;=Budget!$F14,BD$2&lt;=IF(Budget!$H14=Budget!$Z$1,Budget!$K14,Budget!$J14)),Budget!$D14,0)</f>
        <v>0</v>
      </c>
      <c r="BE14" s="146">
        <f>IF(AND(BE$2&gt;=Budget!$F14,BE$2&lt;=IF(Budget!$H14=Budget!$Z$1,Budget!$K14,Budget!$J14)),Budget!$D14,0)</f>
        <v>0</v>
      </c>
      <c r="BF14" s="146">
        <f>IF(AND(BF$2&gt;=Budget!$F14,BF$2&lt;=IF(Budget!$H14=Budget!$Z$1,Budget!$K14,Budget!$J14)),Budget!$D14,0)</f>
        <v>0</v>
      </c>
    </row>
    <row r="15" spans="1:58" ht="14.4" x14ac:dyDescent="0.3">
      <c r="A15" s="142">
        <f>Budget!B15</f>
        <v>0</v>
      </c>
      <c r="B15" s="146">
        <f>IF(AND(B$2&gt;=Budget!$F15,B$2&lt;=IF(Budget!$H15=Budget!$Z$1,Budget!$K15,Budget!$J15)),Budget!$D15,0)</f>
        <v>0</v>
      </c>
      <c r="C15" s="146">
        <f>IF(AND(C$2&gt;=Budget!$F15,C$2&lt;=IF(Budget!$H15=Budget!$Z$1,Budget!$K15,Budget!$J15)),Budget!$D15,0)</f>
        <v>0</v>
      </c>
      <c r="D15" s="146">
        <f>IF(AND(D$2&gt;=Budget!$F15,D$2&lt;=IF(Budget!$H15=Budget!$Z$1,Budget!$K15,Budget!$J15)),Budget!$D15,0)</f>
        <v>0</v>
      </c>
      <c r="E15" s="146">
        <f>IF(AND(E$2&gt;=Budget!$F15,E$2&lt;=IF(Budget!$H15=Budget!$Z$1,Budget!$K15,Budget!$J15)),Budget!$D15,0)</f>
        <v>0</v>
      </c>
      <c r="F15" s="146">
        <f>IF(AND(F$2&gt;=Budget!$F15,F$2&lt;=IF(Budget!$H15=Budget!$Z$1,Budget!$K15,Budget!$J15)),Budget!$D15,0)</f>
        <v>0</v>
      </c>
      <c r="G15" s="146">
        <f>IF(AND(G$2&gt;=Budget!$F15,G$2&lt;=IF(Budget!$H15=Budget!$Z$1,Budget!$K15,Budget!$J15)),Budget!$D15,0)</f>
        <v>0</v>
      </c>
      <c r="H15" s="146">
        <f>IF(AND(H$2&gt;=Budget!$F15,H$2&lt;=IF(Budget!$H15=Budget!$Z$1,Budget!$K15,Budget!$J15)),Budget!$D15,0)</f>
        <v>0</v>
      </c>
      <c r="I15" s="146">
        <f>IF(AND(I$2&gt;=Budget!$F15,I$2&lt;=IF(Budget!$H15=Budget!$Z$1,Budget!$K15,Budget!$J15)),Budget!$D15,0)</f>
        <v>0</v>
      </c>
      <c r="J15" s="146">
        <f>IF(AND(J$2&gt;=Budget!$F15,J$2&lt;=IF(Budget!$H15=Budget!$Z$1,Budget!$K15,Budget!$J15)),Budget!$D15,0)</f>
        <v>0</v>
      </c>
      <c r="K15" s="146">
        <f>IF(AND(K$2&gt;=Budget!$F15,K$2&lt;=IF(Budget!$H15=Budget!$Z$1,Budget!$K15,Budget!$J15)),Budget!$D15,0)</f>
        <v>0</v>
      </c>
      <c r="L15" s="146">
        <f>IF(AND(L$2&gt;=Budget!$F15,L$2&lt;=IF(Budget!$H15=Budget!$Z$1,Budget!$K15,Budget!$J15)),Budget!$D15,0)</f>
        <v>0</v>
      </c>
      <c r="M15" s="146">
        <f>IF(AND(M$2&gt;=Budget!$F15,M$2&lt;=IF(Budget!$H15=Budget!$Z$1,Budget!$K15,Budget!$J15)),Budget!$D15,0)</f>
        <v>0</v>
      </c>
      <c r="N15" s="146">
        <f>IF(AND(N$2&gt;=Budget!$F15,N$2&lt;=IF(Budget!$H15=Budget!$Z$1,Budget!$K15,Budget!$J15)),Budget!$D15,0)</f>
        <v>0</v>
      </c>
      <c r="O15" s="146">
        <f>IF(AND(O$2&gt;=Budget!$F15,O$2&lt;=IF(Budget!$H15=Budget!$Z$1,Budget!$K15,Budget!$J15)),Budget!$D15,0)</f>
        <v>0</v>
      </c>
      <c r="P15" s="146">
        <f>IF(AND(P$2&gt;=Budget!$F15,P$2&lt;=IF(Budget!$H15=Budget!$Z$1,Budget!$K15,Budget!$J15)),Budget!$D15,0)</f>
        <v>0</v>
      </c>
      <c r="Q15" s="146">
        <f>IF(AND(Q$2&gt;=Budget!$F15,Q$2&lt;=IF(Budget!$H15=Budget!$Z$1,Budget!$K15,Budget!$J15)),Budget!$D15,0)</f>
        <v>0</v>
      </c>
      <c r="R15" s="146">
        <f>IF(AND(R$2&gt;=Budget!$F15,R$2&lt;=IF(Budget!$H15=Budget!$Z$1,Budget!$K15,Budget!$J15)),Budget!$D15,0)</f>
        <v>0</v>
      </c>
      <c r="S15" s="146">
        <f>IF(AND(S$2&gt;=Budget!$F15,S$2&lt;=IF(Budget!$H15=Budget!$Z$1,Budget!$K15,Budget!$J15)),Budget!$D15,0)</f>
        <v>0</v>
      </c>
      <c r="T15" s="146">
        <f>IF(AND(T$2&gt;=Budget!$F15,T$2&lt;=IF(Budget!$H15=Budget!$Z$1,Budget!$K15,Budget!$J15)),Budget!$D15,0)</f>
        <v>0</v>
      </c>
      <c r="U15" s="146">
        <f>IF(AND(U$2&gt;=Budget!$F15,U$2&lt;=IF(Budget!$H15=Budget!$Z$1,Budget!$K15,Budget!$J15)),Budget!$D15,0)</f>
        <v>0</v>
      </c>
      <c r="V15" s="146">
        <f>IF(AND(V$2&gt;=Budget!$F15,V$2&lt;=IF(Budget!$H15=Budget!$Z$1,Budget!$K15,Budget!$J15)),Budget!$D15,0)</f>
        <v>0</v>
      </c>
      <c r="W15" s="146">
        <f>IF(AND(W$2&gt;=Budget!$F15,W$2&lt;=IF(Budget!$H15=Budget!$Z$1,Budget!$K15,Budget!$J15)),Budget!$D15,0)</f>
        <v>0</v>
      </c>
      <c r="X15" s="146">
        <f>IF(AND(X$2&gt;=Budget!$F15,X$2&lt;=IF(Budget!$H15=Budget!$Z$1,Budget!$K15,Budget!$J15)),Budget!$D15,0)</f>
        <v>0</v>
      </c>
      <c r="Y15" s="146">
        <f>IF(AND(Y$2&gt;=Budget!$F15,Y$2&lt;=IF(Budget!$H15=Budget!$Z$1,Budget!$K15,Budget!$J15)),Budget!$D15,0)</f>
        <v>0</v>
      </c>
      <c r="Z15" s="146">
        <f>IF(AND(Z$2&gt;=Budget!$F15,Z$2&lt;=IF(Budget!$H15=Budget!$Z$1,Budget!$K15,Budget!$J15)),Budget!$D15,0)</f>
        <v>0</v>
      </c>
      <c r="AA15" s="146">
        <f>IF(AND(AA$2&gt;=Budget!$F15,AA$2&lt;=IF(Budget!$H15=Budget!$Z$1,Budget!$K15,Budget!$J15)),Budget!$D15,0)</f>
        <v>0</v>
      </c>
      <c r="AB15" s="146">
        <f>IF(AND(AB$2&gt;=Budget!$F15,AB$2&lt;=IF(Budget!$H15=Budget!$Z$1,Budget!$K15,Budget!$J15)),Budget!$D15,0)</f>
        <v>0</v>
      </c>
      <c r="AC15" s="146">
        <f>IF(AND(AC$2&gt;=Budget!$F15,AC$2&lt;=IF(Budget!$H15=Budget!$Z$1,Budget!$K15,Budget!$J15)),Budget!$D15,0)</f>
        <v>0</v>
      </c>
      <c r="AD15" s="146">
        <f>IF(AND(AD$2&gt;=Budget!$F15,AD$2&lt;=IF(Budget!$H15=Budget!$Z$1,Budget!$K15,Budget!$J15)),Budget!$D15,0)</f>
        <v>0</v>
      </c>
      <c r="AE15" s="146">
        <f>IF(AND(AE$2&gt;=Budget!$F15,AE$2&lt;=IF(Budget!$H15=Budget!$Z$1,Budget!$K15,Budget!$J15)),Budget!$D15,0)</f>
        <v>0</v>
      </c>
      <c r="AF15" s="146">
        <f>IF(AND(AF$2&gt;=Budget!$F15,AF$2&lt;=IF(Budget!$H15=Budget!$Z$1,Budget!$K15,Budget!$J15)),Budget!$D15,0)</f>
        <v>0</v>
      </c>
      <c r="AG15" s="146">
        <f>IF(AND(AG$2&gt;=Budget!$F15,AG$2&lt;=IF(Budget!$H15=Budget!$Z$1,Budget!$K15,Budget!$J15)),Budget!$D15,0)</f>
        <v>0</v>
      </c>
      <c r="AH15" s="146">
        <f>IF(AND(AH$2&gt;=Budget!$F15,AH$2&lt;=IF(Budget!$H15=Budget!$Z$1,Budget!$K15,Budget!$J15)),Budget!$D15,0)</f>
        <v>0</v>
      </c>
      <c r="AI15" s="146">
        <f>IF(AND(AI$2&gt;=Budget!$F15,AI$2&lt;=IF(Budget!$H15=Budget!$Z$1,Budget!$K15,Budget!$J15)),Budget!$D15,0)</f>
        <v>0</v>
      </c>
      <c r="AJ15" s="146">
        <f>IF(AND(AJ$2&gt;=Budget!$F15,AJ$2&lt;=IF(Budget!$H15=Budget!$Z$1,Budget!$K15,Budget!$J15)),Budget!$D15,0)</f>
        <v>0</v>
      </c>
      <c r="AK15" s="146">
        <f>IF(AND(AK$2&gt;=Budget!$F15,AK$2&lt;=IF(Budget!$H15=Budget!$Z$1,Budget!$K15,Budget!$J15)),Budget!$D15,0)</f>
        <v>0</v>
      </c>
      <c r="AL15" s="146">
        <f>IF(AND(AL$2&gt;=Budget!$F15,AL$2&lt;=IF(Budget!$H15=Budget!$Z$1,Budget!$K15,Budget!$J15)),Budget!$D15,0)</f>
        <v>0</v>
      </c>
      <c r="AM15" s="146">
        <f>IF(AND(AM$2&gt;=Budget!$F15,AM$2&lt;=IF(Budget!$H15=Budget!$Z$1,Budget!$K15,Budget!$J15)),Budget!$D15,0)</f>
        <v>0</v>
      </c>
      <c r="AN15" s="146">
        <f>IF(AND(AN$2&gt;=Budget!$F15,AN$2&lt;=IF(Budget!$H15=Budget!$Z$1,Budget!$K15,Budget!$J15)),Budget!$D15,0)</f>
        <v>0</v>
      </c>
      <c r="AO15" s="146">
        <f>IF(AND(AO$2&gt;=Budget!$F15,AO$2&lt;=IF(Budget!$H15=Budget!$Z$1,Budget!$K15,Budget!$J15)),Budget!$D15,0)</f>
        <v>0</v>
      </c>
      <c r="AP15" s="146">
        <f>IF(AND(AP$2&gt;=Budget!$F15,AP$2&lt;=IF(Budget!$H15=Budget!$Z$1,Budget!$K15,Budget!$J15)),Budget!$D15,0)</f>
        <v>0</v>
      </c>
      <c r="AQ15" s="146">
        <f>IF(AND(AQ$2&gt;=Budget!$F15,AQ$2&lt;=IF(Budget!$H15=Budget!$Z$1,Budget!$K15,Budget!$J15)),Budget!$D15,0)</f>
        <v>0</v>
      </c>
      <c r="AR15" s="146">
        <f>IF(AND(AR$2&gt;=Budget!$F15,AR$2&lt;=IF(Budget!$H15=Budget!$Z$1,Budget!$K15,Budget!$J15)),Budget!$D15,0)</f>
        <v>0</v>
      </c>
      <c r="AS15" s="146">
        <f>IF(AND(AS$2&gt;=Budget!$F15,AS$2&lt;=IF(Budget!$H15=Budget!$Z$1,Budget!$K15,Budget!$J15)),Budget!$D15,0)</f>
        <v>0</v>
      </c>
      <c r="AT15" s="146">
        <f>IF(AND(AT$2&gt;=Budget!$F15,AT$2&lt;=IF(Budget!$H15=Budget!$Z$1,Budget!$K15,Budget!$J15)),Budget!$D15,0)</f>
        <v>0</v>
      </c>
      <c r="AU15" s="146">
        <f>IF(AND(AU$2&gt;=Budget!$F15,AU$2&lt;=IF(Budget!$H15=Budget!$Z$1,Budget!$K15,Budget!$J15)),Budget!$D15,0)</f>
        <v>0</v>
      </c>
      <c r="AV15" s="146">
        <f>IF(AND(AV$2&gt;=Budget!$F15,AV$2&lt;=IF(Budget!$H15=Budget!$Z$1,Budget!$K15,Budget!$J15)),Budget!$D15,0)</f>
        <v>0</v>
      </c>
      <c r="AW15" s="146">
        <f>IF(AND(AW$2&gt;=Budget!$F15,AW$2&lt;=IF(Budget!$H15=Budget!$Z$1,Budget!$K15,Budget!$J15)),Budget!$D15,0)</f>
        <v>0</v>
      </c>
      <c r="AX15" s="146">
        <f>IF(AND(AX$2&gt;=Budget!$F15,AX$2&lt;=IF(Budget!$H15=Budget!$Z$1,Budget!$K15,Budget!$J15)),Budget!$D15,0)</f>
        <v>0</v>
      </c>
      <c r="AY15" s="146">
        <f>IF(AND(AY$2&gt;=Budget!$F15,AY$2&lt;=IF(Budget!$H15=Budget!$Z$1,Budget!$K15,Budget!$J15)),Budget!$D15,0)</f>
        <v>0</v>
      </c>
      <c r="AZ15" s="146">
        <f>IF(AND(AZ$2&gt;=Budget!$F15,AZ$2&lt;=IF(Budget!$H15=Budget!$Z$1,Budget!$K15,Budget!$J15)),Budget!$D15,0)</f>
        <v>0</v>
      </c>
      <c r="BA15" s="146">
        <f>IF(AND(BA$2&gt;=Budget!$F15,BA$2&lt;=IF(Budget!$H15=Budget!$Z$1,Budget!$K15,Budget!$J15)),Budget!$D15,0)</f>
        <v>0</v>
      </c>
      <c r="BB15" s="146">
        <f>IF(AND(BB$2&gt;=Budget!$F15,BB$2&lt;=IF(Budget!$H15=Budget!$Z$1,Budget!$K15,Budget!$J15)),Budget!$D15,0)</f>
        <v>0</v>
      </c>
      <c r="BC15" s="146">
        <f>IF(AND(BC$2&gt;=Budget!$F15,BC$2&lt;=IF(Budget!$H15=Budget!$Z$1,Budget!$K15,Budget!$J15)),Budget!$D15,0)</f>
        <v>0</v>
      </c>
      <c r="BD15" s="146">
        <f>IF(AND(BD$2&gt;=Budget!$F15,BD$2&lt;=IF(Budget!$H15=Budget!$Z$1,Budget!$K15,Budget!$J15)),Budget!$D15,0)</f>
        <v>0</v>
      </c>
      <c r="BE15" s="146">
        <f>IF(AND(BE$2&gt;=Budget!$F15,BE$2&lt;=IF(Budget!$H15=Budget!$Z$1,Budget!$K15,Budget!$J15)),Budget!$D15,0)</f>
        <v>0</v>
      </c>
      <c r="BF15" s="146">
        <f>IF(AND(BF$2&gt;=Budget!$F15,BF$2&lt;=IF(Budget!$H15=Budget!$Z$1,Budget!$K15,Budget!$J15)),Budget!$D15,0)</f>
        <v>0</v>
      </c>
    </row>
    <row r="16" spans="1:58" ht="14.4" x14ac:dyDescent="0.3">
      <c r="A16" s="142">
        <f>Budget!B16</f>
        <v>0</v>
      </c>
      <c r="B16" s="146">
        <f>IF(AND(B$2&gt;=Budget!$F16,B$2&lt;=IF(Budget!$H16=Budget!$Z$1,Budget!$K16,Budget!$J16)),Budget!$D16,0)</f>
        <v>0</v>
      </c>
      <c r="C16" s="146">
        <f>IF(AND(C$2&gt;=Budget!$F16,C$2&lt;=IF(Budget!$H16=Budget!$Z$1,Budget!$K16,Budget!$J16)),Budget!$D16,0)</f>
        <v>0</v>
      </c>
      <c r="D16" s="146">
        <f>IF(AND(D$2&gt;=Budget!$F16,D$2&lt;=IF(Budget!$H16=Budget!$Z$1,Budget!$K16,Budget!$J16)),Budget!$D16,0)</f>
        <v>0</v>
      </c>
      <c r="E16" s="146">
        <f>IF(AND(E$2&gt;=Budget!$F16,E$2&lt;=IF(Budget!$H16=Budget!$Z$1,Budget!$K16,Budget!$J16)),Budget!$D16,0)</f>
        <v>0</v>
      </c>
      <c r="F16" s="146">
        <f>IF(AND(F$2&gt;=Budget!$F16,F$2&lt;=IF(Budget!$H16=Budget!$Z$1,Budget!$K16,Budget!$J16)),Budget!$D16,0)</f>
        <v>0</v>
      </c>
      <c r="G16" s="146">
        <f>IF(AND(G$2&gt;=Budget!$F16,G$2&lt;=IF(Budget!$H16=Budget!$Z$1,Budget!$K16,Budget!$J16)),Budget!$D16,0)</f>
        <v>0</v>
      </c>
      <c r="H16" s="146">
        <f>IF(AND(H$2&gt;=Budget!$F16,H$2&lt;=IF(Budget!$H16=Budget!$Z$1,Budget!$K16,Budget!$J16)),Budget!$D16,0)</f>
        <v>0</v>
      </c>
      <c r="I16" s="146">
        <f>IF(AND(I$2&gt;=Budget!$F16,I$2&lt;=IF(Budget!$H16=Budget!$Z$1,Budget!$K16,Budget!$J16)),Budget!$D16,0)</f>
        <v>0</v>
      </c>
      <c r="J16" s="146">
        <f>IF(AND(J$2&gt;=Budget!$F16,J$2&lt;=IF(Budget!$H16=Budget!$Z$1,Budget!$K16,Budget!$J16)),Budget!$D16,0)</f>
        <v>0</v>
      </c>
      <c r="K16" s="146">
        <f>IF(AND(K$2&gt;=Budget!$F16,K$2&lt;=IF(Budget!$H16=Budget!$Z$1,Budget!$K16,Budget!$J16)),Budget!$D16,0)</f>
        <v>0</v>
      </c>
      <c r="L16" s="146">
        <f>IF(AND(L$2&gt;=Budget!$F16,L$2&lt;=IF(Budget!$H16=Budget!$Z$1,Budget!$K16,Budget!$J16)),Budget!$D16,0)</f>
        <v>0</v>
      </c>
      <c r="M16" s="146">
        <f>IF(AND(M$2&gt;=Budget!$F16,M$2&lt;=IF(Budget!$H16=Budget!$Z$1,Budget!$K16,Budget!$J16)),Budget!$D16,0)</f>
        <v>0</v>
      </c>
      <c r="N16" s="146">
        <f>IF(AND(N$2&gt;=Budget!$F16,N$2&lt;=IF(Budget!$H16=Budget!$Z$1,Budget!$K16,Budget!$J16)),Budget!$D16,0)</f>
        <v>0</v>
      </c>
      <c r="O16" s="146">
        <f>IF(AND(O$2&gt;=Budget!$F16,O$2&lt;=IF(Budget!$H16=Budget!$Z$1,Budget!$K16,Budget!$J16)),Budget!$D16,0)</f>
        <v>0</v>
      </c>
      <c r="P16" s="146">
        <f>IF(AND(P$2&gt;=Budget!$F16,P$2&lt;=IF(Budget!$H16=Budget!$Z$1,Budget!$K16,Budget!$J16)),Budget!$D16,0)</f>
        <v>0</v>
      </c>
      <c r="Q16" s="146">
        <f>IF(AND(Q$2&gt;=Budget!$F16,Q$2&lt;=IF(Budget!$H16=Budget!$Z$1,Budget!$K16,Budget!$J16)),Budget!$D16,0)</f>
        <v>0</v>
      </c>
      <c r="R16" s="146">
        <f>IF(AND(R$2&gt;=Budget!$F16,R$2&lt;=IF(Budget!$H16=Budget!$Z$1,Budget!$K16,Budget!$J16)),Budget!$D16,0)</f>
        <v>0</v>
      </c>
      <c r="S16" s="146">
        <f>IF(AND(S$2&gt;=Budget!$F16,S$2&lt;=IF(Budget!$H16=Budget!$Z$1,Budget!$K16,Budget!$J16)),Budget!$D16,0)</f>
        <v>0</v>
      </c>
      <c r="T16" s="146">
        <f>IF(AND(T$2&gt;=Budget!$F16,T$2&lt;=IF(Budget!$H16=Budget!$Z$1,Budget!$K16,Budget!$J16)),Budget!$D16,0)</f>
        <v>0</v>
      </c>
      <c r="U16" s="146">
        <f>IF(AND(U$2&gt;=Budget!$F16,U$2&lt;=IF(Budget!$H16=Budget!$Z$1,Budget!$K16,Budget!$J16)),Budget!$D16,0)</f>
        <v>0</v>
      </c>
      <c r="V16" s="146">
        <f>IF(AND(V$2&gt;=Budget!$F16,V$2&lt;=IF(Budget!$H16=Budget!$Z$1,Budget!$K16,Budget!$J16)),Budget!$D16,0)</f>
        <v>0</v>
      </c>
      <c r="W16" s="146">
        <f>IF(AND(W$2&gt;=Budget!$F16,W$2&lt;=IF(Budget!$H16=Budget!$Z$1,Budget!$K16,Budget!$J16)),Budget!$D16,0)</f>
        <v>0</v>
      </c>
      <c r="X16" s="146">
        <f>IF(AND(X$2&gt;=Budget!$F16,X$2&lt;=IF(Budget!$H16=Budget!$Z$1,Budget!$K16,Budget!$J16)),Budget!$D16,0)</f>
        <v>0</v>
      </c>
      <c r="Y16" s="146">
        <f>IF(AND(Y$2&gt;=Budget!$F16,Y$2&lt;=IF(Budget!$H16=Budget!$Z$1,Budget!$K16,Budget!$J16)),Budget!$D16,0)</f>
        <v>0</v>
      </c>
      <c r="Z16" s="146">
        <f>IF(AND(Z$2&gt;=Budget!$F16,Z$2&lt;=IF(Budget!$H16=Budget!$Z$1,Budget!$K16,Budget!$J16)),Budget!$D16,0)</f>
        <v>0</v>
      </c>
      <c r="AA16" s="146">
        <f>IF(AND(AA$2&gt;=Budget!$F16,AA$2&lt;=IF(Budget!$H16=Budget!$Z$1,Budget!$K16,Budget!$J16)),Budget!$D16,0)</f>
        <v>0</v>
      </c>
      <c r="AB16" s="146">
        <f>IF(AND(AB$2&gt;=Budget!$F16,AB$2&lt;=IF(Budget!$H16=Budget!$Z$1,Budget!$K16,Budget!$J16)),Budget!$D16,0)</f>
        <v>0</v>
      </c>
      <c r="AC16" s="146">
        <f>IF(AND(AC$2&gt;=Budget!$F16,AC$2&lt;=IF(Budget!$H16=Budget!$Z$1,Budget!$K16,Budget!$J16)),Budget!$D16,0)</f>
        <v>0</v>
      </c>
      <c r="AD16" s="146">
        <f>IF(AND(AD$2&gt;=Budget!$F16,AD$2&lt;=IF(Budget!$H16=Budget!$Z$1,Budget!$K16,Budget!$J16)),Budget!$D16,0)</f>
        <v>0</v>
      </c>
      <c r="AE16" s="146">
        <f>IF(AND(AE$2&gt;=Budget!$F16,AE$2&lt;=IF(Budget!$H16=Budget!$Z$1,Budget!$K16,Budget!$J16)),Budget!$D16,0)</f>
        <v>0</v>
      </c>
      <c r="AF16" s="146">
        <f>IF(AND(AF$2&gt;=Budget!$F16,AF$2&lt;=IF(Budget!$H16=Budget!$Z$1,Budget!$K16,Budget!$J16)),Budget!$D16,0)</f>
        <v>0</v>
      </c>
      <c r="AG16" s="146">
        <f>IF(AND(AG$2&gt;=Budget!$F16,AG$2&lt;=IF(Budget!$H16=Budget!$Z$1,Budget!$K16,Budget!$J16)),Budget!$D16,0)</f>
        <v>0</v>
      </c>
      <c r="AH16" s="146">
        <f>IF(AND(AH$2&gt;=Budget!$F16,AH$2&lt;=IF(Budget!$H16=Budget!$Z$1,Budget!$K16,Budget!$J16)),Budget!$D16,0)</f>
        <v>0</v>
      </c>
      <c r="AI16" s="146">
        <f>IF(AND(AI$2&gt;=Budget!$F16,AI$2&lt;=IF(Budget!$H16=Budget!$Z$1,Budget!$K16,Budget!$J16)),Budget!$D16,0)</f>
        <v>0</v>
      </c>
      <c r="AJ16" s="146">
        <f>IF(AND(AJ$2&gt;=Budget!$F16,AJ$2&lt;=IF(Budget!$H16=Budget!$Z$1,Budget!$K16,Budget!$J16)),Budget!$D16,0)</f>
        <v>0</v>
      </c>
      <c r="AK16" s="146">
        <f>IF(AND(AK$2&gt;=Budget!$F16,AK$2&lt;=IF(Budget!$H16=Budget!$Z$1,Budget!$K16,Budget!$J16)),Budget!$D16,0)</f>
        <v>0</v>
      </c>
      <c r="AL16" s="146">
        <f>IF(AND(AL$2&gt;=Budget!$F16,AL$2&lt;=IF(Budget!$H16=Budget!$Z$1,Budget!$K16,Budget!$J16)),Budget!$D16,0)</f>
        <v>0</v>
      </c>
      <c r="AM16" s="146">
        <f>IF(AND(AM$2&gt;=Budget!$F16,AM$2&lt;=IF(Budget!$H16=Budget!$Z$1,Budget!$K16,Budget!$J16)),Budget!$D16,0)</f>
        <v>0</v>
      </c>
      <c r="AN16" s="146">
        <f>IF(AND(AN$2&gt;=Budget!$F16,AN$2&lt;=IF(Budget!$H16=Budget!$Z$1,Budget!$K16,Budget!$J16)),Budget!$D16,0)</f>
        <v>0</v>
      </c>
      <c r="AO16" s="146">
        <f>IF(AND(AO$2&gt;=Budget!$F16,AO$2&lt;=IF(Budget!$H16=Budget!$Z$1,Budget!$K16,Budget!$J16)),Budget!$D16,0)</f>
        <v>0</v>
      </c>
      <c r="AP16" s="146">
        <f>IF(AND(AP$2&gt;=Budget!$F16,AP$2&lt;=IF(Budget!$H16=Budget!$Z$1,Budget!$K16,Budget!$J16)),Budget!$D16,0)</f>
        <v>0</v>
      </c>
      <c r="AQ16" s="146">
        <f>IF(AND(AQ$2&gt;=Budget!$F16,AQ$2&lt;=IF(Budget!$H16=Budget!$Z$1,Budget!$K16,Budget!$J16)),Budget!$D16,0)</f>
        <v>0</v>
      </c>
      <c r="AR16" s="146">
        <f>IF(AND(AR$2&gt;=Budget!$F16,AR$2&lt;=IF(Budget!$H16=Budget!$Z$1,Budget!$K16,Budget!$J16)),Budget!$D16,0)</f>
        <v>0</v>
      </c>
      <c r="AS16" s="146">
        <f>IF(AND(AS$2&gt;=Budget!$F16,AS$2&lt;=IF(Budget!$H16=Budget!$Z$1,Budget!$K16,Budget!$J16)),Budget!$D16,0)</f>
        <v>0</v>
      </c>
      <c r="AT16" s="146">
        <f>IF(AND(AT$2&gt;=Budget!$F16,AT$2&lt;=IF(Budget!$H16=Budget!$Z$1,Budget!$K16,Budget!$J16)),Budget!$D16,0)</f>
        <v>0</v>
      </c>
      <c r="AU16" s="146">
        <f>IF(AND(AU$2&gt;=Budget!$F16,AU$2&lt;=IF(Budget!$H16=Budget!$Z$1,Budget!$K16,Budget!$J16)),Budget!$D16,0)</f>
        <v>0</v>
      </c>
      <c r="AV16" s="146">
        <f>IF(AND(AV$2&gt;=Budget!$F16,AV$2&lt;=IF(Budget!$H16=Budget!$Z$1,Budget!$K16,Budget!$J16)),Budget!$D16,0)</f>
        <v>0</v>
      </c>
      <c r="AW16" s="146">
        <f>IF(AND(AW$2&gt;=Budget!$F16,AW$2&lt;=IF(Budget!$H16=Budget!$Z$1,Budget!$K16,Budget!$J16)),Budget!$D16,0)</f>
        <v>0</v>
      </c>
      <c r="AX16" s="146">
        <f>IF(AND(AX$2&gt;=Budget!$F16,AX$2&lt;=IF(Budget!$H16=Budget!$Z$1,Budget!$K16,Budget!$J16)),Budget!$D16,0)</f>
        <v>0</v>
      </c>
      <c r="AY16" s="146">
        <f>IF(AND(AY$2&gt;=Budget!$F16,AY$2&lt;=IF(Budget!$H16=Budget!$Z$1,Budget!$K16,Budget!$J16)),Budget!$D16,0)</f>
        <v>0</v>
      </c>
      <c r="AZ16" s="146">
        <f>IF(AND(AZ$2&gt;=Budget!$F16,AZ$2&lt;=IF(Budget!$H16=Budget!$Z$1,Budget!$K16,Budget!$J16)),Budget!$D16,0)</f>
        <v>0</v>
      </c>
      <c r="BA16" s="146">
        <f>IF(AND(BA$2&gt;=Budget!$F16,BA$2&lt;=IF(Budget!$H16=Budget!$Z$1,Budget!$K16,Budget!$J16)),Budget!$D16,0)</f>
        <v>0</v>
      </c>
      <c r="BB16" s="146">
        <f>IF(AND(BB$2&gt;=Budget!$F16,BB$2&lt;=IF(Budget!$H16=Budget!$Z$1,Budget!$K16,Budget!$J16)),Budget!$D16,0)</f>
        <v>0</v>
      </c>
      <c r="BC16" s="146">
        <f>IF(AND(BC$2&gt;=Budget!$F16,BC$2&lt;=IF(Budget!$H16=Budget!$Z$1,Budget!$K16,Budget!$J16)),Budget!$D16,0)</f>
        <v>0</v>
      </c>
      <c r="BD16" s="146">
        <f>IF(AND(BD$2&gt;=Budget!$F16,BD$2&lt;=IF(Budget!$H16=Budget!$Z$1,Budget!$K16,Budget!$J16)),Budget!$D16,0)</f>
        <v>0</v>
      </c>
      <c r="BE16" s="146">
        <f>IF(AND(BE$2&gt;=Budget!$F16,BE$2&lt;=IF(Budget!$H16=Budget!$Z$1,Budget!$K16,Budget!$J16)),Budget!$D16,0)</f>
        <v>0</v>
      </c>
      <c r="BF16" s="146">
        <f>IF(AND(BF$2&gt;=Budget!$F16,BF$2&lt;=IF(Budget!$H16=Budget!$Z$1,Budget!$K16,Budget!$J16)),Budget!$D16,0)</f>
        <v>0</v>
      </c>
    </row>
    <row r="17" spans="1:58" ht="14.4" x14ac:dyDescent="0.3">
      <c r="A17" s="142">
        <f>Budget!B17</f>
        <v>0</v>
      </c>
      <c r="B17" s="146">
        <f>IF(AND(B$2&gt;=Budget!$F17,B$2&lt;=IF(Budget!$H17=Budget!$Z$1,Budget!$K17,Budget!$J17)),Budget!$D17,0)</f>
        <v>0</v>
      </c>
      <c r="C17" s="146">
        <f>IF(AND(C$2&gt;=Budget!$F17,C$2&lt;=IF(Budget!$H17=Budget!$Z$1,Budget!$K17,Budget!$J17)),Budget!$D17,0)</f>
        <v>0</v>
      </c>
      <c r="D17" s="146">
        <f>IF(AND(D$2&gt;=Budget!$F17,D$2&lt;=IF(Budget!$H17=Budget!$Z$1,Budget!$K17,Budget!$J17)),Budget!$D17,0)</f>
        <v>0</v>
      </c>
      <c r="E17" s="146">
        <f>IF(AND(E$2&gt;=Budget!$F17,E$2&lt;=IF(Budget!$H17=Budget!$Z$1,Budget!$K17,Budget!$J17)),Budget!$D17,0)</f>
        <v>0</v>
      </c>
      <c r="F17" s="146">
        <f>IF(AND(F$2&gt;=Budget!$F17,F$2&lt;=IF(Budget!$H17=Budget!$Z$1,Budget!$K17,Budget!$J17)),Budget!$D17,0)</f>
        <v>0</v>
      </c>
      <c r="G17" s="146">
        <f>IF(AND(G$2&gt;=Budget!$F17,G$2&lt;=IF(Budget!$H17=Budget!$Z$1,Budget!$K17,Budget!$J17)),Budget!$D17,0)</f>
        <v>0</v>
      </c>
      <c r="H17" s="146">
        <f>IF(AND(H$2&gt;=Budget!$F17,H$2&lt;=IF(Budget!$H17=Budget!$Z$1,Budget!$K17,Budget!$J17)),Budget!$D17,0)</f>
        <v>0</v>
      </c>
      <c r="I17" s="146">
        <f>IF(AND(I$2&gt;=Budget!$F17,I$2&lt;=IF(Budget!$H17=Budget!$Z$1,Budget!$K17,Budget!$J17)),Budget!$D17,0)</f>
        <v>0</v>
      </c>
      <c r="J17" s="146">
        <f>IF(AND(J$2&gt;=Budget!$F17,J$2&lt;=IF(Budget!$H17=Budget!$Z$1,Budget!$K17,Budget!$J17)),Budget!$D17,0)</f>
        <v>0</v>
      </c>
      <c r="K17" s="146">
        <f>IF(AND(K$2&gt;=Budget!$F17,K$2&lt;=IF(Budget!$H17=Budget!$Z$1,Budget!$K17,Budget!$J17)),Budget!$D17,0)</f>
        <v>0</v>
      </c>
      <c r="L17" s="146">
        <f>IF(AND(L$2&gt;=Budget!$F17,L$2&lt;=IF(Budget!$H17=Budget!$Z$1,Budget!$K17,Budget!$J17)),Budget!$D17,0)</f>
        <v>0</v>
      </c>
      <c r="M17" s="146">
        <f>IF(AND(M$2&gt;=Budget!$F17,M$2&lt;=IF(Budget!$H17=Budget!$Z$1,Budget!$K17,Budget!$J17)),Budget!$D17,0)</f>
        <v>0</v>
      </c>
      <c r="N17" s="146">
        <f>IF(AND(N$2&gt;=Budget!$F17,N$2&lt;=IF(Budget!$H17=Budget!$Z$1,Budget!$K17,Budget!$J17)),Budget!$D17,0)</f>
        <v>0</v>
      </c>
      <c r="O17" s="146">
        <f>IF(AND(O$2&gt;=Budget!$F17,O$2&lt;=IF(Budget!$H17=Budget!$Z$1,Budget!$K17,Budget!$J17)),Budget!$D17,0)</f>
        <v>0</v>
      </c>
      <c r="P17" s="146">
        <f>IF(AND(P$2&gt;=Budget!$F17,P$2&lt;=IF(Budget!$H17=Budget!$Z$1,Budget!$K17,Budget!$J17)),Budget!$D17,0)</f>
        <v>0</v>
      </c>
      <c r="Q17" s="146">
        <f>IF(AND(Q$2&gt;=Budget!$F17,Q$2&lt;=IF(Budget!$H17=Budget!$Z$1,Budget!$K17,Budget!$J17)),Budget!$D17,0)</f>
        <v>0</v>
      </c>
      <c r="R17" s="146">
        <f>IF(AND(R$2&gt;=Budget!$F17,R$2&lt;=IF(Budget!$H17=Budget!$Z$1,Budget!$K17,Budget!$J17)),Budget!$D17,0)</f>
        <v>0</v>
      </c>
      <c r="S17" s="146">
        <f>IF(AND(S$2&gt;=Budget!$F17,S$2&lt;=IF(Budget!$H17=Budget!$Z$1,Budget!$K17,Budget!$J17)),Budget!$D17,0)</f>
        <v>0</v>
      </c>
      <c r="T17" s="146">
        <f>IF(AND(T$2&gt;=Budget!$F17,T$2&lt;=IF(Budget!$H17=Budget!$Z$1,Budget!$K17,Budget!$J17)),Budget!$D17,0)</f>
        <v>0</v>
      </c>
      <c r="U17" s="146">
        <f>IF(AND(U$2&gt;=Budget!$F17,U$2&lt;=IF(Budget!$H17=Budget!$Z$1,Budget!$K17,Budget!$J17)),Budget!$D17,0)</f>
        <v>0</v>
      </c>
      <c r="V17" s="146">
        <f>IF(AND(V$2&gt;=Budget!$F17,V$2&lt;=IF(Budget!$H17=Budget!$Z$1,Budget!$K17,Budget!$J17)),Budget!$D17,0)</f>
        <v>0</v>
      </c>
      <c r="W17" s="146">
        <f>IF(AND(W$2&gt;=Budget!$F17,W$2&lt;=IF(Budget!$H17=Budget!$Z$1,Budget!$K17,Budget!$J17)),Budget!$D17,0)</f>
        <v>0</v>
      </c>
      <c r="X17" s="146">
        <f>IF(AND(X$2&gt;=Budget!$F17,X$2&lt;=IF(Budget!$H17=Budget!$Z$1,Budget!$K17,Budget!$J17)),Budget!$D17,0)</f>
        <v>0</v>
      </c>
      <c r="Y17" s="146">
        <f>IF(AND(Y$2&gt;=Budget!$F17,Y$2&lt;=IF(Budget!$H17=Budget!$Z$1,Budget!$K17,Budget!$J17)),Budget!$D17,0)</f>
        <v>0</v>
      </c>
      <c r="Z17" s="146">
        <f>IF(AND(Z$2&gt;=Budget!$F17,Z$2&lt;=IF(Budget!$H17=Budget!$Z$1,Budget!$K17,Budget!$J17)),Budget!$D17,0)</f>
        <v>0</v>
      </c>
      <c r="AA17" s="146">
        <f>IF(AND(AA$2&gt;=Budget!$F17,AA$2&lt;=IF(Budget!$H17=Budget!$Z$1,Budget!$K17,Budget!$J17)),Budget!$D17,0)</f>
        <v>0</v>
      </c>
      <c r="AB17" s="146">
        <f>IF(AND(AB$2&gt;=Budget!$F17,AB$2&lt;=IF(Budget!$H17=Budget!$Z$1,Budget!$K17,Budget!$J17)),Budget!$D17,0)</f>
        <v>0</v>
      </c>
      <c r="AC17" s="146">
        <f>IF(AND(AC$2&gt;=Budget!$F17,AC$2&lt;=IF(Budget!$H17=Budget!$Z$1,Budget!$K17,Budget!$J17)),Budget!$D17,0)</f>
        <v>0</v>
      </c>
      <c r="AD17" s="146">
        <f>IF(AND(AD$2&gt;=Budget!$F17,AD$2&lt;=IF(Budget!$H17=Budget!$Z$1,Budget!$K17,Budget!$J17)),Budget!$D17,0)</f>
        <v>0</v>
      </c>
      <c r="AE17" s="146">
        <f>IF(AND(AE$2&gt;=Budget!$F17,AE$2&lt;=IF(Budget!$H17=Budget!$Z$1,Budget!$K17,Budget!$J17)),Budget!$D17,0)</f>
        <v>0</v>
      </c>
      <c r="AF17" s="146">
        <f>IF(AND(AF$2&gt;=Budget!$F17,AF$2&lt;=IF(Budget!$H17=Budget!$Z$1,Budget!$K17,Budget!$J17)),Budget!$D17,0)</f>
        <v>0</v>
      </c>
      <c r="AG17" s="146">
        <f>IF(AND(AG$2&gt;=Budget!$F17,AG$2&lt;=IF(Budget!$H17=Budget!$Z$1,Budget!$K17,Budget!$J17)),Budget!$D17,0)</f>
        <v>0</v>
      </c>
      <c r="AH17" s="146">
        <f>IF(AND(AH$2&gt;=Budget!$F17,AH$2&lt;=IF(Budget!$H17=Budget!$Z$1,Budget!$K17,Budget!$J17)),Budget!$D17,0)</f>
        <v>0</v>
      </c>
      <c r="AI17" s="146">
        <f>IF(AND(AI$2&gt;=Budget!$F17,AI$2&lt;=IF(Budget!$H17=Budget!$Z$1,Budget!$K17,Budget!$J17)),Budget!$D17,0)</f>
        <v>0</v>
      </c>
      <c r="AJ17" s="146">
        <f>IF(AND(AJ$2&gt;=Budget!$F17,AJ$2&lt;=IF(Budget!$H17=Budget!$Z$1,Budget!$K17,Budget!$J17)),Budget!$D17,0)</f>
        <v>0</v>
      </c>
      <c r="AK17" s="146">
        <f>IF(AND(AK$2&gt;=Budget!$F17,AK$2&lt;=IF(Budget!$H17=Budget!$Z$1,Budget!$K17,Budget!$J17)),Budget!$D17,0)</f>
        <v>0</v>
      </c>
      <c r="AL17" s="146">
        <f>IF(AND(AL$2&gt;=Budget!$F17,AL$2&lt;=IF(Budget!$H17=Budget!$Z$1,Budget!$K17,Budget!$J17)),Budget!$D17,0)</f>
        <v>0</v>
      </c>
      <c r="AM17" s="146">
        <f>IF(AND(AM$2&gt;=Budget!$F17,AM$2&lt;=IF(Budget!$H17=Budget!$Z$1,Budget!$K17,Budget!$J17)),Budget!$D17,0)</f>
        <v>0</v>
      </c>
      <c r="AN17" s="146">
        <f>IF(AND(AN$2&gt;=Budget!$F17,AN$2&lt;=IF(Budget!$H17=Budget!$Z$1,Budget!$K17,Budget!$J17)),Budget!$D17,0)</f>
        <v>0</v>
      </c>
      <c r="AO17" s="146">
        <f>IF(AND(AO$2&gt;=Budget!$F17,AO$2&lt;=IF(Budget!$H17=Budget!$Z$1,Budget!$K17,Budget!$J17)),Budget!$D17,0)</f>
        <v>0</v>
      </c>
      <c r="AP17" s="146">
        <f>IF(AND(AP$2&gt;=Budget!$F17,AP$2&lt;=IF(Budget!$H17=Budget!$Z$1,Budget!$K17,Budget!$J17)),Budget!$D17,0)</f>
        <v>0</v>
      </c>
      <c r="AQ17" s="146">
        <f>IF(AND(AQ$2&gt;=Budget!$F17,AQ$2&lt;=IF(Budget!$H17=Budget!$Z$1,Budget!$K17,Budget!$J17)),Budget!$D17,0)</f>
        <v>0</v>
      </c>
      <c r="AR17" s="146">
        <f>IF(AND(AR$2&gt;=Budget!$F17,AR$2&lt;=IF(Budget!$H17=Budget!$Z$1,Budget!$K17,Budget!$J17)),Budget!$D17,0)</f>
        <v>0</v>
      </c>
      <c r="AS17" s="146">
        <f>IF(AND(AS$2&gt;=Budget!$F17,AS$2&lt;=IF(Budget!$H17=Budget!$Z$1,Budget!$K17,Budget!$J17)),Budget!$D17,0)</f>
        <v>0</v>
      </c>
      <c r="AT17" s="146">
        <f>IF(AND(AT$2&gt;=Budget!$F17,AT$2&lt;=IF(Budget!$H17=Budget!$Z$1,Budget!$K17,Budget!$J17)),Budget!$D17,0)</f>
        <v>0</v>
      </c>
      <c r="AU17" s="146">
        <f>IF(AND(AU$2&gt;=Budget!$F17,AU$2&lt;=IF(Budget!$H17=Budget!$Z$1,Budget!$K17,Budget!$J17)),Budget!$D17,0)</f>
        <v>0</v>
      </c>
      <c r="AV17" s="146">
        <f>IF(AND(AV$2&gt;=Budget!$F17,AV$2&lt;=IF(Budget!$H17=Budget!$Z$1,Budget!$K17,Budget!$J17)),Budget!$D17,0)</f>
        <v>0</v>
      </c>
      <c r="AW17" s="146">
        <f>IF(AND(AW$2&gt;=Budget!$F17,AW$2&lt;=IF(Budget!$H17=Budget!$Z$1,Budget!$K17,Budget!$J17)),Budget!$D17,0)</f>
        <v>0</v>
      </c>
      <c r="AX17" s="146">
        <f>IF(AND(AX$2&gt;=Budget!$F17,AX$2&lt;=IF(Budget!$H17=Budget!$Z$1,Budget!$K17,Budget!$J17)),Budget!$D17,0)</f>
        <v>0</v>
      </c>
      <c r="AY17" s="146">
        <f>IF(AND(AY$2&gt;=Budget!$F17,AY$2&lt;=IF(Budget!$H17=Budget!$Z$1,Budget!$K17,Budget!$J17)),Budget!$D17,0)</f>
        <v>0</v>
      </c>
      <c r="AZ17" s="146">
        <f>IF(AND(AZ$2&gt;=Budget!$F17,AZ$2&lt;=IF(Budget!$H17=Budget!$Z$1,Budget!$K17,Budget!$J17)),Budget!$D17,0)</f>
        <v>0</v>
      </c>
      <c r="BA17" s="146">
        <f>IF(AND(BA$2&gt;=Budget!$F17,BA$2&lt;=IF(Budget!$H17=Budget!$Z$1,Budget!$K17,Budget!$J17)),Budget!$D17,0)</f>
        <v>0</v>
      </c>
      <c r="BB17" s="146">
        <f>IF(AND(BB$2&gt;=Budget!$F17,BB$2&lt;=IF(Budget!$H17=Budget!$Z$1,Budget!$K17,Budget!$J17)),Budget!$D17,0)</f>
        <v>0</v>
      </c>
      <c r="BC17" s="146">
        <f>IF(AND(BC$2&gt;=Budget!$F17,BC$2&lt;=IF(Budget!$H17=Budget!$Z$1,Budget!$K17,Budget!$J17)),Budget!$D17,0)</f>
        <v>0</v>
      </c>
      <c r="BD17" s="146">
        <f>IF(AND(BD$2&gt;=Budget!$F17,BD$2&lt;=IF(Budget!$H17=Budget!$Z$1,Budget!$K17,Budget!$J17)),Budget!$D17,0)</f>
        <v>0</v>
      </c>
      <c r="BE17" s="146">
        <f>IF(AND(BE$2&gt;=Budget!$F17,BE$2&lt;=IF(Budget!$H17=Budget!$Z$1,Budget!$K17,Budget!$J17)),Budget!$D17,0)</f>
        <v>0</v>
      </c>
      <c r="BF17" s="146">
        <f>IF(AND(BF$2&gt;=Budget!$F17,BF$2&lt;=IF(Budget!$H17=Budget!$Z$1,Budget!$K17,Budget!$J17)),Budget!$D17,0)</f>
        <v>0</v>
      </c>
    </row>
    <row r="18" spans="1:58" ht="14.4" x14ac:dyDescent="0.3">
      <c r="A18" s="142">
        <f>Budget!B18</f>
        <v>0</v>
      </c>
      <c r="B18" s="146">
        <f>IF(AND(B$2&gt;=Budget!$F18,B$2&lt;=IF(Budget!$H18=Budget!$Z$1,Budget!$K18,Budget!$J18)),Budget!$D18,0)</f>
        <v>0</v>
      </c>
      <c r="C18" s="146">
        <f>IF(AND(C$2&gt;=Budget!$F18,C$2&lt;=IF(Budget!$H18=Budget!$Z$1,Budget!$K18,Budget!$J18)),Budget!$D18,0)</f>
        <v>0</v>
      </c>
      <c r="D18" s="146">
        <f>IF(AND(D$2&gt;=Budget!$F18,D$2&lt;=IF(Budget!$H18=Budget!$Z$1,Budget!$K18,Budget!$J18)),Budget!$D18,0)</f>
        <v>0</v>
      </c>
      <c r="E18" s="146">
        <f>IF(AND(E$2&gt;=Budget!$F18,E$2&lt;=IF(Budget!$H18=Budget!$Z$1,Budget!$K18,Budget!$J18)),Budget!$D18,0)</f>
        <v>0</v>
      </c>
      <c r="F18" s="146">
        <f>IF(AND(F$2&gt;=Budget!$F18,F$2&lt;=IF(Budget!$H18=Budget!$Z$1,Budget!$K18,Budget!$J18)),Budget!$D18,0)</f>
        <v>0</v>
      </c>
      <c r="G18" s="146">
        <f>IF(AND(G$2&gt;=Budget!$F18,G$2&lt;=IF(Budget!$H18=Budget!$Z$1,Budget!$K18,Budget!$J18)),Budget!$D18,0)</f>
        <v>0</v>
      </c>
      <c r="H18" s="146">
        <f>IF(AND(H$2&gt;=Budget!$F18,H$2&lt;=IF(Budget!$H18=Budget!$Z$1,Budget!$K18,Budget!$J18)),Budget!$D18,0)</f>
        <v>0</v>
      </c>
      <c r="I18" s="146">
        <f>IF(AND(I$2&gt;=Budget!$F18,I$2&lt;=IF(Budget!$H18=Budget!$Z$1,Budget!$K18,Budget!$J18)),Budget!$D18,0)</f>
        <v>0</v>
      </c>
      <c r="J18" s="146">
        <f>IF(AND(J$2&gt;=Budget!$F18,J$2&lt;=IF(Budget!$H18=Budget!$Z$1,Budget!$K18,Budget!$J18)),Budget!$D18,0)</f>
        <v>0</v>
      </c>
      <c r="K18" s="146">
        <f>IF(AND(K$2&gt;=Budget!$F18,K$2&lt;=IF(Budget!$H18=Budget!$Z$1,Budget!$K18,Budget!$J18)),Budget!$D18,0)</f>
        <v>0</v>
      </c>
      <c r="L18" s="146">
        <f>IF(AND(L$2&gt;=Budget!$F18,L$2&lt;=IF(Budget!$H18=Budget!$Z$1,Budget!$K18,Budget!$J18)),Budget!$D18,0)</f>
        <v>0</v>
      </c>
      <c r="M18" s="146">
        <f>IF(AND(M$2&gt;=Budget!$F18,M$2&lt;=IF(Budget!$H18=Budget!$Z$1,Budget!$K18,Budget!$J18)),Budget!$D18,0)</f>
        <v>0</v>
      </c>
      <c r="N18" s="146">
        <f>IF(AND(N$2&gt;=Budget!$F18,N$2&lt;=IF(Budget!$H18=Budget!$Z$1,Budget!$K18,Budget!$J18)),Budget!$D18,0)</f>
        <v>0</v>
      </c>
      <c r="O18" s="146">
        <f>IF(AND(O$2&gt;=Budget!$F18,O$2&lt;=IF(Budget!$H18=Budget!$Z$1,Budget!$K18,Budget!$J18)),Budget!$D18,0)</f>
        <v>0</v>
      </c>
      <c r="P18" s="146">
        <f>IF(AND(P$2&gt;=Budget!$F18,P$2&lt;=IF(Budget!$H18=Budget!$Z$1,Budget!$K18,Budget!$J18)),Budget!$D18,0)</f>
        <v>0</v>
      </c>
      <c r="Q18" s="146">
        <f>IF(AND(Q$2&gt;=Budget!$F18,Q$2&lt;=IF(Budget!$H18=Budget!$Z$1,Budget!$K18,Budget!$J18)),Budget!$D18,0)</f>
        <v>0</v>
      </c>
      <c r="R18" s="146">
        <f>IF(AND(R$2&gt;=Budget!$F18,R$2&lt;=IF(Budget!$H18=Budget!$Z$1,Budget!$K18,Budget!$J18)),Budget!$D18,0)</f>
        <v>0</v>
      </c>
      <c r="S18" s="146">
        <f>IF(AND(S$2&gt;=Budget!$F18,S$2&lt;=IF(Budget!$H18=Budget!$Z$1,Budget!$K18,Budget!$J18)),Budget!$D18,0)</f>
        <v>0</v>
      </c>
      <c r="T18" s="146">
        <f>IF(AND(T$2&gt;=Budget!$F18,T$2&lt;=IF(Budget!$H18=Budget!$Z$1,Budget!$K18,Budget!$J18)),Budget!$D18,0)</f>
        <v>0</v>
      </c>
      <c r="U18" s="146">
        <f>IF(AND(U$2&gt;=Budget!$F18,U$2&lt;=IF(Budget!$H18=Budget!$Z$1,Budget!$K18,Budget!$J18)),Budget!$D18,0)</f>
        <v>0</v>
      </c>
      <c r="V18" s="146">
        <f>IF(AND(V$2&gt;=Budget!$F18,V$2&lt;=IF(Budget!$H18=Budget!$Z$1,Budget!$K18,Budget!$J18)),Budget!$D18,0)</f>
        <v>0</v>
      </c>
      <c r="W18" s="146">
        <f>IF(AND(W$2&gt;=Budget!$F18,W$2&lt;=IF(Budget!$H18=Budget!$Z$1,Budget!$K18,Budget!$J18)),Budget!$D18,0)</f>
        <v>0</v>
      </c>
      <c r="X18" s="146">
        <f>IF(AND(X$2&gt;=Budget!$F18,X$2&lt;=IF(Budget!$H18=Budget!$Z$1,Budget!$K18,Budget!$J18)),Budget!$D18,0)</f>
        <v>0</v>
      </c>
      <c r="Y18" s="146">
        <f>IF(AND(Y$2&gt;=Budget!$F18,Y$2&lt;=IF(Budget!$H18=Budget!$Z$1,Budget!$K18,Budget!$J18)),Budget!$D18,0)</f>
        <v>0</v>
      </c>
      <c r="Z18" s="146">
        <f>IF(AND(Z$2&gt;=Budget!$F18,Z$2&lt;=IF(Budget!$H18=Budget!$Z$1,Budget!$K18,Budget!$J18)),Budget!$D18,0)</f>
        <v>0</v>
      </c>
      <c r="AA18" s="146">
        <f>IF(AND(AA$2&gt;=Budget!$F18,AA$2&lt;=IF(Budget!$H18=Budget!$Z$1,Budget!$K18,Budget!$J18)),Budget!$D18,0)</f>
        <v>0</v>
      </c>
      <c r="AB18" s="146">
        <f>IF(AND(AB$2&gt;=Budget!$F18,AB$2&lt;=IF(Budget!$H18=Budget!$Z$1,Budget!$K18,Budget!$J18)),Budget!$D18,0)</f>
        <v>0</v>
      </c>
      <c r="AC18" s="146">
        <f>IF(AND(AC$2&gt;=Budget!$F18,AC$2&lt;=IF(Budget!$H18=Budget!$Z$1,Budget!$K18,Budget!$J18)),Budget!$D18,0)</f>
        <v>0</v>
      </c>
      <c r="AD18" s="146">
        <f>IF(AND(AD$2&gt;=Budget!$F18,AD$2&lt;=IF(Budget!$H18=Budget!$Z$1,Budget!$K18,Budget!$J18)),Budget!$D18,0)</f>
        <v>0</v>
      </c>
      <c r="AE18" s="146">
        <f>IF(AND(AE$2&gt;=Budget!$F18,AE$2&lt;=IF(Budget!$H18=Budget!$Z$1,Budget!$K18,Budget!$J18)),Budget!$D18,0)</f>
        <v>0</v>
      </c>
      <c r="AF18" s="146">
        <f>IF(AND(AF$2&gt;=Budget!$F18,AF$2&lt;=IF(Budget!$H18=Budget!$Z$1,Budget!$K18,Budget!$J18)),Budget!$D18,0)</f>
        <v>0</v>
      </c>
      <c r="AG18" s="146">
        <f>IF(AND(AG$2&gt;=Budget!$F18,AG$2&lt;=IF(Budget!$H18=Budget!$Z$1,Budget!$K18,Budget!$J18)),Budget!$D18,0)</f>
        <v>0</v>
      </c>
      <c r="AH18" s="146">
        <f>IF(AND(AH$2&gt;=Budget!$F18,AH$2&lt;=IF(Budget!$H18=Budget!$Z$1,Budget!$K18,Budget!$J18)),Budget!$D18,0)</f>
        <v>0</v>
      </c>
      <c r="AI18" s="146">
        <f>IF(AND(AI$2&gt;=Budget!$F18,AI$2&lt;=IF(Budget!$H18=Budget!$Z$1,Budget!$K18,Budget!$J18)),Budget!$D18,0)</f>
        <v>0</v>
      </c>
      <c r="AJ18" s="146">
        <f>IF(AND(AJ$2&gt;=Budget!$F18,AJ$2&lt;=IF(Budget!$H18=Budget!$Z$1,Budget!$K18,Budget!$J18)),Budget!$D18,0)</f>
        <v>0</v>
      </c>
      <c r="AK18" s="146">
        <f>IF(AND(AK$2&gt;=Budget!$F18,AK$2&lt;=IF(Budget!$H18=Budget!$Z$1,Budget!$K18,Budget!$J18)),Budget!$D18,0)</f>
        <v>0</v>
      </c>
      <c r="AL18" s="146">
        <f>IF(AND(AL$2&gt;=Budget!$F18,AL$2&lt;=IF(Budget!$H18=Budget!$Z$1,Budget!$K18,Budget!$J18)),Budget!$D18,0)</f>
        <v>0</v>
      </c>
      <c r="AM18" s="146">
        <f>IF(AND(AM$2&gt;=Budget!$F18,AM$2&lt;=IF(Budget!$H18=Budget!$Z$1,Budget!$K18,Budget!$J18)),Budget!$D18,0)</f>
        <v>0</v>
      </c>
      <c r="AN18" s="146">
        <f>IF(AND(AN$2&gt;=Budget!$F18,AN$2&lt;=IF(Budget!$H18=Budget!$Z$1,Budget!$K18,Budget!$J18)),Budget!$D18,0)</f>
        <v>0</v>
      </c>
      <c r="AO18" s="146">
        <f>IF(AND(AO$2&gt;=Budget!$F18,AO$2&lt;=IF(Budget!$H18=Budget!$Z$1,Budget!$K18,Budget!$J18)),Budget!$D18,0)</f>
        <v>0</v>
      </c>
      <c r="AP18" s="146">
        <f>IF(AND(AP$2&gt;=Budget!$F18,AP$2&lt;=IF(Budget!$H18=Budget!$Z$1,Budget!$K18,Budget!$J18)),Budget!$D18,0)</f>
        <v>0</v>
      </c>
      <c r="AQ18" s="146">
        <f>IF(AND(AQ$2&gt;=Budget!$F18,AQ$2&lt;=IF(Budget!$H18=Budget!$Z$1,Budget!$K18,Budget!$J18)),Budget!$D18,0)</f>
        <v>0</v>
      </c>
      <c r="AR18" s="146">
        <f>IF(AND(AR$2&gt;=Budget!$F18,AR$2&lt;=IF(Budget!$H18=Budget!$Z$1,Budget!$K18,Budget!$J18)),Budget!$D18,0)</f>
        <v>0</v>
      </c>
      <c r="AS18" s="146">
        <f>IF(AND(AS$2&gt;=Budget!$F18,AS$2&lt;=IF(Budget!$H18=Budget!$Z$1,Budget!$K18,Budget!$J18)),Budget!$D18,0)</f>
        <v>0</v>
      </c>
      <c r="AT18" s="146">
        <f>IF(AND(AT$2&gt;=Budget!$F18,AT$2&lt;=IF(Budget!$H18=Budget!$Z$1,Budget!$K18,Budget!$J18)),Budget!$D18,0)</f>
        <v>0</v>
      </c>
      <c r="AU18" s="146">
        <f>IF(AND(AU$2&gt;=Budget!$F18,AU$2&lt;=IF(Budget!$H18=Budget!$Z$1,Budget!$K18,Budget!$J18)),Budget!$D18,0)</f>
        <v>0</v>
      </c>
      <c r="AV18" s="146">
        <f>IF(AND(AV$2&gt;=Budget!$F18,AV$2&lt;=IF(Budget!$H18=Budget!$Z$1,Budget!$K18,Budget!$J18)),Budget!$D18,0)</f>
        <v>0</v>
      </c>
      <c r="AW18" s="146">
        <f>IF(AND(AW$2&gt;=Budget!$F18,AW$2&lt;=IF(Budget!$H18=Budget!$Z$1,Budget!$K18,Budget!$J18)),Budget!$D18,0)</f>
        <v>0</v>
      </c>
      <c r="AX18" s="146">
        <f>IF(AND(AX$2&gt;=Budget!$F18,AX$2&lt;=IF(Budget!$H18=Budget!$Z$1,Budget!$K18,Budget!$J18)),Budget!$D18,0)</f>
        <v>0</v>
      </c>
      <c r="AY18" s="146">
        <f>IF(AND(AY$2&gt;=Budget!$F18,AY$2&lt;=IF(Budget!$H18=Budget!$Z$1,Budget!$K18,Budget!$J18)),Budget!$D18,0)</f>
        <v>0</v>
      </c>
      <c r="AZ18" s="146">
        <f>IF(AND(AZ$2&gt;=Budget!$F18,AZ$2&lt;=IF(Budget!$H18=Budget!$Z$1,Budget!$K18,Budget!$J18)),Budget!$D18,0)</f>
        <v>0</v>
      </c>
      <c r="BA18" s="146">
        <f>IF(AND(BA$2&gt;=Budget!$F18,BA$2&lt;=IF(Budget!$H18=Budget!$Z$1,Budget!$K18,Budget!$J18)),Budget!$D18,0)</f>
        <v>0</v>
      </c>
      <c r="BB18" s="146">
        <f>IF(AND(BB$2&gt;=Budget!$F18,BB$2&lt;=IF(Budget!$H18=Budget!$Z$1,Budget!$K18,Budget!$J18)),Budget!$D18,0)</f>
        <v>0</v>
      </c>
      <c r="BC18" s="146">
        <f>IF(AND(BC$2&gt;=Budget!$F18,BC$2&lt;=IF(Budget!$H18=Budget!$Z$1,Budget!$K18,Budget!$J18)),Budget!$D18,0)</f>
        <v>0</v>
      </c>
      <c r="BD18" s="146">
        <f>IF(AND(BD$2&gt;=Budget!$F18,BD$2&lt;=IF(Budget!$H18=Budget!$Z$1,Budget!$K18,Budget!$J18)),Budget!$D18,0)</f>
        <v>0</v>
      </c>
      <c r="BE18" s="146">
        <f>IF(AND(BE$2&gt;=Budget!$F18,BE$2&lt;=IF(Budget!$H18=Budget!$Z$1,Budget!$K18,Budget!$J18)),Budget!$D18,0)</f>
        <v>0</v>
      </c>
      <c r="BF18" s="146">
        <f>IF(AND(BF$2&gt;=Budget!$F18,BF$2&lt;=IF(Budget!$H18=Budget!$Z$1,Budget!$K18,Budget!$J18)),Budget!$D18,0)</f>
        <v>0</v>
      </c>
    </row>
    <row r="19" spans="1:58" ht="14.4" x14ac:dyDescent="0.3">
      <c r="A19" s="142">
        <f>Budget!B19</f>
        <v>0</v>
      </c>
      <c r="B19" s="146">
        <f>IF(AND(B$2&gt;=Budget!$F19,B$2&lt;=IF(Budget!$H19=Budget!$Z$1,Budget!$K19,Budget!$J19)),Budget!$D19,0)</f>
        <v>0</v>
      </c>
      <c r="C19" s="146">
        <f>IF(AND(C$2&gt;=Budget!$F19,C$2&lt;=IF(Budget!$H19=Budget!$Z$1,Budget!$K19,Budget!$J19)),Budget!$D19,0)</f>
        <v>0</v>
      </c>
      <c r="D19" s="146">
        <f>IF(AND(D$2&gt;=Budget!$F19,D$2&lt;=IF(Budget!$H19=Budget!$Z$1,Budget!$K19,Budget!$J19)),Budget!$D19,0)</f>
        <v>0</v>
      </c>
      <c r="E19" s="146">
        <f>IF(AND(E$2&gt;=Budget!$F19,E$2&lt;=IF(Budget!$H19=Budget!$Z$1,Budget!$K19,Budget!$J19)),Budget!$D19,0)</f>
        <v>0</v>
      </c>
      <c r="F19" s="146">
        <f>IF(AND(F$2&gt;=Budget!$F19,F$2&lt;=IF(Budget!$H19=Budget!$Z$1,Budget!$K19,Budget!$J19)),Budget!$D19,0)</f>
        <v>0</v>
      </c>
      <c r="G19" s="146">
        <f>IF(AND(G$2&gt;=Budget!$F19,G$2&lt;=IF(Budget!$H19=Budget!$Z$1,Budget!$K19,Budget!$J19)),Budget!$D19,0)</f>
        <v>0</v>
      </c>
      <c r="H19" s="146">
        <f>IF(AND(H$2&gt;=Budget!$F19,H$2&lt;=IF(Budget!$H19=Budget!$Z$1,Budget!$K19,Budget!$J19)),Budget!$D19,0)</f>
        <v>0</v>
      </c>
      <c r="I19" s="146">
        <f>IF(AND(I$2&gt;=Budget!$F19,I$2&lt;=IF(Budget!$H19=Budget!$Z$1,Budget!$K19,Budget!$J19)),Budget!$D19,0)</f>
        <v>0</v>
      </c>
      <c r="J19" s="146">
        <f>IF(AND(J$2&gt;=Budget!$F19,J$2&lt;=IF(Budget!$H19=Budget!$Z$1,Budget!$K19,Budget!$J19)),Budget!$D19,0)</f>
        <v>0</v>
      </c>
      <c r="K19" s="146">
        <f>IF(AND(K$2&gt;=Budget!$F19,K$2&lt;=IF(Budget!$H19=Budget!$Z$1,Budget!$K19,Budget!$J19)),Budget!$D19,0)</f>
        <v>0</v>
      </c>
      <c r="L19" s="146">
        <f>IF(AND(L$2&gt;=Budget!$F19,L$2&lt;=IF(Budget!$H19=Budget!$Z$1,Budget!$K19,Budget!$J19)),Budget!$D19,0)</f>
        <v>0</v>
      </c>
      <c r="M19" s="146">
        <f>IF(AND(M$2&gt;=Budget!$F19,M$2&lt;=IF(Budget!$H19=Budget!$Z$1,Budget!$K19,Budget!$J19)),Budget!$D19,0)</f>
        <v>0</v>
      </c>
      <c r="N19" s="146">
        <f>IF(AND(N$2&gt;=Budget!$F19,N$2&lt;=IF(Budget!$H19=Budget!$Z$1,Budget!$K19,Budget!$J19)),Budget!$D19,0)</f>
        <v>0</v>
      </c>
      <c r="O19" s="146">
        <f>IF(AND(O$2&gt;=Budget!$F19,O$2&lt;=IF(Budget!$H19=Budget!$Z$1,Budget!$K19,Budget!$J19)),Budget!$D19,0)</f>
        <v>0</v>
      </c>
      <c r="P19" s="146">
        <f>IF(AND(P$2&gt;=Budget!$F19,P$2&lt;=IF(Budget!$H19=Budget!$Z$1,Budget!$K19,Budget!$J19)),Budget!$D19,0)</f>
        <v>0</v>
      </c>
      <c r="Q19" s="146">
        <f>IF(AND(Q$2&gt;=Budget!$F19,Q$2&lt;=IF(Budget!$H19=Budget!$Z$1,Budget!$K19,Budget!$J19)),Budget!$D19,0)</f>
        <v>0</v>
      </c>
      <c r="R19" s="146">
        <f>IF(AND(R$2&gt;=Budget!$F19,R$2&lt;=IF(Budget!$H19=Budget!$Z$1,Budget!$K19,Budget!$J19)),Budget!$D19,0)</f>
        <v>0</v>
      </c>
      <c r="S19" s="146">
        <f>IF(AND(S$2&gt;=Budget!$F19,S$2&lt;=IF(Budget!$H19=Budget!$Z$1,Budget!$K19,Budget!$J19)),Budget!$D19,0)</f>
        <v>0</v>
      </c>
      <c r="T19" s="146">
        <f>IF(AND(T$2&gt;=Budget!$F19,T$2&lt;=IF(Budget!$H19=Budget!$Z$1,Budget!$K19,Budget!$J19)),Budget!$D19,0)</f>
        <v>0</v>
      </c>
      <c r="U19" s="146">
        <f>IF(AND(U$2&gt;=Budget!$F19,U$2&lt;=IF(Budget!$H19=Budget!$Z$1,Budget!$K19,Budget!$J19)),Budget!$D19,0)</f>
        <v>0</v>
      </c>
      <c r="V19" s="146">
        <f>IF(AND(V$2&gt;=Budget!$F19,V$2&lt;=IF(Budget!$H19=Budget!$Z$1,Budget!$K19,Budget!$J19)),Budget!$D19,0)</f>
        <v>0</v>
      </c>
      <c r="W19" s="146">
        <f>IF(AND(W$2&gt;=Budget!$F19,W$2&lt;=IF(Budget!$H19=Budget!$Z$1,Budget!$K19,Budget!$J19)),Budget!$D19,0)</f>
        <v>0</v>
      </c>
      <c r="X19" s="146">
        <f>IF(AND(X$2&gt;=Budget!$F19,X$2&lt;=IF(Budget!$H19=Budget!$Z$1,Budget!$K19,Budget!$J19)),Budget!$D19,0)</f>
        <v>0</v>
      </c>
      <c r="Y19" s="146">
        <f>IF(AND(Y$2&gt;=Budget!$F19,Y$2&lt;=IF(Budget!$H19=Budget!$Z$1,Budget!$K19,Budget!$J19)),Budget!$D19,0)</f>
        <v>0</v>
      </c>
      <c r="Z19" s="146">
        <f>IF(AND(Z$2&gt;=Budget!$F19,Z$2&lt;=IF(Budget!$H19=Budget!$Z$1,Budget!$K19,Budget!$J19)),Budget!$D19,0)</f>
        <v>0</v>
      </c>
      <c r="AA19" s="146">
        <f>IF(AND(AA$2&gt;=Budget!$F19,AA$2&lt;=IF(Budget!$H19=Budget!$Z$1,Budget!$K19,Budget!$J19)),Budget!$D19,0)</f>
        <v>0</v>
      </c>
      <c r="AB19" s="146">
        <f>IF(AND(AB$2&gt;=Budget!$F19,AB$2&lt;=IF(Budget!$H19=Budget!$Z$1,Budget!$K19,Budget!$J19)),Budget!$D19,0)</f>
        <v>0</v>
      </c>
      <c r="AC19" s="146">
        <f>IF(AND(AC$2&gt;=Budget!$F19,AC$2&lt;=IF(Budget!$H19=Budget!$Z$1,Budget!$K19,Budget!$J19)),Budget!$D19,0)</f>
        <v>0</v>
      </c>
      <c r="AD19" s="146">
        <f>IF(AND(AD$2&gt;=Budget!$F19,AD$2&lt;=IF(Budget!$H19=Budget!$Z$1,Budget!$K19,Budget!$J19)),Budget!$D19,0)</f>
        <v>0</v>
      </c>
      <c r="AE19" s="146">
        <f>IF(AND(AE$2&gt;=Budget!$F19,AE$2&lt;=IF(Budget!$H19=Budget!$Z$1,Budget!$K19,Budget!$J19)),Budget!$D19,0)</f>
        <v>0</v>
      </c>
      <c r="AF19" s="146">
        <f>IF(AND(AF$2&gt;=Budget!$F19,AF$2&lt;=IF(Budget!$H19=Budget!$Z$1,Budget!$K19,Budget!$J19)),Budget!$D19,0)</f>
        <v>0</v>
      </c>
      <c r="AG19" s="146">
        <f>IF(AND(AG$2&gt;=Budget!$F19,AG$2&lt;=IF(Budget!$H19=Budget!$Z$1,Budget!$K19,Budget!$J19)),Budget!$D19,0)</f>
        <v>0</v>
      </c>
      <c r="AH19" s="146">
        <f>IF(AND(AH$2&gt;=Budget!$F19,AH$2&lt;=IF(Budget!$H19=Budget!$Z$1,Budget!$K19,Budget!$J19)),Budget!$D19,0)</f>
        <v>0</v>
      </c>
      <c r="AI19" s="146">
        <f>IF(AND(AI$2&gt;=Budget!$F19,AI$2&lt;=IF(Budget!$H19=Budget!$Z$1,Budget!$K19,Budget!$J19)),Budget!$D19,0)</f>
        <v>0</v>
      </c>
      <c r="AJ19" s="146">
        <f>IF(AND(AJ$2&gt;=Budget!$F19,AJ$2&lt;=IF(Budget!$H19=Budget!$Z$1,Budget!$K19,Budget!$J19)),Budget!$D19,0)</f>
        <v>0</v>
      </c>
      <c r="AK19" s="146">
        <f>IF(AND(AK$2&gt;=Budget!$F19,AK$2&lt;=IF(Budget!$H19=Budget!$Z$1,Budget!$K19,Budget!$J19)),Budget!$D19,0)</f>
        <v>0</v>
      </c>
      <c r="AL19" s="146">
        <f>IF(AND(AL$2&gt;=Budget!$F19,AL$2&lt;=IF(Budget!$H19=Budget!$Z$1,Budget!$K19,Budget!$J19)),Budget!$D19,0)</f>
        <v>0</v>
      </c>
      <c r="AM19" s="146">
        <f>IF(AND(AM$2&gt;=Budget!$F19,AM$2&lt;=IF(Budget!$H19=Budget!$Z$1,Budget!$K19,Budget!$J19)),Budget!$D19,0)</f>
        <v>0</v>
      </c>
      <c r="AN19" s="146">
        <f>IF(AND(AN$2&gt;=Budget!$F19,AN$2&lt;=IF(Budget!$H19=Budget!$Z$1,Budget!$K19,Budget!$J19)),Budget!$D19,0)</f>
        <v>0</v>
      </c>
      <c r="AO19" s="146">
        <f>IF(AND(AO$2&gt;=Budget!$F19,AO$2&lt;=IF(Budget!$H19=Budget!$Z$1,Budget!$K19,Budget!$J19)),Budget!$D19,0)</f>
        <v>0</v>
      </c>
      <c r="AP19" s="146">
        <f>IF(AND(AP$2&gt;=Budget!$F19,AP$2&lt;=IF(Budget!$H19=Budget!$Z$1,Budget!$K19,Budget!$J19)),Budget!$D19,0)</f>
        <v>0</v>
      </c>
      <c r="AQ19" s="146">
        <f>IF(AND(AQ$2&gt;=Budget!$F19,AQ$2&lt;=IF(Budget!$H19=Budget!$Z$1,Budget!$K19,Budget!$J19)),Budget!$D19,0)</f>
        <v>0</v>
      </c>
      <c r="AR19" s="146">
        <f>IF(AND(AR$2&gt;=Budget!$F19,AR$2&lt;=IF(Budget!$H19=Budget!$Z$1,Budget!$K19,Budget!$J19)),Budget!$D19,0)</f>
        <v>0</v>
      </c>
      <c r="AS19" s="146">
        <f>IF(AND(AS$2&gt;=Budget!$F19,AS$2&lt;=IF(Budget!$H19=Budget!$Z$1,Budget!$K19,Budget!$J19)),Budget!$D19,0)</f>
        <v>0</v>
      </c>
      <c r="AT19" s="146">
        <f>IF(AND(AT$2&gt;=Budget!$F19,AT$2&lt;=IF(Budget!$H19=Budget!$Z$1,Budget!$K19,Budget!$J19)),Budget!$D19,0)</f>
        <v>0</v>
      </c>
      <c r="AU19" s="146">
        <f>IF(AND(AU$2&gt;=Budget!$F19,AU$2&lt;=IF(Budget!$H19=Budget!$Z$1,Budget!$K19,Budget!$J19)),Budget!$D19,0)</f>
        <v>0</v>
      </c>
      <c r="AV19" s="146">
        <f>IF(AND(AV$2&gt;=Budget!$F19,AV$2&lt;=IF(Budget!$H19=Budget!$Z$1,Budget!$K19,Budget!$J19)),Budget!$D19,0)</f>
        <v>0</v>
      </c>
      <c r="AW19" s="146">
        <f>IF(AND(AW$2&gt;=Budget!$F19,AW$2&lt;=IF(Budget!$H19=Budget!$Z$1,Budget!$K19,Budget!$J19)),Budget!$D19,0)</f>
        <v>0</v>
      </c>
      <c r="AX19" s="146">
        <f>IF(AND(AX$2&gt;=Budget!$F19,AX$2&lt;=IF(Budget!$H19=Budget!$Z$1,Budget!$K19,Budget!$J19)),Budget!$D19,0)</f>
        <v>0</v>
      </c>
      <c r="AY19" s="146">
        <f>IF(AND(AY$2&gt;=Budget!$F19,AY$2&lt;=IF(Budget!$H19=Budget!$Z$1,Budget!$K19,Budget!$J19)),Budget!$D19,0)</f>
        <v>0</v>
      </c>
      <c r="AZ19" s="146">
        <f>IF(AND(AZ$2&gt;=Budget!$F19,AZ$2&lt;=IF(Budget!$H19=Budget!$Z$1,Budget!$K19,Budget!$J19)),Budget!$D19,0)</f>
        <v>0</v>
      </c>
      <c r="BA19" s="146">
        <f>IF(AND(BA$2&gt;=Budget!$F19,BA$2&lt;=IF(Budget!$H19=Budget!$Z$1,Budget!$K19,Budget!$J19)),Budget!$D19,0)</f>
        <v>0</v>
      </c>
      <c r="BB19" s="146">
        <f>IF(AND(BB$2&gt;=Budget!$F19,BB$2&lt;=IF(Budget!$H19=Budget!$Z$1,Budget!$K19,Budget!$J19)),Budget!$D19,0)</f>
        <v>0</v>
      </c>
      <c r="BC19" s="146">
        <f>IF(AND(BC$2&gt;=Budget!$F19,BC$2&lt;=IF(Budget!$H19=Budget!$Z$1,Budget!$K19,Budget!$J19)),Budget!$D19,0)</f>
        <v>0</v>
      </c>
      <c r="BD19" s="146">
        <f>IF(AND(BD$2&gt;=Budget!$F19,BD$2&lt;=IF(Budget!$H19=Budget!$Z$1,Budget!$K19,Budget!$J19)),Budget!$D19,0)</f>
        <v>0</v>
      </c>
      <c r="BE19" s="146">
        <f>IF(AND(BE$2&gt;=Budget!$F19,BE$2&lt;=IF(Budget!$H19=Budget!$Z$1,Budget!$K19,Budget!$J19)),Budget!$D19,0)</f>
        <v>0</v>
      </c>
      <c r="BF19" s="146">
        <f>IF(AND(BF$2&gt;=Budget!$F19,BF$2&lt;=IF(Budget!$H19=Budget!$Z$1,Budget!$K19,Budget!$J19)),Budget!$D19,0)</f>
        <v>0</v>
      </c>
    </row>
    <row r="20" spans="1:58" ht="14.4" x14ac:dyDescent="0.3">
      <c r="A20" s="142">
        <f>Budget!B20</f>
        <v>0</v>
      </c>
      <c r="B20" s="146">
        <f>IF(AND(B$2&gt;=Budget!$F20,B$2&lt;=IF(Budget!$H20=Budget!$Z$1,Budget!$K20,Budget!$J20)),Budget!$D20,0)</f>
        <v>0</v>
      </c>
      <c r="C20" s="146">
        <f>IF(AND(C$2&gt;=Budget!$F20,C$2&lt;=IF(Budget!$H20=Budget!$Z$1,Budget!$K20,Budget!$J20)),Budget!$D20,0)</f>
        <v>0</v>
      </c>
      <c r="D20" s="146">
        <f>IF(AND(D$2&gt;=Budget!$F20,D$2&lt;=IF(Budget!$H20=Budget!$Z$1,Budget!$K20,Budget!$J20)),Budget!$D20,0)</f>
        <v>0</v>
      </c>
      <c r="E20" s="146">
        <f>IF(AND(E$2&gt;=Budget!$F20,E$2&lt;=IF(Budget!$H20=Budget!$Z$1,Budget!$K20,Budget!$J20)),Budget!$D20,0)</f>
        <v>0</v>
      </c>
      <c r="F20" s="146">
        <f>IF(AND(F$2&gt;=Budget!$F20,F$2&lt;=IF(Budget!$H20=Budget!$Z$1,Budget!$K20,Budget!$J20)),Budget!$D20,0)</f>
        <v>0</v>
      </c>
      <c r="G20" s="146">
        <f>IF(AND(G$2&gt;=Budget!$F20,G$2&lt;=IF(Budget!$H20=Budget!$Z$1,Budget!$K20,Budget!$J20)),Budget!$D20,0)</f>
        <v>0</v>
      </c>
      <c r="H20" s="146">
        <f>IF(AND(H$2&gt;=Budget!$F20,H$2&lt;=IF(Budget!$H20=Budget!$Z$1,Budget!$K20,Budget!$J20)),Budget!$D20,0)</f>
        <v>0</v>
      </c>
      <c r="I20" s="146">
        <f>IF(AND(I$2&gt;=Budget!$F20,I$2&lt;=IF(Budget!$H20=Budget!$Z$1,Budget!$K20,Budget!$J20)),Budget!$D20,0)</f>
        <v>0</v>
      </c>
      <c r="J20" s="146">
        <f>IF(AND(J$2&gt;=Budget!$F20,J$2&lt;=IF(Budget!$H20=Budget!$Z$1,Budget!$K20,Budget!$J20)),Budget!$D20,0)</f>
        <v>0</v>
      </c>
      <c r="K20" s="146">
        <f>IF(AND(K$2&gt;=Budget!$F20,K$2&lt;=IF(Budget!$H20=Budget!$Z$1,Budget!$K20,Budget!$J20)),Budget!$D20,0)</f>
        <v>0</v>
      </c>
      <c r="L20" s="146">
        <f>IF(AND(L$2&gt;=Budget!$F20,L$2&lt;=IF(Budget!$H20=Budget!$Z$1,Budget!$K20,Budget!$J20)),Budget!$D20,0)</f>
        <v>0</v>
      </c>
      <c r="M20" s="146">
        <f>IF(AND(M$2&gt;=Budget!$F20,M$2&lt;=IF(Budget!$H20=Budget!$Z$1,Budget!$K20,Budget!$J20)),Budget!$D20,0)</f>
        <v>0</v>
      </c>
      <c r="N20" s="146">
        <f>IF(AND(N$2&gt;=Budget!$F20,N$2&lt;=IF(Budget!$H20=Budget!$Z$1,Budget!$K20,Budget!$J20)),Budget!$D20,0)</f>
        <v>0</v>
      </c>
      <c r="O20" s="146">
        <f>IF(AND(O$2&gt;=Budget!$F20,O$2&lt;=IF(Budget!$H20=Budget!$Z$1,Budget!$K20,Budget!$J20)),Budget!$D20,0)</f>
        <v>0</v>
      </c>
      <c r="P20" s="146">
        <f>IF(AND(P$2&gt;=Budget!$F20,P$2&lt;=IF(Budget!$H20=Budget!$Z$1,Budget!$K20,Budget!$J20)),Budget!$D20,0)</f>
        <v>0</v>
      </c>
      <c r="Q20" s="146">
        <f>IF(AND(Q$2&gt;=Budget!$F20,Q$2&lt;=IF(Budget!$H20=Budget!$Z$1,Budget!$K20,Budget!$J20)),Budget!$D20,0)</f>
        <v>0</v>
      </c>
      <c r="R20" s="146">
        <f>IF(AND(R$2&gt;=Budget!$F20,R$2&lt;=IF(Budget!$H20=Budget!$Z$1,Budget!$K20,Budget!$J20)),Budget!$D20,0)</f>
        <v>0</v>
      </c>
      <c r="S20" s="146">
        <f>IF(AND(S$2&gt;=Budget!$F20,S$2&lt;=IF(Budget!$H20=Budget!$Z$1,Budget!$K20,Budget!$J20)),Budget!$D20,0)</f>
        <v>0</v>
      </c>
      <c r="T20" s="146">
        <f>IF(AND(T$2&gt;=Budget!$F20,T$2&lt;=IF(Budget!$H20=Budget!$Z$1,Budget!$K20,Budget!$J20)),Budget!$D20,0)</f>
        <v>0</v>
      </c>
      <c r="U20" s="146">
        <f>IF(AND(U$2&gt;=Budget!$F20,U$2&lt;=IF(Budget!$H20=Budget!$Z$1,Budget!$K20,Budget!$J20)),Budget!$D20,0)</f>
        <v>0</v>
      </c>
      <c r="V20" s="146">
        <f>IF(AND(V$2&gt;=Budget!$F20,V$2&lt;=IF(Budget!$H20=Budget!$Z$1,Budget!$K20,Budget!$J20)),Budget!$D20,0)</f>
        <v>0</v>
      </c>
      <c r="W20" s="146">
        <f>IF(AND(W$2&gt;=Budget!$F20,W$2&lt;=IF(Budget!$H20=Budget!$Z$1,Budget!$K20,Budget!$J20)),Budget!$D20,0)</f>
        <v>0</v>
      </c>
      <c r="X20" s="146">
        <f>IF(AND(X$2&gt;=Budget!$F20,X$2&lt;=IF(Budget!$H20=Budget!$Z$1,Budget!$K20,Budget!$J20)),Budget!$D20,0)</f>
        <v>0</v>
      </c>
      <c r="Y20" s="146">
        <f>IF(AND(Y$2&gt;=Budget!$F20,Y$2&lt;=IF(Budget!$H20=Budget!$Z$1,Budget!$K20,Budget!$J20)),Budget!$D20,0)</f>
        <v>0</v>
      </c>
      <c r="Z20" s="146">
        <f>IF(AND(Z$2&gt;=Budget!$F20,Z$2&lt;=IF(Budget!$H20=Budget!$Z$1,Budget!$K20,Budget!$J20)),Budget!$D20,0)</f>
        <v>0</v>
      </c>
      <c r="AA20" s="146">
        <f>IF(AND(AA$2&gt;=Budget!$F20,AA$2&lt;=IF(Budget!$H20=Budget!$Z$1,Budget!$K20,Budget!$J20)),Budget!$D20,0)</f>
        <v>0</v>
      </c>
      <c r="AB20" s="146">
        <f>IF(AND(AB$2&gt;=Budget!$F20,AB$2&lt;=IF(Budget!$H20=Budget!$Z$1,Budget!$K20,Budget!$J20)),Budget!$D20,0)</f>
        <v>0</v>
      </c>
      <c r="AC20" s="146">
        <f>IF(AND(AC$2&gt;=Budget!$F20,AC$2&lt;=IF(Budget!$H20=Budget!$Z$1,Budget!$K20,Budget!$J20)),Budget!$D20,0)</f>
        <v>0</v>
      </c>
      <c r="AD20" s="146">
        <f>IF(AND(AD$2&gt;=Budget!$F20,AD$2&lt;=IF(Budget!$H20=Budget!$Z$1,Budget!$K20,Budget!$J20)),Budget!$D20,0)</f>
        <v>0</v>
      </c>
      <c r="AE20" s="146">
        <f>IF(AND(AE$2&gt;=Budget!$F20,AE$2&lt;=IF(Budget!$H20=Budget!$Z$1,Budget!$K20,Budget!$J20)),Budget!$D20,0)</f>
        <v>0</v>
      </c>
      <c r="AF20" s="146">
        <f>IF(AND(AF$2&gt;=Budget!$F20,AF$2&lt;=IF(Budget!$H20=Budget!$Z$1,Budget!$K20,Budget!$J20)),Budget!$D20,0)</f>
        <v>0</v>
      </c>
      <c r="AG20" s="146">
        <f>IF(AND(AG$2&gt;=Budget!$F20,AG$2&lt;=IF(Budget!$H20=Budget!$Z$1,Budget!$K20,Budget!$J20)),Budget!$D20,0)</f>
        <v>0</v>
      </c>
      <c r="AH20" s="146">
        <f>IF(AND(AH$2&gt;=Budget!$F20,AH$2&lt;=IF(Budget!$H20=Budget!$Z$1,Budget!$K20,Budget!$J20)),Budget!$D20,0)</f>
        <v>0</v>
      </c>
      <c r="AI20" s="146">
        <f>IF(AND(AI$2&gt;=Budget!$F20,AI$2&lt;=IF(Budget!$H20=Budget!$Z$1,Budget!$K20,Budget!$J20)),Budget!$D20,0)</f>
        <v>0</v>
      </c>
      <c r="AJ20" s="146">
        <f>IF(AND(AJ$2&gt;=Budget!$F20,AJ$2&lt;=IF(Budget!$H20=Budget!$Z$1,Budget!$K20,Budget!$J20)),Budget!$D20,0)</f>
        <v>0</v>
      </c>
      <c r="AK20" s="146">
        <f>IF(AND(AK$2&gt;=Budget!$F20,AK$2&lt;=IF(Budget!$H20=Budget!$Z$1,Budget!$K20,Budget!$J20)),Budget!$D20,0)</f>
        <v>0</v>
      </c>
      <c r="AL20" s="146">
        <f>IF(AND(AL$2&gt;=Budget!$F20,AL$2&lt;=IF(Budget!$H20=Budget!$Z$1,Budget!$K20,Budget!$J20)),Budget!$D20,0)</f>
        <v>0</v>
      </c>
      <c r="AM20" s="146">
        <f>IF(AND(AM$2&gt;=Budget!$F20,AM$2&lt;=IF(Budget!$H20=Budget!$Z$1,Budget!$K20,Budget!$J20)),Budget!$D20,0)</f>
        <v>0</v>
      </c>
      <c r="AN20" s="146">
        <f>IF(AND(AN$2&gt;=Budget!$F20,AN$2&lt;=IF(Budget!$H20=Budget!$Z$1,Budget!$K20,Budget!$J20)),Budget!$D20,0)</f>
        <v>0</v>
      </c>
      <c r="AO20" s="146">
        <f>IF(AND(AO$2&gt;=Budget!$F20,AO$2&lt;=IF(Budget!$H20=Budget!$Z$1,Budget!$K20,Budget!$J20)),Budget!$D20,0)</f>
        <v>0</v>
      </c>
      <c r="AP20" s="146">
        <f>IF(AND(AP$2&gt;=Budget!$F20,AP$2&lt;=IF(Budget!$H20=Budget!$Z$1,Budget!$K20,Budget!$J20)),Budget!$D20,0)</f>
        <v>0</v>
      </c>
      <c r="AQ20" s="146">
        <f>IF(AND(AQ$2&gt;=Budget!$F20,AQ$2&lt;=IF(Budget!$H20=Budget!$Z$1,Budget!$K20,Budget!$J20)),Budget!$D20,0)</f>
        <v>0</v>
      </c>
      <c r="AR20" s="146">
        <f>IF(AND(AR$2&gt;=Budget!$F20,AR$2&lt;=IF(Budget!$H20=Budget!$Z$1,Budget!$K20,Budget!$J20)),Budget!$D20,0)</f>
        <v>0</v>
      </c>
      <c r="AS20" s="146">
        <f>IF(AND(AS$2&gt;=Budget!$F20,AS$2&lt;=IF(Budget!$H20=Budget!$Z$1,Budget!$K20,Budget!$J20)),Budget!$D20,0)</f>
        <v>0</v>
      </c>
      <c r="AT20" s="146">
        <f>IF(AND(AT$2&gt;=Budget!$F20,AT$2&lt;=IF(Budget!$H20=Budget!$Z$1,Budget!$K20,Budget!$J20)),Budget!$D20,0)</f>
        <v>0</v>
      </c>
      <c r="AU20" s="146">
        <f>IF(AND(AU$2&gt;=Budget!$F20,AU$2&lt;=IF(Budget!$H20=Budget!$Z$1,Budget!$K20,Budget!$J20)),Budget!$D20,0)</f>
        <v>0</v>
      </c>
      <c r="AV20" s="146">
        <f>IF(AND(AV$2&gt;=Budget!$F20,AV$2&lt;=IF(Budget!$H20=Budget!$Z$1,Budget!$K20,Budget!$J20)),Budget!$D20,0)</f>
        <v>0</v>
      </c>
      <c r="AW20" s="146">
        <f>IF(AND(AW$2&gt;=Budget!$F20,AW$2&lt;=IF(Budget!$H20=Budget!$Z$1,Budget!$K20,Budget!$J20)),Budget!$D20,0)</f>
        <v>0</v>
      </c>
      <c r="AX20" s="146">
        <f>IF(AND(AX$2&gt;=Budget!$F20,AX$2&lt;=IF(Budget!$H20=Budget!$Z$1,Budget!$K20,Budget!$J20)),Budget!$D20,0)</f>
        <v>0</v>
      </c>
      <c r="AY20" s="146">
        <f>IF(AND(AY$2&gt;=Budget!$F20,AY$2&lt;=IF(Budget!$H20=Budget!$Z$1,Budget!$K20,Budget!$J20)),Budget!$D20,0)</f>
        <v>0</v>
      </c>
      <c r="AZ20" s="146">
        <f>IF(AND(AZ$2&gt;=Budget!$F20,AZ$2&lt;=IF(Budget!$H20=Budget!$Z$1,Budget!$K20,Budget!$J20)),Budget!$D20,0)</f>
        <v>0</v>
      </c>
      <c r="BA20" s="146">
        <f>IF(AND(BA$2&gt;=Budget!$F20,BA$2&lt;=IF(Budget!$H20=Budget!$Z$1,Budget!$K20,Budget!$J20)),Budget!$D20,0)</f>
        <v>0</v>
      </c>
      <c r="BB20" s="146">
        <f>IF(AND(BB$2&gt;=Budget!$F20,BB$2&lt;=IF(Budget!$H20=Budget!$Z$1,Budget!$K20,Budget!$J20)),Budget!$D20,0)</f>
        <v>0</v>
      </c>
      <c r="BC20" s="146">
        <f>IF(AND(BC$2&gt;=Budget!$F20,BC$2&lt;=IF(Budget!$H20=Budget!$Z$1,Budget!$K20,Budget!$J20)),Budget!$D20,0)</f>
        <v>0</v>
      </c>
      <c r="BD20" s="146">
        <f>IF(AND(BD$2&gt;=Budget!$F20,BD$2&lt;=IF(Budget!$H20=Budget!$Z$1,Budget!$K20,Budget!$J20)),Budget!$D20,0)</f>
        <v>0</v>
      </c>
      <c r="BE20" s="146">
        <f>IF(AND(BE$2&gt;=Budget!$F20,BE$2&lt;=IF(Budget!$H20=Budget!$Z$1,Budget!$K20,Budget!$J20)),Budget!$D20,0)</f>
        <v>0</v>
      </c>
      <c r="BF20" s="146">
        <f>IF(AND(BF$2&gt;=Budget!$F20,BF$2&lt;=IF(Budget!$H20=Budget!$Z$1,Budget!$K20,Budget!$J20)),Budget!$D20,0)</f>
        <v>0</v>
      </c>
    </row>
    <row r="21" spans="1:58" ht="17.399999999999999" x14ac:dyDescent="0.3">
      <c r="A21" s="144" t="s">
        <v>340</v>
      </c>
      <c r="B21" s="143">
        <f t="shared" ref="B21:AG21" si="10">SUM(B4:B20)</f>
        <v>12278664</v>
      </c>
      <c r="C21" s="143">
        <f t="shared" si="10"/>
        <v>12278664</v>
      </c>
      <c r="D21" s="143">
        <f t="shared" si="10"/>
        <v>12278664</v>
      </c>
      <c r="E21" s="143">
        <f t="shared" si="10"/>
        <v>12278664</v>
      </c>
      <c r="F21" s="143">
        <f t="shared" si="10"/>
        <v>12278664</v>
      </c>
      <c r="G21" s="143">
        <f t="shared" si="10"/>
        <v>12278664</v>
      </c>
      <c r="H21" s="143">
        <f t="shared" si="10"/>
        <v>12278664</v>
      </c>
      <c r="I21" s="143">
        <f t="shared" si="10"/>
        <v>5584000</v>
      </c>
      <c r="J21" s="143">
        <f t="shared" si="10"/>
        <v>14884000</v>
      </c>
      <c r="K21" s="143">
        <f t="shared" si="10"/>
        <v>5384000</v>
      </c>
      <c r="L21" s="143">
        <f t="shared" si="10"/>
        <v>5384000</v>
      </c>
      <c r="M21" s="143">
        <f t="shared" si="10"/>
        <v>5084000</v>
      </c>
      <c r="N21" s="143">
        <f t="shared" si="10"/>
        <v>5084000</v>
      </c>
      <c r="O21" s="143">
        <f t="shared" si="10"/>
        <v>5084000</v>
      </c>
      <c r="P21" s="143">
        <f t="shared" si="10"/>
        <v>84000</v>
      </c>
      <c r="Q21" s="143">
        <f t="shared" si="10"/>
        <v>84000</v>
      </c>
      <c r="R21" s="143">
        <f t="shared" si="10"/>
        <v>84000</v>
      </c>
      <c r="S21" s="143">
        <f t="shared" si="10"/>
        <v>84000</v>
      </c>
      <c r="T21" s="143">
        <f t="shared" si="10"/>
        <v>84000</v>
      </c>
      <c r="U21" s="143">
        <f t="shared" si="10"/>
        <v>84000</v>
      </c>
      <c r="V21" s="143">
        <f t="shared" si="10"/>
        <v>84000</v>
      </c>
      <c r="W21" s="143">
        <f t="shared" si="10"/>
        <v>84000</v>
      </c>
      <c r="X21" s="143">
        <f t="shared" si="10"/>
        <v>84000</v>
      </c>
      <c r="Y21" s="143">
        <f t="shared" si="10"/>
        <v>84000</v>
      </c>
      <c r="Z21" s="143">
        <f t="shared" si="10"/>
        <v>84000</v>
      </c>
      <c r="AA21" s="143">
        <f t="shared" si="10"/>
        <v>84000</v>
      </c>
      <c r="AB21" s="143">
        <f t="shared" si="10"/>
        <v>84000</v>
      </c>
      <c r="AC21" s="143">
        <f t="shared" si="10"/>
        <v>84000</v>
      </c>
      <c r="AD21" s="143">
        <f t="shared" si="10"/>
        <v>84000</v>
      </c>
      <c r="AE21" s="143">
        <f t="shared" si="10"/>
        <v>84000</v>
      </c>
      <c r="AF21" s="143">
        <f t="shared" si="10"/>
        <v>84000</v>
      </c>
      <c r="AG21" s="143">
        <f t="shared" si="10"/>
        <v>84000</v>
      </c>
      <c r="AH21" s="143">
        <f t="shared" ref="AH21:BF21" si="11">SUM(AH4:AH20)</f>
        <v>84000</v>
      </c>
      <c r="AI21" s="143">
        <f t="shared" si="11"/>
        <v>84000</v>
      </c>
      <c r="AJ21" s="143">
        <f t="shared" si="11"/>
        <v>84000</v>
      </c>
      <c r="AK21" s="143">
        <f t="shared" si="11"/>
        <v>84000</v>
      </c>
      <c r="AL21" s="143">
        <f t="shared" si="11"/>
        <v>84000</v>
      </c>
      <c r="AM21" s="143">
        <f t="shared" si="11"/>
        <v>84000</v>
      </c>
      <c r="AN21" s="143">
        <f t="shared" si="11"/>
        <v>84000</v>
      </c>
      <c r="AO21" s="143">
        <f t="shared" si="11"/>
        <v>84000</v>
      </c>
      <c r="AP21" s="143">
        <f t="shared" si="11"/>
        <v>84000</v>
      </c>
      <c r="AQ21" s="143">
        <f t="shared" si="11"/>
        <v>84000</v>
      </c>
      <c r="AR21" s="143">
        <f t="shared" si="11"/>
        <v>84000</v>
      </c>
      <c r="AS21" s="143">
        <f t="shared" si="11"/>
        <v>84000</v>
      </c>
      <c r="AT21" s="143">
        <f t="shared" si="11"/>
        <v>84000</v>
      </c>
      <c r="AU21" s="143">
        <f t="shared" si="11"/>
        <v>84000</v>
      </c>
      <c r="AV21" s="143">
        <f t="shared" si="11"/>
        <v>84000</v>
      </c>
      <c r="AW21" s="143">
        <f t="shared" si="11"/>
        <v>84000</v>
      </c>
      <c r="AX21" s="143">
        <f t="shared" si="11"/>
        <v>84000</v>
      </c>
      <c r="AY21" s="143">
        <f t="shared" si="11"/>
        <v>84000</v>
      </c>
      <c r="AZ21" s="143">
        <f t="shared" si="11"/>
        <v>84000</v>
      </c>
      <c r="BA21" s="143">
        <f t="shared" si="11"/>
        <v>84000</v>
      </c>
      <c r="BB21" s="143">
        <f t="shared" si="11"/>
        <v>84000</v>
      </c>
      <c r="BC21" s="143">
        <f t="shared" si="11"/>
        <v>84000</v>
      </c>
      <c r="BD21" s="143">
        <f t="shared" si="11"/>
        <v>84000</v>
      </c>
      <c r="BE21" s="143">
        <f t="shared" si="11"/>
        <v>84000</v>
      </c>
      <c r="BF21" s="143">
        <f t="shared" si="11"/>
        <v>84000</v>
      </c>
    </row>
    <row r="22" spans="1:58" ht="17.399999999999999" x14ac:dyDescent="0.3">
      <c r="A22" s="187"/>
      <c r="B22" s="188"/>
      <c r="C22" s="188"/>
      <c r="D22" s="188"/>
      <c r="E22" s="188"/>
      <c r="F22" s="188"/>
      <c r="G22" s="188"/>
      <c r="H22" s="188"/>
      <c r="I22" s="188"/>
      <c r="J22" s="188"/>
      <c r="K22" s="188"/>
      <c r="L22" s="188"/>
      <c r="M22" s="188"/>
      <c r="N22" s="188"/>
      <c r="O22" s="188"/>
      <c r="P22" s="188"/>
      <c r="Q22" s="188"/>
      <c r="R22" s="188"/>
      <c r="S22" s="188"/>
      <c r="T22" s="188"/>
      <c r="U22" s="188"/>
      <c r="V22" s="188"/>
      <c r="W22" s="188"/>
      <c r="X22" s="188"/>
      <c r="Y22" s="188"/>
      <c r="Z22" s="188"/>
      <c r="AA22" s="188"/>
      <c r="AB22" s="188"/>
      <c r="AC22" s="188"/>
      <c r="AD22" s="188"/>
      <c r="AE22" s="188"/>
      <c r="AF22" s="188"/>
      <c r="AG22" s="188"/>
      <c r="AH22" s="188"/>
      <c r="AI22" s="188"/>
      <c r="AJ22" s="188"/>
      <c r="AK22" s="188"/>
      <c r="AL22" s="188"/>
      <c r="AM22" s="188"/>
      <c r="AN22" s="188"/>
      <c r="AO22" s="188"/>
      <c r="AP22" s="188"/>
      <c r="AQ22" s="188"/>
      <c r="AR22" s="188"/>
      <c r="AS22" s="188"/>
      <c r="AT22" s="188"/>
      <c r="AU22" s="188"/>
      <c r="AV22" s="188"/>
      <c r="AW22" s="188"/>
      <c r="AX22" s="188"/>
      <c r="AY22" s="188"/>
      <c r="AZ22" s="188"/>
      <c r="BA22" s="188"/>
      <c r="BB22" s="188"/>
      <c r="BC22" s="188"/>
      <c r="BD22" s="188"/>
      <c r="BE22" s="188"/>
      <c r="BF22" s="188"/>
    </row>
    <row r="23" spans="1:58" ht="17.399999999999999" x14ac:dyDescent="0.3">
      <c r="A23" s="559" t="s">
        <v>341</v>
      </c>
      <c r="B23" s="188"/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88"/>
      <c r="W23" s="188"/>
      <c r="X23" s="188"/>
      <c r="Y23" s="188"/>
      <c r="Z23" s="188"/>
      <c r="AA23" s="188"/>
      <c r="AB23" s="188"/>
      <c r="AC23" s="188"/>
      <c r="AD23" s="188"/>
      <c r="AE23" s="188"/>
      <c r="AF23" s="188"/>
      <c r="AG23" s="188"/>
      <c r="AH23" s="188"/>
      <c r="AI23" s="188"/>
      <c r="AJ23" s="188"/>
      <c r="AK23" s="188"/>
      <c r="AL23" s="188"/>
      <c r="AM23" s="188"/>
      <c r="AN23" s="188"/>
      <c r="AO23" s="188"/>
      <c r="AP23" s="188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</row>
    <row r="24" spans="1:58" ht="14.4" x14ac:dyDescent="0.3">
      <c r="A24" s="189" t="str">
        <f>A4</f>
        <v>SG OFFICE</v>
      </c>
      <c r="B24" s="146">
        <f>B4</f>
        <v>10361332</v>
      </c>
      <c r="C24" s="146">
        <f>C4*(1+Budget!$M4)^('Yearly Budget'!C$2-'Yearly Budget'!$B$2)</f>
        <v>11190238.560000001</v>
      </c>
      <c r="D24" s="146">
        <f>D4*(1+Budget!$M4)^('Yearly Budget'!D$2-'Yearly Budget'!$B$2)</f>
        <v>12085457.644800002</v>
      </c>
      <c r="E24" s="146">
        <f>E4*(1+Budget!$M4)^('Yearly Budget'!E$2-'Yearly Budget'!$B$2)</f>
        <v>13052294.256384002</v>
      </c>
      <c r="F24" s="146">
        <f>F4*(1+Budget!$M4)^('Yearly Budget'!F$2-'Yearly Budget'!$B$2)</f>
        <v>14096477.796894724</v>
      </c>
      <c r="G24" s="146">
        <f>G4*(1+Budget!$M4)^('Yearly Budget'!G$2-'Yearly Budget'!$B$2)</f>
        <v>15224196.0206463</v>
      </c>
      <c r="H24" s="146">
        <f>H4*(1+Budget!$M4)^('Yearly Budget'!H$2-'Yearly Budget'!$B$2)</f>
        <v>16442131.702298008</v>
      </c>
      <c r="I24" s="146">
        <f>I4*(1+Budget!$M4)^('Yearly Budget'!I$2-'Yearly Budget'!$B$2)</f>
        <v>0</v>
      </c>
      <c r="J24" s="146">
        <f>J4*(1+Budget!$M4)^('Yearly Budget'!J$2-'Yearly Budget'!$B$2)</f>
        <v>0</v>
      </c>
      <c r="K24" s="146">
        <f>K4*(1+Budget!$M4)^('Yearly Budget'!K$2-'Yearly Budget'!$B$2)</f>
        <v>0</v>
      </c>
      <c r="L24" s="146">
        <f>L4*(1+Budget!$M4)^('Yearly Budget'!L$2-'Yearly Budget'!$B$2)</f>
        <v>0</v>
      </c>
      <c r="M24" s="146">
        <f>M4*(1+Budget!$M4)^('Yearly Budget'!M$2-'Yearly Budget'!$B$2)</f>
        <v>0</v>
      </c>
      <c r="N24" s="146">
        <f>N4*(1+Budget!$M4)^('Yearly Budget'!N$2-'Yearly Budget'!$B$2)</f>
        <v>0</v>
      </c>
      <c r="O24" s="146">
        <f>O4*(1+Budget!$M4)^('Yearly Budget'!O$2-'Yearly Budget'!$B$2)</f>
        <v>0</v>
      </c>
      <c r="P24" s="146">
        <f>P4*(1+Budget!$M4)^('Yearly Budget'!P$2-'Yearly Budget'!$B$2)</f>
        <v>0</v>
      </c>
      <c r="Q24" s="146">
        <f>Q4*(1+Budget!$M4)^('Yearly Budget'!Q$2-'Yearly Budget'!$B$2)</f>
        <v>0</v>
      </c>
      <c r="R24" s="146">
        <f>R4*(1+Budget!$M4)^('Yearly Budget'!R$2-'Yearly Budget'!$B$2)</f>
        <v>0</v>
      </c>
      <c r="S24" s="146">
        <f>S4*(1+Budget!$M4)^('Yearly Budget'!S$2-'Yearly Budget'!$B$2)</f>
        <v>0</v>
      </c>
      <c r="T24" s="146">
        <f>T4*(1+Budget!$M4)^('Yearly Budget'!T$2-'Yearly Budget'!$B$2)</f>
        <v>0</v>
      </c>
      <c r="U24" s="146">
        <f>U4*(1+Budget!$M4)^('Yearly Budget'!U$2-'Yearly Budget'!$B$2)</f>
        <v>0</v>
      </c>
      <c r="V24" s="146">
        <f>V4*(1+Budget!$M4)^('Yearly Budget'!V$2-'Yearly Budget'!$B$2)</f>
        <v>0</v>
      </c>
      <c r="W24" s="146">
        <f>W4*(1+Budget!$M4)^('Yearly Budget'!W$2-'Yearly Budget'!$B$2)</f>
        <v>0</v>
      </c>
      <c r="X24" s="146">
        <f>X4*(1+Budget!$M4)^('Yearly Budget'!X$2-'Yearly Budget'!$B$2)</f>
        <v>0</v>
      </c>
      <c r="Y24" s="146">
        <f>Y4*(1+Budget!$M4)^('Yearly Budget'!Y$2-'Yearly Budget'!$B$2)</f>
        <v>0</v>
      </c>
      <c r="Z24" s="146">
        <f>Z4*(1+Budget!$M4)^('Yearly Budget'!Z$2-'Yearly Budget'!$B$2)</f>
        <v>0</v>
      </c>
      <c r="AA24" s="146">
        <f>AA4*(1+Budget!$M4)^('Yearly Budget'!AA$2-'Yearly Budget'!$B$2)</f>
        <v>0</v>
      </c>
      <c r="AB24" s="146">
        <f>AB4*(1+Budget!$M4)^('Yearly Budget'!AB$2-'Yearly Budget'!$B$2)</f>
        <v>0</v>
      </c>
      <c r="AC24" s="146">
        <f>AC4*(1+Budget!$M4)^('Yearly Budget'!AC$2-'Yearly Budget'!$B$2)</f>
        <v>0</v>
      </c>
      <c r="AD24" s="146">
        <f>AD4*(1+Budget!$M4)^('Yearly Budget'!AD$2-'Yearly Budget'!$B$2)</f>
        <v>0</v>
      </c>
      <c r="AE24" s="146">
        <f>AE4*(1+Budget!$M4)^('Yearly Budget'!AE$2-'Yearly Budget'!$B$2)</f>
        <v>0</v>
      </c>
      <c r="AF24" s="146">
        <f>AF4*(1+Budget!$M4)^('Yearly Budget'!AF$2-'Yearly Budget'!$B$2)</f>
        <v>0</v>
      </c>
      <c r="AG24" s="146">
        <f>AG4*(1+Budget!$M4)^('Yearly Budget'!AG$2-'Yearly Budget'!$B$2)</f>
        <v>0</v>
      </c>
      <c r="AH24" s="146">
        <f>AH4*(1+Budget!$M4)^('Yearly Budget'!AH$2-'Yearly Budget'!$B$2)</f>
        <v>0</v>
      </c>
      <c r="AI24" s="146">
        <f>AI4*(1+Budget!$M4)^('Yearly Budget'!AI$2-'Yearly Budget'!$B$2)</f>
        <v>0</v>
      </c>
      <c r="AJ24" s="146">
        <f>AJ4*(1+Budget!$M4)^('Yearly Budget'!AJ$2-'Yearly Budget'!$B$2)</f>
        <v>0</v>
      </c>
      <c r="AK24" s="146">
        <f>AK4*(1+Budget!$M4)^('Yearly Budget'!AK$2-'Yearly Budget'!$B$2)</f>
        <v>0</v>
      </c>
      <c r="AL24" s="146">
        <f>AL4*(1+Budget!$M4)^('Yearly Budget'!AL$2-'Yearly Budget'!$B$2)</f>
        <v>0</v>
      </c>
      <c r="AM24" s="146">
        <f>AM4*(1+Budget!$M4)^('Yearly Budget'!AM$2-'Yearly Budget'!$B$2)</f>
        <v>0</v>
      </c>
      <c r="AN24" s="146">
        <f>AN4*(1+Budget!$M4)^('Yearly Budget'!AN$2-'Yearly Budget'!$B$2)</f>
        <v>0</v>
      </c>
      <c r="AO24" s="146">
        <f>AO4*(1+Budget!$M4)^('Yearly Budget'!AO$2-'Yearly Budget'!$B$2)</f>
        <v>0</v>
      </c>
      <c r="AP24" s="146">
        <f>AP4*(1+Budget!$M4)^('Yearly Budget'!AP$2-'Yearly Budget'!$B$2)</f>
        <v>0</v>
      </c>
      <c r="AQ24" s="146">
        <f>AQ4*(1+Budget!$M4)^('Yearly Budget'!AQ$2-'Yearly Budget'!$B$2)</f>
        <v>0</v>
      </c>
      <c r="AR24" s="146">
        <f>AR4*(1+Budget!$M4)^('Yearly Budget'!AR$2-'Yearly Budget'!$B$2)</f>
        <v>0</v>
      </c>
      <c r="AS24" s="146">
        <f>AS4*(1+Budget!$M4)^('Yearly Budget'!AS$2-'Yearly Budget'!$B$2)</f>
        <v>0</v>
      </c>
      <c r="AT24" s="146">
        <f>AT4*(1+Budget!$M4)^('Yearly Budget'!AT$2-'Yearly Budget'!$B$2)</f>
        <v>0</v>
      </c>
      <c r="AU24" s="146">
        <f>AU4*(1+Budget!$M4)^('Yearly Budget'!AU$2-'Yearly Budget'!$B$2)</f>
        <v>0</v>
      </c>
      <c r="AV24" s="146">
        <f>AV4*(1+Budget!$M4)^('Yearly Budget'!AV$2-'Yearly Budget'!$B$2)</f>
        <v>0</v>
      </c>
      <c r="AW24" s="146">
        <f>AW4*(1+Budget!$M4)^('Yearly Budget'!AW$2-'Yearly Budget'!$B$2)</f>
        <v>0</v>
      </c>
      <c r="AX24" s="146">
        <f>AX4*(1+Budget!$M4)^('Yearly Budget'!AX$2-'Yearly Budget'!$B$2)</f>
        <v>0</v>
      </c>
      <c r="AY24" s="146">
        <f>AY4*(1+Budget!$M4)^('Yearly Budget'!AY$2-'Yearly Budget'!$B$2)</f>
        <v>0</v>
      </c>
      <c r="AZ24" s="146">
        <f>AZ4*(1+Budget!$M4)^('Yearly Budget'!AZ$2-'Yearly Budget'!$B$2)</f>
        <v>0</v>
      </c>
      <c r="BA24" s="146">
        <f>BA4*(1+Budget!$M4)^('Yearly Budget'!BA$2-'Yearly Budget'!$B$2)</f>
        <v>0</v>
      </c>
      <c r="BB24" s="146">
        <f>BB4*(1+Budget!$M4)^('Yearly Budget'!BB$2-'Yearly Budget'!$B$2)</f>
        <v>0</v>
      </c>
      <c r="BC24" s="146">
        <f>BC4*(1+Budget!$M4)^('Yearly Budget'!BC$2-'Yearly Budget'!$B$2)</f>
        <v>0</v>
      </c>
      <c r="BD24" s="146">
        <f>BD4*(1+Budget!$M4)^('Yearly Budget'!BD$2-'Yearly Budget'!$B$2)</f>
        <v>0</v>
      </c>
      <c r="BE24" s="146">
        <f>BE4*(1+Budget!$M4)^('Yearly Budget'!BE$2-'Yearly Budget'!$B$2)</f>
        <v>0</v>
      </c>
      <c r="BF24" s="146">
        <f>BF4*(1+Budget!$M4)^('Yearly Budget'!BF$2-'Yearly Budget'!$B$2)</f>
        <v>0</v>
      </c>
    </row>
    <row r="25" spans="1:58" ht="14.4" x14ac:dyDescent="0.3">
      <c r="A25" s="189" t="str">
        <f t="shared" ref="A25:B38" si="12">A5</f>
        <v>HS FREELANCING</v>
      </c>
      <c r="B25" s="146">
        <f>B5</f>
        <v>300000</v>
      </c>
      <c r="C25" s="146">
        <f>C5*(1+Budget!$M5)^('Yearly Budget'!C$2-'Yearly Budget'!$B$2)</f>
        <v>324000</v>
      </c>
      <c r="D25" s="146">
        <f>D5*(1+Budget!$M5)^('Yearly Budget'!D$2-'Yearly Budget'!$B$2)</f>
        <v>349920.00000000006</v>
      </c>
      <c r="E25" s="146">
        <f>E5*(1+Budget!$M5)^('Yearly Budget'!E$2-'Yearly Budget'!$B$2)</f>
        <v>377913.60000000003</v>
      </c>
      <c r="F25" s="146">
        <f>F5*(1+Budget!$M5)^('Yearly Budget'!F$2-'Yearly Budget'!$B$2)</f>
        <v>408146.68800000008</v>
      </c>
      <c r="G25" s="146">
        <f>G5*(1+Budget!$M5)^('Yearly Budget'!G$2-'Yearly Budget'!$B$2)</f>
        <v>440798.42304000008</v>
      </c>
      <c r="H25" s="146">
        <f>H5*(1+Budget!$M5)^('Yearly Budget'!H$2-'Yearly Budget'!$B$2)</f>
        <v>476062.29688320018</v>
      </c>
      <c r="I25" s="146">
        <f>I5*(1+Budget!$M5)^('Yearly Budget'!I$2-'Yearly Budget'!$B$2)</f>
        <v>514147.28063385619</v>
      </c>
      <c r="J25" s="146">
        <f>J5*(1+Budget!$M5)^('Yearly Budget'!J$2-'Yearly Budget'!$B$2)</f>
        <v>555279.06308456464</v>
      </c>
      <c r="K25" s="146">
        <f>K5*(1+Budget!$M5)^('Yearly Budget'!K$2-'Yearly Budget'!$B$2)</f>
        <v>599701.38813132991</v>
      </c>
      <c r="L25" s="146">
        <f>L5*(1+Budget!$M5)^('Yearly Budget'!L$2-'Yearly Budget'!$B$2)</f>
        <v>647677.49918183638</v>
      </c>
      <c r="M25" s="146">
        <f>M5*(1+Budget!$M5)^('Yearly Budget'!M$2-'Yearly Budget'!$B$2)</f>
        <v>0</v>
      </c>
      <c r="N25" s="146">
        <f>N5*(1+Budget!$M5)^('Yearly Budget'!N$2-'Yearly Budget'!$B$2)</f>
        <v>0</v>
      </c>
      <c r="O25" s="146">
        <f>O5*(1+Budget!$M5)^('Yearly Budget'!O$2-'Yearly Budget'!$B$2)</f>
        <v>0</v>
      </c>
      <c r="P25" s="146">
        <f>P5*(1+Budget!$M5)^('Yearly Budget'!P$2-'Yearly Budget'!$B$2)</f>
        <v>0</v>
      </c>
      <c r="Q25" s="146">
        <f>Q5*(1+Budget!$M5)^('Yearly Budget'!Q$2-'Yearly Budget'!$B$2)</f>
        <v>0</v>
      </c>
      <c r="R25" s="146">
        <f>R5*(1+Budget!$M5)^('Yearly Budget'!R$2-'Yearly Budget'!$B$2)</f>
        <v>0</v>
      </c>
      <c r="S25" s="146">
        <f>S5*(1+Budget!$M5)^('Yearly Budget'!S$2-'Yearly Budget'!$B$2)</f>
        <v>0</v>
      </c>
      <c r="T25" s="146">
        <f>T5*(1+Budget!$M5)^('Yearly Budget'!T$2-'Yearly Budget'!$B$2)</f>
        <v>0</v>
      </c>
      <c r="U25" s="146">
        <f>U5*(1+Budget!$M5)^('Yearly Budget'!U$2-'Yearly Budget'!$B$2)</f>
        <v>0</v>
      </c>
      <c r="V25" s="146">
        <f>V5*(1+Budget!$M5)^('Yearly Budget'!V$2-'Yearly Budget'!$B$2)</f>
        <v>0</v>
      </c>
      <c r="W25" s="146">
        <f>W5*(1+Budget!$M5)^('Yearly Budget'!W$2-'Yearly Budget'!$B$2)</f>
        <v>0</v>
      </c>
      <c r="X25" s="146">
        <f>X5*(1+Budget!$M5)^('Yearly Budget'!X$2-'Yearly Budget'!$B$2)</f>
        <v>0</v>
      </c>
      <c r="Y25" s="146">
        <f>Y5*(1+Budget!$M5)^('Yearly Budget'!Y$2-'Yearly Budget'!$B$2)</f>
        <v>0</v>
      </c>
      <c r="Z25" s="146">
        <f>Z5*(1+Budget!$M5)^('Yearly Budget'!Z$2-'Yearly Budget'!$B$2)</f>
        <v>0</v>
      </c>
      <c r="AA25" s="146">
        <f>AA5*(1+Budget!$M5)^('Yearly Budget'!AA$2-'Yearly Budget'!$B$2)</f>
        <v>0</v>
      </c>
      <c r="AB25" s="146">
        <f>AB5*(1+Budget!$M5)^('Yearly Budget'!AB$2-'Yearly Budget'!$B$2)</f>
        <v>0</v>
      </c>
      <c r="AC25" s="146">
        <f>AC5*(1+Budget!$M5)^('Yearly Budget'!AC$2-'Yearly Budget'!$B$2)</f>
        <v>0</v>
      </c>
      <c r="AD25" s="146">
        <f>AD5*(1+Budget!$M5)^('Yearly Budget'!AD$2-'Yearly Budget'!$B$2)</f>
        <v>0</v>
      </c>
      <c r="AE25" s="146">
        <f>AE5*(1+Budget!$M5)^('Yearly Budget'!AE$2-'Yearly Budget'!$B$2)</f>
        <v>0</v>
      </c>
      <c r="AF25" s="146">
        <f>AF5*(1+Budget!$M5)^('Yearly Budget'!AF$2-'Yearly Budget'!$B$2)</f>
        <v>0</v>
      </c>
      <c r="AG25" s="146">
        <f>AG5*(1+Budget!$M5)^('Yearly Budget'!AG$2-'Yearly Budget'!$B$2)</f>
        <v>0</v>
      </c>
      <c r="AH25" s="146">
        <f>AH5*(1+Budget!$M5)^('Yearly Budget'!AH$2-'Yearly Budget'!$B$2)</f>
        <v>0</v>
      </c>
      <c r="AI25" s="146">
        <f>AI5*(1+Budget!$M5)^('Yearly Budget'!AI$2-'Yearly Budget'!$B$2)</f>
        <v>0</v>
      </c>
      <c r="AJ25" s="146">
        <f>AJ5*(1+Budget!$M5)^('Yearly Budget'!AJ$2-'Yearly Budget'!$B$2)</f>
        <v>0</v>
      </c>
      <c r="AK25" s="146">
        <f>AK5*(1+Budget!$M5)^('Yearly Budget'!AK$2-'Yearly Budget'!$B$2)</f>
        <v>0</v>
      </c>
      <c r="AL25" s="146">
        <f>AL5*(1+Budget!$M5)^('Yearly Budget'!AL$2-'Yearly Budget'!$B$2)</f>
        <v>0</v>
      </c>
      <c r="AM25" s="146">
        <f>AM5*(1+Budget!$M5)^('Yearly Budget'!AM$2-'Yearly Budget'!$B$2)</f>
        <v>0</v>
      </c>
      <c r="AN25" s="146">
        <f>AN5*(1+Budget!$M5)^('Yearly Budget'!AN$2-'Yearly Budget'!$B$2)</f>
        <v>0</v>
      </c>
      <c r="AO25" s="146">
        <f>AO5*(1+Budget!$M5)^('Yearly Budget'!AO$2-'Yearly Budget'!$B$2)</f>
        <v>0</v>
      </c>
      <c r="AP25" s="146">
        <f>AP5*(1+Budget!$M5)^('Yearly Budget'!AP$2-'Yearly Budget'!$B$2)</f>
        <v>0</v>
      </c>
      <c r="AQ25" s="146">
        <f>AQ5*(1+Budget!$M5)^('Yearly Budget'!AQ$2-'Yearly Budget'!$B$2)</f>
        <v>0</v>
      </c>
      <c r="AR25" s="146">
        <f>AR5*(1+Budget!$M5)^('Yearly Budget'!AR$2-'Yearly Budget'!$B$2)</f>
        <v>0</v>
      </c>
      <c r="AS25" s="146">
        <f>AS5*(1+Budget!$M5)^('Yearly Budget'!AS$2-'Yearly Budget'!$B$2)</f>
        <v>0</v>
      </c>
      <c r="AT25" s="146">
        <f>AT5*(1+Budget!$M5)^('Yearly Budget'!AT$2-'Yearly Budget'!$B$2)</f>
        <v>0</v>
      </c>
      <c r="AU25" s="146">
        <f>AU5*(1+Budget!$M5)^('Yearly Budget'!AU$2-'Yearly Budget'!$B$2)</f>
        <v>0</v>
      </c>
      <c r="AV25" s="146">
        <f>AV5*(1+Budget!$M5)^('Yearly Budget'!AV$2-'Yearly Budget'!$B$2)</f>
        <v>0</v>
      </c>
      <c r="AW25" s="146">
        <f>AW5*(1+Budget!$M5)^('Yearly Budget'!AW$2-'Yearly Budget'!$B$2)</f>
        <v>0</v>
      </c>
      <c r="AX25" s="146">
        <f>AX5*(1+Budget!$M5)^('Yearly Budget'!AX$2-'Yearly Budget'!$B$2)</f>
        <v>0</v>
      </c>
      <c r="AY25" s="146">
        <f>AY5*(1+Budget!$M5)^('Yearly Budget'!AY$2-'Yearly Budget'!$B$2)</f>
        <v>0</v>
      </c>
      <c r="AZ25" s="146">
        <f>AZ5*(1+Budget!$M5)^('Yearly Budget'!AZ$2-'Yearly Budget'!$B$2)</f>
        <v>0</v>
      </c>
      <c r="BA25" s="146">
        <f>BA5*(1+Budget!$M5)^('Yearly Budget'!BA$2-'Yearly Budget'!$B$2)</f>
        <v>0</v>
      </c>
      <c r="BB25" s="146">
        <f>BB5*(1+Budget!$M5)^('Yearly Budget'!BB$2-'Yearly Budget'!$B$2)</f>
        <v>0</v>
      </c>
      <c r="BC25" s="146">
        <f>BC5*(1+Budget!$M5)^('Yearly Budget'!BC$2-'Yearly Budget'!$B$2)</f>
        <v>0</v>
      </c>
      <c r="BD25" s="146">
        <f>BD5*(1+Budget!$M5)^('Yearly Budget'!BD$2-'Yearly Budget'!$B$2)</f>
        <v>0</v>
      </c>
      <c r="BE25" s="146">
        <f>BE5*(1+Budget!$M5)^('Yearly Budget'!BE$2-'Yearly Budget'!$B$2)</f>
        <v>0</v>
      </c>
      <c r="BF25" s="146">
        <f>BF5*(1+Budget!$M5)^('Yearly Budget'!BF$2-'Yearly Budget'!$B$2)</f>
        <v>0</v>
      </c>
    </row>
    <row r="26" spans="1:58" ht="14.4" x14ac:dyDescent="0.3">
      <c r="A26" s="189">
        <f t="shared" si="12"/>
        <v>0</v>
      </c>
      <c r="B26" s="146">
        <f>B6</f>
        <v>0</v>
      </c>
      <c r="C26" s="146">
        <f>C6*(1+Budget!$M6)^('Yearly Budget'!C$2-'Yearly Budget'!$B$2)</f>
        <v>0</v>
      </c>
      <c r="D26" s="146">
        <f>D6*(1+Budget!$M6)^('Yearly Budget'!D$2-'Yearly Budget'!$B$2)</f>
        <v>0</v>
      </c>
      <c r="E26" s="146">
        <f>E6*(1+Budget!$M6)^('Yearly Budget'!E$2-'Yearly Budget'!$B$2)</f>
        <v>0</v>
      </c>
      <c r="F26" s="146">
        <f>F6*(1+Budget!$M6)^('Yearly Budget'!F$2-'Yearly Budget'!$B$2)</f>
        <v>0</v>
      </c>
      <c r="G26" s="146">
        <f>G6*(1+Budget!$M6)^('Yearly Budget'!G$2-'Yearly Budget'!$B$2)</f>
        <v>0</v>
      </c>
      <c r="H26" s="146">
        <f>H6*(1+Budget!$M6)^('Yearly Budget'!H$2-'Yearly Budget'!$B$2)</f>
        <v>0</v>
      </c>
      <c r="I26" s="146">
        <f>I6*(1+Budget!$M6)^('Yearly Budget'!I$2-'Yearly Budget'!$B$2)</f>
        <v>0</v>
      </c>
      <c r="J26" s="146">
        <f>J6*(1+Budget!$M6)^('Yearly Budget'!J$2-'Yearly Budget'!$B$2)</f>
        <v>0</v>
      </c>
      <c r="K26" s="146">
        <f>K6*(1+Budget!$M6)^('Yearly Budget'!K$2-'Yearly Budget'!$B$2)</f>
        <v>0</v>
      </c>
      <c r="L26" s="146">
        <f>L6*(1+Budget!$M6)^('Yearly Budget'!L$2-'Yearly Budget'!$B$2)</f>
        <v>0</v>
      </c>
      <c r="M26" s="146">
        <f>M6*(1+Budget!$M6)^('Yearly Budget'!M$2-'Yearly Budget'!$B$2)</f>
        <v>0</v>
      </c>
      <c r="N26" s="146">
        <f>N6*(1+Budget!$M6)^('Yearly Budget'!N$2-'Yearly Budget'!$B$2)</f>
        <v>0</v>
      </c>
      <c r="O26" s="146">
        <f>O6*(1+Budget!$M6)^('Yearly Budget'!O$2-'Yearly Budget'!$B$2)</f>
        <v>0</v>
      </c>
      <c r="P26" s="146">
        <f>P6*(1+Budget!$M6)^('Yearly Budget'!P$2-'Yearly Budget'!$B$2)</f>
        <v>0</v>
      </c>
      <c r="Q26" s="146">
        <f>Q6*(1+Budget!$M6)^('Yearly Budget'!Q$2-'Yearly Budget'!$B$2)</f>
        <v>0</v>
      </c>
      <c r="R26" s="146">
        <f>R6*(1+Budget!$M6)^('Yearly Budget'!R$2-'Yearly Budget'!$B$2)</f>
        <v>0</v>
      </c>
      <c r="S26" s="146">
        <f>S6*(1+Budget!$M6)^('Yearly Budget'!S$2-'Yearly Budget'!$B$2)</f>
        <v>0</v>
      </c>
      <c r="T26" s="146">
        <f>T6*(1+Budget!$M6)^('Yearly Budget'!T$2-'Yearly Budget'!$B$2)</f>
        <v>0</v>
      </c>
      <c r="U26" s="146">
        <f>U6*(1+Budget!$M6)^('Yearly Budget'!U$2-'Yearly Budget'!$B$2)</f>
        <v>0</v>
      </c>
      <c r="V26" s="146">
        <f>V6*(1+Budget!$M6)^('Yearly Budget'!V$2-'Yearly Budget'!$B$2)</f>
        <v>0</v>
      </c>
      <c r="W26" s="146">
        <f>W6*(1+Budget!$M6)^('Yearly Budget'!W$2-'Yearly Budget'!$B$2)</f>
        <v>0</v>
      </c>
      <c r="X26" s="146">
        <f>X6*(1+Budget!$M6)^('Yearly Budget'!X$2-'Yearly Budget'!$B$2)</f>
        <v>0</v>
      </c>
      <c r="Y26" s="146">
        <f>Y6*(1+Budget!$M6)^('Yearly Budget'!Y$2-'Yearly Budget'!$B$2)</f>
        <v>0</v>
      </c>
      <c r="Z26" s="146">
        <f>Z6*(1+Budget!$M6)^('Yearly Budget'!Z$2-'Yearly Budget'!$B$2)</f>
        <v>0</v>
      </c>
      <c r="AA26" s="146">
        <f>AA6*(1+Budget!$M6)^('Yearly Budget'!AA$2-'Yearly Budget'!$B$2)</f>
        <v>0</v>
      </c>
      <c r="AB26" s="146">
        <f>AB6*(1+Budget!$M6)^('Yearly Budget'!AB$2-'Yearly Budget'!$B$2)</f>
        <v>0</v>
      </c>
      <c r="AC26" s="146">
        <f>AC6*(1+Budget!$M6)^('Yearly Budget'!AC$2-'Yearly Budget'!$B$2)</f>
        <v>0</v>
      </c>
      <c r="AD26" s="146">
        <f>AD6*(1+Budget!$M6)^('Yearly Budget'!AD$2-'Yearly Budget'!$B$2)</f>
        <v>0</v>
      </c>
      <c r="AE26" s="146">
        <f>AE6*(1+Budget!$M6)^('Yearly Budget'!AE$2-'Yearly Budget'!$B$2)</f>
        <v>0</v>
      </c>
      <c r="AF26" s="146">
        <f>AF6*(1+Budget!$M6)^('Yearly Budget'!AF$2-'Yearly Budget'!$B$2)</f>
        <v>0</v>
      </c>
      <c r="AG26" s="146">
        <f>AG6*(1+Budget!$M6)^('Yearly Budget'!AG$2-'Yearly Budget'!$B$2)</f>
        <v>0</v>
      </c>
      <c r="AH26" s="146">
        <f>AH6*(1+Budget!$M6)^('Yearly Budget'!AH$2-'Yearly Budget'!$B$2)</f>
        <v>0</v>
      </c>
      <c r="AI26" s="146">
        <f>AI6*(1+Budget!$M6)^('Yearly Budget'!AI$2-'Yearly Budget'!$B$2)</f>
        <v>0</v>
      </c>
      <c r="AJ26" s="146">
        <f>AJ6*(1+Budget!$M6)^('Yearly Budget'!AJ$2-'Yearly Budget'!$B$2)</f>
        <v>0</v>
      </c>
      <c r="AK26" s="146">
        <f>AK6*(1+Budget!$M6)^('Yearly Budget'!AK$2-'Yearly Budget'!$B$2)</f>
        <v>0</v>
      </c>
      <c r="AL26" s="146">
        <f>AL6*(1+Budget!$M6)^('Yearly Budget'!AL$2-'Yearly Budget'!$B$2)</f>
        <v>0</v>
      </c>
      <c r="AM26" s="146">
        <f>AM6*(1+Budget!$M6)^('Yearly Budget'!AM$2-'Yearly Budget'!$B$2)</f>
        <v>0</v>
      </c>
      <c r="AN26" s="146">
        <f>AN6*(1+Budget!$M6)^('Yearly Budget'!AN$2-'Yearly Budget'!$B$2)</f>
        <v>0</v>
      </c>
      <c r="AO26" s="146">
        <f>AO6*(1+Budget!$M6)^('Yearly Budget'!AO$2-'Yearly Budget'!$B$2)</f>
        <v>0</v>
      </c>
      <c r="AP26" s="146">
        <f>AP6*(1+Budget!$M6)^('Yearly Budget'!AP$2-'Yearly Budget'!$B$2)</f>
        <v>0</v>
      </c>
      <c r="AQ26" s="146">
        <f>AQ6*(1+Budget!$M6)^('Yearly Budget'!AQ$2-'Yearly Budget'!$B$2)</f>
        <v>0</v>
      </c>
      <c r="AR26" s="146">
        <f>AR6*(1+Budget!$M6)^('Yearly Budget'!AR$2-'Yearly Budget'!$B$2)</f>
        <v>0</v>
      </c>
      <c r="AS26" s="146">
        <f>AS6*(1+Budget!$M6)^('Yearly Budget'!AS$2-'Yearly Budget'!$B$2)</f>
        <v>0</v>
      </c>
      <c r="AT26" s="146">
        <f>AT6*(1+Budget!$M6)^('Yearly Budget'!AT$2-'Yearly Budget'!$B$2)</f>
        <v>0</v>
      </c>
      <c r="AU26" s="146">
        <f>AU6*(1+Budget!$M6)^('Yearly Budget'!AU$2-'Yearly Budget'!$B$2)</f>
        <v>0</v>
      </c>
      <c r="AV26" s="146">
        <f>AV6*(1+Budget!$M6)^('Yearly Budget'!AV$2-'Yearly Budget'!$B$2)</f>
        <v>0</v>
      </c>
      <c r="AW26" s="146">
        <f>AW6*(1+Budget!$M6)^('Yearly Budget'!AW$2-'Yearly Budget'!$B$2)</f>
        <v>0</v>
      </c>
      <c r="AX26" s="146">
        <f>AX6*(1+Budget!$M6)^('Yearly Budget'!AX$2-'Yearly Budget'!$B$2)</f>
        <v>0</v>
      </c>
      <c r="AY26" s="146">
        <f>AY6*(1+Budget!$M6)^('Yearly Budget'!AY$2-'Yearly Budget'!$B$2)</f>
        <v>0</v>
      </c>
      <c r="AZ26" s="146">
        <f>AZ6*(1+Budget!$M6)^('Yearly Budget'!AZ$2-'Yearly Budget'!$B$2)</f>
        <v>0</v>
      </c>
      <c r="BA26" s="146">
        <f>BA6*(1+Budget!$M6)^('Yearly Budget'!BA$2-'Yearly Budget'!$B$2)</f>
        <v>0</v>
      </c>
      <c r="BB26" s="146">
        <f>BB6*(1+Budget!$M6)^('Yearly Budget'!BB$2-'Yearly Budget'!$B$2)</f>
        <v>0</v>
      </c>
      <c r="BC26" s="146">
        <f>BC6*(1+Budget!$M6)^('Yearly Budget'!BC$2-'Yearly Budget'!$B$2)</f>
        <v>0</v>
      </c>
      <c r="BD26" s="146">
        <f>BD6*(1+Budget!$M6)^('Yearly Budget'!BD$2-'Yearly Budget'!$B$2)</f>
        <v>0</v>
      </c>
      <c r="BE26" s="146">
        <f>BE6*(1+Budget!$M6)^('Yearly Budget'!BE$2-'Yearly Budget'!$B$2)</f>
        <v>0</v>
      </c>
      <c r="BF26" s="146">
        <f>BF6*(1+Budget!$M6)^('Yearly Budget'!BF$2-'Yearly Budget'!$B$2)</f>
        <v>0</v>
      </c>
    </row>
    <row r="27" spans="1:58" ht="14.4" x14ac:dyDescent="0.3">
      <c r="A27" s="189" t="str">
        <f t="shared" si="12"/>
        <v>SG HDFC Life Annuity Plan</v>
      </c>
      <c r="B27" s="146">
        <f t="shared" si="12"/>
        <v>84000</v>
      </c>
      <c r="C27" s="146">
        <f>C7*(1+Budget!$M7)^('Yearly Budget'!C$2-'Yearly Budget'!$B$2)</f>
        <v>84000</v>
      </c>
      <c r="D27" s="146">
        <f>D7*(1+Budget!$M7)^('Yearly Budget'!D$2-'Yearly Budget'!$B$2)</f>
        <v>84000</v>
      </c>
      <c r="E27" s="146">
        <f>E7*(1+Budget!$M7)^('Yearly Budget'!E$2-'Yearly Budget'!$B$2)</f>
        <v>84000</v>
      </c>
      <c r="F27" s="146">
        <f>F7*(1+Budget!$M7)^('Yearly Budget'!F$2-'Yearly Budget'!$B$2)</f>
        <v>84000</v>
      </c>
      <c r="G27" s="146">
        <f>G7*(1+Budget!$M7)^('Yearly Budget'!G$2-'Yearly Budget'!$B$2)</f>
        <v>84000</v>
      </c>
      <c r="H27" s="146">
        <f>H7*(1+Budget!$M7)^('Yearly Budget'!H$2-'Yearly Budget'!$B$2)</f>
        <v>84000</v>
      </c>
      <c r="I27" s="146">
        <f>I7*(1+Budget!$M7)^('Yearly Budget'!I$2-'Yearly Budget'!$B$2)</f>
        <v>84000</v>
      </c>
      <c r="J27" s="146">
        <f>J7*(1+Budget!$M7)^('Yearly Budget'!J$2-'Yearly Budget'!$B$2)</f>
        <v>84000</v>
      </c>
      <c r="K27" s="146">
        <f>K7*(1+Budget!$M7)^('Yearly Budget'!K$2-'Yearly Budget'!$B$2)</f>
        <v>84000</v>
      </c>
      <c r="L27" s="146">
        <f>L7*(1+Budget!$M7)^('Yearly Budget'!L$2-'Yearly Budget'!$B$2)</f>
        <v>84000</v>
      </c>
      <c r="M27" s="146">
        <f>M7*(1+Budget!$M7)^('Yearly Budget'!M$2-'Yearly Budget'!$B$2)</f>
        <v>84000</v>
      </c>
      <c r="N27" s="146">
        <f>N7*(1+Budget!$M7)^('Yearly Budget'!N$2-'Yearly Budget'!$B$2)</f>
        <v>84000</v>
      </c>
      <c r="O27" s="146">
        <f>O7*(1+Budget!$M7)^('Yearly Budget'!O$2-'Yearly Budget'!$B$2)</f>
        <v>84000</v>
      </c>
      <c r="P27" s="146">
        <f>P7*(1+Budget!$M7)^('Yearly Budget'!P$2-'Yearly Budget'!$B$2)</f>
        <v>84000</v>
      </c>
      <c r="Q27" s="146">
        <f>Q7*(1+Budget!$M7)^('Yearly Budget'!Q$2-'Yearly Budget'!$B$2)</f>
        <v>84000</v>
      </c>
      <c r="R27" s="146">
        <f>R7*(1+Budget!$M7)^('Yearly Budget'!R$2-'Yearly Budget'!$B$2)</f>
        <v>84000</v>
      </c>
      <c r="S27" s="146">
        <f>S7*(1+Budget!$M7)^('Yearly Budget'!S$2-'Yearly Budget'!$B$2)</f>
        <v>84000</v>
      </c>
      <c r="T27" s="146">
        <f>T7*(1+Budget!$M7)^('Yearly Budget'!T$2-'Yearly Budget'!$B$2)</f>
        <v>84000</v>
      </c>
      <c r="U27" s="146">
        <f>U7*(1+Budget!$M7)^('Yearly Budget'!U$2-'Yearly Budget'!$B$2)</f>
        <v>84000</v>
      </c>
      <c r="V27" s="146">
        <f>V7*(1+Budget!$M7)^('Yearly Budget'!V$2-'Yearly Budget'!$B$2)</f>
        <v>84000</v>
      </c>
      <c r="W27" s="146">
        <f>W7*(1+Budget!$M7)^('Yearly Budget'!W$2-'Yearly Budget'!$B$2)</f>
        <v>84000</v>
      </c>
      <c r="X27" s="146">
        <f>X7*(1+Budget!$M7)^('Yearly Budget'!X$2-'Yearly Budget'!$B$2)</f>
        <v>84000</v>
      </c>
      <c r="Y27" s="146">
        <f>Y7*(1+Budget!$M7)^('Yearly Budget'!Y$2-'Yearly Budget'!$B$2)</f>
        <v>84000</v>
      </c>
      <c r="Z27" s="146">
        <f>Z7*(1+Budget!$M7)^('Yearly Budget'!Z$2-'Yearly Budget'!$B$2)</f>
        <v>84000</v>
      </c>
      <c r="AA27" s="146">
        <f>AA7*(1+Budget!$M7)^('Yearly Budget'!AA$2-'Yearly Budget'!$B$2)</f>
        <v>84000</v>
      </c>
      <c r="AB27" s="146">
        <f>AB7*(1+Budget!$M7)^('Yearly Budget'!AB$2-'Yearly Budget'!$B$2)</f>
        <v>84000</v>
      </c>
      <c r="AC27" s="146">
        <f>AC7*(1+Budget!$M7)^('Yearly Budget'!AC$2-'Yearly Budget'!$B$2)</f>
        <v>84000</v>
      </c>
      <c r="AD27" s="146">
        <f>AD7*(1+Budget!$M7)^('Yearly Budget'!AD$2-'Yearly Budget'!$B$2)</f>
        <v>84000</v>
      </c>
      <c r="AE27" s="146">
        <f>AE7*(1+Budget!$M7)^('Yearly Budget'!AE$2-'Yearly Budget'!$B$2)</f>
        <v>84000</v>
      </c>
      <c r="AF27" s="146">
        <f>AF7*(1+Budget!$M7)^('Yearly Budget'!AF$2-'Yearly Budget'!$B$2)</f>
        <v>84000</v>
      </c>
      <c r="AG27" s="146">
        <f>AG7*(1+Budget!$M7)^('Yearly Budget'!AG$2-'Yearly Budget'!$B$2)</f>
        <v>84000</v>
      </c>
      <c r="AH27" s="146">
        <f>AH7*(1+Budget!$M7)^('Yearly Budget'!AH$2-'Yearly Budget'!$B$2)</f>
        <v>84000</v>
      </c>
      <c r="AI27" s="146">
        <f>AI7*(1+Budget!$M7)^('Yearly Budget'!AI$2-'Yearly Budget'!$B$2)</f>
        <v>84000</v>
      </c>
      <c r="AJ27" s="146">
        <f>AJ7*(1+Budget!$M7)^('Yearly Budget'!AJ$2-'Yearly Budget'!$B$2)</f>
        <v>84000</v>
      </c>
      <c r="AK27" s="146">
        <f>AK7*(1+Budget!$M7)^('Yearly Budget'!AK$2-'Yearly Budget'!$B$2)</f>
        <v>84000</v>
      </c>
      <c r="AL27" s="146">
        <f>AL7*(1+Budget!$M7)^('Yearly Budget'!AL$2-'Yearly Budget'!$B$2)</f>
        <v>84000</v>
      </c>
      <c r="AM27" s="146">
        <f>AM7*(1+Budget!$M7)^('Yearly Budget'!AM$2-'Yearly Budget'!$B$2)</f>
        <v>84000</v>
      </c>
      <c r="AN27" s="146">
        <f>AN7*(1+Budget!$M7)^('Yearly Budget'!AN$2-'Yearly Budget'!$B$2)</f>
        <v>84000</v>
      </c>
      <c r="AO27" s="146">
        <f>AO7*(1+Budget!$M7)^('Yearly Budget'!AO$2-'Yearly Budget'!$B$2)</f>
        <v>84000</v>
      </c>
      <c r="AP27" s="146">
        <f>AP7*(1+Budget!$M7)^('Yearly Budget'!AP$2-'Yearly Budget'!$B$2)</f>
        <v>84000</v>
      </c>
      <c r="AQ27" s="146">
        <f>AQ7*(1+Budget!$M7)^('Yearly Budget'!AQ$2-'Yearly Budget'!$B$2)</f>
        <v>84000</v>
      </c>
      <c r="AR27" s="146">
        <f>AR7*(1+Budget!$M7)^('Yearly Budget'!AR$2-'Yearly Budget'!$B$2)</f>
        <v>84000</v>
      </c>
      <c r="AS27" s="146">
        <f>AS7*(1+Budget!$M7)^('Yearly Budget'!AS$2-'Yearly Budget'!$B$2)</f>
        <v>84000</v>
      </c>
      <c r="AT27" s="146">
        <f>AT7*(1+Budget!$M7)^('Yearly Budget'!AT$2-'Yearly Budget'!$B$2)</f>
        <v>84000</v>
      </c>
      <c r="AU27" s="146">
        <f>AU7*(1+Budget!$M7)^('Yearly Budget'!AU$2-'Yearly Budget'!$B$2)</f>
        <v>84000</v>
      </c>
      <c r="AV27" s="146">
        <f>AV7*(1+Budget!$M7)^('Yearly Budget'!AV$2-'Yearly Budget'!$B$2)</f>
        <v>84000</v>
      </c>
      <c r="AW27" s="146">
        <f>AW7*(1+Budget!$M7)^('Yearly Budget'!AW$2-'Yearly Budget'!$B$2)</f>
        <v>84000</v>
      </c>
      <c r="AX27" s="146">
        <f>AX7*(1+Budget!$M7)^('Yearly Budget'!AX$2-'Yearly Budget'!$B$2)</f>
        <v>84000</v>
      </c>
      <c r="AY27" s="146">
        <f>AY7*(1+Budget!$M7)^('Yearly Budget'!AY$2-'Yearly Budget'!$B$2)</f>
        <v>84000</v>
      </c>
      <c r="AZ27" s="146">
        <f>AZ7*(1+Budget!$M7)^('Yearly Budget'!AZ$2-'Yearly Budget'!$B$2)</f>
        <v>84000</v>
      </c>
      <c r="BA27" s="146">
        <f>BA7*(1+Budget!$M7)^('Yearly Budget'!BA$2-'Yearly Budget'!$B$2)</f>
        <v>84000</v>
      </c>
      <c r="BB27" s="146">
        <f>BB7*(1+Budget!$M7)^('Yearly Budget'!BB$2-'Yearly Budget'!$B$2)</f>
        <v>84000</v>
      </c>
      <c r="BC27" s="146">
        <f>BC7*(1+Budget!$M7)^('Yearly Budget'!BC$2-'Yearly Budget'!$B$2)</f>
        <v>84000</v>
      </c>
      <c r="BD27" s="146">
        <f>BD7*(1+Budget!$M7)^('Yearly Budget'!BD$2-'Yearly Budget'!$B$2)</f>
        <v>84000</v>
      </c>
      <c r="BE27" s="146">
        <f>BE7*(1+Budget!$M7)^('Yearly Budget'!BE$2-'Yearly Budget'!$B$2)</f>
        <v>84000</v>
      </c>
      <c r="BF27" s="146">
        <f>BF7*(1+Budget!$M7)^('Yearly Budget'!BF$2-'Yearly Budget'!$B$2)</f>
        <v>84000</v>
      </c>
    </row>
    <row r="28" spans="1:58" ht="14.4" x14ac:dyDescent="0.3">
      <c r="A28" s="189" t="str">
        <f t="shared" si="12"/>
        <v>HS Jeevan Anand</v>
      </c>
      <c r="B28" s="146">
        <f t="shared" si="12"/>
        <v>200000</v>
      </c>
      <c r="C28" s="146">
        <f>C8*(1+Budget!$M8)^('Yearly Budget'!C$2-'Yearly Budget'!$B$2)</f>
        <v>210000</v>
      </c>
      <c r="D28" s="146">
        <f>D8*(1+Budget!$M8)^('Yearly Budget'!D$2-'Yearly Budget'!$B$2)</f>
        <v>220500</v>
      </c>
      <c r="E28" s="146">
        <f>E8*(1+Budget!$M8)^('Yearly Budget'!E$2-'Yearly Budget'!$B$2)</f>
        <v>231525.00000000003</v>
      </c>
      <c r="F28" s="146">
        <f>F8*(1+Budget!$M8)^('Yearly Budget'!F$2-'Yearly Budget'!$B$2)</f>
        <v>243101.25</v>
      </c>
      <c r="G28" s="146">
        <f>G8*(1+Budget!$M8)^('Yearly Budget'!G$2-'Yearly Budget'!$B$2)</f>
        <v>255256.31250000003</v>
      </c>
      <c r="H28" s="146">
        <f>H8*(1+Budget!$M8)^('Yearly Budget'!H$2-'Yearly Budget'!$B$2)</f>
        <v>268019.12812499999</v>
      </c>
      <c r="I28" s="146">
        <f>I8*(1+Budget!$M8)^('Yearly Budget'!I$2-'Yearly Budget'!$B$2)</f>
        <v>281420.08453125006</v>
      </c>
      <c r="J28" s="146">
        <f>J8*(1+Budget!$M8)^('Yearly Budget'!J$2-'Yearly Budget'!$B$2)</f>
        <v>0</v>
      </c>
      <c r="K28" s="146">
        <f>K8*(1+Budget!$M8)^('Yearly Budget'!K$2-'Yearly Budget'!$B$2)</f>
        <v>0</v>
      </c>
      <c r="L28" s="146">
        <f>L8*(1+Budget!$M8)^('Yearly Budget'!L$2-'Yearly Budget'!$B$2)</f>
        <v>0</v>
      </c>
      <c r="M28" s="146">
        <f>M8*(1+Budget!$M8)^('Yearly Budget'!M$2-'Yearly Budget'!$B$2)</f>
        <v>0</v>
      </c>
      <c r="N28" s="146">
        <f>N8*(1+Budget!$M8)^('Yearly Budget'!N$2-'Yearly Budget'!$B$2)</f>
        <v>0</v>
      </c>
      <c r="O28" s="146">
        <f>O8*(1+Budget!$M8)^('Yearly Budget'!O$2-'Yearly Budget'!$B$2)</f>
        <v>0</v>
      </c>
      <c r="P28" s="146">
        <f>P8*(1+Budget!$M8)^('Yearly Budget'!P$2-'Yearly Budget'!$B$2)</f>
        <v>0</v>
      </c>
      <c r="Q28" s="146">
        <f>Q8*(1+Budget!$M8)^('Yearly Budget'!Q$2-'Yearly Budget'!$B$2)</f>
        <v>0</v>
      </c>
      <c r="R28" s="146">
        <f>R8*(1+Budget!$M8)^('Yearly Budget'!R$2-'Yearly Budget'!$B$2)</f>
        <v>0</v>
      </c>
      <c r="S28" s="146">
        <f>S8*(1+Budget!$M8)^('Yearly Budget'!S$2-'Yearly Budget'!$B$2)</f>
        <v>0</v>
      </c>
      <c r="T28" s="146">
        <f>T8*(1+Budget!$M8)^('Yearly Budget'!T$2-'Yearly Budget'!$B$2)</f>
        <v>0</v>
      </c>
      <c r="U28" s="146">
        <f>U8*(1+Budget!$M8)^('Yearly Budget'!U$2-'Yearly Budget'!$B$2)</f>
        <v>0</v>
      </c>
      <c r="V28" s="146">
        <f>V8*(1+Budget!$M8)^('Yearly Budget'!V$2-'Yearly Budget'!$B$2)</f>
        <v>0</v>
      </c>
      <c r="W28" s="146">
        <f>W8*(1+Budget!$M8)^('Yearly Budget'!W$2-'Yearly Budget'!$B$2)</f>
        <v>0</v>
      </c>
      <c r="X28" s="146">
        <f>X8*(1+Budget!$M8)^('Yearly Budget'!X$2-'Yearly Budget'!$B$2)</f>
        <v>0</v>
      </c>
      <c r="Y28" s="146">
        <f>Y8*(1+Budget!$M8)^('Yearly Budget'!Y$2-'Yearly Budget'!$B$2)</f>
        <v>0</v>
      </c>
      <c r="Z28" s="146">
        <f>Z8*(1+Budget!$M8)^('Yearly Budget'!Z$2-'Yearly Budget'!$B$2)</f>
        <v>0</v>
      </c>
      <c r="AA28" s="146">
        <f>AA8*(1+Budget!$M8)^('Yearly Budget'!AA$2-'Yearly Budget'!$B$2)</f>
        <v>0</v>
      </c>
      <c r="AB28" s="146">
        <f>AB8*(1+Budget!$M8)^('Yearly Budget'!AB$2-'Yearly Budget'!$B$2)</f>
        <v>0</v>
      </c>
      <c r="AC28" s="146">
        <f>AC8*(1+Budget!$M8)^('Yearly Budget'!AC$2-'Yearly Budget'!$B$2)</f>
        <v>0</v>
      </c>
      <c r="AD28" s="146">
        <f>AD8*(1+Budget!$M8)^('Yearly Budget'!AD$2-'Yearly Budget'!$B$2)</f>
        <v>0</v>
      </c>
      <c r="AE28" s="146">
        <f>AE8*(1+Budget!$M8)^('Yearly Budget'!AE$2-'Yearly Budget'!$B$2)</f>
        <v>0</v>
      </c>
      <c r="AF28" s="146">
        <f>AF8*(1+Budget!$M8)^('Yearly Budget'!AF$2-'Yearly Budget'!$B$2)</f>
        <v>0</v>
      </c>
      <c r="AG28" s="146">
        <f>AG8*(1+Budget!$M8)^('Yearly Budget'!AG$2-'Yearly Budget'!$B$2)</f>
        <v>0</v>
      </c>
      <c r="AH28" s="146">
        <f>AH8*(1+Budget!$M8)^('Yearly Budget'!AH$2-'Yearly Budget'!$B$2)</f>
        <v>0</v>
      </c>
      <c r="AI28" s="146">
        <f>AI8*(1+Budget!$M8)^('Yearly Budget'!AI$2-'Yearly Budget'!$B$2)</f>
        <v>0</v>
      </c>
      <c r="AJ28" s="146">
        <f>AJ8*(1+Budget!$M8)^('Yearly Budget'!AJ$2-'Yearly Budget'!$B$2)</f>
        <v>0</v>
      </c>
      <c r="AK28" s="146">
        <f>AK8*(1+Budget!$M8)^('Yearly Budget'!AK$2-'Yearly Budget'!$B$2)</f>
        <v>0</v>
      </c>
      <c r="AL28" s="146">
        <f>AL8*(1+Budget!$M8)^('Yearly Budget'!AL$2-'Yearly Budget'!$B$2)</f>
        <v>0</v>
      </c>
      <c r="AM28" s="146">
        <f>AM8*(1+Budget!$M8)^('Yearly Budget'!AM$2-'Yearly Budget'!$B$2)</f>
        <v>0</v>
      </c>
      <c r="AN28" s="146">
        <f>AN8*(1+Budget!$M8)^('Yearly Budget'!AN$2-'Yearly Budget'!$B$2)</f>
        <v>0</v>
      </c>
      <c r="AO28" s="146">
        <f>AO8*(1+Budget!$M8)^('Yearly Budget'!AO$2-'Yearly Budget'!$B$2)</f>
        <v>0</v>
      </c>
      <c r="AP28" s="146">
        <f>AP8*(1+Budget!$M8)^('Yearly Budget'!AP$2-'Yearly Budget'!$B$2)</f>
        <v>0</v>
      </c>
      <c r="AQ28" s="146">
        <f>AQ8*(1+Budget!$M8)^('Yearly Budget'!AQ$2-'Yearly Budget'!$B$2)</f>
        <v>0</v>
      </c>
      <c r="AR28" s="146">
        <f>AR8*(1+Budget!$M8)^('Yearly Budget'!AR$2-'Yearly Budget'!$B$2)</f>
        <v>0</v>
      </c>
      <c r="AS28" s="146">
        <f>AS8*(1+Budget!$M8)^('Yearly Budget'!AS$2-'Yearly Budget'!$B$2)</f>
        <v>0</v>
      </c>
      <c r="AT28" s="146">
        <f>AT8*(1+Budget!$M8)^('Yearly Budget'!AT$2-'Yearly Budget'!$B$2)</f>
        <v>0</v>
      </c>
      <c r="AU28" s="146">
        <f>AU8*(1+Budget!$M8)^('Yearly Budget'!AU$2-'Yearly Budget'!$B$2)</f>
        <v>0</v>
      </c>
      <c r="AV28" s="146">
        <f>AV8*(1+Budget!$M8)^('Yearly Budget'!AV$2-'Yearly Budget'!$B$2)</f>
        <v>0</v>
      </c>
      <c r="AW28" s="146">
        <f>AW8*(1+Budget!$M8)^('Yearly Budget'!AW$2-'Yearly Budget'!$B$2)</f>
        <v>0</v>
      </c>
      <c r="AX28" s="146">
        <f>AX8*(1+Budget!$M8)^('Yearly Budget'!AX$2-'Yearly Budget'!$B$2)</f>
        <v>0</v>
      </c>
      <c r="AY28" s="146">
        <f>AY8*(1+Budget!$M8)^('Yearly Budget'!AY$2-'Yearly Budget'!$B$2)</f>
        <v>0</v>
      </c>
      <c r="AZ28" s="146">
        <f>AZ8*(1+Budget!$M8)^('Yearly Budget'!AZ$2-'Yearly Budget'!$B$2)</f>
        <v>0</v>
      </c>
      <c r="BA28" s="146">
        <f>BA8*(1+Budget!$M8)^('Yearly Budget'!BA$2-'Yearly Budget'!$B$2)</f>
        <v>0</v>
      </c>
      <c r="BB28" s="146">
        <f>BB8*(1+Budget!$M8)^('Yearly Budget'!BB$2-'Yearly Budget'!$B$2)</f>
        <v>0</v>
      </c>
      <c r="BC28" s="146">
        <f>BC8*(1+Budget!$M8)^('Yearly Budget'!BC$2-'Yearly Budget'!$B$2)</f>
        <v>0</v>
      </c>
      <c r="BD28" s="146">
        <f>BD8*(1+Budget!$M8)^('Yearly Budget'!BD$2-'Yearly Budget'!$B$2)</f>
        <v>0</v>
      </c>
      <c r="BE28" s="146">
        <f>BE8*(1+Budget!$M8)^('Yearly Budget'!BE$2-'Yearly Budget'!$B$2)</f>
        <v>0</v>
      </c>
      <c r="BF28" s="146">
        <f>BF8*(1+Budget!$M8)^('Yearly Budget'!BF$2-'Yearly Budget'!$B$2)</f>
        <v>0</v>
      </c>
    </row>
    <row r="29" spans="1:58" ht="14.4" x14ac:dyDescent="0.3">
      <c r="A29" s="189" t="str">
        <f t="shared" si="12"/>
        <v>NS Jeevan Tarang</v>
      </c>
      <c r="B29" s="146">
        <f t="shared" si="12"/>
        <v>0</v>
      </c>
      <c r="C29" s="146">
        <f>C9*(1+Budget!$M9)^('Yearly Budget'!C$2-'Yearly Budget'!$B$2)</f>
        <v>0</v>
      </c>
      <c r="D29" s="146">
        <f>D9*(1+Budget!$M9)^('Yearly Budget'!D$2-'Yearly Budget'!$B$2)</f>
        <v>0</v>
      </c>
      <c r="E29" s="146">
        <f>E9*(1+Budget!$M9)^('Yearly Budget'!E$2-'Yearly Budget'!$B$2)</f>
        <v>0</v>
      </c>
      <c r="F29" s="146">
        <f>F9*(1+Budget!$M9)^('Yearly Budget'!F$2-'Yearly Budget'!$B$2)</f>
        <v>0</v>
      </c>
      <c r="G29" s="146">
        <f>G9*(1+Budget!$M9)^('Yearly Budget'!G$2-'Yearly Budget'!$B$2)</f>
        <v>0</v>
      </c>
      <c r="H29" s="146">
        <f>H9*(1+Budget!$M9)^('Yearly Budget'!H$2-'Yearly Budget'!$B$2)</f>
        <v>0</v>
      </c>
      <c r="I29" s="146">
        <f>I9*(1+Budget!$M9)^('Yearly Budget'!I$2-'Yearly Budget'!$B$2)</f>
        <v>0</v>
      </c>
      <c r="J29" s="146">
        <f>J9*(1+Budget!$M9)^('Yearly Budget'!J$2-'Yearly Budget'!$B$2)</f>
        <v>4750000</v>
      </c>
      <c r="K29" s="146">
        <f>K9*(1+Budget!$M9)^('Yearly Budget'!K$2-'Yearly Budget'!$B$2)</f>
        <v>0</v>
      </c>
      <c r="L29" s="146">
        <f>L9*(1+Budget!$M9)^('Yearly Budget'!L$2-'Yearly Budget'!$B$2)</f>
        <v>0</v>
      </c>
      <c r="M29" s="146">
        <f>M9*(1+Budget!$M9)^('Yearly Budget'!M$2-'Yearly Budget'!$B$2)</f>
        <v>0</v>
      </c>
      <c r="N29" s="146">
        <f>N9*(1+Budget!$M9)^('Yearly Budget'!N$2-'Yearly Budget'!$B$2)</f>
        <v>0</v>
      </c>
      <c r="O29" s="146">
        <f>O9*(1+Budget!$M9)^('Yearly Budget'!O$2-'Yearly Budget'!$B$2)</f>
        <v>0</v>
      </c>
      <c r="P29" s="146">
        <f>P9*(1+Budget!$M9)^('Yearly Budget'!P$2-'Yearly Budget'!$B$2)</f>
        <v>0</v>
      </c>
      <c r="Q29" s="146">
        <f>Q9*(1+Budget!$M9)^('Yearly Budget'!Q$2-'Yearly Budget'!$B$2)</f>
        <v>0</v>
      </c>
      <c r="R29" s="146">
        <f>R9*(1+Budget!$M9)^('Yearly Budget'!R$2-'Yearly Budget'!$B$2)</f>
        <v>0</v>
      </c>
      <c r="S29" s="146">
        <f>S9*(1+Budget!$M9)^('Yearly Budget'!S$2-'Yearly Budget'!$B$2)</f>
        <v>0</v>
      </c>
      <c r="T29" s="146">
        <f>T9*(1+Budget!$M9)^('Yearly Budget'!T$2-'Yearly Budget'!$B$2)</f>
        <v>0</v>
      </c>
      <c r="U29" s="146">
        <f>U9*(1+Budget!$M9)^('Yearly Budget'!U$2-'Yearly Budget'!$B$2)</f>
        <v>0</v>
      </c>
      <c r="V29" s="146">
        <f>V9*(1+Budget!$M9)^('Yearly Budget'!V$2-'Yearly Budget'!$B$2)</f>
        <v>0</v>
      </c>
      <c r="W29" s="146">
        <f>W9*(1+Budget!$M9)^('Yearly Budget'!W$2-'Yearly Budget'!$B$2)</f>
        <v>0</v>
      </c>
      <c r="X29" s="146">
        <f>X9*(1+Budget!$M9)^('Yearly Budget'!X$2-'Yearly Budget'!$B$2)</f>
        <v>0</v>
      </c>
      <c r="Y29" s="146">
        <f>Y9*(1+Budget!$M9)^('Yearly Budget'!Y$2-'Yearly Budget'!$B$2)</f>
        <v>0</v>
      </c>
      <c r="Z29" s="146">
        <f>Z9*(1+Budget!$M9)^('Yearly Budget'!Z$2-'Yearly Budget'!$B$2)</f>
        <v>0</v>
      </c>
      <c r="AA29" s="146">
        <f>AA9*(1+Budget!$M9)^('Yearly Budget'!AA$2-'Yearly Budget'!$B$2)</f>
        <v>0</v>
      </c>
      <c r="AB29" s="146">
        <f>AB9*(1+Budget!$M9)^('Yearly Budget'!AB$2-'Yearly Budget'!$B$2)</f>
        <v>0</v>
      </c>
      <c r="AC29" s="146">
        <f>AC9*(1+Budget!$M9)^('Yearly Budget'!AC$2-'Yearly Budget'!$B$2)</f>
        <v>0</v>
      </c>
      <c r="AD29" s="146">
        <f>AD9*(1+Budget!$M9)^('Yearly Budget'!AD$2-'Yearly Budget'!$B$2)</f>
        <v>0</v>
      </c>
      <c r="AE29" s="146">
        <f>AE9*(1+Budget!$M9)^('Yearly Budget'!AE$2-'Yearly Budget'!$B$2)</f>
        <v>0</v>
      </c>
      <c r="AF29" s="146">
        <f>AF9*(1+Budget!$M9)^('Yearly Budget'!AF$2-'Yearly Budget'!$B$2)</f>
        <v>0</v>
      </c>
      <c r="AG29" s="146">
        <f>AG9*(1+Budget!$M9)^('Yearly Budget'!AG$2-'Yearly Budget'!$B$2)</f>
        <v>0</v>
      </c>
      <c r="AH29" s="146">
        <f>AH9*(1+Budget!$M9)^('Yearly Budget'!AH$2-'Yearly Budget'!$B$2)</f>
        <v>0</v>
      </c>
      <c r="AI29" s="146">
        <f>AI9*(1+Budget!$M9)^('Yearly Budget'!AI$2-'Yearly Budget'!$B$2)</f>
        <v>0</v>
      </c>
      <c r="AJ29" s="146">
        <f>AJ9*(1+Budget!$M9)^('Yearly Budget'!AJ$2-'Yearly Budget'!$B$2)</f>
        <v>0</v>
      </c>
      <c r="AK29" s="146">
        <f>AK9*(1+Budget!$M9)^('Yearly Budget'!AK$2-'Yearly Budget'!$B$2)</f>
        <v>0</v>
      </c>
      <c r="AL29" s="146">
        <f>AL9*(1+Budget!$M9)^('Yearly Budget'!AL$2-'Yearly Budget'!$B$2)</f>
        <v>0</v>
      </c>
      <c r="AM29" s="146">
        <f>AM9*(1+Budget!$M9)^('Yearly Budget'!AM$2-'Yearly Budget'!$B$2)</f>
        <v>0</v>
      </c>
      <c r="AN29" s="146">
        <f>AN9*(1+Budget!$M9)^('Yearly Budget'!AN$2-'Yearly Budget'!$B$2)</f>
        <v>0</v>
      </c>
      <c r="AO29" s="146">
        <f>AO9*(1+Budget!$M9)^('Yearly Budget'!AO$2-'Yearly Budget'!$B$2)</f>
        <v>0</v>
      </c>
      <c r="AP29" s="146">
        <f>AP9*(1+Budget!$M9)^('Yearly Budget'!AP$2-'Yearly Budget'!$B$2)</f>
        <v>0</v>
      </c>
      <c r="AQ29" s="146">
        <f>AQ9*(1+Budget!$M9)^('Yearly Budget'!AQ$2-'Yearly Budget'!$B$2)</f>
        <v>0</v>
      </c>
      <c r="AR29" s="146">
        <f>AR9*(1+Budget!$M9)^('Yearly Budget'!AR$2-'Yearly Budget'!$B$2)</f>
        <v>0</v>
      </c>
      <c r="AS29" s="146">
        <f>AS9*(1+Budget!$M9)^('Yearly Budget'!AS$2-'Yearly Budget'!$B$2)</f>
        <v>0</v>
      </c>
      <c r="AT29" s="146">
        <f>AT9*(1+Budget!$M9)^('Yearly Budget'!AT$2-'Yearly Budget'!$B$2)</f>
        <v>0</v>
      </c>
      <c r="AU29" s="146">
        <f>AU9*(1+Budget!$M9)^('Yearly Budget'!AU$2-'Yearly Budget'!$B$2)</f>
        <v>0</v>
      </c>
      <c r="AV29" s="146">
        <f>AV9*(1+Budget!$M9)^('Yearly Budget'!AV$2-'Yearly Budget'!$B$2)</f>
        <v>0</v>
      </c>
      <c r="AW29" s="146">
        <f>AW9*(1+Budget!$M9)^('Yearly Budget'!AW$2-'Yearly Budget'!$B$2)</f>
        <v>0</v>
      </c>
      <c r="AX29" s="146">
        <f>AX9*(1+Budget!$M9)^('Yearly Budget'!AX$2-'Yearly Budget'!$B$2)</f>
        <v>0</v>
      </c>
      <c r="AY29" s="146">
        <f>AY9*(1+Budget!$M9)^('Yearly Budget'!AY$2-'Yearly Budget'!$B$2)</f>
        <v>0</v>
      </c>
      <c r="AZ29" s="146">
        <f>AZ9*(1+Budget!$M9)^('Yearly Budget'!AZ$2-'Yearly Budget'!$B$2)</f>
        <v>0</v>
      </c>
      <c r="BA29" s="146">
        <f>BA9*(1+Budget!$M9)^('Yearly Budget'!BA$2-'Yearly Budget'!$B$2)</f>
        <v>0</v>
      </c>
      <c r="BB29" s="146">
        <f>BB9*(1+Budget!$M9)^('Yearly Budget'!BB$2-'Yearly Budget'!$B$2)</f>
        <v>0</v>
      </c>
      <c r="BC29" s="146">
        <f>BC9*(1+Budget!$M9)^('Yearly Budget'!BC$2-'Yearly Budget'!$B$2)</f>
        <v>0</v>
      </c>
      <c r="BD29" s="146">
        <f>BD9*(1+Budget!$M9)^('Yearly Budget'!BD$2-'Yearly Budget'!$B$2)</f>
        <v>0</v>
      </c>
      <c r="BE29" s="146">
        <f>BE9*(1+Budget!$M9)^('Yearly Budget'!BE$2-'Yearly Budget'!$B$2)</f>
        <v>0</v>
      </c>
      <c r="BF29" s="146">
        <f>BF9*(1+Budget!$M9)^('Yearly Budget'!BF$2-'Yearly Budget'!$B$2)</f>
        <v>0</v>
      </c>
    </row>
    <row r="30" spans="1:58" ht="14.4" x14ac:dyDescent="0.3">
      <c r="A30" s="189" t="str">
        <f t="shared" si="12"/>
        <v>SG Jeevan Tarang</v>
      </c>
      <c r="B30" s="146">
        <f t="shared" si="12"/>
        <v>0</v>
      </c>
      <c r="C30" s="146">
        <f>C10*(1+Budget!$M10)^('Yearly Budget'!C$2-'Yearly Budget'!$B$2)</f>
        <v>0</v>
      </c>
      <c r="D30" s="146">
        <f>D10*(1+Budget!$M10)^('Yearly Budget'!D$2-'Yearly Budget'!$B$2)</f>
        <v>0</v>
      </c>
      <c r="E30" s="146">
        <f>E10*(1+Budget!$M10)^('Yearly Budget'!E$2-'Yearly Budget'!$B$2)</f>
        <v>0</v>
      </c>
      <c r="F30" s="146">
        <f>F10*(1+Budget!$M10)^('Yearly Budget'!F$2-'Yearly Budget'!$B$2)</f>
        <v>0</v>
      </c>
      <c r="G30" s="146">
        <f>G10*(1+Budget!$M10)^('Yearly Budget'!G$2-'Yearly Budget'!$B$2)</f>
        <v>0</v>
      </c>
      <c r="H30" s="146">
        <f>H10*(1+Budget!$M10)^('Yearly Budget'!H$2-'Yearly Budget'!$B$2)</f>
        <v>0</v>
      </c>
      <c r="I30" s="146">
        <f>I10*(1+Budget!$M10)^('Yearly Budget'!I$2-'Yearly Budget'!$B$2)</f>
        <v>0</v>
      </c>
      <c r="J30" s="146">
        <f>J10*(1+Budget!$M10)^('Yearly Budget'!J$2-'Yearly Budget'!$B$2)</f>
        <v>4750000</v>
      </c>
      <c r="K30" s="146">
        <f>K10*(1+Budget!$M10)^('Yearly Budget'!K$2-'Yearly Budget'!$B$2)</f>
        <v>0</v>
      </c>
      <c r="L30" s="146">
        <f>L10*(1+Budget!$M10)^('Yearly Budget'!L$2-'Yearly Budget'!$B$2)</f>
        <v>0</v>
      </c>
      <c r="M30" s="146">
        <f>M10*(1+Budget!$M10)^('Yearly Budget'!M$2-'Yearly Budget'!$B$2)</f>
        <v>0</v>
      </c>
      <c r="N30" s="146">
        <f>N10*(1+Budget!$M10)^('Yearly Budget'!N$2-'Yearly Budget'!$B$2)</f>
        <v>0</v>
      </c>
      <c r="O30" s="146">
        <f>O10*(1+Budget!$M10)^('Yearly Budget'!O$2-'Yearly Budget'!$B$2)</f>
        <v>0</v>
      </c>
      <c r="P30" s="146">
        <f>P10*(1+Budget!$M10)^('Yearly Budget'!P$2-'Yearly Budget'!$B$2)</f>
        <v>0</v>
      </c>
      <c r="Q30" s="146">
        <f>Q10*(1+Budget!$M10)^('Yearly Budget'!Q$2-'Yearly Budget'!$B$2)</f>
        <v>0</v>
      </c>
      <c r="R30" s="146">
        <f>R10*(1+Budget!$M10)^('Yearly Budget'!R$2-'Yearly Budget'!$B$2)</f>
        <v>0</v>
      </c>
      <c r="S30" s="146">
        <f>S10*(1+Budget!$M10)^('Yearly Budget'!S$2-'Yearly Budget'!$B$2)</f>
        <v>0</v>
      </c>
      <c r="T30" s="146">
        <f>T10*(1+Budget!$M10)^('Yearly Budget'!T$2-'Yearly Budget'!$B$2)</f>
        <v>0</v>
      </c>
      <c r="U30" s="146">
        <f>U10*(1+Budget!$M10)^('Yearly Budget'!U$2-'Yearly Budget'!$B$2)</f>
        <v>0</v>
      </c>
      <c r="V30" s="146">
        <f>V10*(1+Budget!$M10)^('Yearly Budget'!V$2-'Yearly Budget'!$B$2)</f>
        <v>0</v>
      </c>
      <c r="W30" s="146">
        <f>W10*(1+Budget!$M10)^('Yearly Budget'!W$2-'Yearly Budget'!$B$2)</f>
        <v>0</v>
      </c>
      <c r="X30" s="146">
        <f>X10*(1+Budget!$M10)^('Yearly Budget'!X$2-'Yearly Budget'!$B$2)</f>
        <v>0</v>
      </c>
      <c r="Y30" s="146">
        <f>Y10*(1+Budget!$M10)^('Yearly Budget'!Y$2-'Yearly Budget'!$B$2)</f>
        <v>0</v>
      </c>
      <c r="Z30" s="146">
        <f>Z10*(1+Budget!$M10)^('Yearly Budget'!Z$2-'Yearly Budget'!$B$2)</f>
        <v>0</v>
      </c>
      <c r="AA30" s="146">
        <f>AA10*(1+Budget!$M10)^('Yearly Budget'!AA$2-'Yearly Budget'!$B$2)</f>
        <v>0</v>
      </c>
      <c r="AB30" s="146">
        <f>AB10*(1+Budget!$M10)^('Yearly Budget'!AB$2-'Yearly Budget'!$B$2)</f>
        <v>0</v>
      </c>
      <c r="AC30" s="146">
        <f>AC10*(1+Budget!$M10)^('Yearly Budget'!AC$2-'Yearly Budget'!$B$2)</f>
        <v>0</v>
      </c>
      <c r="AD30" s="146">
        <f>AD10*(1+Budget!$M10)^('Yearly Budget'!AD$2-'Yearly Budget'!$B$2)</f>
        <v>0</v>
      </c>
      <c r="AE30" s="146">
        <f>AE10*(1+Budget!$M10)^('Yearly Budget'!AE$2-'Yearly Budget'!$B$2)</f>
        <v>0</v>
      </c>
      <c r="AF30" s="146">
        <f>AF10*(1+Budget!$M10)^('Yearly Budget'!AF$2-'Yearly Budget'!$B$2)</f>
        <v>0</v>
      </c>
      <c r="AG30" s="146">
        <f>AG10*(1+Budget!$M10)^('Yearly Budget'!AG$2-'Yearly Budget'!$B$2)</f>
        <v>0</v>
      </c>
      <c r="AH30" s="146">
        <f>AH10*(1+Budget!$M10)^('Yearly Budget'!AH$2-'Yearly Budget'!$B$2)</f>
        <v>0</v>
      </c>
      <c r="AI30" s="146">
        <f>AI10*(1+Budget!$M10)^('Yearly Budget'!AI$2-'Yearly Budget'!$B$2)</f>
        <v>0</v>
      </c>
      <c r="AJ30" s="146">
        <f>AJ10*(1+Budget!$M10)^('Yearly Budget'!AJ$2-'Yearly Budget'!$B$2)</f>
        <v>0</v>
      </c>
      <c r="AK30" s="146">
        <f>AK10*(1+Budget!$M10)^('Yearly Budget'!AK$2-'Yearly Budget'!$B$2)</f>
        <v>0</v>
      </c>
      <c r="AL30" s="146">
        <f>AL10*(1+Budget!$M10)^('Yearly Budget'!AL$2-'Yearly Budget'!$B$2)</f>
        <v>0</v>
      </c>
      <c r="AM30" s="146">
        <f>AM10*(1+Budget!$M10)^('Yearly Budget'!AM$2-'Yearly Budget'!$B$2)</f>
        <v>0</v>
      </c>
      <c r="AN30" s="146">
        <f>AN10*(1+Budget!$M10)^('Yearly Budget'!AN$2-'Yearly Budget'!$B$2)</f>
        <v>0</v>
      </c>
      <c r="AO30" s="146">
        <f>AO10*(1+Budget!$M10)^('Yearly Budget'!AO$2-'Yearly Budget'!$B$2)</f>
        <v>0</v>
      </c>
      <c r="AP30" s="146">
        <f>AP10*(1+Budget!$M10)^('Yearly Budget'!AP$2-'Yearly Budget'!$B$2)</f>
        <v>0</v>
      </c>
      <c r="AQ30" s="146">
        <f>AQ10*(1+Budget!$M10)^('Yearly Budget'!AQ$2-'Yearly Budget'!$B$2)</f>
        <v>0</v>
      </c>
      <c r="AR30" s="146">
        <f>AR10*(1+Budget!$M10)^('Yearly Budget'!AR$2-'Yearly Budget'!$B$2)</f>
        <v>0</v>
      </c>
      <c r="AS30" s="146">
        <f>AS10*(1+Budget!$M10)^('Yearly Budget'!AS$2-'Yearly Budget'!$B$2)</f>
        <v>0</v>
      </c>
      <c r="AT30" s="146">
        <f>AT10*(1+Budget!$M10)^('Yearly Budget'!AT$2-'Yearly Budget'!$B$2)</f>
        <v>0</v>
      </c>
      <c r="AU30" s="146">
        <f>AU10*(1+Budget!$M10)^('Yearly Budget'!AU$2-'Yearly Budget'!$B$2)</f>
        <v>0</v>
      </c>
      <c r="AV30" s="146">
        <f>AV10*(1+Budget!$M10)^('Yearly Budget'!AV$2-'Yearly Budget'!$B$2)</f>
        <v>0</v>
      </c>
      <c r="AW30" s="146">
        <f>AW10*(1+Budget!$M10)^('Yearly Budget'!AW$2-'Yearly Budget'!$B$2)</f>
        <v>0</v>
      </c>
      <c r="AX30" s="146">
        <f>AX10*(1+Budget!$M10)^('Yearly Budget'!AX$2-'Yearly Budget'!$B$2)</f>
        <v>0</v>
      </c>
      <c r="AY30" s="146">
        <f>AY10*(1+Budget!$M10)^('Yearly Budget'!AY$2-'Yearly Budget'!$B$2)</f>
        <v>0</v>
      </c>
      <c r="AZ30" s="146">
        <f>AZ10*(1+Budget!$M10)^('Yearly Budget'!AZ$2-'Yearly Budget'!$B$2)</f>
        <v>0</v>
      </c>
      <c r="BA30" s="146">
        <f>BA10*(1+Budget!$M10)^('Yearly Budget'!BA$2-'Yearly Budget'!$B$2)</f>
        <v>0</v>
      </c>
      <c r="BB30" s="146">
        <f>BB10*(1+Budget!$M10)^('Yearly Budget'!BB$2-'Yearly Budget'!$B$2)</f>
        <v>0</v>
      </c>
      <c r="BC30" s="146">
        <f>BC10*(1+Budget!$M10)^('Yearly Budget'!BC$2-'Yearly Budget'!$B$2)</f>
        <v>0</v>
      </c>
      <c r="BD30" s="146">
        <f>BD10*(1+Budget!$M10)^('Yearly Budget'!BD$2-'Yearly Budget'!$B$2)</f>
        <v>0</v>
      </c>
      <c r="BE30" s="146">
        <f>BE10*(1+Budget!$M10)^('Yearly Budget'!BE$2-'Yearly Budget'!$B$2)</f>
        <v>0</v>
      </c>
      <c r="BF30" s="146">
        <f>BF10*(1+Budget!$M10)^('Yearly Budget'!BF$2-'Yearly Budget'!$B$2)</f>
        <v>0</v>
      </c>
    </row>
    <row r="31" spans="1:58" ht="14.4" x14ac:dyDescent="0.3">
      <c r="A31" s="189">
        <f t="shared" si="12"/>
        <v>0</v>
      </c>
      <c r="B31" s="146">
        <f t="shared" si="12"/>
        <v>0</v>
      </c>
      <c r="C31" s="146">
        <f>C11*(1+Budget!$M11)^('Yearly Budget'!C$2-'Yearly Budget'!$B$2)</f>
        <v>0</v>
      </c>
      <c r="D31" s="146">
        <f>D11*(1+Budget!$M11)^('Yearly Budget'!D$2-'Yearly Budget'!$B$2)</f>
        <v>0</v>
      </c>
      <c r="E31" s="146">
        <f>E11*(1+Budget!$M11)^('Yearly Budget'!E$2-'Yearly Budget'!$B$2)</f>
        <v>0</v>
      </c>
      <c r="F31" s="146">
        <f>F11*(1+Budget!$M11)^('Yearly Budget'!F$2-'Yearly Budget'!$B$2)</f>
        <v>0</v>
      </c>
      <c r="G31" s="146">
        <f>G11*(1+Budget!$M11)^('Yearly Budget'!G$2-'Yearly Budget'!$B$2)</f>
        <v>0</v>
      </c>
      <c r="H31" s="146">
        <f>H11*(1+Budget!$M11)^('Yearly Budget'!H$2-'Yearly Budget'!$B$2)</f>
        <v>0</v>
      </c>
      <c r="I31" s="146">
        <f>I11*(1+Budget!$M11)^('Yearly Budget'!I$2-'Yearly Budget'!$B$2)</f>
        <v>0</v>
      </c>
      <c r="J31" s="146">
        <f>J11*(1+Budget!$M11)^('Yearly Budget'!J$2-'Yearly Budget'!$B$2)</f>
        <v>0</v>
      </c>
      <c r="K31" s="146">
        <f>K11*(1+Budget!$M11)^('Yearly Budget'!K$2-'Yearly Budget'!$B$2)</f>
        <v>0</v>
      </c>
      <c r="L31" s="146">
        <f>L11*(1+Budget!$M11)^('Yearly Budget'!L$2-'Yearly Budget'!$B$2)</f>
        <v>0</v>
      </c>
      <c r="M31" s="146">
        <f>M11*(1+Budget!$M11)^('Yearly Budget'!M$2-'Yearly Budget'!$B$2)</f>
        <v>0</v>
      </c>
      <c r="N31" s="146">
        <f>N11*(1+Budget!$M11)^('Yearly Budget'!N$2-'Yearly Budget'!$B$2)</f>
        <v>0</v>
      </c>
      <c r="O31" s="146">
        <f>O11*(1+Budget!$M11)^('Yearly Budget'!O$2-'Yearly Budget'!$B$2)</f>
        <v>0</v>
      </c>
      <c r="P31" s="146">
        <f>P11*(1+Budget!$M11)^('Yearly Budget'!P$2-'Yearly Budget'!$B$2)</f>
        <v>0</v>
      </c>
      <c r="Q31" s="146">
        <f>Q11*(1+Budget!$M11)^('Yearly Budget'!Q$2-'Yearly Budget'!$B$2)</f>
        <v>0</v>
      </c>
      <c r="R31" s="146">
        <f>R11*(1+Budget!$M11)^('Yearly Budget'!R$2-'Yearly Budget'!$B$2)</f>
        <v>0</v>
      </c>
      <c r="S31" s="146">
        <f>S11*(1+Budget!$M11)^('Yearly Budget'!S$2-'Yearly Budget'!$B$2)</f>
        <v>0</v>
      </c>
      <c r="T31" s="146">
        <f>T11*(1+Budget!$M11)^('Yearly Budget'!T$2-'Yearly Budget'!$B$2)</f>
        <v>0</v>
      </c>
      <c r="U31" s="146">
        <f>U11*(1+Budget!$M11)^('Yearly Budget'!U$2-'Yearly Budget'!$B$2)</f>
        <v>0</v>
      </c>
      <c r="V31" s="146">
        <f>V11*(1+Budget!$M11)^('Yearly Budget'!V$2-'Yearly Budget'!$B$2)</f>
        <v>0</v>
      </c>
      <c r="W31" s="146">
        <f>W11*(1+Budget!$M11)^('Yearly Budget'!W$2-'Yearly Budget'!$B$2)</f>
        <v>0</v>
      </c>
      <c r="X31" s="146">
        <f>X11*(1+Budget!$M11)^('Yearly Budget'!X$2-'Yearly Budget'!$B$2)</f>
        <v>0</v>
      </c>
      <c r="Y31" s="146">
        <f>Y11*(1+Budget!$M11)^('Yearly Budget'!Y$2-'Yearly Budget'!$B$2)</f>
        <v>0</v>
      </c>
      <c r="Z31" s="146">
        <f>Z11*(1+Budget!$M11)^('Yearly Budget'!Z$2-'Yearly Budget'!$B$2)</f>
        <v>0</v>
      </c>
      <c r="AA31" s="146">
        <f>AA11*(1+Budget!$M11)^('Yearly Budget'!AA$2-'Yearly Budget'!$B$2)</f>
        <v>0</v>
      </c>
      <c r="AB31" s="146">
        <f>AB11*(1+Budget!$M11)^('Yearly Budget'!AB$2-'Yearly Budget'!$B$2)</f>
        <v>0</v>
      </c>
      <c r="AC31" s="146">
        <f>AC11*(1+Budget!$M11)^('Yearly Budget'!AC$2-'Yearly Budget'!$B$2)</f>
        <v>0</v>
      </c>
      <c r="AD31" s="146">
        <f>AD11*(1+Budget!$M11)^('Yearly Budget'!AD$2-'Yearly Budget'!$B$2)</f>
        <v>0</v>
      </c>
      <c r="AE31" s="146">
        <f>AE11*(1+Budget!$M11)^('Yearly Budget'!AE$2-'Yearly Budget'!$B$2)</f>
        <v>0</v>
      </c>
      <c r="AF31" s="146">
        <f>AF11*(1+Budget!$M11)^('Yearly Budget'!AF$2-'Yearly Budget'!$B$2)</f>
        <v>0</v>
      </c>
      <c r="AG31" s="146">
        <f>AG11*(1+Budget!$M11)^('Yearly Budget'!AG$2-'Yearly Budget'!$B$2)</f>
        <v>0</v>
      </c>
      <c r="AH31" s="146">
        <f>AH11*(1+Budget!$M11)^('Yearly Budget'!AH$2-'Yearly Budget'!$B$2)</f>
        <v>0</v>
      </c>
      <c r="AI31" s="146">
        <f>AI11*(1+Budget!$M11)^('Yearly Budget'!AI$2-'Yearly Budget'!$B$2)</f>
        <v>0</v>
      </c>
      <c r="AJ31" s="146">
        <f>AJ11*(1+Budget!$M11)^('Yearly Budget'!AJ$2-'Yearly Budget'!$B$2)</f>
        <v>0</v>
      </c>
      <c r="AK31" s="146">
        <f>AK11*(1+Budget!$M11)^('Yearly Budget'!AK$2-'Yearly Budget'!$B$2)</f>
        <v>0</v>
      </c>
      <c r="AL31" s="146">
        <f>AL11*(1+Budget!$M11)^('Yearly Budget'!AL$2-'Yearly Budget'!$B$2)</f>
        <v>0</v>
      </c>
      <c r="AM31" s="146">
        <f>AM11*(1+Budget!$M11)^('Yearly Budget'!AM$2-'Yearly Budget'!$B$2)</f>
        <v>0</v>
      </c>
      <c r="AN31" s="146">
        <f>AN11*(1+Budget!$M11)^('Yearly Budget'!AN$2-'Yearly Budget'!$B$2)</f>
        <v>0</v>
      </c>
      <c r="AO31" s="146">
        <f>AO11*(1+Budget!$M11)^('Yearly Budget'!AO$2-'Yearly Budget'!$B$2)</f>
        <v>0</v>
      </c>
      <c r="AP31" s="146">
        <f>AP11*(1+Budget!$M11)^('Yearly Budget'!AP$2-'Yearly Budget'!$B$2)</f>
        <v>0</v>
      </c>
      <c r="AQ31" s="146">
        <f>AQ11*(1+Budget!$M11)^('Yearly Budget'!AQ$2-'Yearly Budget'!$B$2)</f>
        <v>0</v>
      </c>
      <c r="AR31" s="146">
        <f>AR11*(1+Budget!$M11)^('Yearly Budget'!AR$2-'Yearly Budget'!$B$2)</f>
        <v>0</v>
      </c>
      <c r="AS31" s="146">
        <f>AS11*(1+Budget!$M11)^('Yearly Budget'!AS$2-'Yearly Budget'!$B$2)</f>
        <v>0</v>
      </c>
      <c r="AT31" s="146">
        <f>AT11*(1+Budget!$M11)^('Yearly Budget'!AT$2-'Yearly Budget'!$B$2)</f>
        <v>0</v>
      </c>
      <c r="AU31" s="146">
        <f>AU11*(1+Budget!$M11)^('Yearly Budget'!AU$2-'Yearly Budget'!$B$2)</f>
        <v>0</v>
      </c>
      <c r="AV31" s="146">
        <f>AV11*(1+Budget!$M11)^('Yearly Budget'!AV$2-'Yearly Budget'!$B$2)</f>
        <v>0</v>
      </c>
      <c r="AW31" s="146">
        <f>AW11*(1+Budget!$M11)^('Yearly Budget'!AW$2-'Yearly Budget'!$B$2)</f>
        <v>0</v>
      </c>
      <c r="AX31" s="146">
        <f>AX11*(1+Budget!$M11)^('Yearly Budget'!AX$2-'Yearly Budget'!$B$2)</f>
        <v>0</v>
      </c>
      <c r="AY31" s="146">
        <f>AY11*(1+Budget!$M11)^('Yearly Budget'!AY$2-'Yearly Budget'!$B$2)</f>
        <v>0</v>
      </c>
      <c r="AZ31" s="146">
        <f>AZ11*(1+Budget!$M11)^('Yearly Budget'!AZ$2-'Yearly Budget'!$B$2)</f>
        <v>0</v>
      </c>
      <c r="BA31" s="146">
        <f>BA11*(1+Budget!$M11)^('Yearly Budget'!BA$2-'Yearly Budget'!$B$2)</f>
        <v>0</v>
      </c>
      <c r="BB31" s="146">
        <f>BB11*(1+Budget!$M11)^('Yearly Budget'!BB$2-'Yearly Budget'!$B$2)</f>
        <v>0</v>
      </c>
      <c r="BC31" s="146">
        <f>BC11*(1+Budget!$M11)^('Yearly Budget'!BC$2-'Yearly Budget'!$B$2)</f>
        <v>0</v>
      </c>
      <c r="BD31" s="146">
        <f>BD11*(1+Budget!$M11)^('Yearly Budget'!BD$2-'Yearly Budget'!$B$2)</f>
        <v>0</v>
      </c>
      <c r="BE31" s="146">
        <f>BE11*(1+Budget!$M11)^('Yearly Budget'!BE$2-'Yearly Budget'!$B$2)</f>
        <v>0</v>
      </c>
      <c r="BF31" s="146">
        <f>BF11*(1+Budget!$M11)^('Yearly Budget'!BF$2-'Yearly Budget'!$B$2)</f>
        <v>0</v>
      </c>
    </row>
    <row r="32" spans="1:58" ht="14.4" x14ac:dyDescent="0.3">
      <c r="A32" s="189" t="str">
        <f t="shared" si="12"/>
        <v>SG EPF</v>
      </c>
      <c r="B32" s="146">
        <f t="shared" si="12"/>
        <v>1333332</v>
      </c>
      <c r="C32" s="146">
        <f>C12*(1+Budget!$M12)^('Yearly Budget'!C$2-'Yearly Budget'!$B$2)</f>
        <v>1439998.56</v>
      </c>
      <c r="D32" s="146">
        <f>D12*(1+Budget!$M12)^('Yearly Budget'!D$2-'Yearly Budget'!$B$2)</f>
        <v>1555198.4448000002</v>
      </c>
      <c r="E32" s="146">
        <f>E12*(1+Budget!$M12)^('Yearly Budget'!E$2-'Yearly Budget'!$B$2)</f>
        <v>1679614.3203840002</v>
      </c>
      <c r="F32" s="146">
        <f>F12*(1+Budget!$M12)^('Yearly Budget'!F$2-'Yearly Budget'!$B$2)</f>
        <v>1813983.4660147205</v>
      </c>
      <c r="G32" s="146">
        <f>G12*(1+Budget!$M12)^('Yearly Budget'!G$2-'Yearly Budget'!$B$2)</f>
        <v>1959102.1432958981</v>
      </c>
      <c r="H32" s="146">
        <f>H12*(1+Budget!$M12)^('Yearly Budget'!H$2-'Yearly Budget'!$B$2)</f>
        <v>2115830.3147595702</v>
      </c>
      <c r="I32" s="146">
        <f>I12*(1+Budget!$M12)^('Yearly Budget'!I$2-'Yearly Budget'!$B$2)</f>
        <v>0</v>
      </c>
      <c r="J32" s="146">
        <f>J12*(1+Budget!$M12)^('Yearly Budget'!J$2-'Yearly Budget'!$B$2)</f>
        <v>0</v>
      </c>
      <c r="K32" s="146">
        <f>K12*(1+Budget!$M12)^('Yearly Budget'!K$2-'Yearly Budget'!$B$2)</f>
        <v>0</v>
      </c>
      <c r="L32" s="146">
        <f>L12*(1+Budget!$M12)^('Yearly Budget'!L$2-'Yearly Budget'!$B$2)</f>
        <v>0</v>
      </c>
      <c r="M32" s="146">
        <f>M12*(1+Budget!$M12)^('Yearly Budget'!M$2-'Yearly Budget'!$B$2)</f>
        <v>0</v>
      </c>
      <c r="N32" s="146">
        <f>N12*(1+Budget!$M12)^('Yearly Budget'!N$2-'Yearly Budget'!$B$2)</f>
        <v>0</v>
      </c>
      <c r="O32" s="146">
        <f>O12*(1+Budget!$M12)^('Yearly Budget'!O$2-'Yearly Budget'!$B$2)</f>
        <v>0</v>
      </c>
      <c r="P32" s="146">
        <f>P12*(1+Budget!$M12)^('Yearly Budget'!P$2-'Yearly Budget'!$B$2)</f>
        <v>0</v>
      </c>
      <c r="Q32" s="146">
        <f>Q12*(1+Budget!$M12)^('Yearly Budget'!Q$2-'Yearly Budget'!$B$2)</f>
        <v>0</v>
      </c>
      <c r="R32" s="146">
        <f>R12*(1+Budget!$M12)^('Yearly Budget'!R$2-'Yearly Budget'!$B$2)</f>
        <v>0</v>
      </c>
      <c r="S32" s="146">
        <f>S12*(1+Budget!$M12)^('Yearly Budget'!S$2-'Yearly Budget'!$B$2)</f>
        <v>0</v>
      </c>
      <c r="T32" s="146">
        <f>T12*(1+Budget!$M12)^('Yearly Budget'!T$2-'Yearly Budget'!$B$2)</f>
        <v>0</v>
      </c>
      <c r="U32" s="146">
        <f>U12*(1+Budget!$M12)^('Yearly Budget'!U$2-'Yearly Budget'!$B$2)</f>
        <v>0</v>
      </c>
      <c r="V32" s="146">
        <f>V12*(1+Budget!$M12)^('Yearly Budget'!V$2-'Yearly Budget'!$B$2)</f>
        <v>0</v>
      </c>
      <c r="W32" s="146">
        <f>W12*(1+Budget!$M12)^('Yearly Budget'!W$2-'Yearly Budget'!$B$2)</f>
        <v>0</v>
      </c>
      <c r="X32" s="146">
        <f>X12*(1+Budget!$M12)^('Yearly Budget'!X$2-'Yearly Budget'!$B$2)</f>
        <v>0</v>
      </c>
      <c r="Y32" s="146">
        <f>Y12*(1+Budget!$M12)^('Yearly Budget'!Y$2-'Yearly Budget'!$B$2)</f>
        <v>0</v>
      </c>
      <c r="Z32" s="146">
        <f>Z12*(1+Budget!$M12)^('Yearly Budget'!Z$2-'Yearly Budget'!$B$2)</f>
        <v>0</v>
      </c>
      <c r="AA32" s="146">
        <f>AA12*(1+Budget!$M12)^('Yearly Budget'!AA$2-'Yearly Budget'!$B$2)</f>
        <v>0</v>
      </c>
      <c r="AB32" s="146">
        <f>AB12*(1+Budget!$M12)^('Yearly Budget'!AB$2-'Yearly Budget'!$B$2)</f>
        <v>0</v>
      </c>
      <c r="AC32" s="146">
        <f>AC12*(1+Budget!$M12)^('Yearly Budget'!AC$2-'Yearly Budget'!$B$2)</f>
        <v>0</v>
      </c>
      <c r="AD32" s="146">
        <f>AD12*(1+Budget!$M12)^('Yearly Budget'!AD$2-'Yearly Budget'!$B$2)</f>
        <v>0</v>
      </c>
      <c r="AE32" s="146">
        <f>AE12*(1+Budget!$M12)^('Yearly Budget'!AE$2-'Yearly Budget'!$B$2)</f>
        <v>0</v>
      </c>
      <c r="AF32" s="146">
        <f>AF12*(1+Budget!$M12)^('Yearly Budget'!AF$2-'Yearly Budget'!$B$2)</f>
        <v>0</v>
      </c>
      <c r="AG32" s="146">
        <f>AG12*(1+Budget!$M12)^('Yearly Budget'!AG$2-'Yearly Budget'!$B$2)</f>
        <v>0</v>
      </c>
      <c r="AH32" s="146">
        <f>AH12*(1+Budget!$M12)^('Yearly Budget'!AH$2-'Yearly Budget'!$B$2)</f>
        <v>0</v>
      </c>
      <c r="AI32" s="146">
        <f>AI12*(1+Budget!$M12)^('Yearly Budget'!AI$2-'Yearly Budget'!$B$2)</f>
        <v>0</v>
      </c>
      <c r="AJ32" s="146">
        <f>AJ12*(1+Budget!$M12)^('Yearly Budget'!AJ$2-'Yearly Budget'!$B$2)</f>
        <v>0</v>
      </c>
      <c r="AK32" s="146">
        <f>AK12*(1+Budget!$M12)^('Yearly Budget'!AK$2-'Yearly Budget'!$B$2)</f>
        <v>0</v>
      </c>
      <c r="AL32" s="146">
        <f>AL12*(1+Budget!$M12)^('Yearly Budget'!AL$2-'Yearly Budget'!$B$2)</f>
        <v>0</v>
      </c>
      <c r="AM32" s="146">
        <f>AM12*(1+Budget!$M12)^('Yearly Budget'!AM$2-'Yearly Budget'!$B$2)</f>
        <v>0</v>
      </c>
      <c r="AN32" s="146">
        <f>AN12*(1+Budget!$M12)^('Yearly Budget'!AN$2-'Yearly Budget'!$B$2)</f>
        <v>0</v>
      </c>
      <c r="AO32" s="146">
        <f>AO12*(1+Budget!$M12)^('Yearly Budget'!AO$2-'Yearly Budget'!$B$2)</f>
        <v>0</v>
      </c>
      <c r="AP32" s="146">
        <f>AP12*(1+Budget!$M12)^('Yearly Budget'!AP$2-'Yearly Budget'!$B$2)</f>
        <v>0</v>
      </c>
      <c r="AQ32" s="146">
        <f>AQ12*(1+Budget!$M12)^('Yearly Budget'!AQ$2-'Yearly Budget'!$B$2)</f>
        <v>0</v>
      </c>
      <c r="AR32" s="146">
        <f>AR12*(1+Budget!$M12)^('Yearly Budget'!AR$2-'Yearly Budget'!$B$2)</f>
        <v>0</v>
      </c>
      <c r="AS32" s="146">
        <f>AS12*(1+Budget!$M12)^('Yearly Budget'!AS$2-'Yearly Budget'!$B$2)</f>
        <v>0</v>
      </c>
      <c r="AT32" s="146">
        <f>AT12*(1+Budget!$M12)^('Yearly Budget'!AT$2-'Yearly Budget'!$B$2)</f>
        <v>0</v>
      </c>
      <c r="AU32" s="146">
        <f>AU12*(1+Budget!$M12)^('Yearly Budget'!AU$2-'Yearly Budget'!$B$2)</f>
        <v>0</v>
      </c>
      <c r="AV32" s="146">
        <f>AV12*(1+Budget!$M12)^('Yearly Budget'!AV$2-'Yearly Budget'!$B$2)</f>
        <v>0</v>
      </c>
      <c r="AW32" s="146">
        <f>AW12*(1+Budget!$M12)^('Yearly Budget'!AW$2-'Yearly Budget'!$B$2)</f>
        <v>0</v>
      </c>
      <c r="AX32" s="146">
        <f>AX12*(1+Budget!$M12)^('Yearly Budget'!AX$2-'Yearly Budget'!$B$2)</f>
        <v>0</v>
      </c>
      <c r="AY32" s="146">
        <f>AY12*(1+Budget!$M12)^('Yearly Budget'!AY$2-'Yearly Budget'!$B$2)</f>
        <v>0</v>
      </c>
      <c r="AZ32" s="146">
        <f>AZ12*(1+Budget!$M12)^('Yearly Budget'!AZ$2-'Yearly Budget'!$B$2)</f>
        <v>0</v>
      </c>
      <c r="BA32" s="146">
        <f>BA12*(1+Budget!$M12)^('Yearly Budget'!BA$2-'Yearly Budget'!$B$2)</f>
        <v>0</v>
      </c>
      <c r="BB32" s="146">
        <f>BB12*(1+Budget!$M12)^('Yearly Budget'!BB$2-'Yearly Budget'!$B$2)</f>
        <v>0</v>
      </c>
      <c r="BC32" s="146">
        <f>BC12*(1+Budget!$M12)^('Yearly Budget'!BC$2-'Yearly Budget'!$B$2)</f>
        <v>0</v>
      </c>
      <c r="BD32" s="146">
        <f>BD12*(1+Budget!$M12)^('Yearly Budget'!BD$2-'Yearly Budget'!$B$2)</f>
        <v>0</v>
      </c>
      <c r="BE32" s="146">
        <f>BE12*(1+Budget!$M12)^('Yearly Budget'!BE$2-'Yearly Budget'!$B$2)</f>
        <v>0</v>
      </c>
      <c r="BF32" s="146">
        <f>BF12*(1+Budget!$M12)^('Yearly Budget'!BF$2-'Yearly Budget'!$B$2)</f>
        <v>0</v>
      </c>
    </row>
    <row r="33" spans="1:58" ht="14.4" x14ac:dyDescent="0.3">
      <c r="A33" s="189" t="str">
        <f t="shared" si="12"/>
        <v>SG Post Ret Income</v>
      </c>
      <c r="B33" s="146">
        <f t="shared" si="12"/>
        <v>0</v>
      </c>
      <c r="C33" s="146">
        <f>C13*(1+Budget!$M13)^('Yearly Budget'!C$2-'Yearly Budget'!$B$2)</f>
        <v>0</v>
      </c>
      <c r="D33" s="146">
        <f>D13*(1+Budget!$M13)^('Yearly Budget'!D$2-'Yearly Budget'!$B$2)</f>
        <v>0</v>
      </c>
      <c r="E33" s="146">
        <f>E13*(1+Budget!$M13)^('Yearly Budget'!E$2-'Yearly Budget'!$B$2)</f>
        <v>0</v>
      </c>
      <c r="F33" s="146">
        <f>F13*(1+Budget!$M13)^('Yearly Budget'!F$2-'Yearly Budget'!$B$2)</f>
        <v>0</v>
      </c>
      <c r="G33" s="146">
        <f>G13*(1+Budget!$M13)^('Yearly Budget'!G$2-'Yearly Budget'!$B$2)</f>
        <v>0</v>
      </c>
      <c r="H33" s="146">
        <f>H13*(1+Budget!$M13)^('Yearly Budget'!H$2-'Yearly Budget'!$B$2)</f>
        <v>0</v>
      </c>
      <c r="I33" s="146">
        <f>I13*(1+Budget!$M13)^('Yearly Budget'!I$2-'Yearly Budget'!$B$2)</f>
        <v>7035502.1132812509</v>
      </c>
      <c r="J33" s="146">
        <f>J13*(1+Budget!$M13)^('Yearly Budget'!J$2-'Yearly Budget'!$B$2)</f>
        <v>7387277.2189453132</v>
      </c>
      <c r="K33" s="146">
        <f>K13*(1+Budget!$M13)^('Yearly Budget'!K$2-'Yearly Budget'!$B$2)</f>
        <v>7756641.0798925785</v>
      </c>
      <c r="L33" s="146">
        <f>L13*(1+Budget!$M13)^('Yearly Budget'!L$2-'Yearly Budget'!$B$2)</f>
        <v>8144473.1338872081</v>
      </c>
      <c r="M33" s="146">
        <f>M13*(1+Budget!$M13)^('Yearly Budget'!M$2-'Yearly Budget'!$B$2)</f>
        <v>8551696.7905815691</v>
      </c>
      <c r="N33" s="146">
        <f>N13*(1+Budget!$M13)^('Yearly Budget'!N$2-'Yearly Budget'!$B$2)</f>
        <v>8979281.6301106457</v>
      </c>
      <c r="O33" s="146">
        <f>O13*(1+Budget!$M13)^('Yearly Budget'!O$2-'Yearly Budget'!$B$2)</f>
        <v>9428245.7116161808</v>
      </c>
      <c r="P33" s="146">
        <f>P13*(1+Budget!$M13)^('Yearly Budget'!P$2-'Yearly Budget'!$B$2)</f>
        <v>0</v>
      </c>
      <c r="Q33" s="146">
        <f>Q13*(1+Budget!$M13)^('Yearly Budget'!Q$2-'Yearly Budget'!$B$2)</f>
        <v>0</v>
      </c>
      <c r="R33" s="146">
        <f>R13*(1+Budget!$M13)^('Yearly Budget'!R$2-'Yearly Budget'!$B$2)</f>
        <v>0</v>
      </c>
      <c r="S33" s="146">
        <f>S13*(1+Budget!$M13)^('Yearly Budget'!S$2-'Yearly Budget'!$B$2)</f>
        <v>0</v>
      </c>
      <c r="T33" s="146">
        <f>T13*(1+Budget!$M13)^('Yearly Budget'!T$2-'Yearly Budget'!$B$2)</f>
        <v>0</v>
      </c>
      <c r="U33" s="146">
        <f>U13*(1+Budget!$M13)^('Yearly Budget'!U$2-'Yearly Budget'!$B$2)</f>
        <v>0</v>
      </c>
      <c r="V33" s="146">
        <f>V13*(1+Budget!$M13)^('Yearly Budget'!V$2-'Yearly Budget'!$B$2)</f>
        <v>0</v>
      </c>
      <c r="W33" s="146">
        <f>W13*(1+Budget!$M13)^('Yearly Budget'!W$2-'Yearly Budget'!$B$2)</f>
        <v>0</v>
      </c>
      <c r="X33" s="146">
        <f>X13*(1+Budget!$M13)^('Yearly Budget'!X$2-'Yearly Budget'!$B$2)</f>
        <v>0</v>
      </c>
      <c r="Y33" s="146">
        <f>Y13*(1+Budget!$M13)^('Yearly Budget'!Y$2-'Yearly Budget'!$B$2)</f>
        <v>0</v>
      </c>
      <c r="Z33" s="146">
        <f>Z13*(1+Budget!$M13)^('Yearly Budget'!Z$2-'Yearly Budget'!$B$2)</f>
        <v>0</v>
      </c>
      <c r="AA33" s="146">
        <f>AA13*(1+Budget!$M13)^('Yearly Budget'!AA$2-'Yearly Budget'!$B$2)</f>
        <v>0</v>
      </c>
      <c r="AB33" s="146">
        <f>AB13*(1+Budget!$M13)^('Yearly Budget'!AB$2-'Yearly Budget'!$B$2)</f>
        <v>0</v>
      </c>
      <c r="AC33" s="146">
        <f>AC13*(1+Budget!$M13)^('Yearly Budget'!AC$2-'Yearly Budget'!$B$2)</f>
        <v>0</v>
      </c>
      <c r="AD33" s="146">
        <f>AD13*(1+Budget!$M13)^('Yearly Budget'!AD$2-'Yearly Budget'!$B$2)</f>
        <v>0</v>
      </c>
      <c r="AE33" s="146">
        <f>AE13*(1+Budget!$M13)^('Yearly Budget'!AE$2-'Yearly Budget'!$B$2)</f>
        <v>0</v>
      </c>
      <c r="AF33" s="146">
        <f>AF13*(1+Budget!$M13)^('Yearly Budget'!AF$2-'Yearly Budget'!$B$2)</f>
        <v>0</v>
      </c>
      <c r="AG33" s="146">
        <f>AG13*(1+Budget!$M13)^('Yearly Budget'!AG$2-'Yearly Budget'!$B$2)</f>
        <v>0</v>
      </c>
      <c r="AH33" s="146">
        <f>AH13*(1+Budget!$M13)^('Yearly Budget'!AH$2-'Yearly Budget'!$B$2)</f>
        <v>0</v>
      </c>
      <c r="AI33" s="146">
        <f>AI13*(1+Budget!$M13)^('Yearly Budget'!AI$2-'Yearly Budget'!$B$2)</f>
        <v>0</v>
      </c>
      <c r="AJ33" s="146">
        <f>AJ13*(1+Budget!$M13)^('Yearly Budget'!AJ$2-'Yearly Budget'!$B$2)</f>
        <v>0</v>
      </c>
      <c r="AK33" s="146">
        <f>AK13*(1+Budget!$M13)^('Yearly Budget'!AK$2-'Yearly Budget'!$B$2)</f>
        <v>0</v>
      </c>
      <c r="AL33" s="146">
        <f>AL13*(1+Budget!$M13)^('Yearly Budget'!AL$2-'Yearly Budget'!$B$2)</f>
        <v>0</v>
      </c>
      <c r="AM33" s="146">
        <f>AM13*(1+Budget!$M13)^('Yearly Budget'!AM$2-'Yearly Budget'!$B$2)</f>
        <v>0</v>
      </c>
      <c r="AN33" s="146">
        <f>AN13*(1+Budget!$M13)^('Yearly Budget'!AN$2-'Yearly Budget'!$B$2)</f>
        <v>0</v>
      </c>
      <c r="AO33" s="146">
        <f>AO13*(1+Budget!$M13)^('Yearly Budget'!AO$2-'Yearly Budget'!$B$2)</f>
        <v>0</v>
      </c>
      <c r="AP33" s="146">
        <f>AP13*(1+Budget!$M13)^('Yearly Budget'!AP$2-'Yearly Budget'!$B$2)</f>
        <v>0</v>
      </c>
      <c r="AQ33" s="146">
        <f>AQ13*(1+Budget!$M13)^('Yearly Budget'!AQ$2-'Yearly Budget'!$B$2)</f>
        <v>0</v>
      </c>
      <c r="AR33" s="146">
        <f>AR13*(1+Budget!$M13)^('Yearly Budget'!AR$2-'Yearly Budget'!$B$2)</f>
        <v>0</v>
      </c>
      <c r="AS33" s="146">
        <f>AS13*(1+Budget!$M13)^('Yearly Budget'!AS$2-'Yearly Budget'!$B$2)</f>
        <v>0</v>
      </c>
      <c r="AT33" s="146">
        <f>AT13*(1+Budget!$M13)^('Yearly Budget'!AT$2-'Yearly Budget'!$B$2)</f>
        <v>0</v>
      </c>
      <c r="AU33" s="146">
        <f>AU13*(1+Budget!$M13)^('Yearly Budget'!AU$2-'Yearly Budget'!$B$2)</f>
        <v>0</v>
      </c>
      <c r="AV33" s="146">
        <f>AV13*(1+Budget!$M13)^('Yearly Budget'!AV$2-'Yearly Budget'!$B$2)</f>
        <v>0</v>
      </c>
      <c r="AW33" s="146">
        <f>AW13*(1+Budget!$M13)^('Yearly Budget'!AW$2-'Yearly Budget'!$B$2)</f>
        <v>0</v>
      </c>
      <c r="AX33" s="146">
        <f>AX13*(1+Budget!$M13)^('Yearly Budget'!AX$2-'Yearly Budget'!$B$2)</f>
        <v>0</v>
      </c>
      <c r="AY33" s="146">
        <f>AY13*(1+Budget!$M13)^('Yearly Budget'!AY$2-'Yearly Budget'!$B$2)</f>
        <v>0</v>
      </c>
      <c r="AZ33" s="146">
        <f>AZ13*(1+Budget!$M13)^('Yearly Budget'!AZ$2-'Yearly Budget'!$B$2)</f>
        <v>0</v>
      </c>
      <c r="BA33" s="146">
        <f>BA13*(1+Budget!$M13)^('Yearly Budget'!BA$2-'Yearly Budget'!$B$2)</f>
        <v>0</v>
      </c>
      <c r="BB33" s="146">
        <f>BB13*(1+Budget!$M13)^('Yearly Budget'!BB$2-'Yearly Budget'!$B$2)</f>
        <v>0</v>
      </c>
      <c r="BC33" s="146">
        <f>BC13*(1+Budget!$M13)^('Yearly Budget'!BC$2-'Yearly Budget'!$B$2)</f>
        <v>0</v>
      </c>
      <c r="BD33" s="146">
        <f>BD13*(1+Budget!$M13)^('Yearly Budget'!BD$2-'Yearly Budget'!$B$2)</f>
        <v>0</v>
      </c>
      <c r="BE33" s="146">
        <f>BE13*(1+Budget!$M13)^('Yearly Budget'!BE$2-'Yearly Budget'!$B$2)</f>
        <v>0</v>
      </c>
      <c r="BF33" s="146">
        <f>BF13*(1+Budget!$M13)^('Yearly Budget'!BF$2-'Yearly Budget'!$B$2)</f>
        <v>0</v>
      </c>
    </row>
    <row r="34" spans="1:58" ht="14.4" x14ac:dyDescent="0.3">
      <c r="A34" s="189">
        <f t="shared" si="12"/>
        <v>0</v>
      </c>
      <c r="B34" s="146">
        <f t="shared" si="12"/>
        <v>0</v>
      </c>
      <c r="C34" s="146">
        <f>C14*(1+Budget!$M14)^('Yearly Budget'!C$2-'Yearly Budget'!$B$2)</f>
        <v>0</v>
      </c>
      <c r="D34" s="146">
        <f>D14*(1+Budget!$M14)^('Yearly Budget'!D$2-'Yearly Budget'!$B$2)</f>
        <v>0</v>
      </c>
      <c r="E34" s="146">
        <f>E14*(1+Budget!$M14)^('Yearly Budget'!E$2-'Yearly Budget'!$B$2)</f>
        <v>0</v>
      </c>
      <c r="F34" s="146">
        <f>F14*(1+Budget!$M14)^('Yearly Budget'!F$2-'Yearly Budget'!$B$2)</f>
        <v>0</v>
      </c>
      <c r="G34" s="146">
        <f>G14*(1+Budget!$M14)^('Yearly Budget'!G$2-'Yearly Budget'!$B$2)</f>
        <v>0</v>
      </c>
      <c r="H34" s="146">
        <f>H14*(1+Budget!$M14)^('Yearly Budget'!H$2-'Yearly Budget'!$B$2)</f>
        <v>0</v>
      </c>
      <c r="I34" s="146">
        <f>I14*(1+Budget!$M14)^('Yearly Budget'!I$2-'Yearly Budget'!$B$2)</f>
        <v>0</v>
      </c>
      <c r="J34" s="146">
        <f>J14*(1+Budget!$M14)^('Yearly Budget'!J$2-'Yearly Budget'!$B$2)</f>
        <v>0</v>
      </c>
      <c r="K34" s="146">
        <f>K14*(1+Budget!$M14)^('Yearly Budget'!K$2-'Yearly Budget'!$B$2)</f>
        <v>0</v>
      </c>
      <c r="L34" s="146">
        <f>L14*(1+Budget!$M14)^('Yearly Budget'!L$2-'Yearly Budget'!$B$2)</f>
        <v>0</v>
      </c>
      <c r="M34" s="146">
        <f>M14*(1+Budget!$M14)^('Yearly Budget'!M$2-'Yearly Budget'!$B$2)</f>
        <v>0</v>
      </c>
      <c r="N34" s="146">
        <f>N14*(1+Budget!$M14)^('Yearly Budget'!N$2-'Yearly Budget'!$B$2)</f>
        <v>0</v>
      </c>
      <c r="O34" s="146">
        <f>O14*(1+Budget!$M14)^('Yearly Budget'!O$2-'Yearly Budget'!$B$2)</f>
        <v>0</v>
      </c>
      <c r="P34" s="146">
        <f>P14*(1+Budget!$M14)^('Yearly Budget'!P$2-'Yearly Budget'!$B$2)</f>
        <v>0</v>
      </c>
      <c r="Q34" s="146">
        <f>Q14*(1+Budget!$M14)^('Yearly Budget'!Q$2-'Yearly Budget'!$B$2)</f>
        <v>0</v>
      </c>
      <c r="R34" s="146">
        <f>R14*(1+Budget!$M14)^('Yearly Budget'!R$2-'Yearly Budget'!$B$2)</f>
        <v>0</v>
      </c>
      <c r="S34" s="146">
        <f>S14*(1+Budget!$M14)^('Yearly Budget'!S$2-'Yearly Budget'!$B$2)</f>
        <v>0</v>
      </c>
      <c r="T34" s="146">
        <f>T14*(1+Budget!$M14)^('Yearly Budget'!T$2-'Yearly Budget'!$B$2)</f>
        <v>0</v>
      </c>
      <c r="U34" s="146">
        <f>U14*(1+Budget!$M14)^('Yearly Budget'!U$2-'Yearly Budget'!$B$2)</f>
        <v>0</v>
      </c>
      <c r="V34" s="146">
        <f>V14*(1+Budget!$M14)^('Yearly Budget'!V$2-'Yearly Budget'!$B$2)</f>
        <v>0</v>
      </c>
      <c r="W34" s="146">
        <f>W14*(1+Budget!$M14)^('Yearly Budget'!W$2-'Yearly Budget'!$B$2)</f>
        <v>0</v>
      </c>
      <c r="X34" s="146">
        <f>X14*(1+Budget!$M14)^('Yearly Budget'!X$2-'Yearly Budget'!$B$2)</f>
        <v>0</v>
      </c>
      <c r="Y34" s="146">
        <f>Y14*(1+Budget!$M14)^('Yearly Budget'!Y$2-'Yearly Budget'!$B$2)</f>
        <v>0</v>
      </c>
      <c r="Z34" s="146">
        <f>Z14*(1+Budget!$M14)^('Yearly Budget'!Z$2-'Yearly Budget'!$B$2)</f>
        <v>0</v>
      </c>
      <c r="AA34" s="146">
        <f>AA14*(1+Budget!$M14)^('Yearly Budget'!AA$2-'Yearly Budget'!$B$2)</f>
        <v>0</v>
      </c>
      <c r="AB34" s="146">
        <f>AB14*(1+Budget!$M14)^('Yearly Budget'!AB$2-'Yearly Budget'!$B$2)</f>
        <v>0</v>
      </c>
      <c r="AC34" s="146">
        <f>AC14*(1+Budget!$M14)^('Yearly Budget'!AC$2-'Yearly Budget'!$B$2)</f>
        <v>0</v>
      </c>
      <c r="AD34" s="146">
        <f>AD14*(1+Budget!$M14)^('Yearly Budget'!AD$2-'Yearly Budget'!$B$2)</f>
        <v>0</v>
      </c>
      <c r="AE34" s="146">
        <f>AE14*(1+Budget!$M14)^('Yearly Budget'!AE$2-'Yearly Budget'!$B$2)</f>
        <v>0</v>
      </c>
      <c r="AF34" s="146">
        <f>AF14*(1+Budget!$M14)^('Yearly Budget'!AF$2-'Yearly Budget'!$B$2)</f>
        <v>0</v>
      </c>
      <c r="AG34" s="146">
        <f>AG14*(1+Budget!$M14)^('Yearly Budget'!AG$2-'Yearly Budget'!$B$2)</f>
        <v>0</v>
      </c>
      <c r="AH34" s="146">
        <f>AH14*(1+Budget!$M14)^('Yearly Budget'!AH$2-'Yearly Budget'!$B$2)</f>
        <v>0</v>
      </c>
      <c r="AI34" s="146">
        <f>AI14*(1+Budget!$M14)^('Yearly Budget'!AI$2-'Yearly Budget'!$B$2)</f>
        <v>0</v>
      </c>
      <c r="AJ34" s="146">
        <f>AJ14*(1+Budget!$M14)^('Yearly Budget'!AJ$2-'Yearly Budget'!$B$2)</f>
        <v>0</v>
      </c>
      <c r="AK34" s="146">
        <f>AK14*(1+Budget!$M14)^('Yearly Budget'!AK$2-'Yearly Budget'!$B$2)</f>
        <v>0</v>
      </c>
      <c r="AL34" s="146">
        <f>AL14*(1+Budget!$M14)^('Yearly Budget'!AL$2-'Yearly Budget'!$B$2)</f>
        <v>0</v>
      </c>
      <c r="AM34" s="146">
        <f>AM14*(1+Budget!$M14)^('Yearly Budget'!AM$2-'Yearly Budget'!$B$2)</f>
        <v>0</v>
      </c>
      <c r="AN34" s="146">
        <f>AN14*(1+Budget!$M14)^('Yearly Budget'!AN$2-'Yearly Budget'!$B$2)</f>
        <v>0</v>
      </c>
      <c r="AO34" s="146">
        <f>AO14*(1+Budget!$M14)^('Yearly Budget'!AO$2-'Yearly Budget'!$B$2)</f>
        <v>0</v>
      </c>
      <c r="AP34" s="146">
        <f>AP14*(1+Budget!$M14)^('Yearly Budget'!AP$2-'Yearly Budget'!$B$2)</f>
        <v>0</v>
      </c>
      <c r="AQ34" s="146">
        <f>AQ14*(1+Budget!$M14)^('Yearly Budget'!AQ$2-'Yearly Budget'!$B$2)</f>
        <v>0</v>
      </c>
      <c r="AR34" s="146">
        <f>AR14*(1+Budget!$M14)^('Yearly Budget'!AR$2-'Yearly Budget'!$B$2)</f>
        <v>0</v>
      </c>
      <c r="AS34" s="146">
        <f>AS14*(1+Budget!$M14)^('Yearly Budget'!AS$2-'Yearly Budget'!$B$2)</f>
        <v>0</v>
      </c>
      <c r="AT34" s="146">
        <f>AT14*(1+Budget!$M14)^('Yearly Budget'!AT$2-'Yearly Budget'!$B$2)</f>
        <v>0</v>
      </c>
      <c r="AU34" s="146">
        <f>AU14*(1+Budget!$M14)^('Yearly Budget'!AU$2-'Yearly Budget'!$B$2)</f>
        <v>0</v>
      </c>
      <c r="AV34" s="146">
        <f>AV14*(1+Budget!$M14)^('Yearly Budget'!AV$2-'Yearly Budget'!$B$2)</f>
        <v>0</v>
      </c>
      <c r="AW34" s="146">
        <f>AW14*(1+Budget!$M14)^('Yearly Budget'!AW$2-'Yearly Budget'!$B$2)</f>
        <v>0</v>
      </c>
      <c r="AX34" s="146">
        <f>AX14*(1+Budget!$M14)^('Yearly Budget'!AX$2-'Yearly Budget'!$B$2)</f>
        <v>0</v>
      </c>
      <c r="AY34" s="146">
        <f>AY14*(1+Budget!$M14)^('Yearly Budget'!AY$2-'Yearly Budget'!$B$2)</f>
        <v>0</v>
      </c>
      <c r="AZ34" s="146">
        <f>AZ14*(1+Budget!$M14)^('Yearly Budget'!AZ$2-'Yearly Budget'!$B$2)</f>
        <v>0</v>
      </c>
      <c r="BA34" s="146">
        <f>BA14*(1+Budget!$M14)^('Yearly Budget'!BA$2-'Yearly Budget'!$B$2)</f>
        <v>0</v>
      </c>
      <c r="BB34" s="146">
        <f>BB14*(1+Budget!$M14)^('Yearly Budget'!BB$2-'Yearly Budget'!$B$2)</f>
        <v>0</v>
      </c>
      <c r="BC34" s="146">
        <f>BC14*(1+Budget!$M14)^('Yearly Budget'!BC$2-'Yearly Budget'!$B$2)</f>
        <v>0</v>
      </c>
      <c r="BD34" s="146">
        <f>BD14*(1+Budget!$M14)^('Yearly Budget'!BD$2-'Yearly Budget'!$B$2)</f>
        <v>0</v>
      </c>
      <c r="BE34" s="146">
        <f>BE14*(1+Budget!$M14)^('Yearly Budget'!BE$2-'Yearly Budget'!$B$2)</f>
        <v>0</v>
      </c>
      <c r="BF34" s="146">
        <f>BF14*(1+Budget!$M14)^('Yearly Budget'!BF$2-'Yearly Budget'!$B$2)</f>
        <v>0</v>
      </c>
    </row>
    <row r="35" spans="1:58" ht="14.4" x14ac:dyDescent="0.3">
      <c r="A35" s="189">
        <f t="shared" si="12"/>
        <v>0</v>
      </c>
      <c r="B35" s="146">
        <f t="shared" si="12"/>
        <v>0</v>
      </c>
      <c r="C35" s="146">
        <f>C15*(1+Budget!$M15)^('Yearly Budget'!C$2-'Yearly Budget'!$B$2)</f>
        <v>0</v>
      </c>
      <c r="D35" s="146">
        <f>D15*(1+Budget!$M15)^('Yearly Budget'!D$2-'Yearly Budget'!$B$2)</f>
        <v>0</v>
      </c>
      <c r="E35" s="146">
        <f>E15*(1+Budget!$M15)^('Yearly Budget'!E$2-'Yearly Budget'!$B$2)</f>
        <v>0</v>
      </c>
      <c r="F35" s="146">
        <f>F15*(1+Budget!$M15)^('Yearly Budget'!F$2-'Yearly Budget'!$B$2)</f>
        <v>0</v>
      </c>
      <c r="G35" s="146">
        <f>G15*(1+Budget!$M15)^('Yearly Budget'!G$2-'Yearly Budget'!$B$2)</f>
        <v>0</v>
      </c>
      <c r="H35" s="146">
        <f>H15*(1+Budget!$M15)^('Yearly Budget'!H$2-'Yearly Budget'!$B$2)</f>
        <v>0</v>
      </c>
      <c r="I35" s="146">
        <f>I15*(1+Budget!$M15)^('Yearly Budget'!I$2-'Yearly Budget'!$B$2)</f>
        <v>0</v>
      </c>
      <c r="J35" s="146">
        <f>J15*(1+Budget!$M15)^('Yearly Budget'!J$2-'Yearly Budget'!$B$2)</f>
        <v>0</v>
      </c>
      <c r="K35" s="146">
        <f>K15*(1+Budget!$M15)^('Yearly Budget'!K$2-'Yearly Budget'!$B$2)</f>
        <v>0</v>
      </c>
      <c r="L35" s="146">
        <f>L15*(1+Budget!$M15)^('Yearly Budget'!L$2-'Yearly Budget'!$B$2)</f>
        <v>0</v>
      </c>
      <c r="M35" s="146">
        <f>M15*(1+Budget!$M15)^('Yearly Budget'!M$2-'Yearly Budget'!$B$2)</f>
        <v>0</v>
      </c>
      <c r="N35" s="146">
        <f>N15*(1+Budget!$M15)^('Yearly Budget'!N$2-'Yearly Budget'!$B$2)</f>
        <v>0</v>
      </c>
      <c r="O35" s="146">
        <f>O15*(1+Budget!$M15)^('Yearly Budget'!O$2-'Yearly Budget'!$B$2)</f>
        <v>0</v>
      </c>
      <c r="P35" s="146">
        <f>P15*(1+Budget!$M15)^('Yearly Budget'!P$2-'Yearly Budget'!$B$2)</f>
        <v>0</v>
      </c>
      <c r="Q35" s="146">
        <f>Q15*(1+Budget!$M15)^('Yearly Budget'!Q$2-'Yearly Budget'!$B$2)</f>
        <v>0</v>
      </c>
      <c r="R35" s="146">
        <f>R15*(1+Budget!$M15)^('Yearly Budget'!R$2-'Yearly Budget'!$B$2)</f>
        <v>0</v>
      </c>
      <c r="S35" s="146">
        <f>S15*(1+Budget!$M15)^('Yearly Budget'!S$2-'Yearly Budget'!$B$2)</f>
        <v>0</v>
      </c>
      <c r="T35" s="146">
        <f>T15*(1+Budget!$M15)^('Yearly Budget'!T$2-'Yearly Budget'!$B$2)</f>
        <v>0</v>
      </c>
      <c r="U35" s="146">
        <f>U15*(1+Budget!$M15)^('Yearly Budget'!U$2-'Yearly Budget'!$B$2)</f>
        <v>0</v>
      </c>
      <c r="V35" s="146">
        <f>V15*(1+Budget!$M15)^('Yearly Budget'!V$2-'Yearly Budget'!$B$2)</f>
        <v>0</v>
      </c>
      <c r="W35" s="146">
        <f>W15*(1+Budget!$M15)^('Yearly Budget'!W$2-'Yearly Budget'!$B$2)</f>
        <v>0</v>
      </c>
      <c r="X35" s="146">
        <f>X15*(1+Budget!$M15)^('Yearly Budget'!X$2-'Yearly Budget'!$B$2)</f>
        <v>0</v>
      </c>
      <c r="Y35" s="146">
        <f>Y15*(1+Budget!$M15)^('Yearly Budget'!Y$2-'Yearly Budget'!$B$2)</f>
        <v>0</v>
      </c>
      <c r="Z35" s="146">
        <f>Z15*(1+Budget!$M15)^('Yearly Budget'!Z$2-'Yearly Budget'!$B$2)</f>
        <v>0</v>
      </c>
      <c r="AA35" s="146">
        <f>AA15*(1+Budget!$M15)^('Yearly Budget'!AA$2-'Yearly Budget'!$B$2)</f>
        <v>0</v>
      </c>
      <c r="AB35" s="146">
        <f>AB15*(1+Budget!$M15)^('Yearly Budget'!AB$2-'Yearly Budget'!$B$2)</f>
        <v>0</v>
      </c>
      <c r="AC35" s="146">
        <f>AC15*(1+Budget!$M15)^('Yearly Budget'!AC$2-'Yearly Budget'!$B$2)</f>
        <v>0</v>
      </c>
      <c r="AD35" s="146">
        <f>AD15*(1+Budget!$M15)^('Yearly Budget'!AD$2-'Yearly Budget'!$B$2)</f>
        <v>0</v>
      </c>
      <c r="AE35" s="146">
        <f>AE15*(1+Budget!$M15)^('Yearly Budget'!AE$2-'Yearly Budget'!$B$2)</f>
        <v>0</v>
      </c>
      <c r="AF35" s="146">
        <f>AF15*(1+Budget!$M15)^('Yearly Budget'!AF$2-'Yearly Budget'!$B$2)</f>
        <v>0</v>
      </c>
      <c r="AG35" s="146">
        <f>AG15*(1+Budget!$M15)^('Yearly Budget'!AG$2-'Yearly Budget'!$B$2)</f>
        <v>0</v>
      </c>
      <c r="AH35" s="146">
        <f>AH15*(1+Budget!$M15)^('Yearly Budget'!AH$2-'Yearly Budget'!$B$2)</f>
        <v>0</v>
      </c>
      <c r="AI35" s="146">
        <f>AI15*(1+Budget!$M15)^('Yearly Budget'!AI$2-'Yearly Budget'!$B$2)</f>
        <v>0</v>
      </c>
      <c r="AJ35" s="146">
        <f>AJ15*(1+Budget!$M15)^('Yearly Budget'!AJ$2-'Yearly Budget'!$B$2)</f>
        <v>0</v>
      </c>
      <c r="AK35" s="146">
        <f>AK15*(1+Budget!$M15)^('Yearly Budget'!AK$2-'Yearly Budget'!$B$2)</f>
        <v>0</v>
      </c>
      <c r="AL35" s="146">
        <f>AL15*(1+Budget!$M15)^('Yearly Budget'!AL$2-'Yearly Budget'!$B$2)</f>
        <v>0</v>
      </c>
      <c r="AM35" s="146">
        <f>AM15*(1+Budget!$M15)^('Yearly Budget'!AM$2-'Yearly Budget'!$B$2)</f>
        <v>0</v>
      </c>
      <c r="AN35" s="146">
        <f>AN15*(1+Budget!$M15)^('Yearly Budget'!AN$2-'Yearly Budget'!$B$2)</f>
        <v>0</v>
      </c>
      <c r="AO35" s="146">
        <f>AO15*(1+Budget!$M15)^('Yearly Budget'!AO$2-'Yearly Budget'!$B$2)</f>
        <v>0</v>
      </c>
      <c r="AP35" s="146">
        <f>AP15*(1+Budget!$M15)^('Yearly Budget'!AP$2-'Yearly Budget'!$B$2)</f>
        <v>0</v>
      </c>
      <c r="AQ35" s="146">
        <f>AQ15*(1+Budget!$M15)^('Yearly Budget'!AQ$2-'Yearly Budget'!$B$2)</f>
        <v>0</v>
      </c>
      <c r="AR35" s="146">
        <f>AR15*(1+Budget!$M15)^('Yearly Budget'!AR$2-'Yearly Budget'!$B$2)</f>
        <v>0</v>
      </c>
      <c r="AS35" s="146">
        <f>AS15*(1+Budget!$M15)^('Yearly Budget'!AS$2-'Yearly Budget'!$B$2)</f>
        <v>0</v>
      </c>
      <c r="AT35" s="146">
        <f>AT15*(1+Budget!$M15)^('Yearly Budget'!AT$2-'Yearly Budget'!$B$2)</f>
        <v>0</v>
      </c>
      <c r="AU35" s="146">
        <f>AU15*(1+Budget!$M15)^('Yearly Budget'!AU$2-'Yearly Budget'!$B$2)</f>
        <v>0</v>
      </c>
      <c r="AV35" s="146">
        <f>AV15*(1+Budget!$M15)^('Yearly Budget'!AV$2-'Yearly Budget'!$B$2)</f>
        <v>0</v>
      </c>
      <c r="AW35" s="146">
        <f>AW15*(1+Budget!$M15)^('Yearly Budget'!AW$2-'Yearly Budget'!$B$2)</f>
        <v>0</v>
      </c>
      <c r="AX35" s="146">
        <f>AX15*(1+Budget!$M15)^('Yearly Budget'!AX$2-'Yearly Budget'!$B$2)</f>
        <v>0</v>
      </c>
      <c r="AY35" s="146">
        <f>AY15*(1+Budget!$M15)^('Yearly Budget'!AY$2-'Yearly Budget'!$B$2)</f>
        <v>0</v>
      </c>
      <c r="AZ35" s="146">
        <f>AZ15*(1+Budget!$M15)^('Yearly Budget'!AZ$2-'Yearly Budget'!$B$2)</f>
        <v>0</v>
      </c>
      <c r="BA35" s="146">
        <f>BA15*(1+Budget!$M15)^('Yearly Budget'!BA$2-'Yearly Budget'!$B$2)</f>
        <v>0</v>
      </c>
      <c r="BB35" s="146">
        <f>BB15*(1+Budget!$M15)^('Yearly Budget'!BB$2-'Yearly Budget'!$B$2)</f>
        <v>0</v>
      </c>
      <c r="BC35" s="146">
        <f>BC15*(1+Budget!$M15)^('Yearly Budget'!BC$2-'Yearly Budget'!$B$2)</f>
        <v>0</v>
      </c>
      <c r="BD35" s="146">
        <f>BD15*(1+Budget!$M15)^('Yearly Budget'!BD$2-'Yearly Budget'!$B$2)</f>
        <v>0</v>
      </c>
      <c r="BE35" s="146">
        <f>BE15*(1+Budget!$M15)^('Yearly Budget'!BE$2-'Yearly Budget'!$B$2)</f>
        <v>0</v>
      </c>
      <c r="BF35" s="146">
        <f>BF15*(1+Budget!$M15)^('Yearly Budget'!BF$2-'Yearly Budget'!$B$2)</f>
        <v>0</v>
      </c>
    </row>
    <row r="36" spans="1:58" ht="14.4" x14ac:dyDescent="0.3">
      <c r="A36" s="189">
        <f t="shared" si="12"/>
        <v>0</v>
      </c>
      <c r="B36" s="146">
        <f t="shared" si="12"/>
        <v>0</v>
      </c>
      <c r="C36" s="146">
        <f>C16*(1+Budget!$M16)^('Yearly Budget'!C$2-'Yearly Budget'!$B$2)</f>
        <v>0</v>
      </c>
      <c r="D36" s="146">
        <f>D16*(1+Budget!$M16)^('Yearly Budget'!D$2-'Yearly Budget'!$B$2)</f>
        <v>0</v>
      </c>
      <c r="E36" s="146">
        <f>E16*(1+Budget!$M16)^('Yearly Budget'!E$2-'Yearly Budget'!$B$2)</f>
        <v>0</v>
      </c>
      <c r="F36" s="146">
        <f>F16*(1+Budget!$M16)^('Yearly Budget'!F$2-'Yearly Budget'!$B$2)</f>
        <v>0</v>
      </c>
      <c r="G36" s="146">
        <f>G16*(1+Budget!$M16)^('Yearly Budget'!G$2-'Yearly Budget'!$B$2)</f>
        <v>0</v>
      </c>
      <c r="H36" s="146">
        <f>H16*(1+Budget!$M16)^('Yearly Budget'!H$2-'Yearly Budget'!$B$2)</f>
        <v>0</v>
      </c>
      <c r="I36" s="146">
        <f>I16*(1+Budget!$M16)^('Yearly Budget'!I$2-'Yearly Budget'!$B$2)</f>
        <v>0</v>
      </c>
      <c r="J36" s="146">
        <f>J16*(1+Budget!$M16)^('Yearly Budget'!J$2-'Yearly Budget'!$B$2)</f>
        <v>0</v>
      </c>
      <c r="K36" s="146">
        <f>K16*(1+Budget!$M16)^('Yearly Budget'!K$2-'Yearly Budget'!$B$2)</f>
        <v>0</v>
      </c>
      <c r="L36" s="146">
        <f>L16*(1+Budget!$M16)^('Yearly Budget'!L$2-'Yearly Budget'!$B$2)</f>
        <v>0</v>
      </c>
      <c r="M36" s="146">
        <f>M16*(1+Budget!$M16)^('Yearly Budget'!M$2-'Yearly Budget'!$B$2)</f>
        <v>0</v>
      </c>
      <c r="N36" s="146">
        <f>N16*(1+Budget!$M16)^('Yearly Budget'!N$2-'Yearly Budget'!$B$2)</f>
        <v>0</v>
      </c>
      <c r="O36" s="146">
        <f>O16*(1+Budget!$M16)^('Yearly Budget'!O$2-'Yearly Budget'!$B$2)</f>
        <v>0</v>
      </c>
      <c r="P36" s="146">
        <f>P16*(1+Budget!$M16)^('Yearly Budget'!P$2-'Yearly Budget'!$B$2)</f>
        <v>0</v>
      </c>
      <c r="Q36" s="146">
        <f>Q16*(1+Budget!$M16)^('Yearly Budget'!Q$2-'Yearly Budget'!$B$2)</f>
        <v>0</v>
      </c>
      <c r="R36" s="146">
        <f>R16*(1+Budget!$M16)^('Yearly Budget'!R$2-'Yearly Budget'!$B$2)</f>
        <v>0</v>
      </c>
      <c r="S36" s="146">
        <f>S16*(1+Budget!$M16)^('Yearly Budget'!S$2-'Yearly Budget'!$B$2)</f>
        <v>0</v>
      </c>
      <c r="T36" s="146">
        <f>T16*(1+Budget!$M16)^('Yearly Budget'!T$2-'Yearly Budget'!$B$2)</f>
        <v>0</v>
      </c>
      <c r="U36" s="146">
        <f>U16*(1+Budget!$M16)^('Yearly Budget'!U$2-'Yearly Budget'!$B$2)</f>
        <v>0</v>
      </c>
      <c r="V36" s="146">
        <f>V16*(1+Budget!$M16)^('Yearly Budget'!V$2-'Yearly Budget'!$B$2)</f>
        <v>0</v>
      </c>
      <c r="W36" s="146">
        <f>W16*(1+Budget!$M16)^('Yearly Budget'!W$2-'Yearly Budget'!$B$2)</f>
        <v>0</v>
      </c>
      <c r="X36" s="146">
        <f>X16*(1+Budget!$M16)^('Yearly Budget'!X$2-'Yearly Budget'!$B$2)</f>
        <v>0</v>
      </c>
      <c r="Y36" s="146">
        <f>Y16*(1+Budget!$M16)^('Yearly Budget'!Y$2-'Yearly Budget'!$B$2)</f>
        <v>0</v>
      </c>
      <c r="Z36" s="146">
        <f>Z16*(1+Budget!$M16)^('Yearly Budget'!Z$2-'Yearly Budget'!$B$2)</f>
        <v>0</v>
      </c>
      <c r="AA36" s="146">
        <f>AA16*(1+Budget!$M16)^('Yearly Budget'!AA$2-'Yearly Budget'!$B$2)</f>
        <v>0</v>
      </c>
      <c r="AB36" s="146">
        <f>AB16*(1+Budget!$M16)^('Yearly Budget'!AB$2-'Yearly Budget'!$B$2)</f>
        <v>0</v>
      </c>
      <c r="AC36" s="146">
        <f>AC16*(1+Budget!$M16)^('Yearly Budget'!AC$2-'Yearly Budget'!$B$2)</f>
        <v>0</v>
      </c>
      <c r="AD36" s="146">
        <f>AD16*(1+Budget!$M16)^('Yearly Budget'!AD$2-'Yearly Budget'!$B$2)</f>
        <v>0</v>
      </c>
      <c r="AE36" s="146">
        <f>AE16*(1+Budget!$M16)^('Yearly Budget'!AE$2-'Yearly Budget'!$B$2)</f>
        <v>0</v>
      </c>
      <c r="AF36" s="146">
        <f>AF16*(1+Budget!$M16)^('Yearly Budget'!AF$2-'Yearly Budget'!$B$2)</f>
        <v>0</v>
      </c>
      <c r="AG36" s="146">
        <f>AG16*(1+Budget!$M16)^('Yearly Budget'!AG$2-'Yearly Budget'!$B$2)</f>
        <v>0</v>
      </c>
      <c r="AH36" s="146">
        <f>AH16*(1+Budget!$M16)^('Yearly Budget'!AH$2-'Yearly Budget'!$B$2)</f>
        <v>0</v>
      </c>
      <c r="AI36" s="146">
        <f>AI16*(1+Budget!$M16)^('Yearly Budget'!AI$2-'Yearly Budget'!$B$2)</f>
        <v>0</v>
      </c>
      <c r="AJ36" s="146">
        <f>AJ16*(1+Budget!$M16)^('Yearly Budget'!AJ$2-'Yearly Budget'!$B$2)</f>
        <v>0</v>
      </c>
      <c r="AK36" s="146">
        <f>AK16*(1+Budget!$M16)^('Yearly Budget'!AK$2-'Yearly Budget'!$B$2)</f>
        <v>0</v>
      </c>
      <c r="AL36" s="146">
        <f>AL16*(1+Budget!$M16)^('Yearly Budget'!AL$2-'Yearly Budget'!$B$2)</f>
        <v>0</v>
      </c>
      <c r="AM36" s="146">
        <f>AM16*(1+Budget!$M16)^('Yearly Budget'!AM$2-'Yearly Budget'!$B$2)</f>
        <v>0</v>
      </c>
      <c r="AN36" s="146">
        <f>AN16*(1+Budget!$M16)^('Yearly Budget'!AN$2-'Yearly Budget'!$B$2)</f>
        <v>0</v>
      </c>
      <c r="AO36" s="146">
        <f>AO16*(1+Budget!$M16)^('Yearly Budget'!AO$2-'Yearly Budget'!$B$2)</f>
        <v>0</v>
      </c>
      <c r="AP36" s="146">
        <f>AP16*(1+Budget!$M16)^('Yearly Budget'!AP$2-'Yearly Budget'!$B$2)</f>
        <v>0</v>
      </c>
      <c r="AQ36" s="146">
        <f>AQ16*(1+Budget!$M16)^('Yearly Budget'!AQ$2-'Yearly Budget'!$B$2)</f>
        <v>0</v>
      </c>
      <c r="AR36" s="146">
        <f>AR16*(1+Budget!$M16)^('Yearly Budget'!AR$2-'Yearly Budget'!$B$2)</f>
        <v>0</v>
      </c>
      <c r="AS36" s="146">
        <f>AS16*(1+Budget!$M16)^('Yearly Budget'!AS$2-'Yearly Budget'!$B$2)</f>
        <v>0</v>
      </c>
      <c r="AT36" s="146">
        <f>AT16*(1+Budget!$M16)^('Yearly Budget'!AT$2-'Yearly Budget'!$B$2)</f>
        <v>0</v>
      </c>
      <c r="AU36" s="146">
        <f>AU16*(1+Budget!$M16)^('Yearly Budget'!AU$2-'Yearly Budget'!$B$2)</f>
        <v>0</v>
      </c>
      <c r="AV36" s="146">
        <f>AV16*(1+Budget!$M16)^('Yearly Budget'!AV$2-'Yearly Budget'!$B$2)</f>
        <v>0</v>
      </c>
      <c r="AW36" s="146">
        <f>AW16*(1+Budget!$M16)^('Yearly Budget'!AW$2-'Yearly Budget'!$B$2)</f>
        <v>0</v>
      </c>
      <c r="AX36" s="146">
        <f>AX16*(1+Budget!$M16)^('Yearly Budget'!AX$2-'Yearly Budget'!$B$2)</f>
        <v>0</v>
      </c>
      <c r="AY36" s="146">
        <f>AY16*(1+Budget!$M16)^('Yearly Budget'!AY$2-'Yearly Budget'!$B$2)</f>
        <v>0</v>
      </c>
      <c r="AZ36" s="146">
        <f>AZ16*(1+Budget!$M16)^('Yearly Budget'!AZ$2-'Yearly Budget'!$B$2)</f>
        <v>0</v>
      </c>
      <c r="BA36" s="146">
        <f>BA16*(1+Budget!$M16)^('Yearly Budget'!BA$2-'Yearly Budget'!$B$2)</f>
        <v>0</v>
      </c>
      <c r="BB36" s="146">
        <f>BB16*(1+Budget!$M16)^('Yearly Budget'!BB$2-'Yearly Budget'!$B$2)</f>
        <v>0</v>
      </c>
      <c r="BC36" s="146">
        <f>BC16*(1+Budget!$M16)^('Yearly Budget'!BC$2-'Yearly Budget'!$B$2)</f>
        <v>0</v>
      </c>
      <c r="BD36" s="146">
        <f>BD16*(1+Budget!$M16)^('Yearly Budget'!BD$2-'Yearly Budget'!$B$2)</f>
        <v>0</v>
      </c>
      <c r="BE36" s="146">
        <f>BE16*(1+Budget!$M16)^('Yearly Budget'!BE$2-'Yearly Budget'!$B$2)</f>
        <v>0</v>
      </c>
      <c r="BF36" s="146">
        <f>BF16*(1+Budget!$M16)^('Yearly Budget'!BF$2-'Yearly Budget'!$B$2)</f>
        <v>0</v>
      </c>
    </row>
    <row r="37" spans="1:58" ht="14.4" x14ac:dyDescent="0.3">
      <c r="A37" s="189">
        <f t="shared" si="12"/>
        <v>0</v>
      </c>
      <c r="B37" s="146">
        <f t="shared" si="12"/>
        <v>0</v>
      </c>
      <c r="C37" s="146">
        <f>C17*(1+Budget!$M17)^('Yearly Budget'!C$2-'Yearly Budget'!$B$2)</f>
        <v>0</v>
      </c>
      <c r="D37" s="146">
        <f>D17*(1+Budget!$M17)^('Yearly Budget'!D$2-'Yearly Budget'!$B$2)</f>
        <v>0</v>
      </c>
      <c r="E37" s="146">
        <f>E17*(1+Budget!$M17)^('Yearly Budget'!E$2-'Yearly Budget'!$B$2)</f>
        <v>0</v>
      </c>
      <c r="F37" s="146">
        <f>F17*(1+Budget!$M17)^('Yearly Budget'!F$2-'Yearly Budget'!$B$2)</f>
        <v>0</v>
      </c>
      <c r="G37" s="146">
        <f>G17*(1+Budget!$M17)^('Yearly Budget'!G$2-'Yearly Budget'!$B$2)</f>
        <v>0</v>
      </c>
      <c r="H37" s="146">
        <f>H17*(1+Budget!$M17)^('Yearly Budget'!H$2-'Yearly Budget'!$B$2)</f>
        <v>0</v>
      </c>
      <c r="I37" s="146">
        <f>I17*(1+Budget!$M17)^('Yearly Budget'!I$2-'Yearly Budget'!$B$2)</f>
        <v>0</v>
      </c>
      <c r="J37" s="146">
        <f>J17*(1+Budget!$M17)^('Yearly Budget'!J$2-'Yearly Budget'!$B$2)</f>
        <v>0</v>
      </c>
      <c r="K37" s="146">
        <f>K17*(1+Budget!$M17)^('Yearly Budget'!K$2-'Yearly Budget'!$B$2)</f>
        <v>0</v>
      </c>
      <c r="L37" s="146">
        <f>L17*(1+Budget!$M17)^('Yearly Budget'!L$2-'Yearly Budget'!$B$2)</f>
        <v>0</v>
      </c>
      <c r="M37" s="146">
        <f>M17*(1+Budget!$M17)^('Yearly Budget'!M$2-'Yearly Budget'!$B$2)</f>
        <v>0</v>
      </c>
      <c r="N37" s="146">
        <f>N17*(1+Budget!$M17)^('Yearly Budget'!N$2-'Yearly Budget'!$B$2)</f>
        <v>0</v>
      </c>
      <c r="O37" s="146">
        <f>O17*(1+Budget!$M17)^('Yearly Budget'!O$2-'Yearly Budget'!$B$2)</f>
        <v>0</v>
      </c>
      <c r="P37" s="146">
        <f>P17*(1+Budget!$M17)^('Yearly Budget'!P$2-'Yearly Budget'!$B$2)</f>
        <v>0</v>
      </c>
      <c r="Q37" s="146">
        <f>Q17*(1+Budget!$M17)^('Yearly Budget'!Q$2-'Yearly Budget'!$B$2)</f>
        <v>0</v>
      </c>
      <c r="R37" s="146">
        <f>R17*(1+Budget!$M17)^('Yearly Budget'!R$2-'Yearly Budget'!$B$2)</f>
        <v>0</v>
      </c>
      <c r="S37" s="146">
        <f>S17*(1+Budget!$M17)^('Yearly Budget'!S$2-'Yearly Budget'!$B$2)</f>
        <v>0</v>
      </c>
      <c r="T37" s="146">
        <f>T17*(1+Budget!$M17)^('Yearly Budget'!T$2-'Yearly Budget'!$B$2)</f>
        <v>0</v>
      </c>
      <c r="U37" s="146">
        <f>U17*(1+Budget!$M17)^('Yearly Budget'!U$2-'Yearly Budget'!$B$2)</f>
        <v>0</v>
      </c>
      <c r="V37" s="146">
        <f>V17*(1+Budget!$M17)^('Yearly Budget'!V$2-'Yearly Budget'!$B$2)</f>
        <v>0</v>
      </c>
      <c r="W37" s="146">
        <f>W17*(1+Budget!$M17)^('Yearly Budget'!W$2-'Yearly Budget'!$B$2)</f>
        <v>0</v>
      </c>
      <c r="X37" s="146">
        <f>X17*(1+Budget!$M17)^('Yearly Budget'!X$2-'Yearly Budget'!$B$2)</f>
        <v>0</v>
      </c>
      <c r="Y37" s="146">
        <f>Y17*(1+Budget!$M17)^('Yearly Budget'!Y$2-'Yearly Budget'!$B$2)</f>
        <v>0</v>
      </c>
      <c r="Z37" s="146">
        <f>Z17*(1+Budget!$M17)^('Yearly Budget'!Z$2-'Yearly Budget'!$B$2)</f>
        <v>0</v>
      </c>
      <c r="AA37" s="146">
        <f>AA17*(1+Budget!$M17)^('Yearly Budget'!AA$2-'Yearly Budget'!$B$2)</f>
        <v>0</v>
      </c>
      <c r="AB37" s="146">
        <f>AB17*(1+Budget!$M17)^('Yearly Budget'!AB$2-'Yearly Budget'!$B$2)</f>
        <v>0</v>
      </c>
      <c r="AC37" s="146">
        <f>AC17*(1+Budget!$M17)^('Yearly Budget'!AC$2-'Yearly Budget'!$B$2)</f>
        <v>0</v>
      </c>
      <c r="AD37" s="146">
        <f>AD17*(1+Budget!$M17)^('Yearly Budget'!AD$2-'Yearly Budget'!$B$2)</f>
        <v>0</v>
      </c>
      <c r="AE37" s="146">
        <f>AE17*(1+Budget!$M17)^('Yearly Budget'!AE$2-'Yearly Budget'!$B$2)</f>
        <v>0</v>
      </c>
      <c r="AF37" s="146">
        <f>AF17*(1+Budget!$M17)^('Yearly Budget'!AF$2-'Yearly Budget'!$B$2)</f>
        <v>0</v>
      </c>
      <c r="AG37" s="146">
        <f>AG17*(1+Budget!$M17)^('Yearly Budget'!AG$2-'Yearly Budget'!$B$2)</f>
        <v>0</v>
      </c>
      <c r="AH37" s="146">
        <f>AH17*(1+Budget!$M17)^('Yearly Budget'!AH$2-'Yearly Budget'!$B$2)</f>
        <v>0</v>
      </c>
      <c r="AI37" s="146">
        <f>AI17*(1+Budget!$M17)^('Yearly Budget'!AI$2-'Yearly Budget'!$B$2)</f>
        <v>0</v>
      </c>
      <c r="AJ37" s="146">
        <f>AJ17*(1+Budget!$M17)^('Yearly Budget'!AJ$2-'Yearly Budget'!$B$2)</f>
        <v>0</v>
      </c>
      <c r="AK37" s="146">
        <f>AK17*(1+Budget!$M17)^('Yearly Budget'!AK$2-'Yearly Budget'!$B$2)</f>
        <v>0</v>
      </c>
      <c r="AL37" s="146">
        <f>AL17*(1+Budget!$M17)^('Yearly Budget'!AL$2-'Yearly Budget'!$B$2)</f>
        <v>0</v>
      </c>
      <c r="AM37" s="146">
        <f>AM17*(1+Budget!$M17)^('Yearly Budget'!AM$2-'Yearly Budget'!$B$2)</f>
        <v>0</v>
      </c>
      <c r="AN37" s="146">
        <f>AN17*(1+Budget!$M17)^('Yearly Budget'!AN$2-'Yearly Budget'!$B$2)</f>
        <v>0</v>
      </c>
      <c r="AO37" s="146">
        <f>AO17*(1+Budget!$M17)^('Yearly Budget'!AO$2-'Yearly Budget'!$B$2)</f>
        <v>0</v>
      </c>
      <c r="AP37" s="146">
        <f>AP17*(1+Budget!$M17)^('Yearly Budget'!AP$2-'Yearly Budget'!$B$2)</f>
        <v>0</v>
      </c>
      <c r="AQ37" s="146">
        <f>AQ17*(1+Budget!$M17)^('Yearly Budget'!AQ$2-'Yearly Budget'!$B$2)</f>
        <v>0</v>
      </c>
      <c r="AR37" s="146">
        <f>AR17*(1+Budget!$M17)^('Yearly Budget'!AR$2-'Yearly Budget'!$B$2)</f>
        <v>0</v>
      </c>
      <c r="AS37" s="146">
        <f>AS17*(1+Budget!$M17)^('Yearly Budget'!AS$2-'Yearly Budget'!$B$2)</f>
        <v>0</v>
      </c>
      <c r="AT37" s="146">
        <f>AT17*(1+Budget!$M17)^('Yearly Budget'!AT$2-'Yearly Budget'!$B$2)</f>
        <v>0</v>
      </c>
      <c r="AU37" s="146">
        <f>AU17*(1+Budget!$M17)^('Yearly Budget'!AU$2-'Yearly Budget'!$B$2)</f>
        <v>0</v>
      </c>
      <c r="AV37" s="146">
        <f>AV17*(1+Budget!$M17)^('Yearly Budget'!AV$2-'Yearly Budget'!$B$2)</f>
        <v>0</v>
      </c>
      <c r="AW37" s="146">
        <f>AW17*(1+Budget!$M17)^('Yearly Budget'!AW$2-'Yearly Budget'!$B$2)</f>
        <v>0</v>
      </c>
      <c r="AX37" s="146">
        <f>AX17*(1+Budget!$M17)^('Yearly Budget'!AX$2-'Yearly Budget'!$B$2)</f>
        <v>0</v>
      </c>
      <c r="AY37" s="146">
        <f>AY17*(1+Budget!$M17)^('Yearly Budget'!AY$2-'Yearly Budget'!$B$2)</f>
        <v>0</v>
      </c>
      <c r="AZ37" s="146">
        <f>AZ17*(1+Budget!$M17)^('Yearly Budget'!AZ$2-'Yearly Budget'!$B$2)</f>
        <v>0</v>
      </c>
      <c r="BA37" s="146">
        <f>BA17*(1+Budget!$M17)^('Yearly Budget'!BA$2-'Yearly Budget'!$B$2)</f>
        <v>0</v>
      </c>
      <c r="BB37" s="146">
        <f>BB17*(1+Budget!$M17)^('Yearly Budget'!BB$2-'Yearly Budget'!$B$2)</f>
        <v>0</v>
      </c>
      <c r="BC37" s="146">
        <f>BC17*(1+Budget!$M17)^('Yearly Budget'!BC$2-'Yearly Budget'!$B$2)</f>
        <v>0</v>
      </c>
      <c r="BD37" s="146">
        <f>BD17*(1+Budget!$M17)^('Yearly Budget'!BD$2-'Yearly Budget'!$B$2)</f>
        <v>0</v>
      </c>
      <c r="BE37" s="146">
        <f>BE17*(1+Budget!$M17)^('Yearly Budget'!BE$2-'Yearly Budget'!$B$2)</f>
        <v>0</v>
      </c>
      <c r="BF37" s="146">
        <f>BF17*(1+Budget!$M17)^('Yearly Budget'!BF$2-'Yearly Budget'!$B$2)</f>
        <v>0</v>
      </c>
    </row>
    <row r="38" spans="1:58" ht="14.4" x14ac:dyDescent="0.3">
      <c r="A38" s="189">
        <f t="shared" si="12"/>
        <v>0</v>
      </c>
      <c r="B38" s="146">
        <f t="shared" si="12"/>
        <v>0</v>
      </c>
      <c r="C38" s="146">
        <f>C18*(1+Budget!$M18)^('Yearly Budget'!C$2-'Yearly Budget'!$B$2)</f>
        <v>0</v>
      </c>
      <c r="D38" s="146">
        <f>D18*(1+Budget!$M18)^('Yearly Budget'!D$2-'Yearly Budget'!$B$2)</f>
        <v>0</v>
      </c>
      <c r="E38" s="146">
        <f>E18*(1+Budget!$M18)^('Yearly Budget'!E$2-'Yearly Budget'!$B$2)</f>
        <v>0</v>
      </c>
      <c r="F38" s="146">
        <f>F18*(1+Budget!$M18)^('Yearly Budget'!F$2-'Yearly Budget'!$B$2)</f>
        <v>0</v>
      </c>
      <c r="G38" s="146">
        <f>G18*(1+Budget!$M18)^('Yearly Budget'!G$2-'Yearly Budget'!$B$2)</f>
        <v>0</v>
      </c>
      <c r="H38" s="146">
        <f>H18*(1+Budget!$M18)^('Yearly Budget'!H$2-'Yearly Budget'!$B$2)</f>
        <v>0</v>
      </c>
      <c r="I38" s="146">
        <f>I18*(1+Budget!$M18)^('Yearly Budget'!I$2-'Yearly Budget'!$B$2)</f>
        <v>0</v>
      </c>
      <c r="J38" s="146">
        <f>J18*(1+Budget!$M18)^('Yearly Budget'!J$2-'Yearly Budget'!$B$2)</f>
        <v>0</v>
      </c>
      <c r="K38" s="146">
        <f>K18*(1+Budget!$M18)^('Yearly Budget'!K$2-'Yearly Budget'!$B$2)</f>
        <v>0</v>
      </c>
      <c r="L38" s="146">
        <f>L18*(1+Budget!$M18)^('Yearly Budget'!L$2-'Yearly Budget'!$B$2)</f>
        <v>0</v>
      </c>
      <c r="M38" s="146">
        <f>M18*(1+Budget!$M18)^('Yearly Budget'!M$2-'Yearly Budget'!$B$2)</f>
        <v>0</v>
      </c>
      <c r="N38" s="146">
        <f>N18*(1+Budget!$M18)^('Yearly Budget'!N$2-'Yearly Budget'!$B$2)</f>
        <v>0</v>
      </c>
      <c r="O38" s="146">
        <f>O18*(1+Budget!$M18)^('Yearly Budget'!O$2-'Yearly Budget'!$B$2)</f>
        <v>0</v>
      </c>
      <c r="P38" s="146">
        <f>P18*(1+Budget!$M18)^('Yearly Budget'!P$2-'Yearly Budget'!$B$2)</f>
        <v>0</v>
      </c>
      <c r="Q38" s="146">
        <f>Q18*(1+Budget!$M18)^('Yearly Budget'!Q$2-'Yearly Budget'!$B$2)</f>
        <v>0</v>
      </c>
      <c r="R38" s="146">
        <f>R18*(1+Budget!$M18)^('Yearly Budget'!R$2-'Yearly Budget'!$B$2)</f>
        <v>0</v>
      </c>
      <c r="S38" s="146">
        <f>S18*(1+Budget!$M18)^('Yearly Budget'!S$2-'Yearly Budget'!$B$2)</f>
        <v>0</v>
      </c>
      <c r="T38" s="146">
        <f>T18*(1+Budget!$M18)^('Yearly Budget'!T$2-'Yearly Budget'!$B$2)</f>
        <v>0</v>
      </c>
      <c r="U38" s="146">
        <f>U18*(1+Budget!$M18)^('Yearly Budget'!U$2-'Yearly Budget'!$B$2)</f>
        <v>0</v>
      </c>
      <c r="V38" s="146">
        <f>V18*(1+Budget!$M18)^('Yearly Budget'!V$2-'Yearly Budget'!$B$2)</f>
        <v>0</v>
      </c>
      <c r="W38" s="146">
        <f>W18*(1+Budget!$M18)^('Yearly Budget'!W$2-'Yearly Budget'!$B$2)</f>
        <v>0</v>
      </c>
      <c r="X38" s="146">
        <f>X18*(1+Budget!$M18)^('Yearly Budget'!X$2-'Yearly Budget'!$B$2)</f>
        <v>0</v>
      </c>
      <c r="Y38" s="146">
        <f>Y18*(1+Budget!$M18)^('Yearly Budget'!Y$2-'Yearly Budget'!$B$2)</f>
        <v>0</v>
      </c>
      <c r="Z38" s="146">
        <f>Z18*(1+Budget!$M18)^('Yearly Budget'!Z$2-'Yearly Budget'!$B$2)</f>
        <v>0</v>
      </c>
      <c r="AA38" s="146">
        <f>AA18*(1+Budget!$M18)^('Yearly Budget'!AA$2-'Yearly Budget'!$B$2)</f>
        <v>0</v>
      </c>
      <c r="AB38" s="146">
        <f>AB18*(1+Budget!$M18)^('Yearly Budget'!AB$2-'Yearly Budget'!$B$2)</f>
        <v>0</v>
      </c>
      <c r="AC38" s="146">
        <f>AC18*(1+Budget!$M18)^('Yearly Budget'!AC$2-'Yearly Budget'!$B$2)</f>
        <v>0</v>
      </c>
      <c r="AD38" s="146">
        <f>AD18*(1+Budget!$M18)^('Yearly Budget'!AD$2-'Yearly Budget'!$B$2)</f>
        <v>0</v>
      </c>
      <c r="AE38" s="146">
        <f>AE18*(1+Budget!$M18)^('Yearly Budget'!AE$2-'Yearly Budget'!$B$2)</f>
        <v>0</v>
      </c>
      <c r="AF38" s="146">
        <f>AF18*(1+Budget!$M18)^('Yearly Budget'!AF$2-'Yearly Budget'!$B$2)</f>
        <v>0</v>
      </c>
      <c r="AG38" s="146">
        <f>AG18*(1+Budget!$M18)^('Yearly Budget'!AG$2-'Yearly Budget'!$B$2)</f>
        <v>0</v>
      </c>
      <c r="AH38" s="146">
        <f>AH18*(1+Budget!$M18)^('Yearly Budget'!AH$2-'Yearly Budget'!$B$2)</f>
        <v>0</v>
      </c>
      <c r="AI38" s="146">
        <f>AI18*(1+Budget!$M18)^('Yearly Budget'!AI$2-'Yearly Budget'!$B$2)</f>
        <v>0</v>
      </c>
      <c r="AJ38" s="146">
        <f>AJ18*(1+Budget!$M18)^('Yearly Budget'!AJ$2-'Yearly Budget'!$B$2)</f>
        <v>0</v>
      </c>
      <c r="AK38" s="146">
        <f>AK18*(1+Budget!$M18)^('Yearly Budget'!AK$2-'Yearly Budget'!$B$2)</f>
        <v>0</v>
      </c>
      <c r="AL38" s="146">
        <f>AL18*(1+Budget!$M18)^('Yearly Budget'!AL$2-'Yearly Budget'!$B$2)</f>
        <v>0</v>
      </c>
      <c r="AM38" s="146">
        <f>AM18*(1+Budget!$M18)^('Yearly Budget'!AM$2-'Yearly Budget'!$B$2)</f>
        <v>0</v>
      </c>
      <c r="AN38" s="146">
        <f>AN18*(1+Budget!$M18)^('Yearly Budget'!AN$2-'Yearly Budget'!$B$2)</f>
        <v>0</v>
      </c>
      <c r="AO38" s="146">
        <f>AO18*(1+Budget!$M18)^('Yearly Budget'!AO$2-'Yearly Budget'!$B$2)</f>
        <v>0</v>
      </c>
      <c r="AP38" s="146">
        <f>AP18*(1+Budget!$M18)^('Yearly Budget'!AP$2-'Yearly Budget'!$B$2)</f>
        <v>0</v>
      </c>
      <c r="AQ38" s="146">
        <f>AQ18*(1+Budget!$M18)^('Yearly Budget'!AQ$2-'Yearly Budget'!$B$2)</f>
        <v>0</v>
      </c>
      <c r="AR38" s="146">
        <f>AR18*(1+Budget!$M18)^('Yearly Budget'!AR$2-'Yearly Budget'!$B$2)</f>
        <v>0</v>
      </c>
      <c r="AS38" s="146">
        <f>AS18*(1+Budget!$M18)^('Yearly Budget'!AS$2-'Yearly Budget'!$B$2)</f>
        <v>0</v>
      </c>
      <c r="AT38" s="146">
        <f>AT18*(1+Budget!$M18)^('Yearly Budget'!AT$2-'Yearly Budget'!$B$2)</f>
        <v>0</v>
      </c>
      <c r="AU38" s="146">
        <f>AU18*(1+Budget!$M18)^('Yearly Budget'!AU$2-'Yearly Budget'!$B$2)</f>
        <v>0</v>
      </c>
      <c r="AV38" s="146">
        <f>AV18*(1+Budget!$M18)^('Yearly Budget'!AV$2-'Yearly Budget'!$B$2)</f>
        <v>0</v>
      </c>
      <c r="AW38" s="146">
        <f>AW18*(1+Budget!$M18)^('Yearly Budget'!AW$2-'Yearly Budget'!$B$2)</f>
        <v>0</v>
      </c>
      <c r="AX38" s="146">
        <f>AX18*(1+Budget!$M18)^('Yearly Budget'!AX$2-'Yearly Budget'!$B$2)</f>
        <v>0</v>
      </c>
      <c r="AY38" s="146">
        <f>AY18*(1+Budget!$M18)^('Yearly Budget'!AY$2-'Yearly Budget'!$B$2)</f>
        <v>0</v>
      </c>
      <c r="AZ38" s="146">
        <f>AZ18*(1+Budget!$M18)^('Yearly Budget'!AZ$2-'Yearly Budget'!$B$2)</f>
        <v>0</v>
      </c>
      <c r="BA38" s="146">
        <f>BA18*(1+Budget!$M18)^('Yearly Budget'!BA$2-'Yearly Budget'!$B$2)</f>
        <v>0</v>
      </c>
      <c r="BB38" s="146">
        <f>BB18*(1+Budget!$M18)^('Yearly Budget'!BB$2-'Yearly Budget'!$B$2)</f>
        <v>0</v>
      </c>
      <c r="BC38" s="146">
        <f>BC18*(1+Budget!$M18)^('Yearly Budget'!BC$2-'Yearly Budget'!$B$2)</f>
        <v>0</v>
      </c>
      <c r="BD38" s="146">
        <f>BD18*(1+Budget!$M18)^('Yearly Budget'!BD$2-'Yearly Budget'!$B$2)</f>
        <v>0</v>
      </c>
      <c r="BE38" s="146">
        <f>BE18*(1+Budget!$M18)^('Yearly Budget'!BE$2-'Yearly Budget'!$B$2)</f>
        <v>0</v>
      </c>
      <c r="BF38" s="146">
        <f>BF18*(1+Budget!$M18)^('Yearly Budget'!BF$2-'Yearly Budget'!$B$2)</f>
        <v>0</v>
      </c>
    </row>
    <row r="39" spans="1:58" x14ac:dyDescent="0.3">
      <c r="A39" s="190" t="s">
        <v>340</v>
      </c>
      <c r="B39" s="143">
        <f>SUM(B24:B38)</f>
        <v>12278664</v>
      </c>
      <c r="C39" s="143">
        <f t="shared" ref="C39:BF39" si="13">SUM(C24:C38)</f>
        <v>13248237.120000001</v>
      </c>
      <c r="D39" s="143">
        <f t="shared" si="13"/>
        <v>14295076.089600002</v>
      </c>
      <c r="E39" s="143">
        <f t="shared" si="13"/>
        <v>15425347.176768001</v>
      </c>
      <c r="F39" s="143">
        <f t="shared" si="13"/>
        <v>16645709.200909443</v>
      </c>
      <c r="G39" s="143">
        <f t="shared" si="13"/>
        <v>17963352.899482198</v>
      </c>
      <c r="H39" s="143">
        <f t="shared" si="13"/>
        <v>19386043.442065779</v>
      </c>
      <c r="I39" s="143">
        <f t="shared" si="13"/>
        <v>7915069.478446357</v>
      </c>
      <c r="J39" s="143">
        <f t="shared" si="13"/>
        <v>17526556.282029878</v>
      </c>
      <c r="K39" s="143">
        <f t="shared" si="13"/>
        <v>8440342.4680239093</v>
      </c>
      <c r="L39" s="143">
        <f t="shared" si="13"/>
        <v>8876150.633069044</v>
      </c>
      <c r="M39" s="143">
        <f t="shared" si="13"/>
        <v>8635696.7905815691</v>
      </c>
      <c r="N39" s="143">
        <f t="shared" si="13"/>
        <v>9063281.6301106457</v>
      </c>
      <c r="O39" s="143">
        <f t="shared" si="13"/>
        <v>9512245.7116161808</v>
      </c>
      <c r="P39" s="143">
        <f t="shared" si="13"/>
        <v>84000</v>
      </c>
      <c r="Q39" s="143">
        <f t="shared" si="13"/>
        <v>84000</v>
      </c>
      <c r="R39" s="143">
        <f t="shared" si="13"/>
        <v>84000</v>
      </c>
      <c r="S39" s="143">
        <f t="shared" si="13"/>
        <v>84000</v>
      </c>
      <c r="T39" s="143">
        <f t="shared" si="13"/>
        <v>84000</v>
      </c>
      <c r="U39" s="143">
        <f t="shared" si="13"/>
        <v>84000</v>
      </c>
      <c r="V39" s="143">
        <f t="shared" si="13"/>
        <v>84000</v>
      </c>
      <c r="W39" s="143">
        <f t="shared" si="13"/>
        <v>84000</v>
      </c>
      <c r="X39" s="143">
        <f t="shared" si="13"/>
        <v>84000</v>
      </c>
      <c r="Y39" s="143">
        <f t="shared" si="13"/>
        <v>84000</v>
      </c>
      <c r="Z39" s="143">
        <f t="shared" si="13"/>
        <v>84000</v>
      </c>
      <c r="AA39" s="143">
        <f t="shared" si="13"/>
        <v>84000</v>
      </c>
      <c r="AB39" s="143">
        <f t="shared" si="13"/>
        <v>84000</v>
      </c>
      <c r="AC39" s="143">
        <f t="shared" si="13"/>
        <v>84000</v>
      </c>
      <c r="AD39" s="143">
        <f t="shared" si="13"/>
        <v>84000</v>
      </c>
      <c r="AE39" s="143">
        <f t="shared" si="13"/>
        <v>84000</v>
      </c>
      <c r="AF39" s="143">
        <f t="shared" si="13"/>
        <v>84000</v>
      </c>
      <c r="AG39" s="143">
        <f t="shared" si="13"/>
        <v>84000</v>
      </c>
      <c r="AH39" s="143">
        <f t="shared" si="13"/>
        <v>84000</v>
      </c>
      <c r="AI39" s="143">
        <f t="shared" si="13"/>
        <v>84000</v>
      </c>
      <c r="AJ39" s="143">
        <f t="shared" si="13"/>
        <v>84000</v>
      </c>
      <c r="AK39" s="143">
        <f t="shared" si="13"/>
        <v>84000</v>
      </c>
      <c r="AL39" s="143">
        <f t="shared" si="13"/>
        <v>84000</v>
      </c>
      <c r="AM39" s="143">
        <f t="shared" si="13"/>
        <v>84000</v>
      </c>
      <c r="AN39" s="143">
        <f t="shared" si="13"/>
        <v>84000</v>
      </c>
      <c r="AO39" s="143">
        <f t="shared" si="13"/>
        <v>84000</v>
      </c>
      <c r="AP39" s="143">
        <f t="shared" si="13"/>
        <v>84000</v>
      </c>
      <c r="AQ39" s="143">
        <f t="shared" si="13"/>
        <v>84000</v>
      </c>
      <c r="AR39" s="143">
        <f t="shared" si="13"/>
        <v>84000</v>
      </c>
      <c r="AS39" s="143">
        <f t="shared" si="13"/>
        <v>84000</v>
      </c>
      <c r="AT39" s="143">
        <f t="shared" si="13"/>
        <v>84000</v>
      </c>
      <c r="AU39" s="143">
        <f t="shared" si="13"/>
        <v>84000</v>
      </c>
      <c r="AV39" s="143">
        <f t="shared" si="13"/>
        <v>84000</v>
      </c>
      <c r="AW39" s="143">
        <f t="shared" si="13"/>
        <v>84000</v>
      </c>
      <c r="AX39" s="143">
        <f t="shared" si="13"/>
        <v>84000</v>
      </c>
      <c r="AY39" s="143">
        <f t="shared" si="13"/>
        <v>84000</v>
      </c>
      <c r="AZ39" s="143">
        <f t="shared" si="13"/>
        <v>84000</v>
      </c>
      <c r="BA39" s="143">
        <f t="shared" si="13"/>
        <v>84000</v>
      </c>
      <c r="BB39" s="143">
        <f t="shared" si="13"/>
        <v>84000</v>
      </c>
      <c r="BC39" s="143">
        <f t="shared" si="13"/>
        <v>84000</v>
      </c>
      <c r="BD39" s="143">
        <f t="shared" si="13"/>
        <v>84000</v>
      </c>
      <c r="BE39" s="143">
        <f t="shared" si="13"/>
        <v>84000</v>
      </c>
      <c r="BF39" s="143">
        <f t="shared" si="13"/>
        <v>84000</v>
      </c>
    </row>
    <row r="41" spans="1:58" ht="18" x14ac:dyDescent="0.3">
      <c r="A41" s="556" t="s">
        <v>342</v>
      </c>
    </row>
    <row r="42" spans="1:58" ht="14.4" x14ac:dyDescent="0.3">
      <c r="A42" s="100" t="str">
        <f>Budget!B129</f>
        <v>Utilities</v>
      </c>
      <c r="B42" s="446">
        <f>IF($B$1&gt;'NWGC - SCENARIOS'!$D$7,Budget!$F129,Budget!$D129)</f>
        <v>372229</v>
      </c>
      <c r="C42" s="446">
        <f>IF(C$1&gt;80,Budget!$H129,IF(C$1&gt;'NWGC - SCENARIOS'!$D$7,Budget!$F129,Budget!$D129))</f>
        <v>372229</v>
      </c>
      <c r="D42" s="446">
        <f>IF(D$1&gt;80,Budget!$H129,IF(D$1&gt;'NWGC - SCENARIOS'!$D$7,Budget!$F129,Budget!$D129))</f>
        <v>372229</v>
      </c>
      <c r="E42" s="446">
        <f>IF(E$1&gt;80,Budget!$H129,IF(E$1&gt;'NWGC - SCENARIOS'!$D$7,Budget!$F129,Budget!$D129))</f>
        <v>372229</v>
      </c>
      <c r="F42" s="446">
        <f>IF(F$1&gt;80,Budget!$H129,IF(F$1&gt;'NWGC - SCENARIOS'!$D$7,Budget!$F129,Budget!$D129))</f>
        <v>372229</v>
      </c>
      <c r="G42" s="446">
        <f>IF(G$1&gt;80,Budget!$H129,IF(G$1&gt;'NWGC - SCENARIOS'!$D$7,Budget!$F129,Budget!$D129))</f>
        <v>372229</v>
      </c>
      <c r="H42" s="446">
        <f>IF(H$1&gt;80,Budget!$H129,IF(H$1&gt;'NWGC - SCENARIOS'!$D$7,Budget!$F129,Budget!$D129))</f>
        <v>372229</v>
      </c>
      <c r="I42" s="446">
        <f>IF(I$1&gt;80,Budget!$H129,IF(I$1&gt;'NWGC - SCENARIOS'!$D$7,Budget!$F129,Budget!$D129))</f>
        <v>372229</v>
      </c>
      <c r="J42" s="446">
        <f>IF(J$1&gt;80,Budget!$H129,IF(J$1&gt;'NWGC - SCENARIOS'!$D$7,Budget!$F129,Budget!$D129))</f>
        <v>372229</v>
      </c>
      <c r="K42" s="446">
        <f>IF(K$1&gt;80,Budget!$H129,IF(K$1&gt;'NWGC - SCENARIOS'!$D$7,Budget!$F129,Budget!$D129))</f>
        <v>372229</v>
      </c>
      <c r="L42" s="446">
        <f>IF(L$1&gt;80,Budget!$H129,IF(L$1&gt;'NWGC - SCENARIOS'!$D$7,Budget!$F129,Budget!$D129))</f>
        <v>372229</v>
      </c>
      <c r="M42" s="446">
        <f>IF(M$1&gt;80,Budget!$H129,IF(M$1&gt;'NWGC - SCENARIOS'!$D$7,Budget!$F129,Budget!$D129))</f>
        <v>372229</v>
      </c>
      <c r="N42" s="446">
        <f>IF(N$1&gt;80,Budget!$H129,IF(N$1&gt;'NWGC - SCENARIOS'!$D$7,Budget!$F129,Budget!$D129))</f>
        <v>372229</v>
      </c>
      <c r="O42" s="446">
        <f>IF(O$1&gt;80,Budget!$H129,IF(O$1&gt;'NWGC - SCENARIOS'!$D$7,Budget!$F129,Budget!$D129))</f>
        <v>372229</v>
      </c>
      <c r="P42" s="446">
        <f>IF(P$1&gt;80,Budget!$H129,IF(P$1&gt;'NWGC - SCENARIOS'!$D$7,Budget!$F129,Budget!$D129))</f>
        <v>372229</v>
      </c>
      <c r="Q42" s="446">
        <f>IF(Q$1&gt;80,Budget!$H129,IF(Q$1&gt;'NWGC - SCENARIOS'!$D$7,Budget!$F129,Budget!$D129))</f>
        <v>372229</v>
      </c>
      <c r="R42" s="446">
        <f>IF(R$1&gt;80,Budget!$H129,IF(R$1&gt;'NWGC - SCENARIOS'!$D$7,Budget!$F129,Budget!$D129))</f>
        <v>372229</v>
      </c>
      <c r="S42" s="446">
        <f>IF(S$1&gt;80,Budget!$H129,IF(S$1&gt;'NWGC - SCENARIOS'!$D$7,Budget!$F129,Budget!$D129))</f>
        <v>372229</v>
      </c>
      <c r="T42" s="446">
        <f>IF(T$1&gt;80,Budget!$H129,IF(T$1&gt;'NWGC - SCENARIOS'!$D$7,Budget!$F129,Budget!$D129))</f>
        <v>372229</v>
      </c>
      <c r="U42" s="446">
        <f>IF(U$1&gt;80,Budget!$H129,IF(U$1&gt;'NWGC - SCENARIOS'!$D$7,Budget!$F129,Budget!$D129))</f>
        <v>372229</v>
      </c>
      <c r="V42" s="446">
        <f>IF(V$1&gt;80,Budget!$H129,IF(V$1&gt;'NWGC - SCENARIOS'!$D$7,Budget!$F129,Budget!$D129))</f>
        <v>372229</v>
      </c>
      <c r="W42" s="446">
        <f>IF(W$1&gt;80,Budget!$H129,IF(W$1&gt;'NWGC - SCENARIOS'!$D$7,Budget!$F129,Budget!$D129))</f>
        <v>372229</v>
      </c>
      <c r="X42" s="446">
        <f>IF(X$1&gt;80,Budget!$H129,IF(X$1&gt;'NWGC - SCENARIOS'!$D$7,Budget!$F129,Budget!$D129))</f>
        <v>372229</v>
      </c>
      <c r="Y42" s="446">
        <f>IF(Y$1&gt;80,Budget!$H129,IF(Y$1&gt;'NWGC - SCENARIOS'!$D$7,Budget!$F129,Budget!$D129))</f>
        <v>372229</v>
      </c>
      <c r="Z42" s="446">
        <f>IF(Z$1&gt;80,Budget!$H129,IF(Z$1&gt;'NWGC - SCENARIOS'!$D$7,Budget!$F129,Budget!$D129))</f>
        <v>372229</v>
      </c>
      <c r="AA42" s="446">
        <f>IF(AA$1&gt;80,Budget!$H129,IF(AA$1&gt;'NWGC - SCENARIOS'!$D$7,Budget!$F129,Budget!$D129))</f>
        <v>372229</v>
      </c>
      <c r="AB42" s="446">
        <f>IF(AB$1&gt;80,Budget!$H129,IF(AB$1&gt;'NWGC - SCENARIOS'!$D$7,Budget!$F129,Budget!$D129))</f>
        <v>372229</v>
      </c>
      <c r="AC42" s="446">
        <f>IF(AC$1&gt;80,Budget!$H129,IF(AC$1&gt;'NWGC - SCENARIOS'!$D$7,Budget!$F129,Budget!$D129))</f>
        <v>372229</v>
      </c>
      <c r="AD42" s="446">
        <f>IF(AD$1&gt;80,Budget!$H129,IF(AD$1&gt;'NWGC - SCENARIOS'!$D$7,Budget!$F129,Budget!$D129))</f>
        <v>372229</v>
      </c>
      <c r="AE42" s="446">
        <f>IF(AE$1&gt;80,Budget!$H129,IF(AE$1&gt;'NWGC - SCENARIOS'!$D$7,Budget!$F129,Budget!$D129))</f>
        <v>372229</v>
      </c>
      <c r="AF42" s="446">
        <f>IF(AF$1&gt;80,Budget!$H129,IF(AF$1&gt;'NWGC - SCENARIOS'!$D$7,Budget!$F129,Budget!$D129))</f>
        <v>372229</v>
      </c>
      <c r="AG42" s="446">
        <f>IF(AG$1&gt;80,Budget!$H129,IF(AG$1&gt;'NWGC - SCENARIOS'!$D$7,Budget!$F129,Budget!$D129))</f>
        <v>372229</v>
      </c>
      <c r="AH42" s="446">
        <f>IF(AH$1&gt;80,Budget!$H129,IF(AH$1&gt;'NWGC - SCENARIOS'!$D$7,Budget!$F129,Budget!$D129))</f>
        <v>372229</v>
      </c>
      <c r="AI42" s="446">
        <f>IF(AI$1&gt;80,Budget!$H129,IF(AI$1&gt;'NWGC - SCENARIOS'!$D$7,Budget!$F129,Budget!$D129))</f>
        <v>372229</v>
      </c>
      <c r="AJ42" s="446">
        <f>IF(AJ$1&gt;80,Budget!$H129,IF(AJ$1&gt;'NWGC - SCENARIOS'!$D$7,Budget!$F129,Budget!$D129))</f>
        <v>372229</v>
      </c>
      <c r="AK42" s="446">
        <f>IF(AK$1&gt;80,Budget!$H129,IF(AK$1&gt;'NWGC - SCENARIOS'!$D$7,Budget!$F129,Budget!$D129))</f>
        <v>372229</v>
      </c>
      <c r="AL42" s="446">
        <f>IF(AL$1&gt;80,Budget!$H129,IF(AL$1&gt;'NWGC - SCENARIOS'!$D$7,Budget!$F129,Budget!$D129))</f>
        <v>372229</v>
      </c>
      <c r="AM42" s="446">
        <f>IF(AM$1&gt;80,Budget!$H129,IF(AM$1&gt;'NWGC - SCENARIOS'!$D$7,Budget!$F129,Budget!$D129))</f>
        <v>372229</v>
      </c>
      <c r="AN42" s="446">
        <f>IF(AN$1&gt;80,Budget!$H129,IF(AN$1&gt;'NWGC - SCENARIOS'!$D$7,Budget!$F129,Budget!$D129))</f>
        <v>372229</v>
      </c>
      <c r="AO42" s="446">
        <f>IF(AO$1&gt;80,Budget!$H129,IF(AO$1&gt;'NWGC - SCENARIOS'!$D$7,Budget!$F129,Budget!$D129))</f>
        <v>372229</v>
      </c>
      <c r="AP42" s="446">
        <f>IF(AP$1&gt;80,Budget!$H129,IF(AP$1&gt;'NWGC - SCENARIOS'!$D$7,Budget!$F129,Budget!$D129))</f>
        <v>372229</v>
      </c>
      <c r="AQ42" s="446">
        <f>IF(AQ$1&gt;80,Budget!$H129,IF(AQ$1&gt;'NWGC - SCENARIOS'!$D$7,Budget!$F129,Budget!$D129))</f>
        <v>372229</v>
      </c>
      <c r="AR42" s="446">
        <f>IF(AR$1&gt;80,Budget!$H129,IF(AR$1&gt;'NWGC - SCENARIOS'!$D$7,Budget!$F129,Budget!$D129))</f>
        <v>372229</v>
      </c>
      <c r="AS42" s="446">
        <f>IF(AS$1&gt;80,Budget!$H129,IF(AS$1&gt;'NWGC - SCENARIOS'!$D$7,Budget!$F129,Budget!$D129))</f>
        <v>372229</v>
      </c>
      <c r="AT42" s="446">
        <f>IF(AT$1&gt;80,Budget!$H129,IF(AT$1&gt;'NWGC - SCENARIOS'!$D$7,Budget!$F129,Budget!$D129))</f>
        <v>372229</v>
      </c>
      <c r="AU42" s="446">
        <f>IF(AU$1&gt;80,Budget!$H129,IF(AU$1&gt;'NWGC - SCENARIOS'!$D$7,Budget!$F129,Budget!$D129))</f>
        <v>372229</v>
      </c>
      <c r="AV42" s="446">
        <f>IF(AV$1&gt;80,Budget!$H129,IF(AV$1&gt;'NWGC - SCENARIOS'!$D$7,Budget!$F129,Budget!$D129))</f>
        <v>372229</v>
      </c>
      <c r="AW42" s="446">
        <f>IF(AW$1&gt;80,Budget!$H129,IF(AW$1&gt;'NWGC - SCENARIOS'!$D$7,Budget!$F129,Budget!$D129))</f>
        <v>372229</v>
      </c>
      <c r="AX42" s="446">
        <f>IF(AX$1&gt;80,Budget!$H129,IF(AX$1&gt;'NWGC - SCENARIOS'!$D$7,Budget!$F129,Budget!$D129))</f>
        <v>372229</v>
      </c>
      <c r="AY42" s="446">
        <f>IF(AY$1&gt;80,Budget!$H129,IF(AY$1&gt;'NWGC - SCENARIOS'!$D$7,Budget!$F129,Budget!$D129))</f>
        <v>372229</v>
      </c>
      <c r="AZ42" s="446">
        <f>IF(AZ$1&gt;80,Budget!$H129,IF(AZ$1&gt;'NWGC - SCENARIOS'!$D$7,Budget!$F129,Budget!$D129))</f>
        <v>372229</v>
      </c>
      <c r="BA42" s="446">
        <f>IF(BA$1&gt;80,Budget!$H129,IF(BA$1&gt;'NWGC - SCENARIOS'!$D$7,Budget!$F129,Budget!$D129))</f>
        <v>372229</v>
      </c>
      <c r="BB42" s="446">
        <f>IF(BB$1&gt;80,Budget!$H129,IF(BB$1&gt;'NWGC - SCENARIOS'!$D$7,Budget!$F129,Budget!$D129))</f>
        <v>372229</v>
      </c>
      <c r="BC42" s="446">
        <f>IF(BC$1&gt;80,Budget!$H129,IF(BC$1&gt;'NWGC - SCENARIOS'!$D$7,Budget!$F129,Budget!$D129))</f>
        <v>372229</v>
      </c>
      <c r="BD42" s="446">
        <f>IF(BD$1&gt;80,Budget!$H129,IF(BD$1&gt;'NWGC - SCENARIOS'!$D$7,Budget!$F129,Budget!$D129))</f>
        <v>372229</v>
      </c>
      <c r="BE42" s="446">
        <f>IF(BE$1&gt;80,Budget!$H129,IF(BE$1&gt;'NWGC - SCENARIOS'!$D$7,Budget!$F129,Budget!$D129))</f>
        <v>372229</v>
      </c>
      <c r="BF42" s="446">
        <f>IF(BF$1&gt;80,Budget!$H129,IF(BF$1&gt;'NWGC - SCENARIOS'!$D$7,Budget!$F129,Budget!$D129))</f>
        <v>372229</v>
      </c>
    </row>
    <row r="43" spans="1:58" ht="14.4" x14ac:dyDescent="0.3">
      <c r="A43" s="100" t="str">
        <f>Budget!B130</f>
        <v>Personal Care</v>
      </c>
      <c r="B43" s="446">
        <f>IF($B$1&gt;'NWGC - SCENARIOS'!$D$7,Budget!$F130,Budget!$D130)</f>
        <v>322000</v>
      </c>
      <c r="C43" s="446">
        <f>IF(C$1&gt;80,Budget!$H130,IF(C$1&gt;'NWGC - SCENARIOS'!$D$7,Budget!$F130,Budget!$D130))</f>
        <v>322000</v>
      </c>
      <c r="D43" s="446">
        <f>IF(D$1&gt;80,Budget!$H130,IF(D$1&gt;'NWGC - SCENARIOS'!$D$7,Budget!$F130,Budget!$D130))</f>
        <v>322000</v>
      </c>
      <c r="E43" s="446">
        <f>IF(E$1&gt;80,Budget!$H130,IF(E$1&gt;'NWGC - SCENARIOS'!$D$7,Budget!$F130,Budget!$D130))</f>
        <v>322000</v>
      </c>
      <c r="F43" s="446">
        <f>IF(F$1&gt;80,Budget!$H130,IF(F$1&gt;'NWGC - SCENARIOS'!$D$7,Budget!$F130,Budget!$D130))</f>
        <v>322000</v>
      </c>
      <c r="G43" s="446">
        <f>IF(G$1&gt;80,Budget!$H130,IF(G$1&gt;'NWGC - SCENARIOS'!$D$7,Budget!$F130,Budget!$D130))</f>
        <v>322000</v>
      </c>
      <c r="H43" s="446">
        <f>IF(H$1&gt;80,Budget!$H130,IF(H$1&gt;'NWGC - SCENARIOS'!$D$7,Budget!$F130,Budget!$D130))</f>
        <v>322000</v>
      </c>
      <c r="I43" s="446">
        <f>IF(I$1&gt;80,Budget!$H130,IF(I$1&gt;'NWGC - SCENARIOS'!$D$7,Budget!$F130,Budget!$D130))</f>
        <v>322000</v>
      </c>
      <c r="J43" s="446">
        <f>IF(J$1&gt;80,Budget!$H130,IF(J$1&gt;'NWGC - SCENARIOS'!$D$7,Budget!$F130,Budget!$D130))</f>
        <v>322000</v>
      </c>
      <c r="K43" s="446">
        <f>IF(K$1&gt;80,Budget!$H130,IF(K$1&gt;'NWGC - SCENARIOS'!$D$7,Budget!$F130,Budget!$D130))</f>
        <v>322000</v>
      </c>
      <c r="L43" s="446">
        <f>IF(L$1&gt;80,Budget!$H130,IF(L$1&gt;'NWGC - SCENARIOS'!$D$7,Budget!$F130,Budget!$D130))</f>
        <v>322000</v>
      </c>
      <c r="M43" s="446">
        <f>IF(M$1&gt;80,Budget!$H130,IF(M$1&gt;'NWGC - SCENARIOS'!$D$7,Budget!$F130,Budget!$D130))</f>
        <v>322000</v>
      </c>
      <c r="N43" s="446">
        <f>IF(N$1&gt;80,Budget!$H130,IF(N$1&gt;'NWGC - SCENARIOS'!$D$7,Budget!$F130,Budget!$D130))</f>
        <v>322000</v>
      </c>
      <c r="O43" s="446">
        <f>IF(O$1&gt;80,Budget!$H130,IF(O$1&gt;'NWGC - SCENARIOS'!$D$7,Budget!$F130,Budget!$D130))</f>
        <v>322000</v>
      </c>
      <c r="P43" s="446">
        <f>IF(P$1&gt;80,Budget!$H130,IF(P$1&gt;'NWGC - SCENARIOS'!$D$7,Budget!$F130,Budget!$D130))</f>
        <v>322000</v>
      </c>
      <c r="Q43" s="446">
        <f>IF(Q$1&gt;80,Budget!$H130,IF(Q$1&gt;'NWGC - SCENARIOS'!$D$7,Budget!$F130,Budget!$D130))</f>
        <v>322000</v>
      </c>
      <c r="R43" s="446">
        <f>IF(R$1&gt;80,Budget!$H130,IF(R$1&gt;'NWGC - SCENARIOS'!$D$7,Budget!$F130,Budget!$D130))</f>
        <v>322000</v>
      </c>
      <c r="S43" s="446">
        <f>IF(S$1&gt;80,Budget!$H130,IF(S$1&gt;'NWGC - SCENARIOS'!$D$7,Budget!$F130,Budget!$D130))</f>
        <v>322000</v>
      </c>
      <c r="T43" s="446">
        <f>IF(T$1&gt;80,Budget!$H130,IF(T$1&gt;'NWGC - SCENARIOS'!$D$7,Budget!$F130,Budget!$D130))</f>
        <v>322000</v>
      </c>
      <c r="U43" s="446">
        <f>IF(U$1&gt;80,Budget!$H130,IF(U$1&gt;'NWGC - SCENARIOS'!$D$7,Budget!$F130,Budget!$D130))</f>
        <v>322000</v>
      </c>
      <c r="V43" s="446">
        <f>IF(V$1&gt;80,Budget!$H130,IF(V$1&gt;'NWGC - SCENARIOS'!$D$7,Budget!$F130,Budget!$D130))</f>
        <v>322000</v>
      </c>
      <c r="W43" s="446">
        <f>IF(W$1&gt;80,Budget!$H130,IF(W$1&gt;'NWGC - SCENARIOS'!$D$7,Budget!$F130,Budget!$D130))</f>
        <v>322000</v>
      </c>
      <c r="X43" s="446">
        <f>IF(X$1&gt;80,Budget!$H130,IF(X$1&gt;'NWGC - SCENARIOS'!$D$7,Budget!$F130,Budget!$D130))</f>
        <v>322000</v>
      </c>
      <c r="Y43" s="446">
        <f>IF(Y$1&gt;80,Budget!$H130,IF(Y$1&gt;'NWGC - SCENARIOS'!$D$7,Budget!$F130,Budget!$D130))</f>
        <v>322000</v>
      </c>
      <c r="Z43" s="446">
        <f>IF(Z$1&gt;80,Budget!$H130,IF(Z$1&gt;'NWGC - SCENARIOS'!$D$7,Budget!$F130,Budget!$D130))</f>
        <v>322000</v>
      </c>
      <c r="AA43" s="446">
        <f>IF(AA$1&gt;80,Budget!$H130,IF(AA$1&gt;'NWGC - SCENARIOS'!$D$7,Budget!$F130,Budget!$D130))</f>
        <v>322000</v>
      </c>
      <c r="AB43" s="446">
        <f>IF(AB$1&gt;80,Budget!$H130,IF(AB$1&gt;'NWGC - SCENARIOS'!$D$7,Budget!$F130,Budget!$D130))</f>
        <v>322000</v>
      </c>
      <c r="AC43" s="446">
        <f>IF(AC$1&gt;80,Budget!$H130,IF(AC$1&gt;'NWGC - SCENARIOS'!$D$7,Budget!$F130,Budget!$D130))</f>
        <v>322000</v>
      </c>
      <c r="AD43" s="446">
        <f>IF(AD$1&gt;80,Budget!$H130,IF(AD$1&gt;'NWGC - SCENARIOS'!$D$7,Budget!$F130,Budget!$D130))</f>
        <v>322000</v>
      </c>
      <c r="AE43" s="446">
        <f>IF(AE$1&gt;80,Budget!$H130,IF(AE$1&gt;'NWGC - SCENARIOS'!$D$7,Budget!$F130,Budget!$D130))</f>
        <v>322000</v>
      </c>
      <c r="AF43" s="446">
        <f>IF(AF$1&gt;80,Budget!$H130,IF(AF$1&gt;'NWGC - SCENARIOS'!$D$7,Budget!$F130,Budget!$D130))</f>
        <v>322000</v>
      </c>
      <c r="AG43" s="446">
        <f>IF(AG$1&gt;80,Budget!$H130,IF(AG$1&gt;'NWGC - SCENARIOS'!$D$7,Budget!$F130,Budget!$D130))</f>
        <v>322000</v>
      </c>
      <c r="AH43" s="446">
        <f>IF(AH$1&gt;80,Budget!$H130,IF(AH$1&gt;'NWGC - SCENARIOS'!$D$7,Budget!$F130,Budget!$D130))</f>
        <v>322000</v>
      </c>
      <c r="AI43" s="446">
        <f>IF(AI$1&gt;80,Budget!$H130,IF(AI$1&gt;'NWGC - SCENARIOS'!$D$7,Budget!$F130,Budget!$D130))</f>
        <v>322000</v>
      </c>
      <c r="AJ43" s="446">
        <f>IF(AJ$1&gt;80,Budget!$H130,IF(AJ$1&gt;'NWGC - SCENARIOS'!$D$7,Budget!$F130,Budget!$D130))</f>
        <v>322000</v>
      </c>
      <c r="AK43" s="446">
        <f>IF(AK$1&gt;80,Budget!$H130,IF(AK$1&gt;'NWGC - SCENARIOS'!$D$7,Budget!$F130,Budget!$D130))</f>
        <v>322000</v>
      </c>
      <c r="AL43" s="446">
        <f>IF(AL$1&gt;80,Budget!$H130,IF(AL$1&gt;'NWGC - SCENARIOS'!$D$7,Budget!$F130,Budget!$D130))</f>
        <v>322000</v>
      </c>
      <c r="AM43" s="446">
        <f>IF(AM$1&gt;80,Budget!$H130,IF(AM$1&gt;'NWGC - SCENARIOS'!$D$7,Budget!$F130,Budget!$D130))</f>
        <v>322000</v>
      </c>
      <c r="AN43" s="446">
        <f>IF(AN$1&gt;80,Budget!$H130,IF(AN$1&gt;'NWGC - SCENARIOS'!$D$7,Budget!$F130,Budget!$D130))</f>
        <v>322000</v>
      </c>
      <c r="AO43" s="446">
        <f>IF(AO$1&gt;80,Budget!$H130,IF(AO$1&gt;'NWGC - SCENARIOS'!$D$7,Budget!$F130,Budget!$D130))</f>
        <v>322000</v>
      </c>
      <c r="AP43" s="446">
        <f>IF(AP$1&gt;80,Budget!$H130,IF(AP$1&gt;'NWGC - SCENARIOS'!$D$7,Budget!$F130,Budget!$D130))</f>
        <v>322000</v>
      </c>
      <c r="AQ43" s="446">
        <f>IF(AQ$1&gt;80,Budget!$H130,IF(AQ$1&gt;'NWGC - SCENARIOS'!$D$7,Budget!$F130,Budget!$D130))</f>
        <v>322000</v>
      </c>
      <c r="AR43" s="446">
        <f>IF(AR$1&gt;80,Budget!$H130,IF(AR$1&gt;'NWGC - SCENARIOS'!$D$7,Budget!$F130,Budget!$D130))</f>
        <v>322000</v>
      </c>
      <c r="AS43" s="446">
        <f>IF(AS$1&gt;80,Budget!$H130,IF(AS$1&gt;'NWGC - SCENARIOS'!$D$7,Budget!$F130,Budget!$D130))</f>
        <v>322000</v>
      </c>
      <c r="AT43" s="446">
        <f>IF(AT$1&gt;80,Budget!$H130,IF(AT$1&gt;'NWGC - SCENARIOS'!$D$7,Budget!$F130,Budget!$D130))</f>
        <v>322000</v>
      </c>
      <c r="AU43" s="446">
        <f>IF(AU$1&gt;80,Budget!$H130,IF(AU$1&gt;'NWGC - SCENARIOS'!$D$7,Budget!$F130,Budget!$D130))</f>
        <v>322000</v>
      </c>
      <c r="AV43" s="446">
        <f>IF(AV$1&gt;80,Budget!$H130,IF(AV$1&gt;'NWGC - SCENARIOS'!$D$7,Budget!$F130,Budget!$D130))</f>
        <v>322000</v>
      </c>
      <c r="AW43" s="446">
        <f>IF(AW$1&gt;80,Budget!$H130,IF(AW$1&gt;'NWGC - SCENARIOS'!$D$7,Budget!$F130,Budget!$D130))</f>
        <v>322000</v>
      </c>
      <c r="AX43" s="446">
        <f>IF(AX$1&gt;80,Budget!$H130,IF(AX$1&gt;'NWGC - SCENARIOS'!$D$7,Budget!$F130,Budget!$D130))</f>
        <v>322000</v>
      </c>
      <c r="AY43" s="446">
        <f>IF(AY$1&gt;80,Budget!$H130,IF(AY$1&gt;'NWGC - SCENARIOS'!$D$7,Budget!$F130,Budget!$D130))</f>
        <v>322000</v>
      </c>
      <c r="AZ43" s="446">
        <f>IF(AZ$1&gt;80,Budget!$H130,IF(AZ$1&gt;'NWGC - SCENARIOS'!$D$7,Budget!$F130,Budget!$D130))</f>
        <v>322000</v>
      </c>
      <c r="BA43" s="446">
        <f>IF(BA$1&gt;80,Budget!$H130,IF(BA$1&gt;'NWGC - SCENARIOS'!$D$7,Budget!$F130,Budget!$D130))</f>
        <v>322000</v>
      </c>
      <c r="BB43" s="446">
        <f>IF(BB$1&gt;80,Budget!$H130,IF(BB$1&gt;'NWGC - SCENARIOS'!$D$7,Budget!$F130,Budget!$D130))</f>
        <v>322000</v>
      </c>
      <c r="BC43" s="446">
        <f>IF(BC$1&gt;80,Budget!$H130,IF(BC$1&gt;'NWGC - SCENARIOS'!$D$7,Budget!$F130,Budget!$D130))</f>
        <v>322000</v>
      </c>
      <c r="BD43" s="446">
        <f>IF(BD$1&gt;80,Budget!$H130,IF(BD$1&gt;'NWGC - SCENARIOS'!$D$7,Budget!$F130,Budget!$D130))</f>
        <v>322000</v>
      </c>
      <c r="BE43" s="446">
        <f>IF(BE$1&gt;80,Budget!$H130,IF(BE$1&gt;'NWGC - SCENARIOS'!$D$7,Budget!$F130,Budget!$D130))</f>
        <v>322000</v>
      </c>
      <c r="BF43" s="446">
        <f>IF(BF$1&gt;80,Budget!$H130,IF(BF$1&gt;'NWGC - SCENARIOS'!$D$7,Budget!$F130,Budget!$D130))</f>
        <v>322000</v>
      </c>
    </row>
    <row r="44" spans="1:58" ht="14.4" x14ac:dyDescent="0.3">
      <c r="A44" s="100" t="str">
        <f>Budget!B131</f>
        <v>Housing</v>
      </c>
      <c r="B44" s="446">
        <f>IF($B$1&gt;'NWGC - SCENARIOS'!$D$7,Budget!$F131,Budget!$D131)</f>
        <v>98000</v>
      </c>
      <c r="C44" s="446">
        <f>IF(C$1&gt;80,Budget!$H131,IF(C$1&gt;'NWGC - SCENARIOS'!$D$7,Budget!$F131,Budget!$D131))</f>
        <v>98000</v>
      </c>
      <c r="D44" s="446">
        <f>IF(D$1&gt;80,Budget!$H131,IF(D$1&gt;'NWGC - SCENARIOS'!$D$7,Budget!$F131,Budget!$D131))</f>
        <v>98000</v>
      </c>
      <c r="E44" s="446">
        <f>IF(E$1&gt;80,Budget!$H131,IF(E$1&gt;'NWGC - SCENARIOS'!$D$7,Budget!$F131,Budget!$D131))</f>
        <v>98000</v>
      </c>
      <c r="F44" s="446">
        <f>IF(F$1&gt;80,Budget!$H131,IF(F$1&gt;'NWGC - SCENARIOS'!$D$7,Budget!$F131,Budget!$D131))</f>
        <v>98000</v>
      </c>
      <c r="G44" s="446">
        <f>IF(G$1&gt;80,Budget!$H131,IF(G$1&gt;'NWGC - SCENARIOS'!$D$7,Budget!$F131,Budget!$D131))</f>
        <v>98000</v>
      </c>
      <c r="H44" s="446">
        <f>IF(H$1&gt;80,Budget!$H131,IF(H$1&gt;'NWGC - SCENARIOS'!$D$7,Budget!$F131,Budget!$D131))</f>
        <v>98000</v>
      </c>
      <c r="I44" s="446">
        <f>IF(I$1&gt;80,Budget!$H131,IF(I$1&gt;'NWGC - SCENARIOS'!$D$7,Budget!$F131,Budget!$D131))</f>
        <v>98000</v>
      </c>
      <c r="J44" s="446">
        <f>IF(J$1&gt;80,Budget!$H131,IF(J$1&gt;'NWGC - SCENARIOS'!$D$7,Budget!$F131,Budget!$D131))</f>
        <v>98000</v>
      </c>
      <c r="K44" s="446">
        <f>IF(K$1&gt;80,Budget!$H131,IF(K$1&gt;'NWGC - SCENARIOS'!$D$7,Budget!$F131,Budget!$D131))</f>
        <v>98000</v>
      </c>
      <c r="L44" s="446">
        <f>IF(L$1&gt;80,Budget!$H131,IF(L$1&gt;'NWGC - SCENARIOS'!$D$7,Budget!$F131,Budget!$D131))</f>
        <v>98000</v>
      </c>
      <c r="M44" s="446">
        <f>IF(M$1&gt;80,Budget!$H131,IF(M$1&gt;'NWGC - SCENARIOS'!$D$7,Budget!$F131,Budget!$D131))</f>
        <v>98000</v>
      </c>
      <c r="N44" s="446">
        <f>IF(N$1&gt;80,Budget!$H131,IF(N$1&gt;'NWGC - SCENARIOS'!$D$7,Budget!$F131,Budget!$D131))</f>
        <v>98000</v>
      </c>
      <c r="O44" s="446">
        <f>IF(O$1&gt;80,Budget!$H131,IF(O$1&gt;'NWGC - SCENARIOS'!$D$7,Budget!$F131,Budget!$D131))</f>
        <v>98000</v>
      </c>
      <c r="P44" s="446">
        <f>IF(P$1&gt;80,Budget!$H131,IF(P$1&gt;'NWGC - SCENARIOS'!$D$7,Budget!$F131,Budget!$D131))</f>
        <v>98000</v>
      </c>
      <c r="Q44" s="446">
        <f>IF(Q$1&gt;80,Budget!$H131,IF(Q$1&gt;'NWGC - SCENARIOS'!$D$7,Budget!$F131,Budget!$D131))</f>
        <v>98000</v>
      </c>
      <c r="R44" s="446">
        <f>IF(R$1&gt;80,Budget!$H131,IF(R$1&gt;'NWGC - SCENARIOS'!$D$7,Budget!$F131,Budget!$D131))</f>
        <v>98000</v>
      </c>
      <c r="S44" s="446">
        <f>IF(S$1&gt;80,Budget!$H131,IF(S$1&gt;'NWGC - SCENARIOS'!$D$7,Budget!$F131,Budget!$D131))</f>
        <v>98000</v>
      </c>
      <c r="T44" s="446">
        <f>IF(T$1&gt;80,Budget!$H131,IF(T$1&gt;'NWGC - SCENARIOS'!$D$7,Budget!$F131,Budget!$D131))</f>
        <v>98000</v>
      </c>
      <c r="U44" s="446">
        <f>IF(U$1&gt;80,Budget!$H131,IF(U$1&gt;'NWGC - SCENARIOS'!$D$7,Budget!$F131,Budget!$D131))</f>
        <v>98000</v>
      </c>
      <c r="V44" s="446">
        <f>IF(V$1&gt;80,Budget!$H131,IF(V$1&gt;'NWGC - SCENARIOS'!$D$7,Budget!$F131,Budget!$D131))</f>
        <v>98000</v>
      </c>
      <c r="W44" s="446">
        <f>IF(W$1&gt;80,Budget!$H131,IF(W$1&gt;'NWGC - SCENARIOS'!$D$7,Budget!$F131,Budget!$D131))</f>
        <v>98000</v>
      </c>
      <c r="X44" s="446">
        <f>IF(X$1&gt;80,Budget!$H131,IF(X$1&gt;'NWGC - SCENARIOS'!$D$7,Budget!$F131,Budget!$D131))</f>
        <v>98000</v>
      </c>
      <c r="Y44" s="446">
        <f>IF(Y$1&gt;80,Budget!$H131,IF(Y$1&gt;'NWGC - SCENARIOS'!$D$7,Budget!$F131,Budget!$D131))</f>
        <v>98000</v>
      </c>
      <c r="Z44" s="446">
        <f>IF(Z$1&gt;80,Budget!$H131,IF(Z$1&gt;'NWGC - SCENARIOS'!$D$7,Budget!$F131,Budget!$D131))</f>
        <v>98000</v>
      </c>
      <c r="AA44" s="446">
        <f>IF(AA$1&gt;80,Budget!$H131,IF(AA$1&gt;'NWGC - SCENARIOS'!$D$7,Budget!$F131,Budget!$D131))</f>
        <v>98000</v>
      </c>
      <c r="AB44" s="446">
        <f>IF(AB$1&gt;80,Budget!$H131,IF(AB$1&gt;'NWGC - SCENARIOS'!$D$7,Budget!$F131,Budget!$D131))</f>
        <v>98000</v>
      </c>
      <c r="AC44" s="446">
        <f>IF(AC$1&gt;80,Budget!$H131,IF(AC$1&gt;'NWGC - SCENARIOS'!$D$7,Budget!$F131,Budget!$D131))</f>
        <v>98000</v>
      </c>
      <c r="AD44" s="446">
        <f>IF(AD$1&gt;80,Budget!$H131,IF(AD$1&gt;'NWGC - SCENARIOS'!$D$7,Budget!$F131,Budget!$D131))</f>
        <v>98000</v>
      </c>
      <c r="AE44" s="446">
        <f>IF(AE$1&gt;80,Budget!$H131,IF(AE$1&gt;'NWGC - SCENARIOS'!$D$7,Budget!$F131,Budget!$D131))</f>
        <v>98000</v>
      </c>
      <c r="AF44" s="446">
        <f>IF(AF$1&gt;80,Budget!$H131,IF(AF$1&gt;'NWGC - SCENARIOS'!$D$7,Budget!$F131,Budget!$D131))</f>
        <v>98000</v>
      </c>
      <c r="AG44" s="446">
        <f>IF(AG$1&gt;80,Budget!$H131,IF(AG$1&gt;'NWGC - SCENARIOS'!$D$7,Budget!$F131,Budget!$D131))</f>
        <v>98000</v>
      </c>
      <c r="AH44" s="446">
        <f>IF(AH$1&gt;80,Budget!$H131,IF(AH$1&gt;'NWGC - SCENARIOS'!$D$7,Budget!$F131,Budget!$D131))</f>
        <v>98000</v>
      </c>
      <c r="AI44" s="446">
        <f>IF(AI$1&gt;80,Budget!$H131,IF(AI$1&gt;'NWGC - SCENARIOS'!$D$7,Budget!$F131,Budget!$D131))</f>
        <v>98000</v>
      </c>
      <c r="AJ44" s="446">
        <f>IF(AJ$1&gt;80,Budget!$H131,IF(AJ$1&gt;'NWGC - SCENARIOS'!$D$7,Budget!$F131,Budget!$D131))</f>
        <v>98000</v>
      </c>
      <c r="AK44" s="446">
        <f>IF(AK$1&gt;80,Budget!$H131,IF(AK$1&gt;'NWGC - SCENARIOS'!$D$7,Budget!$F131,Budget!$D131))</f>
        <v>98000</v>
      </c>
      <c r="AL44" s="446">
        <f>IF(AL$1&gt;80,Budget!$H131,IF(AL$1&gt;'NWGC - SCENARIOS'!$D$7,Budget!$F131,Budget!$D131))</f>
        <v>98000</v>
      </c>
      <c r="AM44" s="446">
        <f>IF(AM$1&gt;80,Budget!$H131,IF(AM$1&gt;'NWGC - SCENARIOS'!$D$7,Budget!$F131,Budget!$D131))</f>
        <v>98000</v>
      </c>
      <c r="AN44" s="446">
        <f>IF(AN$1&gt;80,Budget!$H131,IF(AN$1&gt;'NWGC - SCENARIOS'!$D$7,Budget!$F131,Budget!$D131))</f>
        <v>98000</v>
      </c>
      <c r="AO44" s="446">
        <f>IF(AO$1&gt;80,Budget!$H131,IF(AO$1&gt;'NWGC - SCENARIOS'!$D$7,Budget!$F131,Budget!$D131))</f>
        <v>98000</v>
      </c>
      <c r="AP44" s="446">
        <f>IF(AP$1&gt;80,Budget!$H131,IF(AP$1&gt;'NWGC - SCENARIOS'!$D$7,Budget!$F131,Budget!$D131))</f>
        <v>98000</v>
      </c>
      <c r="AQ44" s="446">
        <f>IF(AQ$1&gt;80,Budget!$H131,IF(AQ$1&gt;'NWGC - SCENARIOS'!$D$7,Budget!$F131,Budget!$D131))</f>
        <v>98000</v>
      </c>
      <c r="AR44" s="446">
        <f>IF(AR$1&gt;80,Budget!$H131,IF(AR$1&gt;'NWGC - SCENARIOS'!$D$7,Budget!$F131,Budget!$D131))</f>
        <v>98000</v>
      </c>
      <c r="AS44" s="446">
        <f>IF(AS$1&gt;80,Budget!$H131,IF(AS$1&gt;'NWGC - SCENARIOS'!$D$7,Budget!$F131,Budget!$D131))</f>
        <v>98000</v>
      </c>
      <c r="AT44" s="446">
        <f>IF(AT$1&gt;80,Budget!$H131,IF(AT$1&gt;'NWGC - SCENARIOS'!$D$7,Budget!$F131,Budget!$D131))</f>
        <v>98000</v>
      </c>
      <c r="AU44" s="446">
        <f>IF(AU$1&gt;80,Budget!$H131,IF(AU$1&gt;'NWGC - SCENARIOS'!$D$7,Budget!$F131,Budget!$D131))</f>
        <v>98000</v>
      </c>
      <c r="AV44" s="446">
        <f>IF(AV$1&gt;80,Budget!$H131,IF(AV$1&gt;'NWGC - SCENARIOS'!$D$7,Budget!$F131,Budget!$D131))</f>
        <v>98000</v>
      </c>
      <c r="AW44" s="446">
        <f>IF(AW$1&gt;80,Budget!$H131,IF(AW$1&gt;'NWGC - SCENARIOS'!$D$7,Budget!$F131,Budget!$D131))</f>
        <v>98000</v>
      </c>
      <c r="AX44" s="446">
        <f>IF(AX$1&gt;80,Budget!$H131,IF(AX$1&gt;'NWGC - SCENARIOS'!$D$7,Budget!$F131,Budget!$D131))</f>
        <v>98000</v>
      </c>
      <c r="AY44" s="446">
        <f>IF(AY$1&gt;80,Budget!$H131,IF(AY$1&gt;'NWGC - SCENARIOS'!$D$7,Budget!$F131,Budget!$D131))</f>
        <v>98000</v>
      </c>
      <c r="AZ44" s="446">
        <f>IF(AZ$1&gt;80,Budget!$H131,IF(AZ$1&gt;'NWGC - SCENARIOS'!$D$7,Budget!$F131,Budget!$D131))</f>
        <v>98000</v>
      </c>
      <c r="BA44" s="446">
        <f>IF(BA$1&gt;80,Budget!$H131,IF(BA$1&gt;'NWGC - SCENARIOS'!$D$7,Budget!$F131,Budget!$D131))</f>
        <v>98000</v>
      </c>
      <c r="BB44" s="446">
        <f>IF(BB$1&gt;80,Budget!$H131,IF(BB$1&gt;'NWGC - SCENARIOS'!$D$7,Budget!$F131,Budget!$D131))</f>
        <v>98000</v>
      </c>
      <c r="BC44" s="446">
        <f>IF(BC$1&gt;80,Budget!$H131,IF(BC$1&gt;'NWGC - SCENARIOS'!$D$7,Budget!$F131,Budget!$D131))</f>
        <v>98000</v>
      </c>
      <c r="BD44" s="446">
        <f>IF(BD$1&gt;80,Budget!$H131,IF(BD$1&gt;'NWGC - SCENARIOS'!$D$7,Budget!$F131,Budget!$D131))</f>
        <v>98000</v>
      </c>
      <c r="BE44" s="446">
        <f>IF(BE$1&gt;80,Budget!$H131,IF(BE$1&gt;'NWGC - SCENARIOS'!$D$7,Budget!$F131,Budget!$D131))</f>
        <v>98000</v>
      </c>
      <c r="BF44" s="446">
        <f>IF(BF$1&gt;80,Budget!$H131,IF(BF$1&gt;'NWGC - SCENARIOS'!$D$7,Budget!$F131,Budget!$D131))</f>
        <v>98000</v>
      </c>
    </row>
    <row r="45" spans="1:58" ht="14.4" x14ac:dyDescent="0.3">
      <c r="A45" s="100" t="str">
        <f>Budget!B132</f>
        <v>Food</v>
      </c>
      <c r="B45" s="446">
        <f>IF($B$1&gt;'NWGC - SCENARIOS'!$D$7,Budget!$F132,Budget!$D132)</f>
        <v>308000</v>
      </c>
      <c r="C45" s="446">
        <f>IF(C$1&gt;80,Budget!$H132,IF(C$1&gt;'NWGC - SCENARIOS'!$D$7,Budget!$F132,Budget!$D132))</f>
        <v>308000</v>
      </c>
      <c r="D45" s="446">
        <f>IF(D$1&gt;80,Budget!$H132,IF(D$1&gt;'NWGC - SCENARIOS'!$D$7,Budget!$F132,Budget!$D132))</f>
        <v>308000</v>
      </c>
      <c r="E45" s="446">
        <f>IF(E$1&gt;80,Budget!$H132,IF(E$1&gt;'NWGC - SCENARIOS'!$D$7,Budget!$F132,Budget!$D132))</f>
        <v>308000</v>
      </c>
      <c r="F45" s="446">
        <f>IF(F$1&gt;80,Budget!$H132,IF(F$1&gt;'NWGC - SCENARIOS'!$D$7,Budget!$F132,Budget!$D132))</f>
        <v>308000</v>
      </c>
      <c r="G45" s="446">
        <f>IF(G$1&gt;80,Budget!$H132,IF(G$1&gt;'NWGC - SCENARIOS'!$D$7,Budget!$F132,Budget!$D132))</f>
        <v>308000</v>
      </c>
      <c r="H45" s="446">
        <f>IF(H$1&gt;80,Budget!$H132,IF(H$1&gt;'NWGC - SCENARIOS'!$D$7,Budget!$F132,Budget!$D132))</f>
        <v>308000</v>
      </c>
      <c r="I45" s="446">
        <f>IF(I$1&gt;80,Budget!$H132,IF(I$1&gt;'NWGC - SCENARIOS'!$D$7,Budget!$F132,Budget!$D132))</f>
        <v>308000</v>
      </c>
      <c r="J45" s="446">
        <f>IF(J$1&gt;80,Budget!$H132,IF(J$1&gt;'NWGC - SCENARIOS'!$D$7,Budget!$F132,Budget!$D132))</f>
        <v>308000</v>
      </c>
      <c r="K45" s="446">
        <f>IF(K$1&gt;80,Budget!$H132,IF(K$1&gt;'NWGC - SCENARIOS'!$D$7,Budget!$F132,Budget!$D132))</f>
        <v>308000</v>
      </c>
      <c r="L45" s="446">
        <f>IF(L$1&gt;80,Budget!$H132,IF(L$1&gt;'NWGC - SCENARIOS'!$D$7,Budget!$F132,Budget!$D132))</f>
        <v>308000</v>
      </c>
      <c r="M45" s="446">
        <f>IF(M$1&gt;80,Budget!$H132,IF(M$1&gt;'NWGC - SCENARIOS'!$D$7,Budget!$F132,Budget!$D132))</f>
        <v>308000</v>
      </c>
      <c r="N45" s="446">
        <f>IF(N$1&gt;80,Budget!$H132,IF(N$1&gt;'NWGC - SCENARIOS'!$D$7,Budget!$F132,Budget!$D132))</f>
        <v>308000</v>
      </c>
      <c r="O45" s="446">
        <f>IF(O$1&gt;80,Budget!$H132,IF(O$1&gt;'NWGC - SCENARIOS'!$D$7,Budget!$F132,Budget!$D132))</f>
        <v>308000</v>
      </c>
      <c r="P45" s="446">
        <f>IF(P$1&gt;80,Budget!$H132,IF(P$1&gt;'NWGC - SCENARIOS'!$D$7,Budget!$F132,Budget!$D132))</f>
        <v>308000</v>
      </c>
      <c r="Q45" s="446">
        <f>IF(Q$1&gt;80,Budget!$H132,IF(Q$1&gt;'NWGC - SCENARIOS'!$D$7,Budget!$F132,Budget!$D132))</f>
        <v>308000</v>
      </c>
      <c r="R45" s="446">
        <f>IF(R$1&gt;80,Budget!$H132,IF(R$1&gt;'NWGC - SCENARIOS'!$D$7,Budget!$F132,Budget!$D132))</f>
        <v>308000</v>
      </c>
      <c r="S45" s="446">
        <f>IF(S$1&gt;80,Budget!$H132,IF(S$1&gt;'NWGC - SCENARIOS'!$D$7,Budget!$F132,Budget!$D132))</f>
        <v>308000</v>
      </c>
      <c r="T45" s="446">
        <f>IF(T$1&gt;80,Budget!$H132,IF(T$1&gt;'NWGC - SCENARIOS'!$D$7,Budget!$F132,Budget!$D132))</f>
        <v>308000</v>
      </c>
      <c r="U45" s="446">
        <f>IF(U$1&gt;80,Budget!$H132,IF(U$1&gt;'NWGC - SCENARIOS'!$D$7,Budget!$F132,Budget!$D132))</f>
        <v>308000</v>
      </c>
      <c r="V45" s="446">
        <f>IF(V$1&gt;80,Budget!$H132,IF(V$1&gt;'NWGC - SCENARIOS'!$D$7,Budget!$F132,Budget!$D132))</f>
        <v>308000</v>
      </c>
      <c r="W45" s="446">
        <f>IF(W$1&gt;80,Budget!$H132,IF(W$1&gt;'NWGC - SCENARIOS'!$D$7,Budget!$F132,Budget!$D132))</f>
        <v>308000</v>
      </c>
      <c r="X45" s="446">
        <f>IF(X$1&gt;80,Budget!$H132,IF(X$1&gt;'NWGC - SCENARIOS'!$D$7,Budget!$F132,Budget!$D132))</f>
        <v>308000</v>
      </c>
      <c r="Y45" s="446">
        <f>IF(Y$1&gt;80,Budget!$H132,IF(Y$1&gt;'NWGC - SCENARIOS'!$D$7,Budget!$F132,Budget!$D132))</f>
        <v>308000</v>
      </c>
      <c r="Z45" s="446">
        <f>IF(Z$1&gt;80,Budget!$H132,IF(Z$1&gt;'NWGC - SCENARIOS'!$D$7,Budget!$F132,Budget!$D132))</f>
        <v>308000</v>
      </c>
      <c r="AA45" s="446">
        <f>IF(AA$1&gt;80,Budget!$H132,IF(AA$1&gt;'NWGC - SCENARIOS'!$D$7,Budget!$F132,Budget!$D132))</f>
        <v>308000</v>
      </c>
      <c r="AB45" s="446">
        <f>IF(AB$1&gt;80,Budget!$H132,IF(AB$1&gt;'NWGC - SCENARIOS'!$D$7,Budget!$F132,Budget!$D132))</f>
        <v>308000</v>
      </c>
      <c r="AC45" s="446">
        <f>IF(AC$1&gt;80,Budget!$H132,IF(AC$1&gt;'NWGC - SCENARIOS'!$D$7,Budget!$F132,Budget!$D132))</f>
        <v>308000</v>
      </c>
      <c r="AD45" s="446">
        <f>IF(AD$1&gt;80,Budget!$H132,IF(AD$1&gt;'NWGC - SCENARIOS'!$D$7,Budget!$F132,Budget!$D132))</f>
        <v>308000</v>
      </c>
      <c r="AE45" s="446">
        <f>IF(AE$1&gt;80,Budget!$H132,IF(AE$1&gt;'NWGC - SCENARIOS'!$D$7,Budget!$F132,Budget!$D132))</f>
        <v>308000</v>
      </c>
      <c r="AF45" s="446">
        <f>IF(AF$1&gt;80,Budget!$H132,IF(AF$1&gt;'NWGC - SCENARIOS'!$D$7,Budget!$F132,Budget!$D132))</f>
        <v>308000</v>
      </c>
      <c r="AG45" s="446">
        <f>IF(AG$1&gt;80,Budget!$H132,IF(AG$1&gt;'NWGC - SCENARIOS'!$D$7,Budget!$F132,Budget!$D132))</f>
        <v>308000</v>
      </c>
      <c r="AH45" s="446">
        <f>IF(AH$1&gt;80,Budget!$H132,IF(AH$1&gt;'NWGC - SCENARIOS'!$D$7,Budget!$F132,Budget!$D132))</f>
        <v>308000</v>
      </c>
      <c r="AI45" s="446">
        <f>IF(AI$1&gt;80,Budget!$H132,IF(AI$1&gt;'NWGC - SCENARIOS'!$D$7,Budget!$F132,Budget!$D132))</f>
        <v>308000</v>
      </c>
      <c r="AJ45" s="446">
        <f>IF(AJ$1&gt;80,Budget!$H132,IF(AJ$1&gt;'NWGC - SCENARIOS'!$D$7,Budget!$F132,Budget!$D132))</f>
        <v>308000</v>
      </c>
      <c r="AK45" s="446">
        <f>IF(AK$1&gt;80,Budget!$H132,IF(AK$1&gt;'NWGC - SCENARIOS'!$D$7,Budget!$F132,Budget!$D132))</f>
        <v>308000</v>
      </c>
      <c r="AL45" s="446">
        <f>IF(AL$1&gt;80,Budget!$H132,IF(AL$1&gt;'NWGC - SCENARIOS'!$D$7,Budget!$F132,Budget!$D132))</f>
        <v>308000</v>
      </c>
      <c r="AM45" s="446">
        <f>IF(AM$1&gt;80,Budget!$H132,IF(AM$1&gt;'NWGC - SCENARIOS'!$D$7,Budget!$F132,Budget!$D132))</f>
        <v>308000</v>
      </c>
      <c r="AN45" s="446">
        <f>IF(AN$1&gt;80,Budget!$H132,IF(AN$1&gt;'NWGC - SCENARIOS'!$D$7,Budget!$F132,Budget!$D132))</f>
        <v>308000</v>
      </c>
      <c r="AO45" s="446">
        <f>IF(AO$1&gt;80,Budget!$H132,IF(AO$1&gt;'NWGC - SCENARIOS'!$D$7,Budget!$F132,Budget!$D132))</f>
        <v>308000</v>
      </c>
      <c r="AP45" s="446">
        <f>IF(AP$1&gt;80,Budget!$H132,IF(AP$1&gt;'NWGC - SCENARIOS'!$D$7,Budget!$F132,Budget!$D132))</f>
        <v>308000</v>
      </c>
      <c r="AQ45" s="446">
        <f>IF(AQ$1&gt;80,Budget!$H132,IF(AQ$1&gt;'NWGC - SCENARIOS'!$D$7,Budget!$F132,Budget!$D132))</f>
        <v>308000</v>
      </c>
      <c r="AR45" s="446">
        <f>IF(AR$1&gt;80,Budget!$H132,IF(AR$1&gt;'NWGC - SCENARIOS'!$D$7,Budget!$F132,Budget!$D132))</f>
        <v>308000</v>
      </c>
      <c r="AS45" s="446">
        <f>IF(AS$1&gt;80,Budget!$H132,IF(AS$1&gt;'NWGC - SCENARIOS'!$D$7,Budget!$F132,Budget!$D132))</f>
        <v>308000</v>
      </c>
      <c r="AT45" s="446">
        <f>IF(AT$1&gt;80,Budget!$H132,IF(AT$1&gt;'NWGC - SCENARIOS'!$D$7,Budget!$F132,Budget!$D132))</f>
        <v>308000</v>
      </c>
      <c r="AU45" s="446">
        <f>IF(AU$1&gt;80,Budget!$H132,IF(AU$1&gt;'NWGC - SCENARIOS'!$D$7,Budget!$F132,Budget!$D132))</f>
        <v>308000</v>
      </c>
      <c r="AV45" s="446">
        <f>IF(AV$1&gt;80,Budget!$H132,IF(AV$1&gt;'NWGC - SCENARIOS'!$D$7,Budget!$F132,Budget!$D132))</f>
        <v>308000</v>
      </c>
      <c r="AW45" s="446">
        <f>IF(AW$1&gt;80,Budget!$H132,IF(AW$1&gt;'NWGC - SCENARIOS'!$D$7,Budget!$F132,Budget!$D132))</f>
        <v>308000</v>
      </c>
      <c r="AX45" s="446">
        <f>IF(AX$1&gt;80,Budget!$H132,IF(AX$1&gt;'NWGC - SCENARIOS'!$D$7,Budget!$F132,Budget!$D132))</f>
        <v>308000</v>
      </c>
      <c r="AY45" s="446">
        <f>IF(AY$1&gt;80,Budget!$H132,IF(AY$1&gt;'NWGC - SCENARIOS'!$D$7,Budget!$F132,Budget!$D132))</f>
        <v>308000</v>
      </c>
      <c r="AZ45" s="446">
        <f>IF(AZ$1&gt;80,Budget!$H132,IF(AZ$1&gt;'NWGC - SCENARIOS'!$D$7,Budget!$F132,Budget!$D132))</f>
        <v>308000</v>
      </c>
      <c r="BA45" s="446">
        <f>IF(BA$1&gt;80,Budget!$H132,IF(BA$1&gt;'NWGC - SCENARIOS'!$D$7,Budget!$F132,Budget!$D132))</f>
        <v>308000</v>
      </c>
      <c r="BB45" s="446">
        <f>IF(BB$1&gt;80,Budget!$H132,IF(BB$1&gt;'NWGC - SCENARIOS'!$D$7,Budget!$F132,Budget!$D132))</f>
        <v>308000</v>
      </c>
      <c r="BC45" s="446">
        <f>IF(BC$1&gt;80,Budget!$H132,IF(BC$1&gt;'NWGC - SCENARIOS'!$D$7,Budget!$F132,Budget!$D132))</f>
        <v>308000</v>
      </c>
      <c r="BD45" s="446">
        <f>IF(BD$1&gt;80,Budget!$H132,IF(BD$1&gt;'NWGC - SCENARIOS'!$D$7,Budget!$F132,Budget!$D132))</f>
        <v>308000</v>
      </c>
      <c r="BE45" s="446">
        <f>IF(BE$1&gt;80,Budget!$H132,IF(BE$1&gt;'NWGC - SCENARIOS'!$D$7,Budget!$F132,Budget!$D132))</f>
        <v>308000</v>
      </c>
      <c r="BF45" s="446">
        <f>IF(BF$1&gt;80,Budget!$H132,IF(BF$1&gt;'NWGC - SCENARIOS'!$D$7,Budget!$F132,Budget!$D132))</f>
        <v>308000</v>
      </c>
    </row>
    <row r="46" spans="1:58" ht="14.4" x14ac:dyDescent="0.3">
      <c r="A46" s="100" t="str">
        <f>Budget!B133</f>
        <v>Health</v>
      </c>
      <c r="B46" s="446">
        <f>IF($B$1&gt;'NWGC - SCENARIOS'!$D$7,Budget!$F133,Budget!$D133)</f>
        <v>203000</v>
      </c>
      <c r="C46" s="446">
        <f>IF(C$1&gt;80,Budget!$H133,IF(C$1&gt;'NWGC - SCENARIOS'!$D$7,Budget!$F133,Budget!$D133))</f>
        <v>203000</v>
      </c>
      <c r="D46" s="446">
        <f>IF(D$1&gt;80,Budget!$H133,IF(D$1&gt;'NWGC - SCENARIOS'!$D$7,Budget!$F133,Budget!$D133))</f>
        <v>203000</v>
      </c>
      <c r="E46" s="446">
        <f>IF(E$1&gt;80,Budget!$H133,IF(E$1&gt;'NWGC - SCENARIOS'!$D$7,Budget!$F133,Budget!$D133))</f>
        <v>203000</v>
      </c>
      <c r="F46" s="446">
        <f>IF(F$1&gt;80,Budget!$H133,IF(F$1&gt;'NWGC - SCENARIOS'!$D$7,Budget!$F133,Budget!$D133))</f>
        <v>203000</v>
      </c>
      <c r="G46" s="446">
        <f>IF(G$1&gt;80,Budget!$H133,IF(G$1&gt;'NWGC - SCENARIOS'!$D$7,Budget!$F133,Budget!$D133))</f>
        <v>203000</v>
      </c>
      <c r="H46" s="446">
        <f>IF(H$1&gt;80,Budget!$H133,IF(H$1&gt;'NWGC - SCENARIOS'!$D$7,Budget!$F133,Budget!$D133))</f>
        <v>203000</v>
      </c>
      <c r="I46" s="446">
        <f>IF(I$1&gt;80,Budget!$H133,IF(I$1&gt;'NWGC - SCENARIOS'!$D$7,Budget!$F133,Budget!$D133))</f>
        <v>203000</v>
      </c>
      <c r="J46" s="446">
        <f>IF(J$1&gt;80,Budget!$H133,IF(J$1&gt;'NWGC - SCENARIOS'!$D$7,Budget!$F133,Budget!$D133))</f>
        <v>203000</v>
      </c>
      <c r="K46" s="446">
        <f>IF(K$1&gt;80,Budget!$H133,IF(K$1&gt;'NWGC - SCENARIOS'!$D$7,Budget!$F133,Budget!$D133))</f>
        <v>203000</v>
      </c>
      <c r="L46" s="446">
        <f>IF(L$1&gt;80,Budget!$H133,IF(L$1&gt;'NWGC - SCENARIOS'!$D$7,Budget!$F133,Budget!$D133))</f>
        <v>203000</v>
      </c>
      <c r="M46" s="446">
        <f>IF(M$1&gt;80,Budget!$H133,IF(M$1&gt;'NWGC - SCENARIOS'!$D$7,Budget!$F133,Budget!$D133))</f>
        <v>203000</v>
      </c>
      <c r="N46" s="446">
        <f>IF(N$1&gt;80,Budget!$H133,IF(N$1&gt;'NWGC - SCENARIOS'!$D$7,Budget!$F133,Budget!$D133))</f>
        <v>203000</v>
      </c>
      <c r="O46" s="446">
        <f>IF(O$1&gt;80,Budget!$H133,IF(O$1&gt;'NWGC - SCENARIOS'!$D$7,Budget!$F133,Budget!$D133))</f>
        <v>203000</v>
      </c>
      <c r="P46" s="446">
        <f>IF(P$1&gt;80,Budget!$H133,IF(P$1&gt;'NWGC - SCENARIOS'!$D$7,Budget!$F133,Budget!$D133))</f>
        <v>203000</v>
      </c>
      <c r="Q46" s="446">
        <f>IF(Q$1&gt;80,Budget!$H133,IF(Q$1&gt;'NWGC - SCENARIOS'!$D$7,Budget!$F133,Budget!$D133))</f>
        <v>203000</v>
      </c>
      <c r="R46" s="446">
        <f>IF(R$1&gt;80,Budget!$H133,IF(R$1&gt;'NWGC - SCENARIOS'!$D$7,Budget!$F133,Budget!$D133))</f>
        <v>203000</v>
      </c>
      <c r="S46" s="446">
        <f>IF(S$1&gt;80,Budget!$H133,IF(S$1&gt;'NWGC - SCENARIOS'!$D$7,Budget!$F133,Budget!$D133))</f>
        <v>203000</v>
      </c>
      <c r="T46" s="446">
        <f>IF(T$1&gt;80,Budget!$H133,IF(T$1&gt;'NWGC - SCENARIOS'!$D$7,Budget!$F133,Budget!$D133))</f>
        <v>203000</v>
      </c>
      <c r="U46" s="446">
        <f>IF(U$1&gt;80,Budget!$H133,IF(U$1&gt;'NWGC - SCENARIOS'!$D$7,Budget!$F133,Budget!$D133))</f>
        <v>203000</v>
      </c>
      <c r="V46" s="446">
        <f>IF(V$1&gt;80,Budget!$H133,IF(V$1&gt;'NWGC - SCENARIOS'!$D$7,Budget!$F133,Budget!$D133))</f>
        <v>203000</v>
      </c>
      <c r="W46" s="446">
        <f>IF(W$1&gt;80,Budget!$H133,IF(W$1&gt;'NWGC - SCENARIOS'!$D$7,Budget!$F133,Budget!$D133))</f>
        <v>203000</v>
      </c>
      <c r="X46" s="446">
        <f>IF(X$1&gt;80,Budget!$H133,IF(X$1&gt;'NWGC - SCENARIOS'!$D$7,Budget!$F133,Budget!$D133))</f>
        <v>203000</v>
      </c>
      <c r="Y46" s="446">
        <f>IF(Y$1&gt;80,Budget!$H133,IF(Y$1&gt;'NWGC - SCENARIOS'!$D$7,Budget!$F133,Budget!$D133))</f>
        <v>203000</v>
      </c>
      <c r="Z46" s="446">
        <f>IF(Z$1&gt;80,Budget!$H133,IF(Z$1&gt;'NWGC - SCENARIOS'!$D$7,Budget!$F133,Budget!$D133))</f>
        <v>203000</v>
      </c>
      <c r="AA46" s="446">
        <f>IF(AA$1&gt;80,Budget!$H133,IF(AA$1&gt;'NWGC - SCENARIOS'!$D$7,Budget!$F133,Budget!$D133))</f>
        <v>203000</v>
      </c>
      <c r="AB46" s="446">
        <f>IF(AB$1&gt;80,Budget!$H133,IF(AB$1&gt;'NWGC - SCENARIOS'!$D$7,Budget!$F133,Budget!$D133))</f>
        <v>203000</v>
      </c>
      <c r="AC46" s="446">
        <f>IF(AC$1&gt;80,Budget!$H133,IF(AC$1&gt;'NWGC - SCENARIOS'!$D$7,Budget!$F133,Budget!$D133))</f>
        <v>203000</v>
      </c>
      <c r="AD46" s="446">
        <f>IF(AD$1&gt;80,Budget!$H133,IF(AD$1&gt;'NWGC - SCENARIOS'!$D$7,Budget!$F133,Budget!$D133))</f>
        <v>203000</v>
      </c>
      <c r="AE46" s="446">
        <f>IF(AE$1&gt;80,Budget!$H133,IF(AE$1&gt;'NWGC - SCENARIOS'!$D$7,Budget!$F133,Budget!$D133))</f>
        <v>203000</v>
      </c>
      <c r="AF46" s="446">
        <f>IF(AF$1&gt;80,Budget!$H133,IF(AF$1&gt;'NWGC - SCENARIOS'!$D$7,Budget!$F133,Budget!$D133))</f>
        <v>203000</v>
      </c>
      <c r="AG46" s="446">
        <f>IF(AG$1&gt;80,Budget!$H133,IF(AG$1&gt;'NWGC - SCENARIOS'!$D$7,Budget!$F133,Budget!$D133))</f>
        <v>203000</v>
      </c>
      <c r="AH46" s="446">
        <f>IF(AH$1&gt;80,Budget!$H133,IF(AH$1&gt;'NWGC - SCENARIOS'!$D$7,Budget!$F133,Budget!$D133))</f>
        <v>203000</v>
      </c>
      <c r="AI46" s="446">
        <f>IF(AI$1&gt;80,Budget!$H133,IF(AI$1&gt;'NWGC - SCENARIOS'!$D$7,Budget!$F133,Budget!$D133))</f>
        <v>203000</v>
      </c>
      <c r="AJ46" s="446">
        <f>IF(AJ$1&gt;80,Budget!$H133,IF(AJ$1&gt;'NWGC - SCENARIOS'!$D$7,Budget!$F133,Budget!$D133))</f>
        <v>203000</v>
      </c>
      <c r="AK46" s="446">
        <f>IF(AK$1&gt;80,Budget!$H133,IF(AK$1&gt;'NWGC - SCENARIOS'!$D$7,Budget!$F133,Budget!$D133))</f>
        <v>203000</v>
      </c>
      <c r="AL46" s="446">
        <f>IF(AL$1&gt;80,Budget!$H133,IF(AL$1&gt;'NWGC - SCENARIOS'!$D$7,Budget!$F133,Budget!$D133))</f>
        <v>203000</v>
      </c>
      <c r="AM46" s="446">
        <f>IF(AM$1&gt;80,Budget!$H133,IF(AM$1&gt;'NWGC - SCENARIOS'!$D$7,Budget!$F133,Budget!$D133))</f>
        <v>203000</v>
      </c>
      <c r="AN46" s="446">
        <f>IF(AN$1&gt;80,Budget!$H133,IF(AN$1&gt;'NWGC - SCENARIOS'!$D$7,Budget!$F133,Budget!$D133))</f>
        <v>203000</v>
      </c>
      <c r="AO46" s="446">
        <f>IF(AO$1&gt;80,Budget!$H133,IF(AO$1&gt;'NWGC - SCENARIOS'!$D$7,Budget!$F133,Budget!$D133))</f>
        <v>203000</v>
      </c>
      <c r="AP46" s="446">
        <f>IF(AP$1&gt;80,Budget!$H133,IF(AP$1&gt;'NWGC - SCENARIOS'!$D$7,Budget!$F133,Budget!$D133))</f>
        <v>203000</v>
      </c>
      <c r="AQ46" s="446">
        <f>IF(AQ$1&gt;80,Budget!$H133,IF(AQ$1&gt;'NWGC - SCENARIOS'!$D$7,Budget!$F133,Budget!$D133))</f>
        <v>203000</v>
      </c>
      <c r="AR46" s="446">
        <f>IF(AR$1&gt;80,Budget!$H133,IF(AR$1&gt;'NWGC - SCENARIOS'!$D$7,Budget!$F133,Budget!$D133))</f>
        <v>203000</v>
      </c>
      <c r="AS46" s="446">
        <f>IF(AS$1&gt;80,Budget!$H133,IF(AS$1&gt;'NWGC - SCENARIOS'!$D$7,Budget!$F133,Budget!$D133))</f>
        <v>203000</v>
      </c>
      <c r="AT46" s="446">
        <f>IF(AT$1&gt;80,Budget!$H133,IF(AT$1&gt;'NWGC - SCENARIOS'!$D$7,Budget!$F133,Budget!$D133))</f>
        <v>203000</v>
      </c>
      <c r="AU46" s="446">
        <f>IF(AU$1&gt;80,Budget!$H133,IF(AU$1&gt;'NWGC - SCENARIOS'!$D$7,Budget!$F133,Budget!$D133))</f>
        <v>203000</v>
      </c>
      <c r="AV46" s="446">
        <f>IF(AV$1&gt;80,Budget!$H133,IF(AV$1&gt;'NWGC - SCENARIOS'!$D$7,Budget!$F133,Budget!$D133))</f>
        <v>203000</v>
      </c>
      <c r="AW46" s="446">
        <f>IF(AW$1&gt;80,Budget!$H133,IF(AW$1&gt;'NWGC - SCENARIOS'!$D$7,Budget!$F133,Budget!$D133))</f>
        <v>203000</v>
      </c>
      <c r="AX46" s="446">
        <f>IF(AX$1&gt;80,Budget!$H133,IF(AX$1&gt;'NWGC - SCENARIOS'!$D$7,Budget!$F133,Budget!$D133))</f>
        <v>203000</v>
      </c>
      <c r="AY46" s="446">
        <f>IF(AY$1&gt;80,Budget!$H133,IF(AY$1&gt;'NWGC - SCENARIOS'!$D$7,Budget!$F133,Budget!$D133))</f>
        <v>203000</v>
      </c>
      <c r="AZ46" s="446">
        <f>IF(AZ$1&gt;80,Budget!$H133,IF(AZ$1&gt;'NWGC - SCENARIOS'!$D$7,Budget!$F133,Budget!$D133))</f>
        <v>203000</v>
      </c>
      <c r="BA46" s="446">
        <f>IF(BA$1&gt;80,Budget!$H133,IF(BA$1&gt;'NWGC - SCENARIOS'!$D$7,Budget!$F133,Budget!$D133))</f>
        <v>203000</v>
      </c>
      <c r="BB46" s="446">
        <f>IF(BB$1&gt;80,Budget!$H133,IF(BB$1&gt;'NWGC - SCENARIOS'!$D$7,Budget!$F133,Budget!$D133))</f>
        <v>203000</v>
      </c>
      <c r="BC46" s="446">
        <f>IF(BC$1&gt;80,Budget!$H133,IF(BC$1&gt;'NWGC - SCENARIOS'!$D$7,Budget!$F133,Budget!$D133))</f>
        <v>203000</v>
      </c>
      <c r="BD46" s="446">
        <f>IF(BD$1&gt;80,Budget!$H133,IF(BD$1&gt;'NWGC - SCENARIOS'!$D$7,Budget!$F133,Budget!$D133))</f>
        <v>203000</v>
      </c>
      <c r="BE46" s="446">
        <f>IF(BE$1&gt;80,Budget!$H133,IF(BE$1&gt;'NWGC - SCENARIOS'!$D$7,Budget!$F133,Budget!$D133))</f>
        <v>203000</v>
      </c>
      <c r="BF46" s="446">
        <f>IF(BF$1&gt;80,Budget!$H133,IF(BF$1&gt;'NWGC - SCENARIOS'!$D$7,Budget!$F133,Budget!$D133))</f>
        <v>203000</v>
      </c>
    </row>
    <row r="47" spans="1:58" ht="14.4" x14ac:dyDescent="0.3">
      <c r="A47" s="100" t="str">
        <f>Budget!B134</f>
        <v>Family Care &amp; Donations</v>
      </c>
      <c r="B47" s="446">
        <f>IF($B$1&gt;'NWGC - SCENARIOS'!$D$7,Budget!$F134,Budget!$D134)</f>
        <v>750000</v>
      </c>
      <c r="C47" s="446">
        <f>IF(C$1&gt;80,Budget!$H134,IF(C$1&gt;'NWGC - SCENARIOS'!$D$7,Budget!$F134,Budget!$D134))</f>
        <v>750000</v>
      </c>
      <c r="D47" s="446">
        <f>IF(D$1&gt;80,Budget!$H134,IF(D$1&gt;'NWGC - SCENARIOS'!$D$7,Budget!$F134,Budget!$D134))</f>
        <v>750000</v>
      </c>
      <c r="E47" s="446">
        <f>IF(E$1&gt;80,Budget!$H134,IF(E$1&gt;'NWGC - SCENARIOS'!$D$7,Budget!$F134,Budget!$D134))</f>
        <v>750000</v>
      </c>
      <c r="F47" s="446">
        <f>IF(F$1&gt;80,Budget!$H134,IF(F$1&gt;'NWGC - SCENARIOS'!$D$7,Budget!$F134,Budget!$D134))</f>
        <v>750000</v>
      </c>
      <c r="G47" s="446">
        <f>IF(G$1&gt;80,Budget!$H134,IF(G$1&gt;'NWGC - SCENARIOS'!$D$7,Budget!$F134,Budget!$D134))</f>
        <v>750000</v>
      </c>
      <c r="H47" s="446">
        <f>IF(H$1&gt;80,Budget!$H134,IF(H$1&gt;'NWGC - SCENARIOS'!$D$7,Budget!$F134,Budget!$D134))</f>
        <v>750000</v>
      </c>
      <c r="I47" s="446">
        <f>IF(I$1&gt;80,Budget!$H134,IF(I$1&gt;'NWGC - SCENARIOS'!$D$7,Budget!$F134,Budget!$D134))</f>
        <v>200000</v>
      </c>
      <c r="J47" s="446">
        <f>IF(J$1&gt;80,Budget!$H134,IF(J$1&gt;'NWGC - SCENARIOS'!$D$7,Budget!$F134,Budget!$D134))</f>
        <v>200000</v>
      </c>
      <c r="K47" s="446">
        <f>IF(K$1&gt;80,Budget!$H134,IF(K$1&gt;'NWGC - SCENARIOS'!$D$7,Budget!$F134,Budget!$D134))</f>
        <v>200000</v>
      </c>
      <c r="L47" s="446">
        <f>IF(L$1&gt;80,Budget!$H134,IF(L$1&gt;'NWGC - SCENARIOS'!$D$7,Budget!$F134,Budget!$D134))</f>
        <v>200000</v>
      </c>
      <c r="M47" s="446">
        <f>IF(M$1&gt;80,Budget!$H134,IF(M$1&gt;'NWGC - SCENARIOS'!$D$7,Budget!$F134,Budget!$D134))</f>
        <v>200000</v>
      </c>
      <c r="N47" s="446">
        <f>IF(N$1&gt;80,Budget!$H134,IF(N$1&gt;'NWGC - SCENARIOS'!$D$7,Budget!$F134,Budget!$D134))</f>
        <v>200000</v>
      </c>
      <c r="O47" s="446">
        <f>IF(O$1&gt;80,Budget!$H134,IF(O$1&gt;'NWGC - SCENARIOS'!$D$7,Budget!$F134,Budget!$D134))</f>
        <v>200000</v>
      </c>
      <c r="P47" s="446">
        <f>IF(P$1&gt;80,Budget!$H134,IF(P$1&gt;'NWGC - SCENARIOS'!$D$7,Budget!$F134,Budget!$D134))</f>
        <v>200000</v>
      </c>
      <c r="Q47" s="446">
        <f>IF(Q$1&gt;80,Budget!$H134,IF(Q$1&gt;'NWGC - SCENARIOS'!$D$7,Budget!$F134,Budget!$D134))</f>
        <v>200000</v>
      </c>
      <c r="R47" s="446">
        <f>IF(R$1&gt;80,Budget!$H134,IF(R$1&gt;'NWGC - SCENARIOS'!$D$7,Budget!$F134,Budget!$D134))</f>
        <v>200000</v>
      </c>
      <c r="S47" s="446">
        <f>IF(S$1&gt;80,Budget!$H134,IF(S$1&gt;'NWGC - SCENARIOS'!$D$7,Budget!$F134,Budget!$D134))</f>
        <v>200000</v>
      </c>
      <c r="T47" s="446">
        <f>IF(T$1&gt;80,Budget!$H134,IF(T$1&gt;'NWGC - SCENARIOS'!$D$7,Budget!$F134,Budget!$D134))</f>
        <v>200000</v>
      </c>
      <c r="U47" s="446">
        <f>IF(U$1&gt;80,Budget!$H134,IF(U$1&gt;'NWGC - SCENARIOS'!$D$7,Budget!$F134,Budget!$D134))</f>
        <v>200000</v>
      </c>
      <c r="V47" s="446">
        <f>IF(V$1&gt;80,Budget!$H134,IF(V$1&gt;'NWGC - SCENARIOS'!$D$7,Budget!$F134,Budget!$D134))</f>
        <v>200000</v>
      </c>
      <c r="W47" s="446">
        <f>IF(W$1&gt;80,Budget!$H134,IF(W$1&gt;'NWGC - SCENARIOS'!$D$7,Budget!$F134,Budget!$D134))</f>
        <v>200000</v>
      </c>
      <c r="X47" s="446">
        <f>IF(X$1&gt;80,Budget!$H134,IF(X$1&gt;'NWGC - SCENARIOS'!$D$7,Budget!$F134,Budget!$D134))</f>
        <v>200000</v>
      </c>
      <c r="Y47" s="446">
        <f>IF(Y$1&gt;80,Budget!$H134,IF(Y$1&gt;'NWGC - SCENARIOS'!$D$7,Budget!$F134,Budget!$D134))</f>
        <v>200000</v>
      </c>
      <c r="Z47" s="446">
        <f>IF(Z$1&gt;80,Budget!$H134,IF(Z$1&gt;'NWGC - SCENARIOS'!$D$7,Budget!$F134,Budget!$D134))</f>
        <v>200000</v>
      </c>
      <c r="AA47" s="446">
        <f>IF(AA$1&gt;80,Budget!$H134,IF(AA$1&gt;'NWGC - SCENARIOS'!$D$7,Budget!$F134,Budget!$D134))</f>
        <v>200000</v>
      </c>
      <c r="AB47" s="446">
        <f>IF(AB$1&gt;80,Budget!$H134,IF(AB$1&gt;'NWGC - SCENARIOS'!$D$7,Budget!$F134,Budget!$D134))</f>
        <v>200000</v>
      </c>
      <c r="AC47" s="446">
        <f>IF(AC$1&gt;80,Budget!$H134,IF(AC$1&gt;'NWGC - SCENARIOS'!$D$7,Budget!$F134,Budget!$D134))</f>
        <v>200000</v>
      </c>
      <c r="AD47" s="446">
        <f>IF(AD$1&gt;80,Budget!$H134,IF(AD$1&gt;'NWGC - SCENARIOS'!$D$7,Budget!$F134,Budget!$D134))</f>
        <v>200000</v>
      </c>
      <c r="AE47" s="446">
        <f>IF(AE$1&gt;80,Budget!$H134,IF(AE$1&gt;'NWGC - SCENARIOS'!$D$7,Budget!$F134,Budget!$D134))</f>
        <v>200000</v>
      </c>
      <c r="AF47" s="446">
        <f>IF(AF$1&gt;80,Budget!$H134,IF(AF$1&gt;'NWGC - SCENARIOS'!$D$7,Budget!$F134,Budget!$D134))</f>
        <v>200000</v>
      </c>
      <c r="AG47" s="446">
        <f>IF(AG$1&gt;80,Budget!$H134,IF(AG$1&gt;'NWGC - SCENARIOS'!$D$7,Budget!$F134,Budget!$D134))</f>
        <v>200000</v>
      </c>
      <c r="AH47" s="446">
        <f>IF(AH$1&gt;80,Budget!$H134,IF(AH$1&gt;'NWGC - SCENARIOS'!$D$7,Budget!$F134,Budget!$D134))</f>
        <v>150000</v>
      </c>
      <c r="AI47" s="446">
        <f>IF(AI$1&gt;80,Budget!$H134,IF(AI$1&gt;'NWGC - SCENARIOS'!$D$7,Budget!$F134,Budget!$D134))</f>
        <v>150000</v>
      </c>
      <c r="AJ47" s="446">
        <f>IF(AJ$1&gt;80,Budget!$H134,IF(AJ$1&gt;'NWGC - SCENARIOS'!$D$7,Budget!$F134,Budget!$D134))</f>
        <v>150000</v>
      </c>
      <c r="AK47" s="446">
        <f>IF(AK$1&gt;80,Budget!$H134,IF(AK$1&gt;'NWGC - SCENARIOS'!$D$7,Budget!$F134,Budget!$D134))</f>
        <v>150000</v>
      </c>
      <c r="AL47" s="446">
        <f>IF(AL$1&gt;80,Budget!$H134,IF(AL$1&gt;'NWGC - SCENARIOS'!$D$7,Budget!$F134,Budget!$D134))</f>
        <v>150000</v>
      </c>
      <c r="AM47" s="446">
        <f>IF(AM$1&gt;80,Budget!$H134,IF(AM$1&gt;'NWGC - SCENARIOS'!$D$7,Budget!$F134,Budget!$D134))</f>
        <v>150000</v>
      </c>
      <c r="AN47" s="446">
        <f>IF(AN$1&gt;80,Budget!$H134,IF(AN$1&gt;'NWGC - SCENARIOS'!$D$7,Budget!$F134,Budget!$D134))</f>
        <v>150000</v>
      </c>
      <c r="AO47" s="446">
        <f>IF(AO$1&gt;80,Budget!$H134,IF(AO$1&gt;'NWGC - SCENARIOS'!$D$7,Budget!$F134,Budget!$D134))</f>
        <v>150000</v>
      </c>
      <c r="AP47" s="446">
        <f>IF(AP$1&gt;80,Budget!$H134,IF(AP$1&gt;'NWGC - SCENARIOS'!$D$7,Budget!$F134,Budget!$D134))</f>
        <v>150000</v>
      </c>
      <c r="AQ47" s="446">
        <f>IF(AQ$1&gt;80,Budget!$H134,IF(AQ$1&gt;'NWGC - SCENARIOS'!$D$7,Budget!$F134,Budget!$D134))</f>
        <v>150000</v>
      </c>
      <c r="AR47" s="446">
        <f>IF(AR$1&gt;80,Budget!$H134,IF(AR$1&gt;'NWGC - SCENARIOS'!$D$7,Budget!$F134,Budget!$D134))</f>
        <v>150000</v>
      </c>
      <c r="AS47" s="446">
        <f>IF(AS$1&gt;80,Budget!$H134,IF(AS$1&gt;'NWGC - SCENARIOS'!$D$7,Budget!$F134,Budget!$D134))</f>
        <v>150000</v>
      </c>
      <c r="AT47" s="446">
        <f>IF(AT$1&gt;80,Budget!$H134,IF(AT$1&gt;'NWGC - SCENARIOS'!$D$7,Budget!$F134,Budget!$D134))</f>
        <v>150000</v>
      </c>
      <c r="AU47" s="446">
        <f>IF(AU$1&gt;80,Budget!$H134,IF(AU$1&gt;'NWGC - SCENARIOS'!$D$7,Budget!$F134,Budget!$D134))</f>
        <v>150000</v>
      </c>
      <c r="AV47" s="446">
        <f>IF(AV$1&gt;80,Budget!$H134,IF(AV$1&gt;'NWGC - SCENARIOS'!$D$7,Budget!$F134,Budget!$D134))</f>
        <v>150000</v>
      </c>
      <c r="AW47" s="446">
        <f>IF(AW$1&gt;80,Budget!$H134,IF(AW$1&gt;'NWGC - SCENARIOS'!$D$7,Budget!$F134,Budget!$D134))</f>
        <v>150000</v>
      </c>
      <c r="AX47" s="446">
        <f>IF(AX$1&gt;80,Budget!$H134,IF(AX$1&gt;'NWGC - SCENARIOS'!$D$7,Budget!$F134,Budget!$D134))</f>
        <v>150000</v>
      </c>
      <c r="AY47" s="446">
        <f>IF(AY$1&gt;80,Budget!$H134,IF(AY$1&gt;'NWGC - SCENARIOS'!$D$7,Budget!$F134,Budget!$D134))</f>
        <v>150000</v>
      </c>
      <c r="AZ47" s="446">
        <f>IF(AZ$1&gt;80,Budget!$H134,IF(AZ$1&gt;'NWGC - SCENARIOS'!$D$7,Budget!$F134,Budget!$D134))</f>
        <v>150000</v>
      </c>
      <c r="BA47" s="446">
        <f>IF(BA$1&gt;80,Budget!$H134,IF(BA$1&gt;'NWGC - SCENARIOS'!$D$7,Budget!$F134,Budget!$D134))</f>
        <v>150000</v>
      </c>
      <c r="BB47" s="446">
        <f>IF(BB$1&gt;80,Budget!$H134,IF(BB$1&gt;'NWGC - SCENARIOS'!$D$7,Budget!$F134,Budget!$D134))</f>
        <v>150000</v>
      </c>
      <c r="BC47" s="446">
        <f>IF(BC$1&gt;80,Budget!$H134,IF(BC$1&gt;'NWGC - SCENARIOS'!$D$7,Budget!$F134,Budget!$D134))</f>
        <v>150000</v>
      </c>
      <c r="BD47" s="446">
        <f>IF(BD$1&gt;80,Budget!$H134,IF(BD$1&gt;'NWGC - SCENARIOS'!$D$7,Budget!$F134,Budget!$D134))</f>
        <v>150000</v>
      </c>
      <c r="BE47" s="446">
        <f>IF(BE$1&gt;80,Budget!$H134,IF(BE$1&gt;'NWGC - SCENARIOS'!$D$7,Budget!$F134,Budget!$D134))</f>
        <v>150000</v>
      </c>
      <c r="BF47" s="446">
        <f>IF(BF$1&gt;80,Budget!$H134,IF(BF$1&gt;'NWGC - SCENARIOS'!$D$7,Budget!$F134,Budget!$D134))</f>
        <v>150000</v>
      </c>
    </row>
    <row r="48" spans="1:58" ht="14.4" x14ac:dyDescent="0.3">
      <c r="A48" s="100" t="str">
        <f>Budget!B135</f>
        <v>Transportation</v>
      </c>
      <c r="B48" s="446">
        <f>IF($B$1&gt;'NWGC - SCENARIOS'!$D$7,Budget!$F135,Budget!$D135)</f>
        <v>184000</v>
      </c>
      <c r="C48" s="446">
        <f>IF(C$1&gt;80,Budget!$H135,IF(C$1&gt;'NWGC - SCENARIOS'!$D$7,Budget!$F135,Budget!$D135))</f>
        <v>184000</v>
      </c>
      <c r="D48" s="446">
        <f>IF(D$1&gt;80,Budget!$H135,IF(D$1&gt;'NWGC - SCENARIOS'!$D$7,Budget!$F135,Budget!$D135))</f>
        <v>184000</v>
      </c>
      <c r="E48" s="446">
        <f>IF(E$1&gt;80,Budget!$H135,IF(E$1&gt;'NWGC - SCENARIOS'!$D$7,Budget!$F135,Budget!$D135))</f>
        <v>184000</v>
      </c>
      <c r="F48" s="446">
        <f>IF(F$1&gt;80,Budget!$H135,IF(F$1&gt;'NWGC - SCENARIOS'!$D$7,Budget!$F135,Budget!$D135))</f>
        <v>184000</v>
      </c>
      <c r="G48" s="446">
        <f>IF(G$1&gt;80,Budget!$H135,IF(G$1&gt;'NWGC - SCENARIOS'!$D$7,Budget!$F135,Budget!$D135))</f>
        <v>184000</v>
      </c>
      <c r="H48" s="446">
        <f>IF(H$1&gt;80,Budget!$H135,IF(H$1&gt;'NWGC - SCENARIOS'!$D$7,Budget!$F135,Budget!$D135))</f>
        <v>184000</v>
      </c>
      <c r="I48" s="446">
        <f>IF(I$1&gt;80,Budget!$H135,IF(I$1&gt;'NWGC - SCENARIOS'!$D$7,Budget!$F135,Budget!$D135))</f>
        <v>184000</v>
      </c>
      <c r="J48" s="446">
        <f>IF(J$1&gt;80,Budget!$H135,IF(J$1&gt;'NWGC - SCENARIOS'!$D$7,Budget!$F135,Budget!$D135))</f>
        <v>184000</v>
      </c>
      <c r="K48" s="446">
        <f>IF(K$1&gt;80,Budget!$H135,IF(K$1&gt;'NWGC - SCENARIOS'!$D$7,Budget!$F135,Budget!$D135))</f>
        <v>184000</v>
      </c>
      <c r="L48" s="446">
        <f>IF(L$1&gt;80,Budget!$H135,IF(L$1&gt;'NWGC - SCENARIOS'!$D$7,Budget!$F135,Budget!$D135))</f>
        <v>184000</v>
      </c>
      <c r="M48" s="446">
        <f>IF(M$1&gt;80,Budget!$H135,IF(M$1&gt;'NWGC - SCENARIOS'!$D$7,Budget!$F135,Budget!$D135))</f>
        <v>184000</v>
      </c>
      <c r="N48" s="446">
        <f>IF(N$1&gt;80,Budget!$H135,IF(N$1&gt;'NWGC - SCENARIOS'!$D$7,Budget!$F135,Budget!$D135))</f>
        <v>184000</v>
      </c>
      <c r="O48" s="446">
        <f>IF(O$1&gt;80,Budget!$H135,IF(O$1&gt;'NWGC - SCENARIOS'!$D$7,Budget!$F135,Budget!$D135))</f>
        <v>184000</v>
      </c>
      <c r="P48" s="446">
        <f>IF(P$1&gt;80,Budget!$H135,IF(P$1&gt;'NWGC - SCENARIOS'!$D$7,Budget!$F135,Budget!$D135))</f>
        <v>184000</v>
      </c>
      <c r="Q48" s="446">
        <f>IF(Q$1&gt;80,Budget!$H135,IF(Q$1&gt;'NWGC - SCENARIOS'!$D$7,Budget!$F135,Budget!$D135))</f>
        <v>184000</v>
      </c>
      <c r="R48" s="446">
        <f>IF(R$1&gt;80,Budget!$H135,IF(R$1&gt;'NWGC - SCENARIOS'!$D$7,Budget!$F135,Budget!$D135))</f>
        <v>184000</v>
      </c>
      <c r="S48" s="446">
        <f>IF(S$1&gt;80,Budget!$H135,IF(S$1&gt;'NWGC - SCENARIOS'!$D$7,Budget!$F135,Budget!$D135))</f>
        <v>184000</v>
      </c>
      <c r="T48" s="446">
        <f>IF(T$1&gt;80,Budget!$H135,IF(T$1&gt;'NWGC - SCENARIOS'!$D$7,Budget!$F135,Budget!$D135))</f>
        <v>184000</v>
      </c>
      <c r="U48" s="446">
        <f>IF(U$1&gt;80,Budget!$H135,IF(U$1&gt;'NWGC - SCENARIOS'!$D$7,Budget!$F135,Budget!$D135))</f>
        <v>184000</v>
      </c>
      <c r="V48" s="446">
        <f>IF(V$1&gt;80,Budget!$H135,IF(V$1&gt;'NWGC - SCENARIOS'!$D$7,Budget!$F135,Budget!$D135))</f>
        <v>184000</v>
      </c>
      <c r="W48" s="446">
        <f>IF(W$1&gt;80,Budget!$H135,IF(W$1&gt;'NWGC - SCENARIOS'!$D$7,Budget!$F135,Budget!$D135))</f>
        <v>184000</v>
      </c>
      <c r="X48" s="446">
        <f>IF(X$1&gt;80,Budget!$H135,IF(X$1&gt;'NWGC - SCENARIOS'!$D$7,Budget!$F135,Budget!$D135))</f>
        <v>184000</v>
      </c>
      <c r="Y48" s="446">
        <f>IF(Y$1&gt;80,Budget!$H135,IF(Y$1&gt;'NWGC - SCENARIOS'!$D$7,Budget!$F135,Budget!$D135))</f>
        <v>184000</v>
      </c>
      <c r="Z48" s="446">
        <f>IF(Z$1&gt;80,Budget!$H135,IF(Z$1&gt;'NWGC - SCENARIOS'!$D$7,Budget!$F135,Budget!$D135))</f>
        <v>184000</v>
      </c>
      <c r="AA48" s="446">
        <f>IF(AA$1&gt;80,Budget!$H135,IF(AA$1&gt;'NWGC - SCENARIOS'!$D$7,Budget!$F135,Budget!$D135))</f>
        <v>184000</v>
      </c>
      <c r="AB48" s="446">
        <f>IF(AB$1&gt;80,Budget!$H135,IF(AB$1&gt;'NWGC - SCENARIOS'!$D$7,Budget!$F135,Budget!$D135))</f>
        <v>184000</v>
      </c>
      <c r="AC48" s="446">
        <f>IF(AC$1&gt;80,Budget!$H135,IF(AC$1&gt;'NWGC - SCENARIOS'!$D$7,Budget!$F135,Budget!$D135))</f>
        <v>184000</v>
      </c>
      <c r="AD48" s="446">
        <f>IF(AD$1&gt;80,Budget!$H135,IF(AD$1&gt;'NWGC - SCENARIOS'!$D$7,Budget!$F135,Budget!$D135))</f>
        <v>184000</v>
      </c>
      <c r="AE48" s="446">
        <f>IF(AE$1&gt;80,Budget!$H135,IF(AE$1&gt;'NWGC - SCENARIOS'!$D$7,Budget!$F135,Budget!$D135))</f>
        <v>184000</v>
      </c>
      <c r="AF48" s="446">
        <f>IF(AF$1&gt;80,Budget!$H135,IF(AF$1&gt;'NWGC - SCENARIOS'!$D$7,Budget!$F135,Budget!$D135))</f>
        <v>184000</v>
      </c>
      <c r="AG48" s="446">
        <f>IF(AG$1&gt;80,Budget!$H135,IF(AG$1&gt;'NWGC - SCENARIOS'!$D$7,Budget!$F135,Budget!$D135))</f>
        <v>184000</v>
      </c>
      <c r="AH48" s="446">
        <f>IF(AH$1&gt;80,Budget!$H135,IF(AH$1&gt;'NWGC - SCENARIOS'!$D$7,Budget!$F135,Budget!$D135))</f>
        <v>184000</v>
      </c>
      <c r="AI48" s="446">
        <f>IF(AI$1&gt;80,Budget!$H135,IF(AI$1&gt;'NWGC - SCENARIOS'!$D$7,Budget!$F135,Budget!$D135))</f>
        <v>184000</v>
      </c>
      <c r="AJ48" s="446">
        <f>IF(AJ$1&gt;80,Budget!$H135,IF(AJ$1&gt;'NWGC - SCENARIOS'!$D$7,Budget!$F135,Budget!$D135))</f>
        <v>184000</v>
      </c>
      <c r="AK48" s="446">
        <f>IF(AK$1&gt;80,Budget!$H135,IF(AK$1&gt;'NWGC - SCENARIOS'!$D$7,Budget!$F135,Budget!$D135))</f>
        <v>184000</v>
      </c>
      <c r="AL48" s="446">
        <f>IF(AL$1&gt;80,Budget!$H135,IF(AL$1&gt;'NWGC - SCENARIOS'!$D$7,Budget!$F135,Budget!$D135))</f>
        <v>184000</v>
      </c>
      <c r="AM48" s="446">
        <f>IF(AM$1&gt;80,Budget!$H135,IF(AM$1&gt;'NWGC - SCENARIOS'!$D$7,Budget!$F135,Budget!$D135))</f>
        <v>184000</v>
      </c>
      <c r="AN48" s="446">
        <f>IF(AN$1&gt;80,Budget!$H135,IF(AN$1&gt;'NWGC - SCENARIOS'!$D$7,Budget!$F135,Budget!$D135))</f>
        <v>184000</v>
      </c>
      <c r="AO48" s="446">
        <f>IF(AO$1&gt;80,Budget!$H135,IF(AO$1&gt;'NWGC - SCENARIOS'!$D$7,Budget!$F135,Budget!$D135))</f>
        <v>184000</v>
      </c>
      <c r="AP48" s="446">
        <f>IF(AP$1&gt;80,Budget!$H135,IF(AP$1&gt;'NWGC - SCENARIOS'!$D$7,Budget!$F135,Budget!$D135))</f>
        <v>184000</v>
      </c>
      <c r="AQ48" s="446">
        <f>IF(AQ$1&gt;80,Budget!$H135,IF(AQ$1&gt;'NWGC - SCENARIOS'!$D$7,Budget!$F135,Budget!$D135))</f>
        <v>184000</v>
      </c>
      <c r="AR48" s="446">
        <f>IF(AR$1&gt;80,Budget!$H135,IF(AR$1&gt;'NWGC - SCENARIOS'!$D$7,Budget!$F135,Budget!$D135))</f>
        <v>184000</v>
      </c>
      <c r="AS48" s="446">
        <f>IF(AS$1&gt;80,Budget!$H135,IF(AS$1&gt;'NWGC - SCENARIOS'!$D$7,Budget!$F135,Budget!$D135))</f>
        <v>184000</v>
      </c>
      <c r="AT48" s="446">
        <f>IF(AT$1&gt;80,Budget!$H135,IF(AT$1&gt;'NWGC - SCENARIOS'!$D$7,Budget!$F135,Budget!$D135))</f>
        <v>184000</v>
      </c>
      <c r="AU48" s="446">
        <f>IF(AU$1&gt;80,Budget!$H135,IF(AU$1&gt;'NWGC - SCENARIOS'!$D$7,Budget!$F135,Budget!$D135))</f>
        <v>184000</v>
      </c>
      <c r="AV48" s="446">
        <f>IF(AV$1&gt;80,Budget!$H135,IF(AV$1&gt;'NWGC - SCENARIOS'!$D$7,Budget!$F135,Budget!$D135))</f>
        <v>184000</v>
      </c>
      <c r="AW48" s="446">
        <f>IF(AW$1&gt;80,Budget!$H135,IF(AW$1&gt;'NWGC - SCENARIOS'!$D$7,Budget!$F135,Budget!$D135))</f>
        <v>184000</v>
      </c>
      <c r="AX48" s="446">
        <f>IF(AX$1&gt;80,Budget!$H135,IF(AX$1&gt;'NWGC - SCENARIOS'!$D$7,Budget!$F135,Budget!$D135))</f>
        <v>184000</v>
      </c>
      <c r="AY48" s="446">
        <f>IF(AY$1&gt;80,Budget!$H135,IF(AY$1&gt;'NWGC - SCENARIOS'!$D$7,Budget!$F135,Budget!$D135))</f>
        <v>184000</v>
      </c>
      <c r="AZ48" s="446">
        <f>IF(AZ$1&gt;80,Budget!$H135,IF(AZ$1&gt;'NWGC - SCENARIOS'!$D$7,Budget!$F135,Budget!$D135))</f>
        <v>184000</v>
      </c>
      <c r="BA48" s="446">
        <f>IF(BA$1&gt;80,Budget!$H135,IF(BA$1&gt;'NWGC - SCENARIOS'!$D$7,Budget!$F135,Budget!$D135))</f>
        <v>184000</v>
      </c>
      <c r="BB48" s="446">
        <f>IF(BB$1&gt;80,Budget!$H135,IF(BB$1&gt;'NWGC - SCENARIOS'!$D$7,Budget!$F135,Budget!$D135))</f>
        <v>184000</v>
      </c>
      <c r="BC48" s="446">
        <f>IF(BC$1&gt;80,Budget!$H135,IF(BC$1&gt;'NWGC - SCENARIOS'!$D$7,Budget!$F135,Budget!$D135))</f>
        <v>184000</v>
      </c>
      <c r="BD48" s="446">
        <f>IF(BD$1&gt;80,Budget!$H135,IF(BD$1&gt;'NWGC - SCENARIOS'!$D$7,Budget!$F135,Budget!$D135))</f>
        <v>184000</v>
      </c>
      <c r="BE48" s="446">
        <f>IF(BE$1&gt;80,Budget!$H135,IF(BE$1&gt;'NWGC - SCENARIOS'!$D$7,Budget!$F135,Budget!$D135))</f>
        <v>184000</v>
      </c>
      <c r="BF48" s="446">
        <f>IF(BF$1&gt;80,Budget!$H135,IF(BF$1&gt;'NWGC - SCENARIOS'!$D$7,Budget!$F135,Budget!$D135))</f>
        <v>184000</v>
      </c>
    </row>
    <row r="49" spans="1:58" ht="14.4" x14ac:dyDescent="0.3">
      <c r="A49" s="100" t="str">
        <f>Budget!B136</f>
        <v>Recreation &amp; Entertainment</v>
      </c>
      <c r="B49" s="446">
        <f>IF($B$1&gt;'NWGC - SCENARIOS'!$D$7,Budget!$F136,Budget!$D136)</f>
        <v>504000</v>
      </c>
      <c r="C49" s="446">
        <f>IF(C$1&gt;80,Budget!$H136,IF(C$1&gt;'NWGC - SCENARIOS'!$D$7,Budget!$F136,Budget!$D136))</f>
        <v>504000</v>
      </c>
      <c r="D49" s="446">
        <f>IF(D$1&gt;80,Budget!$H136,IF(D$1&gt;'NWGC - SCENARIOS'!$D$7,Budget!$F136,Budget!$D136))</f>
        <v>504000</v>
      </c>
      <c r="E49" s="446">
        <f>IF(E$1&gt;80,Budget!$H136,IF(E$1&gt;'NWGC - SCENARIOS'!$D$7,Budget!$F136,Budget!$D136))</f>
        <v>504000</v>
      </c>
      <c r="F49" s="446">
        <f>IF(F$1&gt;80,Budget!$H136,IF(F$1&gt;'NWGC - SCENARIOS'!$D$7,Budget!$F136,Budget!$D136))</f>
        <v>504000</v>
      </c>
      <c r="G49" s="446">
        <f>IF(G$1&gt;80,Budget!$H136,IF(G$1&gt;'NWGC - SCENARIOS'!$D$7,Budget!$F136,Budget!$D136))</f>
        <v>504000</v>
      </c>
      <c r="H49" s="446">
        <f>IF(H$1&gt;80,Budget!$H136,IF(H$1&gt;'NWGC - SCENARIOS'!$D$7,Budget!$F136,Budget!$D136))</f>
        <v>504000</v>
      </c>
      <c r="I49" s="446">
        <f>IF(I$1&gt;80,Budget!$H136,IF(I$1&gt;'NWGC - SCENARIOS'!$D$7,Budget!$F136,Budget!$D136))</f>
        <v>504000</v>
      </c>
      <c r="J49" s="446">
        <f>IF(J$1&gt;80,Budget!$H136,IF(J$1&gt;'NWGC - SCENARIOS'!$D$7,Budget!$F136,Budget!$D136))</f>
        <v>504000</v>
      </c>
      <c r="K49" s="446">
        <f>IF(K$1&gt;80,Budget!$H136,IF(K$1&gt;'NWGC - SCENARIOS'!$D$7,Budget!$F136,Budget!$D136))</f>
        <v>504000</v>
      </c>
      <c r="L49" s="446">
        <f>IF(L$1&gt;80,Budget!$H136,IF(L$1&gt;'NWGC - SCENARIOS'!$D$7,Budget!$F136,Budget!$D136))</f>
        <v>504000</v>
      </c>
      <c r="M49" s="446">
        <f>IF(M$1&gt;80,Budget!$H136,IF(M$1&gt;'NWGC - SCENARIOS'!$D$7,Budget!$F136,Budget!$D136))</f>
        <v>504000</v>
      </c>
      <c r="N49" s="446">
        <f>IF(N$1&gt;80,Budget!$H136,IF(N$1&gt;'NWGC - SCENARIOS'!$D$7,Budget!$F136,Budget!$D136))</f>
        <v>504000</v>
      </c>
      <c r="O49" s="446">
        <f>IF(O$1&gt;80,Budget!$H136,IF(O$1&gt;'NWGC - SCENARIOS'!$D$7,Budget!$F136,Budget!$D136))</f>
        <v>504000</v>
      </c>
      <c r="P49" s="446">
        <f>IF(P$1&gt;80,Budget!$H136,IF(P$1&gt;'NWGC - SCENARIOS'!$D$7,Budget!$F136,Budget!$D136))</f>
        <v>504000</v>
      </c>
      <c r="Q49" s="446">
        <f>IF(Q$1&gt;80,Budget!$H136,IF(Q$1&gt;'NWGC - SCENARIOS'!$D$7,Budget!$F136,Budget!$D136))</f>
        <v>504000</v>
      </c>
      <c r="R49" s="446">
        <f>IF(R$1&gt;80,Budget!$H136,IF(R$1&gt;'NWGC - SCENARIOS'!$D$7,Budget!$F136,Budget!$D136))</f>
        <v>504000</v>
      </c>
      <c r="S49" s="446">
        <f>IF(S$1&gt;80,Budget!$H136,IF(S$1&gt;'NWGC - SCENARIOS'!$D$7,Budget!$F136,Budget!$D136))</f>
        <v>504000</v>
      </c>
      <c r="T49" s="446">
        <f>IF(T$1&gt;80,Budget!$H136,IF(T$1&gt;'NWGC - SCENARIOS'!$D$7,Budget!$F136,Budget!$D136))</f>
        <v>504000</v>
      </c>
      <c r="U49" s="446">
        <f>IF(U$1&gt;80,Budget!$H136,IF(U$1&gt;'NWGC - SCENARIOS'!$D$7,Budget!$F136,Budget!$D136))</f>
        <v>504000</v>
      </c>
      <c r="V49" s="446">
        <f>IF(V$1&gt;80,Budget!$H136,IF(V$1&gt;'NWGC - SCENARIOS'!$D$7,Budget!$F136,Budget!$D136))</f>
        <v>504000</v>
      </c>
      <c r="W49" s="446">
        <f>IF(W$1&gt;80,Budget!$H136,IF(W$1&gt;'NWGC - SCENARIOS'!$D$7,Budget!$F136,Budget!$D136))</f>
        <v>504000</v>
      </c>
      <c r="X49" s="446">
        <f>IF(X$1&gt;80,Budget!$H136,IF(X$1&gt;'NWGC - SCENARIOS'!$D$7,Budget!$F136,Budget!$D136))</f>
        <v>504000</v>
      </c>
      <c r="Y49" s="446">
        <f>IF(Y$1&gt;80,Budget!$H136,IF(Y$1&gt;'NWGC - SCENARIOS'!$D$7,Budget!$F136,Budget!$D136))</f>
        <v>504000</v>
      </c>
      <c r="Z49" s="446">
        <f>IF(Z$1&gt;80,Budget!$H136,IF(Z$1&gt;'NWGC - SCENARIOS'!$D$7,Budget!$F136,Budget!$D136))</f>
        <v>504000</v>
      </c>
      <c r="AA49" s="446">
        <f>IF(AA$1&gt;80,Budget!$H136,IF(AA$1&gt;'NWGC - SCENARIOS'!$D$7,Budget!$F136,Budget!$D136))</f>
        <v>504000</v>
      </c>
      <c r="AB49" s="446">
        <f>IF(AB$1&gt;80,Budget!$H136,IF(AB$1&gt;'NWGC - SCENARIOS'!$D$7,Budget!$F136,Budget!$D136))</f>
        <v>504000</v>
      </c>
      <c r="AC49" s="446">
        <f>IF(AC$1&gt;80,Budget!$H136,IF(AC$1&gt;'NWGC - SCENARIOS'!$D$7,Budget!$F136,Budget!$D136))</f>
        <v>504000</v>
      </c>
      <c r="AD49" s="446">
        <f>IF(AD$1&gt;80,Budget!$H136,IF(AD$1&gt;'NWGC - SCENARIOS'!$D$7,Budget!$F136,Budget!$D136))</f>
        <v>504000</v>
      </c>
      <c r="AE49" s="446">
        <f>IF(AE$1&gt;80,Budget!$H136,IF(AE$1&gt;'NWGC - SCENARIOS'!$D$7,Budget!$F136,Budget!$D136))</f>
        <v>504000</v>
      </c>
      <c r="AF49" s="446">
        <f>IF(AF$1&gt;80,Budget!$H136,IF(AF$1&gt;'NWGC - SCENARIOS'!$D$7,Budget!$F136,Budget!$D136))</f>
        <v>504000</v>
      </c>
      <c r="AG49" s="446">
        <f>IF(AG$1&gt;80,Budget!$H136,IF(AG$1&gt;'NWGC - SCENARIOS'!$D$7,Budget!$F136,Budget!$D136))</f>
        <v>504000</v>
      </c>
      <c r="AH49" s="446">
        <f>IF(AH$1&gt;80,Budget!$H136,IF(AH$1&gt;'NWGC - SCENARIOS'!$D$7,Budget!$F136,Budget!$D136))</f>
        <v>504000</v>
      </c>
      <c r="AI49" s="446">
        <f>IF(AI$1&gt;80,Budget!$H136,IF(AI$1&gt;'NWGC - SCENARIOS'!$D$7,Budget!$F136,Budget!$D136))</f>
        <v>504000</v>
      </c>
      <c r="AJ49" s="446">
        <f>IF(AJ$1&gt;80,Budget!$H136,IF(AJ$1&gt;'NWGC - SCENARIOS'!$D$7,Budget!$F136,Budget!$D136))</f>
        <v>504000</v>
      </c>
      <c r="AK49" s="446">
        <f>IF(AK$1&gt;80,Budget!$H136,IF(AK$1&gt;'NWGC - SCENARIOS'!$D$7,Budget!$F136,Budget!$D136))</f>
        <v>504000</v>
      </c>
      <c r="AL49" s="446">
        <f>IF(AL$1&gt;80,Budget!$H136,IF(AL$1&gt;'NWGC - SCENARIOS'!$D$7,Budget!$F136,Budget!$D136))</f>
        <v>504000</v>
      </c>
      <c r="AM49" s="446">
        <f>IF(AM$1&gt;80,Budget!$H136,IF(AM$1&gt;'NWGC - SCENARIOS'!$D$7,Budget!$F136,Budget!$D136))</f>
        <v>504000</v>
      </c>
      <c r="AN49" s="446">
        <f>IF(AN$1&gt;80,Budget!$H136,IF(AN$1&gt;'NWGC - SCENARIOS'!$D$7,Budget!$F136,Budget!$D136))</f>
        <v>504000</v>
      </c>
      <c r="AO49" s="446">
        <f>IF(AO$1&gt;80,Budget!$H136,IF(AO$1&gt;'NWGC - SCENARIOS'!$D$7,Budget!$F136,Budget!$D136))</f>
        <v>504000</v>
      </c>
      <c r="AP49" s="446">
        <f>IF(AP$1&gt;80,Budget!$H136,IF(AP$1&gt;'NWGC - SCENARIOS'!$D$7,Budget!$F136,Budget!$D136))</f>
        <v>504000</v>
      </c>
      <c r="AQ49" s="446">
        <f>IF(AQ$1&gt;80,Budget!$H136,IF(AQ$1&gt;'NWGC - SCENARIOS'!$D$7,Budget!$F136,Budget!$D136))</f>
        <v>504000</v>
      </c>
      <c r="AR49" s="446">
        <f>IF(AR$1&gt;80,Budget!$H136,IF(AR$1&gt;'NWGC - SCENARIOS'!$D$7,Budget!$F136,Budget!$D136))</f>
        <v>504000</v>
      </c>
      <c r="AS49" s="446">
        <f>IF(AS$1&gt;80,Budget!$H136,IF(AS$1&gt;'NWGC - SCENARIOS'!$D$7,Budget!$F136,Budget!$D136))</f>
        <v>504000</v>
      </c>
      <c r="AT49" s="446">
        <f>IF(AT$1&gt;80,Budget!$H136,IF(AT$1&gt;'NWGC - SCENARIOS'!$D$7,Budget!$F136,Budget!$D136))</f>
        <v>504000</v>
      </c>
      <c r="AU49" s="446">
        <f>IF(AU$1&gt;80,Budget!$H136,IF(AU$1&gt;'NWGC - SCENARIOS'!$D$7,Budget!$F136,Budget!$D136))</f>
        <v>504000</v>
      </c>
      <c r="AV49" s="446">
        <f>IF(AV$1&gt;80,Budget!$H136,IF(AV$1&gt;'NWGC - SCENARIOS'!$D$7,Budget!$F136,Budget!$D136))</f>
        <v>504000</v>
      </c>
      <c r="AW49" s="446">
        <f>IF(AW$1&gt;80,Budget!$H136,IF(AW$1&gt;'NWGC - SCENARIOS'!$D$7,Budget!$F136,Budget!$D136))</f>
        <v>504000</v>
      </c>
      <c r="AX49" s="446">
        <f>IF(AX$1&gt;80,Budget!$H136,IF(AX$1&gt;'NWGC - SCENARIOS'!$D$7,Budget!$F136,Budget!$D136))</f>
        <v>504000</v>
      </c>
      <c r="AY49" s="446">
        <f>IF(AY$1&gt;80,Budget!$H136,IF(AY$1&gt;'NWGC - SCENARIOS'!$D$7,Budget!$F136,Budget!$D136))</f>
        <v>504000</v>
      </c>
      <c r="AZ49" s="446">
        <f>IF(AZ$1&gt;80,Budget!$H136,IF(AZ$1&gt;'NWGC - SCENARIOS'!$D$7,Budget!$F136,Budget!$D136))</f>
        <v>504000</v>
      </c>
      <c r="BA49" s="446">
        <f>IF(BA$1&gt;80,Budget!$H136,IF(BA$1&gt;'NWGC - SCENARIOS'!$D$7,Budget!$F136,Budget!$D136))</f>
        <v>504000</v>
      </c>
      <c r="BB49" s="446">
        <f>IF(BB$1&gt;80,Budget!$H136,IF(BB$1&gt;'NWGC - SCENARIOS'!$D$7,Budget!$F136,Budget!$D136))</f>
        <v>504000</v>
      </c>
      <c r="BC49" s="446">
        <f>IF(BC$1&gt;80,Budget!$H136,IF(BC$1&gt;'NWGC - SCENARIOS'!$D$7,Budget!$F136,Budget!$D136))</f>
        <v>504000</v>
      </c>
      <c r="BD49" s="446">
        <f>IF(BD$1&gt;80,Budget!$H136,IF(BD$1&gt;'NWGC - SCENARIOS'!$D$7,Budget!$F136,Budget!$D136))</f>
        <v>504000</v>
      </c>
      <c r="BE49" s="446">
        <f>IF(BE$1&gt;80,Budget!$H136,IF(BE$1&gt;'NWGC - SCENARIOS'!$D$7,Budget!$F136,Budget!$D136))</f>
        <v>504000</v>
      </c>
      <c r="BF49" s="446">
        <f>IF(BF$1&gt;80,Budget!$H136,IF(BF$1&gt;'NWGC - SCENARIOS'!$D$7,Budget!$F136,Budget!$D136))</f>
        <v>504000</v>
      </c>
    </row>
    <row r="50" spans="1:58" ht="14.4" x14ac:dyDescent="0.3">
      <c r="A50" s="100" t="str">
        <f>Budget!B137</f>
        <v>Premiums &amp; Fees</v>
      </c>
      <c r="B50" s="446">
        <f>IF($B$1&gt;'NWGC - SCENARIOS'!$D$7,Budget!$F137-Budget!F110,Budget!$D137-Budget!D110)</f>
        <v>70000</v>
      </c>
      <c r="C50" s="446">
        <f>IF(C$1&gt;80,Budget!$H137-Budget!$H$110,IF(C$1&gt;'NWGC - SCENARIOS'!$D$7,Budget!$F137-Budget!$F$110,Budget!$D137-Budget!$D$110))</f>
        <v>70000</v>
      </c>
      <c r="D50" s="446">
        <f>IF(D$1&gt;80,Budget!$H137-Budget!$H$110,IF(D$1&gt;'NWGC - SCENARIOS'!$D$7,Budget!$F137-Budget!$F$110,Budget!$D137-Budget!$D$110))</f>
        <v>70000</v>
      </c>
      <c r="E50" s="446">
        <f>IF(E$1&gt;80,Budget!$H137-Budget!$H$110,IF(E$1&gt;'NWGC - SCENARIOS'!$D$7,Budget!$F137-Budget!$F$110,Budget!$D137-Budget!$D$110))</f>
        <v>70000</v>
      </c>
      <c r="F50" s="446">
        <f>IF(F$1&gt;80,Budget!$H137-Budget!$H$110,IF(F$1&gt;'NWGC - SCENARIOS'!$D$7,Budget!$F137-Budget!$F$110,Budget!$D137-Budget!$D$110))</f>
        <v>70000</v>
      </c>
      <c r="G50" s="446">
        <f>IF(G$1&gt;80,Budget!$H137-Budget!$H$110,IF(G$1&gt;'NWGC - SCENARIOS'!$D$7,Budget!$F137-Budget!$F$110,Budget!$D137-Budget!$D$110))</f>
        <v>70000</v>
      </c>
      <c r="H50" s="446">
        <f>IF(H$1&gt;80,Budget!$H137-Budget!$H$110,IF(H$1&gt;'NWGC - SCENARIOS'!$D$7,Budget!$F137-Budget!$F$110,Budget!$D137-Budget!$D$110))</f>
        <v>70000</v>
      </c>
      <c r="I50" s="446">
        <f>IF(I$1&gt;80,Budget!$H137-Budget!$H$110,IF(I$1&gt;'NWGC - SCENARIOS'!$D$7,Budget!$F137-Budget!$F$110,Budget!$D137-Budget!$D$110))</f>
        <v>70000</v>
      </c>
      <c r="J50" s="446">
        <f>IF(J$1&gt;80,Budget!$H137-Budget!$H$110,IF(J$1&gt;'NWGC - SCENARIOS'!$D$7,Budget!$F137-Budget!$F$110,Budget!$D137-Budget!$D$110))</f>
        <v>70000</v>
      </c>
      <c r="K50" s="446">
        <f>IF(K$1&gt;80,Budget!$H137-Budget!$H$110,IF(K$1&gt;'NWGC - SCENARIOS'!$D$7,Budget!$F137-Budget!$F$110,Budget!$D137-Budget!$D$110))</f>
        <v>70000</v>
      </c>
      <c r="L50" s="446">
        <f>IF(L$1&gt;80,Budget!$H137-Budget!$H$110,IF(L$1&gt;'NWGC - SCENARIOS'!$D$7,Budget!$F137-Budget!$F$110,Budget!$D137-Budget!$D$110))</f>
        <v>70000</v>
      </c>
      <c r="M50" s="446">
        <f>IF(M$1&gt;80,Budget!$H137-Budget!$H$110,IF(M$1&gt;'NWGC - SCENARIOS'!$D$7,Budget!$F137-Budget!$F$110,Budget!$D137-Budget!$D$110))</f>
        <v>70000</v>
      </c>
      <c r="N50" s="446">
        <f>IF(N$1&gt;80,Budget!$H137-Budget!$H$110,IF(N$1&gt;'NWGC - SCENARIOS'!$D$7,Budget!$F137-Budget!$F$110,Budget!$D137-Budget!$D$110))</f>
        <v>70000</v>
      </c>
      <c r="O50" s="446">
        <f>IF(O$1&gt;80,Budget!$H137-Budget!$H$110,IF(O$1&gt;'NWGC - SCENARIOS'!$D$7,Budget!$F137-Budget!$F$110,Budget!$D137-Budget!$D$110))</f>
        <v>70000</v>
      </c>
      <c r="P50" s="446">
        <f>IF(P$1&gt;80,Budget!$H137-Budget!$H$110,IF(P$1&gt;'NWGC - SCENARIOS'!$D$7,Budget!$F137-Budget!$F$110,Budget!$D137-Budget!$D$110))</f>
        <v>70000</v>
      </c>
      <c r="Q50" s="446">
        <f>IF(Q$1&gt;80,Budget!$H137-Budget!$H$110,IF(Q$1&gt;'NWGC - SCENARIOS'!$D$7,Budget!$F137-Budget!$F$110,Budget!$D137-Budget!$D$110))</f>
        <v>70000</v>
      </c>
      <c r="R50" s="446">
        <f>IF(R$1&gt;80,Budget!$H137-Budget!$H$110,IF(R$1&gt;'NWGC - SCENARIOS'!$D$7,Budget!$F137-Budget!$F$110,Budget!$D137-Budget!$D$110))</f>
        <v>70000</v>
      </c>
      <c r="S50" s="446">
        <f>IF(S$1&gt;80,Budget!$H137-Budget!$H$110,IF(S$1&gt;'NWGC - SCENARIOS'!$D$7,Budget!$F137-Budget!$F$110,Budget!$D137-Budget!$D$110))</f>
        <v>70000</v>
      </c>
      <c r="T50" s="446">
        <f>IF(T$1&gt;80,Budget!$H137-Budget!$H$110,IF(T$1&gt;'NWGC - SCENARIOS'!$D$7,Budget!$F137-Budget!$F$110,Budget!$D137-Budget!$D$110))</f>
        <v>70000</v>
      </c>
      <c r="U50" s="446">
        <f>IF(U$1&gt;80,Budget!$H137-Budget!$H$110,IF(U$1&gt;'NWGC - SCENARIOS'!$D$7,Budget!$F137-Budget!$F$110,Budget!$D137-Budget!$D$110))</f>
        <v>70000</v>
      </c>
      <c r="V50" s="446">
        <f>IF(V$1&gt;80,Budget!$H137-Budget!$H$110,IF(V$1&gt;'NWGC - SCENARIOS'!$D$7,Budget!$F137-Budget!$F$110,Budget!$D137-Budget!$D$110))</f>
        <v>70000</v>
      </c>
      <c r="W50" s="446">
        <f>IF(W$1&gt;80,Budget!$H137-Budget!$H$110,IF(W$1&gt;'NWGC - SCENARIOS'!$D$7,Budget!$F137-Budget!$F$110,Budget!$D137-Budget!$D$110))</f>
        <v>70000</v>
      </c>
      <c r="X50" s="446">
        <f>IF(X$1&gt;80,Budget!$H137-Budget!$H$110,IF(X$1&gt;'NWGC - SCENARIOS'!$D$7,Budget!$F137-Budget!$F$110,Budget!$D137-Budget!$D$110))</f>
        <v>70000</v>
      </c>
      <c r="Y50" s="446">
        <f>IF(Y$1&gt;80,Budget!$H137-Budget!$H$110,IF(Y$1&gt;'NWGC - SCENARIOS'!$D$7,Budget!$F137-Budget!$F$110,Budget!$D137-Budget!$D$110))</f>
        <v>70000</v>
      </c>
      <c r="Z50" s="446">
        <f>IF(Z$1&gt;80,Budget!$H137-Budget!$H$110,IF(Z$1&gt;'NWGC - SCENARIOS'!$D$7,Budget!$F137-Budget!$F$110,Budget!$D137-Budget!$D$110))</f>
        <v>70000</v>
      </c>
      <c r="AA50" s="446">
        <f>IF(AA$1&gt;80,Budget!$H137-Budget!$H$110,IF(AA$1&gt;'NWGC - SCENARIOS'!$D$7,Budget!$F137-Budget!$F$110,Budget!$D137-Budget!$D$110))</f>
        <v>70000</v>
      </c>
      <c r="AB50" s="446">
        <f>IF(AB$1&gt;80,Budget!$H137-Budget!$H$110,IF(AB$1&gt;'NWGC - SCENARIOS'!$D$7,Budget!$F137-Budget!$F$110,Budget!$D137-Budget!$D$110))</f>
        <v>70000</v>
      </c>
      <c r="AC50" s="446">
        <f>IF(AC$1&gt;80,Budget!$H137-Budget!$H$110,IF(AC$1&gt;'NWGC - SCENARIOS'!$D$7,Budget!$F137-Budget!$F$110,Budget!$D137-Budget!$D$110))</f>
        <v>70000</v>
      </c>
      <c r="AD50" s="446">
        <f>IF(AD$1&gt;80,Budget!$H137-Budget!$H$110,IF(AD$1&gt;'NWGC - SCENARIOS'!$D$7,Budget!$F137-Budget!$F$110,Budget!$D137-Budget!$D$110))</f>
        <v>70000</v>
      </c>
      <c r="AE50" s="446">
        <f>IF(AE$1&gt;80,Budget!$H137-Budget!$H$110,IF(AE$1&gt;'NWGC - SCENARIOS'!$D$7,Budget!$F137-Budget!$F$110,Budget!$D137-Budget!$D$110))</f>
        <v>70000</v>
      </c>
      <c r="AF50" s="446">
        <f>IF(AF$1&gt;80,Budget!$H137-Budget!$H$110,IF(AF$1&gt;'NWGC - SCENARIOS'!$D$7,Budget!$F137-Budget!$F$110,Budget!$D137-Budget!$D$110))</f>
        <v>70000</v>
      </c>
      <c r="AG50" s="446">
        <f>IF(AG$1&gt;80,Budget!$H137-Budget!$H$110,IF(AG$1&gt;'NWGC - SCENARIOS'!$D$7,Budget!$F137-Budget!$F$110,Budget!$D137-Budget!$D$110))</f>
        <v>70000</v>
      </c>
      <c r="AH50" s="446">
        <f>IF(AH$1&gt;80,Budget!$H137-Budget!$H$110,IF(AH$1&gt;'NWGC - SCENARIOS'!$D$7,Budget!$F137-Budget!$F$110,Budget!$D137-Budget!$D$110))</f>
        <v>70000</v>
      </c>
      <c r="AI50" s="446">
        <f>IF(AI$1&gt;80,Budget!$H137-Budget!$H$110,IF(AI$1&gt;'NWGC - SCENARIOS'!$D$7,Budget!$F137-Budget!$F$110,Budget!$D137-Budget!$D$110))</f>
        <v>70000</v>
      </c>
      <c r="AJ50" s="446">
        <f>IF(AJ$1&gt;80,Budget!$H137-Budget!$H$110,IF(AJ$1&gt;'NWGC - SCENARIOS'!$D$7,Budget!$F137-Budget!$F$110,Budget!$D137-Budget!$D$110))</f>
        <v>70000</v>
      </c>
      <c r="AK50" s="446">
        <f>IF(AK$1&gt;80,Budget!$H137-Budget!$H$110,IF(AK$1&gt;'NWGC - SCENARIOS'!$D$7,Budget!$F137-Budget!$F$110,Budget!$D137-Budget!$D$110))</f>
        <v>70000</v>
      </c>
      <c r="AL50" s="446">
        <f>IF(AL$1&gt;80,Budget!$H137-Budget!$H$110,IF(AL$1&gt;'NWGC - SCENARIOS'!$D$7,Budget!$F137-Budget!$F$110,Budget!$D137-Budget!$D$110))</f>
        <v>70000</v>
      </c>
      <c r="AM50" s="446">
        <f>IF(AM$1&gt;80,Budget!$H137-Budget!$H$110,IF(AM$1&gt;'NWGC - SCENARIOS'!$D$7,Budget!$F137-Budget!$F$110,Budget!$D137-Budget!$D$110))</f>
        <v>70000</v>
      </c>
      <c r="AN50" s="446">
        <f>IF(AN$1&gt;80,Budget!$H137-Budget!$H$110,IF(AN$1&gt;'NWGC - SCENARIOS'!$D$7,Budget!$F137-Budget!$F$110,Budget!$D137-Budget!$D$110))</f>
        <v>70000</v>
      </c>
      <c r="AO50" s="446">
        <f>IF(AO$1&gt;80,Budget!$H137-Budget!$H$110,IF(AO$1&gt;'NWGC - SCENARIOS'!$D$7,Budget!$F137-Budget!$F$110,Budget!$D137-Budget!$D$110))</f>
        <v>70000</v>
      </c>
      <c r="AP50" s="446">
        <f>IF(AP$1&gt;80,Budget!$H137-Budget!$H$110,IF(AP$1&gt;'NWGC - SCENARIOS'!$D$7,Budget!$F137-Budget!$F$110,Budget!$D137-Budget!$D$110))</f>
        <v>70000</v>
      </c>
      <c r="AQ50" s="446">
        <f>IF(AQ$1&gt;80,Budget!$H137-Budget!$H$110,IF(AQ$1&gt;'NWGC - SCENARIOS'!$D$7,Budget!$F137-Budget!$F$110,Budget!$D137-Budget!$D$110))</f>
        <v>70000</v>
      </c>
      <c r="AR50" s="446">
        <f>IF(AR$1&gt;80,Budget!$H137-Budget!$H$110,IF(AR$1&gt;'NWGC - SCENARIOS'!$D$7,Budget!$F137-Budget!$F$110,Budget!$D137-Budget!$D$110))</f>
        <v>70000</v>
      </c>
      <c r="AS50" s="446">
        <f>IF(AS$1&gt;80,Budget!$H137-Budget!$H$110,IF(AS$1&gt;'NWGC - SCENARIOS'!$D$7,Budget!$F137-Budget!$F$110,Budget!$D137-Budget!$D$110))</f>
        <v>70000</v>
      </c>
      <c r="AT50" s="446">
        <f>IF(AT$1&gt;80,Budget!$H137-Budget!$H$110,IF(AT$1&gt;'NWGC - SCENARIOS'!$D$7,Budget!$F137-Budget!$F$110,Budget!$D137-Budget!$D$110))</f>
        <v>70000</v>
      </c>
      <c r="AU50" s="446">
        <f>IF(AU$1&gt;80,Budget!$H137-Budget!$H$110,IF(AU$1&gt;'NWGC - SCENARIOS'!$D$7,Budget!$F137-Budget!$F$110,Budget!$D137-Budget!$D$110))</f>
        <v>70000</v>
      </c>
      <c r="AV50" s="446">
        <f>IF(AV$1&gt;80,Budget!$H137-Budget!$H$110,IF(AV$1&gt;'NWGC - SCENARIOS'!$D$7,Budget!$F137-Budget!$F$110,Budget!$D137-Budget!$D$110))</f>
        <v>70000</v>
      </c>
      <c r="AW50" s="446">
        <f>IF(AW$1&gt;80,Budget!$H137-Budget!$H$110,IF(AW$1&gt;'NWGC - SCENARIOS'!$D$7,Budget!$F137-Budget!$F$110,Budget!$D137-Budget!$D$110))</f>
        <v>70000</v>
      </c>
      <c r="AX50" s="446">
        <f>IF(AX$1&gt;80,Budget!$H137-Budget!$H$110,IF(AX$1&gt;'NWGC - SCENARIOS'!$D$7,Budget!$F137-Budget!$F$110,Budget!$D137-Budget!$D$110))</f>
        <v>70000</v>
      </c>
      <c r="AY50" s="446">
        <f>IF(AY$1&gt;80,Budget!$H137-Budget!$H$110,IF(AY$1&gt;'NWGC - SCENARIOS'!$D$7,Budget!$F137-Budget!$F$110,Budget!$D137-Budget!$D$110))</f>
        <v>70000</v>
      </c>
      <c r="AZ50" s="446">
        <f>IF(AZ$1&gt;80,Budget!$H137-Budget!$H$110,IF(AZ$1&gt;'NWGC - SCENARIOS'!$D$7,Budget!$F137-Budget!$F$110,Budget!$D137-Budget!$D$110))</f>
        <v>70000</v>
      </c>
      <c r="BA50" s="446">
        <f>IF(BA$1&gt;80,Budget!$H137-Budget!$H$110,IF(BA$1&gt;'NWGC - SCENARIOS'!$D$7,Budget!$F137-Budget!$F$110,Budget!$D137-Budget!$D$110))</f>
        <v>70000</v>
      </c>
      <c r="BB50" s="446">
        <f>IF(BB$1&gt;80,Budget!$H137-Budget!$H$110,IF(BB$1&gt;'NWGC - SCENARIOS'!$D$7,Budget!$F137-Budget!$F$110,Budget!$D137-Budget!$D$110))</f>
        <v>70000</v>
      </c>
      <c r="BC50" s="446">
        <f>IF(BC$1&gt;80,Budget!$H137-Budget!$H$110,IF(BC$1&gt;'NWGC - SCENARIOS'!$D$7,Budget!$F137-Budget!$F$110,Budget!$D137-Budget!$D$110))</f>
        <v>70000</v>
      </c>
      <c r="BD50" s="446">
        <f>IF(BD$1&gt;80,Budget!$H137-Budget!$H$110,IF(BD$1&gt;'NWGC - SCENARIOS'!$D$7,Budget!$F137-Budget!$F$110,Budget!$D137-Budget!$D$110))</f>
        <v>70000</v>
      </c>
      <c r="BE50" s="446">
        <f>IF(BE$1&gt;80,Budget!$H137-Budget!$H$110,IF(BE$1&gt;'NWGC - SCENARIOS'!$D$7,Budget!$F137-Budget!$F$110,Budget!$D137-Budget!$D$110))</f>
        <v>70000</v>
      </c>
      <c r="BF50" s="446">
        <f>IF(BF$1&gt;80,Budget!$H137-Budget!$H$110,IF(BF$1&gt;'NWGC - SCENARIOS'!$D$7,Budget!$F137-Budget!$F$110,Budget!$D137-Budget!$D$110))</f>
        <v>70000</v>
      </c>
    </row>
    <row r="51" spans="1:58" ht="14.4" x14ac:dyDescent="0.3">
      <c r="A51" s="166" t="s">
        <v>300</v>
      </c>
      <c r="B51" s="168">
        <f>IF(B1&gt;'NWGC - SCENARIOS'!$D$7,0,Budget!$D$110)</f>
        <v>245674</v>
      </c>
      <c r="C51" s="168">
        <f>IF(C1&gt;'NWGC - SCENARIOS'!$D$7,0,Budget!$D$110)</f>
        <v>245674</v>
      </c>
      <c r="D51" s="168">
        <f>IF(D1&gt;'NWGC - SCENARIOS'!$D$7,0,Budget!$D$110)</f>
        <v>245674</v>
      </c>
      <c r="E51" s="168">
        <f>IF(E1&gt;'NWGC - SCENARIOS'!$D$7,0,Budget!$D$110)</f>
        <v>245674</v>
      </c>
      <c r="F51" s="168">
        <f>IF(F1&gt;'NWGC - SCENARIOS'!$D$7,0,Budget!$D$110)</f>
        <v>245674</v>
      </c>
      <c r="G51" s="168">
        <f>IF(G1&gt;'NWGC - SCENARIOS'!$D$7,0,Budget!$D$110)</f>
        <v>245674</v>
      </c>
      <c r="H51" s="168">
        <f>IF(H1&gt;'NWGC - SCENARIOS'!$D$7,0,Budget!$D$110)</f>
        <v>245674</v>
      </c>
      <c r="I51" s="168">
        <f>IF(I1&gt;'NWGC - SCENARIOS'!$D$7,0,Budget!$D$110)</f>
        <v>0</v>
      </c>
      <c r="J51" s="168">
        <f>IF(J1&gt;'NWGC - SCENARIOS'!$D$7,0,Budget!$D$110)</f>
        <v>0</v>
      </c>
      <c r="K51" s="168">
        <f>IF(K1&gt;'NWGC - SCENARIOS'!$D$7,0,Budget!$D$110)</f>
        <v>0</v>
      </c>
      <c r="L51" s="168">
        <f>IF(L1&gt;'NWGC - SCENARIOS'!$D$7,0,Budget!$D$110)</f>
        <v>0</v>
      </c>
      <c r="M51" s="168">
        <f>IF(M1&gt;'NWGC - SCENARIOS'!$D$7,0,Budget!$D$110)</f>
        <v>0</v>
      </c>
      <c r="N51" s="168">
        <f>IF(N1&gt;'NWGC - SCENARIOS'!$D$7,0,Budget!$D$110)</f>
        <v>0</v>
      </c>
      <c r="O51" s="168">
        <f>IF(O1&gt;'NWGC - SCENARIOS'!$D$7,0,Budget!$D$110)</f>
        <v>0</v>
      </c>
      <c r="P51" s="168">
        <f>IF(P1&gt;'NWGC - SCENARIOS'!$D$7,0,Budget!$D$110)</f>
        <v>0</v>
      </c>
      <c r="Q51" s="168">
        <f>IF(Q1&gt;'NWGC - SCENARIOS'!$D$7,0,Budget!$D$110)</f>
        <v>0</v>
      </c>
      <c r="R51" s="168">
        <f>IF(R1&gt;'NWGC - SCENARIOS'!$D$7,0,Budget!$D$110)</f>
        <v>0</v>
      </c>
      <c r="S51" s="168">
        <f>IF(S1&gt;'NWGC - SCENARIOS'!$D$7,0,Budget!$D$110)</f>
        <v>0</v>
      </c>
      <c r="T51" s="168">
        <f>IF(T1&gt;'NWGC - SCENARIOS'!$D$7,0,Budget!$D$110)</f>
        <v>0</v>
      </c>
      <c r="U51" s="168">
        <f>IF(U1&gt;'NWGC - SCENARIOS'!$D$7,0,Budget!$D$110)</f>
        <v>0</v>
      </c>
      <c r="V51" s="168">
        <f>IF(V1&gt;'NWGC - SCENARIOS'!$D$7,0,Budget!$D$110)</f>
        <v>0</v>
      </c>
      <c r="W51" s="168">
        <f>IF(W1&gt;'NWGC - SCENARIOS'!$D$7,0,Budget!$D$110)</f>
        <v>0</v>
      </c>
      <c r="X51" s="168">
        <f>IF(X1&gt;'NWGC - SCENARIOS'!$D$7,0,Budget!$D$110)</f>
        <v>0</v>
      </c>
      <c r="Y51" s="168">
        <f>IF(Y1&gt;'NWGC - SCENARIOS'!$D$7,0,Budget!$D$110)</f>
        <v>0</v>
      </c>
      <c r="Z51" s="168">
        <f>IF(Z1&gt;'NWGC - SCENARIOS'!$D$7,0,Budget!$D$110)</f>
        <v>0</v>
      </c>
      <c r="AA51" s="168">
        <f>IF(AA1&gt;'NWGC - SCENARIOS'!$D$7,0,Budget!$D$110)</f>
        <v>0</v>
      </c>
      <c r="AB51" s="168">
        <f>IF(AB1&gt;'NWGC - SCENARIOS'!$D$7,0,Budget!$D$110)</f>
        <v>0</v>
      </c>
      <c r="AC51" s="168">
        <f>IF(AC1&gt;'NWGC - SCENARIOS'!$D$7,0,Budget!$D$110)</f>
        <v>0</v>
      </c>
      <c r="AD51" s="168">
        <f>IF(AD1&gt;'NWGC - SCENARIOS'!$D$7,0,Budget!$D$110)</f>
        <v>0</v>
      </c>
      <c r="AE51" s="168">
        <f>IF(AE1&gt;'NWGC - SCENARIOS'!$D$7,0,Budget!$D$110)</f>
        <v>0</v>
      </c>
      <c r="AF51" s="168">
        <f>IF(AF1&gt;'NWGC - SCENARIOS'!$D$7,0,Budget!$D$110)</f>
        <v>0</v>
      </c>
      <c r="AG51" s="168">
        <f>IF(AG1&gt;'NWGC - SCENARIOS'!$D$7,0,Budget!$D$110)</f>
        <v>0</v>
      </c>
      <c r="AH51" s="168">
        <f>IF(AH1&gt;'NWGC - SCENARIOS'!$D$7,0,Budget!$D$110)</f>
        <v>0</v>
      </c>
      <c r="AI51" s="168">
        <f>IF(AI1&gt;'NWGC - SCENARIOS'!$D$7,0,Budget!$D$110)</f>
        <v>0</v>
      </c>
      <c r="AJ51" s="168">
        <f>IF(AJ1&gt;'NWGC - SCENARIOS'!$D$7,0,Budget!$D$110)</f>
        <v>0</v>
      </c>
      <c r="AK51" s="168">
        <f>IF(AK1&gt;'NWGC - SCENARIOS'!$D$7,0,Budget!$D$110)</f>
        <v>0</v>
      </c>
      <c r="AL51" s="168">
        <f>IF(AL1&gt;'NWGC - SCENARIOS'!$D$7,0,Budget!$D$110)</f>
        <v>0</v>
      </c>
      <c r="AM51" s="168">
        <f>IF(AM1&gt;'NWGC - SCENARIOS'!$D$7,0,Budget!$D$110)</f>
        <v>0</v>
      </c>
      <c r="AN51" s="168">
        <f>IF(AN1&gt;'NWGC - SCENARIOS'!$D$7,0,Budget!$D$110)</f>
        <v>0</v>
      </c>
      <c r="AO51" s="168">
        <f>IF(AO1&gt;'NWGC - SCENARIOS'!$D$7,0,Budget!$D$110)</f>
        <v>0</v>
      </c>
      <c r="AP51" s="168">
        <f>IF(AP1&gt;'NWGC - SCENARIOS'!$D$7,0,Budget!$D$110)</f>
        <v>0</v>
      </c>
      <c r="AQ51" s="168">
        <f>IF(AQ1&gt;'NWGC - SCENARIOS'!$D$7,0,Budget!$D$110)</f>
        <v>0</v>
      </c>
      <c r="AR51" s="168">
        <f>IF(AR1&gt;'NWGC - SCENARIOS'!$D$7,0,Budget!$D$110)</f>
        <v>0</v>
      </c>
      <c r="AS51" s="168">
        <f>IF(AS1&gt;'NWGC - SCENARIOS'!$D$7,0,Budget!$D$110)</f>
        <v>0</v>
      </c>
      <c r="AT51" s="168">
        <f>IF(AT1&gt;'NWGC - SCENARIOS'!$D$7,0,Budget!$D$110)</f>
        <v>0</v>
      </c>
      <c r="AU51" s="168">
        <f>IF(AU1&gt;'NWGC - SCENARIOS'!$D$7,0,Budget!$D$110)</f>
        <v>0</v>
      </c>
      <c r="AV51" s="168">
        <f>IF(AV1&gt;'NWGC - SCENARIOS'!$D$7,0,Budget!$D$110)</f>
        <v>0</v>
      </c>
      <c r="AW51" s="168">
        <f>IF(AW1&gt;'NWGC - SCENARIOS'!$D$7,0,Budget!$D$110)</f>
        <v>0</v>
      </c>
      <c r="AX51" s="168">
        <f>IF(AX1&gt;'NWGC - SCENARIOS'!$D$7,0,Budget!$D$110)</f>
        <v>0</v>
      </c>
      <c r="AY51" s="168">
        <f>IF(AY1&gt;'NWGC - SCENARIOS'!$D$7,0,Budget!$D$110)</f>
        <v>0</v>
      </c>
      <c r="AZ51" s="168">
        <f>IF(AZ1&gt;'NWGC - SCENARIOS'!$D$7,0,Budget!$D$110)</f>
        <v>0</v>
      </c>
      <c r="BA51" s="168">
        <f>IF(BA1&gt;'NWGC - SCENARIOS'!$D$7,0,Budget!$D$110)</f>
        <v>0</v>
      </c>
      <c r="BB51" s="168">
        <f>IF(BB1&gt;'NWGC - SCENARIOS'!$D$7,0,Budget!$D$110)</f>
        <v>0</v>
      </c>
      <c r="BC51" s="168">
        <f>IF(BC1&gt;'NWGC - SCENARIOS'!$D$7,0,Budget!$D$110)</f>
        <v>0</v>
      </c>
      <c r="BD51" s="168">
        <f>IF(BD1&gt;'NWGC - SCENARIOS'!$D$7,0,Budget!$D$110)</f>
        <v>0</v>
      </c>
      <c r="BE51" s="168">
        <f>IF(BE1&gt;'NWGC - SCENARIOS'!$D$7,0,Budget!$D$110)</f>
        <v>0</v>
      </c>
      <c r="BF51" s="168">
        <f>IF(BF1&gt;'NWGC - SCENARIOS'!$D$7,0,Budget!$D$110)</f>
        <v>0</v>
      </c>
    </row>
    <row r="52" spans="1:58" ht="14.4" x14ac:dyDescent="0.3">
      <c r="A52" s="166" t="str">
        <f>Budget!B138</f>
        <v>Loan EMIs</v>
      </c>
      <c r="B52" s="168">
        <v>569280</v>
      </c>
      <c r="C52" s="168">
        <f ca="1">SUMIF('Loan Amortization'!$CV:$CV,'Yearly Budget'!C$2,'Loan Amortization'!$CU:$CU)</f>
        <v>332080</v>
      </c>
      <c r="D52" s="168">
        <f ca="1">SUMIF('Loan Amortization'!$CV:$CV,'Yearly Budget'!D$2,'Loan Amortization'!$CU:$CU)</f>
        <v>569280</v>
      </c>
      <c r="E52" s="168">
        <f ca="1">SUMIF('Loan Amortization'!$CV:$CV,'Yearly Budget'!E$2,'Loan Amortization'!$CU:$CU)</f>
        <v>357117.9206520709</v>
      </c>
      <c r="F52" s="168">
        <f ca="1">SUMIF('Loan Amortization'!$CV:$CV,'Yearly Budget'!F$2,'Loan Amortization'!$CU:$CU)</f>
        <v>0</v>
      </c>
      <c r="G52" s="168">
        <f ca="1">SUMIF('Loan Amortization'!$CV:$CV,'Yearly Budget'!G$2,'Loan Amortization'!$CU:$CU)</f>
        <v>0</v>
      </c>
      <c r="H52" s="168">
        <f ca="1">SUMIF('Loan Amortization'!$CV:$CV,'Yearly Budget'!H$2,'Loan Amortization'!$CU:$CU)</f>
        <v>0</v>
      </c>
      <c r="I52" s="168">
        <f ca="1">SUMIF('Loan Amortization'!$CV:$CV,'Yearly Budget'!I$2,'Loan Amortization'!$CU:$CU)</f>
        <v>0</v>
      </c>
      <c r="J52" s="168">
        <f ca="1">SUMIF('Loan Amortization'!$CV:$CV,'Yearly Budget'!J$2,'Loan Amortization'!$CU:$CU)</f>
        <v>0</v>
      </c>
      <c r="K52" s="168">
        <f ca="1">SUMIF('Loan Amortization'!$CV:$CV,'Yearly Budget'!K$2,'Loan Amortization'!$CU:$CU)</f>
        <v>0</v>
      </c>
      <c r="L52" s="168">
        <f ca="1">SUMIF('Loan Amortization'!$CV:$CV,'Yearly Budget'!L$2,'Loan Amortization'!$CU:$CU)</f>
        <v>0</v>
      </c>
      <c r="M52" s="168">
        <f ca="1">SUMIF('Loan Amortization'!$CV:$CV,'Yearly Budget'!M$2,'Loan Amortization'!$CU:$CU)</f>
        <v>0</v>
      </c>
      <c r="N52" s="168">
        <f ca="1">SUMIF('Loan Amortization'!$CV:$CV,'Yearly Budget'!N$2,'Loan Amortization'!$CU:$CU)</f>
        <v>0</v>
      </c>
      <c r="O52" s="168">
        <f ca="1">SUMIF('Loan Amortization'!$CV:$CV,'Yearly Budget'!O$2,'Loan Amortization'!$CU:$CU)</f>
        <v>0</v>
      </c>
      <c r="P52" s="168">
        <f ca="1">SUMIF('Loan Amortization'!$CV:$CV,'Yearly Budget'!P$2,'Loan Amortization'!$CU:$CU)</f>
        <v>0</v>
      </c>
      <c r="Q52" s="168">
        <f ca="1">SUMIF('Loan Amortization'!$CV:$CV,'Yearly Budget'!Q$2,'Loan Amortization'!$CU:$CU)</f>
        <v>0</v>
      </c>
      <c r="R52" s="168">
        <f ca="1">SUMIF('Loan Amortization'!$CV:$CV,'Yearly Budget'!R$2,'Loan Amortization'!$CU:$CU)</f>
        <v>0</v>
      </c>
      <c r="S52" s="168">
        <f ca="1">SUMIF('Loan Amortization'!$CV:$CV,'Yearly Budget'!S$2,'Loan Amortization'!$CU:$CU)</f>
        <v>0</v>
      </c>
      <c r="T52" s="168">
        <f ca="1">SUMIF('Loan Amortization'!$CV:$CV,'Yearly Budget'!T$2,'Loan Amortization'!$CU:$CU)</f>
        <v>0</v>
      </c>
      <c r="U52" s="168">
        <f ca="1">SUMIF('Loan Amortization'!$CV:$CV,'Yearly Budget'!U$2,'Loan Amortization'!$CU:$CU)</f>
        <v>0</v>
      </c>
      <c r="V52" s="168">
        <f ca="1">SUMIF('Loan Amortization'!$CV:$CV,'Yearly Budget'!V$2,'Loan Amortization'!$CU:$CU)</f>
        <v>0</v>
      </c>
      <c r="W52" s="168">
        <f ca="1">SUMIF('Loan Amortization'!$CV:$CV,'Yearly Budget'!W$2,'Loan Amortization'!$CU:$CU)</f>
        <v>0</v>
      </c>
      <c r="X52" s="168">
        <f ca="1">SUMIF('Loan Amortization'!$CV:$CV,'Yearly Budget'!X$2,'Loan Amortization'!$CU:$CU)</f>
        <v>0</v>
      </c>
      <c r="Y52" s="168">
        <f ca="1">SUMIF('Loan Amortization'!$CV:$CV,'Yearly Budget'!Y$2,'Loan Amortization'!$CU:$CU)</f>
        <v>0</v>
      </c>
      <c r="Z52" s="168">
        <f ca="1">SUMIF('Loan Amortization'!$CV:$CV,'Yearly Budget'!Z$2,'Loan Amortization'!$CU:$CU)</f>
        <v>0</v>
      </c>
      <c r="AA52" s="168">
        <f ca="1">SUMIF('Loan Amortization'!$CV:$CV,'Yearly Budget'!AA$2,'Loan Amortization'!$CU:$CU)</f>
        <v>0</v>
      </c>
      <c r="AB52" s="168">
        <f ca="1">SUMIF('Loan Amortization'!$CV:$CV,'Yearly Budget'!AB$2,'Loan Amortization'!$CU:$CU)</f>
        <v>0</v>
      </c>
      <c r="AC52" s="168">
        <f ca="1">SUMIF('Loan Amortization'!$CV:$CV,'Yearly Budget'!AC$2,'Loan Amortization'!$CU:$CU)</f>
        <v>0</v>
      </c>
      <c r="AD52" s="168">
        <f ca="1">SUMIF('Loan Amortization'!$CV:$CV,'Yearly Budget'!AD$2,'Loan Amortization'!$CU:$CU)</f>
        <v>0</v>
      </c>
      <c r="AE52" s="168">
        <f ca="1">SUMIF('Loan Amortization'!$CV:$CV,'Yearly Budget'!AE$2,'Loan Amortization'!$CU:$CU)</f>
        <v>0</v>
      </c>
      <c r="AF52" s="168">
        <f ca="1">SUMIF('Loan Amortization'!$CV:$CV,'Yearly Budget'!AF$2,'Loan Amortization'!$CU:$CU)</f>
        <v>0</v>
      </c>
      <c r="AG52" s="168">
        <f ca="1">SUMIF('Loan Amortization'!$CV:$CV,'Yearly Budget'!AG$2,'Loan Amortization'!$CU:$CU)</f>
        <v>0</v>
      </c>
      <c r="AH52" s="168">
        <f ca="1">SUMIF('Loan Amortization'!$CV:$CV,'Yearly Budget'!AH$2,'Loan Amortization'!$CU:$CU)</f>
        <v>0</v>
      </c>
      <c r="AI52" s="168">
        <f ca="1">SUMIF('Loan Amortization'!$CV:$CV,'Yearly Budget'!AI$2,'Loan Amortization'!$CU:$CU)</f>
        <v>0</v>
      </c>
      <c r="AJ52" s="168">
        <f ca="1">SUMIF('Loan Amortization'!$CV:$CV,'Yearly Budget'!AJ$2,'Loan Amortization'!$CU:$CU)</f>
        <v>0</v>
      </c>
      <c r="AK52" s="168">
        <f ca="1">SUMIF('Loan Amortization'!$CV:$CV,'Yearly Budget'!AK$2,'Loan Amortization'!$CU:$CU)</f>
        <v>0</v>
      </c>
      <c r="AL52" s="168">
        <f ca="1">SUMIF('Loan Amortization'!$CV:$CV,'Yearly Budget'!AL$2,'Loan Amortization'!$CU:$CU)</f>
        <v>0</v>
      </c>
      <c r="AM52" s="168">
        <f ca="1">SUMIF('Loan Amortization'!$CV:$CV,'Yearly Budget'!AM$2,'Loan Amortization'!$CU:$CU)</f>
        <v>0</v>
      </c>
      <c r="AN52" s="168">
        <f ca="1">SUMIF('Loan Amortization'!$CV:$CV,'Yearly Budget'!AN$2,'Loan Amortization'!$CU:$CU)</f>
        <v>0</v>
      </c>
      <c r="AO52" s="168">
        <f ca="1">SUMIF('Loan Amortization'!$CV:$CV,'Yearly Budget'!AO$2,'Loan Amortization'!$CU:$CU)</f>
        <v>0</v>
      </c>
      <c r="AP52" s="168">
        <f ca="1">SUMIF('Loan Amortization'!$CV:$CV,'Yearly Budget'!AP$2,'Loan Amortization'!$CU:$CU)</f>
        <v>0</v>
      </c>
      <c r="AQ52" s="168">
        <f ca="1">SUMIF('Loan Amortization'!$CV:$CV,'Yearly Budget'!AQ$2,'Loan Amortization'!$CU:$CU)</f>
        <v>0</v>
      </c>
      <c r="AR52" s="168">
        <f ca="1">SUMIF('Loan Amortization'!$CV:$CV,'Yearly Budget'!AR$2,'Loan Amortization'!$CU:$CU)</f>
        <v>0</v>
      </c>
      <c r="AS52" s="168">
        <f ca="1">SUMIF('Loan Amortization'!$CV:$CV,'Yearly Budget'!AS$2,'Loan Amortization'!$CU:$CU)</f>
        <v>0</v>
      </c>
      <c r="AT52" s="168">
        <f ca="1">SUMIF('Loan Amortization'!$CV:$CV,'Yearly Budget'!AT$2,'Loan Amortization'!$CU:$CU)</f>
        <v>0</v>
      </c>
      <c r="AU52" s="168">
        <f ca="1">SUMIF('Loan Amortization'!$CV:$CV,'Yearly Budget'!AU$2,'Loan Amortization'!$CU:$CU)</f>
        <v>0</v>
      </c>
      <c r="AV52" s="168">
        <f ca="1">SUMIF('Loan Amortization'!$CV:$CV,'Yearly Budget'!AV$2,'Loan Amortization'!$CU:$CU)</f>
        <v>0</v>
      </c>
      <c r="AW52" s="168">
        <f ca="1">SUMIF('Loan Amortization'!$CV:$CV,'Yearly Budget'!AW$2,'Loan Amortization'!$CU:$CU)</f>
        <v>0</v>
      </c>
      <c r="AX52" s="168">
        <f ca="1">SUMIF('Loan Amortization'!$CV:$CV,'Yearly Budget'!AX$2,'Loan Amortization'!$CU:$CU)</f>
        <v>0</v>
      </c>
      <c r="AY52" s="168">
        <f ca="1">SUMIF('Loan Amortization'!$CV:$CV,'Yearly Budget'!AY$2,'Loan Amortization'!$CU:$CU)</f>
        <v>0</v>
      </c>
      <c r="AZ52" s="168">
        <f ca="1">SUMIF('Loan Amortization'!$CV:$CV,'Yearly Budget'!AZ$2,'Loan Amortization'!$CU:$CU)</f>
        <v>0</v>
      </c>
      <c r="BA52" s="168">
        <f ca="1">SUMIF('Loan Amortization'!$CV:$CV,'Yearly Budget'!BA$2,'Loan Amortization'!$CU:$CU)</f>
        <v>0</v>
      </c>
      <c r="BB52" s="168">
        <f ca="1">SUMIF('Loan Amortization'!$CV:$CV,'Yearly Budget'!BB$2,'Loan Amortization'!$CU:$CU)</f>
        <v>0</v>
      </c>
      <c r="BC52" s="168">
        <f ca="1">SUMIF('Loan Amortization'!$CV:$CV,'Yearly Budget'!BC$2,'Loan Amortization'!$CU:$CU)</f>
        <v>0</v>
      </c>
      <c r="BD52" s="168">
        <f ca="1">SUMIF('Loan Amortization'!$CV:$CV,'Yearly Budget'!BD$2,'Loan Amortization'!$CU:$CU)</f>
        <v>0</v>
      </c>
      <c r="BE52" s="168">
        <f ca="1">SUMIF('Loan Amortization'!$CV:$CV,'Yearly Budget'!BE$2,'Loan Amortization'!$CU:$CU)</f>
        <v>0</v>
      </c>
      <c r="BF52" s="168">
        <f ca="1">SUMIF('Loan Amortization'!$CV:$CV,'Yearly Budget'!BF$2,'Loan Amortization'!$CU:$CU)</f>
        <v>0</v>
      </c>
    </row>
    <row r="53" spans="1:58" ht="14.4" x14ac:dyDescent="0.3">
      <c r="A53" s="100" t="s">
        <v>343</v>
      </c>
      <c r="B53" s="147">
        <f>'Key Life Events'!AJ29</f>
        <v>0</v>
      </c>
      <c r="C53" s="147">
        <f>'Key Life Events'!AK29</f>
        <v>0</v>
      </c>
      <c r="D53" s="147">
        <f>'Key Life Events'!AL29</f>
        <v>0</v>
      </c>
      <c r="E53" s="147">
        <f>'Key Life Events'!AM29</f>
        <v>0</v>
      </c>
      <c r="F53" s="147">
        <f>'Key Life Events'!AN29</f>
        <v>3000000</v>
      </c>
      <c r="G53" s="147">
        <f>'Key Life Events'!AO29</f>
        <v>13000000</v>
      </c>
      <c r="H53" s="147">
        <f>'Key Life Events'!AP29</f>
        <v>3000000</v>
      </c>
      <c r="I53" s="147">
        <f>'Key Life Events'!AQ29</f>
        <v>3000000</v>
      </c>
      <c r="J53" s="147">
        <f>'Key Life Events'!AR29</f>
        <v>0</v>
      </c>
      <c r="K53" s="147">
        <f>'Key Life Events'!AS29</f>
        <v>0</v>
      </c>
      <c r="L53" s="147">
        <f>'Key Life Events'!AT29</f>
        <v>2000000</v>
      </c>
      <c r="M53" s="147">
        <f>'Key Life Events'!AU29</f>
        <v>500000</v>
      </c>
      <c r="N53" s="147">
        <f>'Key Life Events'!AV29</f>
        <v>0</v>
      </c>
      <c r="O53" s="147">
        <f>'Key Life Events'!AW29</f>
        <v>0</v>
      </c>
      <c r="P53" s="147">
        <f>'Key Life Events'!AX29</f>
        <v>0</v>
      </c>
      <c r="Q53" s="147">
        <f>'Key Life Events'!AY29</f>
        <v>0</v>
      </c>
      <c r="R53" s="147">
        <f>'Key Life Events'!AZ29</f>
        <v>0</v>
      </c>
      <c r="S53" s="147">
        <f>'Key Life Events'!BA29</f>
        <v>0</v>
      </c>
      <c r="T53" s="147">
        <f>'Key Life Events'!BB29</f>
        <v>0</v>
      </c>
      <c r="U53" s="147">
        <f>'Key Life Events'!BC29</f>
        <v>0</v>
      </c>
      <c r="V53" s="147">
        <f>'Key Life Events'!BD29</f>
        <v>0</v>
      </c>
      <c r="W53" s="147">
        <f>'Key Life Events'!BE29</f>
        <v>0</v>
      </c>
      <c r="X53" s="147">
        <f>'Key Life Events'!BF29</f>
        <v>0</v>
      </c>
      <c r="Y53" s="147">
        <f>'Key Life Events'!BG29</f>
        <v>0</v>
      </c>
      <c r="Z53" s="147">
        <f>'Key Life Events'!BH29</f>
        <v>0</v>
      </c>
      <c r="AA53" s="147">
        <f>'Key Life Events'!BI29</f>
        <v>0</v>
      </c>
      <c r="AB53" s="147">
        <f>'Key Life Events'!BJ29</f>
        <v>0</v>
      </c>
      <c r="AC53" s="147">
        <f>'Key Life Events'!BK29</f>
        <v>0</v>
      </c>
      <c r="AD53" s="147">
        <f>'Key Life Events'!BL29</f>
        <v>0</v>
      </c>
      <c r="AE53" s="147">
        <f>'Key Life Events'!BM29</f>
        <v>0</v>
      </c>
      <c r="AF53" s="147">
        <f>'Key Life Events'!BN29</f>
        <v>0</v>
      </c>
      <c r="AG53" s="147">
        <f>'Key Life Events'!BO29</f>
        <v>0</v>
      </c>
      <c r="AH53" s="147">
        <f>'Key Life Events'!BP29</f>
        <v>0</v>
      </c>
      <c r="AI53" s="147">
        <f>'Key Life Events'!BQ29</f>
        <v>0</v>
      </c>
      <c r="AJ53" s="147">
        <f>'Key Life Events'!BR29</f>
        <v>0</v>
      </c>
      <c r="AK53" s="147">
        <f>'Key Life Events'!BS29</f>
        <v>0</v>
      </c>
      <c r="AL53" s="147">
        <f>'Key Life Events'!BT29</f>
        <v>0</v>
      </c>
      <c r="AM53" s="147">
        <f>'Key Life Events'!BU29</f>
        <v>0</v>
      </c>
      <c r="AN53" s="147">
        <f>'Key Life Events'!BV29</f>
        <v>0</v>
      </c>
      <c r="AO53" s="147">
        <f>'Key Life Events'!BW29</f>
        <v>0</v>
      </c>
      <c r="AP53" s="147">
        <f>'Key Life Events'!BX29</f>
        <v>0</v>
      </c>
      <c r="AQ53" s="147">
        <f>'Key Life Events'!BY29</f>
        <v>0</v>
      </c>
      <c r="AR53" s="147">
        <f>'Key Life Events'!BZ29</f>
        <v>0</v>
      </c>
      <c r="AS53" s="147">
        <f>'Key Life Events'!CA29</f>
        <v>0</v>
      </c>
      <c r="AT53" s="147">
        <f>'Key Life Events'!CB29</f>
        <v>0</v>
      </c>
      <c r="AU53" s="147">
        <f>'Key Life Events'!CC29</f>
        <v>0</v>
      </c>
      <c r="AV53" s="147">
        <f>'Key Life Events'!CD29</f>
        <v>0</v>
      </c>
      <c r="AW53" s="147">
        <f>'Key Life Events'!CE29</f>
        <v>0</v>
      </c>
      <c r="AX53" s="147">
        <f>'Key Life Events'!CF29</f>
        <v>0</v>
      </c>
      <c r="AY53" s="147">
        <f>'Key Life Events'!CG29</f>
        <v>0</v>
      </c>
      <c r="AZ53" s="147">
        <f>'Key Life Events'!CH29</f>
        <v>0</v>
      </c>
      <c r="BA53" s="147">
        <f>'Key Life Events'!CI29</f>
        <v>0</v>
      </c>
      <c r="BB53" s="147">
        <f>'Key Life Events'!CJ29</f>
        <v>0</v>
      </c>
      <c r="BC53" s="147">
        <f>'Key Life Events'!CK29</f>
        <v>0</v>
      </c>
      <c r="BD53" s="147">
        <f>'Key Life Events'!CL29</f>
        <v>0</v>
      </c>
      <c r="BE53" s="147">
        <f>'Key Life Events'!CM29</f>
        <v>0</v>
      </c>
      <c r="BF53" s="147">
        <f>'Key Life Events'!CN29</f>
        <v>0</v>
      </c>
    </row>
    <row r="54" spans="1:58" ht="17.399999999999999" x14ac:dyDescent="0.3">
      <c r="A54" s="144" t="s">
        <v>344</v>
      </c>
      <c r="B54" s="145">
        <f t="shared" ref="B54:AG54" si="14">SUM(B42:B53)</f>
        <v>3626183</v>
      </c>
      <c r="C54" s="145">
        <f t="shared" ca="1" si="14"/>
        <v>3388983</v>
      </c>
      <c r="D54" s="145">
        <f t="shared" ca="1" si="14"/>
        <v>3626183</v>
      </c>
      <c r="E54" s="145">
        <f t="shared" ca="1" si="14"/>
        <v>3414020.920652071</v>
      </c>
      <c r="F54" s="145">
        <f t="shared" ca="1" si="14"/>
        <v>6056903</v>
      </c>
      <c r="G54" s="145">
        <f t="shared" ca="1" si="14"/>
        <v>16056903</v>
      </c>
      <c r="H54" s="145">
        <f t="shared" ca="1" si="14"/>
        <v>6056903</v>
      </c>
      <c r="I54" s="145">
        <f t="shared" ca="1" si="14"/>
        <v>5261229</v>
      </c>
      <c r="J54" s="145">
        <f t="shared" ca="1" si="14"/>
        <v>2261229</v>
      </c>
      <c r="K54" s="145">
        <f t="shared" ca="1" si="14"/>
        <v>2261229</v>
      </c>
      <c r="L54" s="145">
        <f t="shared" ca="1" si="14"/>
        <v>4261229</v>
      </c>
      <c r="M54" s="145">
        <f t="shared" ca="1" si="14"/>
        <v>2761229</v>
      </c>
      <c r="N54" s="145">
        <f t="shared" ca="1" si="14"/>
        <v>2261229</v>
      </c>
      <c r="O54" s="145">
        <f t="shared" ca="1" si="14"/>
        <v>2261229</v>
      </c>
      <c r="P54" s="145">
        <f t="shared" ca="1" si="14"/>
        <v>2261229</v>
      </c>
      <c r="Q54" s="145">
        <f t="shared" ca="1" si="14"/>
        <v>2261229</v>
      </c>
      <c r="R54" s="145">
        <f t="shared" ca="1" si="14"/>
        <v>2261229</v>
      </c>
      <c r="S54" s="145">
        <f t="shared" ca="1" si="14"/>
        <v>2261229</v>
      </c>
      <c r="T54" s="145">
        <f t="shared" ca="1" si="14"/>
        <v>2261229</v>
      </c>
      <c r="U54" s="145">
        <f t="shared" ca="1" si="14"/>
        <v>2261229</v>
      </c>
      <c r="V54" s="145">
        <f t="shared" ca="1" si="14"/>
        <v>2261229</v>
      </c>
      <c r="W54" s="145">
        <f t="shared" ca="1" si="14"/>
        <v>2261229</v>
      </c>
      <c r="X54" s="145">
        <f t="shared" ca="1" si="14"/>
        <v>2261229</v>
      </c>
      <c r="Y54" s="145">
        <f t="shared" ca="1" si="14"/>
        <v>2261229</v>
      </c>
      <c r="Z54" s="145">
        <f t="shared" ca="1" si="14"/>
        <v>2261229</v>
      </c>
      <c r="AA54" s="145">
        <f t="shared" ca="1" si="14"/>
        <v>2261229</v>
      </c>
      <c r="AB54" s="145">
        <f t="shared" ca="1" si="14"/>
        <v>2261229</v>
      </c>
      <c r="AC54" s="145">
        <f t="shared" ca="1" si="14"/>
        <v>2261229</v>
      </c>
      <c r="AD54" s="145">
        <f t="shared" ca="1" si="14"/>
        <v>2261229</v>
      </c>
      <c r="AE54" s="145">
        <f t="shared" ca="1" si="14"/>
        <v>2261229</v>
      </c>
      <c r="AF54" s="145">
        <f t="shared" ca="1" si="14"/>
        <v>2261229</v>
      </c>
      <c r="AG54" s="145">
        <f t="shared" ca="1" si="14"/>
        <v>2261229</v>
      </c>
      <c r="AH54" s="145">
        <f t="shared" ref="AH54:BF54" ca="1" si="15">SUM(AH42:AH53)</f>
        <v>2211229</v>
      </c>
      <c r="AI54" s="145">
        <f t="shared" ca="1" si="15"/>
        <v>2211229</v>
      </c>
      <c r="AJ54" s="145">
        <f t="shared" ca="1" si="15"/>
        <v>2211229</v>
      </c>
      <c r="AK54" s="145">
        <f t="shared" ca="1" si="15"/>
        <v>2211229</v>
      </c>
      <c r="AL54" s="145">
        <f t="shared" ca="1" si="15"/>
        <v>2211229</v>
      </c>
      <c r="AM54" s="145">
        <f t="shared" ca="1" si="15"/>
        <v>2211229</v>
      </c>
      <c r="AN54" s="145">
        <f t="shared" ca="1" si="15"/>
        <v>2211229</v>
      </c>
      <c r="AO54" s="145">
        <f t="shared" ca="1" si="15"/>
        <v>2211229</v>
      </c>
      <c r="AP54" s="145">
        <f t="shared" ca="1" si="15"/>
        <v>2211229</v>
      </c>
      <c r="AQ54" s="145">
        <f t="shared" ca="1" si="15"/>
        <v>2211229</v>
      </c>
      <c r="AR54" s="145">
        <f t="shared" ca="1" si="15"/>
        <v>2211229</v>
      </c>
      <c r="AS54" s="145">
        <f t="shared" ca="1" si="15"/>
        <v>2211229</v>
      </c>
      <c r="AT54" s="145">
        <f t="shared" ca="1" si="15"/>
        <v>2211229</v>
      </c>
      <c r="AU54" s="145">
        <f t="shared" ca="1" si="15"/>
        <v>2211229</v>
      </c>
      <c r="AV54" s="145">
        <f t="shared" ca="1" si="15"/>
        <v>2211229</v>
      </c>
      <c r="AW54" s="145">
        <f t="shared" ca="1" si="15"/>
        <v>2211229</v>
      </c>
      <c r="AX54" s="145">
        <f t="shared" ca="1" si="15"/>
        <v>2211229</v>
      </c>
      <c r="AY54" s="145">
        <f t="shared" ca="1" si="15"/>
        <v>2211229</v>
      </c>
      <c r="AZ54" s="145">
        <f t="shared" ca="1" si="15"/>
        <v>2211229</v>
      </c>
      <c r="BA54" s="145">
        <f t="shared" ca="1" si="15"/>
        <v>2211229</v>
      </c>
      <c r="BB54" s="145">
        <f t="shared" ca="1" si="15"/>
        <v>2211229</v>
      </c>
      <c r="BC54" s="145">
        <f t="shared" ca="1" si="15"/>
        <v>2211229</v>
      </c>
      <c r="BD54" s="145">
        <f t="shared" ca="1" si="15"/>
        <v>2211229</v>
      </c>
      <c r="BE54" s="145">
        <f t="shared" ca="1" si="15"/>
        <v>2211229</v>
      </c>
      <c r="BF54" s="145">
        <f t="shared" ca="1" si="15"/>
        <v>2211229</v>
      </c>
    </row>
    <row r="55" spans="1:58" x14ac:dyDescent="0.3">
      <c r="B55" s="160"/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160"/>
      <c r="AL55" s="160"/>
      <c r="AM55" s="160"/>
      <c r="AN55" s="160"/>
      <c r="AO55" s="160"/>
      <c r="AP55" s="160"/>
      <c r="AQ55" s="160"/>
      <c r="AR55" s="160"/>
      <c r="AS55" s="160"/>
      <c r="AT55" s="160"/>
      <c r="AU55" s="160"/>
      <c r="AV55" s="160"/>
      <c r="AW55" s="160"/>
      <c r="AX55" s="160"/>
      <c r="AY55" s="160"/>
      <c r="AZ55" s="160"/>
      <c r="BA55" s="160"/>
      <c r="BB55" s="160"/>
      <c r="BC55" s="160"/>
      <c r="BD55" s="160"/>
      <c r="BE55" s="160"/>
      <c r="BF55" s="160"/>
    </row>
    <row r="56" spans="1:58" ht="18" x14ac:dyDescent="0.3">
      <c r="A56" s="556" t="s">
        <v>345</v>
      </c>
    </row>
    <row r="57" spans="1:58" s="99" customFormat="1" ht="14.4" x14ac:dyDescent="0.3">
      <c r="A57" s="100" t="str">
        <f t="shared" ref="A57:I68" si="16">A42</f>
        <v>Utilities</v>
      </c>
      <c r="B57" s="151">
        <f>B42</f>
        <v>372229</v>
      </c>
      <c r="C57" s="151">
        <f>IF(C$1&gt;'NWGC - SCENARIOS'!$D$7,C42*(1+Budget!$J129)^('Yearly Budget'!C$2-'Yearly Budget'!$B$2),C42*(1+Budget!$J129)^('Yearly Budget'!C$2-'Yearly Budget'!$B$2))</f>
        <v>402007.32</v>
      </c>
      <c r="D57" s="151">
        <f>IF(D$1&gt;'NWGC - SCENARIOS'!$D$7,D42*(1+Budget!$J129)^('Yearly Budget'!D$2-'Yearly Budget'!$B$2),D42*(1+Budget!$J129)^('Yearly Budget'!D$2-'Yearly Budget'!$B$2))</f>
        <v>434167.90560000006</v>
      </c>
      <c r="E57" s="151">
        <f>IF(E$1&gt;'NWGC - SCENARIOS'!$D$7,E42*(1+Budget!$J129)^('Yearly Budget'!E$2-'Yearly Budget'!$B$2),E42*(1+Budget!$J129)^('Yearly Budget'!E$2-'Yearly Budget'!$B$2))</f>
        <v>468901.33804800006</v>
      </c>
      <c r="F57" s="151">
        <f>IF(F$1&gt;'NWGC - SCENARIOS'!$D$7,F42*(1+Budget!$J129)^('Yearly Budget'!F$2-'Yearly Budget'!$B$2),F42*(1+Budget!$J129)^('Yearly Budget'!F$2-'Yearly Budget'!$B$2))</f>
        <v>506413.44509184011</v>
      </c>
      <c r="G57" s="151">
        <f>IF(G$1&gt;'NWGC - SCENARIOS'!$D$7,G42*(1+Budget!$J129)^('Yearly Budget'!G$2-'Yearly Budget'!$B$2),G42*(1+Budget!$J129)^('Yearly Budget'!G$2-'Yearly Budget'!$B$2))</f>
        <v>546926.5206991873</v>
      </c>
      <c r="H57" s="151">
        <f>IF(H$1&gt;'NWGC - SCENARIOS'!$D$7,H42*(1+Budget!$J129)^('Yearly Budget'!H$2-'Yearly Budget'!$B$2),H42*(1+Budget!$J129)^('Yearly Budget'!H$2-'Yearly Budget'!$B$2))</f>
        <v>590680.64235512237</v>
      </c>
      <c r="I57" s="151">
        <f>IF(I$1&gt;'NWGC - SCENARIOS'!$D$7,I42*(1+Budget!$J129)^('Yearly Budget'!I$2-'Yearly Budget'!$B$2),I42*(1+Budget!$J129)^('Yearly Budget'!I$2-'Yearly Budget'!$B$2))</f>
        <v>637935.0937435322</v>
      </c>
      <c r="J57" s="151">
        <f>IF(J$1&gt;'NWGC - SCENARIOS'!$D$7,J42*(1+Budget!$J129)^('Yearly Budget'!J$2-'Yearly Budget'!$B$2),J42*(1+Budget!$J129)^('Yearly Budget'!J$2-'Yearly Budget'!$B$2))</f>
        <v>688969.90124301473</v>
      </c>
      <c r="K57" s="151">
        <f>IF(K$1&gt;'NWGC - SCENARIOS'!$D$7,K42*(1+Budget!$J129)^('Yearly Budget'!K$2-'Yearly Budget'!$B$2),K42*(1+Budget!$J129)^('Yearly Budget'!K$2-'Yearly Budget'!$B$2))</f>
        <v>744087.49334245606</v>
      </c>
      <c r="L57" s="151">
        <f>IF(L$1&gt;'NWGC - SCENARIOS'!$D$7,L42*(1+Budget!$J129)^('Yearly Budget'!L$2-'Yearly Budget'!$B$2),L42*(1+Budget!$J129)^('Yearly Budget'!L$2-'Yearly Budget'!$B$2))</f>
        <v>803614.49280985247</v>
      </c>
      <c r="M57" s="151">
        <f>IF(M$1&gt;'NWGC - SCENARIOS'!$D$7,M42*(1+Budget!$J129)^('Yearly Budget'!M$2-'Yearly Budget'!$B$2),M42*(1+Budget!$J129)^('Yearly Budget'!M$2-'Yearly Budget'!$B$2))</f>
        <v>867903.65223464067</v>
      </c>
      <c r="N57" s="151">
        <f>IF(N$1&gt;'NWGC - SCENARIOS'!$D$7,N42*(1+Budget!$J129)^('Yearly Budget'!N$2-'Yearly Budget'!$B$2),N42*(1+Budget!$J129)^('Yearly Budget'!N$2-'Yearly Budget'!$B$2))</f>
        <v>937335.94441341201</v>
      </c>
      <c r="O57" s="151">
        <f>IF(O$1&gt;'NWGC - SCENARIOS'!$D$7,O42*(1+Budget!$J129)^('Yearly Budget'!O$2-'Yearly Budget'!$B$2),O42*(1+Budget!$J129)^('Yearly Budget'!O$2-'Yearly Budget'!$B$2))</f>
        <v>1012322.819966485</v>
      </c>
      <c r="P57" s="151">
        <f>IF(P$1&gt;'NWGC - SCENARIOS'!$D$7,P42*(1+Budget!$J129)^('Yearly Budget'!P$2-'Yearly Budget'!$B$2),P42*(1+Budget!$J129)^('Yearly Budget'!P$2-'Yearly Budget'!$B$2))</f>
        <v>1093308.6455638041</v>
      </c>
      <c r="Q57" s="151">
        <f>IF(Q$1&gt;'NWGC - SCENARIOS'!$D$7,Q42*(1+Budget!$J129)^('Yearly Budget'!Q$2-'Yearly Budget'!$B$2),Q42*(1+Budget!$J129)^('Yearly Budget'!Q$2-'Yearly Budget'!$B$2))</f>
        <v>1180773.3372089085</v>
      </c>
      <c r="R57" s="151">
        <f>IF(R$1&gt;'NWGC - SCENARIOS'!$D$7,R42*(1+Budget!$J129)^('Yearly Budget'!R$2-'Yearly Budget'!$B$2),R42*(1+Budget!$J129)^('Yearly Budget'!R$2-'Yearly Budget'!$B$2))</f>
        <v>1275235.2041856211</v>
      </c>
      <c r="S57" s="151">
        <f>IF(S$1&gt;'NWGC - SCENARIOS'!$D$7,S42*(1+Budget!$J129)^('Yearly Budget'!S$2-'Yearly Budget'!$B$2),S42*(1+Budget!$J129)^('Yearly Budget'!S$2-'Yearly Budget'!$B$2))</f>
        <v>1377254.0205204708</v>
      </c>
      <c r="T57" s="151">
        <f>IF(T$1&gt;'NWGC - SCENARIOS'!$D$7,T42*(1+Budget!$J129)^('Yearly Budget'!T$2-'Yearly Budget'!$B$2),T42*(1+Budget!$J129)^('Yearly Budget'!T$2-'Yearly Budget'!$B$2))</f>
        <v>1487434.3421621085</v>
      </c>
      <c r="U57" s="151">
        <f>IF(U$1&gt;'NWGC - SCENARIOS'!$D$7,U42*(1+Budget!$J129)^('Yearly Budget'!U$2-'Yearly Budget'!$B$2),U42*(1+Budget!$J129)^('Yearly Budget'!U$2-'Yearly Budget'!$B$2))</f>
        <v>1606429.0895350773</v>
      </c>
      <c r="V57" s="151">
        <f>IF(V$1&gt;'NWGC - SCENARIOS'!$D$7,V42*(1+Budget!$J129)^('Yearly Budget'!V$2-'Yearly Budget'!$B$2),V42*(1+Budget!$J129)^('Yearly Budget'!V$2-'Yearly Budget'!$B$2))</f>
        <v>1734943.4166978835</v>
      </c>
      <c r="W57" s="151">
        <f>IF(W$1&gt;'NWGC - SCENARIOS'!$D$7,W42*(1+Budget!$J129)^('Yearly Budget'!W$2-'Yearly Budget'!$B$2),W42*(1+Budget!$J129)^('Yearly Budget'!W$2-'Yearly Budget'!$B$2))</f>
        <v>1873738.8900337142</v>
      </c>
      <c r="X57" s="151">
        <f>IF(X$1&gt;'NWGC - SCENARIOS'!$D$7,X42*(1+Budget!$J129)^('Yearly Budget'!X$2-'Yearly Budget'!$B$2),X42*(1+Budget!$J129)^('Yearly Budget'!X$2-'Yearly Budget'!$B$2))</f>
        <v>2023638.0012364117</v>
      </c>
      <c r="Y57" s="151">
        <f>IF(Y$1&gt;'NWGC - SCENARIOS'!$D$7,Y42*(1+Budget!$J129)^('Yearly Budget'!Y$2-'Yearly Budget'!$B$2),Y42*(1+Budget!$J129)^('Yearly Budget'!Y$2-'Yearly Budget'!$B$2))</f>
        <v>2185529.0413353248</v>
      </c>
      <c r="Z57" s="151">
        <f>IF(Z$1&gt;'NWGC - SCENARIOS'!$D$7,Z42*(1+Budget!$J129)^('Yearly Budget'!Z$2-'Yearly Budget'!$B$2),Z42*(1+Budget!$J129)^('Yearly Budget'!Z$2-'Yearly Budget'!$B$2))</f>
        <v>2360371.3646421507</v>
      </c>
      <c r="AA57" s="151">
        <f>IF(AA$1&gt;'NWGC - SCENARIOS'!$D$7,AA42*(1+Budget!$J129)^('Yearly Budget'!AA$2-'Yearly Budget'!$B$2),AA42*(1+Budget!$J129)^('Yearly Budget'!AA$2-'Yearly Budget'!$B$2))</f>
        <v>2549201.0738135232</v>
      </c>
      <c r="AB57" s="151">
        <f>IF(AB$1&gt;'NWGC - SCENARIOS'!$D$7,AB42*(1+Budget!$J129)^('Yearly Budget'!AB$2-'Yearly Budget'!$B$2),AB42*(1+Budget!$J129)^('Yearly Budget'!AB$2-'Yearly Budget'!$B$2))</f>
        <v>2753137.1597186048</v>
      </c>
      <c r="AC57" s="151">
        <f>IF(AC$1&gt;'NWGC - SCENARIOS'!$D$7,AC42*(1+Budget!$J129)^('Yearly Budget'!AC$2-'Yearly Budget'!$B$2),AC42*(1+Budget!$J129)^('Yearly Budget'!AC$2-'Yearly Budget'!$B$2))</f>
        <v>2973388.1324960929</v>
      </c>
      <c r="AD57" s="151">
        <f>IF(AD$1&gt;'NWGC - SCENARIOS'!$D$7,AD42*(1+Budget!$J129)^('Yearly Budget'!AD$2-'Yearly Budget'!$B$2),AD42*(1+Budget!$J129)^('Yearly Budget'!AD$2-'Yearly Budget'!$B$2))</f>
        <v>3211259.1830957807</v>
      </c>
      <c r="AE57" s="151">
        <f>IF(AE$1&gt;'NWGC - SCENARIOS'!$D$7,AE42*(1+Budget!$J129)^('Yearly Budget'!AE$2-'Yearly Budget'!$B$2),AE42*(1+Budget!$J129)^('Yearly Budget'!AE$2-'Yearly Budget'!$B$2))</f>
        <v>3468159.9177434435</v>
      </c>
      <c r="AF57" s="151">
        <f>IF(AF$1&gt;'NWGC - SCENARIOS'!$D$7,AF42*(1+Budget!$J129)^('Yearly Budget'!AF$2-'Yearly Budget'!$B$2),AF42*(1+Budget!$J129)^('Yearly Budget'!AF$2-'Yearly Budget'!$B$2))</f>
        <v>3745612.7111629192</v>
      </c>
      <c r="AG57" s="151">
        <f>IF(AG$1&gt;'NWGC - SCENARIOS'!$D$7,AG42*(1+Budget!$J129)^('Yearly Budget'!AG$2-'Yearly Budget'!$B$2),AG42*(1+Budget!$J129)^('Yearly Budget'!AG$2-'Yearly Budget'!$B$2))</f>
        <v>4045261.7280559535</v>
      </c>
      <c r="AH57" s="151">
        <f>IF(AH$1&gt;'NWGC - SCENARIOS'!$D$7,AH42*(1+Budget!$J129)^('Yearly Budget'!AH$2-'Yearly Budget'!$B$2),AH42*(1+Budget!$J129)^('Yearly Budget'!AH$2-'Yearly Budget'!$B$2))</f>
        <v>4368882.66630043</v>
      </c>
      <c r="AI57" s="151">
        <f>IF(AI$1&gt;'NWGC - SCENARIOS'!$D$7,AI42*(1+Budget!$J129)^('Yearly Budget'!AI$2-'Yearly Budget'!$B$2),AI42*(1+Budget!$J129)^('Yearly Budget'!AI$2-'Yearly Budget'!$B$2))</f>
        <v>4718393.2796044638</v>
      </c>
      <c r="AJ57" s="151">
        <f>IF(AJ$1&gt;'NWGC - SCENARIOS'!$D$7,AJ42*(1+Budget!$J129)^('Yearly Budget'!AJ$2-'Yearly Budget'!$B$2),AJ42*(1+Budget!$J129)^('Yearly Budget'!AJ$2-'Yearly Budget'!$B$2))</f>
        <v>5095864.7419728218</v>
      </c>
      <c r="AK57" s="151">
        <f>IF(AK$1&gt;'NWGC - SCENARIOS'!$D$7,AK42*(1+Budget!$J129)^('Yearly Budget'!AK$2-'Yearly Budget'!$B$2),AK42*(1+Budget!$J129)^('Yearly Budget'!AK$2-'Yearly Budget'!$B$2))</f>
        <v>5503533.9213306475</v>
      </c>
      <c r="AL57" s="151">
        <f>IF(AL$1&gt;'NWGC - SCENARIOS'!$D$7,AL42*(1+Budget!$J129)^('Yearly Budget'!AL$2-'Yearly Budget'!$B$2),AL42*(1+Budget!$J129)^('Yearly Budget'!AL$2-'Yearly Budget'!$B$2))</f>
        <v>5943816.6350370999</v>
      </c>
      <c r="AM57" s="151">
        <f>IF(AM$1&gt;'NWGC - SCENARIOS'!$D$7,AM42*(1+Budget!$J129)^('Yearly Budget'!AM$2-'Yearly Budget'!$B$2),AM42*(1+Budget!$J129)^('Yearly Budget'!AM$2-'Yearly Budget'!$B$2))</f>
        <v>6419321.9658400686</v>
      </c>
      <c r="AN57" s="151">
        <f>IF(AN$1&gt;'NWGC - SCENARIOS'!$D$7,AN42*(1+Budget!$J129)^('Yearly Budget'!AN$2-'Yearly Budget'!$B$2),AN42*(1+Budget!$J129)^('Yearly Budget'!AN$2-'Yearly Budget'!$B$2))</f>
        <v>6932867.7231072746</v>
      </c>
      <c r="AO57" s="151">
        <f>IF(AO$1&gt;'NWGC - SCENARIOS'!$D$7,AO42*(1+Budget!$J129)^('Yearly Budget'!AO$2-'Yearly Budget'!$B$2),AO42*(1+Budget!$J129)^('Yearly Budget'!AO$2-'Yearly Budget'!$B$2))</f>
        <v>7487497.1409558561</v>
      </c>
      <c r="AP57" s="151">
        <f>IF(AP$1&gt;'NWGC - SCENARIOS'!$D$7,AP42*(1+Budget!$J129)^('Yearly Budget'!AP$2-'Yearly Budget'!$B$2),AP42*(1+Budget!$J129)^('Yearly Budget'!AP$2-'Yearly Budget'!$B$2))</f>
        <v>8086496.9122323254</v>
      </c>
      <c r="AQ57" s="151">
        <f>IF(AQ$1&gt;'NWGC - SCENARIOS'!$D$7,AQ42*(1+Budget!$J129)^('Yearly Budget'!AQ$2-'Yearly Budget'!$B$2),AQ42*(1+Budget!$J129)^('Yearly Budget'!AQ$2-'Yearly Budget'!$B$2))</f>
        <v>8733416.665210912</v>
      </c>
      <c r="AR57" s="151">
        <f>IF(AR$1&gt;'NWGC - SCENARIOS'!$D$7,AR42*(1+Budget!$J129)^('Yearly Budget'!AR$2-'Yearly Budget'!$B$2),AR42*(1+Budget!$J129)^('Yearly Budget'!AR$2-'Yearly Budget'!$B$2))</f>
        <v>9432089.9984277841</v>
      </c>
      <c r="AS57" s="151">
        <f>IF(AS$1&gt;'NWGC - SCENARIOS'!$D$7,AS42*(1+Budget!$J129)^('Yearly Budget'!AS$2-'Yearly Budget'!$B$2),AS42*(1+Budget!$J129)^('Yearly Budget'!AS$2-'Yearly Budget'!$B$2))</f>
        <v>10186657.198302006</v>
      </c>
      <c r="AT57" s="151">
        <f>IF(AT$1&gt;'NWGC - SCENARIOS'!$D$7,AT42*(1+Budget!$J129)^('Yearly Budget'!AT$2-'Yearly Budget'!$B$2),AT42*(1+Budget!$J129)^('Yearly Budget'!AT$2-'Yearly Budget'!$B$2))</f>
        <v>11001589.774166171</v>
      </c>
      <c r="AU57" s="151">
        <f>IF(AU$1&gt;'NWGC - SCENARIOS'!$D$7,AU42*(1+Budget!$J129)^('Yearly Budget'!AU$2-'Yearly Budget'!$B$2),AU42*(1+Budget!$J129)^('Yearly Budget'!AU$2-'Yearly Budget'!$B$2))</f>
        <v>11881716.956099462</v>
      </c>
      <c r="AV57" s="151">
        <f>IF(AV$1&gt;'NWGC - SCENARIOS'!$D$7,AV42*(1+Budget!$J129)^('Yearly Budget'!AV$2-'Yearly Budget'!$B$2),AV42*(1+Budget!$J129)^('Yearly Budget'!AV$2-'Yearly Budget'!$B$2))</f>
        <v>12832254.312587421</v>
      </c>
      <c r="AW57" s="151">
        <f>IF(AW$1&gt;'NWGC - SCENARIOS'!$D$7,AW42*(1+Budget!$J129)^('Yearly Budget'!AW$2-'Yearly Budget'!$B$2),AW42*(1+Budget!$J129)^('Yearly Budget'!AW$2-'Yearly Budget'!$B$2))</f>
        <v>13858834.657594418</v>
      </c>
      <c r="AX57" s="151">
        <f>IF(AX$1&gt;'NWGC - SCENARIOS'!$D$7,AX42*(1+Budget!$J129)^('Yearly Budget'!AX$2-'Yearly Budget'!$B$2),AX42*(1+Budget!$J129)^('Yearly Budget'!AX$2-'Yearly Budget'!$B$2))</f>
        <v>14967541.430201968</v>
      </c>
      <c r="AY57" s="151">
        <f>IF(AY$1&gt;'NWGC - SCENARIOS'!$D$7,AY42*(1+Budget!$J129)^('Yearly Budget'!AY$2-'Yearly Budget'!$B$2),AY42*(1+Budget!$J129)^('Yearly Budget'!AY$2-'Yearly Budget'!$B$2))</f>
        <v>16164944.744618127</v>
      </c>
      <c r="AZ57" s="151">
        <f>IF(AZ$1&gt;'NWGC - SCENARIOS'!$D$7,AZ42*(1+Budget!$J129)^('Yearly Budget'!AZ$2-'Yearly Budget'!$B$2),AZ42*(1+Budget!$J129)^('Yearly Budget'!AZ$2-'Yearly Budget'!$B$2))</f>
        <v>17458140.324187577</v>
      </c>
      <c r="BA57" s="151">
        <f>IF(BA$1&gt;'NWGC - SCENARIOS'!$D$7,BA42*(1+Budget!$J129)^('Yearly Budget'!BA$2-'Yearly Budget'!$B$2),BA42*(1+Budget!$J129)^('Yearly Budget'!BA$2-'Yearly Budget'!$B$2))</f>
        <v>18854791.550122589</v>
      </c>
      <c r="BB57" s="151">
        <f>IF(BB$1&gt;'NWGC - SCENARIOS'!$D$7,BB42*(1+Budget!$J129)^('Yearly Budget'!BB$2-'Yearly Budget'!$B$2),BB42*(1+Budget!$J129)^('Yearly Budget'!BB$2-'Yearly Budget'!$B$2))</f>
        <v>20363174.874132395</v>
      </c>
      <c r="BC57" s="151">
        <f>IF(BC$1&gt;'NWGC - SCENARIOS'!$D$7,BC42*(1+Budget!$J129)^('Yearly Budget'!BC$2-'Yearly Budget'!$B$2),BC42*(1+Budget!$J129)^('Yearly Budget'!BC$2-'Yearly Budget'!$B$2))</f>
        <v>21992228.864062984</v>
      </c>
      <c r="BD57" s="151">
        <f>IF(BD$1&gt;'NWGC - SCENARIOS'!$D$7,BD42*(1+Budget!$J129)^('Yearly Budget'!BD$2-'Yearly Budget'!$B$2),BD42*(1+Budget!$J129)^('Yearly Budget'!BD$2-'Yearly Budget'!$B$2))</f>
        <v>23751607.173188027</v>
      </c>
      <c r="BE57" s="151">
        <f>IF(BE$1&gt;'NWGC - SCENARIOS'!$D$7,BE42*(1+Budget!$J129)^('Yearly Budget'!BE$2-'Yearly Budget'!$B$2),BE42*(1+Budget!$J129)^('Yearly Budget'!BE$2-'Yearly Budget'!$B$2))</f>
        <v>25651735.747043069</v>
      </c>
      <c r="BF57" s="151">
        <f>IF(BF$1&gt;'NWGC - SCENARIOS'!$D$7,BF42*(1+Budget!$J129)^('Yearly Budget'!BF$2-'Yearly Budget'!$B$2),BF42*(1+Budget!$J129)^('Yearly Budget'!BF$2-'Yearly Budget'!$B$2))</f>
        <v>27703874.606806517</v>
      </c>
    </row>
    <row r="58" spans="1:58" s="99" customFormat="1" ht="14.4" x14ac:dyDescent="0.3">
      <c r="A58" s="100" t="str">
        <f t="shared" si="16"/>
        <v>Personal Care</v>
      </c>
      <c r="B58" s="151">
        <f t="shared" si="16"/>
        <v>322000</v>
      </c>
      <c r="C58" s="151">
        <f>IF(C$1&gt;'NWGC - SCENARIOS'!$D$7,C43*(1+Budget!$J130)^('Yearly Budget'!C$2-'Yearly Budget'!$B$2),C43*(1+Budget!$J130)^('Yearly Budget'!C$2-'Yearly Budget'!$B$2))</f>
        <v>347760</v>
      </c>
      <c r="D58" s="151">
        <f>IF(D$1&gt;'NWGC - SCENARIOS'!$D$7,D43*(1+Budget!$J130)^('Yearly Budget'!D$2-'Yearly Budget'!$B$2),D43*(1+Budget!$J130)^('Yearly Budget'!D$2-'Yearly Budget'!$B$2))</f>
        <v>375580.80000000005</v>
      </c>
      <c r="E58" s="151">
        <f>IF(E$1&gt;'NWGC - SCENARIOS'!$D$7,E43*(1+Budget!$J130)^('Yearly Budget'!E$2-'Yearly Budget'!$B$2),E43*(1+Budget!$J130)^('Yearly Budget'!E$2-'Yearly Budget'!$B$2))</f>
        <v>405627.26400000002</v>
      </c>
      <c r="F58" s="151">
        <f>IF(F$1&gt;'NWGC - SCENARIOS'!$D$7,F43*(1+Budget!$J130)^('Yearly Budget'!F$2-'Yearly Budget'!$B$2),F43*(1+Budget!$J130)^('Yearly Budget'!F$2-'Yearly Budget'!$B$2))</f>
        <v>438077.44512000011</v>
      </c>
      <c r="G58" s="151">
        <f>IF(G$1&gt;'NWGC - SCENARIOS'!$D$7,G43*(1+Budget!$J130)^('Yearly Budget'!G$2-'Yearly Budget'!$B$2),G43*(1+Budget!$J130)^('Yearly Budget'!G$2-'Yearly Budget'!$B$2))</f>
        <v>473123.6407296001</v>
      </c>
      <c r="H58" s="151">
        <f>IF(H$1&gt;'NWGC - SCENARIOS'!$D$7,H43*(1+Budget!$J130)^('Yearly Budget'!H$2-'Yearly Budget'!$B$2),H43*(1+Budget!$J130)^('Yearly Budget'!H$2-'Yearly Budget'!$B$2))</f>
        <v>510973.53198796819</v>
      </c>
      <c r="I58" s="151">
        <f>IF(I$1&gt;'NWGC - SCENARIOS'!$D$7,I43*(1+Budget!$J130)^('Yearly Budget'!I$2-'Yearly Budget'!$B$2),I43*(1+Budget!$J130)^('Yearly Budget'!I$2-'Yearly Budget'!$B$2))</f>
        <v>551851.41454700567</v>
      </c>
      <c r="J58" s="151">
        <f>IF(J$1&gt;'NWGC - SCENARIOS'!$D$7,J43*(1+Budget!$J130)^('Yearly Budget'!J$2-'Yearly Budget'!$B$2),J43*(1+Budget!$J130)^('Yearly Budget'!J$2-'Yearly Budget'!$B$2))</f>
        <v>595999.52771076607</v>
      </c>
      <c r="K58" s="151">
        <f>IF(K$1&gt;'NWGC - SCENARIOS'!$D$7,K43*(1+Budget!$J130)^('Yearly Budget'!K$2-'Yearly Budget'!$B$2),K43*(1+Budget!$J130)^('Yearly Budget'!K$2-'Yearly Budget'!$B$2))</f>
        <v>643679.4899276275</v>
      </c>
      <c r="L58" s="151">
        <f>IF(L$1&gt;'NWGC - SCENARIOS'!$D$7,L43*(1+Budget!$J130)^('Yearly Budget'!L$2-'Yearly Budget'!$B$2),L43*(1+Budget!$J130)^('Yearly Budget'!L$2-'Yearly Budget'!$B$2))</f>
        <v>695173.84912183764</v>
      </c>
      <c r="M58" s="151">
        <f>IF(M$1&gt;'NWGC - SCENARIOS'!$D$7,M43*(1+Budget!$J130)^('Yearly Budget'!M$2-'Yearly Budget'!$B$2),M43*(1+Budget!$J130)^('Yearly Budget'!M$2-'Yearly Budget'!$B$2))</f>
        <v>750787.75705158466</v>
      </c>
      <c r="N58" s="151">
        <f>IF(N$1&gt;'NWGC - SCENARIOS'!$D$7,N43*(1+Budget!$J130)^('Yearly Budget'!N$2-'Yearly Budget'!$B$2),N43*(1+Budget!$J130)^('Yearly Budget'!N$2-'Yearly Budget'!$B$2))</f>
        <v>810850.77761571156</v>
      </c>
      <c r="O58" s="151">
        <f>IF(O$1&gt;'NWGC - SCENARIOS'!$D$7,O43*(1+Budget!$J130)^('Yearly Budget'!O$2-'Yearly Budget'!$B$2),O43*(1+Budget!$J130)^('Yearly Budget'!O$2-'Yearly Budget'!$B$2))</f>
        <v>875718.83982496837</v>
      </c>
      <c r="P58" s="151">
        <f>IF(P$1&gt;'NWGC - SCENARIOS'!$D$7,P43*(1+Budget!$J130)^('Yearly Budget'!P$2-'Yearly Budget'!$B$2),P43*(1+Budget!$J130)^('Yearly Budget'!P$2-'Yearly Budget'!$B$2))</f>
        <v>945776.34701096604</v>
      </c>
      <c r="Q58" s="151">
        <f>IF(Q$1&gt;'NWGC - SCENARIOS'!$D$7,Q43*(1+Budget!$J130)^('Yearly Budget'!Q$2-'Yearly Budget'!$B$2),Q43*(1+Budget!$J130)^('Yearly Budget'!Q$2-'Yearly Budget'!$B$2))</f>
        <v>1021438.4547718434</v>
      </c>
      <c r="R58" s="151">
        <f>IF(R$1&gt;'NWGC - SCENARIOS'!$D$7,R43*(1+Budget!$J130)^('Yearly Budget'!R$2-'Yearly Budget'!$B$2),R43*(1+Budget!$J130)^('Yearly Budget'!R$2-'Yearly Budget'!$B$2))</f>
        <v>1103153.5311535909</v>
      </c>
      <c r="S58" s="151">
        <f>IF(S$1&gt;'NWGC - SCENARIOS'!$D$7,S43*(1+Budget!$J130)^('Yearly Budget'!S$2-'Yearly Budget'!$B$2),S43*(1+Budget!$J130)^('Yearly Budget'!S$2-'Yearly Budget'!$B$2))</f>
        <v>1191405.8136458781</v>
      </c>
      <c r="T58" s="151">
        <f>IF(T$1&gt;'NWGC - SCENARIOS'!$D$7,T43*(1+Budget!$J130)^('Yearly Budget'!T$2-'Yearly Budget'!$B$2),T43*(1+Budget!$J130)^('Yearly Budget'!T$2-'Yearly Budget'!$B$2))</f>
        <v>1286718.2787375485</v>
      </c>
      <c r="U58" s="151">
        <f>IF(U$1&gt;'NWGC - SCENARIOS'!$D$7,U43*(1+Budget!$J130)^('Yearly Budget'!U$2-'Yearly Budget'!$B$2),U43*(1+Budget!$J130)^('Yearly Budget'!U$2-'Yearly Budget'!$B$2))</f>
        <v>1389655.7410365525</v>
      </c>
      <c r="V58" s="151">
        <f>IF(V$1&gt;'NWGC - SCENARIOS'!$D$7,V43*(1+Budget!$J130)^('Yearly Budget'!V$2-'Yearly Budget'!$B$2),V43*(1+Budget!$J130)^('Yearly Budget'!V$2-'Yearly Budget'!$B$2))</f>
        <v>1500828.2003194767</v>
      </c>
      <c r="W58" s="151">
        <f>IF(W$1&gt;'NWGC - SCENARIOS'!$D$7,W43*(1+Budget!$J130)^('Yearly Budget'!W$2-'Yearly Budget'!$B$2),W43*(1+Budget!$J130)^('Yearly Budget'!W$2-'Yearly Budget'!$B$2))</f>
        <v>1620894.456345035</v>
      </c>
      <c r="X58" s="151">
        <f>IF(X$1&gt;'NWGC - SCENARIOS'!$D$7,X43*(1+Budget!$J130)^('Yearly Budget'!X$2-'Yearly Budget'!$B$2),X43*(1+Budget!$J130)^('Yearly Budget'!X$2-'Yearly Budget'!$B$2))</f>
        <v>1750566.012852638</v>
      </c>
      <c r="Y58" s="151">
        <f>IF(Y$1&gt;'NWGC - SCENARIOS'!$D$7,Y43*(1+Budget!$J130)^('Yearly Budget'!Y$2-'Yearly Budget'!$B$2),Y43*(1+Budget!$J130)^('Yearly Budget'!Y$2-'Yearly Budget'!$B$2))</f>
        <v>1890611.2938808489</v>
      </c>
      <c r="Z58" s="151">
        <f>IF(Z$1&gt;'NWGC - SCENARIOS'!$D$7,Z43*(1+Budget!$J130)^('Yearly Budget'!Z$2-'Yearly Budget'!$B$2),Z43*(1+Budget!$J130)^('Yearly Budget'!Z$2-'Yearly Budget'!$B$2))</f>
        <v>2041860.197391317</v>
      </c>
      <c r="AA58" s="151">
        <f>IF(AA$1&gt;'NWGC - SCENARIOS'!$D$7,AA43*(1+Budget!$J130)^('Yearly Budget'!AA$2-'Yearly Budget'!$B$2),AA43*(1+Budget!$J130)^('Yearly Budget'!AA$2-'Yearly Budget'!$B$2))</f>
        <v>2205209.0131826224</v>
      </c>
      <c r="AB58" s="151">
        <f>IF(AB$1&gt;'NWGC - SCENARIOS'!$D$7,AB43*(1+Budget!$J130)^('Yearly Budget'!AB$2-'Yearly Budget'!$B$2),AB43*(1+Budget!$J130)^('Yearly Budget'!AB$2-'Yearly Budget'!$B$2))</f>
        <v>2381625.7342372322</v>
      </c>
      <c r="AC58" s="151">
        <f>IF(AC$1&gt;'NWGC - SCENARIOS'!$D$7,AC43*(1+Budget!$J130)^('Yearly Budget'!AC$2-'Yearly Budget'!$B$2),AC43*(1+Budget!$J130)^('Yearly Budget'!AC$2-'Yearly Budget'!$B$2))</f>
        <v>2572155.7929762108</v>
      </c>
      <c r="AD58" s="151">
        <f>IF(AD$1&gt;'NWGC - SCENARIOS'!$D$7,AD43*(1+Budget!$J130)^('Yearly Budget'!AD$2-'Yearly Budget'!$B$2),AD43*(1+Budget!$J130)^('Yearly Budget'!AD$2-'Yearly Budget'!$B$2))</f>
        <v>2777928.2564143077</v>
      </c>
      <c r="AE58" s="151">
        <f>IF(AE$1&gt;'NWGC - SCENARIOS'!$D$7,AE43*(1+Budget!$J130)^('Yearly Budget'!AE$2-'Yearly Budget'!$B$2),AE43*(1+Budget!$J130)^('Yearly Budget'!AE$2-'Yearly Budget'!$B$2))</f>
        <v>3000162.5169274528</v>
      </c>
      <c r="AF58" s="151">
        <f>IF(AF$1&gt;'NWGC - SCENARIOS'!$D$7,AF43*(1+Budget!$J130)^('Yearly Budget'!AF$2-'Yearly Budget'!$B$2),AF43*(1+Budget!$J130)^('Yearly Budget'!AF$2-'Yearly Budget'!$B$2))</f>
        <v>3240175.5182816493</v>
      </c>
      <c r="AG58" s="151">
        <f>IF(AG$1&gt;'NWGC - SCENARIOS'!$D$7,AG43*(1+Budget!$J130)^('Yearly Budget'!AG$2-'Yearly Budget'!$B$2),AG43*(1+Budget!$J130)^('Yearly Budget'!AG$2-'Yearly Budget'!$B$2))</f>
        <v>3499389.5597441816</v>
      </c>
      <c r="AH58" s="151">
        <f>IF(AH$1&gt;'NWGC - SCENARIOS'!$D$7,AH43*(1+Budget!$J130)^('Yearly Budget'!AH$2-'Yearly Budget'!$B$2),AH43*(1+Budget!$J130)^('Yearly Budget'!AH$2-'Yearly Budget'!$B$2))</f>
        <v>3779340.7245237161</v>
      </c>
      <c r="AI58" s="151">
        <f>IF(AI$1&gt;'NWGC - SCENARIOS'!$D$7,AI43*(1+Budget!$J130)^('Yearly Budget'!AI$2-'Yearly Budget'!$B$2),AI43*(1+Budget!$J130)^('Yearly Budget'!AI$2-'Yearly Budget'!$B$2))</f>
        <v>4081687.9824856133</v>
      </c>
      <c r="AJ58" s="151">
        <f>IF(AJ$1&gt;'NWGC - SCENARIOS'!$D$7,AJ43*(1+Budget!$J130)^('Yearly Budget'!AJ$2-'Yearly Budget'!$B$2),AJ43*(1+Budget!$J130)^('Yearly Budget'!AJ$2-'Yearly Budget'!$B$2))</f>
        <v>4408223.0210844623</v>
      </c>
      <c r="AK58" s="151">
        <f>IF(AK$1&gt;'NWGC - SCENARIOS'!$D$7,AK43*(1+Budget!$J130)^('Yearly Budget'!AK$2-'Yearly Budget'!$B$2),AK43*(1+Budget!$J130)^('Yearly Budget'!AK$2-'Yearly Budget'!$B$2))</f>
        <v>4760880.8627712205</v>
      </c>
      <c r="AL58" s="151">
        <f>IF(AL$1&gt;'NWGC - SCENARIOS'!$D$7,AL43*(1+Budget!$J130)^('Yearly Budget'!AL$2-'Yearly Budget'!$B$2),AL43*(1+Budget!$J130)^('Yearly Budget'!AL$2-'Yearly Budget'!$B$2))</f>
        <v>5141751.331792919</v>
      </c>
      <c r="AM58" s="151">
        <f>IF(AM$1&gt;'NWGC - SCENARIOS'!$D$7,AM43*(1+Budget!$J130)^('Yearly Budget'!AM$2-'Yearly Budget'!$B$2),AM43*(1+Budget!$J130)^('Yearly Budget'!AM$2-'Yearly Budget'!$B$2))</f>
        <v>5553091.4383363519</v>
      </c>
      <c r="AN58" s="151">
        <f>IF(AN$1&gt;'NWGC - SCENARIOS'!$D$7,AN43*(1+Budget!$J130)^('Yearly Budget'!AN$2-'Yearly Budget'!$B$2),AN43*(1+Budget!$J130)^('Yearly Budget'!AN$2-'Yearly Budget'!$B$2))</f>
        <v>5997338.7534032613</v>
      </c>
      <c r="AO58" s="151">
        <f>IF(AO$1&gt;'NWGC - SCENARIOS'!$D$7,AO43*(1+Budget!$J130)^('Yearly Budget'!AO$2-'Yearly Budget'!$B$2),AO43*(1+Budget!$J130)^('Yearly Budget'!AO$2-'Yearly Budget'!$B$2))</f>
        <v>6477125.8536755219</v>
      </c>
      <c r="AP58" s="151">
        <f>IF(AP$1&gt;'NWGC - SCENARIOS'!$D$7,AP43*(1+Budget!$J130)^('Yearly Budget'!AP$2-'Yearly Budget'!$B$2),AP43*(1+Budget!$J130)^('Yearly Budget'!AP$2-'Yearly Budget'!$B$2))</f>
        <v>6995295.9219695637</v>
      </c>
      <c r="AQ58" s="151">
        <f>IF(AQ$1&gt;'NWGC - SCENARIOS'!$D$7,AQ43*(1+Budget!$J130)^('Yearly Budget'!AQ$2-'Yearly Budget'!$B$2),AQ43*(1+Budget!$J130)^('Yearly Budget'!AQ$2-'Yearly Budget'!$B$2))</f>
        <v>7554919.5957271298</v>
      </c>
      <c r="AR58" s="151">
        <f>IF(AR$1&gt;'NWGC - SCENARIOS'!$D$7,AR43*(1+Budget!$J130)^('Yearly Budget'!AR$2-'Yearly Budget'!$B$2),AR43*(1+Budget!$J130)^('Yearly Budget'!AR$2-'Yearly Budget'!$B$2))</f>
        <v>8159313.163385299</v>
      </c>
      <c r="AS58" s="151">
        <f>IF(AS$1&gt;'NWGC - SCENARIOS'!$D$7,AS43*(1+Budget!$J130)^('Yearly Budget'!AS$2-'Yearly Budget'!$B$2),AS43*(1+Budget!$J130)^('Yearly Budget'!AS$2-'Yearly Budget'!$B$2))</f>
        <v>8812058.2164561227</v>
      </c>
      <c r="AT58" s="151">
        <f>IF(AT$1&gt;'NWGC - SCENARIOS'!$D$7,AT43*(1+Budget!$J130)^('Yearly Budget'!AT$2-'Yearly Budget'!$B$2),AT43*(1+Budget!$J130)^('Yearly Budget'!AT$2-'Yearly Budget'!$B$2))</f>
        <v>9517022.8737726156</v>
      </c>
      <c r="AU58" s="151">
        <f>IF(AU$1&gt;'NWGC - SCENARIOS'!$D$7,AU43*(1+Budget!$J130)^('Yearly Budget'!AU$2-'Yearly Budget'!$B$2),AU43*(1+Budget!$J130)^('Yearly Budget'!AU$2-'Yearly Budget'!$B$2))</f>
        <v>10278384.703674423</v>
      </c>
      <c r="AV58" s="151">
        <f>IF(AV$1&gt;'NWGC - SCENARIOS'!$D$7,AV43*(1+Budget!$J130)^('Yearly Budget'!AV$2-'Yearly Budget'!$B$2),AV43*(1+Budget!$J130)^('Yearly Budget'!AV$2-'Yearly Budget'!$B$2))</f>
        <v>11100655.479968378</v>
      </c>
      <c r="AW58" s="151">
        <f>IF(AW$1&gt;'NWGC - SCENARIOS'!$D$7,AW43*(1+Budget!$J130)^('Yearly Budget'!AW$2-'Yearly Budget'!$B$2),AW43*(1+Budget!$J130)^('Yearly Budget'!AW$2-'Yearly Budget'!$B$2))</f>
        <v>11988707.918365851</v>
      </c>
      <c r="AX58" s="151">
        <f>IF(AX$1&gt;'NWGC - SCENARIOS'!$D$7,AX43*(1+Budget!$J130)^('Yearly Budget'!AX$2-'Yearly Budget'!$B$2),AX43*(1+Budget!$J130)^('Yearly Budget'!AX$2-'Yearly Budget'!$B$2))</f>
        <v>12947804.551835116</v>
      </c>
      <c r="AY58" s="151">
        <f>IF(AY$1&gt;'NWGC - SCENARIOS'!$D$7,AY43*(1+Budget!$J130)^('Yearly Budget'!AY$2-'Yearly Budget'!$B$2),AY43*(1+Budget!$J130)^('Yearly Budget'!AY$2-'Yearly Budget'!$B$2))</f>
        <v>13983628.915981928</v>
      </c>
      <c r="AZ58" s="151">
        <f>IF(AZ$1&gt;'NWGC - SCENARIOS'!$D$7,AZ43*(1+Budget!$J130)^('Yearly Budget'!AZ$2-'Yearly Budget'!$B$2),AZ43*(1+Budget!$J130)^('Yearly Budget'!AZ$2-'Yearly Budget'!$B$2))</f>
        <v>15102319.229260484</v>
      </c>
      <c r="BA58" s="151">
        <f>IF(BA$1&gt;'NWGC - SCENARIOS'!$D$7,BA43*(1+Budget!$J130)^('Yearly Budget'!BA$2-'Yearly Budget'!$B$2),BA43*(1+Budget!$J130)^('Yearly Budget'!BA$2-'Yearly Budget'!$B$2))</f>
        <v>16310504.767601324</v>
      </c>
      <c r="BB58" s="151">
        <f>IF(BB$1&gt;'NWGC - SCENARIOS'!$D$7,BB43*(1+Budget!$J130)^('Yearly Budget'!BB$2-'Yearly Budget'!$B$2),BB43*(1+Budget!$J130)^('Yearly Budget'!BB$2-'Yearly Budget'!$B$2))</f>
        <v>17615345.149009429</v>
      </c>
      <c r="BC58" s="151">
        <f>IF(BC$1&gt;'NWGC - SCENARIOS'!$D$7,BC43*(1+Budget!$J130)^('Yearly Budget'!BC$2-'Yearly Budget'!$B$2),BC43*(1+Budget!$J130)^('Yearly Budget'!BC$2-'Yearly Budget'!$B$2))</f>
        <v>19024572.760930184</v>
      </c>
      <c r="BD58" s="151">
        <f>IF(BD$1&gt;'NWGC - SCENARIOS'!$D$7,BD43*(1+Budget!$J130)^('Yearly Budget'!BD$2-'Yearly Budget'!$B$2),BD43*(1+Budget!$J130)^('Yearly Budget'!BD$2-'Yearly Budget'!$B$2))</f>
        <v>20546538.5818046</v>
      </c>
      <c r="BE58" s="151">
        <f>IF(BE$1&gt;'NWGC - SCENARIOS'!$D$7,BE43*(1+Budget!$J130)^('Yearly Budget'!BE$2-'Yearly Budget'!$B$2),BE43*(1+Budget!$J130)^('Yearly Budget'!BE$2-'Yearly Budget'!$B$2))</f>
        <v>22190261.668348972</v>
      </c>
      <c r="BF58" s="151">
        <f>IF(BF$1&gt;'NWGC - SCENARIOS'!$D$7,BF43*(1+Budget!$J130)^('Yearly Budget'!BF$2-'Yearly Budget'!$B$2),BF43*(1+Budget!$J130)^('Yearly Budget'!BF$2-'Yearly Budget'!$B$2))</f>
        <v>23965482.601816889</v>
      </c>
    </row>
    <row r="59" spans="1:58" s="99" customFormat="1" ht="14.4" x14ac:dyDescent="0.3">
      <c r="A59" s="100" t="str">
        <f t="shared" si="16"/>
        <v>Housing</v>
      </c>
      <c r="B59" s="151">
        <f t="shared" si="16"/>
        <v>98000</v>
      </c>
      <c r="C59" s="151">
        <f>IF(C$1&gt;'NWGC - SCENARIOS'!$D$7,C44*(1+Budget!$J131)^('Yearly Budget'!C$2-'Yearly Budget'!$B$2),C44*(1+Budget!$J131)^('Yearly Budget'!C$2-'Yearly Budget'!$B$2))</f>
        <v>105840</v>
      </c>
      <c r="D59" s="151">
        <f>IF(D$1&gt;'NWGC - SCENARIOS'!$D$7,D44*(1+Budget!$J131)^('Yearly Budget'!D$2-'Yearly Budget'!$B$2),D44*(1+Budget!$J131)^('Yearly Budget'!D$2-'Yearly Budget'!$B$2))</f>
        <v>114307.20000000001</v>
      </c>
      <c r="E59" s="151">
        <f>IF(E$1&gt;'NWGC - SCENARIOS'!$D$7,E44*(1+Budget!$J131)^('Yearly Budget'!E$2-'Yearly Budget'!$B$2),E44*(1+Budget!$J131)^('Yearly Budget'!E$2-'Yearly Budget'!$B$2))</f>
        <v>123451.77600000001</v>
      </c>
      <c r="F59" s="151">
        <f>IF(F$1&gt;'NWGC - SCENARIOS'!$D$7,F44*(1+Budget!$J131)^('Yearly Budget'!F$2-'Yearly Budget'!$B$2),F44*(1+Budget!$J131)^('Yearly Budget'!F$2-'Yearly Budget'!$B$2))</f>
        <v>133327.91808000003</v>
      </c>
      <c r="G59" s="151">
        <f>IF(G$1&gt;'NWGC - SCENARIOS'!$D$7,G44*(1+Budget!$J131)^('Yearly Budget'!G$2-'Yearly Budget'!$B$2),G44*(1+Budget!$J131)^('Yearly Budget'!G$2-'Yearly Budget'!$B$2))</f>
        <v>143994.15152640003</v>
      </c>
      <c r="H59" s="151">
        <f>IF(H$1&gt;'NWGC - SCENARIOS'!$D$7,H44*(1+Budget!$J131)^('Yearly Budget'!H$2-'Yearly Budget'!$B$2),H44*(1+Budget!$J131)^('Yearly Budget'!H$2-'Yearly Budget'!$B$2))</f>
        <v>155513.68364851206</v>
      </c>
      <c r="I59" s="151">
        <f>IF(I$1&gt;'NWGC - SCENARIOS'!$D$7,I44*(1+Budget!$J131)^('Yearly Budget'!I$2-'Yearly Budget'!$B$2),I44*(1+Budget!$J131)^('Yearly Budget'!I$2-'Yearly Budget'!$B$2))</f>
        <v>167954.77834039304</v>
      </c>
      <c r="J59" s="151">
        <f>IF(J$1&gt;'NWGC - SCENARIOS'!$D$7,J44*(1+Budget!$J131)^('Yearly Budget'!J$2-'Yearly Budget'!$B$2),J44*(1+Budget!$J131)^('Yearly Budget'!J$2-'Yearly Budget'!$B$2))</f>
        <v>181391.16060762448</v>
      </c>
      <c r="K59" s="151">
        <f>IF(K$1&gt;'NWGC - SCENARIOS'!$D$7,K44*(1+Budget!$J131)^('Yearly Budget'!K$2-'Yearly Budget'!$B$2),K44*(1+Budget!$J131)^('Yearly Budget'!K$2-'Yearly Budget'!$B$2))</f>
        <v>195902.45345623445</v>
      </c>
      <c r="L59" s="151">
        <f>IF(L$1&gt;'NWGC - SCENARIOS'!$D$7,L44*(1+Budget!$J131)^('Yearly Budget'!L$2-'Yearly Budget'!$B$2),L44*(1+Budget!$J131)^('Yearly Budget'!L$2-'Yearly Budget'!$B$2))</f>
        <v>211574.6497327332</v>
      </c>
      <c r="M59" s="151">
        <f>IF(M$1&gt;'NWGC - SCENARIOS'!$D$7,M44*(1+Budget!$J131)^('Yearly Budget'!M$2-'Yearly Budget'!$B$2),M44*(1+Budget!$J131)^('Yearly Budget'!M$2-'Yearly Budget'!$B$2))</f>
        <v>228500.62171135185</v>
      </c>
      <c r="N59" s="151">
        <f>IF(N$1&gt;'NWGC - SCENARIOS'!$D$7,N44*(1+Budget!$J131)^('Yearly Budget'!N$2-'Yearly Budget'!$B$2),N44*(1+Budget!$J131)^('Yearly Budget'!N$2-'Yearly Budget'!$B$2))</f>
        <v>246780.67144826002</v>
      </c>
      <c r="O59" s="151">
        <f>IF(O$1&gt;'NWGC - SCENARIOS'!$D$7,O44*(1+Budget!$J131)^('Yearly Budget'!O$2-'Yearly Budget'!$B$2),O44*(1+Budget!$J131)^('Yearly Budget'!O$2-'Yearly Budget'!$B$2))</f>
        <v>266523.12516412081</v>
      </c>
      <c r="P59" s="151">
        <f>IF(P$1&gt;'NWGC - SCENARIOS'!$D$7,P44*(1+Budget!$J131)^('Yearly Budget'!P$2-'Yearly Budget'!$B$2),P44*(1+Budget!$J131)^('Yearly Budget'!P$2-'Yearly Budget'!$B$2))</f>
        <v>287844.97517725057</v>
      </c>
      <c r="Q59" s="151">
        <f>IF(Q$1&gt;'NWGC - SCENARIOS'!$D$7,Q44*(1+Budget!$J131)^('Yearly Budget'!Q$2-'Yearly Budget'!$B$2),Q44*(1+Budget!$J131)^('Yearly Budget'!Q$2-'Yearly Budget'!$B$2))</f>
        <v>310872.57319143059</v>
      </c>
      <c r="R59" s="151">
        <f>IF(R$1&gt;'NWGC - SCENARIOS'!$D$7,R44*(1+Budget!$J131)^('Yearly Budget'!R$2-'Yearly Budget'!$B$2),R44*(1+Budget!$J131)^('Yearly Budget'!R$2-'Yearly Budget'!$B$2))</f>
        <v>335742.37904674507</v>
      </c>
      <c r="S59" s="151">
        <f>IF(S$1&gt;'NWGC - SCENARIOS'!$D$7,S44*(1+Budget!$J131)^('Yearly Budget'!S$2-'Yearly Budget'!$B$2),S44*(1+Budget!$J131)^('Yearly Budget'!S$2-'Yearly Budget'!$B$2))</f>
        <v>362601.76937048463</v>
      </c>
      <c r="T59" s="151">
        <f>IF(T$1&gt;'NWGC - SCENARIOS'!$D$7,T44*(1+Budget!$J131)^('Yearly Budget'!T$2-'Yearly Budget'!$B$2),T44*(1+Budget!$J131)^('Yearly Budget'!T$2-'Yearly Budget'!$B$2))</f>
        <v>391609.91092012345</v>
      </c>
      <c r="U59" s="151">
        <f>IF(U$1&gt;'NWGC - SCENARIOS'!$D$7,U44*(1+Budget!$J131)^('Yearly Budget'!U$2-'Yearly Budget'!$B$2),U44*(1+Budget!$J131)^('Yearly Budget'!U$2-'Yearly Budget'!$B$2))</f>
        <v>422938.70379373338</v>
      </c>
      <c r="V59" s="151">
        <f>IF(V$1&gt;'NWGC - SCENARIOS'!$D$7,V44*(1+Budget!$J131)^('Yearly Budget'!V$2-'Yearly Budget'!$B$2),V44*(1+Budget!$J131)^('Yearly Budget'!V$2-'Yearly Budget'!$B$2))</f>
        <v>456773.80009723204</v>
      </c>
      <c r="W59" s="151">
        <f>IF(W$1&gt;'NWGC - SCENARIOS'!$D$7,W44*(1+Budget!$J131)^('Yearly Budget'!W$2-'Yearly Budget'!$B$2),W44*(1+Budget!$J131)^('Yearly Budget'!W$2-'Yearly Budget'!$B$2))</f>
        <v>493315.70410501061</v>
      </c>
      <c r="X59" s="151">
        <f>IF(X$1&gt;'NWGC - SCENARIOS'!$D$7,X44*(1+Budget!$J131)^('Yearly Budget'!X$2-'Yearly Budget'!$B$2),X44*(1+Budget!$J131)^('Yearly Budget'!X$2-'Yearly Budget'!$B$2))</f>
        <v>532780.96043341153</v>
      </c>
      <c r="Y59" s="151">
        <f>IF(Y$1&gt;'NWGC - SCENARIOS'!$D$7,Y44*(1+Budget!$J131)^('Yearly Budget'!Y$2-'Yearly Budget'!$B$2),Y44*(1+Budget!$J131)^('Yearly Budget'!Y$2-'Yearly Budget'!$B$2))</f>
        <v>575403.4372680845</v>
      </c>
      <c r="Z59" s="151">
        <f>IF(Z$1&gt;'NWGC - SCENARIOS'!$D$7,Z44*(1+Budget!$J131)^('Yearly Budget'!Z$2-'Yearly Budget'!$B$2),Z44*(1+Budget!$J131)^('Yearly Budget'!Z$2-'Yearly Budget'!$B$2))</f>
        <v>621435.71224953129</v>
      </c>
      <c r="AA59" s="151">
        <f>IF(AA$1&gt;'NWGC - SCENARIOS'!$D$7,AA44*(1+Budget!$J131)^('Yearly Budget'!AA$2-'Yearly Budget'!$B$2),AA44*(1+Budget!$J131)^('Yearly Budget'!AA$2-'Yearly Budget'!$B$2))</f>
        <v>671150.56922949385</v>
      </c>
      <c r="AB59" s="151">
        <f>IF(AB$1&gt;'NWGC - SCENARIOS'!$D$7,AB44*(1+Budget!$J131)^('Yearly Budget'!AB$2-'Yearly Budget'!$B$2),AB44*(1+Budget!$J131)^('Yearly Budget'!AB$2-'Yearly Budget'!$B$2))</f>
        <v>724842.61476785329</v>
      </c>
      <c r="AC59" s="151">
        <f>IF(AC$1&gt;'NWGC - SCENARIOS'!$D$7,AC44*(1+Budget!$J131)^('Yearly Budget'!AC$2-'Yearly Budget'!$B$2),AC44*(1+Budget!$J131)^('Yearly Budget'!AC$2-'Yearly Budget'!$B$2))</f>
        <v>782830.02394928155</v>
      </c>
      <c r="AD59" s="151">
        <f>IF(AD$1&gt;'NWGC - SCENARIOS'!$D$7,AD44*(1+Budget!$J131)^('Yearly Budget'!AD$2-'Yearly Budget'!$B$2),AD44*(1+Budget!$J131)^('Yearly Budget'!AD$2-'Yearly Budget'!$B$2))</f>
        <v>845456.4258652241</v>
      </c>
      <c r="AE59" s="151">
        <f>IF(AE$1&gt;'NWGC - SCENARIOS'!$D$7,AE44*(1+Budget!$J131)^('Yearly Budget'!AE$2-'Yearly Budget'!$B$2),AE44*(1+Budget!$J131)^('Yearly Budget'!AE$2-'Yearly Budget'!$B$2))</f>
        <v>913092.93993444205</v>
      </c>
      <c r="AF59" s="151">
        <f>IF(AF$1&gt;'NWGC - SCENARIOS'!$D$7,AF44*(1+Budget!$J131)^('Yearly Budget'!AF$2-'Yearly Budget'!$B$2),AF44*(1+Budget!$J131)^('Yearly Budget'!AF$2-'Yearly Budget'!$B$2))</f>
        <v>986140.37512919761</v>
      </c>
      <c r="AG59" s="151">
        <f>IF(AG$1&gt;'NWGC - SCENARIOS'!$D$7,AG44*(1+Budget!$J131)^('Yearly Budget'!AG$2-'Yearly Budget'!$B$2),AG44*(1+Budget!$J131)^('Yearly Budget'!AG$2-'Yearly Budget'!$B$2))</f>
        <v>1065031.6051395335</v>
      </c>
      <c r="AH59" s="151">
        <f>IF(AH$1&gt;'NWGC - SCENARIOS'!$D$7,AH44*(1+Budget!$J131)^('Yearly Budget'!AH$2-'Yearly Budget'!$B$2),AH44*(1+Budget!$J131)^('Yearly Budget'!AH$2-'Yearly Budget'!$B$2))</f>
        <v>1150234.1335506963</v>
      </c>
      <c r="AI59" s="151">
        <f>IF(AI$1&gt;'NWGC - SCENARIOS'!$D$7,AI44*(1+Budget!$J131)^('Yearly Budget'!AI$2-'Yearly Budget'!$B$2),AI44*(1+Budget!$J131)^('Yearly Budget'!AI$2-'Yearly Budget'!$B$2))</f>
        <v>1242252.864234752</v>
      </c>
      <c r="AJ59" s="151">
        <f>IF(AJ$1&gt;'NWGC - SCENARIOS'!$D$7,AJ44*(1+Budget!$J131)^('Yearly Budget'!AJ$2-'Yearly Budget'!$B$2),AJ44*(1+Budget!$J131)^('Yearly Budget'!AJ$2-'Yearly Budget'!$B$2))</f>
        <v>1341633.0933735322</v>
      </c>
      <c r="AK59" s="151">
        <f>IF(AK$1&gt;'NWGC - SCENARIOS'!$D$7,AK44*(1+Budget!$J131)^('Yearly Budget'!AK$2-'Yearly Budget'!$B$2),AK44*(1+Budget!$J131)^('Yearly Budget'!AK$2-'Yearly Budget'!$B$2))</f>
        <v>1448963.7408434148</v>
      </c>
      <c r="AL59" s="151">
        <f>IF(AL$1&gt;'NWGC - SCENARIOS'!$D$7,AL44*(1+Budget!$J131)^('Yearly Budget'!AL$2-'Yearly Budget'!$B$2),AL44*(1+Budget!$J131)^('Yearly Budget'!AL$2-'Yearly Budget'!$B$2))</f>
        <v>1564880.8401108882</v>
      </c>
      <c r="AM59" s="151">
        <f>IF(AM$1&gt;'NWGC - SCENARIOS'!$D$7,AM44*(1+Budget!$J131)^('Yearly Budget'!AM$2-'Yearly Budget'!$B$2),AM44*(1+Budget!$J131)^('Yearly Budget'!AM$2-'Yearly Budget'!$B$2))</f>
        <v>1690071.3073197594</v>
      </c>
      <c r="AN59" s="151">
        <f>IF(AN$1&gt;'NWGC - SCENARIOS'!$D$7,AN44*(1+Budget!$J131)^('Yearly Budget'!AN$2-'Yearly Budget'!$B$2),AN44*(1+Budget!$J131)^('Yearly Budget'!AN$2-'Yearly Budget'!$B$2))</f>
        <v>1825277.0119053402</v>
      </c>
      <c r="AO59" s="151">
        <f>IF(AO$1&gt;'NWGC - SCENARIOS'!$D$7,AO44*(1+Budget!$J131)^('Yearly Budget'!AO$2-'Yearly Budget'!$B$2),AO44*(1+Budget!$J131)^('Yearly Budget'!AO$2-'Yearly Budget'!$B$2))</f>
        <v>1971299.1728577674</v>
      </c>
      <c r="AP59" s="151">
        <f>IF(AP$1&gt;'NWGC - SCENARIOS'!$D$7,AP44*(1+Budget!$J131)^('Yearly Budget'!AP$2-'Yearly Budget'!$B$2),AP44*(1+Budget!$J131)^('Yearly Budget'!AP$2-'Yearly Budget'!$B$2))</f>
        <v>2129003.1066863891</v>
      </c>
      <c r="AQ59" s="151">
        <f>IF(AQ$1&gt;'NWGC - SCENARIOS'!$D$7,AQ44*(1+Budget!$J131)^('Yearly Budget'!AQ$2-'Yearly Budget'!$B$2),AQ44*(1+Budget!$J131)^('Yearly Budget'!AQ$2-'Yearly Budget'!$B$2))</f>
        <v>2299323.3552213004</v>
      </c>
      <c r="AR59" s="151">
        <f>IF(AR$1&gt;'NWGC - SCENARIOS'!$D$7,AR44*(1+Budget!$J131)^('Yearly Budget'!AR$2-'Yearly Budget'!$B$2),AR44*(1+Budget!$J131)^('Yearly Budget'!AR$2-'Yearly Budget'!$B$2))</f>
        <v>2483269.2236390039</v>
      </c>
      <c r="AS59" s="151">
        <f>IF(AS$1&gt;'NWGC - SCENARIOS'!$D$7,AS44*(1+Budget!$J131)^('Yearly Budget'!AS$2-'Yearly Budget'!$B$2),AS44*(1+Budget!$J131)^('Yearly Budget'!AS$2-'Yearly Budget'!$B$2))</f>
        <v>2681930.7615301246</v>
      </c>
      <c r="AT59" s="151">
        <f>IF(AT$1&gt;'NWGC - SCENARIOS'!$D$7,AT44*(1+Budget!$J131)^('Yearly Budget'!AT$2-'Yearly Budget'!$B$2),AT44*(1+Budget!$J131)^('Yearly Budget'!AT$2-'Yearly Budget'!$B$2))</f>
        <v>2896485.2224525348</v>
      </c>
      <c r="AU59" s="151">
        <f>IF(AU$1&gt;'NWGC - SCENARIOS'!$D$7,AU44*(1+Budget!$J131)^('Yearly Budget'!AU$2-'Yearly Budget'!$B$2),AU44*(1+Budget!$J131)^('Yearly Budget'!AU$2-'Yearly Budget'!$B$2))</f>
        <v>3128204.0402487372</v>
      </c>
      <c r="AV59" s="151">
        <f>IF(AV$1&gt;'NWGC - SCENARIOS'!$D$7,AV44*(1+Budget!$J131)^('Yearly Budget'!AV$2-'Yearly Budget'!$B$2),AV44*(1+Budget!$J131)^('Yearly Budget'!AV$2-'Yearly Budget'!$B$2))</f>
        <v>3378460.3634686372</v>
      </c>
      <c r="AW59" s="151">
        <f>IF(AW$1&gt;'NWGC - SCENARIOS'!$D$7,AW44*(1+Budget!$J131)^('Yearly Budget'!AW$2-'Yearly Budget'!$B$2),AW44*(1+Budget!$J131)^('Yearly Budget'!AW$2-'Yearly Budget'!$B$2))</f>
        <v>3648737.1925461288</v>
      </c>
      <c r="AX59" s="151">
        <f>IF(AX$1&gt;'NWGC - SCENARIOS'!$D$7,AX44*(1+Budget!$J131)^('Yearly Budget'!AX$2-'Yearly Budget'!$B$2),AX44*(1+Budget!$J131)^('Yearly Budget'!AX$2-'Yearly Budget'!$B$2))</f>
        <v>3940636.1679498181</v>
      </c>
      <c r="AY59" s="151">
        <f>IF(AY$1&gt;'NWGC - SCENARIOS'!$D$7,AY44*(1+Budget!$J131)^('Yearly Budget'!AY$2-'Yearly Budget'!$B$2),AY44*(1+Budget!$J131)^('Yearly Budget'!AY$2-'Yearly Budget'!$B$2))</f>
        <v>4255887.0613858039</v>
      </c>
      <c r="AZ59" s="151">
        <f>IF(AZ$1&gt;'NWGC - SCENARIOS'!$D$7,AZ44*(1+Budget!$J131)^('Yearly Budget'!AZ$2-'Yearly Budget'!$B$2),AZ44*(1+Budget!$J131)^('Yearly Budget'!AZ$2-'Yearly Budget'!$B$2))</f>
        <v>4596358.0262966687</v>
      </c>
      <c r="BA59" s="151">
        <f>IF(BA$1&gt;'NWGC - SCENARIOS'!$D$7,BA44*(1+Budget!$J131)^('Yearly Budget'!BA$2-'Yearly Budget'!$B$2),BA44*(1+Budget!$J131)^('Yearly Budget'!BA$2-'Yearly Budget'!$B$2))</f>
        <v>4964066.6684004031</v>
      </c>
      <c r="BB59" s="151">
        <f>IF(BB$1&gt;'NWGC - SCENARIOS'!$D$7,BB44*(1+Budget!$J131)^('Yearly Budget'!BB$2-'Yearly Budget'!$B$2),BB44*(1+Budget!$J131)^('Yearly Budget'!BB$2-'Yearly Budget'!$B$2))</f>
        <v>5361192.0018724352</v>
      </c>
      <c r="BC59" s="151">
        <f>IF(BC$1&gt;'NWGC - SCENARIOS'!$D$7,BC44*(1+Budget!$J131)^('Yearly Budget'!BC$2-'Yearly Budget'!$B$2),BC44*(1+Budget!$J131)^('Yearly Budget'!BC$2-'Yearly Budget'!$B$2))</f>
        <v>5790087.3620222295</v>
      </c>
      <c r="BD59" s="151">
        <f>IF(BD$1&gt;'NWGC - SCENARIOS'!$D$7,BD44*(1+Budget!$J131)^('Yearly Budget'!BD$2-'Yearly Budget'!$B$2),BD44*(1+Budget!$J131)^('Yearly Budget'!BD$2-'Yearly Budget'!$B$2))</f>
        <v>6253294.350984009</v>
      </c>
      <c r="BE59" s="151">
        <f>IF(BE$1&gt;'NWGC - SCENARIOS'!$D$7,BE44*(1+Budget!$J131)^('Yearly Budget'!BE$2-'Yearly Budget'!$B$2),BE44*(1+Budget!$J131)^('Yearly Budget'!BE$2-'Yearly Budget'!$B$2))</f>
        <v>6753557.8990627304</v>
      </c>
      <c r="BF59" s="151">
        <f>IF(BF$1&gt;'NWGC - SCENARIOS'!$D$7,BF44*(1+Budget!$J131)^('Yearly Budget'!BF$2-'Yearly Budget'!$B$2),BF44*(1+Budget!$J131)^('Yearly Budget'!BF$2-'Yearly Budget'!$B$2))</f>
        <v>7293842.5309877479</v>
      </c>
    </row>
    <row r="60" spans="1:58" s="99" customFormat="1" ht="14.4" x14ac:dyDescent="0.3">
      <c r="A60" s="100" t="str">
        <f t="shared" si="16"/>
        <v>Food</v>
      </c>
      <c r="B60" s="151">
        <f t="shared" si="16"/>
        <v>308000</v>
      </c>
      <c r="C60" s="151">
        <f>IF(C$1&gt;'NWGC - SCENARIOS'!$D$7,C45*(1+Budget!$J132)^('Yearly Budget'!C$2-'Yearly Budget'!$B$2),C45*(1+Budget!$J132)^('Yearly Budget'!C$2-'Yearly Budget'!$B$2))</f>
        <v>332640</v>
      </c>
      <c r="D60" s="151">
        <f>IF(D$1&gt;'NWGC - SCENARIOS'!$D$7,D45*(1+Budget!$J132)^('Yearly Budget'!D$2-'Yearly Budget'!$B$2),D45*(1+Budget!$J132)^('Yearly Budget'!D$2-'Yearly Budget'!$B$2))</f>
        <v>359251.20000000001</v>
      </c>
      <c r="E60" s="151">
        <f>IF(E$1&gt;'NWGC - SCENARIOS'!$D$7,E45*(1+Budget!$J132)^('Yearly Budget'!E$2-'Yearly Budget'!$B$2),E45*(1+Budget!$J132)^('Yearly Budget'!E$2-'Yearly Budget'!$B$2))</f>
        <v>387991.29600000003</v>
      </c>
      <c r="F60" s="151">
        <f>IF(F$1&gt;'NWGC - SCENARIOS'!$D$7,F45*(1+Budget!$J132)^('Yearly Budget'!F$2-'Yearly Budget'!$B$2),F45*(1+Budget!$J132)^('Yearly Budget'!F$2-'Yearly Budget'!$B$2))</f>
        <v>419030.5996800001</v>
      </c>
      <c r="G60" s="151">
        <f>IF(G$1&gt;'NWGC - SCENARIOS'!$D$7,G45*(1+Budget!$J132)^('Yearly Budget'!G$2-'Yearly Budget'!$B$2),G45*(1+Budget!$J132)^('Yearly Budget'!G$2-'Yearly Budget'!$B$2))</f>
        <v>452553.04765440011</v>
      </c>
      <c r="H60" s="151">
        <f>IF(H$1&gt;'NWGC - SCENARIOS'!$D$7,H45*(1+Budget!$J132)^('Yearly Budget'!H$2-'Yearly Budget'!$B$2),H45*(1+Budget!$J132)^('Yearly Budget'!H$2-'Yearly Budget'!$B$2))</f>
        <v>488757.29146675218</v>
      </c>
      <c r="I60" s="151">
        <f>IF(I$1&gt;'NWGC - SCENARIOS'!$D$7,I45*(1+Budget!$J132)^('Yearly Budget'!I$2-'Yearly Budget'!$B$2),I45*(1+Budget!$J132)^('Yearly Budget'!I$2-'Yearly Budget'!$B$2))</f>
        <v>527857.87478409242</v>
      </c>
      <c r="J60" s="151">
        <f>IF(J$1&gt;'NWGC - SCENARIOS'!$D$7,J45*(1+Budget!$J132)^('Yearly Budget'!J$2-'Yearly Budget'!$B$2),J45*(1+Budget!$J132)^('Yearly Budget'!J$2-'Yearly Budget'!$B$2))</f>
        <v>570086.50476681977</v>
      </c>
      <c r="K60" s="151">
        <f>IF(K$1&gt;'NWGC - SCENARIOS'!$D$7,K45*(1+Budget!$J132)^('Yearly Budget'!K$2-'Yearly Budget'!$B$2),K45*(1+Budget!$J132)^('Yearly Budget'!K$2-'Yearly Budget'!$B$2))</f>
        <v>615693.42514816544</v>
      </c>
      <c r="L60" s="151">
        <f>IF(L$1&gt;'NWGC - SCENARIOS'!$D$7,L45*(1+Budget!$J132)^('Yearly Budget'!L$2-'Yearly Budget'!$B$2),L45*(1+Budget!$J132)^('Yearly Budget'!L$2-'Yearly Budget'!$B$2))</f>
        <v>664948.89916001866</v>
      </c>
      <c r="M60" s="151">
        <f>IF(M$1&gt;'NWGC - SCENARIOS'!$D$7,M45*(1+Budget!$J132)^('Yearly Budget'!M$2-'Yearly Budget'!$B$2),M45*(1+Budget!$J132)^('Yearly Budget'!M$2-'Yearly Budget'!$B$2))</f>
        <v>718144.81109282013</v>
      </c>
      <c r="N60" s="151">
        <f>IF(N$1&gt;'NWGC - SCENARIOS'!$D$7,N45*(1+Budget!$J132)^('Yearly Budget'!N$2-'Yearly Budget'!$B$2),N45*(1+Budget!$J132)^('Yearly Budget'!N$2-'Yearly Budget'!$B$2))</f>
        <v>775596.39598024578</v>
      </c>
      <c r="O60" s="151">
        <f>IF(O$1&gt;'NWGC - SCENARIOS'!$D$7,O45*(1+Budget!$J132)^('Yearly Budget'!O$2-'Yearly Budget'!$B$2),O45*(1+Budget!$J132)^('Yearly Budget'!O$2-'Yearly Budget'!$B$2))</f>
        <v>837644.10765866539</v>
      </c>
      <c r="P60" s="151">
        <f>IF(P$1&gt;'NWGC - SCENARIOS'!$D$7,P45*(1+Budget!$J132)^('Yearly Budget'!P$2-'Yearly Budget'!$B$2),P45*(1+Budget!$J132)^('Yearly Budget'!P$2-'Yearly Budget'!$B$2))</f>
        <v>904655.63627135882</v>
      </c>
      <c r="Q60" s="151">
        <f>IF(Q$1&gt;'NWGC - SCENARIOS'!$D$7,Q45*(1+Budget!$J132)^('Yearly Budget'!Q$2-'Yearly Budget'!$B$2),Q45*(1+Budget!$J132)^('Yearly Budget'!Q$2-'Yearly Budget'!$B$2))</f>
        <v>977028.08717306762</v>
      </c>
      <c r="R60" s="151">
        <f>IF(R$1&gt;'NWGC - SCENARIOS'!$D$7,R45*(1+Budget!$J132)^('Yearly Budget'!R$2-'Yearly Budget'!$B$2),R45*(1+Budget!$J132)^('Yearly Budget'!R$2-'Yearly Budget'!$B$2))</f>
        <v>1055190.3341469129</v>
      </c>
      <c r="S60" s="151">
        <f>IF(S$1&gt;'NWGC - SCENARIOS'!$D$7,S45*(1+Budget!$J132)^('Yearly Budget'!S$2-'Yearly Budget'!$B$2),S45*(1+Budget!$J132)^('Yearly Budget'!S$2-'Yearly Budget'!$B$2))</f>
        <v>1139605.5608786661</v>
      </c>
      <c r="T60" s="151">
        <f>IF(T$1&gt;'NWGC - SCENARIOS'!$D$7,T45*(1+Budget!$J132)^('Yearly Budget'!T$2-'Yearly Budget'!$B$2),T45*(1+Budget!$J132)^('Yearly Budget'!T$2-'Yearly Budget'!$B$2))</f>
        <v>1230774.0057489595</v>
      </c>
      <c r="U60" s="151">
        <f>IF(U$1&gt;'NWGC - SCENARIOS'!$D$7,U45*(1+Budget!$J132)^('Yearly Budget'!U$2-'Yearly Budget'!$B$2),U45*(1+Budget!$J132)^('Yearly Budget'!U$2-'Yearly Budget'!$B$2))</f>
        <v>1329235.9262088763</v>
      </c>
      <c r="V60" s="151">
        <f>IF(V$1&gt;'NWGC - SCENARIOS'!$D$7,V45*(1+Budget!$J132)^('Yearly Budget'!V$2-'Yearly Budget'!$B$2),V45*(1+Budget!$J132)^('Yearly Budget'!V$2-'Yearly Budget'!$B$2))</f>
        <v>1435574.8003055863</v>
      </c>
      <c r="W60" s="151">
        <f>IF(W$1&gt;'NWGC - SCENARIOS'!$D$7,W45*(1+Budget!$J132)^('Yearly Budget'!W$2-'Yearly Budget'!$B$2),W45*(1+Budget!$J132)^('Yearly Budget'!W$2-'Yearly Budget'!$B$2))</f>
        <v>1550420.7843300335</v>
      </c>
      <c r="X60" s="151">
        <f>IF(X$1&gt;'NWGC - SCENARIOS'!$D$7,X45*(1+Budget!$J132)^('Yearly Budget'!X$2-'Yearly Budget'!$B$2),X45*(1+Budget!$J132)^('Yearly Budget'!X$2-'Yearly Budget'!$B$2))</f>
        <v>1674454.4470764364</v>
      </c>
      <c r="Y60" s="151">
        <f>IF(Y$1&gt;'NWGC - SCENARIOS'!$D$7,Y45*(1+Budget!$J132)^('Yearly Budget'!Y$2-'Yearly Budget'!$B$2),Y45*(1+Budget!$J132)^('Yearly Budget'!Y$2-'Yearly Budget'!$B$2))</f>
        <v>1808410.8028425511</v>
      </c>
      <c r="Z60" s="151">
        <f>IF(Z$1&gt;'NWGC - SCENARIOS'!$D$7,Z45*(1+Budget!$J132)^('Yearly Budget'!Z$2-'Yearly Budget'!$B$2),Z45*(1+Budget!$J132)^('Yearly Budget'!Z$2-'Yearly Budget'!$B$2))</f>
        <v>1953083.6670699553</v>
      </c>
      <c r="AA60" s="151">
        <f>IF(AA$1&gt;'NWGC - SCENARIOS'!$D$7,AA45*(1+Budget!$J132)^('Yearly Budget'!AA$2-'Yearly Budget'!$B$2),AA45*(1+Budget!$J132)^('Yearly Budget'!AA$2-'Yearly Budget'!$B$2))</f>
        <v>2109330.360435552</v>
      </c>
      <c r="AB60" s="151">
        <f>IF(AB$1&gt;'NWGC - SCENARIOS'!$D$7,AB45*(1+Budget!$J132)^('Yearly Budget'!AB$2-'Yearly Budget'!$B$2),AB45*(1+Budget!$J132)^('Yearly Budget'!AB$2-'Yearly Budget'!$B$2))</f>
        <v>2278076.7892703959</v>
      </c>
      <c r="AC60" s="151">
        <f>IF(AC$1&gt;'NWGC - SCENARIOS'!$D$7,AC45*(1+Budget!$J132)^('Yearly Budget'!AC$2-'Yearly Budget'!$B$2),AC45*(1+Budget!$J132)^('Yearly Budget'!AC$2-'Yearly Budget'!$B$2))</f>
        <v>2460322.9324120278</v>
      </c>
      <c r="AD60" s="151">
        <f>IF(AD$1&gt;'NWGC - SCENARIOS'!$D$7,AD45*(1+Budget!$J132)^('Yearly Budget'!AD$2-'Yearly Budget'!$B$2),AD45*(1+Budget!$J132)^('Yearly Budget'!AD$2-'Yearly Budget'!$B$2))</f>
        <v>2657148.76700499</v>
      </c>
      <c r="AE60" s="151">
        <f>IF(AE$1&gt;'NWGC - SCENARIOS'!$D$7,AE45*(1+Budget!$J132)^('Yearly Budget'!AE$2-'Yearly Budget'!$B$2),AE45*(1+Budget!$J132)^('Yearly Budget'!AE$2-'Yearly Budget'!$B$2))</f>
        <v>2869720.6683653896</v>
      </c>
      <c r="AF60" s="151">
        <f>IF(AF$1&gt;'NWGC - SCENARIOS'!$D$7,AF45*(1+Budget!$J132)^('Yearly Budget'!AF$2-'Yearly Budget'!$B$2),AF45*(1+Budget!$J132)^('Yearly Budget'!AF$2-'Yearly Budget'!$B$2))</f>
        <v>3099298.321834621</v>
      </c>
      <c r="AG60" s="151">
        <f>IF(AG$1&gt;'NWGC - SCENARIOS'!$D$7,AG45*(1+Budget!$J132)^('Yearly Budget'!AG$2-'Yearly Budget'!$B$2),AG45*(1+Budget!$J132)^('Yearly Budget'!AG$2-'Yearly Budget'!$B$2))</f>
        <v>3347242.1875813911</v>
      </c>
      <c r="AH60" s="151">
        <f>IF(AH$1&gt;'NWGC - SCENARIOS'!$D$7,AH45*(1+Budget!$J132)^('Yearly Budget'!AH$2-'Yearly Budget'!$B$2),AH45*(1+Budget!$J132)^('Yearly Budget'!AH$2-'Yearly Budget'!$B$2))</f>
        <v>3615021.5625879024</v>
      </c>
      <c r="AI60" s="151">
        <f>IF(AI$1&gt;'NWGC - SCENARIOS'!$D$7,AI45*(1+Budget!$J132)^('Yearly Budget'!AI$2-'Yearly Budget'!$B$2),AI45*(1+Budget!$J132)^('Yearly Budget'!AI$2-'Yearly Budget'!$B$2))</f>
        <v>3904223.2875949345</v>
      </c>
      <c r="AJ60" s="151">
        <f>IF(AJ$1&gt;'NWGC - SCENARIOS'!$D$7,AJ45*(1+Budget!$J132)^('Yearly Budget'!AJ$2-'Yearly Budget'!$B$2),AJ45*(1+Budget!$J132)^('Yearly Budget'!AJ$2-'Yearly Budget'!$B$2))</f>
        <v>4216561.1506025298</v>
      </c>
      <c r="AK60" s="151">
        <f>IF(AK$1&gt;'NWGC - SCENARIOS'!$D$7,AK45*(1+Budget!$J132)^('Yearly Budget'!AK$2-'Yearly Budget'!$B$2),AK45*(1+Budget!$J132)^('Yearly Budget'!AK$2-'Yearly Budget'!$B$2))</f>
        <v>4553886.0426507322</v>
      </c>
      <c r="AL60" s="151">
        <f>IF(AL$1&gt;'NWGC - SCENARIOS'!$D$7,AL45*(1+Budget!$J132)^('Yearly Budget'!AL$2-'Yearly Budget'!$B$2),AL45*(1+Budget!$J132)^('Yearly Budget'!AL$2-'Yearly Budget'!$B$2))</f>
        <v>4918196.9260627916</v>
      </c>
      <c r="AM60" s="151">
        <f>IF(AM$1&gt;'NWGC - SCENARIOS'!$D$7,AM45*(1+Budget!$J132)^('Yearly Budget'!AM$2-'Yearly Budget'!$B$2),AM45*(1+Budget!$J132)^('Yearly Budget'!AM$2-'Yearly Budget'!$B$2))</f>
        <v>5311652.6801478146</v>
      </c>
      <c r="AN60" s="151">
        <f>IF(AN$1&gt;'NWGC - SCENARIOS'!$D$7,AN45*(1+Budget!$J132)^('Yearly Budget'!AN$2-'Yearly Budget'!$B$2),AN45*(1+Budget!$J132)^('Yearly Budget'!AN$2-'Yearly Budget'!$B$2))</f>
        <v>5736584.8945596404</v>
      </c>
      <c r="AO60" s="151">
        <f>IF(AO$1&gt;'NWGC - SCENARIOS'!$D$7,AO45*(1+Budget!$J132)^('Yearly Budget'!AO$2-'Yearly Budget'!$B$2),AO45*(1+Budget!$J132)^('Yearly Budget'!AO$2-'Yearly Budget'!$B$2))</f>
        <v>6195511.6861244123</v>
      </c>
      <c r="AP60" s="151">
        <f>IF(AP$1&gt;'NWGC - SCENARIOS'!$D$7,AP45*(1+Budget!$J132)^('Yearly Budget'!AP$2-'Yearly Budget'!$B$2),AP45*(1+Budget!$J132)^('Yearly Budget'!AP$2-'Yearly Budget'!$B$2))</f>
        <v>6691152.621014365</v>
      </c>
      <c r="AQ60" s="151">
        <f>IF(AQ$1&gt;'NWGC - SCENARIOS'!$D$7,AQ45*(1+Budget!$J132)^('Yearly Budget'!AQ$2-'Yearly Budget'!$B$2),AQ45*(1+Budget!$J132)^('Yearly Budget'!AQ$2-'Yearly Budget'!$B$2))</f>
        <v>7226444.8306955155</v>
      </c>
      <c r="AR60" s="151">
        <f>IF(AR$1&gt;'NWGC - SCENARIOS'!$D$7,AR45*(1+Budget!$J132)^('Yearly Budget'!AR$2-'Yearly Budget'!$B$2),AR45*(1+Budget!$J132)^('Yearly Budget'!AR$2-'Yearly Budget'!$B$2))</f>
        <v>7804560.4171511559</v>
      </c>
      <c r="AS60" s="151">
        <f>IF(AS$1&gt;'NWGC - SCENARIOS'!$D$7,AS45*(1+Budget!$J132)^('Yearly Budget'!AS$2-'Yearly Budget'!$B$2),AS45*(1+Budget!$J132)^('Yearly Budget'!AS$2-'Yearly Budget'!$B$2))</f>
        <v>8428925.2505232487</v>
      </c>
      <c r="AT60" s="151">
        <f>IF(AT$1&gt;'NWGC - SCENARIOS'!$D$7,AT45*(1+Budget!$J132)^('Yearly Budget'!AT$2-'Yearly Budget'!$B$2),AT45*(1+Budget!$J132)^('Yearly Budget'!AT$2-'Yearly Budget'!$B$2))</f>
        <v>9103239.2705651093</v>
      </c>
      <c r="AU60" s="151">
        <f>IF(AU$1&gt;'NWGC - SCENARIOS'!$D$7,AU45*(1+Budget!$J132)^('Yearly Budget'!AU$2-'Yearly Budget'!$B$2),AU45*(1+Budget!$J132)^('Yearly Budget'!AU$2-'Yearly Budget'!$B$2))</f>
        <v>9831498.4122103173</v>
      </c>
      <c r="AV60" s="151">
        <f>IF(AV$1&gt;'NWGC - SCENARIOS'!$D$7,AV45*(1+Budget!$J132)^('Yearly Budget'!AV$2-'Yearly Budget'!$B$2),AV45*(1+Budget!$J132)^('Yearly Budget'!AV$2-'Yearly Budget'!$B$2))</f>
        <v>10618018.285187146</v>
      </c>
      <c r="AW60" s="151">
        <f>IF(AW$1&gt;'NWGC - SCENARIOS'!$D$7,AW45*(1+Budget!$J132)^('Yearly Budget'!AW$2-'Yearly Budget'!$B$2),AW45*(1+Budget!$J132)^('Yearly Budget'!AW$2-'Yearly Budget'!$B$2))</f>
        <v>11467459.748002117</v>
      </c>
      <c r="AX60" s="151">
        <f>IF(AX$1&gt;'NWGC - SCENARIOS'!$D$7,AX45*(1+Budget!$J132)^('Yearly Budget'!AX$2-'Yearly Budget'!$B$2),AX45*(1+Budget!$J132)^('Yearly Budget'!AX$2-'Yearly Budget'!$B$2))</f>
        <v>12384856.527842285</v>
      </c>
      <c r="AY60" s="151">
        <f>IF(AY$1&gt;'NWGC - SCENARIOS'!$D$7,AY45*(1+Budget!$J132)^('Yearly Budget'!AY$2-'Yearly Budget'!$B$2),AY45*(1+Budget!$J132)^('Yearly Budget'!AY$2-'Yearly Budget'!$B$2))</f>
        <v>13375645.050069669</v>
      </c>
      <c r="AZ60" s="151">
        <f>IF(AZ$1&gt;'NWGC - SCENARIOS'!$D$7,AZ45*(1+Budget!$J132)^('Yearly Budget'!AZ$2-'Yearly Budget'!$B$2),AZ45*(1+Budget!$J132)^('Yearly Budget'!AZ$2-'Yearly Budget'!$B$2))</f>
        <v>14445696.654075244</v>
      </c>
      <c r="BA60" s="151">
        <f>IF(BA$1&gt;'NWGC - SCENARIOS'!$D$7,BA45*(1+Budget!$J132)^('Yearly Budget'!BA$2-'Yearly Budget'!$B$2),BA45*(1+Budget!$J132)^('Yearly Budget'!BA$2-'Yearly Budget'!$B$2))</f>
        <v>15601352.386401266</v>
      </c>
      <c r="BB60" s="151">
        <f>IF(BB$1&gt;'NWGC - SCENARIOS'!$D$7,BB45*(1+Budget!$J132)^('Yearly Budget'!BB$2-'Yearly Budget'!$B$2),BB45*(1+Budget!$J132)^('Yearly Budget'!BB$2-'Yearly Budget'!$B$2))</f>
        <v>16849460.577313367</v>
      </c>
      <c r="BC60" s="151">
        <f>IF(BC$1&gt;'NWGC - SCENARIOS'!$D$7,BC45*(1+Budget!$J132)^('Yearly Budget'!BC$2-'Yearly Budget'!$B$2),BC45*(1+Budget!$J132)^('Yearly Budget'!BC$2-'Yearly Budget'!$B$2))</f>
        <v>18197417.423498437</v>
      </c>
      <c r="BD60" s="151">
        <f>IF(BD$1&gt;'NWGC - SCENARIOS'!$D$7,BD45*(1+Budget!$J132)^('Yearly Budget'!BD$2-'Yearly Budget'!$B$2),BD45*(1+Budget!$J132)^('Yearly Budget'!BD$2-'Yearly Budget'!$B$2))</f>
        <v>19653210.817378312</v>
      </c>
      <c r="BE60" s="151">
        <f>IF(BE$1&gt;'NWGC - SCENARIOS'!$D$7,BE45*(1+Budget!$J132)^('Yearly Budget'!BE$2-'Yearly Budget'!$B$2),BE45*(1+Budget!$J132)^('Yearly Budget'!BE$2-'Yearly Budget'!$B$2))</f>
        <v>21225467.68276858</v>
      </c>
      <c r="BF60" s="151">
        <f>IF(BF$1&gt;'NWGC - SCENARIOS'!$D$7,BF45*(1+Budget!$J132)^('Yearly Budget'!BF$2-'Yearly Budget'!$B$2),BF45*(1+Budget!$J132)^('Yearly Budget'!BF$2-'Yearly Budget'!$B$2))</f>
        <v>22923505.097390067</v>
      </c>
    </row>
    <row r="61" spans="1:58" s="99" customFormat="1" ht="14.4" x14ac:dyDescent="0.3">
      <c r="A61" s="100" t="str">
        <f t="shared" si="16"/>
        <v>Health</v>
      </c>
      <c r="B61" s="151">
        <f t="shared" si="16"/>
        <v>203000</v>
      </c>
      <c r="C61" s="151">
        <f>IF(C$1&gt;'NWGC - SCENARIOS'!$D$7,C46*(1+Budget!$J133)^('Yearly Budget'!C$2-'Yearly Budget'!$B$2),C46*(1+Budget!$J133)^('Yearly Budget'!C$2-'Yearly Budget'!$B$2))</f>
        <v>219240</v>
      </c>
      <c r="D61" s="151">
        <f>IF(D$1&gt;'NWGC - SCENARIOS'!$D$7,D46*(1+Budget!$J133)^('Yearly Budget'!D$2-'Yearly Budget'!$B$2),D46*(1+Budget!$J133)^('Yearly Budget'!D$2-'Yearly Budget'!$B$2))</f>
        <v>236779.2</v>
      </c>
      <c r="E61" s="151">
        <f>IF(E$1&gt;'NWGC - SCENARIOS'!$D$7,E46*(1+Budget!$J133)^('Yearly Budget'!E$2-'Yearly Budget'!$B$2),E46*(1+Budget!$J133)^('Yearly Budget'!E$2-'Yearly Budget'!$B$2))</f>
        <v>255721.53600000002</v>
      </c>
      <c r="F61" s="151">
        <f>IF(F$1&gt;'NWGC - SCENARIOS'!$D$7,F46*(1+Budget!$J133)^('Yearly Budget'!F$2-'Yearly Budget'!$B$2),F46*(1+Budget!$J133)^('Yearly Budget'!F$2-'Yearly Budget'!$B$2))</f>
        <v>276179.25888000004</v>
      </c>
      <c r="G61" s="151">
        <f>IF(G$1&gt;'NWGC - SCENARIOS'!$D$7,G46*(1+Budget!$J133)^('Yearly Budget'!G$2-'Yearly Budget'!$B$2),G46*(1+Budget!$J133)^('Yearly Budget'!G$2-'Yearly Budget'!$B$2))</f>
        <v>298273.59959040006</v>
      </c>
      <c r="H61" s="151">
        <f>IF(H$1&gt;'NWGC - SCENARIOS'!$D$7,H46*(1+Budget!$J133)^('Yearly Budget'!H$2-'Yearly Budget'!$B$2),H46*(1+Budget!$J133)^('Yearly Budget'!H$2-'Yearly Budget'!$B$2))</f>
        <v>322135.48755763209</v>
      </c>
      <c r="I61" s="151">
        <f>IF(I$1&gt;'NWGC - SCENARIOS'!$D$7,I46*(1+Budget!$J133)^('Yearly Budget'!I$2-'Yearly Budget'!$B$2),I46*(1+Budget!$J133)^('Yearly Budget'!I$2-'Yearly Budget'!$B$2))</f>
        <v>347906.3265622427</v>
      </c>
      <c r="J61" s="151">
        <f>IF(J$1&gt;'NWGC - SCENARIOS'!$D$7,J46*(1+Budget!$J133)^('Yearly Budget'!J$2-'Yearly Budget'!$B$2),J46*(1+Budget!$J133)^('Yearly Budget'!J$2-'Yearly Budget'!$B$2))</f>
        <v>375738.83268722211</v>
      </c>
      <c r="K61" s="151">
        <f>IF(K$1&gt;'NWGC - SCENARIOS'!$D$7,K46*(1+Budget!$J133)^('Yearly Budget'!K$2-'Yearly Budget'!$B$2),K46*(1+Budget!$J133)^('Yearly Budget'!K$2-'Yearly Budget'!$B$2))</f>
        <v>405797.93930219993</v>
      </c>
      <c r="L61" s="151">
        <f>IF(L$1&gt;'NWGC - SCENARIOS'!$D$7,L46*(1+Budget!$J133)^('Yearly Budget'!L$2-'Yearly Budget'!$B$2),L46*(1+Budget!$J133)^('Yearly Budget'!L$2-'Yearly Budget'!$B$2))</f>
        <v>438261.7744463759</v>
      </c>
      <c r="M61" s="151">
        <f>IF(M$1&gt;'NWGC - SCENARIOS'!$D$7,M46*(1+Budget!$J133)^('Yearly Budget'!M$2-'Yearly Budget'!$B$2),M46*(1+Budget!$J133)^('Yearly Budget'!M$2-'Yearly Budget'!$B$2))</f>
        <v>473322.71640208596</v>
      </c>
      <c r="N61" s="151">
        <f>IF(N$1&gt;'NWGC - SCENARIOS'!$D$7,N46*(1+Budget!$J133)^('Yearly Budget'!N$2-'Yearly Budget'!$B$2),N46*(1+Budget!$J133)^('Yearly Budget'!N$2-'Yearly Budget'!$B$2))</f>
        <v>511188.53371425293</v>
      </c>
      <c r="O61" s="151">
        <f>IF(O$1&gt;'NWGC - SCENARIOS'!$D$7,O46*(1+Budget!$J133)^('Yearly Budget'!O$2-'Yearly Budget'!$B$2),O46*(1+Budget!$J133)^('Yearly Budget'!O$2-'Yearly Budget'!$B$2))</f>
        <v>552083.61641139316</v>
      </c>
      <c r="P61" s="151">
        <f>IF(P$1&gt;'NWGC - SCENARIOS'!$D$7,P46*(1+Budget!$J133)^('Yearly Budget'!P$2-'Yearly Budget'!$B$2),P46*(1+Budget!$J133)^('Yearly Budget'!P$2-'Yearly Budget'!$B$2))</f>
        <v>596250.30572430475</v>
      </c>
      <c r="Q61" s="151">
        <f>IF(Q$1&gt;'NWGC - SCENARIOS'!$D$7,Q46*(1+Budget!$J133)^('Yearly Budget'!Q$2-'Yearly Budget'!$B$2),Q46*(1+Budget!$J133)^('Yearly Budget'!Q$2-'Yearly Budget'!$B$2))</f>
        <v>643950.33018224908</v>
      </c>
      <c r="R61" s="151">
        <f>IF(R$1&gt;'NWGC - SCENARIOS'!$D$7,R46*(1+Budget!$J133)^('Yearly Budget'!R$2-'Yearly Budget'!$B$2),R46*(1+Budget!$J133)^('Yearly Budget'!R$2-'Yearly Budget'!$B$2))</f>
        <v>695466.35659682902</v>
      </c>
      <c r="S61" s="151">
        <f>IF(S$1&gt;'NWGC - SCENARIOS'!$D$7,S46*(1+Budget!$J133)^('Yearly Budget'!S$2-'Yearly Budget'!$B$2),S46*(1+Budget!$J133)^('Yearly Budget'!S$2-'Yearly Budget'!$B$2))</f>
        <v>751103.66512457537</v>
      </c>
      <c r="T61" s="151">
        <f>IF(T$1&gt;'NWGC - SCENARIOS'!$D$7,T46*(1+Budget!$J133)^('Yearly Budget'!T$2-'Yearly Budget'!$B$2),T46*(1+Budget!$J133)^('Yearly Budget'!T$2-'Yearly Budget'!$B$2))</f>
        <v>811191.95833454153</v>
      </c>
      <c r="U61" s="151">
        <f>IF(U$1&gt;'NWGC - SCENARIOS'!$D$7,U46*(1+Budget!$J133)^('Yearly Budget'!U$2-'Yearly Budget'!$B$2),U46*(1+Budget!$J133)^('Yearly Budget'!U$2-'Yearly Budget'!$B$2))</f>
        <v>876087.31500130484</v>
      </c>
      <c r="V61" s="151">
        <f>IF(V$1&gt;'NWGC - SCENARIOS'!$D$7,V46*(1+Budget!$J133)^('Yearly Budget'!V$2-'Yearly Budget'!$B$2),V46*(1+Budget!$J133)^('Yearly Budget'!V$2-'Yearly Budget'!$B$2))</f>
        <v>946174.30020140926</v>
      </c>
      <c r="W61" s="151">
        <f>IF(W$1&gt;'NWGC - SCENARIOS'!$D$7,W46*(1+Budget!$J133)^('Yearly Budget'!W$2-'Yearly Budget'!$B$2),W46*(1+Budget!$J133)^('Yearly Budget'!W$2-'Yearly Budget'!$B$2))</f>
        <v>1021868.244217522</v>
      </c>
      <c r="X61" s="151">
        <f>IF(X$1&gt;'NWGC - SCENARIOS'!$D$7,X46*(1+Budget!$J133)^('Yearly Budget'!X$2-'Yearly Budget'!$B$2),X46*(1+Budget!$J133)^('Yearly Budget'!X$2-'Yearly Budget'!$B$2))</f>
        <v>1103617.703754924</v>
      </c>
      <c r="Y61" s="151">
        <f>IF(Y$1&gt;'NWGC - SCENARIOS'!$D$7,Y46*(1+Budget!$J133)^('Yearly Budget'!Y$2-'Yearly Budget'!$B$2),Y46*(1+Budget!$J133)^('Yearly Budget'!Y$2-'Yearly Budget'!$B$2))</f>
        <v>1191907.1200553179</v>
      </c>
      <c r="Z61" s="151">
        <f>IF(Z$1&gt;'NWGC - SCENARIOS'!$D$7,Z46*(1+Budget!$J133)^('Yearly Budget'!Z$2-'Yearly Budget'!$B$2),Z46*(1+Budget!$J133)^('Yearly Budget'!Z$2-'Yearly Budget'!$B$2))</f>
        <v>1287259.6896597433</v>
      </c>
      <c r="AA61" s="151">
        <f>IF(AA$1&gt;'NWGC - SCENARIOS'!$D$7,AA46*(1+Budget!$J133)^('Yearly Budget'!AA$2-'Yearly Budget'!$B$2),AA46*(1+Budget!$J133)^('Yearly Budget'!AA$2-'Yearly Budget'!$B$2))</f>
        <v>1390240.4648325229</v>
      </c>
      <c r="AB61" s="151">
        <f>IF(AB$1&gt;'NWGC - SCENARIOS'!$D$7,AB46*(1+Budget!$J133)^('Yearly Budget'!AB$2-'Yearly Budget'!$B$2),AB46*(1+Budget!$J133)^('Yearly Budget'!AB$2-'Yearly Budget'!$B$2))</f>
        <v>1501459.7020191248</v>
      </c>
      <c r="AC61" s="151">
        <f>IF(AC$1&gt;'NWGC - SCENARIOS'!$D$7,AC46*(1+Budget!$J133)^('Yearly Budget'!AC$2-'Yearly Budget'!$B$2),AC46*(1+Budget!$J133)^('Yearly Budget'!AC$2-'Yearly Budget'!$B$2))</f>
        <v>1621576.4781806546</v>
      </c>
      <c r="AD61" s="151">
        <f>IF(AD$1&gt;'NWGC - SCENARIOS'!$D$7,AD46*(1+Budget!$J133)^('Yearly Budget'!AD$2-'Yearly Budget'!$B$2),AD46*(1+Budget!$J133)^('Yearly Budget'!AD$2-'Yearly Budget'!$B$2))</f>
        <v>1751302.5964351071</v>
      </c>
      <c r="AE61" s="151">
        <f>IF(AE$1&gt;'NWGC - SCENARIOS'!$D$7,AE46*(1+Budget!$J133)^('Yearly Budget'!AE$2-'Yearly Budget'!$B$2),AE46*(1+Budget!$J133)^('Yearly Budget'!AE$2-'Yearly Budget'!$B$2))</f>
        <v>1891406.8041499157</v>
      </c>
      <c r="AF61" s="151">
        <f>IF(AF$1&gt;'NWGC - SCENARIOS'!$D$7,AF46*(1+Budget!$J133)^('Yearly Budget'!AF$2-'Yearly Budget'!$B$2),AF46*(1+Budget!$J133)^('Yearly Budget'!AF$2-'Yearly Budget'!$B$2))</f>
        <v>2042719.3484819094</v>
      </c>
      <c r="AG61" s="151">
        <f>IF(AG$1&gt;'NWGC - SCENARIOS'!$D$7,AG46*(1+Budget!$J133)^('Yearly Budget'!AG$2-'Yearly Budget'!$B$2),AG46*(1+Budget!$J133)^('Yearly Budget'!AG$2-'Yearly Budget'!$B$2))</f>
        <v>2206136.8963604625</v>
      </c>
      <c r="AH61" s="151">
        <f>IF(AH$1&gt;'NWGC - SCENARIOS'!$D$7,AH46*(1+Budget!$J133)^('Yearly Budget'!AH$2-'Yearly Budget'!$B$2),AH46*(1+Budget!$J133)^('Yearly Budget'!AH$2-'Yearly Budget'!$B$2))</f>
        <v>2382627.8480692995</v>
      </c>
      <c r="AI61" s="151">
        <f>IF(AI$1&gt;'NWGC - SCENARIOS'!$D$7,AI46*(1+Budget!$J133)^('Yearly Budget'!AI$2-'Yearly Budget'!$B$2),AI46*(1+Budget!$J133)^('Yearly Budget'!AI$2-'Yearly Budget'!$B$2))</f>
        <v>2573238.0759148435</v>
      </c>
      <c r="AJ61" s="151">
        <f>IF(AJ$1&gt;'NWGC - SCENARIOS'!$D$7,AJ46*(1+Budget!$J133)^('Yearly Budget'!AJ$2-'Yearly Budget'!$B$2),AJ46*(1+Budget!$J133)^('Yearly Budget'!AJ$2-'Yearly Budget'!$B$2))</f>
        <v>2779097.1219880306</v>
      </c>
      <c r="AK61" s="151">
        <f>IF(AK$1&gt;'NWGC - SCENARIOS'!$D$7,AK46*(1+Budget!$J133)^('Yearly Budget'!AK$2-'Yearly Budget'!$B$2),AK46*(1+Budget!$J133)^('Yearly Budget'!AK$2-'Yearly Budget'!$B$2))</f>
        <v>3001424.8917470737</v>
      </c>
      <c r="AL61" s="151">
        <f>IF(AL$1&gt;'NWGC - SCENARIOS'!$D$7,AL46*(1+Budget!$J133)^('Yearly Budget'!AL$2-'Yearly Budget'!$B$2),AL46*(1+Budget!$J133)^('Yearly Budget'!AL$2-'Yearly Budget'!$B$2))</f>
        <v>3241538.8830868402</v>
      </c>
      <c r="AM61" s="151">
        <f>IF(AM$1&gt;'NWGC - SCENARIOS'!$D$7,AM46*(1+Budget!$J133)^('Yearly Budget'!AM$2-'Yearly Budget'!$B$2),AM46*(1+Budget!$J133)^('Yearly Budget'!AM$2-'Yearly Budget'!$B$2))</f>
        <v>3500861.993733787</v>
      </c>
      <c r="AN61" s="151">
        <f>IF(AN$1&gt;'NWGC - SCENARIOS'!$D$7,AN46*(1+Budget!$J133)^('Yearly Budget'!AN$2-'Yearly Budget'!$B$2),AN46*(1+Budget!$J133)^('Yearly Budget'!AN$2-'Yearly Budget'!$B$2))</f>
        <v>3780930.9532324905</v>
      </c>
      <c r="AO61" s="151">
        <f>IF(AO$1&gt;'NWGC - SCENARIOS'!$D$7,AO46*(1+Budget!$J133)^('Yearly Budget'!AO$2-'Yearly Budget'!$B$2),AO46*(1+Budget!$J133)^('Yearly Budget'!AO$2-'Yearly Budget'!$B$2))</f>
        <v>4083405.4294910897</v>
      </c>
      <c r="AP61" s="151">
        <f>IF(AP$1&gt;'NWGC - SCENARIOS'!$D$7,AP46*(1+Budget!$J133)^('Yearly Budget'!AP$2-'Yearly Budget'!$B$2),AP46*(1+Budget!$J133)^('Yearly Budget'!AP$2-'Yearly Budget'!$B$2))</f>
        <v>4410077.8638503775</v>
      </c>
      <c r="AQ61" s="151">
        <f>IF(AQ$1&gt;'NWGC - SCENARIOS'!$D$7,AQ46*(1+Budget!$J133)^('Yearly Budget'!AQ$2-'Yearly Budget'!$B$2),AQ46*(1+Budget!$J133)^('Yearly Budget'!AQ$2-'Yearly Budget'!$B$2))</f>
        <v>4762884.0929584075</v>
      </c>
      <c r="AR61" s="151">
        <f>IF(AR$1&gt;'NWGC - SCENARIOS'!$D$7,AR46*(1+Budget!$J133)^('Yearly Budget'!AR$2-'Yearly Budget'!$B$2),AR46*(1+Budget!$J133)^('Yearly Budget'!AR$2-'Yearly Budget'!$B$2))</f>
        <v>5143914.8203950794</v>
      </c>
      <c r="AS61" s="151">
        <f>IF(AS$1&gt;'NWGC - SCENARIOS'!$D$7,AS46*(1+Budget!$J133)^('Yearly Budget'!AS$2-'Yearly Budget'!$B$2),AS46*(1+Budget!$J133)^('Yearly Budget'!AS$2-'Yearly Budget'!$B$2))</f>
        <v>5555428.0060266862</v>
      </c>
      <c r="AT61" s="151">
        <f>IF(AT$1&gt;'NWGC - SCENARIOS'!$D$7,AT46*(1+Budget!$J133)^('Yearly Budget'!AT$2-'Yearly Budget'!$B$2),AT46*(1+Budget!$J133)^('Yearly Budget'!AT$2-'Yearly Budget'!$B$2))</f>
        <v>5999862.2465088228</v>
      </c>
      <c r="AU61" s="151">
        <f>IF(AU$1&gt;'NWGC - SCENARIOS'!$D$7,AU46*(1+Budget!$J133)^('Yearly Budget'!AU$2-'Yearly Budget'!$B$2),AU46*(1+Budget!$J133)^('Yearly Budget'!AU$2-'Yearly Budget'!$B$2))</f>
        <v>6479851.226229528</v>
      </c>
      <c r="AV61" s="151">
        <f>IF(AV$1&gt;'NWGC - SCENARIOS'!$D$7,AV46*(1+Budget!$J133)^('Yearly Budget'!AV$2-'Yearly Budget'!$B$2),AV46*(1+Budget!$J133)^('Yearly Budget'!AV$2-'Yearly Budget'!$B$2))</f>
        <v>6998239.3243278908</v>
      </c>
      <c r="AW61" s="151">
        <f>IF(AW$1&gt;'NWGC - SCENARIOS'!$D$7,AW46*(1+Budget!$J133)^('Yearly Budget'!AW$2-'Yearly Budget'!$B$2),AW46*(1+Budget!$J133)^('Yearly Budget'!AW$2-'Yearly Budget'!$B$2))</f>
        <v>7558098.4702741234</v>
      </c>
      <c r="AX61" s="151">
        <f>IF(AX$1&gt;'NWGC - SCENARIOS'!$D$7,AX46*(1+Budget!$J133)^('Yearly Budget'!AX$2-'Yearly Budget'!$B$2),AX46*(1+Budget!$J133)^('Yearly Budget'!AX$2-'Yearly Budget'!$B$2))</f>
        <v>8162746.3478960516</v>
      </c>
      <c r="AY61" s="151">
        <f>IF(AY$1&gt;'NWGC - SCENARIOS'!$D$7,AY46*(1+Budget!$J133)^('Yearly Budget'!AY$2-'Yearly Budget'!$B$2),AY46*(1+Budget!$J133)^('Yearly Budget'!AY$2-'Yearly Budget'!$B$2))</f>
        <v>8815766.055727737</v>
      </c>
      <c r="AZ61" s="151">
        <f>IF(AZ$1&gt;'NWGC - SCENARIOS'!$D$7,AZ46*(1+Budget!$J133)^('Yearly Budget'!AZ$2-'Yearly Budget'!$B$2),AZ46*(1+Budget!$J133)^('Yearly Budget'!AZ$2-'Yearly Budget'!$B$2))</f>
        <v>9521027.340185957</v>
      </c>
      <c r="BA61" s="151">
        <f>IF(BA$1&gt;'NWGC - SCENARIOS'!$D$7,BA46*(1+Budget!$J133)^('Yearly Budget'!BA$2-'Yearly Budget'!$B$2),BA46*(1+Budget!$J133)^('Yearly Budget'!BA$2-'Yearly Budget'!$B$2))</f>
        <v>10282709.527400834</v>
      </c>
      <c r="BB61" s="151">
        <f>IF(BB$1&gt;'NWGC - SCENARIOS'!$D$7,BB46*(1+Budget!$J133)^('Yearly Budget'!BB$2-'Yearly Budget'!$B$2),BB46*(1+Budget!$J133)^('Yearly Budget'!BB$2-'Yearly Budget'!$B$2))</f>
        <v>11105326.289592901</v>
      </c>
      <c r="BC61" s="151">
        <f>IF(BC$1&gt;'NWGC - SCENARIOS'!$D$7,BC46*(1+Budget!$J133)^('Yearly Budget'!BC$2-'Yearly Budget'!$B$2),BC46*(1+Budget!$J133)^('Yearly Budget'!BC$2-'Yearly Budget'!$B$2))</f>
        <v>11993752.392760333</v>
      </c>
      <c r="BD61" s="151">
        <f>IF(BD$1&gt;'NWGC - SCENARIOS'!$D$7,BD46*(1+Budget!$J133)^('Yearly Budget'!BD$2-'Yearly Budget'!$B$2),BD46*(1+Budget!$J133)^('Yearly Budget'!BD$2-'Yearly Budget'!$B$2))</f>
        <v>12953252.584181162</v>
      </c>
      <c r="BE61" s="151">
        <f>IF(BE$1&gt;'NWGC - SCENARIOS'!$D$7,BE46*(1+Budget!$J133)^('Yearly Budget'!BE$2-'Yearly Budget'!$B$2),BE46*(1+Budget!$J133)^('Yearly Budget'!BE$2-'Yearly Budget'!$B$2))</f>
        <v>13989512.790915655</v>
      </c>
      <c r="BF61" s="151">
        <f>IF(BF$1&gt;'NWGC - SCENARIOS'!$D$7,BF46*(1+Budget!$J133)^('Yearly Budget'!BF$2-'Yearly Budget'!$B$2),BF46*(1+Budget!$J133)^('Yearly Budget'!BF$2-'Yearly Budget'!$B$2))</f>
        <v>15108673.814188907</v>
      </c>
    </row>
    <row r="62" spans="1:58" s="99" customFormat="1" ht="14.4" x14ac:dyDescent="0.3">
      <c r="A62" s="100" t="str">
        <f t="shared" si="16"/>
        <v>Family Care &amp; Donations</v>
      </c>
      <c r="B62" s="151">
        <f t="shared" si="16"/>
        <v>750000</v>
      </c>
      <c r="C62" s="151">
        <f>IF(C$1&gt;'NWGC - SCENARIOS'!$D$7,C47*(1+Budget!$J134)^('Yearly Budget'!C$2-'Yearly Budget'!$B$2),C47*(1+Budget!$J134)^('Yearly Budget'!C$2-'Yearly Budget'!$B$2))</f>
        <v>810000</v>
      </c>
      <c r="D62" s="151">
        <f>IF(D$1&gt;'NWGC - SCENARIOS'!$D$7,D47*(1+Budget!$J134)^('Yearly Budget'!D$2-'Yearly Budget'!$B$2),D47*(1+Budget!$J134)^('Yearly Budget'!D$2-'Yearly Budget'!$B$2))</f>
        <v>874800.00000000012</v>
      </c>
      <c r="E62" s="151">
        <f>IF(E$1&gt;'NWGC - SCENARIOS'!$D$7,E47*(1+Budget!$J134)^('Yearly Budget'!E$2-'Yearly Budget'!$B$2),E47*(1+Budget!$J134)^('Yearly Budget'!E$2-'Yearly Budget'!$B$2))</f>
        <v>944784.00000000012</v>
      </c>
      <c r="F62" s="151">
        <f>IF(F$1&gt;'NWGC - SCENARIOS'!$D$7,F47*(1+Budget!$J134)^('Yearly Budget'!F$2-'Yearly Budget'!$B$2),F47*(1+Budget!$J134)^('Yearly Budget'!F$2-'Yearly Budget'!$B$2))</f>
        <v>1020366.7200000002</v>
      </c>
      <c r="G62" s="151">
        <f>IF(G$1&gt;'NWGC - SCENARIOS'!$D$7,G47*(1+Budget!$J134)^('Yearly Budget'!G$2-'Yearly Budget'!$B$2),G47*(1+Budget!$J134)^('Yearly Budget'!G$2-'Yearly Budget'!$B$2))</f>
        <v>1101996.0576000002</v>
      </c>
      <c r="H62" s="151">
        <f>IF(H$1&gt;'NWGC - SCENARIOS'!$D$7,H47*(1+Budget!$J134)^('Yearly Budget'!H$2-'Yearly Budget'!$B$2),H47*(1+Budget!$J134)^('Yearly Budget'!H$2-'Yearly Budget'!$B$2))</f>
        <v>1190155.7422080005</v>
      </c>
      <c r="I62" s="151">
        <f>IF(I$1&gt;'NWGC - SCENARIOS'!$D$7,I47*(1+Budget!$J134)^('Yearly Budget'!I$2-'Yearly Budget'!$B$2),I47*(1+Budget!$J134)^('Yearly Budget'!I$2-'Yearly Budget'!$B$2))</f>
        <v>342764.85375590413</v>
      </c>
      <c r="J62" s="151">
        <f>IF(J$1&gt;'NWGC - SCENARIOS'!$D$7,J47*(1+Budget!$J134)^('Yearly Budget'!J$2-'Yearly Budget'!$B$2),J47*(1+Budget!$J134)^('Yearly Budget'!J$2-'Yearly Budget'!$B$2))</f>
        <v>370186.04205637646</v>
      </c>
      <c r="K62" s="151">
        <f>IF(K$1&gt;'NWGC - SCENARIOS'!$D$7,K47*(1+Budget!$J134)^('Yearly Budget'!K$2-'Yearly Budget'!$B$2),K47*(1+Budget!$J134)^('Yearly Budget'!K$2-'Yearly Budget'!$B$2))</f>
        <v>399800.9254208866</v>
      </c>
      <c r="L62" s="151">
        <f>IF(L$1&gt;'NWGC - SCENARIOS'!$D$7,L47*(1+Budget!$J134)^('Yearly Budget'!L$2-'Yearly Budget'!$B$2),L47*(1+Budget!$J134)^('Yearly Budget'!L$2-'Yearly Budget'!$B$2))</f>
        <v>431784.99945455755</v>
      </c>
      <c r="M62" s="151">
        <f>IF(M$1&gt;'NWGC - SCENARIOS'!$D$7,M47*(1+Budget!$J134)^('Yearly Budget'!M$2-'Yearly Budget'!$B$2),M47*(1+Budget!$J134)^('Yearly Budget'!M$2-'Yearly Budget'!$B$2))</f>
        <v>466327.79941092216</v>
      </c>
      <c r="N62" s="151">
        <f>IF(N$1&gt;'NWGC - SCENARIOS'!$D$7,N47*(1+Budget!$J134)^('Yearly Budget'!N$2-'Yearly Budget'!$B$2),N47*(1+Budget!$J134)^('Yearly Budget'!N$2-'Yearly Budget'!$B$2))</f>
        <v>503634.02336379595</v>
      </c>
      <c r="O62" s="151">
        <f>IF(O$1&gt;'NWGC - SCENARIOS'!$D$7,O47*(1+Budget!$J134)^('Yearly Budget'!O$2-'Yearly Budget'!$B$2),O47*(1+Budget!$J134)^('Yearly Budget'!O$2-'Yearly Budget'!$B$2))</f>
        <v>543924.74523289967</v>
      </c>
      <c r="P62" s="151">
        <f>IF(P$1&gt;'NWGC - SCENARIOS'!$D$7,P47*(1+Budget!$J134)^('Yearly Budget'!P$2-'Yearly Budget'!$B$2),P47*(1+Budget!$J134)^('Yearly Budget'!P$2-'Yearly Budget'!$B$2))</f>
        <v>587438.72485153168</v>
      </c>
      <c r="Q62" s="151">
        <f>IF(Q$1&gt;'NWGC - SCENARIOS'!$D$7,Q47*(1+Budget!$J134)^('Yearly Budget'!Q$2-'Yearly Budget'!$B$2),Q47*(1+Budget!$J134)^('Yearly Budget'!Q$2-'Yearly Budget'!$B$2))</f>
        <v>634433.82283965428</v>
      </c>
      <c r="R62" s="151">
        <f>IF(R$1&gt;'NWGC - SCENARIOS'!$D$7,R47*(1+Budget!$J134)^('Yearly Budget'!R$2-'Yearly Budget'!$B$2),R47*(1+Budget!$J134)^('Yearly Budget'!R$2-'Yearly Budget'!$B$2))</f>
        <v>685188.52866682666</v>
      </c>
      <c r="S62" s="151">
        <f>IF(S$1&gt;'NWGC - SCENARIOS'!$D$7,S47*(1+Budget!$J134)^('Yearly Budget'!S$2-'Yearly Budget'!$B$2),S47*(1+Budget!$J134)^('Yearly Budget'!S$2-'Yearly Budget'!$B$2))</f>
        <v>740003.61096017272</v>
      </c>
      <c r="T62" s="151">
        <f>IF(T$1&gt;'NWGC - SCENARIOS'!$D$7,T47*(1+Budget!$J134)^('Yearly Budget'!T$2-'Yearly Budget'!$B$2),T47*(1+Budget!$J134)^('Yearly Budget'!T$2-'Yearly Budget'!$B$2))</f>
        <v>799203.89983698667</v>
      </c>
      <c r="U62" s="151">
        <f>IF(U$1&gt;'NWGC - SCENARIOS'!$D$7,U47*(1+Budget!$J134)^('Yearly Budget'!U$2-'Yearly Budget'!$B$2),U47*(1+Budget!$J134)^('Yearly Budget'!U$2-'Yearly Budget'!$B$2))</f>
        <v>863140.21182394575</v>
      </c>
      <c r="V62" s="151">
        <f>IF(V$1&gt;'NWGC - SCENARIOS'!$D$7,V47*(1+Budget!$J134)^('Yearly Budget'!V$2-'Yearly Budget'!$B$2),V47*(1+Budget!$J134)^('Yearly Budget'!V$2-'Yearly Budget'!$B$2))</f>
        <v>932191.42876986135</v>
      </c>
      <c r="W62" s="151">
        <f>IF(W$1&gt;'NWGC - SCENARIOS'!$D$7,W47*(1+Budget!$J134)^('Yearly Budget'!W$2-'Yearly Budget'!$B$2),W47*(1+Budget!$J134)^('Yearly Budget'!W$2-'Yearly Budget'!$B$2))</f>
        <v>1006766.7430714503</v>
      </c>
      <c r="X62" s="151">
        <f>IF(X$1&gt;'NWGC - SCENARIOS'!$D$7,X47*(1+Budget!$J134)^('Yearly Budget'!X$2-'Yearly Budget'!$B$2),X47*(1+Budget!$J134)^('Yearly Budget'!X$2-'Yearly Budget'!$B$2))</f>
        <v>1087308.0825171664</v>
      </c>
      <c r="Y62" s="151">
        <f>IF(Y$1&gt;'NWGC - SCENARIOS'!$D$7,Y47*(1+Budget!$J134)^('Yearly Budget'!Y$2-'Yearly Budget'!$B$2),Y47*(1+Budget!$J134)^('Yearly Budget'!Y$2-'Yearly Budget'!$B$2))</f>
        <v>1174292.7291185397</v>
      </c>
      <c r="Z62" s="151">
        <f>IF(Z$1&gt;'NWGC - SCENARIOS'!$D$7,Z47*(1+Budget!$J134)^('Yearly Budget'!Z$2-'Yearly Budget'!$B$2),Z47*(1+Budget!$J134)^('Yearly Budget'!Z$2-'Yearly Budget'!$B$2))</f>
        <v>1268236.1474480228</v>
      </c>
      <c r="AA62" s="151">
        <f>IF(AA$1&gt;'NWGC - SCENARIOS'!$D$7,AA47*(1+Budget!$J134)^('Yearly Budget'!AA$2-'Yearly Budget'!$B$2),AA47*(1+Budget!$J134)^('Yearly Budget'!AA$2-'Yearly Budget'!$B$2))</f>
        <v>1369695.0392438651</v>
      </c>
      <c r="AB62" s="151">
        <f>IF(AB$1&gt;'NWGC - SCENARIOS'!$D$7,AB47*(1+Budget!$J134)^('Yearly Budget'!AB$2-'Yearly Budget'!$B$2),AB47*(1+Budget!$J134)^('Yearly Budget'!AB$2-'Yearly Budget'!$B$2))</f>
        <v>1479270.642383374</v>
      </c>
      <c r="AC62" s="151">
        <f>IF(AC$1&gt;'NWGC - SCENARIOS'!$D$7,AC47*(1+Budget!$J134)^('Yearly Budget'!AC$2-'Yearly Budget'!$B$2),AC47*(1+Budget!$J134)^('Yearly Budget'!AC$2-'Yearly Budget'!$B$2))</f>
        <v>1597612.2937740439</v>
      </c>
      <c r="AD62" s="151">
        <f>IF(AD$1&gt;'NWGC - SCENARIOS'!$D$7,AD47*(1+Budget!$J134)^('Yearly Budget'!AD$2-'Yearly Budget'!$B$2),AD47*(1+Budget!$J134)^('Yearly Budget'!AD$2-'Yearly Budget'!$B$2))</f>
        <v>1725421.2772759676</v>
      </c>
      <c r="AE62" s="151">
        <f>IF(AE$1&gt;'NWGC - SCENARIOS'!$D$7,AE47*(1+Budget!$J134)^('Yearly Budget'!AE$2-'Yearly Budget'!$B$2),AE47*(1+Budget!$J134)^('Yearly Budget'!AE$2-'Yearly Budget'!$B$2))</f>
        <v>1863454.9794580452</v>
      </c>
      <c r="AF62" s="151">
        <f>IF(AF$1&gt;'NWGC - SCENARIOS'!$D$7,AF47*(1+Budget!$J134)^('Yearly Budget'!AF$2-'Yearly Budget'!$B$2),AF47*(1+Budget!$J134)^('Yearly Budget'!AF$2-'Yearly Budget'!$B$2))</f>
        <v>2012531.377814689</v>
      </c>
      <c r="AG62" s="151">
        <f>IF(AG$1&gt;'NWGC - SCENARIOS'!$D$7,AG47*(1+Budget!$J134)^('Yearly Budget'!AG$2-'Yearly Budget'!$B$2),AG47*(1+Budget!$J134)^('Yearly Budget'!AG$2-'Yearly Budget'!$B$2))</f>
        <v>2173533.8880398641</v>
      </c>
      <c r="AH62" s="151">
        <f>IF(AH$1&gt;'NWGC - SCENARIOS'!$D$7,AH47*(1+Budget!$J134)^('Yearly Budget'!AH$2-'Yearly Budget'!$B$2),AH47*(1+Budget!$J134)^('Yearly Budget'!AH$2-'Yearly Budget'!$B$2))</f>
        <v>1760562.4493122902</v>
      </c>
      <c r="AI62" s="151">
        <f>IF(AI$1&gt;'NWGC - SCENARIOS'!$D$7,AI47*(1+Budget!$J134)^('Yearly Budget'!AI$2-'Yearly Budget'!$B$2),AI47*(1+Budget!$J134)^('Yearly Budget'!AI$2-'Yearly Budget'!$B$2))</f>
        <v>1901407.4452572735</v>
      </c>
      <c r="AJ62" s="151">
        <f>IF(AJ$1&gt;'NWGC - SCENARIOS'!$D$7,AJ47*(1+Budget!$J134)^('Yearly Budget'!AJ$2-'Yearly Budget'!$B$2),AJ47*(1+Budget!$J134)^('Yearly Budget'!AJ$2-'Yearly Budget'!$B$2))</f>
        <v>2053520.0408778554</v>
      </c>
      <c r="AK62" s="151">
        <f>IF(AK$1&gt;'NWGC - SCENARIOS'!$D$7,AK47*(1+Budget!$J134)^('Yearly Budget'!AK$2-'Yearly Budget'!$B$2),AK47*(1+Budget!$J134)^('Yearly Budget'!AK$2-'Yearly Budget'!$B$2))</f>
        <v>2217801.6441480839</v>
      </c>
      <c r="AL62" s="151">
        <f>IF(AL$1&gt;'NWGC - SCENARIOS'!$D$7,AL47*(1+Budget!$J134)^('Yearly Budget'!AL$2-'Yearly Budget'!$B$2),AL47*(1+Budget!$J134)^('Yearly Budget'!AL$2-'Yearly Budget'!$B$2))</f>
        <v>2395225.775679931</v>
      </c>
      <c r="AM62" s="151">
        <f>IF(AM$1&gt;'NWGC - SCENARIOS'!$D$7,AM47*(1+Budget!$J134)^('Yearly Budget'!AM$2-'Yearly Budget'!$B$2),AM47*(1+Budget!$J134)^('Yearly Budget'!AM$2-'Yearly Budget'!$B$2))</f>
        <v>2586843.8377343253</v>
      </c>
      <c r="AN62" s="151">
        <f>IF(AN$1&gt;'NWGC - SCENARIOS'!$D$7,AN47*(1+Budget!$J134)^('Yearly Budget'!AN$2-'Yearly Budget'!$B$2),AN47*(1+Budget!$J134)^('Yearly Budget'!AN$2-'Yearly Budget'!$B$2))</f>
        <v>2793791.3447530717</v>
      </c>
      <c r="AO62" s="151">
        <f>IF(AO$1&gt;'NWGC - SCENARIOS'!$D$7,AO47*(1+Budget!$J134)^('Yearly Budget'!AO$2-'Yearly Budget'!$B$2),AO47*(1+Budget!$J134)^('Yearly Budget'!AO$2-'Yearly Budget'!$B$2))</f>
        <v>3017294.6523333173</v>
      </c>
      <c r="AP62" s="151">
        <f>IF(AP$1&gt;'NWGC - SCENARIOS'!$D$7,AP47*(1+Budget!$J134)^('Yearly Budget'!AP$2-'Yearly Budget'!$B$2),AP47*(1+Budget!$J134)^('Yearly Budget'!AP$2-'Yearly Budget'!$B$2))</f>
        <v>3258678.2245199829</v>
      </c>
      <c r="AQ62" s="151">
        <f>IF(AQ$1&gt;'NWGC - SCENARIOS'!$D$7,AQ47*(1+Budget!$J134)^('Yearly Budget'!AQ$2-'Yearly Budget'!$B$2),AQ47*(1+Budget!$J134)^('Yearly Budget'!AQ$2-'Yearly Budget'!$B$2))</f>
        <v>3519372.4824815821</v>
      </c>
      <c r="AR62" s="151">
        <f>IF(AR$1&gt;'NWGC - SCENARIOS'!$D$7,AR47*(1+Budget!$J134)^('Yearly Budget'!AR$2-'Yearly Budget'!$B$2),AR47*(1+Budget!$J134)^('Yearly Budget'!AR$2-'Yearly Budget'!$B$2))</f>
        <v>3800922.2810801081</v>
      </c>
      <c r="AS62" s="151">
        <f>IF(AS$1&gt;'NWGC - SCENARIOS'!$D$7,AS47*(1+Budget!$J134)^('Yearly Budget'!AS$2-'Yearly Budget'!$B$2),AS47*(1+Budget!$J134)^('Yearly Budget'!AS$2-'Yearly Budget'!$B$2))</f>
        <v>4104996.0635665171</v>
      </c>
      <c r="AT62" s="151">
        <f>IF(AT$1&gt;'NWGC - SCENARIOS'!$D$7,AT47*(1+Budget!$J134)^('Yearly Budget'!AT$2-'Yearly Budget'!$B$2),AT47*(1+Budget!$J134)^('Yearly Budget'!AT$2-'Yearly Budget'!$B$2))</f>
        <v>4433395.7486518389</v>
      </c>
      <c r="AU62" s="151">
        <f>IF(AU$1&gt;'NWGC - SCENARIOS'!$D$7,AU47*(1+Budget!$J134)^('Yearly Budget'!AU$2-'Yearly Budget'!$B$2),AU47*(1+Budget!$J134)^('Yearly Budget'!AU$2-'Yearly Budget'!$B$2))</f>
        <v>4788067.4085439863</v>
      </c>
      <c r="AV62" s="151">
        <f>IF(AV$1&gt;'NWGC - SCENARIOS'!$D$7,AV47*(1+Budget!$J134)^('Yearly Budget'!AV$2-'Yearly Budget'!$B$2),AV47*(1+Budget!$J134)^('Yearly Budget'!AV$2-'Yearly Budget'!$B$2))</f>
        <v>5171112.8012275053</v>
      </c>
      <c r="AW62" s="151">
        <f>IF(AW$1&gt;'NWGC - SCENARIOS'!$D$7,AW47*(1+Budget!$J134)^('Yearly Budget'!AW$2-'Yearly Budget'!$B$2),AW47*(1+Budget!$J134)^('Yearly Budget'!AW$2-'Yearly Budget'!$B$2))</f>
        <v>5584801.825325707</v>
      </c>
      <c r="AX62" s="151">
        <f>IF(AX$1&gt;'NWGC - SCENARIOS'!$D$7,AX47*(1+Budget!$J134)^('Yearly Budget'!AX$2-'Yearly Budget'!$B$2),AX47*(1+Budget!$J134)^('Yearly Budget'!AX$2-'Yearly Budget'!$B$2))</f>
        <v>6031585.9713517623</v>
      </c>
      <c r="AY62" s="151">
        <f>IF(AY$1&gt;'NWGC - SCENARIOS'!$D$7,AY47*(1+Budget!$J134)^('Yearly Budget'!AY$2-'Yearly Budget'!$B$2),AY47*(1+Budget!$J134)^('Yearly Budget'!AY$2-'Yearly Budget'!$B$2))</f>
        <v>6514112.849059904</v>
      </c>
      <c r="AZ62" s="151">
        <f>IF(AZ$1&gt;'NWGC - SCENARIOS'!$D$7,AZ47*(1+Budget!$J134)^('Yearly Budget'!AZ$2-'Yearly Budget'!$B$2),AZ47*(1+Budget!$J134)^('Yearly Budget'!AZ$2-'Yearly Budget'!$B$2))</f>
        <v>7035241.8769846968</v>
      </c>
      <c r="BA62" s="151">
        <f>IF(BA$1&gt;'NWGC - SCENARIOS'!$D$7,BA47*(1+Budget!$J134)^('Yearly Budget'!BA$2-'Yearly Budget'!$B$2),BA47*(1+Budget!$J134)^('Yearly Budget'!BA$2-'Yearly Budget'!$B$2))</f>
        <v>7598061.2271434739</v>
      </c>
      <c r="BB62" s="151">
        <f>IF(BB$1&gt;'NWGC - SCENARIOS'!$D$7,BB47*(1+Budget!$J134)^('Yearly Budget'!BB$2-'Yearly Budget'!$B$2),BB47*(1+Budget!$J134)^('Yearly Budget'!BB$2-'Yearly Budget'!$B$2))</f>
        <v>8205906.1253149509</v>
      </c>
      <c r="BC62" s="151">
        <f>IF(BC$1&gt;'NWGC - SCENARIOS'!$D$7,BC47*(1+Budget!$J134)^('Yearly Budget'!BC$2-'Yearly Budget'!$B$2),BC47*(1+Budget!$J134)^('Yearly Budget'!BC$2-'Yearly Budget'!$B$2))</f>
        <v>8862378.6153401472</v>
      </c>
      <c r="BD62" s="151">
        <f>IF(BD$1&gt;'NWGC - SCENARIOS'!$D$7,BD47*(1+Budget!$J134)^('Yearly Budget'!BD$2-'Yearly Budget'!$B$2),BD47*(1+Budget!$J134)^('Yearly Budget'!BD$2-'Yearly Budget'!$B$2))</f>
        <v>9571368.9045673609</v>
      </c>
      <c r="BE62" s="151">
        <f>IF(BE$1&gt;'NWGC - SCENARIOS'!$D$7,BE47*(1+Budget!$J134)^('Yearly Budget'!BE$2-'Yearly Budget'!$B$2),BE47*(1+Budget!$J134)^('Yearly Budget'!BE$2-'Yearly Budget'!$B$2))</f>
        <v>10337078.41693275</v>
      </c>
      <c r="BF62" s="151">
        <f>IF(BF$1&gt;'NWGC - SCENARIOS'!$D$7,BF47*(1+Budget!$J134)^('Yearly Budget'!BF$2-'Yearly Budget'!$B$2),BF47*(1+Budget!$J134)^('Yearly Budget'!BF$2-'Yearly Budget'!$B$2))</f>
        <v>11164044.69028737</v>
      </c>
    </row>
    <row r="63" spans="1:58" s="99" customFormat="1" ht="14.4" x14ac:dyDescent="0.3">
      <c r="A63" s="100" t="str">
        <f t="shared" si="16"/>
        <v>Transportation</v>
      </c>
      <c r="B63" s="151">
        <f t="shared" si="16"/>
        <v>184000</v>
      </c>
      <c r="C63" s="151">
        <f>IF(C$1&gt;'NWGC - SCENARIOS'!$D$7,C48*(1+Budget!$J135)^('Yearly Budget'!C$2-'Yearly Budget'!$B$2),C48*(1+Budget!$J135)^('Yearly Budget'!C$2-'Yearly Budget'!$B$2))</f>
        <v>198720</v>
      </c>
      <c r="D63" s="151">
        <f>IF(D$1&gt;'NWGC - SCENARIOS'!$D$7,D48*(1+Budget!$J135)^('Yearly Budget'!D$2-'Yearly Budget'!$B$2),D48*(1+Budget!$J135)^('Yearly Budget'!D$2-'Yearly Budget'!$B$2))</f>
        <v>214617.60000000001</v>
      </c>
      <c r="E63" s="151">
        <f>IF(E$1&gt;'NWGC - SCENARIOS'!$D$7,E48*(1+Budget!$J135)^('Yearly Budget'!E$2-'Yearly Budget'!$B$2),E48*(1+Budget!$J135)^('Yearly Budget'!E$2-'Yearly Budget'!$B$2))</f>
        <v>231787.00800000003</v>
      </c>
      <c r="F63" s="151">
        <f>IF(F$1&gt;'NWGC - SCENARIOS'!$D$7,F48*(1+Budget!$J135)^('Yearly Budget'!F$2-'Yearly Budget'!$B$2),F48*(1+Budget!$J135)^('Yearly Budget'!F$2-'Yearly Budget'!$B$2))</f>
        <v>250329.96864000006</v>
      </c>
      <c r="G63" s="151">
        <f>IF(G$1&gt;'NWGC - SCENARIOS'!$D$7,G48*(1+Budget!$J135)^('Yearly Budget'!G$2-'Yearly Budget'!$B$2),G48*(1+Budget!$J135)^('Yearly Budget'!G$2-'Yearly Budget'!$B$2))</f>
        <v>270356.36613120005</v>
      </c>
      <c r="H63" s="151">
        <f>IF(H$1&gt;'NWGC - SCENARIOS'!$D$7,H48*(1+Budget!$J135)^('Yearly Budget'!H$2-'Yearly Budget'!$B$2),H48*(1+Budget!$J135)^('Yearly Budget'!H$2-'Yearly Budget'!$B$2))</f>
        <v>291984.87542169611</v>
      </c>
      <c r="I63" s="151">
        <f>IF(I$1&gt;'NWGC - SCENARIOS'!$D$7,I48*(1+Budget!$J135)^('Yearly Budget'!I$2-'Yearly Budget'!$B$2),I48*(1+Budget!$J135)^('Yearly Budget'!I$2-'Yearly Budget'!$B$2))</f>
        <v>315343.66545543179</v>
      </c>
      <c r="J63" s="151">
        <f>IF(J$1&gt;'NWGC - SCENARIOS'!$D$7,J48*(1+Budget!$J135)^('Yearly Budget'!J$2-'Yearly Budget'!$B$2),J48*(1+Budget!$J135)^('Yearly Budget'!J$2-'Yearly Budget'!$B$2))</f>
        <v>340571.15869186632</v>
      </c>
      <c r="K63" s="151">
        <f>IF(K$1&gt;'NWGC - SCENARIOS'!$D$7,K48*(1+Budget!$J135)^('Yearly Budget'!K$2-'Yearly Budget'!$B$2),K48*(1+Budget!$J135)^('Yearly Budget'!K$2-'Yearly Budget'!$B$2))</f>
        <v>367816.85138721566</v>
      </c>
      <c r="L63" s="151">
        <f>IF(L$1&gt;'NWGC - SCENARIOS'!$D$7,L48*(1+Budget!$J135)^('Yearly Budget'!L$2-'Yearly Budget'!$B$2),L48*(1+Budget!$J135)^('Yearly Budget'!L$2-'Yearly Budget'!$B$2))</f>
        <v>397242.19949819293</v>
      </c>
      <c r="M63" s="151">
        <f>IF(M$1&gt;'NWGC - SCENARIOS'!$D$7,M48*(1+Budget!$J135)^('Yearly Budget'!M$2-'Yearly Budget'!$B$2),M48*(1+Budget!$J135)^('Yearly Budget'!M$2-'Yearly Budget'!$B$2))</f>
        <v>429021.57545804838</v>
      </c>
      <c r="N63" s="151">
        <f>IF(N$1&gt;'NWGC - SCENARIOS'!$D$7,N48*(1+Budget!$J135)^('Yearly Budget'!N$2-'Yearly Budget'!$B$2),N48*(1+Budget!$J135)^('Yearly Budget'!N$2-'Yearly Budget'!$B$2))</f>
        <v>463343.30149469228</v>
      </c>
      <c r="O63" s="151">
        <f>IF(O$1&gt;'NWGC - SCENARIOS'!$D$7,O48*(1+Budget!$J135)^('Yearly Budget'!O$2-'Yearly Budget'!$B$2),O48*(1+Budget!$J135)^('Yearly Budget'!O$2-'Yearly Budget'!$B$2))</f>
        <v>500410.76561426767</v>
      </c>
      <c r="P63" s="151">
        <f>IF(P$1&gt;'NWGC - SCENARIOS'!$D$7,P48*(1+Budget!$J135)^('Yearly Budget'!P$2-'Yearly Budget'!$B$2),P48*(1+Budget!$J135)^('Yearly Budget'!P$2-'Yearly Budget'!$B$2))</f>
        <v>540443.62686340918</v>
      </c>
      <c r="Q63" s="151">
        <f>IF(Q$1&gt;'NWGC - SCENARIOS'!$D$7,Q48*(1+Budget!$J135)^('Yearly Budget'!Q$2-'Yearly Budget'!$B$2),Q48*(1+Budget!$J135)^('Yearly Budget'!Q$2-'Yearly Budget'!$B$2))</f>
        <v>583679.1170124819</v>
      </c>
      <c r="R63" s="151">
        <f>IF(R$1&gt;'NWGC - SCENARIOS'!$D$7,R48*(1+Budget!$J135)^('Yearly Budget'!R$2-'Yearly Budget'!$B$2),R48*(1+Budget!$J135)^('Yearly Budget'!R$2-'Yearly Budget'!$B$2))</f>
        <v>630373.44637348049</v>
      </c>
      <c r="S63" s="151">
        <f>IF(S$1&gt;'NWGC - SCENARIOS'!$D$7,S48*(1+Budget!$J135)^('Yearly Budget'!S$2-'Yearly Budget'!$B$2),S48*(1+Budget!$J135)^('Yearly Budget'!S$2-'Yearly Budget'!$B$2))</f>
        <v>680803.322083359</v>
      </c>
      <c r="T63" s="151">
        <f>IF(T$1&gt;'NWGC - SCENARIOS'!$D$7,T48*(1+Budget!$J135)^('Yearly Budget'!T$2-'Yearly Budget'!$B$2),T48*(1+Budget!$J135)^('Yearly Budget'!T$2-'Yearly Budget'!$B$2))</f>
        <v>735267.58785002772</v>
      </c>
      <c r="U63" s="151">
        <f>IF(U$1&gt;'NWGC - SCENARIOS'!$D$7,U48*(1+Budget!$J135)^('Yearly Budget'!U$2-'Yearly Budget'!$B$2),U48*(1+Budget!$J135)^('Yearly Budget'!U$2-'Yearly Budget'!$B$2))</f>
        <v>794088.99487803003</v>
      </c>
      <c r="V63" s="151">
        <f>IF(V$1&gt;'NWGC - SCENARIOS'!$D$7,V48*(1+Budget!$J135)^('Yearly Budget'!V$2-'Yearly Budget'!$B$2),V48*(1+Budget!$J135)^('Yearly Budget'!V$2-'Yearly Budget'!$B$2))</f>
        <v>857616.11446827243</v>
      </c>
      <c r="W63" s="151">
        <f>IF(W$1&gt;'NWGC - SCENARIOS'!$D$7,W48*(1+Budget!$J135)^('Yearly Budget'!W$2-'Yearly Budget'!$B$2),W48*(1+Budget!$J135)^('Yearly Budget'!W$2-'Yearly Budget'!$B$2))</f>
        <v>926225.40362573427</v>
      </c>
      <c r="X63" s="151">
        <f>IF(X$1&gt;'NWGC - SCENARIOS'!$D$7,X48*(1+Budget!$J135)^('Yearly Budget'!X$2-'Yearly Budget'!$B$2),X48*(1+Budget!$J135)^('Yearly Budget'!X$2-'Yearly Budget'!$B$2))</f>
        <v>1000323.4359157931</v>
      </c>
      <c r="Y63" s="151">
        <f>IF(Y$1&gt;'NWGC - SCENARIOS'!$D$7,Y48*(1+Budget!$J135)^('Yearly Budget'!Y$2-'Yearly Budget'!$B$2),Y48*(1+Budget!$J135)^('Yearly Budget'!Y$2-'Yearly Budget'!$B$2))</f>
        <v>1080349.3107890566</v>
      </c>
      <c r="Z63" s="151">
        <f>IF(Z$1&gt;'NWGC - SCENARIOS'!$D$7,Z48*(1+Budget!$J135)^('Yearly Budget'!Z$2-'Yearly Budget'!$B$2),Z48*(1+Budget!$J135)^('Yearly Budget'!Z$2-'Yearly Budget'!$B$2))</f>
        <v>1166777.2556521811</v>
      </c>
      <c r="AA63" s="151">
        <f>IF(AA$1&gt;'NWGC - SCENARIOS'!$D$7,AA48*(1+Budget!$J135)^('Yearly Budget'!AA$2-'Yearly Budget'!$B$2),AA48*(1+Budget!$J135)^('Yearly Budget'!AA$2-'Yearly Budget'!$B$2))</f>
        <v>1260119.4361043558</v>
      </c>
      <c r="AB63" s="151">
        <f>IF(AB$1&gt;'NWGC - SCENARIOS'!$D$7,AB48*(1+Budget!$J135)^('Yearly Budget'!AB$2-'Yearly Budget'!$B$2),AB48*(1+Budget!$J135)^('Yearly Budget'!AB$2-'Yearly Budget'!$B$2))</f>
        <v>1360928.9909927042</v>
      </c>
      <c r="AC63" s="151">
        <f>IF(AC$1&gt;'NWGC - SCENARIOS'!$D$7,AC48*(1+Budget!$J135)^('Yearly Budget'!AC$2-'Yearly Budget'!$B$2),AC48*(1+Budget!$J135)^('Yearly Budget'!AC$2-'Yearly Budget'!$B$2))</f>
        <v>1469803.3102721204</v>
      </c>
      <c r="AD63" s="151">
        <f>IF(AD$1&gt;'NWGC - SCENARIOS'!$D$7,AD48*(1+Budget!$J135)^('Yearly Budget'!AD$2-'Yearly Budget'!$B$2),AD48*(1+Budget!$J135)^('Yearly Budget'!AD$2-'Yearly Budget'!$B$2))</f>
        <v>1587387.5750938901</v>
      </c>
      <c r="AE63" s="151">
        <f>IF(AE$1&gt;'NWGC - SCENARIOS'!$D$7,AE48*(1+Budget!$J135)^('Yearly Budget'!AE$2-'Yearly Budget'!$B$2),AE48*(1+Budget!$J135)^('Yearly Budget'!AE$2-'Yearly Budget'!$B$2))</f>
        <v>1714378.5811014015</v>
      </c>
      <c r="AF63" s="151">
        <f>IF(AF$1&gt;'NWGC - SCENARIOS'!$D$7,AF48*(1+Budget!$J135)^('Yearly Budget'!AF$2-'Yearly Budget'!$B$2),AF48*(1+Budget!$J135)^('Yearly Budget'!AF$2-'Yearly Budget'!$B$2))</f>
        <v>1851528.8675895138</v>
      </c>
      <c r="AG63" s="151">
        <f>IF(AG$1&gt;'NWGC - SCENARIOS'!$D$7,AG48*(1+Budget!$J135)^('Yearly Budget'!AG$2-'Yearly Budget'!$B$2),AG48*(1+Budget!$J135)^('Yearly Budget'!AG$2-'Yearly Budget'!$B$2))</f>
        <v>1999651.1769966751</v>
      </c>
      <c r="AH63" s="151">
        <f>IF(AH$1&gt;'NWGC - SCENARIOS'!$D$7,AH48*(1+Budget!$J135)^('Yearly Budget'!AH$2-'Yearly Budget'!$B$2),AH48*(1+Budget!$J135)^('Yearly Budget'!AH$2-'Yearly Budget'!$B$2))</f>
        <v>2159623.2711564093</v>
      </c>
      <c r="AI63" s="151">
        <f>IF(AI$1&gt;'NWGC - SCENARIOS'!$D$7,AI48*(1+Budget!$J135)^('Yearly Budget'!AI$2-'Yearly Budget'!$B$2),AI48*(1+Budget!$J135)^('Yearly Budget'!AI$2-'Yearly Budget'!$B$2))</f>
        <v>2332393.1328489222</v>
      </c>
      <c r="AJ63" s="151">
        <f>IF(AJ$1&gt;'NWGC - SCENARIOS'!$D$7,AJ48*(1+Budget!$J135)^('Yearly Budget'!AJ$2-'Yearly Budget'!$B$2),AJ48*(1+Budget!$J135)^('Yearly Budget'!AJ$2-'Yearly Budget'!$B$2))</f>
        <v>2518984.5834768359</v>
      </c>
      <c r="AK63" s="151">
        <f>IF(AK$1&gt;'NWGC - SCENARIOS'!$D$7,AK48*(1+Budget!$J135)^('Yearly Budget'!AK$2-'Yearly Budget'!$B$2),AK48*(1+Budget!$J135)^('Yearly Budget'!AK$2-'Yearly Budget'!$B$2))</f>
        <v>2720503.3501549829</v>
      </c>
      <c r="AL63" s="151">
        <f>IF(AL$1&gt;'NWGC - SCENARIOS'!$D$7,AL48*(1+Budget!$J135)^('Yearly Budget'!AL$2-'Yearly Budget'!$B$2),AL48*(1+Budget!$J135)^('Yearly Budget'!AL$2-'Yearly Budget'!$B$2))</f>
        <v>2938143.6181673822</v>
      </c>
      <c r="AM63" s="151">
        <f>IF(AM$1&gt;'NWGC - SCENARIOS'!$D$7,AM48*(1+Budget!$J135)^('Yearly Budget'!AM$2-'Yearly Budget'!$B$2),AM48*(1+Budget!$J135)^('Yearly Budget'!AM$2-'Yearly Budget'!$B$2))</f>
        <v>3173195.1076207724</v>
      </c>
      <c r="AN63" s="151">
        <f>IF(AN$1&gt;'NWGC - SCENARIOS'!$D$7,AN48*(1+Budget!$J135)^('Yearly Budget'!AN$2-'Yearly Budget'!$B$2),AN48*(1+Budget!$J135)^('Yearly Budget'!AN$2-'Yearly Budget'!$B$2))</f>
        <v>3427050.7162304348</v>
      </c>
      <c r="AO63" s="151">
        <f>IF(AO$1&gt;'NWGC - SCENARIOS'!$D$7,AO48*(1+Budget!$J135)^('Yearly Budget'!AO$2-'Yearly Budget'!$B$2),AO48*(1+Budget!$J135)^('Yearly Budget'!AO$2-'Yearly Budget'!$B$2))</f>
        <v>3701214.7735288697</v>
      </c>
      <c r="AP63" s="151">
        <f>IF(AP$1&gt;'NWGC - SCENARIOS'!$D$7,AP48*(1+Budget!$J135)^('Yearly Budget'!AP$2-'Yearly Budget'!$B$2),AP48*(1+Budget!$J135)^('Yearly Budget'!AP$2-'Yearly Budget'!$B$2))</f>
        <v>3997311.9554111795</v>
      </c>
      <c r="AQ63" s="151">
        <f>IF(AQ$1&gt;'NWGC - SCENARIOS'!$D$7,AQ48*(1+Budget!$J135)^('Yearly Budget'!AQ$2-'Yearly Budget'!$B$2),AQ48*(1+Budget!$J135)^('Yearly Budget'!AQ$2-'Yearly Budget'!$B$2))</f>
        <v>4317096.9118440738</v>
      </c>
      <c r="AR63" s="151">
        <f>IF(AR$1&gt;'NWGC - SCENARIOS'!$D$7,AR48*(1+Budget!$J135)^('Yearly Budget'!AR$2-'Yearly Budget'!$B$2),AR48*(1+Budget!$J135)^('Yearly Budget'!AR$2-'Yearly Budget'!$B$2))</f>
        <v>4662464.6647915998</v>
      </c>
      <c r="AS63" s="151">
        <f>IF(AS$1&gt;'NWGC - SCENARIOS'!$D$7,AS48*(1+Budget!$J135)^('Yearly Budget'!AS$2-'Yearly Budget'!$B$2),AS48*(1+Budget!$J135)^('Yearly Budget'!AS$2-'Yearly Budget'!$B$2))</f>
        <v>5035461.8379749274</v>
      </c>
      <c r="AT63" s="151">
        <f>IF(AT$1&gt;'NWGC - SCENARIOS'!$D$7,AT48*(1+Budget!$J135)^('Yearly Budget'!AT$2-'Yearly Budget'!$B$2),AT48*(1+Budget!$J135)^('Yearly Budget'!AT$2-'Yearly Budget'!$B$2))</f>
        <v>5438298.7850129222</v>
      </c>
      <c r="AU63" s="151">
        <f>IF(AU$1&gt;'NWGC - SCENARIOS'!$D$7,AU48*(1+Budget!$J135)^('Yearly Budget'!AU$2-'Yearly Budget'!$B$2),AU48*(1+Budget!$J135)^('Yearly Budget'!AU$2-'Yearly Budget'!$B$2))</f>
        <v>5873362.6878139563</v>
      </c>
      <c r="AV63" s="151">
        <f>IF(AV$1&gt;'NWGC - SCENARIOS'!$D$7,AV48*(1+Budget!$J135)^('Yearly Budget'!AV$2-'Yearly Budget'!$B$2),AV48*(1+Budget!$J135)^('Yearly Budget'!AV$2-'Yearly Budget'!$B$2))</f>
        <v>6343231.7028390737</v>
      </c>
      <c r="AW63" s="151">
        <f>IF(AW$1&gt;'NWGC - SCENARIOS'!$D$7,AW48*(1+Budget!$J135)^('Yearly Budget'!AW$2-'Yearly Budget'!$B$2),AW48*(1+Budget!$J135)^('Yearly Budget'!AW$2-'Yearly Budget'!$B$2))</f>
        <v>6850690.2390662003</v>
      </c>
      <c r="AX63" s="151">
        <f>IF(AX$1&gt;'NWGC - SCENARIOS'!$D$7,AX48*(1+Budget!$J135)^('Yearly Budget'!AX$2-'Yearly Budget'!$B$2),AX48*(1+Budget!$J135)^('Yearly Budget'!AX$2-'Yearly Budget'!$B$2))</f>
        <v>7398745.4581914954</v>
      </c>
      <c r="AY63" s="151">
        <f>IF(AY$1&gt;'NWGC - SCENARIOS'!$D$7,AY48*(1+Budget!$J135)^('Yearly Budget'!AY$2-'Yearly Budget'!$B$2),AY48*(1+Budget!$J135)^('Yearly Budget'!AY$2-'Yearly Budget'!$B$2))</f>
        <v>7990645.0948468158</v>
      </c>
      <c r="AZ63" s="151">
        <f>IF(AZ$1&gt;'NWGC - SCENARIOS'!$D$7,AZ48*(1+Budget!$J135)^('Yearly Budget'!AZ$2-'Yearly Budget'!$B$2),AZ48*(1+Budget!$J135)^('Yearly Budget'!AZ$2-'Yearly Budget'!$B$2))</f>
        <v>8629896.7024345621</v>
      </c>
      <c r="BA63" s="151">
        <f>IF(BA$1&gt;'NWGC - SCENARIOS'!$D$7,BA48*(1+Budget!$J135)^('Yearly Budget'!BA$2-'Yearly Budget'!$B$2),BA48*(1+Budget!$J135)^('Yearly Budget'!BA$2-'Yearly Budget'!$B$2))</f>
        <v>9320288.4386293273</v>
      </c>
      <c r="BB63" s="151">
        <f>IF(BB$1&gt;'NWGC - SCENARIOS'!$D$7,BB48*(1+Budget!$J135)^('Yearly Budget'!BB$2-'Yearly Budget'!$B$2),BB48*(1+Budget!$J135)^('Yearly Budget'!BB$2-'Yearly Budget'!$B$2))</f>
        <v>10065911.513719674</v>
      </c>
      <c r="BC63" s="151">
        <f>IF(BC$1&gt;'NWGC - SCENARIOS'!$D$7,BC48*(1+Budget!$J135)^('Yearly Budget'!BC$2-'Yearly Budget'!$B$2),BC48*(1+Budget!$J135)^('Yearly Budget'!BC$2-'Yearly Budget'!$B$2))</f>
        <v>10871184.434817247</v>
      </c>
      <c r="BD63" s="151">
        <f>IF(BD$1&gt;'NWGC - SCENARIOS'!$D$7,BD48*(1+Budget!$J135)^('Yearly Budget'!BD$2-'Yearly Budget'!$B$2),BD48*(1+Budget!$J135)^('Yearly Budget'!BD$2-'Yearly Budget'!$B$2))</f>
        <v>11740879.189602628</v>
      </c>
      <c r="BE63" s="151">
        <f>IF(BE$1&gt;'NWGC - SCENARIOS'!$D$7,BE48*(1+Budget!$J135)^('Yearly Budget'!BE$2-'Yearly Budget'!$B$2),BE48*(1+Budget!$J135)^('Yearly Budget'!BE$2-'Yearly Budget'!$B$2))</f>
        <v>12680149.524770839</v>
      </c>
      <c r="BF63" s="151">
        <f>IF(BF$1&gt;'NWGC - SCENARIOS'!$D$7,BF48*(1+Budget!$J135)^('Yearly Budget'!BF$2-'Yearly Budget'!$B$2),BF48*(1+Budget!$J135)^('Yearly Budget'!BF$2-'Yearly Budget'!$B$2))</f>
        <v>13694561.486752506</v>
      </c>
    </row>
    <row r="64" spans="1:58" s="99" customFormat="1" ht="14.4" x14ac:dyDescent="0.3">
      <c r="A64" s="100" t="str">
        <f t="shared" si="16"/>
        <v>Recreation &amp; Entertainment</v>
      </c>
      <c r="B64" s="151">
        <f t="shared" si="16"/>
        <v>504000</v>
      </c>
      <c r="C64" s="151">
        <f>IF(C$1&gt;'NWGC - SCENARIOS'!$D$7,C49*(1+Budget!$J136)^('Yearly Budget'!C$2-'Yearly Budget'!$B$2),C49*(1+Budget!$J136)^('Yearly Budget'!C$2-'Yearly Budget'!$B$2))</f>
        <v>544320</v>
      </c>
      <c r="D64" s="151">
        <f>IF(D$1&gt;'NWGC - SCENARIOS'!$D$7,D49*(1+Budget!$J136)^('Yearly Budget'!D$2-'Yearly Budget'!$B$2),D49*(1+Budget!$J136)^('Yearly Budget'!D$2-'Yearly Budget'!$B$2))</f>
        <v>587865.60000000009</v>
      </c>
      <c r="E64" s="151">
        <f>IF(E$1&gt;'NWGC - SCENARIOS'!$D$7,E49*(1+Budget!$J136)^('Yearly Budget'!E$2-'Yearly Budget'!$B$2),E49*(1+Budget!$J136)^('Yearly Budget'!E$2-'Yearly Budget'!$B$2))</f>
        <v>634894.84800000011</v>
      </c>
      <c r="F64" s="151">
        <f>IF(F$1&gt;'NWGC - SCENARIOS'!$D$7,F49*(1+Budget!$J136)^('Yearly Budget'!F$2-'Yearly Budget'!$B$2),F49*(1+Budget!$J136)^('Yearly Budget'!F$2-'Yearly Budget'!$B$2))</f>
        <v>685686.43584000017</v>
      </c>
      <c r="G64" s="151">
        <f>IF(G$1&gt;'NWGC - SCENARIOS'!$D$7,G49*(1+Budget!$J136)^('Yearly Budget'!G$2-'Yearly Budget'!$B$2),G49*(1+Budget!$J136)^('Yearly Budget'!G$2-'Yearly Budget'!$B$2))</f>
        <v>740541.35070720012</v>
      </c>
      <c r="H64" s="151">
        <f>IF(H$1&gt;'NWGC - SCENARIOS'!$D$7,H49*(1+Budget!$J136)^('Yearly Budget'!H$2-'Yearly Budget'!$B$2),H49*(1+Budget!$J136)^('Yearly Budget'!H$2-'Yearly Budget'!$B$2))</f>
        <v>799784.6587637763</v>
      </c>
      <c r="I64" s="151">
        <f>IF(I$1&gt;'NWGC - SCENARIOS'!$D$7,I49*(1+Budget!$J136)^('Yearly Budget'!I$2-'Yearly Budget'!$B$2),I49*(1+Budget!$J136)^('Yearly Budget'!I$2-'Yearly Budget'!$B$2))</f>
        <v>863767.43146487838</v>
      </c>
      <c r="J64" s="151">
        <f>IF(J$1&gt;'NWGC - SCENARIOS'!$D$7,J49*(1+Budget!$J136)^('Yearly Budget'!J$2-'Yearly Budget'!$B$2),J49*(1+Budget!$J136)^('Yearly Budget'!J$2-'Yearly Budget'!$B$2))</f>
        <v>932868.82598206867</v>
      </c>
      <c r="K64" s="151">
        <f>IF(K$1&gt;'NWGC - SCENARIOS'!$D$7,K49*(1+Budget!$J136)^('Yearly Budget'!K$2-'Yearly Budget'!$B$2),K49*(1+Budget!$J136)^('Yearly Budget'!K$2-'Yearly Budget'!$B$2))</f>
        <v>1007498.3320606343</v>
      </c>
      <c r="L64" s="151">
        <f>IF(L$1&gt;'NWGC - SCENARIOS'!$D$7,L49*(1+Budget!$J136)^('Yearly Budget'!L$2-'Yearly Budget'!$B$2),L49*(1+Budget!$J136)^('Yearly Budget'!L$2-'Yearly Budget'!$B$2))</f>
        <v>1088098.1986254849</v>
      </c>
      <c r="M64" s="151">
        <f>IF(M$1&gt;'NWGC - SCENARIOS'!$D$7,M49*(1+Budget!$J136)^('Yearly Budget'!M$2-'Yearly Budget'!$B$2),M49*(1+Budget!$J136)^('Yearly Budget'!M$2-'Yearly Budget'!$B$2))</f>
        <v>1175146.0545155238</v>
      </c>
      <c r="N64" s="151">
        <f>IF(N$1&gt;'NWGC - SCENARIOS'!$D$7,N49*(1+Budget!$J136)^('Yearly Budget'!N$2-'Yearly Budget'!$B$2),N49*(1+Budget!$J136)^('Yearly Budget'!N$2-'Yearly Budget'!$B$2))</f>
        <v>1269157.7388767658</v>
      </c>
      <c r="O64" s="151">
        <f>IF(O$1&gt;'NWGC - SCENARIOS'!$D$7,O49*(1+Budget!$J136)^('Yearly Budget'!O$2-'Yearly Budget'!$B$2),O49*(1+Budget!$J136)^('Yearly Budget'!O$2-'Yearly Budget'!$B$2))</f>
        <v>1370690.357986907</v>
      </c>
      <c r="P64" s="151">
        <f>IF(P$1&gt;'NWGC - SCENARIOS'!$D$7,P49*(1+Budget!$J136)^('Yearly Budget'!P$2-'Yearly Budget'!$B$2),P49*(1+Budget!$J136)^('Yearly Budget'!P$2-'Yearly Budget'!$B$2))</f>
        <v>1480345.5866258598</v>
      </c>
      <c r="Q64" s="151">
        <f>IF(Q$1&gt;'NWGC - SCENARIOS'!$D$7,Q49*(1+Budget!$J136)^('Yearly Budget'!Q$2-'Yearly Budget'!$B$2),Q49*(1+Budget!$J136)^('Yearly Budget'!Q$2-'Yearly Budget'!$B$2))</f>
        <v>1598773.2335559288</v>
      </c>
      <c r="R64" s="151">
        <f>IF(R$1&gt;'NWGC - SCENARIOS'!$D$7,R49*(1+Budget!$J136)^('Yearly Budget'!R$2-'Yearly Budget'!$B$2),R49*(1+Budget!$J136)^('Yearly Budget'!R$2-'Yearly Budget'!$B$2))</f>
        <v>1726675.0922404032</v>
      </c>
      <c r="S64" s="151">
        <f>IF(S$1&gt;'NWGC - SCENARIOS'!$D$7,S49*(1+Budget!$J136)^('Yearly Budget'!S$2-'Yearly Budget'!$B$2),S49*(1+Budget!$J136)^('Yearly Budget'!S$2-'Yearly Budget'!$B$2))</f>
        <v>1864809.0996196354</v>
      </c>
      <c r="T64" s="151">
        <f>IF(T$1&gt;'NWGC - SCENARIOS'!$D$7,T49*(1+Budget!$J136)^('Yearly Budget'!T$2-'Yearly Budget'!$B$2),T49*(1+Budget!$J136)^('Yearly Budget'!T$2-'Yearly Budget'!$B$2))</f>
        <v>2013993.8275892064</v>
      </c>
      <c r="U64" s="151">
        <f>IF(U$1&gt;'NWGC - SCENARIOS'!$D$7,U49*(1+Budget!$J136)^('Yearly Budget'!U$2-'Yearly Budget'!$B$2),U49*(1+Budget!$J136)^('Yearly Budget'!U$2-'Yearly Budget'!$B$2))</f>
        <v>2175113.3337963433</v>
      </c>
      <c r="V64" s="151">
        <f>IF(V$1&gt;'NWGC - SCENARIOS'!$D$7,V49*(1+Budget!$J136)^('Yearly Budget'!V$2-'Yearly Budget'!$B$2),V49*(1+Budget!$J136)^('Yearly Budget'!V$2-'Yearly Budget'!$B$2))</f>
        <v>2349122.4005000503</v>
      </c>
      <c r="W64" s="151">
        <f>IF(W$1&gt;'NWGC - SCENARIOS'!$D$7,W49*(1+Budget!$J136)^('Yearly Budget'!W$2-'Yearly Budget'!$B$2),W49*(1+Budget!$J136)^('Yearly Budget'!W$2-'Yearly Budget'!$B$2))</f>
        <v>2537052.1925400547</v>
      </c>
      <c r="X64" s="151">
        <f>IF(X$1&gt;'NWGC - SCENARIOS'!$D$7,X49*(1+Budget!$J136)^('Yearly Budget'!X$2-'Yearly Budget'!$B$2),X49*(1+Budget!$J136)^('Yearly Budget'!X$2-'Yearly Budget'!$B$2))</f>
        <v>2740016.3679432594</v>
      </c>
      <c r="Y64" s="151">
        <f>IF(Y$1&gt;'NWGC - SCENARIOS'!$D$7,Y49*(1+Budget!$J136)^('Yearly Budget'!Y$2-'Yearly Budget'!$B$2),Y49*(1+Budget!$J136)^('Yearly Budget'!Y$2-'Yearly Budget'!$B$2))</f>
        <v>2959217.6773787201</v>
      </c>
      <c r="Z64" s="151">
        <f>IF(Z$1&gt;'NWGC - SCENARIOS'!$D$7,Z49*(1+Budget!$J136)^('Yearly Budget'!Z$2-'Yearly Budget'!$B$2),Z49*(1+Budget!$J136)^('Yearly Budget'!Z$2-'Yearly Budget'!$B$2))</f>
        <v>3195955.0915690176</v>
      </c>
      <c r="AA64" s="151">
        <f>IF(AA$1&gt;'NWGC - SCENARIOS'!$D$7,AA49*(1+Budget!$J136)^('Yearly Budget'!AA$2-'Yearly Budget'!$B$2),AA49*(1+Budget!$J136)^('Yearly Budget'!AA$2-'Yearly Budget'!$B$2))</f>
        <v>3451631.4988945397</v>
      </c>
      <c r="AB64" s="151">
        <f>IF(AB$1&gt;'NWGC - SCENARIOS'!$D$7,AB49*(1+Budget!$J136)^('Yearly Budget'!AB$2-'Yearly Budget'!$B$2),AB49*(1+Budget!$J136)^('Yearly Budget'!AB$2-'Yearly Budget'!$B$2))</f>
        <v>3727762.0188061027</v>
      </c>
      <c r="AC64" s="151">
        <f>IF(AC$1&gt;'NWGC - SCENARIOS'!$D$7,AC49*(1+Budget!$J136)^('Yearly Budget'!AC$2-'Yearly Budget'!$B$2),AC49*(1+Budget!$J136)^('Yearly Budget'!AC$2-'Yearly Budget'!$B$2))</f>
        <v>4025982.9803105909</v>
      </c>
      <c r="AD64" s="151">
        <f>IF(AD$1&gt;'NWGC - SCENARIOS'!$D$7,AD49*(1+Budget!$J136)^('Yearly Budget'!AD$2-'Yearly Budget'!$B$2),AD49*(1+Budget!$J136)^('Yearly Budget'!AD$2-'Yearly Budget'!$B$2))</f>
        <v>4348061.6187354382</v>
      </c>
      <c r="AE64" s="151">
        <f>IF(AE$1&gt;'NWGC - SCENARIOS'!$D$7,AE49*(1+Budget!$J136)^('Yearly Budget'!AE$2-'Yearly Budget'!$B$2),AE49*(1+Budget!$J136)^('Yearly Budget'!AE$2-'Yearly Budget'!$B$2))</f>
        <v>4695906.5482342737</v>
      </c>
      <c r="AF64" s="151">
        <f>IF(AF$1&gt;'NWGC - SCENARIOS'!$D$7,AF49*(1+Budget!$J136)^('Yearly Budget'!AF$2-'Yearly Budget'!$B$2),AF49*(1+Budget!$J136)^('Yearly Budget'!AF$2-'Yearly Budget'!$B$2))</f>
        <v>5071579.0720930165</v>
      </c>
      <c r="AG64" s="151">
        <f>IF(AG$1&gt;'NWGC - SCENARIOS'!$D$7,AG49*(1+Budget!$J136)^('Yearly Budget'!AG$2-'Yearly Budget'!$B$2),AG49*(1+Budget!$J136)^('Yearly Budget'!AG$2-'Yearly Budget'!$B$2))</f>
        <v>5477305.3978604581</v>
      </c>
      <c r="AH64" s="151">
        <f>IF(AH$1&gt;'NWGC - SCENARIOS'!$D$7,AH49*(1+Budget!$J136)^('Yearly Budget'!AH$2-'Yearly Budget'!$B$2),AH49*(1+Budget!$J136)^('Yearly Budget'!AH$2-'Yearly Budget'!$B$2))</f>
        <v>5915489.829689295</v>
      </c>
      <c r="AI64" s="151">
        <f>IF(AI$1&gt;'NWGC - SCENARIOS'!$D$7,AI49*(1+Budget!$J136)^('Yearly Budget'!AI$2-'Yearly Budget'!$B$2),AI49*(1+Budget!$J136)^('Yearly Budget'!AI$2-'Yearly Budget'!$B$2))</f>
        <v>6388729.016064439</v>
      </c>
      <c r="AJ64" s="151">
        <f>IF(AJ$1&gt;'NWGC - SCENARIOS'!$D$7,AJ49*(1+Budget!$J136)^('Yearly Budget'!AJ$2-'Yearly Budget'!$B$2),AJ49*(1+Budget!$J136)^('Yearly Budget'!AJ$2-'Yearly Budget'!$B$2))</f>
        <v>6899827.3373495936</v>
      </c>
      <c r="AK64" s="151">
        <f>IF(AK$1&gt;'NWGC - SCENARIOS'!$D$7,AK49*(1+Budget!$J136)^('Yearly Budget'!AK$2-'Yearly Budget'!$B$2),AK49*(1+Budget!$J136)^('Yearly Budget'!AK$2-'Yearly Budget'!$B$2))</f>
        <v>7451813.5243375618</v>
      </c>
      <c r="AL64" s="151">
        <f>IF(AL$1&gt;'NWGC - SCENARIOS'!$D$7,AL49*(1+Budget!$J136)^('Yearly Budget'!AL$2-'Yearly Budget'!$B$2),AL49*(1+Budget!$J136)^('Yearly Budget'!AL$2-'Yearly Budget'!$B$2))</f>
        <v>8047958.6062845681</v>
      </c>
      <c r="AM64" s="151">
        <f>IF(AM$1&gt;'NWGC - SCENARIOS'!$D$7,AM49*(1+Budget!$J136)^('Yearly Budget'!AM$2-'Yearly Budget'!$B$2),AM49*(1+Budget!$J136)^('Yearly Budget'!AM$2-'Yearly Budget'!$B$2))</f>
        <v>8691795.2947873343</v>
      </c>
      <c r="AN64" s="151">
        <f>IF(AN$1&gt;'NWGC - SCENARIOS'!$D$7,AN49*(1+Budget!$J136)^('Yearly Budget'!AN$2-'Yearly Budget'!$B$2),AN49*(1+Budget!$J136)^('Yearly Budget'!AN$2-'Yearly Budget'!$B$2))</f>
        <v>9387138.9183703214</v>
      </c>
      <c r="AO64" s="151">
        <f>IF(AO$1&gt;'NWGC - SCENARIOS'!$D$7,AO49*(1+Budget!$J136)^('Yearly Budget'!AO$2-'Yearly Budget'!$B$2),AO49*(1+Budget!$J136)^('Yearly Budget'!AO$2-'Yearly Budget'!$B$2))</f>
        <v>10138110.031839946</v>
      </c>
      <c r="AP64" s="151">
        <f>IF(AP$1&gt;'NWGC - SCENARIOS'!$D$7,AP49*(1+Budget!$J136)^('Yearly Budget'!AP$2-'Yearly Budget'!$B$2),AP49*(1+Budget!$J136)^('Yearly Budget'!AP$2-'Yearly Budget'!$B$2))</f>
        <v>10949158.834387144</v>
      </c>
      <c r="AQ64" s="151">
        <f>IF(AQ$1&gt;'NWGC - SCENARIOS'!$D$7,AQ49*(1+Budget!$J136)^('Yearly Budget'!AQ$2-'Yearly Budget'!$B$2),AQ49*(1+Budget!$J136)^('Yearly Budget'!AQ$2-'Yearly Budget'!$B$2))</f>
        <v>11825091.541138116</v>
      </c>
      <c r="AR64" s="151">
        <f>IF(AR$1&gt;'NWGC - SCENARIOS'!$D$7,AR49*(1+Budget!$J136)^('Yearly Budget'!AR$2-'Yearly Budget'!$B$2),AR49*(1+Budget!$J136)^('Yearly Budget'!AR$2-'Yearly Budget'!$B$2))</f>
        <v>12771098.864429163</v>
      </c>
      <c r="AS64" s="151">
        <f>IF(AS$1&gt;'NWGC - SCENARIOS'!$D$7,AS49*(1+Budget!$J136)^('Yearly Budget'!AS$2-'Yearly Budget'!$B$2),AS49*(1+Budget!$J136)^('Yearly Budget'!AS$2-'Yearly Budget'!$B$2))</f>
        <v>13792786.773583496</v>
      </c>
      <c r="AT64" s="151">
        <f>IF(AT$1&gt;'NWGC - SCENARIOS'!$D$7,AT49*(1+Budget!$J136)^('Yearly Budget'!AT$2-'Yearly Budget'!$B$2),AT49*(1+Budget!$J136)^('Yearly Budget'!AT$2-'Yearly Budget'!$B$2))</f>
        <v>14896209.71547018</v>
      </c>
      <c r="AU64" s="151">
        <f>IF(AU$1&gt;'NWGC - SCENARIOS'!$D$7,AU49*(1+Budget!$J136)^('Yearly Budget'!AU$2-'Yearly Budget'!$B$2),AU49*(1+Budget!$J136)^('Yearly Budget'!AU$2-'Yearly Budget'!$B$2))</f>
        <v>16087906.492707793</v>
      </c>
      <c r="AV64" s="151">
        <f>IF(AV$1&gt;'NWGC - SCENARIOS'!$D$7,AV49*(1+Budget!$J136)^('Yearly Budget'!AV$2-'Yearly Budget'!$B$2),AV49*(1+Budget!$J136)^('Yearly Budget'!AV$2-'Yearly Budget'!$B$2))</f>
        <v>17374939.012124419</v>
      </c>
      <c r="AW64" s="151">
        <f>IF(AW$1&gt;'NWGC - SCENARIOS'!$D$7,AW49*(1+Budget!$J136)^('Yearly Budget'!AW$2-'Yearly Budget'!$B$2),AW49*(1+Budget!$J136)^('Yearly Budget'!AW$2-'Yearly Budget'!$B$2))</f>
        <v>18764934.133094374</v>
      </c>
      <c r="AX64" s="151">
        <f>IF(AX$1&gt;'NWGC - SCENARIOS'!$D$7,AX49*(1+Budget!$J136)^('Yearly Budget'!AX$2-'Yearly Budget'!$B$2),AX49*(1+Budget!$J136)^('Yearly Budget'!AX$2-'Yearly Budget'!$B$2))</f>
        <v>20266128.863741923</v>
      </c>
      <c r="AY64" s="151">
        <f>IF(AY$1&gt;'NWGC - SCENARIOS'!$D$7,AY49*(1+Budget!$J136)^('Yearly Budget'!AY$2-'Yearly Budget'!$B$2),AY49*(1+Budget!$J136)^('Yearly Budget'!AY$2-'Yearly Budget'!$B$2))</f>
        <v>21887419.172841277</v>
      </c>
      <c r="AZ64" s="151">
        <f>IF(AZ$1&gt;'NWGC - SCENARIOS'!$D$7,AZ49*(1+Budget!$J136)^('Yearly Budget'!AZ$2-'Yearly Budget'!$B$2),AZ49*(1+Budget!$J136)^('Yearly Budget'!AZ$2-'Yearly Budget'!$B$2))</f>
        <v>23638412.706668582</v>
      </c>
      <c r="BA64" s="151">
        <f>IF(BA$1&gt;'NWGC - SCENARIOS'!$D$7,BA49*(1+Budget!$J136)^('Yearly Budget'!BA$2-'Yearly Budget'!$B$2),BA49*(1+Budget!$J136)^('Yearly Budget'!BA$2-'Yearly Budget'!$B$2))</f>
        <v>25529485.723202072</v>
      </c>
      <c r="BB64" s="151">
        <f>IF(BB$1&gt;'NWGC - SCENARIOS'!$D$7,BB49*(1+Budget!$J136)^('Yearly Budget'!BB$2-'Yearly Budget'!$B$2),BB49*(1+Budget!$J136)^('Yearly Budget'!BB$2-'Yearly Budget'!$B$2))</f>
        <v>27571844.581058238</v>
      </c>
      <c r="BC64" s="151">
        <f>IF(BC$1&gt;'NWGC - SCENARIOS'!$D$7,BC49*(1+Budget!$J136)^('Yearly Budget'!BC$2-'Yearly Budget'!$B$2),BC49*(1+Budget!$J136)^('Yearly Budget'!BC$2-'Yearly Budget'!$B$2))</f>
        <v>29777592.147542894</v>
      </c>
      <c r="BD64" s="151">
        <f>IF(BD$1&gt;'NWGC - SCENARIOS'!$D$7,BD49*(1+Budget!$J136)^('Yearly Budget'!BD$2-'Yearly Budget'!$B$2),BD49*(1+Budget!$J136)^('Yearly Budget'!BD$2-'Yearly Budget'!$B$2))</f>
        <v>32159799.51934633</v>
      </c>
      <c r="BE64" s="151">
        <f>IF(BE$1&gt;'NWGC - SCENARIOS'!$D$7,BE49*(1+Budget!$J136)^('Yearly Budget'!BE$2-'Yearly Budget'!$B$2),BE49*(1+Budget!$J136)^('Yearly Budget'!BE$2-'Yearly Budget'!$B$2))</f>
        <v>34732583.480894037</v>
      </c>
      <c r="BF64" s="151">
        <f>IF(BF$1&gt;'NWGC - SCENARIOS'!$D$7,BF49*(1+Budget!$J136)^('Yearly Budget'!BF$2-'Yearly Budget'!$B$2),BF49*(1+Budget!$J136)^('Yearly Budget'!BF$2-'Yearly Budget'!$B$2))</f>
        <v>37511190.159365565</v>
      </c>
    </row>
    <row r="65" spans="1:58" s="99" customFormat="1" ht="14.4" x14ac:dyDescent="0.3">
      <c r="A65" s="100" t="str">
        <f t="shared" si="16"/>
        <v>Premiums &amp; Fees</v>
      </c>
      <c r="B65" s="151">
        <f t="shared" si="16"/>
        <v>70000</v>
      </c>
      <c r="C65" s="151">
        <f>IF(C$1&gt;'NWGC - SCENARIOS'!$D$7,C50*(1+Budget!$J137)^('Yearly Budget'!C$2-'Yearly Budget'!$B$2),C50*(1+Budget!$J137)^('Yearly Budget'!C$2-'Yearly Budget'!$B$2))</f>
        <v>75600</v>
      </c>
      <c r="D65" s="151">
        <f>IF(D$1&gt;'NWGC - SCENARIOS'!$D$7,D50*(1+Budget!$J137)^('Yearly Budget'!D$2-'Yearly Budget'!$B$2),D50*(1+Budget!$J137)^('Yearly Budget'!D$2-'Yearly Budget'!$B$2))</f>
        <v>81648</v>
      </c>
      <c r="E65" s="151">
        <f>IF(E$1&gt;'NWGC - SCENARIOS'!$D$7,E50*(1+Budget!$J137)^('Yearly Budget'!E$2-'Yearly Budget'!$B$2),E50*(1+Budget!$J137)^('Yearly Budget'!E$2-'Yearly Budget'!$B$2))</f>
        <v>88179.840000000011</v>
      </c>
      <c r="F65" s="151">
        <f>IF(F$1&gt;'NWGC - SCENARIOS'!$D$7,F50*(1+Budget!$J137)^('Yearly Budget'!F$2-'Yearly Budget'!$B$2),F50*(1+Budget!$J137)^('Yearly Budget'!F$2-'Yearly Budget'!$B$2))</f>
        <v>95234.227200000023</v>
      </c>
      <c r="G65" s="151">
        <f>IF(G$1&gt;'NWGC - SCENARIOS'!$D$7,G50*(1+Budget!$J137)^('Yearly Budget'!G$2-'Yearly Budget'!$B$2),G50*(1+Budget!$J137)^('Yearly Budget'!G$2-'Yearly Budget'!$B$2))</f>
        <v>102852.96537600002</v>
      </c>
      <c r="H65" s="151">
        <f>IF(H$1&gt;'NWGC - SCENARIOS'!$D$7,H50*(1+Budget!$J137)^('Yearly Budget'!H$2-'Yearly Budget'!$B$2),H50*(1+Budget!$J137)^('Yearly Budget'!H$2-'Yearly Budget'!$B$2))</f>
        <v>111081.20260608004</v>
      </c>
      <c r="I65" s="151">
        <f>IF(I$1&gt;'NWGC - SCENARIOS'!$D$7,I50*(1+Budget!$J137)^('Yearly Budget'!I$2-'Yearly Budget'!$B$2),I50*(1+Budget!$J137)^('Yearly Budget'!I$2-'Yearly Budget'!$B$2))</f>
        <v>119967.69881456645</v>
      </c>
      <c r="J65" s="151">
        <f>IF(J$1&gt;'NWGC - SCENARIOS'!$D$7,J50*(1+Budget!$J137)^('Yearly Budget'!J$2-'Yearly Budget'!$B$2),J50*(1+Budget!$J137)^('Yearly Budget'!J$2-'Yearly Budget'!$B$2))</f>
        <v>129565.11471973176</v>
      </c>
      <c r="K65" s="151">
        <f>IF(K$1&gt;'NWGC - SCENARIOS'!$D$7,K50*(1+Budget!$J137)^('Yearly Budget'!K$2-'Yearly Budget'!$B$2),K50*(1+Budget!$J137)^('Yearly Budget'!K$2-'Yearly Budget'!$B$2))</f>
        <v>139930.3238973103</v>
      </c>
      <c r="L65" s="151">
        <f>IF(L$1&gt;'NWGC - SCENARIOS'!$D$7,L50*(1+Budget!$J137)^('Yearly Budget'!L$2-'Yearly Budget'!$B$2),L50*(1+Budget!$J137)^('Yearly Budget'!L$2-'Yearly Budget'!$B$2))</f>
        <v>151124.74980909514</v>
      </c>
      <c r="M65" s="151">
        <f>IF(M$1&gt;'NWGC - SCENARIOS'!$D$7,M50*(1+Budget!$J137)^('Yearly Budget'!M$2-'Yearly Budget'!$B$2),M50*(1+Budget!$J137)^('Yearly Budget'!M$2-'Yearly Budget'!$B$2))</f>
        <v>163214.72979382274</v>
      </c>
      <c r="N65" s="151">
        <f>IF(N$1&gt;'NWGC - SCENARIOS'!$D$7,N50*(1+Budget!$J137)^('Yearly Budget'!N$2-'Yearly Budget'!$B$2),N50*(1+Budget!$J137)^('Yearly Budget'!N$2-'Yearly Budget'!$B$2))</f>
        <v>176271.90817732859</v>
      </c>
      <c r="O65" s="151">
        <f>IF(O$1&gt;'NWGC - SCENARIOS'!$D$7,O50*(1+Budget!$J137)^('Yearly Budget'!O$2-'Yearly Budget'!$B$2),O50*(1+Budget!$J137)^('Yearly Budget'!O$2-'Yearly Budget'!$B$2))</f>
        <v>190373.66083151486</v>
      </c>
      <c r="P65" s="151">
        <f>IF(P$1&gt;'NWGC - SCENARIOS'!$D$7,P50*(1+Budget!$J137)^('Yearly Budget'!P$2-'Yearly Budget'!$B$2),P50*(1+Budget!$J137)^('Yearly Budget'!P$2-'Yearly Budget'!$B$2))</f>
        <v>205603.55369803609</v>
      </c>
      <c r="Q65" s="151">
        <f>IF(Q$1&gt;'NWGC - SCENARIOS'!$D$7,Q50*(1+Budget!$J137)^('Yearly Budget'!Q$2-'Yearly Budget'!$B$2),Q50*(1+Budget!$J137)^('Yearly Budget'!Q$2-'Yearly Budget'!$B$2))</f>
        <v>222051.83799387902</v>
      </c>
      <c r="R65" s="151">
        <f>IF(R$1&gt;'NWGC - SCENARIOS'!$D$7,R50*(1+Budget!$J137)^('Yearly Budget'!R$2-'Yearly Budget'!$B$2),R50*(1+Budget!$J137)^('Yearly Budget'!R$2-'Yearly Budget'!$B$2))</f>
        <v>239815.98503338933</v>
      </c>
      <c r="S65" s="151">
        <f>IF(S$1&gt;'NWGC - SCENARIOS'!$D$7,S50*(1+Budget!$J137)^('Yearly Budget'!S$2-'Yearly Budget'!$B$2),S50*(1+Budget!$J137)^('Yearly Budget'!S$2-'Yearly Budget'!$B$2))</f>
        <v>259001.26383606048</v>
      </c>
      <c r="T65" s="151">
        <f>IF(T$1&gt;'NWGC - SCENARIOS'!$D$7,T50*(1+Budget!$J137)^('Yearly Budget'!T$2-'Yearly Budget'!$B$2),T50*(1+Budget!$J137)^('Yearly Budget'!T$2-'Yearly Budget'!$B$2))</f>
        <v>279721.36494294537</v>
      </c>
      <c r="U65" s="151">
        <f>IF(U$1&gt;'NWGC - SCENARIOS'!$D$7,U50*(1+Budget!$J137)^('Yearly Budget'!U$2-'Yearly Budget'!$B$2),U50*(1+Budget!$J137)^('Yearly Budget'!U$2-'Yearly Budget'!$B$2))</f>
        <v>302099.07413838099</v>
      </c>
      <c r="V65" s="151">
        <f>IF(V$1&gt;'NWGC - SCENARIOS'!$D$7,V50*(1+Budget!$J137)^('Yearly Budget'!V$2-'Yearly Budget'!$B$2),V50*(1+Budget!$J137)^('Yearly Budget'!V$2-'Yearly Budget'!$B$2))</f>
        <v>326267.00006945146</v>
      </c>
      <c r="W65" s="151">
        <f>IF(W$1&gt;'NWGC - SCENARIOS'!$D$7,W50*(1+Budget!$J137)^('Yearly Budget'!W$2-'Yearly Budget'!$B$2),W50*(1+Budget!$J137)^('Yearly Budget'!W$2-'Yearly Budget'!$B$2))</f>
        <v>352368.3600750076</v>
      </c>
      <c r="X65" s="151">
        <f>IF(X$1&gt;'NWGC - SCENARIOS'!$D$7,X50*(1+Budget!$J137)^('Yearly Budget'!X$2-'Yearly Budget'!$B$2),X50*(1+Budget!$J137)^('Yearly Budget'!X$2-'Yearly Budget'!$B$2))</f>
        <v>380557.82888100826</v>
      </c>
      <c r="Y65" s="151">
        <f>IF(Y$1&gt;'NWGC - SCENARIOS'!$D$7,Y50*(1+Budget!$J137)^('Yearly Budget'!Y$2-'Yearly Budget'!$B$2),Y50*(1+Budget!$J137)^('Yearly Budget'!Y$2-'Yearly Budget'!$B$2))</f>
        <v>411002.4551914889</v>
      </c>
      <c r="Z65" s="151">
        <f>IF(Z$1&gt;'NWGC - SCENARIOS'!$D$7,Z50*(1+Budget!$J137)^('Yearly Budget'!Z$2-'Yearly Budget'!$B$2),Z50*(1+Budget!$J137)^('Yearly Budget'!Z$2-'Yearly Budget'!$B$2))</f>
        <v>443882.65160680801</v>
      </c>
      <c r="AA65" s="151">
        <f>IF(AA$1&gt;'NWGC - SCENARIOS'!$D$7,AA50*(1+Budget!$J137)^('Yearly Budget'!AA$2-'Yearly Budget'!$B$2),AA50*(1+Budget!$J137)^('Yearly Budget'!AA$2-'Yearly Budget'!$B$2))</f>
        <v>479393.26373535272</v>
      </c>
      <c r="AB65" s="151">
        <f>IF(AB$1&gt;'NWGC - SCENARIOS'!$D$7,AB50*(1+Budget!$J137)^('Yearly Budget'!AB$2-'Yearly Budget'!$B$2),AB50*(1+Budget!$J137)^('Yearly Budget'!AB$2-'Yearly Budget'!$B$2))</f>
        <v>517744.7248341809</v>
      </c>
      <c r="AC65" s="151">
        <f>IF(AC$1&gt;'NWGC - SCENARIOS'!$D$7,AC50*(1+Budget!$J137)^('Yearly Budget'!AC$2-'Yearly Budget'!$B$2),AC50*(1+Budget!$J137)^('Yearly Budget'!AC$2-'Yearly Budget'!$B$2))</f>
        <v>559164.30282091536</v>
      </c>
      <c r="AD65" s="151">
        <f>IF(AD$1&gt;'NWGC - SCENARIOS'!$D$7,AD50*(1+Budget!$J137)^('Yearly Budget'!AD$2-'Yearly Budget'!$B$2),AD50*(1+Budget!$J137)^('Yearly Budget'!AD$2-'Yearly Budget'!$B$2))</f>
        <v>603897.44704658864</v>
      </c>
      <c r="AE65" s="151">
        <f>IF(AE$1&gt;'NWGC - SCENARIOS'!$D$7,AE50*(1+Budget!$J137)^('Yearly Budget'!AE$2-'Yearly Budget'!$B$2),AE50*(1+Budget!$J137)^('Yearly Budget'!AE$2-'Yearly Budget'!$B$2))</f>
        <v>652209.2428103158</v>
      </c>
      <c r="AF65" s="151">
        <f>IF(AF$1&gt;'NWGC - SCENARIOS'!$D$7,AF50*(1+Budget!$J137)^('Yearly Budget'!AF$2-'Yearly Budget'!$B$2),AF50*(1+Budget!$J137)^('Yearly Budget'!AF$2-'Yearly Budget'!$B$2))</f>
        <v>704385.9822351411</v>
      </c>
      <c r="AG65" s="151">
        <f>IF(AG$1&gt;'NWGC - SCENARIOS'!$D$7,AG50*(1+Budget!$J137)^('Yearly Budget'!AG$2-'Yearly Budget'!$B$2),AG50*(1+Budget!$J137)^('Yearly Budget'!AG$2-'Yearly Budget'!$B$2))</f>
        <v>760736.86081395252</v>
      </c>
      <c r="AH65" s="151">
        <f>IF(AH$1&gt;'NWGC - SCENARIOS'!$D$7,AH50*(1+Budget!$J137)^('Yearly Budget'!AH$2-'Yearly Budget'!$B$2),AH50*(1+Budget!$J137)^('Yearly Budget'!AH$2-'Yearly Budget'!$B$2))</f>
        <v>821595.80967906874</v>
      </c>
      <c r="AI65" s="151">
        <f>IF(AI$1&gt;'NWGC - SCENARIOS'!$D$7,AI50*(1+Budget!$J137)^('Yearly Budget'!AI$2-'Yearly Budget'!$B$2),AI50*(1+Budget!$J137)^('Yearly Budget'!AI$2-'Yearly Budget'!$B$2))</f>
        <v>887323.4744533943</v>
      </c>
      <c r="AJ65" s="151">
        <f>IF(AJ$1&gt;'NWGC - SCENARIOS'!$D$7,AJ50*(1+Budget!$J137)^('Yearly Budget'!AJ$2-'Yearly Budget'!$B$2),AJ50*(1+Budget!$J137)^('Yearly Budget'!AJ$2-'Yearly Budget'!$B$2))</f>
        <v>958309.35240966582</v>
      </c>
      <c r="AK65" s="151">
        <f>IF(AK$1&gt;'NWGC - SCENARIOS'!$D$7,AK50*(1+Budget!$J137)^('Yearly Budget'!AK$2-'Yearly Budget'!$B$2),AK50*(1+Budget!$J137)^('Yearly Budget'!AK$2-'Yearly Budget'!$B$2))</f>
        <v>1034974.1006024391</v>
      </c>
      <c r="AL65" s="151">
        <f>IF(AL$1&gt;'NWGC - SCENARIOS'!$D$7,AL50*(1+Budget!$J137)^('Yearly Budget'!AL$2-'Yearly Budget'!$B$2),AL50*(1+Budget!$J137)^('Yearly Budget'!AL$2-'Yearly Budget'!$B$2))</f>
        <v>1117772.0286506345</v>
      </c>
      <c r="AM65" s="151">
        <f>IF(AM$1&gt;'NWGC - SCENARIOS'!$D$7,AM50*(1+Budget!$J137)^('Yearly Budget'!AM$2-'Yearly Budget'!$B$2),AM50*(1+Budget!$J137)^('Yearly Budget'!AM$2-'Yearly Budget'!$B$2))</f>
        <v>1207193.7909426852</v>
      </c>
      <c r="AN65" s="151">
        <f>IF(AN$1&gt;'NWGC - SCENARIOS'!$D$7,AN50*(1+Budget!$J137)^('Yearly Budget'!AN$2-'Yearly Budget'!$B$2),AN50*(1+Budget!$J137)^('Yearly Budget'!AN$2-'Yearly Budget'!$B$2))</f>
        <v>1303769.2942181001</v>
      </c>
      <c r="AO65" s="151">
        <f>IF(AO$1&gt;'NWGC - SCENARIOS'!$D$7,AO50*(1+Budget!$J137)^('Yearly Budget'!AO$2-'Yearly Budget'!$B$2),AO50*(1+Budget!$J137)^('Yearly Budget'!AO$2-'Yearly Budget'!$B$2))</f>
        <v>1408070.8377555483</v>
      </c>
      <c r="AP65" s="151">
        <f>IF(AP$1&gt;'NWGC - SCENARIOS'!$D$7,AP50*(1+Budget!$J137)^('Yearly Budget'!AP$2-'Yearly Budget'!$B$2),AP50*(1+Budget!$J137)^('Yearly Budget'!AP$2-'Yearly Budget'!$B$2))</f>
        <v>1520716.5047759921</v>
      </c>
      <c r="AQ65" s="151">
        <f>IF(AQ$1&gt;'NWGC - SCENARIOS'!$D$7,AQ50*(1+Budget!$J137)^('Yearly Budget'!AQ$2-'Yearly Budget'!$B$2),AQ50*(1+Budget!$J137)^('Yearly Budget'!AQ$2-'Yearly Budget'!$B$2))</f>
        <v>1642373.8251580717</v>
      </c>
      <c r="AR65" s="151">
        <f>IF(AR$1&gt;'NWGC - SCENARIOS'!$D$7,AR50*(1+Budget!$J137)^('Yearly Budget'!AR$2-'Yearly Budget'!$B$2),AR50*(1+Budget!$J137)^('Yearly Budget'!AR$2-'Yearly Budget'!$B$2))</f>
        <v>1773763.7311707172</v>
      </c>
      <c r="AS65" s="151">
        <f>IF(AS$1&gt;'NWGC - SCENARIOS'!$D$7,AS50*(1+Budget!$J137)^('Yearly Budget'!AS$2-'Yearly Budget'!$B$2),AS50*(1+Budget!$J137)^('Yearly Budget'!AS$2-'Yearly Budget'!$B$2))</f>
        <v>1915664.8296643745</v>
      </c>
      <c r="AT65" s="151">
        <f>IF(AT$1&gt;'NWGC - SCENARIOS'!$D$7,AT50*(1+Budget!$J137)^('Yearly Budget'!AT$2-'Yearly Budget'!$B$2),AT50*(1+Budget!$J137)^('Yearly Budget'!AT$2-'Yearly Budget'!$B$2))</f>
        <v>2068918.0160375249</v>
      </c>
      <c r="AU65" s="151">
        <f>IF(AU$1&gt;'NWGC - SCENARIOS'!$D$7,AU50*(1+Budget!$J137)^('Yearly Budget'!AU$2-'Yearly Budget'!$B$2),AU50*(1+Budget!$J137)^('Yearly Budget'!AU$2-'Yearly Budget'!$B$2))</f>
        <v>2234431.4573205267</v>
      </c>
      <c r="AV65" s="151">
        <f>IF(AV$1&gt;'NWGC - SCENARIOS'!$D$7,AV50*(1+Budget!$J137)^('Yearly Budget'!AV$2-'Yearly Budget'!$B$2),AV50*(1+Budget!$J137)^('Yearly Budget'!AV$2-'Yearly Budget'!$B$2))</f>
        <v>2413185.9739061692</v>
      </c>
      <c r="AW65" s="151">
        <f>IF(AW$1&gt;'NWGC - SCENARIOS'!$D$7,AW50*(1+Budget!$J137)^('Yearly Budget'!AW$2-'Yearly Budget'!$B$2),AW50*(1+Budget!$J137)^('Yearly Budget'!AW$2-'Yearly Budget'!$B$2))</f>
        <v>2606240.8518186631</v>
      </c>
      <c r="AX65" s="151">
        <f>IF(AX$1&gt;'NWGC - SCENARIOS'!$D$7,AX50*(1+Budget!$J137)^('Yearly Budget'!AX$2-'Yearly Budget'!$B$2),AX50*(1+Budget!$J137)^('Yearly Budget'!AX$2-'Yearly Budget'!$B$2))</f>
        <v>2814740.1199641558</v>
      </c>
      <c r="AY65" s="151">
        <f>IF(AY$1&gt;'NWGC - SCENARIOS'!$D$7,AY50*(1+Budget!$J137)^('Yearly Budget'!AY$2-'Yearly Budget'!$B$2),AY50*(1+Budget!$J137)^('Yearly Budget'!AY$2-'Yearly Budget'!$B$2))</f>
        <v>3039919.3295612885</v>
      </c>
      <c r="AZ65" s="151">
        <f>IF(AZ$1&gt;'NWGC - SCENARIOS'!$D$7,AZ50*(1+Budget!$J137)^('Yearly Budget'!AZ$2-'Yearly Budget'!$B$2),AZ50*(1+Budget!$J137)^('Yearly Budget'!AZ$2-'Yearly Budget'!$B$2))</f>
        <v>3283112.8759261919</v>
      </c>
      <c r="BA65" s="151">
        <f>IF(BA$1&gt;'NWGC - SCENARIOS'!$D$7,BA50*(1+Budget!$J137)^('Yearly Budget'!BA$2-'Yearly Budget'!$B$2),BA50*(1+Budget!$J137)^('Yearly Budget'!BA$2-'Yearly Budget'!$B$2))</f>
        <v>3545761.9060002877</v>
      </c>
      <c r="BB65" s="151">
        <f>IF(BB$1&gt;'NWGC - SCENARIOS'!$D$7,BB50*(1+Budget!$J137)^('Yearly Budget'!BB$2-'Yearly Budget'!$B$2),BB50*(1+Budget!$J137)^('Yearly Budget'!BB$2-'Yearly Budget'!$B$2))</f>
        <v>3829422.8584803105</v>
      </c>
      <c r="BC65" s="151">
        <f>IF(BC$1&gt;'NWGC - SCENARIOS'!$D$7,BC50*(1+Budget!$J137)^('Yearly Budget'!BC$2-'Yearly Budget'!$B$2),BC50*(1+Budget!$J137)^('Yearly Budget'!BC$2-'Yearly Budget'!$B$2))</f>
        <v>4135776.6871587355</v>
      </c>
      <c r="BD65" s="151">
        <f>IF(BD$1&gt;'NWGC - SCENARIOS'!$D$7,BD50*(1+Budget!$J137)^('Yearly Budget'!BD$2-'Yearly Budget'!$B$2),BD50*(1+Budget!$J137)^('Yearly Budget'!BD$2-'Yearly Budget'!$B$2))</f>
        <v>4466638.8221314354</v>
      </c>
      <c r="BE65" s="151">
        <f>IF(BE$1&gt;'NWGC - SCENARIOS'!$D$7,BE50*(1+Budget!$J137)^('Yearly Budget'!BE$2-'Yearly Budget'!$B$2),BE50*(1+Budget!$J137)^('Yearly Budget'!BE$2-'Yearly Budget'!$B$2))</f>
        <v>4823969.9279019497</v>
      </c>
      <c r="BF65" s="151">
        <f>IF(BF$1&gt;'NWGC - SCENARIOS'!$D$7,BF50*(1+Budget!$J137)^('Yearly Budget'!BF$2-'Yearly Budget'!$B$2),BF50*(1+Budget!$J137)^('Yearly Budget'!BF$2-'Yearly Budget'!$B$2))</f>
        <v>5209887.5221341057</v>
      </c>
    </row>
    <row r="66" spans="1:58" s="99" customFormat="1" ht="14.4" x14ac:dyDescent="0.3">
      <c r="A66" s="166" t="str">
        <f t="shared" si="16"/>
        <v>Life Insurance Premium</v>
      </c>
      <c r="B66" s="167">
        <f t="shared" si="16"/>
        <v>245674</v>
      </c>
      <c r="C66" s="167">
        <f t="shared" ref="C66:H66" si="17">C51</f>
        <v>245674</v>
      </c>
      <c r="D66" s="167">
        <f t="shared" si="17"/>
        <v>245674</v>
      </c>
      <c r="E66" s="167">
        <f t="shared" si="17"/>
        <v>245674</v>
      </c>
      <c r="F66" s="167">
        <f t="shared" si="17"/>
        <v>245674</v>
      </c>
      <c r="G66" s="167">
        <f t="shared" si="17"/>
        <v>245674</v>
      </c>
      <c r="H66" s="167">
        <f t="shared" si="17"/>
        <v>245674</v>
      </c>
      <c r="I66" s="167">
        <f t="shared" ref="I66:BF66" si="18">I51</f>
        <v>0</v>
      </c>
      <c r="J66" s="167">
        <f t="shared" si="18"/>
        <v>0</v>
      </c>
      <c r="K66" s="167">
        <f t="shared" si="18"/>
        <v>0</v>
      </c>
      <c r="L66" s="167">
        <f t="shared" si="18"/>
        <v>0</v>
      </c>
      <c r="M66" s="167">
        <f t="shared" si="18"/>
        <v>0</v>
      </c>
      <c r="N66" s="167">
        <f t="shared" si="18"/>
        <v>0</v>
      </c>
      <c r="O66" s="167">
        <f t="shared" si="18"/>
        <v>0</v>
      </c>
      <c r="P66" s="167">
        <f t="shared" si="18"/>
        <v>0</v>
      </c>
      <c r="Q66" s="167">
        <f t="shared" si="18"/>
        <v>0</v>
      </c>
      <c r="R66" s="167">
        <f t="shared" si="18"/>
        <v>0</v>
      </c>
      <c r="S66" s="167">
        <f t="shared" si="18"/>
        <v>0</v>
      </c>
      <c r="T66" s="167">
        <f t="shared" si="18"/>
        <v>0</v>
      </c>
      <c r="U66" s="167">
        <f t="shared" si="18"/>
        <v>0</v>
      </c>
      <c r="V66" s="167">
        <f t="shared" si="18"/>
        <v>0</v>
      </c>
      <c r="W66" s="167">
        <f t="shared" si="18"/>
        <v>0</v>
      </c>
      <c r="X66" s="167">
        <f t="shared" si="18"/>
        <v>0</v>
      </c>
      <c r="Y66" s="167">
        <f t="shared" si="18"/>
        <v>0</v>
      </c>
      <c r="Z66" s="167">
        <f t="shared" si="18"/>
        <v>0</v>
      </c>
      <c r="AA66" s="167">
        <f t="shared" si="18"/>
        <v>0</v>
      </c>
      <c r="AB66" s="167">
        <f t="shared" si="18"/>
        <v>0</v>
      </c>
      <c r="AC66" s="167">
        <f t="shared" si="18"/>
        <v>0</v>
      </c>
      <c r="AD66" s="167">
        <f t="shared" si="18"/>
        <v>0</v>
      </c>
      <c r="AE66" s="167">
        <f t="shared" si="18"/>
        <v>0</v>
      </c>
      <c r="AF66" s="167">
        <f t="shared" si="18"/>
        <v>0</v>
      </c>
      <c r="AG66" s="167">
        <f t="shared" si="18"/>
        <v>0</v>
      </c>
      <c r="AH66" s="167">
        <f t="shared" si="18"/>
        <v>0</v>
      </c>
      <c r="AI66" s="167">
        <f t="shared" si="18"/>
        <v>0</v>
      </c>
      <c r="AJ66" s="167">
        <f t="shared" si="18"/>
        <v>0</v>
      </c>
      <c r="AK66" s="167">
        <f t="shared" si="18"/>
        <v>0</v>
      </c>
      <c r="AL66" s="167">
        <f t="shared" si="18"/>
        <v>0</v>
      </c>
      <c r="AM66" s="167">
        <f t="shared" si="18"/>
        <v>0</v>
      </c>
      <c r="AN66" s="167">
        <f t="shared" si="18"/>
        <v>0</v>
      </c>
      <c r="AO66" s="167">
        <f t="shared" si="18"/>
        <v>0</v>
      </c>
      <c r="AP66" s="167">
        <f t="shared" si="18"/>
        <v>0</v>
      </c>
      <c r="AQ66" s="167">
        <f t="shared" si="18"/>
        <v>0</v>
      </c>
      <c r="AR66" s="167">
        <f t="shared" si="18"/>
        <v>0</v>
      </c>
      <c r="AS66" s="167">
        <f t="shared" si="18"/>
        <v>0</v>
      </c>
      <c r="AT66" s="167">
        <f t="shared" si="18"/>
        <v>0</v>
      </c>
      <c r="AU66" s="167">
        <f t="shared" si="18"/>
        <v>0</v>
      </c>
      <c r="AV66" s="167">
        <f t="shared" si="18"/>
        <v>0</v>
      </c>
      <c r="AW66" s="167">
        <f t="shared" si="18"/>
        <v>0</v>
      </c>
      <c r="AX66" s="167">
        <f t="shared" si="18"/>
        <v>0</v>
      </c>
      <c r="AY66" s="167">
        <f t="shared" si="18"/>
        <v>0</v>
      </c>
      <c r="AZ66" s="167">
        <f t="shared" si="18"/>
        <v>0</v>
      </c>
      <c r="BA66" s="167">
        <f t="shared" si="18"/>
        <v>0</v>
      </c>
      <c r="BB66" s="167">
        <f t="shared" si="18"/>
        <v>0</v>
      </c>
      <c r="BC66" s="167">
        <f t="shared" si="18"/>
        <v>0</v>
      </c>
      <c r="BD66" s="167">
        <f t="shared" si="18"/>
        <v>0</v>
      </c>
      <c r="BE66" s="167">
        <f t="shared" si="18"/>
        <v>0</v>
      </c>
      <c r="BF66" s="167">
        <f t="shared" si="18"/>
        <v>0</v>
      </c>
    </row>
    <row r="67" spans="1:58" s="154" customFormat="1" ht="14.4" x14ac:dyDescent="0.3">
      <c r="A67" s="166" t="str">
        <f t="shared" si="16"/>
        <v>Loan EMIs</v>
      </c>
      <c r="B67" s="167">
        <f t="shared" si="16"/>
        <v>569280</v>
      </c>
      <c r="C67" s="167">
        <f t="shared" ca="1" si="16"/>
        <v>332080</v>
      </c>
      <c r="D67" s="167">
        <f t="shared" ca="1" si="16"/>
        <v>569280</v>
      </c>
      <c r="E67" s="167">
        <f t="shared" ca="1" si="16"/>
        <v>357117.9206520709</v>
      </c>
      <c r="F67" s="167">
        <f t="shared" ca="1" si="16"/>
        <v>0</v>
      </c>
      <c r="G67" s="167">
        <f t="shared" ca="1" si="16"/>
        <v>0</v>
      </c>
      <c r="H67" s="167">
        <f t="shared" ca="1" si="16"/>
        <v>0</v>
      </c>
      <c r="I67" s="167">
        <f t="shared" ca="1" si="16"/>
        <v>0</v>
      </c>
      <c r="J67" s="167">
        <f t="shared" ref="J67:P67" ca="1" si="19">J52</f>
        <v>0</v>
      </c>
      <c r="K67" s="167">
        <f t="shared" ca="1" si="19"/>
        <v>0</v>
      </c>
      <c r="L67" s="167">
        <f t="shared" ca="1" si="19"/>
        <v>0</v>
      </c>
      <c r="M67" s="167">
        <f t="shared" ca="1" si="19"/>
        <v>0</v>
      </c>
      <c r="N67" s="167">
        <f t="shared" ca="1" si="19"/>
        <v>0</v>
      </c>
      <c r="O67" s="167">
        <f t="shared" ca="1" si="19"/>
        <v>0</v>
      </c>
      <c r="P67" s="167">
        <f t="shared" ca="1" si="19"/>
        <v>0</v>
      </c>
      <c r="Q67" s="167">
        <f t="shared" ref="Q67:BB67" ca="1" si="20">Q52</f>
        <v>0</v>
      </c>
      <c r="R67" s="167">
        <f t="shared" ca="1" si="20"/>
        <v>0</v>
      </c>
      <c r="S67" s="167">
        <f t="shared" ca="1" si="20"/>
        <v>0</v>
      </c>
      <c r="T67" s="167">
        <f t="shared" ca="1" si="20"/>
        <v>0</v>
      </c>
      <c r="U67" s="167">
        <f t="shared" ca="1" si="20"/>
        <v>0</v>
      </c>
      <c r="V67" s="167">
        <f t="shared" ca="1" si="20"/>
        <v>0</v>
      </c>
      <c r="W67" s="167">
        <f t="shared" ca="1" si="20"/>
        <v>0</v>
      </c>
      <c r="X67" s="167">
        <f t="shared" ca="1" si="20"/>
        <v>0</v>
      </c>
      <c r="Y67" s="167">
        <f t="shared" ca="1" si="20"/>
        <v>0</v>
      </c>
      <c r="Z67" s="167">
        <f t="shared" ca="1" si="20"/>
        <v>0</v>
      </c>
      <c r="AA67" s="167">
        <f t="shared" ca="1" si="20"/>
        <v>0</v>
      </c>
      <c r="AB67" s="167">
        <f t="shared" ca="1" si="20"/>
        <v>0</v>
      </c>
      <c r="AC67" s="167">
        <f t="shared" ca="1" si="20"/>
        <v>0</v>
      </c>
      <c r="AD67" s="167">
        <f t="shared" ca="1" si="20"/>
        <v>0</v>
      </c>
      <c r="AE67" s="167">
        <f t="shared" ca="1" si="20"/>
        <v>0</v>
      </c>
      <c r="AF67" s="167">
        <f t="shared" ca="1" si="20"/>
        <v>0</v>
      </c>
      <c r="AG67" s="167">
        <f t="shared" ca="1" si="20"/>
        <v>0</v>
      </c>
      <c r="AH67" s="167">
        <f t="shared" ca="1" si="20"/>
        <v>0</v>
      </c>
      <c r="AI67" s="167">
        <f t="shared" ca="1" si="20"/>
        <v>0</v>
      </c>
      <c r="AJ67" s="167">
        <f t="shared" ca="1" si="20"/>
        <v>0</v>
      </c>
      <c r="AK67" s="167">
        <f t="shared" ca="1" si="20"/>
        <v>0</v>
      </c>
      <c r="AL67" s="167">
        <f t="shared" ca="1" si="20"/>
        <v>0</v>
      </c>
      <c r="AM67" s="167">
        <f t="shared" ca="1" si="20"/>
        <v>0</v>
      </c>
      <c r="AN67" s="167">
        <f t="shared" ca="1" si="20"/>
        <v>0</v>
      </c>
      <c r="AO67" s="167">
        <f t="shared" ca="1" si="20"/>
        <v>0</v>
      </c>
      <c r="AP67" s="167">
        <f t="shared" ca="1" si="20"/>
        <v>0</v>
      </c>
      <c r="AQ67" s="167">
        <f t="shared" ca="1" si="20"/>
        <v>0</v>
      </c>
      <c r="AR67" s="167">
        <f t="shared" ca="1" si="20"/>
        <v>0</v>
      </c>
      <c r="AS67" s="167">
        <f t="shared" ca="1" si="20"/>
        <v>0</v>
      </c>
      <c r="AT67" s="167">
        <f t="shared" ca="1" si="20"/>
        <v>0</v>
      </c>
      <c r="AU67" s="167">
        <f t="shared" ca="1" si="20"/>
        <v>0</v>
      </c>
      <c r="AV67" s="167">
        <f t="shared" ca="1" si="20"/>
        <v>0</v>
      </c>
      <c r="AW67" s="167">
        <f t="shared" ca="1" si="20"/>
        <v>0</v>
      </c>
      <c r="AX67" s="167">
        <f t="shared" ca="1" si="20"/>
        <v>0</v>
      </c>
      <c r="AY67" s="167">
        <f t="shared" ca="1" si="20"/>
        <v>0</v>
      </c>
      <c r="AZ67" s="167">
        <f t="shared" ca="1" si="20"/>
        <v>0</v>
      </c>
      <c r="BA67" s="167">
        <f t="shared" ca="1" si="20"/>
        <v>0</v>
      </c>
      <c r="BB67" s="167">
        <f t="shared" ca="1" si="20"/>
        <v>0</v>
      </c>
      <c r="BC67" s="167">
        <f t="shared" ref="BC67:BF67" ca="1" si="21">BC52</f>
        <v>0</v>
      </c>
      <c r="BD67" s="167">
        <f t="shared" ca="1" si="21"/>
        <v>0</v>
      </c>
      <c r="BE67" s="167">
        <f t="shared" ca="1" si="21"/>
        <v>0</v>
      </c>
      <c r="BF67" s="167">
        <f t="shared" ca="1" si="21"/>
        <v>0</v>
      </c>
    </row>
    <row r="68" spans="1:58" s="99" customFormat="1" ht="14.4" x14ac:dyDescent="0.3">
      <c r="A68" s="100" t="str">
        <f t="shared" si="16"/>
        <v>Life Events</v>
      </c>
      <c r="B68" s="151">
        <f>'Key Life Events'!AJ58</f>
        <v>0</v>
      </c>
      <c r="C68" s="151">
        <f>'Key Life Events'!AK58</f>
        <v>0</v>
      </c>
      <c r="D68" s="151">
        <f>'Key Life Events'!AL58</f>
        <v>0</v>
      </c>
      <c r="E68" s="151">
        <f>'Key Life Events'!AM58</f>
        <v>0</v>
      </c>
      <c r="F68" s="151">
        <f>'Key Life Events'!AN58</f>
        <v>3509575.6800000006</v>
      </c>
      <c r="G68" s="151">
        <f>'Key Life Events'!AO58</f>
        <v>15242699.450199999</v>
      </c>
      <c r="H68" s="151">
        <f>'Key Life Events'!AP58</f>
        <v>3795957.0554880011</v>
      </c>
      <c r="I68" s="151">
        <f>'Key Life Events'!AQ58</f>
        <v>3947795.3377075209</v>
      </c>
      <c r="J68" s="151">
        <f>'Key Life Events'!AR58</f>
        <v>0</v>
      </c>
      <c r="K68" s="151">
        <f>'Key Life Events'!AS58</f>
        <v>0</v>
      </c>
      <c r="L68" s="151">
        <f>'Key Life Events'!AT58</f>
        <v>4317849.9945455752</v>
      </c>
      <c r="M68" s="151">
        <f>'Key Life Events'!AU58</f>
        <v>1165819.4985273054</v>
      </c>
      <c r="N68" s="151">
        <f>'Key Life Events'!AV58</f>
        <v>0</v>
      </c>
      <c r="O68" s="151">
        <f>'Key Life Events'!AW58</f>
        <v>0</v>
      </c>
      <c r="P68" s="151">
        <f>'Key Life Events'!AX58</f>
        <v>0</v>
      </c>
      <c r="Q68" s="151">
        <f>'Key Life Events'!AY58</f>
        <v>0</v>
      </c>
      <c r="R68" s="151">
        <f>'Key Life Events'!AZ58</f>
        <v>0</v>
      </c>
      <c r="S68" s="151">
        <f>'Key Life Events'!BA58</f>
        <v>0</v>
      </c>
      <c r="T68" s="151">
        <f>'Key Life Events'!BB58</f>
        <v>0</v>
      </c>
      <c r="U68" s="151">
        <f>'Key Life Events'!BC58</f>
        <v>0</v>
      </c>
      <c r="V68" s="151">
        <f>'Key Life Events'!BD58</f>
        <v>0</v>
      </c>
      <c r="W68" s="151">
        <f>'Key Life Events'!BE58</f>
        <v>0</v>
      </c>
      <c r="X68" s="151">
        <f>'Key Life Events'!BF58</f>
        <v>0</v>
      </c>
      <c r="Y68" s="151">
        <f>'Key Life Events'!BG58</f>
        <v>0</v>
      </c>
      <c r="Z68" s="151">
        <f>'Key Life Events'!BH58</f>
        <v>0</v>
      </c>
      <c r="AA68" s="151">
        <f>'Key Life Events'!BI58</f>
        <v>0</v>
      </c>
      <c r="AB68" s="151">
        <f>'Key Life Events'!BJ58</f>
        <v>0</v>
      </c>
      <c r="AC68" s="151">
        <f>'Key Life Events'!BK58</f>
        <v>0</v>
      </c>
      <c r="AD68" s="151">
        <f>'Key Life Events'!BL58</f>
        <v>0</v>
      </c>
      <c r="AE68" s="151">
        <f>'Key Life Events'!BM58</f>
        <v>0</v>
      </c>
      <c r="AF68" s="151">
        <f>'Key Life Events'!BN58</f>
        <v>0</v>
      </c>
      <c r="AG68" s="151">
        <f>'Key Life Events'!BO58</f>
        <v>0</v>
      </c>
      <c r="AH68" s="151">
        <f>'Key Life Events'!BP58</f>
        <v>0</v>
      </c>
      <c r="AI68" s="151">
        <f>'Key Life Events'!BQ58</f>
        <v>0</v>
      </c>
      <c r="AJ68" s="151">
        <f>'Key Life Events'!BR58</f>
        <v>0</v>
      </c>
      <c r="AK68" s="151">
        <f>'Key Life Events'!BS58</f>
        <v>0</v>
      </c>
      <c r="AL68" s="151">
        <f>'Key Life Events'!BT58</f>
        <v>0</v>
      </c>
      <c r="AM68" s="151">
        <f>'Key Life Events'!BU58</f>
        <v>0</v>
      </c>
      <c r="AN68" s="151">
        <f>'Key Life Events'!BV58</f>
        <v>0</v>
      </c>
      <c r="AO68" s="151">
        <f>'Key Life Events'!BW58</f>
        <v>0</v>
      </c>
      <c r="AP68" s="151">
        <f>'Key Life Events'!BX58</f>
        <v>0</v>
      </c>
      <c r="AQ68" s="151">
        <f>'Key Life Events'!BY58</f>
        <v>0</v>
      </c>
      <c r="AR68" s="151">
        <f>'Key Life Events'!BZ58</f>
        <v>0</v>
      </c>
      <c r="AS68" s="151">
        <f>'Key Life Events'!CA58</f>
        <v>0</v>
      </c>
      <c r="AT68" s="151">
        <f>'Key Life Events'!CB58</f>
        <v>0</v>
      </c>
      <c r="AU68" s="151">
        <f>'Key Life Events'!CC58</f>
        <v>0</v>
      </c>
      <c r="AV68" s="151">
        <f>'Key Life Events'!CD58</f>
        <v>0</v>
      </c>
      <c r="AW68" s="151">
        <f>'Key Life Events'!CE58</f>
        <v>0</v>
      </c>
      <c r="AX68" s="151">
        <f>'Key Life Events'!CF58</f>
        <v>0</v>
      </c>
      <c r="AY68" s="151">
        <f>'Key Life Events'!CG58</f>
        <v>0</v>
      </c>
      <c r="AZ68" s="151">
        <f>'Key Life Events'!CH58</f>
        <v>0</v>
      </c>
      <c r="BA68" s="151">
        <f>'Key Life Events'!CI58</f>
        <v>0</v>
      </c>
      <c r="BB68" s="151">
        <f>'Key Life Events'!CJ58</f>
        <v>0</v>
      </c>
      <c r="BC68" s="151">
        <f>'Key Life Events'!CK58</f>
        <v>0</v>
      </c>
      <c r="BD68" s="151">
        <f>'Key Life Events'!CL58</f>
        <v>0</v>
      </c>
      <c r="BE68" s="151">
        <f>'Key Life Events'!CM58</f>
        <v>0</v>
      </c>
      <c r="BF68" s="151">
        <f>'Key Life Events'!CN58</f>
        <v>0</v>
      </c>
    </row>
    <row r="69" spans="1:58" s="153" customFormat="1" ht="17.399999999999999" x14ac:dyDescent="0.3">
      <c r="A69" s="144" t="s">
        <v>344</v>
      </c>
      <c r="B69" s="152">
        <f>SUM(B57:B68)</f>
        <v>3626183</v>
      </c>
      <c r="C69" s="152">
        <f t="shared" ref="C69:BB69" ca="1" si="22">SUM(C57:C68)</f>
        <v>3613881.3200000003</v>
      </c>
      <c r="D69" s="152">
        <f t="shared" ca="1" si="22"/>
        <v>4093971.5056000003</v>
      </c>
      <c r="E69" s="152">
        <f t="shared" ca="1" si="22"/>
        <v>4144130.8267000713</v>
      </c>
      <c r="F69" s="152">
        <f t="shared" ca="1" si="22"/>
        <v>7579895.6985318419</v>
      </c>
      <c r="G69" s="152">
        <f t="shared" ca="1" si="22"/>
        <v>19618991.150214385</v>
      </c>
      <c r="H69" s="152">
        <f t="shared" ca="1" si="22"/>
        <v>8502698.171503542</v>
      </c>
      <c r="I69" s="152">
        <f t="shared" ca="1" si="22"/>
        <v>7823144.475175567</v>
      </c>
      <c r="J69" s="152">
        <f t="shared" ca="1" si="22"/>
        <v>4185377.0684654904</v>
      </c>
      <c r="K69" s="152">
        <f t="shared" ca="1" si="22"/>
        <v>4520207.2339427304</v>
      </c>
      <c r="L69" s="152">
        <f t="shared" ca="1" si="22"/>
        <v>9199673.8072037213</v>
      </c>
      <c r="M69" s="152">
        <f t="shared" ca="1" si="22"/>
        <v>6438189.2161981054</v>
      </c>
      <c r="N69" s="152">
        <f t="shared" ca="1" si="22"/>
        <v>5694159.2950844644</v>
      </c>
      <c r="O69" s="152">
        <f t="shared" ca="1" si="22"/>
        <v>6149692.0386912227</v>
      </c>
      <c r="P69" s="152">
        <f t="shared" ca="1" si="22"/>
        <v>6641667.4017865211</v>
      </c>
      <c r="Q69" s="152">
        <f t="shared" ca="1" si="22"/>
        <v>7173000.7939294428</v>
      </c>
      <c r="R69" s="152">
        <f t="shared" ca="1" si="22"/>
        <v>7746840.8574437993</v>
      </c>
      <c r="S69" s="152">
        <f t="shared" ca="1" si="22"/>
        <v>8366588.126039302</v>
      </c>
      <c r="T69" s="152">
        <f t="shared" ca="1" si="22"/>
        <v>9035915.1761224475</v>
      </c>
      <c r="U69" s="152">
        <f t="shared" ca="1" si="22"/>
        <v>9758788.3902122453</v>
      </c>
      <c r="V69" s="152">
        <f t="shared" ca="1" si="22"/>
        <v>10539491.461429223</v>
      </c>
      <c r="W69" s="152">
        <f t="shared" ca="1" si="22"/>
        <v>11382650.778343562</v>
      </c>
      <c r="X69" s="152">
        <f t="shared" ca="1" si="22"/>
        <v>12293262.840611048</v>
      </c>
      <c r="Y69" s="152">
        <f t="shared" ca="1" si="22"/>
        <v>13276723.867859932</v>
      </c>
      <c r="Z69" s="152">
        <f t="shared" ca="1" si="22"/>
        <v>14338861.777288727</v>
      </c>
      <c r="AA69" s="152">
        <f t="shared" ca="1" si="22"/>
        <v>15485970.719471829</v>
      </c>
      <c r="AB69" s="152">
        <f t="shared" ca="1" si="22"/>
        <v>16724848.377029575</v>
      </c>
      <c r="AC69" s="152">
        <f t="shared" ca="1" si="22"/>
        <v>18062836.247191936</v>
      </c>
      <c r="AD69" s="152">
        <f t="shared" ca="1" si="22"/>
        <v>19507863.146967296</v>
      </c>
      <c r="AE69" s="152">
        <f t="shared" ca="1" si="22"/>
        <v>21068492.19872468</v>
      </c>
      <c r="AF69" s="152">
        <f t="shared" ca="1" si="22"/>
        <v>22753971.574622657</v>
      </c>
      <c r="AG69" s="152">
        <f t="shared" ca="1" si="22"/>
        <v>24574289.300592475</v>
      </c>
      <c r="AH69" s="152">
        <f t="shared" ca="1" si="22"/>
        <v>25953378.294869103</v>
      </c>
      <c r="AI69" s="152">
        <f t="shared" ca="1" si="22"/>
        <v>28029648.558458634</v>
      </c>
      <c r="AJ69" s="152">
        <f t="shared" ca="1" si="22"/>
        <v>30272020.443135325</v>
      </c>
      <c r="AK69" s="152">
        <f t="shared" ca="1" si="22"/>
        <v>32693782.078586154</v>
      </c>
      <c r="AL69" s="152">
        <f t="shared" ca="1" si="22"/>
        <v>35309284.644873053</v>
      </c>
      <c r="AM69" s="152">
        <f t="shared" ca="1" si="22"/>
        <v>38134027.416462898</v>
      </c>
      <c r="AN69" s="152">
        <f t="shared" ca="1" si="22"/>
        <v>41184749.609779932</v>
      </c>
      <c r="AO69" s="152">
        <f t="shared" ca="1" si="22"/>
        <v>44479529.578562327</v>
      </c>
      <c r="AP69" s="152">
        <f t="shared" ca="1" si="22"/>
        <v>48037891.944847323</v>
      </c>
      <c r="AQ69" s="152">
        <f t="shared" ca="1" si="22"/>
        <v>51880923.300435111</v>
      </c>
      <c r="AR69" s="152">
        <f t="shared" ca="1" si="22"/>
        <v>56031397.164469905</v>
      </c>
      <c r="AS69" s="152">
        <f t="shared" ca="1" si="22"/>
        <v>60513908.937627502</v>
      </c>
      <c r="AT69" s="152">
        <f t="shared" ca="1" si="22"/>
        <v>65355021.65263772</v>
      </c>
      <c r="AU69" s="152">
        <f t="shared" ca="1" si="22"/>
        <v>70583423.384848729</v>
      </c>
      <c r="AV69" s="152">
        <f t="shared" ca="1" si="22"/>
        <v>76230097.255636647</v>
      </c>
      <c r="AW69" s="152">
        <f t="shared" ca="1" si="22"/>
        <v>82328505.036087587</v>
      </c>
      <c r="AX69" s="152">
        <f t="shared" ca="1" si="22"/>
        <v>88914785.438974574</v>
      </c>
      <c r="AY69" s="152">
        <f t="shared" ca="1" si="22"/>
        <v>96027968.274092555</v>
      </c>
      <c r="AZ69" s="152">
        <f t="shared" ca="1" si="22"/>
        <v>103710205.73601997</v>
      </c>
      <c r="BA69" s="152">
        <f t="shared" ca="1" si="22"/>
        <v>112007022.19490159</v>
      </c>
      <c r="BB69" s="152">
        <f t="shared" ca="1" si="22"/>
        <v>120967583.9704937</v>
      </c>
      <c r="BC69" s="152">
        <f t="shared" ref="BC69:BF69" ca="1" si="23">SUM(BC57:BC68)</f>
        <v>130644990.68813318</v>
      </c>
      <c r="BD69" s="152">
        <f t="shared" ca="1" si="23"/>
        <v>141096589.94318387</v>
      </c>
      <c r="BE69" s="152">
        <f t="shared" ca="1" si="23"/>
        <v>152384317.13863859</v>
      </c>
      <c r="BF69" s="152">
        <f t="shared" ca="1" si="23"/>
        <v>164575062.50972965</v>
      </c>
    </row>
    <row r="72" spans="1:58" ht="18" x14ac:dyDescent="0.3">
      <c r="A72" s="557" t="s">
        <v>346</v>
      </c>
    </row>
    <row r="73" spans="1:58" x14ac:dyDescent="0.3">
      <c r="A73" s="100" t="str">
        <f t="shared" ref="A73:A85" si="24">A42</f>
        <v>Utilities</v>
      </c>
      <c r="B73" s="203">
        <f>B57*'HLV Calc'!$F$4</f>
        <v>297783.2</v>
      </c>
      <c r="C73" s="203">
        <f>C57*'HLV Calc'!$F$4</f>
        <v>321605.85600000003</v>
      </c>
      <c r="D73" s="203">
        <f>D57*'HLV Calc'!$F$4</f>
        <v>347334.32448000007</v>
      </c>
      <c r="E73" s="203">
        <f>E57*'HLV Calc'!$F$4</f>
        <v>375121.07043840009</v>
      </c>
      <c r="F73" s="203">
        <f>F57*'HLV Calc'!$F$4</f>
        <v>405130.75607347209</v>
      </c>
      <c r="G73" s="203">
        <f>G57*'HLV Calc'!$F$4</f>
        <v>437541.21655934985</v>
      </c>
      <c r="H73" s="203">
        <f>H57*'HLV Calc'!$F$4</f>
        <v>472544.51388409792</v>
      </c>
      <c r="I73" s="203">
        <f>I57*'HLV Calc'!$F$4</f>
        <v>510348.07499482576</v>
      </c>
      <c r="J73" s="203">
        <f>J57*'HLV Calc'!$F$4</f>
        <v>551175.9209944118</v>
      </c>
      <c r="K73" s="203">
        <f>K57*'HLV Calc'!$F$4</f>
        <v>595269.99467396492</v>
      </c>
      <c r="L73" s="203">
        <f>L57*'HLV Calc'!$F$4</f>
        <v>642891.59424788202</v>
      </c>
      <c r="M73" s="203">
        <f>M57*'HLV Calc'!$F$4</f>
        <v>694322.92178771261</v>
      </c>
      <c r="N73" s="203">
        <f>N57*'HLV Calc'!$F$4</f>
        <v>749868.75553072966</v>
      </c>
      <c r="O73" s="203">
        <f>O57*'HLV Calc'!$F$4</f>
        <v>809858.25597318809</v>
      </c>
      <c r="P73" s="203">
        <f>P57*'HLV Calc'!$F$4</f>
        <v>874646.91645104333</v>
      </c>
      <c r="Q73" s="203">
        <f>Q57*'HLV Calc'!$F$4</f>
        <v>944618.66976712691</v>
      </c>
      <c r="R73" s="203">
        <f>R57*'HLV Calc'!$F$4</f>
        <v>1020188.1633484969</v>
      </c>
      <c r="S73" s="203">
        <f>S57*'HLV Calc'!$F$4</f>
        <v>1101803.2164163766</v>
      </c>
      <c r="T73" s="203">
        <f>T57*'HLV Calc'!$F$4</f>
        <v>1189947.4737296868</v>
      </c>
      <c r="U73" s="203">
        <f>U57*'HLV Calc'!$F$4</f>
        <v>1285143.271628062</v>
      </c>
      <c r="V73" s="203">
        <f>V57*'HLV Calc'!$F$4</f>
        <v>1387954.7333583068</v>
      </c>
      <c r="W73" s="203">
        <f>W57*'HLV Calc'!$F$4</f>
        <v>1498991.1120269715</v>
      </c>
      <c r="X73" s="203">
        <f>X57*'HLV Calc'!$F$4</f>
        <v>1618910.4009891294</v>
      </c>
      <c r="Y73" s="203">
        <f>Y57*'HLV Calc'!$F$4</f>
        <v>1748423.2330682599</v>
      </c>
      <c r="Z73" s="203">
        <f>Z57*'HLV Calc'!$F$4</f>
        <v>1888297.0917137207</v>
      </c>
      <c r="AA73" s="203">
        <f>AA57*'HLV Calc'!$F$4</f>
        <v>2039360.8590508187</v>
      </c>
      <c r="AB73" s="203">
        <f>AB57*'HLV Calc'!$F$4</f>
        <v>2202509.7277748841</v>
      </c>
      <c r="AC73" s="203">
        <f>AC57*'HLV Calc'!$F$4</f>
        <v>2378710.5059968745</v>
      </c>
      <c r="AD73" s="203">
        <f>AD57*'HLV Calc'!$F$4</f>
        <v>2569007.3464766247</v>
      </c>
      <c r="AE73" s="203">
        <f>AE57*'HLV Calc'!$F$4</f>
        <v>2774527.9341947548</v>
      </c>
      <c r="AF73" s="203">
        <f>AF57*'HLV Calc'!$F$4</f>
        <v>2996490.1689303354</v>
      </c>
      <c r="AG73" s="203">
        <f>AG57*'HLV Calc'!$F$4</f>
        <v>3236209.3824447631</v>
      </c>
      <c r="AH73" s="203">
        <f>AH57*'HLV Calc'!$F$4</f>
        <v>3495106.1330403443</v>
      </c>
      <c r="AI73" s="203">
        <f>AI57*'HLV Calc'!$F$4</f>
        <v>3774714.6236835713</v>
      </c>
      <c r="AJ73" s="203">
        <f>AJ57*'HLV Calc'!$F$4</f>
        <v>4076691.7935782578</v>
      </c>
      <c r="AK73" s="203">
        <f>AK57*'HLV Calc'!$F$4</f>
        <v>4402827.1370645184</v>
      </c>
      <c r="AL73" s="203">
        <f>AL57*'HLV Calc'!$F$4</f>
        <v>4755053.3080296805</v>
      </c>
      <c r="AM73" s="203">
        <f>AM57*'HLV Calc'!$F$4</f>
        <v>5135457.5726720551</v>
      </c>
      <c r="AN73" s="203">
        <f>AN57*'HLV Calc'!$F$4</f>
        <v>5546294.1784858201</v>
      </c>
      <c r="AO73" s="203">
        <f>AO57*'HLV Calc'!$F$4</f>
        <v>5989997.712764685</v>
      </c>
      <c r="AP73" s="203">
        <f>AP57*'HLV Calc'!$F$4</f>
        <v>6469197.5297858603</v>
      </c>
      <c r="AQ73" s="203">
        <f>AQ57*'HLV Calc'!$F$4</f>
        <v>6986733.33216873</v>
      </c>
      <c r="AR73" s="203">
        <f>AR57*'HLV Calc'!$F$4</f>
        <v>7545671.9987422274</v>
      </c>
      <c r="AS73" s="203">
        <f>AS57*'HLV Calc'!$F$4</f>
        <v>8149325.7586416053</v>
      </c>
      <c r="AT73" s="203">
        <f>AT57*'HLV Calc'!$F$4</f>
        <v>8801271.8193329368</v>
      </c>
      <c r="AU73" s="203">
        <f>AU57*'HLV Calc'!$F$4</f>
        <v>9505373.5648795702</v>
      </c>
      <c r="AV73" s="203">
        <f>AV57*'HLV Calc'!$F$4</f>
        <v>10265803.450069938</v>
      </c>
      <c r="AW73" s="203">
        <f>AW57*'HLV Calc'!$F$4</f>
        <v>11087067.726075536</v>
      </c>
      <c r="AX73" s="203">
        <f>AX57*'HLV Calc'!$F$4</f>
        <v>11974033.144161575</v>
      </c>
      <c r="AY73" s="203">
        <f>AY57*'HLV Calc'!$F$4</f>
        <v>12931955.795694502</v>
      </c>
      <c r="AZ73" s="203">
        <f>AZ57*'HLV Calc'!$F$4</f>
        <v>13966512.259350061</v>
      </c>
      <c r="BA73" s="203">
        <f>BA57*'HLV Calc'!$F$4</f>
        <v>15083833.240098072</v>
      </c>
      <c r="BB73" s="203">
        <f>BB57*'HLV Calc'!$F$4</f>
        <v>16290539.899305917</v>
      </c>
      <c r="BC73" s="203">
        <f>BC57*'HLV Calc'!$F$4</f>
        <v>17593783.091250386</v>
      </c>
      <c r="BD73" s="203">
        <f>BD57*'HLV Calc'!$F$4</f>
        <v>19001285.738550421</v>
      </c>
      <c r="BE73" s="203">
        <f>BE57*'HLV Calc'!$F$4</f>
        <v>20521388.597634457</v>
      </c>
      <c r="BF73" s="203">
        <f>BF57*'HLV Calc'!$F$4</f>
        <v>22163099.685445216</v>
      </c>
    </row>
    <row r="74" spans="1:58" x14ac:dyDescent="0.3">
      <c r="A74" s="100" t="str">
        <f t="shared" si="24"/>
        <v>Personal Care</v>
      </c>
      <c r="B74" s="203">
        <f>B58*'HLV Calc'!$F$4</f>
        <v>257600</v>
      </c>
      <c r="C74" s="203">
        <f>C58*'HLV Calc'!$F$4</f>
        <v>278208</v>
      </c>
      <c r="D74" s="203">
        <f>D58*'HLV Calc'!$F$4</f>
        <v>300464.64000000007</v>
      </c>
      <c r="E74" s="203">
        <f>E58*'HLV Calc'!$F$4</f>
        <v>324501.81120000005</v>
      </c>
      <c r="F74" s="203">
        <f>F58*'HLV Calc'!$F$4</f>
        <v>350461.9560960001</v>
      </c>
      <c r="G74" s="203">
        <f>G58*'HLV Calc'!$F$4</f>
        <v>378498.91258368012</v>
      </c>
      <c r="H74" s="203">
        <f>H58*'HLV Calc'!$F$4</f>
        <v>408778.82559037459</v>
      </c>
      <c r="I74" s="203">
        <f>I58*'HLV Calc'!$F$4</f>
        <v>441481.13163760456</v>
      </c>
      <c r="J74" s="203">
        <f>J58*'HLV Calc'!$F$4</f>
        <v>476799.6221686129</v>
      </c>
      <c r="K74" s="203">
        <f>K58*'HLV Calc'!$F$4</f>
        <v>514943.59194210201</v>
      </c>
      <c r="L74" s="203">
        <f>L58*'HLV Calc'!$F$4</f>
        <v>556139.07929747016</v>
      </c>
      <c r="M74" s="203">
        <f>M58*'HLV Calc'!$F$4</f>
        <v>600630.2056412677</v>
      </c>
      <c r="N74" s="203">
        <f>N58*'HLV Calc'!$F$4</f>
        <v>648680.62209256925</v>
      </c>
      <c r="O74" s="203">
        <f>O58*'HLV Calc'!$F$4</f>
        <v>700575.07185997476</v>
      </c>
      <c r="P74" s="203">
        <f>P58*'HLV Calc'!$F$4</f>
        <v>756621.0776087729</v>
      </c>
      <c r="Q74" s="203">
        <f>Q58*'HLV Calc'!$F$4</f>
        <v>817150.76381747471</v>
      </c>
      <c r="R74" s="203">
        <f>R58*'HLV Calc'!$F$4</f>
        <v>882522.82492287271</v>
      </c>
      <c r="S74" s="203">
        <f>S58*'HLV Calc'!$F$4</f>
        <v>953124.65091670258</v>
      </c>
      <c r="T74" s="203">
        <f>T58*'HLV Calc'!$F$4</f>
        <v>1029374.6229900388</v>
      </c>
      <c r="U74" s="203">
        <f>U58*'HLV Calc'!$F$4</f>
        <v>1111724.5928292421</v>
      </c>
      <c r="V74" s="203">
        <f>V58*'HLV Calc'!$F$4</f>
        <v>1200662.5602555813</v>
      </c>
      <c r="W74" s="203">
        <f>W58*'HLV Calc'!$F$4</f>
        <v>1296715.565076028</v>
      </c>
      <c r="X74" s="203">
        <f>X58*'HLV Calc'!$F$4</f>
        <v>1400452.8102821105</v>
      </c>
      <c r="Y74" s="203">
        <f>Y58*'HLV Calc'!$F$4</f>
        <v>1512489.0351046792</v>
      </c>
      <c r="Z74" s="203">
        <f>Z58*'HLV Calc'!$F$4</f>
        <v>1633488.1579130536</v>
      </c>
      <c r="AA74" s="203">
        <f>AA58*'HLV Calc'!$F$4</f>
        <v>1764167.210546098</v>
      </c>
      <c r="AB74" s="203">
        <f>AB58*'HLV Calc'!$F$4</f>
        <v>1905300.5873897858</v>
      </c>
      <c r="AC74" s="203">
        <f>AC58*'HLV Calc'!$F$4</f>
        <v>2057724.6343809688</v>
      </c>
      <c r="AD74" s="203">
        <f>AD58*'HLV Calc'!$F$4</f>
        <v>2222342.6051314464</v>
      </c>
      <c r="AE74" s="203">
        <f>AE58*'HLV Calc'!$F$4</f>
        <v>2400130.0135419625</v>
      </c>
      <c r="AF74" s="203">
        <f>AF58*'HLV Calc'!$F$4</f>
        <v>2592140.4146253197</v>
      </c>
      <c r="AG74" s="203">
        <f>AG58*'HLV Calc'!$F$4</f>
        <v>2799511.6477953456</v>
      </c>
      <c r="AH74" s="203">
        <f>AH58*'HLV Calc'!$F$4</f>
        <v>3023472.5796189732</v>
      </c>
      <c r="AI74" s="203">
        <f>AI58*'HLV Calc'!$F$4</f>
        <v>3265350.3859884907</v>
      </c>
      <c r="AJ74" s="203">
        <f>AJ58*'HLV Calc'!$F$4</f>
        <v>3526578.41686757</v>
      </c>
      <c r="AK74" s="203">
        <f>AK58*'HLV Calc'!$F$4</f>
        <v>3808704.6902169767</v>
      </c>
      <c r="AL74" s="203">
        <f>AL58*'HLV Calc'!$F$4</f>
        <v>4113401.0654343353</v>
      </c>
      <c r="AM74" s="203">
        <f>AM58*'HLV Calc'!$F$4</f>
        <v>4442473.1506690821</v>
      </c>
      <c r="AN74" s="203">
        <f>AN58*'HLV Calc'!$F$4</f>
        <v>4797871.0027226089</v>
      </c>
      <c r="AO74" s="203">
        <f>AO58*'HLV Calc'!$F$4</f>
        <v>5181700.6829404179</v>
      </c>
      <c r="AP74" s="203">
        <f>AP58*'HLV Calc'!$F$4</f>
        <v>5596236.7375756511</v>
      </c>
      <c r="AQ74" s="203">
        <f>AQ58*'HLV Calc'!$F$4</f>
        <v>6043935.6765817041</v>
      </c>
      <c r="AR74" s="203">
        <f>AR58*'HLV Calc'!$F$4</f>
        <v>6527450.5307082394</v>
      </c>
      <c r="AS74" s="203">
        <f>AS58*'HLV Calc'!$F$4</f>
        <v>7049646.5731648989</v>
      </c>
      <c r="AT74" s="203">
        <f>AT58*'HLV Calc'!$F$4</f>
        <v>7613618.2990180925</v>
      </c>
      <c r="AU74" s="203">
        <f>AU58*'HLV Calc'!$F$4</f>
        <v>8222707.7629395388</v>
      </c>
      <c r="AV74" s="203">
        <f>AV58*'HLV Calc'!$F$4</f>
        <v>8880524.383974703</v>
      </c>
      <c r="AW74" s="203">
        <f>AW58*'HLV Calc'!$F$4</f>
        <v>9590966.3346926812</v>
      </c>
      <c r="AX74" s="203">
        <f>AX58*'HLV Calc'!$F$4</f>
        <v>10358243.641468093</v>
      </c>
      <c r="AY74" s="203">
        <f>AY58*'HLV Calc'!$F$4</f>
        <v>11186903.132785544</v>
      </c>
      <c r="AZ74" s="203">
        <f>AZ58*'HLV Calc'!$F$4</f>
        <v>12081855.383408388</v>
      </c>
      <c r="BA74" s="203">
        <f>BA58*'HLV Calc'!$F$4</f>
        <v>13048403.81408106</v>
      </c>
      <c r="BB74" s="203">
        <f>BB58*'HLV Calc'!$F$4</f>
        <v>14092276.119207544</v>
      </c>
      <c r="BC74" s="203">
        <f>BC58*'HLV Calc'!$F$4</f>
        <v>15219658.208744148</v>
      </c>
      <c r="BD74" s="203">
        <f>BD58*'HLV Calc'!$F$4</f>
        <v>16437230.86544368</v>
      </c>
      <c r="BE74" s="203">
        <f>BE58*'HLV Calc'!$F$4</f>
        <v>17752209.334679179</v>
      </c>
      <c r="BF74" s="203">
        <f>BF58*'HLV Calc'!$F$4</f>
        <v>19172386.081453513</v>
      </c>
    </row>
    <row r="75" spans="1:58" x14ac:dyDescent="0.3">
      <c r="A75" s="100" t="str">
        <f t="shared" si="24"/>
        <v>Housing</v>
      </c>
      <c r="B75" s="203">
        <f>B59*'HLV Calc'!$F$4</f>
        <v>78400</v>
      </c>
      <c r="C75" s="203">
        <f>C59*'HLV Calc'!$F$4</f>
        <v>84672</v>
      </c>
      <c r="D75" s="203">
        <f>D59*'HLV Calc'!$F$4</f>
        <v>91445.760000000009</v>
      </c>
      <c r="E75" s="203">
        <f>E59*'HLV Calc'!$F$4</f>
        <v>98761.420800000022</v>
      </c>
      <c r="F75" s="203">
        <f>F59*'HLV Calc'!$F$4</f>
        <v>106662.33446400003</v>
      </c>
      <c r="G75" s="203">
        <f>G59*'HLV Calc'!$F$4</f>
        <v>115195.32122112003</v>
      </c>
      <c r="H75" s="203">
        <f>H59*'HLV Calc'!$F$4</f>
        <v>124410.94691880966</v>
      </c>
      <c r="I75" s="203">
        <f>I59*'HLV Calc'!$F$4</f>
        <v>134363.82267231445</v>
      </c>
      <c r="J75" s="203">
        <f>J59*'HLV Calc'!$F$4</f>
        <v>145112.92848609958</v>
      </c>
      <c r="K75" s="203">
        <f>K59*'HLV Calc'!$F$4</f>
        <v>156721.96276498758</v>
      </c>
      <c r="L75" s="203">
        <f>L59*'HLV Calc'!$F$4</f>
        <v>169259.71978618659</v>
      </c>
      <c r="M75" s="203">
        <f>M59*'HLV Calc'!$F$4</f>
        <v>182800.49736908148</v>
      </c>
      <c r="N75" s="203">
        <f>N59*'HLV Calc'!$F$4</f>
        <v>197424.53715860803</v>
      </c>
      <c r="O75" s="203">
        <f>O59*'HLV Calc'!$F$4</f>
        <v>213218.50013129666</v>
      </c>
      <c r="P75" s="203">
        <f>P59*'HLV Calc'!$F$4</f>
        <v>230275.98014180048</v>
      </c>
      <c r="Q75" s="203">
        <f>Q59*'HLV Calc'!$F$4</f>
        <v>248698.05855314448</v>
      </c>
      <c r="R75" s="203">
        <f>R59*'HLV Calc'!$F$4</f>
        <v>268593.90323739609</v>
      </c>
      <c r="S75" s="203">
        <f>S59*'HLV Calc'!$F$4</f>
        <v>290081.41549638769</v>
      </c>
      <c r="T75" s="203">
        <f>T59*'HLV Calc'!$F$4</f>
        <v>313287.92873609875</v>
      </c>
      <c r="U75" s="203">
        <f>U59*'HLV Calc'!$F$4</f>
        <v>338350.96303498675</v>
      </c>
      <c r="V75" s="203">
        <f>V59*'HLV Calc'!$F$4</f>
        <v>365419.04007778567</v>
      </c>
      <c r="W75" s="203">
        <f>W59*'HLV Calc'!$F$4</f>
        <v>394652.56328400853</v>
      </c>
      <c r="X75" s="203">
        <f>X59*'HLV Calc'!$F$4</f>
        <v>426224.76834672922</v>
      </c>
      <c r="Y75" s="203">
        <f>Y59*'HLV Calc'!$F$4</f>
        <v>460322.74981446762</v>
      </c>
      <c r="Z75" s="203">
        <f>Z59*'HLV Calc'!$F$4</f>
        <v>497148.56979962508</v>
      </c>
      <c r="AA75" s="203">
        <f>AA59*'HLV Calc'!$F$4</f>
        <v>536920.45538359508</v>
      </c>
      <c r="AB75" s="203">
        <f>AB59*'HLV Calc'!$F$4</f>
        <v>579874.0918142827</v>
      </c>
      <c r="AC75" s="203">
        <f>AC59*'HLV Calc'!$F$4</f>
        <v>626264.01915942528</v>
      </c>
      <c r="AD75" s="203">
        <f>AD59*'HLV Calc'!$F$4</f>
        <v>676365.14069217932</v>
      </c>
      <c r="AE75" s="203">
        <f>AE59*'HLV Calc'!$F$4</f>
        <v>730474.35194755369</v>
      </c>
      <c r="AF75" s="203">
        <f>AF59*'HLV Calc'!$F$4</f>
        <v>788912.30010335811</v>
      </c>
      <c r="AG75" s="203">
        <f>AG59*'HLV Calc'!$F$4</f>
        <v>852025.28411162691</v>
      </c>
      <c r="AH75" s="203">
        <f>AH59*'HLV Calc'!$F$4</f>
        <v>920187.30684055714</v>
      </c>
      <c r="AI75" s="203">
        <f>AI59*'HLV Calc'!$F$4</f>
        <v>993802.29138780164</v>
      </c>
      <c r="AJ75" s="203">
        <f>AJ59*'HLV Calc'!$F$4</f>
        <v>1073306.4746988257</v>
      </c>
      <c r="AK75" s="203">
        <f>AK59*'HLV Calc'!$F$4</f>
        <v>1159170.9926747319</v>
      </c>
      <c r="AL75" s="203">
        <f>AL59*'HLV Calc'!$F$4</f>
        <v>1251904.6720887106</v>
      </c>
      <c r="AM75" s="203">
        <f>AM59*'HLV Calc'!$F$4</f>
        <v>1352057.0458558076</v>
      </c>
      <c r="AN75" s="203">
        <f>AN59*'HLV Calc'!$F$4</f>
        <v>1460221.6095242724</v>
      </c>
      <c r="AO75" s="203">
        <f>AO59*'HLV Calc'!$F$4</f>
        <v>1577039.338286214</v>
      </c>
      <c r="AP75" s="203">
        <f>AP59*'HLV Calc'!$F$4</f>
        <v>1703202.4853491113</v>
      </c>
      <c r="AQ75" s="203">
        <f>AQ59*'HLV Calc'!$F$4</f>
        <v>1839458.6841770404</v>
      </c>
      <c r="AR75" s="203">
        <f>AR59*'HLV Calc'!$F$4</f>
        <v>1986615.3789112032</v>
      </c>
      <c r="AS75" s="203">
        <f>AS59*'HLV Calc'!$F$4</f>
        <v>2145544.6092240997</v>
      </c>
      <c r="AT75" s="203">
        <f>AT59*'HLV Calc'!$F$4</f>
        <v>2317188.177962028</v>
      </c>
      <c r="AU75" s="203">
        <f>AU59*'HLV Calc'!$F$4</f>
        <v>2502563.23219899</v>
      </c>
      <c r="AV75" s="203">
        <f>AV59*'HLV Calc'!$F$4</f>
        <v>2702768.2907749098</v>
      </c>
      <c r="AW75" s="203">
        <f>AW59*'HLV Calc'!$F$4</f>
        <v>2918989.7540369034</v>
      </c>
      <c r="AX75" s="203">
        <f>AX59*'HLV Calc'!$F$4</f>
        <v>3152508.9343598546</v>
      </c>
      <c r="AY75" s="203">
        <f>AY59*'HLV Calc'!$F$4</f>
        <v>3404709.6491086432</v>
      </c>
      <c r="AZ75" s="203">
        <f>AZ59*'HLV Calc'!$F$4</f>
        <v>3677086.4210373349</v>
      </c>
      <c r="BA75" s="203">
        <f>BA59*'HLV Calc'!$F$4</f>
        <v>3971253.3347203229</v>
      </c>
      <c r="BB75" s="203">
        <f>BB59*'HLV Calc'!$F$4</f>
        <v>4288953.6014979482</v>
      </c>
      <c r="BC75" s="203">
        <f>BC59*'HLV Calc'!$F$4</f>
        <v>4632069.8896177839</v>
      </c>
      <c r="BD75" s="203">
        <f>BD59*'HLV Calc'!$F$4</f>
        <v>5002635.4807872074</v>
      </c>
      <c r="BE75" s="203">
        <f>BE59*'HLV Calc'!$F$4</f>
        <v>5402846.319250185</v>
      </c>
      <c r="BF75" s="203">
        <f>BF59*'HLV Calc'!$F$4</f>
        <v>5835074.0247901985</v>
      </c>
    </row>
    <row r="76" spans="1:58" x14ac:dyDescent="0.3">
      <c r="A76" s="100" t="str">
        <f t="shared" si="24"/>
        <v>Food</v>
      </c>
      <c r="B76" s="203">
        <f>B60*'HLV Calc'!$F$4</f>
        <v>246400</v>
      </c>
      <c r="C76" s="203">
        <f>C60*'HLV Calc'!$F$4</f>
        <v>266112</v>
      </c>
      <c r="D76" s="203">
        <f>D60*'HLV Calc'!$F$4</f>
        <v>287400.96000000002</v>
      </c>
      <c r="E76" s="203">
        <f>E60*'HLV Calc'!$F$4</f>
        <v>310393.03680000006</v>
      </c>
      <c r="F76" s="203">
        <f>F60*'HLV Calc'!$F$4</f>
        <v>335224.47974400013</v>
      </c>
      <c r="G76" s="203">
        <f>G60*'HLV Calc'!$F$4</f>
        <v>362042.43812352011</v>
      </c>
      <c r="H76" s="203">
        <f>H60*'HLV Calc'!$F$4</f>
        <v>391005.83317340177</v>
      </c>
      <c r="I76" s="203">
        <f>I60*'HLV Calc'!$F$4</f>
        <v>422286.29982727394</v>
      </c>
      <c r="J76" s="203">
        <f>J60*'HLV Calc'!$F$4</f>
        <v>456069.20381345582</v>
      </c>
      <c r="K76" s="203">
        <f>K60*'HLV Calc'!$F$4</f>
        <v>492554.74011853238</v>
      </c>
      <c r="L76" s="203">
        <f>L60*'HLV Calc'!$F$4</f>
        <v>531959.1193280149</v>
      </c>
      <c r="M76" s="203">
        <f>M60*'HLV Calc'!$F$4</f>
        <v>574515.84887425613</v>
      </c>
      <c r="N76" s="203">
        <f>N60*'HLV Calc'!$F$4</f>
        <v>620477.1167841967</v>
      </c>
      <c r="O76" s="203">
        <f>O60*'HLV Calc'!$F$4</f>
        <v>670115.28612693236</v>
      </c>
      <c r="P76" s="203">
        <f>P60*'HLV Calc'!$F$4</f>
        <v>723724.50901708705</v>
      </c>
      <c r="Q76" s="203">
        <f>Q60*'HLV Calc'!$F$4</f>
        <v>781622.46973845409</v>
      </c>
      <c r="R76" s="203">
        <f>R60*'HLV Calc'!$F$4</f>
        <v>844152.26731753035</v>
      </c>
      <c r="S76" s="203">
        <f>S60*'HLV Calc'!$F$4</f>
        <v>911684.44870293292</v>
      </c>
      <c r="T76" s="203">
        <f>T60*'HLV Calc'!$F$4</f>
        <v>984619.20459916769</v>
      </c>
      <c r="U76" s="203">
        <f>U60*'HLV Calc'!$F$4</f>
        <v>1063388.7409671012</v>
      </c>
      <c r="V76" s="203">
        <f>V60*'HLV Calc'!$F$4</f>
        <v>1148459.840244469</v>
      </c>
      <c r="W76" s="203">
        <f>W60*'HLV Calc'!$F$4</f>
        <v>1240336.6274640269</v>
      </c>
      <c r="X76" s="203">
        <f>X60*'HLV Calc'!$F$4</f>
        <v>1339563.5576611492</v>
      </c>
      <c r="Y76" s="203">
        <f>Y60*'HLV Calc'!$F$4</f>
        <v>1446728.642274041</v>
      </c>
      <c r="Z76" s="203">
        <f>Z60*'HLV Calc'!$F$4</f>
        <v>1562466.9336559642</v>
      </c>
      <c r="AA76" s="203">
        <f>AA60*'HLV Calc'!$F$4</f>
        <v>1687464.2883484417</v>
      </c>
      <c r="AB76" s="203">
        <f>AB60*'HLV Calc'!$F$4</f>
        <v>1822461.4314163169</v>
      </c>
      <c r="AC76" s="203">
        <f>AC60*'HLV Calc'!$F$4</f>
        <v>1968258.3459296224</v>
      </c>
      <c r="AD76" s="203">
        <f>AD60*'HLV Calc'!$F$4</f>
        <v>2125719.0136039923</v>
      </c>
      <c r="AE76" s="203">
        <f>AE60*'HLV Calc'!$F$4</f>
        <v>2295776.5346923117</v>
      </c>
      <c r="AF76" s="203">
        <f>AF60*'HLV Calc'!$F$4</f>
        <v>2479438.6574676968</v>
      </c>
      <c r="AG76" s="203">
        <f>AG60*'HLV Calc'!$F$4</f>
        <v>2677793.750065113</v>
      </c>
      <c r="AH76" s="203">
        <f>AH60*'HLV Calc'!$F$4</f>
        <v>2892017.2500703223</v>
      </c>
      <c r="AI76" s="203">
        <f>AI60*'HLV Calc'!$F$4</f>
        <v>3123378.6300759478</v>
      </c>
      <c r="AJ76" s="203">
        <f>AJ60*'HLV Calc'!$F$4</f>
        <v>3373248.9204820241</v>
      </c>
      <c r="AK76" s="203">
        <f>AK60*'HLV Calc'!$F$4</f>
        <v>3643108.834120586</v>
      </c>
      <c r="AL76" s="203">
        <f>AL60*'HLV Calc'!$F$4</f>
        <v>3934557.5408502333</v>
      </c>
      <c r="AM76" s="203">
        <f>AM60*'HLV Calc'!$F$4</f>
        <v>4249322.1441182522</v>
      </c>
      <c r="AN76" s="203">
        <f>AN60*'HLV Calc'!$F$4</f>
        <v>4589267.9156477125</v>
      </c>
      <c r="AO76" s="203">
        <f>AO60*'HLV Calc'!$F$4</f>
        <v>4956409.3488995302</v>
      </c>
      <c r="AP76" s="203">
        <f>AP60*'HLV Calc'!$F$4</f>
        <v>5352922.096811492</v>
      </c>
      <c r="AQ76" s="203">
        <f>AQ60*'HLV Calc'!$F$4</f>
        <v>5781155.8645564131</v>
      </c>
      <c r="AR76" s="203">
        <f>AR60*'HLV Calc'!$F$4</f>
        <v>6243648.3337209253</v>
      </c>
      <c r="AS76" s="203">
        <f>AS60*'HLV Calc'!$F$4</f>
        <v>6743140.2004185989</v>
      </c>
      <c r="AT76" s="203">
        <f>AT60*'HLV Calc'!$F$4</f>
        <v>7282591.4164520875</v>
      </c>
      <c r="AU76" s="203">
        <f>AU60*'HLV Calc'!$F$4</f>
        <v>7865198.7297682539</v>
      </c>
      <c r="AV76" s="203">
        <f>AV60*'HLV Calc'!$F$4</f>
        <v>8494414.6281497162</v>
      </c>
      <c r="AW76" s="203">
        <f>AW60*'HLV Calc'!$F$4</f>
        <v>9173967.7984016947</v>
      </c>
      <c r="AX76" s="203">
        <f>AX60*'HLV Calc'!$F$4</f>
        <v>9907885.2222738285</v>
      </c>
      <c r="AY76" s="203">
        <f>AY60*'HLV Calc'!$F$4</f>
        <v>10700516.040055737</v>
      </c>
      <c r="AZ76" s="203">
        <f>AZ60*'HLV Calc'!$F$4</f>
        <v>11556557.323260196</v>
      </c>
      <c r="BA76" s="203">
        <f>BA60*'HLV Calc'!$F$4</f>
        <v>12481081.909121014</v>
      </c>
      <c r="BB76" s="203">
        <f>BB60*'HLV Calc'!$F$4</f>
        <v>13479568.461850695</v>
      </c>
      <c r="BC76" s="203">
        <f>BC60*'HLV Calc'!$F$4</f>
        <v>14557933.93879875</v>
      </c>
      <c r="BD76" s="203">
        <f>BD60*'HLV Calc'!$F$4</f>
        <v>15722568.65390265</v>
      </c>
      <c r="BE76" s="203">
        <f>BE60*'HLV Calc'!$F$4</f>
        <v>16980374.146214865</v>
      </c>
      <c r="BF76" s="203">
        <f>BF60*'HLV Calc'!$F$4</f>
        <v>18338804.077912055</v>
      </c>
    </row>
    <row r="77" spans="1:58" x14ac:dyDescent="0.3">
      <c r="A77" s="100" t="str">
        <f t="shared" si="24"/>
        <v>Health</v>
      </c>
      <c r="B77" s="203">
        <f>B61*'HLV Calc'!$F$4</f>
        <v>162400</v>
      </c>
      <c r="C77" s="203">
        <f>C61*'HLV Calc'!$F$4</f>
        <v>175392</v>
      </c>
      <c r="D77" s="203">
        <f>D61*'HLV Calc'!$F$4</f>
        <v>189423.36000000002</v>
      </c>
      <c r="E77" s="203">
        <f>E61*'HLV Calc'!$F$4</f>
        <v>204577.22880000004</v>
      </c>
      <c r="F77" s="203">
        <f>F61*'HLV Calc'!$F$4</f>
        <v>220943.40710400004</v>
      </c>
      <c r="G77" s="203">
        <f>G61*'HLV Calc'!$F$4</f>
        <v>238618.87967232006</v>
      </c>
      <c r="H77" s="203">
        <f>H61*'HLV Calc'!$F$4</f>
        <v>257708.39004610569</v>
      </c>
      <c r="I77" s="203">
        <f>I61*'HLV Calc'!$F$4</f>
        <v>278325.06124979415</v>
      </c>
      <c r="J77" s="203">
        <f>J61*'HLV Calc'!$F$4</f>
        <v>300591.06614977767</v>
      </c>
      <c r="K77" s="203">
        <f>K61*'HLV Calc'!$F$4</f>
        <v>324638.35144175997</v>
      </c>
      <c r="L77" s="203">
        <f>L61*'HLV Calc'!$F$4</f>
        <v>350609.41955710074</v>
      </c>
      <c r="M77" s="203">
        <f>M61*'HLV Calc'!$F$4</f>
        <v>378658.17312166881</v>
      </c>
      <c r="N77" s="203">
        <f>N61*'HLV Calc'!$F$4</f>
        <v>408950.82697140239</v>
      </c>
      <c r="O77" s="203">
        <f>O61*'HLV Calc'!$F$4</f>
        <v>441666.89312911453</v>
      </c>
      <c r="P77" s="203">
        <f>P61*'HLV Calc'!$F$4</f>
        <v>477000.24457944382</v>
      </c>
      <c r="Q77" s="203">
        <f>Q61*'HLV Calc'!$F$4</f>
        <v>515160.26414579927</v>
      </c>
      <c r="R77" s="203">
        <f>R61*'HLV Calc'!$F$4</f>
        <v>556373.08527746319</v>
      </c>
      <c r="S77" s="203">
        <f>S61*'HLV Calc'!$F$4</f>
        <v>600882.93209966028</v>
      </c>
      <c r="T77" s="203">
        <f>T61*'HLV Calc'!$F$4</f>
        <v>648953.56666763325</v>
      </c>
      <c r="U77" s="203">
        <f>U61*'HLV Calc'!$F$4</f>
        <v>700869.85200104397</v>
      </c>
      <c r="V77" s="203">
        <f>V61*'HLV Calc'!$F$4</f>
        <v>756939.44016112748</v>
      </c>
      <c r="W77" s="203">
        <f>W61*'HLV Calc'!$F$4</f>
        <v>817494.5953740176</v>
      </c>
      <c r="X77" s="203">
        <f>X61*'HLV Calc'!$F$4</f>
        <v>882894.1630039392</v>
      </c>
      <c r="Y77" s="203">
        <f>Y61*'HLV Calc'!$F$4</f>
        <v>953525.69604425435</v>
      </c>
      <c r="Z77" s="203">
        <f>Z61*'HLV Calc'!$F$4</f>
        <v>1029807.7517277948</v>
      </c>
      <c r="AA77" s="203">
        <f>AA61*'HLV Calc'!$F$4</f>
        <v>1112192.3718660183</v>
      </c>
      <c r="AB77" s="203">
        <f>AB61*'HLV Calc'!$F$4</f>
        <v>1201167.7616152999</v>
      </c>
      <c r="AC77" s="203">
        <f>AC61*'HLV Calc'!$F$4</f>
        <v>1297261.1825445239</v>
      </c>
      <c r="AD77" s="203">
        <f>AD61*'HLV Calc'!$F$4</f>
        <v>1401042.0771480857</v>
      </c>
      <c r="AE77" s="203">
        <f>AE61*'HLV Calc'!$F$4</f>
        <v>1513125.4433199326</v>
      </c>
      <c r="AF77" s="203">
        <f>AF61*'HLV Calc'!$F$4</f>
        <v>1634175.4787855276</v>
      </c>
      <c r="AG77" s="203">
        <f>AG61*'HLV Calc'!$F$4</f>
        <v>1764909.5170883702</v>
      </c>
      <c r="AH77" s="203">
        <f>AH61*'HLV Calc'!$F$4</f>
        <v>1906102.2784554397</v>
      </c>
      <c r="AI77" s="203">
        <f>AI61*'HLV Calc'!$F$4</f>
        <v>2058590.4607318749</v>
      </c>
      <c r="AJ77" s="203">
        <f>AJ61*'HLV Calc'!$F$4</f>
        <v>2223277.6975904247</v>
      </c>
      <c r="AK77" s="203">
        <f>AK61*'HLV Calc'!$F$4</f>
        <v>2401139.9133976591</v>
      </c>
      <c r="AL77" s="203">
        <f>AL61*'HLV Calc'!$F$4</f>
        <v>2593231.1064694724</v>
      </c>
      <c r="AM77" s="203">
        <f>AM61*'HLV Calc'!$F$4</f>
        <v>2800689.5949870297</v>
      </c>
      <c r="AN77" s="203">
        <f>AN61*'HLV Calc'!$F$4</f>
        <v>3024744.7625859925</v>
      </c>
      <c r="AO77" s="203">
        <f>AO61*'HLV Calc'!$F$4</f>
        <v>3266724.3435928719</v>
      </c>
      <c r="AP77" s="203">
        <f>AP61*'HLV Calc'!$F$4</f>
        <v>3528062.2910803021</v>
      </c>
      <c r="AQ77" s="203">
        <f>AQ61*'HLV Calc'!$F$4</f>
        <v>3810307.2743667262</v>
      </c>
      <c r="AR77" s="203">
        <f>AR61*'HLV Calc'!$F$4</f>
        <v>4115131.8563160636</v>
      </c>
      <c r="AS77" s="203">
        <f>AS61*'HLV Calc'!$F$4</f>
        <v>4444342.4048213493</v>
      </c>
      <c r="AT77" s="203">
        <f>AT61*'HLV Calc'!$F$4</f>
        <v>4799889.7972070584</v>
      </c>
      <c r="AU77" s="203">
        <f>AU61*'HLV Calc'!$F$4</f>
        <v>5183880.9809836224</v>
      </c>
      <c r="AV77" s="203">
        <f>AV61*'HLV Calc'!$F$4</f>
        <v>5598591.459462313</v>
      </c>
      <c r="AW77" s="203">
        <f>AW61*'HLV Calc'!$F$4</f>
        <v>6046478.7762192991</v>
      </c>
      <c r="AX77" s="203">
        <f>AX61*'HLV Calc'!$F$4</f>
        <v>6530197.0783168413</v>
      </c>
      <c r="AY77" s="203">
        <f>AY61*'HLV Calc'!$F$4</f>
        <v>7052612.8445821898</v>
      </c>
      <c r="AZ77" s="203">
        <f>AZ61*'HLV Calc'!$F$4</f>
        <v>7616821.8721487662</v>
      </c>
      <c r="BA77" s="203">
        <f>BA61*'HLV Calc'!$F$4</f>
        <v>8226167.6219206676</v>
      </c>
      <c r="BB77" s="203">
        <f>BB61*'HLV Calc'!$F$4</f>
        <v>8884261.0316743217</v>
      </c>
      <c r="BC77" s="203">
        <f>BC61*'HLV Calc'!$F$4</f>
        <v>9595001.9142082669</v>
      </c>
      <c r="BD77" s="203">
        <f>BD61*'HLV Calc'!$F$4</f>
        <v>10362602.06734493</v>
      </c>
      <c r="BE77" s="203">
        <f>BE61*'HLV Calc'!$F$4</f>
        <v>11191610.232732525</v>
      </c>
      <c r="BF77" s="203">
        <f>BF61*'HLV Calc'!$F$4</f>
        <v>12086939.051351126</v>
      </c>
    </row>
    <row r="78" spans="1:58" x14ac:dyDescent="0.3">
      <c r="A78" s="100" t="str">
        <f t="shared" si="24"/>
        <v>Family Care &amp; Donations</v>
      </c>
      <c r="B78" s="203">
        <f>B62*'HLV Calc'!$F$4</f>
        <v>600000</v>
      </c>
      <c r="C78" s="203">
        <f>C62*'HLV Calc'!$F$4</f>
        <v>648000</v>
      </c>
      <c r="D78" s="203">
        <f>D62*'HLV Calc'!$F$4</f>
        <v>699840.00000000012</v>
      </c>
      <c r="E78" s="203">
        <f>E62*'HLV Calc'!$F$4</f>
        <v>755827.20000000019</v>
      </c>
      <c r="F78" s="203">
        <f>F62*'HLV Calc'!$F$4</f>
        <v>816293.37600000016</v>
      </c>
      <c r="G78" s="203">
        <f>G62*'HLV Calc'!$F$4</f>
        <v>881596.84608000016</v>
      </c>
      <c r="H78" s="203">
        <f>H62*'HLV Calc'!$F$4</f>
        <v>952124.59376640047</v>
      </c>
      <c r="I78" s="203">
        <f>I62*'HLV Calc'!$F$4</f>
        <v>274211.88300472329</v>
      </c>
      <c r="J78" s="203">
        <f>J62*'HLV Calc'!$F$4</f>
        <v>296148.83364510117</v>
      </c>
      <c r="K78" s="203">
        <f>K62*'HLV Calc'!$F$4</f>
        <v>319840.74033670931</v>
      </c>
      <c r="L78" s="203">
        <f>L62*'HLV Calc'!$F$4</f>
        <v>345427.99956364604</v>
      </c>
      <c r="M78" s="203">
        <f>M62*'HLV Calc'!$F$4</f>
        <v>373062.23952873773</v>
      </c>
      <c r="N78" s="203">
        <f>N62*'HLV Calc'!$F$4</f>
        <v>402907.2186910368</v>
      </c>
      <c r="O78" s="203">
        <f>O62*'HLV Calc'!$F$4</f>
        <v>435139.79618631979</v>
      </c>
      <c r="P78" s="203">
        <f>P62*'HLV Calc'!$F$4</f>
        <v>469950.97988122539</v>
      </c>
      <c r="Q78" s="203">
        <f>Q62*'HLV Calc'!$F$4</f>
        <v>507547.05827172345</v>
      </c>
      <c r="R78" s="203">
        <f>R62*'HLV Calc'!$F$4</f>
        <v>548150.8229334614</v>
      </c>
      <c r="S78" s="203">
        <f>S62*'HLV Calc'!$F$4</f>
        <v>592002.88876813825</v>
      </c>
      <c r="T78" s="203">
        <f>T62*'HLV Calc'!$F$4</f>
        <v>639363.11986958934</v>
      </c>
      <c r="U78" s="203">
        <f>U62*'HLV Calc'!$F$4</f>
        <v>690512.16945915669</v>
      </c>
      <c r="V78" s="203">
        <f>V62*'HLV Calc'!$F$4</f>
        <v>745753.1430158891</v>
      </c>
      <c r="W78" s="203">
        <f>W62*'HLV Calc'!$F$4</f>
        <v>805413.39445716026</v>
      </c>
      <c r="X78" s="203">
        <f>X62*'HLV Calc'!$F$4</f>
        <v>869846.46601373318</v>
      </c>
      <c r="Y78" s="203">
        <f>Y62*'HLV Calc'!$F$4</f>
        <v>939434.18329483178</v>
      </c>
      <c r="Z78" s="203">
        <f>Z62*'HLV Calc'!$F$4</f>
        <v>1014588.9179584184</v>
      </c>
      <c r="AA78" s="203">
        <f>AA62*'HLV Calc'!$F$4</f>
        <v>1095756.0313950921</v>
      </c>
      <c r="AB78" s="203">
        <f>AB62*'HLV Calc'!$F$4</f>
        <v>1183416.5139066994</v>
      </c>
      <c r="AC78" s="203">
        <f>AC62*'HLV Calc'!$F$4</f>
        <v>1278089.8350192353</v>
      </c>
      <c r="AD78" s="203">
        <f>AD62*'HLV Calc'!$F$4</f>
        <v>1380337.0218207743</v>
      </c>
      <c r="AE78" s="203">
        <f>AE62*'HLV Calc'!$F$4</f>
        <v>1490763.9835664362</v>
      </c>
      <c r="AF78" s="203">
        <f>AF62*'HLV Calc'!$F$4</f>
        <v>1610025.1022517513</v>
      </c>
      <c r="AG78" s="203">
        <f>AG62*'HLV Calc'!$F$4</f>
        <v>1738827.1104318914</v>
      </c>
      <c r="AH78" s="203">
        <f>AH62*'HLV Calc'!$F$4</f>
        <v>1408449.9594498323</v>
      </c>
      <c r="AI78" s="203">
        <f>AI62*'HLV Calc'!$F$4</f>
        <v>1521125.9562058188</v>
      </c>
      <c r="AJ78" s="203">
        <f>AJ62*'HLV Calc'!$F$4</f>
        <v>1642816.0327022844</v>
      </c>
      <c r="AK78" s="203">
        <f>AK62*'HLV Calc'!$F$4</f>
        <v>1774241.3153184671</v>
      </c>
      <c r="AL78" s="203">
        <f>AL62*'HLV Calc'!$F$4</f>
        <v>1916180.6205439449</v>
      </c>
      <c r="AM78" s="203">
        <f>AM62*'HLV Calc'!$F$4</f>
        <v>2069475.0701874604</v>
      </c>
      <c r="AN78" s="203">
        <f>AN62*'HLV Calc'!$F$4</f>
        <v>2235033.0758024575</v>
      </c>
      <c r="AO78" s="203">
        <f>AO62*'HLV Calc'!$F$4</f>
        <v>2413835.7218666538</v>
      </c>
      <c r="AP78" s="203">
        <f>AP62*'HLV Calc'!$F$4</f>
        <v>2606942.5796159864</v>
      </c>
      <c r="AQ78" s="203">
        <f>AQ62*'HLV Calc'!$F$4</f>
        <v>2815497.985985266</v>
      </c>
      <c r="AR78" s="203">
        <f>AR62*'HLV Calc'!$F$4</f>
        <v>3040737.8248640867</v>
      </c>
      <c r="AS78" s="203">
        <f>AS62*'HLV Calc'!$F$4</f>
        <v>3283996.850853214</v>
      </c>
      <c r="AT78" s="203">
        <f>AT62*'HLV Calc'!$F$4</f>
        <v>3546716.5989214713</v>
      </c>
      <c r="AU78" s="203">
        <f>AU62*'HLV Calc'!$F$4</f>
        <v>3830453.9268351891</v>
      </c>
      <c r="AV78" s="203">
        <f>AV62*'HLV Calc'!$F$4</f>
        <v>4136890.2409820044</v>
      </c>
      <c r="AW78" s="203">
        <f>AW62*'HLV Calc'!$F$4</f>
        <v>4467841.4602605654</v>
      </c>
      <c r="AX78" s="203">
        <f>AX62*'HLV Calc'!$F$4</f>
        <v>4825268.7770814104</v>
      </c>
      <c r="AY78" s="203">
        <f>AY62*'HLV Calc'!$F$4</f>
        <v>5211290.2792479238</v>
      </c>
      <c r="AZ78" s="203">
        <f>AZ62*'HLV Calc'!$F$4</f>
        <v>5628193.5015877578</v>
      </c>
      <c r="BA78" s="203">
        <f>BA62*'HLV Calc'!$F$4</f>
        <v>6078448.9817147795</v>
      </c>
      <c r="BB78" s="203">
        <f>BB62*'HLV Calc'!$F$4</f>
        <v>6564724.9002519613</v>
      </c>
      <c r="BC78" s="203">
        <f>BC62*'HLV Calc'!$F$4</f>
        <v>7089902.8922721185</v>
      </c>
      <c r="BD78" s="203">
        <f>BD62*'HLV Calc'!$F$4</f>
        <v>7657095.1236538887</v>
      </c>
      <c r="BE78" s="203">
        <f>BE62*'HLV Calc'!$F$4</f>
        <v>8269662.7335462011</v>
      </c>
      <c r="BF78" s="203">
        <f>BF62*'HLV Calc'!$F$4</f>
        <v>8931235.7522298973</v>
      </c>
    </row>
    <row r="79" spans="1:58" x14ac:dyDescent="0.3">
      <c r="A79" s="100" t="str">
        <f t="shared" si="24"/>
        <v>Transportation</v>
      </c>
      <c r="B79" s="203">
        <f>B63*'HLV Calc'!$F$4</f>
        <v>147200</v>
      </c>
      <c r="C79" s="203">
        <f>C63*'HLV Calc'!$F$4</f>
        <v>158976</v>
      </c>
      <c r="D79" s="203">
        <f>D63*'HLV Calc'!$F$4</f>
        <v>171694.08000000002</v>
      </c>
      <c r="E79" s="203">
        <f>E63*'HLV Calc'!$F$4</f>
        <v>185429.60640000005</v>
      </c>
      <c r="F79" s="203">
        <f>F63*'HLV Calc'!$F$4</f>
        <v>200263.97491200006</v>
      </c>
      <c r="G79" s="203">
        <f>G63*'HLV Calc'!$F$4</f>
        <v>216285.09290496004</v>
      </c>
      <c r="H79" s="203">
        <f>H63*'HLV Calc'!$F$4</f>
        <v>233587.9003373569</v>
      </c>
      <c r="I79" s="203">
        <f>I63*'HLV Calc'!$F$4</f>
        <v>252274.93236434544</v>
      </c>
      <c r="J79" s="203">
        <f>J63*'HLV Calc'!$F$4</f>
        <v>272456.92695349309</v>
      </c>
      <c r="K79" s="203">
        <f>K63*'HLV Calc'!$F$4</f>
        <v>294253.48110977252</v>
      </c>
      <c r="L79" s="203">
        <f>L63*'HLV Calc'!$F$4</f>
        <v>317793.75959855434</v>
      </c>
      <c r="M79" s="203">
        <f>M63*'HLV Calc'!$F$4</f>
        <v>343217.26036643871</v>
      </c>
      <c r="N79" s="203">
        <f>N63*'HLV Calc'!$F$4</f>
        <v>370674.64119575382</v>
      </c>
      <c r="O79" s="203">
        <f>O63*'HLV Calc'!$F$4</f>
        <v>400328.61249141418</v>
      </c>
      <c r="P79" s="203">
        <f>P63*'HLV Calc'!$F$4</f>
        <v>432354.90149072738</v>
      </c>
      <c r="Q79" s="203">
        <f>Q63*'HLV Calc'!$F$4</f>
        <v>466943.29360998556</v>
      </c>
      <c r="R79" s="203">
        <f>R63*'HLV Calc'!$F$4</f>
        <v>504298.75709878444</v>
      </c>
      <c r="S79" s="203">
        <f>S63*'HLV Calc'!$F$4</f>
        <v>544642.65766668727</v>
      </c>
      <c r="T79" s="203">
        <f>T63*'HLV Calc'!$F$4</f>
        <v>588214.07028002222</v>
      </c>
      <c r="U79" s="203">
        <f>U63*'HLV Calc'!$F$4</f>
        <v>635271.19590242405</v>
      </c>
      <c r="V79" s="203">
        <f>V63*'HLV Calc'!$F$4</f>
        <v>686092.89157461794</v>
      </c>
      <c r="W79" s="203">
        <f>W63*'HLV Calc'!$F$4</f>
        <v>740980.32290058746</v>
      </c>
      <c r="X79" s="203">
        <f>X63*'HLV Calc'!$F$4</f>
        <v>800258.74873263447</v>
      </c>
      <c r="Y79" s="203">
        <f>Y63*'HLV Calc'!$F$4</f>
        <v>864279.44863124529</v>
      </c>
      <c r="Z79" s="203">
        <f>Z63*'HLV Calc'!$F$4</f>
        <v>933421.80452174495</v>
      </c>
      <c r="AA79" s="203">
        <f>AA63*'HLV Calc'!$F$4</f>
        <v>1008095.5488834847</v>
      </c>
      <c r="AB79" s="203">
        <f>AB63*'HLV Calc'!$F$4</f>
        <v>1088743.1927941635</v>
      </c>
      <c r="AC79" s="203">
        <f>AC63*'HLV Calc'!$F$4</f>
        <v>1175842.6482176965</v>
      </c>
      <c r="AD79" s="203">
        <f>AD63*'HLV Calc'!$F$4</f>
        <v>1269910.0600751122</v>
      </c>
      <c r="AE79" s="203">
        <f>AE63*'HLV Calc'!$F$4</f>
        <v>1371502.8648811213</v>
      </c>
      <c r="AF79" s="203">
        <f>AF63*'HLV Calc'!$F$4</f>
        <v>1481223.0940716111</v>
      </c>
      <c r="AG79" s="203">
        <f>AG63*'HLV Calc'!$F$4</f>
        <v>1599720.9415973402</v>
      </c>
      <c r="AH79" s="203">
        <f>AH63*'HLV Calc'!$F$4</f>
        <v>1727698.6169251276</v>
      </c>
      <c r="AI79" s="203">
        <f>AI63*'HLV Calc'!$F$4</f>
        <v>1865914.5062791379</v>
      </c>
      <c r="AJ79" s="203">
        <f>AJ63*'HLV Calc'!$F$4</f>
        <v>2015187.6667814688</v>
      </c>
      <c r="AK79" s="203">
        <f>AK63*'HLV Calc'!$F$4</f>
        <v>2176402.6801239862</v>
      </c>
      <c r="AL79" s="203">
        <f>AL63*'HLV Calc'!$F$4</f>
        <v>2350514.8945339057</v>
      </c>
      <c r="AM79" s="203">
        <f>AM63*'HLV Calc'!$F$4</f>
        <v>2538556.0860966183</v>
      </c>
      <c r="AN79" s="203">
        <f>AN63*'HLV Calc'!$F$4</f>
        <v>2741640.5729843481</v>
      </c>
      <c r="AO79" s="203">
        <f>AO63*'HLV Calc'!$F$4</f>
        <v>2960971.8188230959</v>
      </c>
      <c r="AP79" s="203">
        <f>AP63*'HLV Calc'!$F$4</f>
        <v>3197849.5643289438</v>
      </c>
      <c r="AQ79" s="203">
        <f>AQ63*'HLV Calc'!$F$4</f>
        <v>3453677.5294752591</v>
      </c>
      <c r="AR79" s="203">
        <f>AR63*'HLV Calc'!$F$4</f>
        <v>3729971.7318332801</v>
      </c>
      <c r="AS79" s="203">
        <f>AS63*'HLV Calc'!$F$4</f>
        <v>4028369.4703799421</v>
      </c>
      <c r="AT79" s="203">
        <f>AT63*'HLV Calc'!$F$4</f>
        <v>4350639.0280103376</v>
      </c>
      <c r="AU79" s="203">
        <f>AU63*'HLV Calc'!$F$4</f>
        <v>4698690.150251165</v>
      </c>
      <c r="AV79" s="203">
        <f>AV63*'HLV Calc'!$F$4</f>
        <v>5074585.3622712595</v>
      </c>
      <c r="AW79" s="203">
        <f>AW63*'HLV Calc'!$F$4</f>
        <v>5480552.1912529608</v>
      </c>
      <c r="AX79" s="203">
        <f>AX63*'HLV Calc'!$F$4</f>
        <v>5918996.3665531967</v>
      </c>
      <c r="AY79" s="203">
        <f>AY63*'HLV Calc'!$F$4</f>
        <v>6392516.0758774532</v>
      </c>
      <c r="AZ79" s="203">
        <f>AZ63*'HLV Calc'!$F$4</f>
        <v>6903917.3619476501</v>
      </c>
      <c r="BA79" s="203">
        <f>BA63*'HLV Calc'!$F$4</f>
        <v>7456230.7509034621</v>
      </c>
      <c r="BB79" s="203">
        <f>BB63*'HLV Calc'!$F$4</f>
        <v>8052729.2109757401</v>
      </c>
      <c r="BC79" s="203">
        <f>BC63*'HLV Calc'!$F$4</f>
        <v>8696947.5478537977</v>
      </c>
      <c r="BD79" s="203">
        <f>BD63*'HLV Calc'!$F$4</f>
        <v>9392703.3516821023</v>
      </c>
      <c r="BE79" s="203">
        <f>BE63*'HLV Calc'!$F$4</f>
        <v>10144119.619816672</v>
      </c>
      <c r="BF79" s="203">
        <f>BF63*'HLV Calc'!$F$4</f>
        <v>10955649.189402007</v>
      </c>
    </row>
    <row r="80" spans="1:58" x14ac:dyDescent="0.3">
      <c r="A80" s="100" t="str">
        <f t="shared" si="24"/>
        <v>Recreation &amp; Entertainment</v>
      </c>
      <c r="B80" s="203">
        <f>B64*'HLV Calc'!$F$4</f>
        <v>403200</v>
      </c>
      <c r="C80" s="203">
        <f>C64*'HLV Calc'!$F$4</f>
        <v>435456</v>
      </c>
      <c r="D80" s="203">
        <f>D64*'HLV Calc'!$F$4</f>
        <v>470292.4800000001</v>
      </c>
      <c r="E80" s="203">
        <f>E64*'HLV Calc'!$F$4</f>
        <v>507915.8784000001</v>
      </c>
      <c r="F80" s="203">
        <f>F64*'HLV Calc'!$F$4</f>
        <v>548549.14867200016</v>
      </c>
      <c r="G80" s="203">
        <f>G64*'HLV Calc'!$F$4</f>
        <v>592433.08056576014</v>
      </c>
      <c r="H80" s="203">
        <f>H64*'HLV Calc'!$F$4</f>
        <v>639827.72701102111</v>
      </c>
      <c r="I80" s="203">
        <f>I64*'HLV Calc'!$F$4</f>
        <v>691013.94517190277</v>
      </c>
      <c r="J80" s="203">
        <f>J64*'HLV Calc'!$F$4</f>
        <v>746295.06078565493</v>
      </c>
      <c r="K80" s="203">
        <f>K64*'HLV Calc'!$F$4</f>
        <v>805998.66564850742</v>
      </c>
      <c r="L80" s="203">
        <f>L64*'HLV Calc'!$F$4</f>
        <v>870478.55890038796</v>
      </c>
      <c r="M80" s="203">
        <f>M64*'HLV Calc'!$F$4</f>
        <v>940116.84361241909</v>
      </c>
      <c r="N80" s="203">
        <f>N64*'HLV Calc'!$F$4</f>
        <v>1015326.1911014128</v>
      </c>
      <c r="O80" s="203">
        <f>O64*'HLV Calc'!$F$4</f>
        <v>1096552.2863895257</v>
      </c>
      <c r="P80" s="203">
        <f>P64*'HLV Calc'!$F$4</f>
        <v>1184276.469300688</v>
      </c>
      <c r="Q80" s="203">
        <f>Q64*'HLV Calc'!$F$4</f>
        <v>1279018.5868447432</v>
      </c>
      <c r="R80" s="203">
        <f>R64*'HLV Calc'!$F$4</f>
        <v>1381340.0737923225</v>
      </c>
      <c r="S80" s="203">
        <f>S64*'HLV Calc'!$F$4</f>
        <v>1491847.2796957083</v>
      </c>
      <c r="T80" s="203">
        <f>T64*'HLV Calc'!$F$4</f>
        <v>1611195.0620713653</v>
      </c>
      <c r="U80" s="203">
        <f>U64*'HLV Calc'!$F$4</f>
        <v>1740090.6670370747</v>
      </c>
      <c r="V80" s="203">
        <f>V64*'HLV Calc'!$F$4</f>
        <v>1879297.9204000402</v>
      </c>
      <c r="W80" s="203">
        <f>W64*'HLV Calc'!$F$4</f>
        <v>2029641.7540320437</v>
      </c>
      <c r="X80" s="203">
        <f>X64*'HLV Calc'!$F$4</f>
        <v>2192013.0943546076</v>
      </c>
      <c r="Y80" s="203">
        <f>Y64*'HLV Calc'!$F$4</f>
        <v>2367374.1419029762</v>
      </c>
      <c r="Z80" s="203">
        <f>Z64*'HLV Calc'!$F$4</f>
        <v>2556764.0732552144</v>
      </c>
      <c r="AA80" s="203">
        <f>AA64*'HLV Calc'!$F$4</f>
        <v>2761305.1991156321</v>
      </c>
      <c r="AB80" s="203">
        <f>AB64*'HLV Calc'!$F$4</f>
        <v>2982209.6150448825</v>
      </c>
      <c r="AC80" s="203">
        <f>AC64*'HLV Calc'!$F$4</f>
        <v>3220786.3842484728</v>
      </c>
      <c r="AD80" s="203">
        <f>AD64*'HLV Calc'!$F$4</f>
        <v>3478449.2949883509</v>
      </c>
      <c r="AE80" s="203">
        <f>AE64*'HLV Calc'!$F$4</f>
        <v>3756725.238587419</v>
      </c>
      <c r="AF80" s="203">
        <f>AF64*'HLV Calc'!$F$4</f>
        <v>4057263.2576744133</v>
      </c>
      <c r="AG80" s="203">
        <f>AG64*'HLV Calc'!$F$4</f>
        <v>4381844.3182883663</v>
      </c>
      <c r="AH80" s="203">
        <f>AH64*'HLV Calc'!$F$4</f>
        <v>4732391.8637514366</v>
      </c>
      <c r="AI80" s="203">
        <f>AI64*'HLV Calc'!$F$4</f>
        <v>5110983.2128515514</v>
      </c>
      <c r="AJ80" s="203">
        <f>AJ64*'HLV Calc'!$F$4</f>
        <v>5519861.8698796751</v>
      </c>
      <c r="AK80" s="203">
        <f>AK64*'HLV Calc'!$F$4</f>
        <v>5961450.8194700498</v>
      </c>
      <c r="AL80" s="203">
        <f>AL64*'HLV Calc'!$F$4</f>
        <v>6438366.8850276545</v>
      </c>
      <c r="AM80" s="203">
        <f>AM64*'HLV Calc'!$F$4</f>
        <v>6953436.2358298674</v>
      </c>
      <c r="AN80" s="203">
        <f>AN64*'HLV Calc'!$F$4</f>
        <v>7509711.1346962573</v>
      </c>
      <c r="AO80" s="203">
        <f>AO64*'HLV Calc'!$F$4</f>
        <v>8110488.0254719574</v>
      </c>
      <c r="AP80" s="203">
        <f>AP64*'HLV Calc'!$F$4</f>
        <v>8759327.0675097164</v>
      </c>
      <c r="AQ80" s="203">
        <f>AQ64*'HLV Calc'!$F$4</f>
        <v>9460073.2329104934</v>
      </c>
      <c r="AR80" s="203">
        <f>AR64*'HLV Calc'!$F$4</f>
        <v>10216879.091543332</v>
      </c>
      <c r="AS80" s="203">
        <f>AS64*'HLV Calc'!$F$4</f>
        <v>11034229.418866798</v>
      </c>
      <c r="AT80" s="203">
        <f>AT64*'HLV Calc'!$F$4</f>
        <v>11916967.772376144</v>
      </c>
      <c r="AU80" s="203">
        <f>AU64*'HLV Calc'!$F$4</f>
        <v>12870325.194166236</v>
      </c>
      <c r="AV80" s="203">
        <f>AV64*'HLV Calc'!$F$4</f>
        <v>13899951.209699536</v>
      </c>
      <c r="AW80" s="203">
        <f>AW64*'HLV Calc'!$F$4</f>
        <v>15011947.3064755</v>
      </c>
      <c r="AX80" s="203">
        <f>AX64*'HLV Calc'!$F$4</f>
        <v>16212903.090993538</v>
      </c>
      <c r="AY80" s="203">
        <f>AY64*'HLV Calc'!$F$4</f>
        <v>17509935.338273022</v>
      </c>
      <c r="AZ80" s="203">
        <f>AZ64*'HLV Calc'!$F$4</f>
        <v>18910730.165334865</v>
      </c>
      <c r="BA80" s="203">
        <f>BA64*'HLV Calc'!$F$4</f>
        <v>20423588.57856166</v>
      </c>
      <c r="BB80" s="203">
        <f>BB64*'HLV Calc'!$F$4</f>
        <v>22057475.664846592</v>
      </c>
      <c r="BC80" s="203">
        <f>BC64*'HLV Calc'!$F$4</f>
        <v>23822073.718034316</v>
      </c>
      <c r="BD80" s="203">
        <f>BD64*'HLV Calc'!$F$4</f>
        <v>25727839.615477066</v>
      </c>
      <c r="BE80" s="203">
        <f>BE64*'HLV Calc'!$F$4</f>
        <v>27786066.784715232</v>
      </c>
      <c r="BF80" s="203">
        <f>BF64*'HLV Calc'!$F$4</f>
        <v>30008952.127492454</v>
      </c>
    </row>
    <row r="81" spans="1:58" x14ac:dyDescent="0.3">
      <c r="A81" s="100" t="str">
        <f t="shared" si="24"/>
        <v>Premiums &amp; Fees</v>
      </c>
      <c r="B81" s="203">
        <f>B65*'HLV Calc'!$F$4</f>
        <v>56000</v>
      </c>
      <c r="C81" s="203">
        <f>C65*'HLV Calc'!$F$4</f>
        <v>60480</v>
      </c>
      <c r="D81" s="203">
        <f>D65*'HLV Calc'!$F$4</f>
        <v>65318.400000000001</v>
      </c>
      <c r="E81" s="203">
        <f>E65*'HLV Calc'!$F$4</f>
        <v>70543.872000000018</v>
      </c>
      <c r="F81" s="203">
        <f>F65*'HLV Calc'!$F$4</f>
        <v>76187.381760000018</v>
      </c>
      <c r="G81" s="203">
        <f>G65*'HLV Calc'!$F$4</f>
        <v>82282.372300800023</v>
      </c>
      <c r="H81" s="203">
        <f>H65*'HLV Calc'!$F$4</f>
        <v>88864.962084864033</v>
      </c>
      <c r="I81" s="203">
        <f>I65*'HLV Calc'!$F$4</f>
        <v>95974.159051653172</v>
      </c>
      <c r="J81" s="203">
        <f>J65*'HLV Calc'!$F$4</f>
        <v>103652.09177578542</v>
      </c>
      <c r="K81" s="203">
        <f>K65*'HLV Calc'!$F$4</f>
        <v>111944.25911784824</v>
      </c>
      <c r="L81" s="203">
        <f>L65*'HLV Calc'!$F$4</f>
        <v>120899.79984727612</v>
      </c>
      <c r="M81" s="203">
        <f>M65*'HLV Calc'!$F$4</f>
        <v>130571.7838350582</v>
      </c>
      <c r="N81" s="203">
        <f>N65*'HLV Calc'!$F$4</f>
        <v>141017.52654186287</v>
      </c>
      <c r="O81" s="203">
        <f>O65*'HLV Calc'!$F$4</f>
        <v>152298.92866521189</v>
      </c>
      <c r="P81" s="203">
        <f>P65*'HLV Calc'!$F$4</f>
        <v>164482.8429584289</v>
      </c>
      <c r="Q81" s="203">
        <f>Q65*'HLV Calc'!$F$4</f>
        <v>177641.47039510321</v>
      </c>
      <c r="R81" s="203">
        <f>R65*'HLV Calc'!$F$4</f>
        <v>191852.78802671147</v>
      </c>
      <c r="S81" s="203">
        <f>S65*'HLV Calc'!$F$4</f>
        <v>207201.0110688484</v>
      </c>
      <c r="T81" s="203">
        <f>T65*'HLV Calc'!$F$4</f>
        <v>223777.09195435629</v>
      </c>
      <c r="U81" s="203">
        <f>U65*'HLV Calc'!$F$4</f>
        <v>241679.2593107048</v>
      </c>
      <c r="V81" s="203">
        <f>V65*'HLV Calc'!$F$4</f>
        <v>261013.60005556117</v>
      </c>
      <c r="W81" s="203">
        <f>W65*'HLV Calc'!$F$4</f>
        <v>281894.68806000607</v>
      </c>
      <c r="X81" s="203">
        <f>X65*'HLV Calc'!$F$4</f>
        <v>304446.2631048066</v>
      </c>
      <c r="Y81" s="203">
        <f>Y65*'HLV Calc'!$F$4</f>
        <v>328801.96415319113</v>
      </c>
      <c r="Z81" s="203">
        <f>Z65*'HLV Calc'!$F$4</f>
        <v>355106.12128544645</v>
      </c>
      <c r="AA81" s="203">
        <f>AA65*'HLV Calc'!$F$4</f>
        <v>383514.61098828219</v>
      </c>
      <c r="AB81" s="203">
        <f>AB65*'HLV Calc'!$F$4</f>
        <v>414195.77986734477</v>
      </c>
      <c r="AC81" s="203">
        <f>AC65*'HLV Calc'!$F$4</f>
        <v>447331.44225673232</v>
      </c>
      <c r="AD81" s="203">
        <f>AD65*'HLV Calc'!$F$4</f>
        <v>483117.95763727091</v>
      </c>
      <c r="AE81" s="203">
        <f>AE65*'HLV Calc'!$F$4</f>
        <v>521767.39424825268</v>
      </c>
      <c r="AF81" s="203">
        <f>AF65*'HLV Calc'!$F$4</f>
        <v>563508.7857881129</v>
      </c>
      <c r="AG81" s="203">
        <f>AG65*'HLV Calc'!$F$4</f>
        <v>608589.48865116201</v>
      </c>
      <c r="AH81" s="203">
        <f>AH65*'HLV Calc'!$F$4</f>
        <v>657276.64774325502</v>
      </c>
      <c r="AI81" s="203">
        <f>AI65*'HLV Calc'!$F$4</f>
        <v>709858.77956271544</v>
      </c>
      <c r="AJ81" s="203">
        <f>AJ65*'HLV Calc'!$F$4</f>
        <v>766647.4819277327</v>
      </c>
      <c r="AK81" s="203">
        <f>AK65*'HLV Calc'!$F$4</f>
        <v>827979.28048195131</v>
      </c>
      <c r="AL81" s="203">
        <f>AL65*'HLV Calc'!$F$4</f>
        <v>894217.62292050757</v>
      </c>
      <c r="AM81" s="203">
        <f>AM65*'HLV Calc'!$F$4</f>
        <v>965755.03275414824</v>
      </c>
      <c r="AN81" s="203">
        <f>AN65*'HLV Calc'!$F$4</f>
        <v>1043015.4353744802</v>
      </c>
      <c r="AO81" s="203">
        <f>AO65*'HLV Calc'!$F$4</f>
        <v>1126456.6702044387</v>
      </c>
      <c r="AP81" s="203">
        <f>AP65*'HLV Calc'!$F$4</f>
        <v>1216573.2038207937</v>
      </c>
      <c r="AQ81" s="203">
        <f>AQ65*'HLV Calc'!$F$4</f>
        <v>1313899.0601264574</v>
      </c>
      <c r="AR81" s="203">
        <f>AR65*'HLV Calc'!$F$4</f>
        <v>1419010.9849365738</v>
      </c>
      <c r="AS81" s="203">
        <f>AS65*'HLV Calc'!$F$4</f>
        <v>1532531.8637314998</v>
      </c>
      <c r="AT81" s="203">
        <f>AT65*'HLV Calc'!$F$4</f>
        <v>1655134.4128300201</v>
      </c>
      <c r="AU81" s="203">
        <f>AU65*'HLV Calc'!$F$4</f>
        <v>1787545.1658564215</v>
      </c>
      <c r="AV81" s="203">
        <f>AV65*'HLV Calc'!$F$4</f>
        <v>1930548.7791249354</v>
      </c>
      <c r="AW81" s="203">
        <f>AW65*'HLV Calc'!$F$4</f>
        <v>2084992.6814549305</v>
      </c>
      <c r="AX81" s="203">
        <f>AX65*'HLV Calc'!$F$4</f>
        <v>2251792.0959713249</v>
      </c>
      <c r="AY81" s="203">
        <f>AY65*'HLV Calc'!$F$4</f>
        <v>2431935.4636490308</v>
      </c>
      <c r="AZ81" s="203">
        <f>AZ65*'HLV Calc'!$F$4</f>
        <v>2626490.3007409535</v>
      </c>
      <c r="BA81" s="203">
        <f>BA65*'HLV Calc'!$F$4</f>
        <v>2836609.5248002303</v>
      </c>
      <c r="BB81" s="203">
        <f>BB65*'HLV Calc'!$F$4</f>
        <v>3063538.2867842484</v>
      </c>
      <c r="BC81" s="203">
        <f>BC65*'HLV Calc'!$F$4</f>
        <v>3308621.3497269885</v>
      </c>
      <c r="BD81" s="203">
        <f>BD65*'HLV Calc'!$F$4</f>
        <v>3573311.0577051486</v>
      </c>
      <c r="BE81" s="203">
        <f>BE65*'HLV Calc'!$F$4</f>
        <v>3859175.9423215599</v>
      </c>
      <c r="BF81" s="203">
        <f>BF65*'HLV Calc'!$F$4</f>
        <v>4167910.0177072845</v>
      </c>
    </row>
    <row r="82" spans="1:58" x14ac:dyDescent="0.3">
      <c r="A82" s="100" t="str">
        <f t="shared" si="24"/>
        <v>Life Insurance Premium</v>
      </c>
      <c r="B82" s="203"/>
      <c r="C82" s="203"/>
      <c r="D82" s="203"/>
      <c r="E82" s="203"/>
      <c r="F82" s="203"/>
      <c r="G82" s="203"/>
      <c r="H82" s="203"/>
      <c r="I82" s="203"/>
      <c r="J82" s="203"/>
      <c r="K82" s="203"/>
      <c r="L82" s="203"/>
      <c r="M82" s="203"/>
      <c r="N82" s="203"/>
      <c r="O82" s="203"/>
      <c r="P82" s="203"/>
      <c r="Q82" s="203"/>
      <c r="R82" s="203"/>
      <c r="S82" s="203"/>
      <c r="T82" s="203"/>
      <c r="U82" s="203"/>
      <c r="V82" s="203"/>
      <c r="W82" s="203"/>
      <c r="X82" s="203"/>
      <c r="Y82" s="203"/>
      <c r="Z82" s="203"/>
      <c r="AA82" s="203"/>
      <c r="AB82" s="203"/>
      <c r="AC82" s="203"/>
      <c r="AD82" s="203"/>
      <c r="AE82" s="203"/>
      <c r="AF82" s="203"/>
      <c r="AG82" s="203"/>
      <c r="AH82" s="203"/>
      <c r="AI82" s="203"/>
      <c r="AJ82" s="203"/>
      <c r="AK82" s="203"/>
      <c r="AL82" s="203"/>
      <c r="AM82" s="203"/>
      <c r="AN82" s="203"/>
      <c r="AO82" s="203"/>
      <c r="AP82" s="203"/>
      <c r="AQ82" s="203"/>
      <c r="AR82" s="203"/>
      <c r="AS82" s="203"/>
      <c r="AT82" s="203"/>
      <c r="AU82" s="203"/>
      <c r="AV82" s="203"/>
      <c r="AW82" s="203"/>
      <c r="AX82" s="203"/>
      <c r="AY82" s="203"/>
      <c r="AZ82" s="203"/>
      <c r="BA82" s="203"/>
      <c r="BB82" s="203"/>
      <c r="BC82" s="203"/>
      <c r="BD82" s="203"/>
      <c r="BE82" s="203"/>
      <c r="BF82" s="203"/>
    </row>
    <row r="83" spans="1:58" x14ac:dyDescent="0.3">
      <c r="A83" s="100" t="str">
        <f t="shared" si="24"/>
        <v>Loan EMIs</v>
      </c>
      <c r="B83" s="203"/>
      <c r="C83" s="203"/>
      <c r="D83" s="203"/>
      <c r="E83" s="203"/>
      <c r="F83" s="203"/>
      <c r="G83" s="203"/>
      <c r="H83" s="203"/>
      <c r="I83" s="203"/>
      <c r="J83" s="203"/>
      <c r="K83" s="203"/>
      <c r="L83" s="203"/>
      <c r="M83" s="203"/>
      <c r="N83" s="203"/>
      <c r="O83" s="203"/>
      <c r="P83" s="203"/>
      <c r="Q83" s="203"/>
      <c r="R83" s="203"/>
      <c r="S83" s="203"/>
      <c r="T83" s="203"/>
      <c r="U83" s="203"/>
      <c r="V83" s="203"/>
      <c r="W83" s="203"/>
      <c r="X83" s="203"/>
      <c r="Y83" s="203"/>
      <c r="Z83" s="203"/>
      <c r="AA83" s="203"/>
      <c r="AB83" s="203"/>
      <c r="AC83" s="203"/>
      <c r="AD83" s="203"/>
      <c r="AE83" s="203"/>
      <c r="AF83" s="203"/>
      <c r="AG83" s="20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</row>
    <row r="84" spans="1:58" x14ac:dyDescent="0.3">
      <c r="A84" s="100" t="str">
        <f t="shared" si="24"/>
        <v>Life Events</v>
      </c>
      <c r="B84" s="203">
        <f>B68*'HLV Calc'!$F$4</f>
        <v>0</v>
      </c>
      <c r="C84" s="203">
        <f>C68*'HLV Calc'!$F$4</f>
        <v>0</v>
      </c>
      <c r="D84" s="203">
        <f>D68*'HLV Calc'!$F$4</f>
        <v>0</v>
      </c>
      <c r="E84" s="203"/>
      <c r="F84" s="203">
        <f>F68*'HLV Calc'!$F$4</f>
        <v>2807660.5440000007</v>
      </c>
      <c r="G84" s="203"/>
      <c r="H84" s="203">
        <f>H68*'HLV Calc'!$F$4</f>
        <v>3036765.644390401</v>
      </c>
      <c r="I84" s="203">
        <f>I68*'HLV Calc'!$F$4</f>
        <v>3158236.2701660171</v>
      </c>
      <c r="J84" s="203">
        <f>J68*'HLV Calc'!$F$4</f>
        <v>0</v>
      </c>
      <c r="K84" s="203">
        <f>K68*'HLV Calc'!$F$4</f>
        <v>0</v>
      </c>
      <c r="L84" s="203">
        <f>L68*'HLV Calc'!$F$4</f>
        <v>3454279.9956364604</v>
      </c>
      <c r="M84" s="203">
        <f>M68*'HLV Calc'!$F$4</f>
        <v>932655.59882184444</v>
      </c>
      <c r="N84" s="203">
        <f>N68*'HLV Calc'!$F$4</f>
        <v>0</v>
      </c>
      <c r="O84" s="203">
        <f>O68*'HLV Calc'!$F$4</f>
        <v>0</v>
      </c>
      <c r="P84" s="203">
        <f>P68*'HLV Calc'!$F$4</f>
        <v>0</v>
      </c>
      <c r="Q84" s="203"/>
      <c r="R84" s="203"/>
      <c r="S84" s="203"/>
      <c r="T84" s="203"/>
      <c r="U84" s="203">
        <f>U68*'HLV Calc'!$F$4</f>
        <v>0</v>
      </c>
      <c r="V84" s="203">
        <f>V68*'HLV Calc'!$F$4</f>
        <v>0</v>
      </c>
      <c r="W84" s="203">
        <f>W68*'HLV Calc'!$F$4</f>
        <v>0</v>
      </c>
      <c r="X84" s="203">
        <f>X68*'HLV Calc'!$F$4</f>
        <v>0</v>
      </c>
      <c r="Y84" s="203">
        <f>Y68*'HLV Calc'!$F$4</f>
        <v>0</v>
      </c>
      <c r="Z84" s="203">
        <f>Z68*'HLV Calc'!$F$4</f>
        <v>0</v>
      </c>
      <c r="AA84" s="203">
        <f>AA68*'HLV Calc'!$F$4</f>
        <v>0</v>
      </c>
      <c r="AB84" s="203">
        <f>AB68*'HLV Calc'!$F$4</f>
        <v>0</v>
      </c>
      <c r="AC84" s="203">
        <f>AC68*'HLV Calc'!$F$4</f>
        <v>0</v>
      </c>
      <c r="AD84" s="203">
        <f>AD68*'HLV Calc'!$F$4</f>
        <v>0</v>
      </c>
      <c r="AE84" s="203">
        <f>AE68*'HLV Calc'!$F$4</f>
        <v>0</v>
      </c>
      <c r="AF84" s="203">
        <f>AF68*'HLV Calc'!$F$4</f>
        <v>0</v>
      </c>
      <c r="AG84" s="203">
        <f>AG68*'HLV Calc'!$F$4</f>
        <v>0</v>
      </c>
      <c r="AH84" s="203">
        <f>AH68*'HLV Calc'!$F$4</f>
        <v>0</v>
      </c>
      <c r="AI84" s="203">
        <f>AI68*'HLV Calc'!$F$4</f>
        <v>0</v>
      </c>
      <c r="AJ84" s="203">
        <f>AJ68*'HLV Calc'!$F$4</f>
        <v>0</v>
      </c>
      <c r="AK84" s="203">
        <f>AK68*'HLV Calc'!$F$4</f>
        <v>0</v>
      </c>
      <c r="AL84" s="203">
        <f>AL68*'HLV Calc'!$F$4</f>
        <v>0</v>
      </c>
      <c r="AM84" s="203">
        <f>AM68*'HLV Calc'!$F$4</f>
        <v>0</v>
      </c>
      <c r="AN84" s="203">
        <f>AN68*'HLV Calc'!$F$4</f>
        <v>0</v>
      </c>
      <c r="AO84" s="203">
        <f>AO68*'HLV Calc'!$F$4</f>
        <v>0</v>
      </c>
      <c r="AP84" s="203">
        <f>AP68*'HLV Calc'!$F$4</f>
        <v>0</v>
      </c>
      <c r="AQ84" s="203">
        <f>AQ68*'HLV Calc'!$F$4</f>
        <v>0</v>
      </c>
      <c r="AR84" s="203">
        <f>AR68*'HLV Calc'!$F$4</f>
        <v>0</v>
      </c>
      <c r="AS84" s="203">
        <f>AS68*'HLV Calc'!$F$4</f>
        <v>0</v>
      </c>
      <c r="AT84" s="203">
        <f>AT68*'HLV Calc'!$F$4</f>
        <v>0</v>
      </c>
      <c r="AU84" s="203">
        <f>AU68*'HLV Calc'!$F$4</f>
        <v>0</v>
      </c>
      <c r="AV84" s="203">
        <f>AV68*'HLV Calc'!$F$4</f>
        <v>0</v>
      </c>
      <c r="AW84" s="203">
        <f>AW68*'HLV Calc'!$F$4</f>
        <v>0</v>
      </c>
      <c r="AX84" s="203">
        <f>AX68*'HLV Calc'!$F$4</f>
        <v>0</v>
      </c>
      <c r="AY84" s="203">
        <f>AY68*'HLV Calc'!$F$4</f>
        <v>0</v>
      </c>
      <c r="AZ84" s="203">
        <f>AZ68*'HLV Calc'!$F$4</f>
        <v>0</v>
      </c>
      <c r="BA84" s="203">
        <f>BA68*'HLV Calc'!$F$4</f>
        <v>0</v>
      </c>
      <c r="BB84" s="203">
        <f>BB68*'HLV Calc'!$F$4</f>
        <v>0</v>
      </c>
      <c r="BC84" s="203">
        <f>BC68*'HLV Calc'!$F$4</f>
        <v>0</v>
      </c>
      <c r="BD84" s="203">
        <f>BD68*'HLV Calc'!$F$4</f>
        <v>0</v>
      </c>
      <c r="BE84" s="203">
        <f>BE68*'HLV Calc'!$F$4</f>
        <v>0</v>
      </c>
      <c r="BF84" s="203">
        <f>BF68*'HLV Calc'!$F$4</f>
        <v>0</v>
      </c>
    </row>
    <row r="85" spans="1:58" x14ac:dyDescent="0.3">
      <c r="A85" s="204" t="str">
        <f t="shared" si="24"/>
        <v>Total Expenses</v>
      </c>
      <c r="B85" s="145">
        <f>SUM(B73:B84)</f>
        <v>2248983.2000000002</v>
      </c>
      <c r="C85" s="145">
        <f t="shared" ref="C85:BF85" si="25">SUM(C73:C84)</f>
        <v>2428901.8560000001</v>
      </c>
      <c r="D85" s="145">
        <f t="shared" si="25"/>
        <v>2623214.0044800001</v>
      </c>
      <c r="E85" s="145">
        <f t="shared" si="25"/>
        <v>2833071.1248384006</v>
      </c>
      <c r="F85" s="145">
        <f t="shared" si="25"/>
        <v>5867377.3588254731</v>
      </c>
      <c r="G85" s="145">
        <f t="shared" si="25"/>
        <v>3304494.1600115104</v>
      </c>
      <c r="H85" s="145">
        <f t="shared" si="25"/>
        <v>6605619.337202834</v>
      </c>
      <c r="I85" s="145">
        <f t="shared" si="25"/>
        <v>6258515.5801404547</v>
      </c>
      <c r="J85" s="145">
        <f t="shared" si="25"/>
        <v>3348301.654772392</v>
      </c>
      <c r="K85" s="145">
        <f t="shared" si="25"/>
        <v>3616165.7871541842</v>
      </c>
      <c r="L85" s="145">
        <f t="shared" si="25"/>
        <v>7359739.0457629794</v>
      </c>
      <c r="M85" s="145">
        <f t="shared" si="25"/>
        <v>5150551.372958485</v>
      </c>
      <c r="N85" s="145">
        <f t="shared" si="25"/>
        <v>4555327.4360675719</v>
      </c>
      <c r="O85" s="145">
        <f t="shared" si="25"/>
        <v>4919753.6309529785</v>
      </c>
      <c r="P85" s="145">
        <f t="shared" si="25"/>
        <v>5313333.9214292178</v>
      </c>
      <c r="Q85" s="145">
        <f t="shared" si="25"/>
        <v>5738400.6351435548</v>
      </c>
      <c r="R85" s="145">
        <f t="shared" si="25"/>
        <v>6197472.6859550392</v>
      </c>
      <c r="S85" s="145">
        <f t="shared" si="25"/>
        <v>6693270.500831441</v>
      </c>
      <c r="T85" s="145">
        <f t="shared" si="25"/>
        <v>7228732.1408979576</v>
      </c>
      <c r="U85" s="145">
        <f t="shared" si="25"/>
        <v>7807030.7121697962</v>
      </c>
      <c r="V85" s="145">
        <f t="shared" si="25"/>
        <v>8431593.1691433787</v>
      </c>
      <c r="W85" s="145">
        <f t="shared" si="25"/>
        <v>9106120.6226748507</v>
      </c>
      <c r="X85" s="145">
        <f t="shared" si="25"/>
        <v>9834610.2724888381</v>
      </c>
      <c r="Y85" s="145">
        <f t="shared" si="25"/>
        <v>10621379.094287947</v>
      </c>
      <c r="Z85" s="145">
        <f t="shared" si="25"/>
        <v>11471089.421830982</v>
      </c>
      <c r="AA85" s="145">
        <f t="shared" si="25"/>
        <v>12388776.575577462</v>
      </c>
      <c r="AB85" s="145">
        <f t="shared" si="25"/>
        <v>13379878.70162366</v>
      </c>
      <c r="AC85" s="145">
        <f t="shared" si="25"/>
        <v>14450268.997753551</v>
      </c>
      <c r="AD85" s="145">
        <f t="shared" si="25"/>
        <v>15606290.517573835</v>
      </c>
      <c r="AE85" s="145">
        <f t="shared" si="25"/>
        <v>16854793.758979745</v>
      </c>
      <c r="AF85" s="145">
        <f t="shared" si="25"/>
        <v>18203177.259698126</v>
      </c>
      <c r="AG85" s="145">
        <f t="shared" si="25"/>
        <v>19659431.440473981</v>
      </c>
      <c r="AH85" s="145">
        <f t="shared" si="25"/>
        <v>20762702.635895289</v>
      </c>
      <c r="AI85" s="145">
        <f t="shared" si="25"/>
        <v>22423718.846766911</v>
      </c>
      <c r="AJ85" s="145">
        <f t="shared" si="25"/>
        <v>24217616.354508262</v>
      </c>
      <c r="AK85" s="145">
        <f t="shared" si="25"/>
        <v>26155025.662868924</v>
      </c>
      <c r="AL85" s="145">
        <f t="shared" si="25"/>
        <v>28247427.715898447</v>
      </c>
      <c r="AM85" s="145">
        <f t="shared" si="25"/>
        <v>30507221.933170322</v>
      </c>
      <c r="AN85" s="145">
        <f t="shared" si="25"/>
        <v>32947799.687823948</v>
      </c>
      <c r="AO85" s="145">
        <f t="shared" si="25"/>
        <v>35583623.662849858</v>
      </c>
      <c r="AP85" s="145">
        <f t="shared" si="25"/>
        <v>38430313.555877857</v>
      </c>
      <c r="AQ85" s="145">
        <f t="shared" si="25"/>
        <v>41504738.640348092</v>
      </c>
      <c r="AR85" s="145">
        <f t="shared" si="25"/>
        <v>44825117.731575929</v>
      </c>
      <c r="AS85" s="145">
        <f t="shared" si="25"/>
        <v>48411127.150102004</v>
      </c>
      <c r="AT85" s="145">
        <f t="shared" si="25"/>
        <v>52284017.322110176</v>
      </c>
      <c r="AU85" s="145">
        <f t="shared" si="25"/>
        <v>56466738.707878985</v>
      </c>
      <c r="AV85" s="145">
        <f t="shared" si="25"/>
        <v>60984077.804509319</v>
      </c>
      <c r="AW85" s="145">
        <f t="shared" si="25"/>
        <v>65862804.028870061</v>
      </c>
      <c r="AX85" s="145">
        <f t="shared" si="25"/>
        <v>71131828.351179659</v>
      </c>
      <c r="AY85" s="145">
        <f t="shared" si="25"/>
        <v>76822374.61927405</v>
      </c>
      <c r="AZ85" s="145">
        <f t="shared" si="25"/>
        <v>82968164.588815972</v>
      </c>
      <c r="BA85" s="145">
        <f t="shared" si="25"/>
        <v>89605617.75592126</v>
      </c>
      <c r="BB85" s="145">
        <f t="shared" si="25"/>
        <v>96774067.176394984</v>
      </c>
      <c r="BC85" s="145">
        <f t="shared" si="25"/>
        <v>104515992.55050655</v>
      </c>
      <c r="BD85" s="145">
        <f t="shared" si="25"/>
        <v>112877271.95454709</v>
      </c>
      <c r="BE85" s="145">
        <f t="shared" si="25"/>
        <v>121907453.71091087</v>
      </c>
      <c r="BF85" s="145">
        <f t="shared" si="25"/>
        <v>131660050.00778377</v>
      </c>
    </row>
  </sheetData>
  <conditionalFormatting sqref="A4:A20">
    <cfRule type="cellIs" dxfId="8" priority="2" operator="equal">
      <formula>0</formula>
    </cfRule>
  </conditionalFormatting>
  <conditionalFormatting sqref="A24:A38">
    <cfRule type="cellIs" dxfId="7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5CB-CE89-41F1-8BCB-BAE2A5088246}">
  <sheetPr codeName="Sheet6"/>
  <dimension ref="A1:BP59"/>
  <sheetViews>
    <sheetView topLeftCell="B56" workbookViewId="0">
      <selection activeCell="B60" sqref="A60:XFD79"/>
    </sheetView>
  </sheetViews>
  <sheetFormatPr defaultColWidth="9.109375" defaultRowHeight="14.4" x14ac:dyDescent="0.3"/>
  <cols>
    <col min="1" max="3" width="9.109375" style="1"/>
    <col min="4" max="4" width="14.88671875" style="1" customWidth="1"/>
    <col min="5" max="5" width="13.6640625" style="1" customWidth="1"/>
    <col min="6" max="6" width="14.109375" style="1" hidden="1" customWidth="1"/>
    <col min="7" max="7" width="13.33203125" style="1" customWidth="1"/>
    <col min="8" max="8" width="13.6640625" style="1" customWidth="1"/>
    <col min="9" max="9" width="11.5546875" style="1" bestFit="1" customWidth="1"/>
    <col min="10" max="10" width="12.5546875" style="1" bestFit="1" customWidth="1"/>
    <col min="11" max="11" width="5.88671875" style="1" bestFit="1" customWidth="1"/>
    <col min="12" max="15" width="12.88671875" style="1" customWidth="1"/>
    <col min="16" max="16" width="9.109375" style="1"/>
    <col min="17" max="18" width="13.109375" style="111" customWidth="1"/>
    <col min="19" max="19" width="12.88671875" style="111" bestFit="1" customWidth="1"/>
    <col min="20" max="20" width="12" style="1" bestFit="1" customWidth="1"/>
    <col min="21" max="22" width="9.109375" style="1"/>
    <col min="23" max="23" width="15.33203125" style="1" bestFit="1" customWidth="1"/>
    <col min="24" max="16384" width="9.109375" style="1"/>
  </cols>
  <sheetData>
    <row r="1" spans="1:68" x14ac:dyDescent="0.3">
      <c r="D1" s="669" t="s">
        <v>347</v>
      </c>
      <c r="E1" s="669"/>
      <c r="F1" s="669"/>
      <c r="G1" s="669"/>
      <c r="H1" s="669"/>
      <c r="J1" s="672" t="s">
        <v>348</v>
      </c>
      <c r="K1" s="673"/>
      <c r="L1" s="673"/>
      <c r="M1" s="673"/>
      <c r="N1" s="673"/>
      <c r="O1" s="673"/>
      <c r="Q1" s="670" t="s">
        <v>349</v>
      </c>
      <c r="R1" s="671"/>
      <c r="S1" s="671"/>
      <c r="T1" s="671"/>
      <c r="W1" s="162" t="s">
        <v>350</v>
      </c>
      <c r="X1" s="162">
        <f>'NWGC - SCENARIOS'!D7+1</f>
        <v>56</v>
      </c>
      <c r="Y1" s="162">
        <f>X1+1</f>
        <v>57</v>
      </c>
      <c r="Z1" s="162">
        <f t="shared" ref="Z1:BP1" si="0">Y1+1</f>
        <v>58</v>
      </c>
      <c r="AA1" s="162">
        <f t="shared" si="0"/>
        <v>59</v>
      </c>
      <c r="AB1" s="162">
        <f t="shared" si="0"/>
        <v>60</v>
      </c>
      <c r="AC1" s="162">
        <f t="shared" si="0"/>
        <v>61</v>
      </c>
      <c r="AD1" s="162">
        <f t="shared" si="0"/>
        <v>62</v>
      </c>
      <c r="AE1" s="162">
        <f t="shared" si="0"/>
        <v>63</v>
      </c>
      <c r="AF1" s="162">
        <f t="shared" si="0"/>
        <v>64</v>
      </c>
      <c r="AG1" s="162">
        <f t="shared" si="0"/>
        <v>65</v>
      </c>
      <c r="AH1" s="162">
        <f t="shared" si="0"/>
        <v>66</v>
      </c>
      <c r="AI1" s="162">
        <f t="shared" si="0"/>
        <v>67</v>
      </c>
      <c r="AJ1" s="162">
        <f t="shared" si="0"/>
        <v>68</v>
      </c>
      <c r="AK1" s="162">
        <f t="shared" si="0"/>
        <v>69</v>
      </c>
      <c r="AL1" s="162">
        <f t="shared" si="0"/>
        <v>70</v>
      </c>
      <c r="AM1" s="162">
        <f t="shared" si="0"/>
        <v>71</v>
      </c>
      <c r="AN1" s="162">
        <f t="shared" si="0"/>
        <v>72</v>
      </c>
      <c r="AO1" s="162">
        <f t="shared" si="0"/>
        <v>73</v>
      </c>
      <c r="AP1" s="162">
        <f t="shared" si="0"/>
        <v>74</v>
      </c>
      <c r="AQ1" s="162">
        <f t="shared" si="0"/>
        <v>75</v>
      </c>
      <c r="AR1" s="162">
        <f t="shared" si="0"/>
        <v>76</v>
      </c>
      <c r="AS1" s="162">
        <f t="shared" si="0"/>
        <v>77</v>
      </c>
      <c r="AT1" s="162">
        <f t="shared" si="0"/>
        <v>78</v>
      </c>
      <c r="AU1" s="162">
        <f t="shared" si="0"/>
        <v>79</v>
      </c>
      <c r="AV1" s="162">
        <f t="shared" si="0"/>
        <v>80</v>
      </c>
      <c r="AW1" s="162">
        <f t="shared" si="0"/>
        <v>81</v>
      </c>
      <c r="AX1" s="162">
        <f t="shared" si="0"/>
        <v>82</v>
      </c>
      <c r="AY1" s="162">
        <f t="shared" si="0"/>
        <v>83</v>
      </c>
      <c r="AZ1" s="162">
        <f t="shared" si="0"/>
        <v>84</v>
      </c>
      <c r="BA1" s="162">
        <f t="shared" si="0"/>
        <v>85</v>
      </c>
      <c r="BB1" s="162">
        <f t="shared" si="0"/>
        <v>86</v>
      </c>
      <c r="BC1" s="162">
        <f t="shared" si="0"/>
        <v>87</v>
      </c>
      <c r="BD1" s="162">
        <f t="shared" si="0"/>
        <v>88</v>
      </c>
      <c r="BE1" s="162">
        <f t="shared" si="0"/>
        <v>89</v>
      </c>
      <c r="BF1" s="162">
        <f t="shared" si="0"/>
        <v>90</v>
      </c>
      <c r="BG1" s="162">
        <f t="shared" si="0"/>
        <v>91</v>
      </c>
      <c r="BH1" s="162">
        <f t="shared" si="0"/>
        <v>92</v>
      </c>
      <c r="BI1" s="162">
        <f t="shared" si="0"/>
        <v>93</v>
      </c>
      <c r="BJ1" s="162">
        <f t="shared" si="0"/>
        <v>94</v>
      </c>
      <c r="BK1" s="162">
        <f t="shared" si="0"/>
        <v>95</v>
      </c>
      <c r="BL1" s="162">
        <f>BK1+1</f>
        <v>96</v>
      </c>
      <c r="BM1" s="162">
        <f t="shared" si="0"/>
        <v>97</v>
      </c>
      <c r="BN1" s="162">
        <f t="shared" si="0"/>
        <v>98</v>
      </c>
      <c r="BO1" s="162">
        <f t="shared" si="0"/>
        <v>99</v>
      </c>
      <c r="BP1" s="162">
        <f t="shared" si="0"/>
        <v>100</v>
      </c>
    </row>
    <row r="2" spans="1:68" x14ac:dyDescent="0.3">
      <c r="A2" s="100" t="s">
        <v>204</v>
      </c>
      <c r="B2" s="100" t="s">
        <v>168</v>
      </c>
      <c r="D2" s="100" t="s">
        <v>342</v>
      </c>
      <c r="E2" s="100" t="s">
        <v>199</v>
      </c>
      <c r="F2" s="100" t="s">
        <v>92</v>
      </c>
      <c r="G2" s="100" t="s">
        <v>351</v>
      </c>
      <c r="H2" s="100" t="s">
        <v>352</v>
      </c>
      <c r="J2" s="100" t="s">
        <v>342</v>
      </c>
      <c r="K2" s="100" t="s">
        <v>199</v>
      </c>
      <c r="L2" s="100" t="s">
        <v>351</v>
      </c>
      <c r="M2" s="165" t="s">
        <v>353</v>
      </c>
      <c r="N2" s="100" t="s">
        <v>352</v>
      </c>
      <c r="O2" s="165" t="s">
        <v>343</v>
      </c>
      <c r="Q2" s="165" t="s">
        <v>351</v>
      </c>
      <c r="R2" s="165" t="s">
        <v>353</v>
      </c>
      <c r="S2" s="165" t="s">
        <v>352</v>
      </c>
      <c r="T2" s="165" t="s">
        <v>343</v>
      </c>
      <c r="W2" s="416" t="str">
        <f>'Yearly Budget'!A24</f>
        <v>SG OFFICE</v>
      </c>
      <c r="X2" s="1">
        <f>IFERROR(VLOOKUP($W2,'Yearly Budget'!$23:$39,MATCH(X$1,'Yearly Budget'!$23:$23,0),0),0)</f>
        <v>0</v>
      </c>
      <c r="Y2" s="1">
        <f>IFERROR(VLOOKUP($W2,'Yearly Budget'!$23:$39,MATCH(Y$1,'Yearly Budget'!$23:$23,0),0),0)</f>
        <v>0</v>
      </c>
      <c r="Z2" s="1">
        <f>IFERROR(VLOOKUP($W2,'Yearly Budget'!$23:$39,MATCH(Z$1,'Yearly Budget'!$23:$23,0),0),0)</f>
        <v>0</v>
      </c>
      <c r="AA2" s="1">
        <f>IFERROR(VLOOKUP($W2,'Yearly Budget'!$23:$39,MATCH(AA$1,'Yearly Budget'!$23:$23,0),0),0)</f>
        <v>0</v>
      </c>
      <c r="AB2" s="1">
        <f>IFERROR(VLOOKUP($W2,'Yearly Budget'!$23:$39,MATCH(AB$1,'Yearly Budget'!$23:$23,0),0),0)</f>
        <v>0</v>
      </c>
      <c r="AC2" s="1">
        <f>IFERROR(VLOOKUP($W2,'Yearly Budget'!$23:$39,MATCH(AC$1,'Yearly Budget'!$23:$23,0),0),0)</f>
        <v>0</v>
      </c>
      <c r="AD2" s="1">
        <f>IFERROR(VLOOKUP($W2,'Yearly Budget'!$23:$39,MATCH(AD$1,'Yearly Budget'!$23:$23,0),0),0)</f>
        <v>0</v>
      </c>
      <c r="AE2" s="1">
        <f>IFERROR(VLOOKUP($W2,'Yearly Budget'!$23:$39,MATCH(AE$1,'Yearly Budget'!$23:$23,0),0),0)</f>
        <v>0</v>
      </c>
      <c r="AF2" s="1">
        <f>IFERROR(VLOOKUP($W2,'Yearly Budget'!$23:$39,MATCH(AF$1,'Yearly Budget'!$23:$23,0),0),0)</f>
        <v>0</v>
      </c>
      <c r="AG2" s="1">
        <f>IFERROR(VLOOKUP($W2,'Yearly Budget'!$23:$39,MATCH(AG$1,'Yearly Budget'!$23:$23,0),0),0)</f>
        <v>0</v>
      </c>
      <c r="AH2" s="1">
        <f>IFERROR(VLOOKUP($W2,'Yearly Budget'!$23:$39,MATCH(AH$1,'Yearly Budget'!$23:$23,0),0),0)</f>
        <v>0</v>
      </c>
      <c r="AI2" s="1">
        <f>IFERROR(VLOOKUP($W2,'Yearly Budget'!$23:$39,MATCH(AI$1,'Yearly Budget'!$23:$23,0),0),0)</f>
        <v>0</v>
      </c>
      <c r="AJ2" s="1">
        <f>IFERROR(VLOOKUP($W2,'Yearly Budget'!$23:$39,MATCH(AJ$1,'Yearly Budget'!$23:$23,0),0),0)</f>
        <v>0</v>
      </c>
      <c r="AK2" s="1">
        <f>IFERROR(VLOOKUP($W2,'Yearly Budget'!$23:$39,MATCH(AK$1,'Yearly Budget'!$23:$23,0),0),0)</f>
        <v>0</v>
      </c>
      <c r="AL2" s="1">
        <f>IFERROR(VLOOKUP($W2,'Yearly Budget'!$23:$39,MATCH(AL$1,'Yearly Budget'!$23:$23,0),0),0)</f>
        <v>0</v>
      </c>
      <c r="AM2" s="1">
        <f>IFERROR(VLOOKUP($W2,'Yearly Budget'!$23:$39,MATCH(AM$1,'Yearly Budget'!$23:$23,0),0),0)</f>
        <v>0</v>
      </c>
      <c r="AN2" s="1">
        <f>IFERROR(VLOOKUP($W2,'Yearly Budget'!$23:$39,MATCH(AN$1,'Yearly Budget'!$23:$23,0),0),0)</f>
        <v>0</v>
      </c>
      <c r="AO2" s="1">
        <f>IFERROR(VLOOKUP($W2,'Yearly Budget'!$23:$39,MATCH(AO$1,'Yearly Budget'!$23:$23,0),0),0)</f>
        <v>0</v>
      </c>
      <c r="AP2" s="1">
        <f>IFERROR(VLOOKUP($W2,'Yearly Budget'!$23:$39,MATCH(AP$1,'Yearly Budget'!$23:$23,0),0),0)</f>
        <v>0</v>
      </c>
      <c r="AQ2" s="1">
        <f>IFERROR(VLOOKUP($W2,'Yearly Budget'!$23:$39,MATCH(AQ$1,'Yearly Budget'!$23:$23,0),0),0)</f>
        <v>0</v>
      </c>
      <c r="AR2" s="1">
        <f>IFERROR(VLOOKUP($W2,'Yearly Budget'!$23:$39,MATCH(AR$1,'Yearly Budget'!$23:$23,0),0),0)</f>
        <v>0</v>
      </c>
      <c r="AS2" s="1">
        <f>IFERROR(VLOOKUP($W2,'Yearly Budget'!$23:$39,MATCH(AS$1,'Yearly Budget'!$23:$23,0),0),0)</f>
        <v>0</v>
      </c>
      <c r="AT2" s="1">
        <f>IFERROR(VLOOKUP($W2,'Yearly Budget'!$23:$39,MATCH(AT$1,'Yearly Budget'!$23:$23,0),0),0)</f>
        <v>0</v>
      </c>
      <c r="AU2" s="1">
        <f>IFERROR(VLOOKUP($W2,'Yearly Budget'!$23:$39,MATCH(AU$1,'Yearly Budget'!$23:$23,0),0),0)</f>
        <v>0</v>
      </c>
      <c r="AV2" s="1">
        <f>IFERROR(VLOOKUP($W2,'Yearly Budget'!$23:$39,MATCH(AV$1,'Yearly Budget'!$23:$23,0),0),0)</f>
        <v>0</v>
      </c>
      <c r="AW2" s="1">
        <f>IFERROR(VLOOKUP($W2,'Yearly Budget'!$23:$39,MATCH(AW$1,'Yearly Budget'!$23:$23,0),0),0)</f>
        <v>0</v>
      </c>
      <c r="AX2" s="1">
        <f>IFERROR(VLOOKUP($W2,'Yearly Budget'!$23:$39,MATCH(AX$1,'Yearly Budget'!$23:$23,0),0),0)</f>
        <v>0</v>
      </c>
      <c r="AY2" s="1">
        <f>IFERROR(VLOOKUP($W2,'Yearly Budget'!$23:$39,MATCH(AY$1,'Yearly Budget'!$23:$23,0),0),0)</f>
        <v>0</v>
      </c>
      <c r="AZ2" s="1">
        <f>IFERROR(VLOOKUP($W2,'Yearly Budget'!$23:$39,MATCH(AZ$1,'Yearly Budget'!$23:$23,0),0),0)</f>
        <v>0</v>
      </c>
      <c r="BA2" s="1">
        <f>IFERROR(VLOOKUP($W2,'Yearly Budget'!$23:$39,MATCH(BA$1,'Yearly Budget'!$23:$23,0),0),0)</f>
        <v>0</v>
      </c>
      <c r="BB2" s="1">
        <f>IFERROR(VLOOKUP($W2,'Yearly Budget'!$23:$39,MATCH(BB$1,'Yearly Budget'!$23:$23,0),0),0)</f>
        <v>0</v>
      </c>
      <c r="BC2" s="1">
        <f>IFERROR(VLOOKUP($W2,'Yearly Budget'!$23:$39,MATCH(BC$1,'Yearly Budget'!$23:$23,0),0),0)</f>
        <v>0</v>
      </c>
      <c r="BD2" s="1">
        <f>IFERROR(VLOOKUP($W2,'Yearly Budget'!$23:$39,MATCH(BD$1,'Yearly Budget'!$23:$23,0),0),0)</f>
        <v>0</v>
      </c>
      <c r="BE2" s="1">
        <f>IFERROR(VLOOKUP($W2,'Yearly Budget'!$23:$39,MATCH(BE$1,'Yearly Budget'!$23:$23,0),0),0)</f>
        <v>0</v>
      </c>
      <c r="BF2" s="1">
        <f>IFERROR(VLOOKUP($W2,'Yearly Budget'!$23:$39,MATCH(BF$1,'Yearly Budget'!$23:$23,0),0),0)</f>
        <v>0</v>
      </c>
      <c r="BG2" s="1">
        <f>IFERROR(VLOOKUP($W2,'Yearly Budget'!$23:$39,MATCH(BG$1,'Yearly Budget'!$23:$23,0),0),0)</f>
        <v>0</v>
      </c>
      <c r="BH2" s="1">
        <f>IFERROR(VLOOKUP($W2,'Yearly Budget'!$23:$39,MATCH(BH$1,'Yearly Budget'!$23:$23,0),0),0)</f>
        <v>0</v>
      </c>
      <c r="BI2" s="1">
        <f>IFERROR(VLOOKUP($W2,'Yearly Budget'!$23:$39,MATCH(BI$1,'Yearly Budget'!$23:$23,0),0),0)</f>
        <v>0</v>
      </c>
      <c r="BJ2" s="1">
        <f>IFERROR(VLOOKUP($W2,'Yearly Budget'!$23:$39,MATCH(BJ$1,'Yearly Budget'!$23:$23,0),0),0)</f>
        <v>0</v>
      </c>
      <c r="BK2" s="1">
        <f>IFERROR(VLOOKUP($W2,'Yearly Budget'!$23:$39,MATCH(BK$1,'Yearly Budget'!$23:$23,0),0),0)</f>
        <v>0</v>
      </c>
      <c r="BL2" s="1">
        <f>IFERROR(VLOOKUP($W2,'Yearly Budget'!$23:$39,MATCH(BL$1,'Yearly Budget'!$23:$23,0),0),0)</f>
        <v>0</v>
      </c>
      <c r="BM2" s="1">
        <f>IFERROR(VLOOKUP($W2,'Yearly Budget'!$23:$39,MATCH(BM$1,'Yearly Budget'!$23:$23,0),0),0)</f>
        <v>0</v>
      </c>
      <c r="BN2" s="1">
        <f>IFERROR(VLOOKUP($W2,'Yearly Budget'!$23:$39,MATCH(BN$1,'Yearly Budget'!$23:$23,0),0),0)</f>
        <v>0</v>
      </c>
      <c r="BO2" s="1">
        <f>IFERROR(VLOOKUP($W2,'Yearly Budget'!$23:$39,MATCH(BO$1,'Yearly Budget'!$23:$23,0),0),0)</f>
        <v>0</v>
      </c>
      <c r="BP2" s="1">
        <f>IFERROR(VLOOKUP($W2,'Yearly Budget'!$23:$39,MATCH(BP$1,'Yearly Budget'!$23:$23,0),0),0)</f>
        <v>0</v>
      </c>
    </row>
    <row r="3" spans="1:68" x14ac:dyDescent="0.3">
      <c r="A3" s="100">
        <f>'Yearly Budget'!B1</f>
        <v>49</v>
      </c>
      <c r="B3" s="100">
        <v>2025</v>
      </c>
      <c r="D3" s="110">
        <f>'Yearly Budget'!B$54</f>
        <v>3626183</v>
      </c>
      <c r="E3" s="102"/>
      <c r="F3" s="102"/>
      <c r="G3" s="102">
        <f>'Yearly Budget'!B$21</f>
        <v>12278664</v>
      </c>
      <c r="H3" s="102">
        <f>D3+E3+F3</f>
        <v>3626183</v>
      </c>
      <c r="I3" s="99"/>
      <c r="J3" s="171">
        <f>'Yearly Budget'!B$69</f>
        <v>3626183</v>
      </c>
      <c r="K3" s="102"/>
      <c r="L3" s="102">
        <f>'Yearly Budget'!B$39</f>
        <v>12278664</v>
      </c>
      <c r="M3" s="102">
        <f ca="1">MAX(J3:L59)</f>
        <v>164575062.50972965</v>
      </c>
      <c r="N3" s="102">
        <f>J3+K3-O3</f>
        <v>3626183</v>
      </c>
      <c r="O3" s="447">
        <f>'Yearly Budget'!B$68</f>
        <v>0</v>
      </c>
      <c r="Q3" s="164">
        <f>G3</f>
        <v>12278664</v>
      </c>
      <c r="R3" s="164">
        <f ca="1">MAX(H3:H59)</f>
        <v>16056903</v>
      </c>
      <c r="S3" s="164">
        <f>H3-T3</f>
        <v>3626183</v>
      </c>
      <c r="T3" s="447">
        <f>'Yearly Budget'!B$53</f>
        <v>0</v>
      </c>
      <c r="W3" s="416" t="str">
        <f>'Yearly Budget'!A25</f>
        <v>HS FREELANCING</v>
      </c>
      <c r="X3" s="1">
        <f>IFERROR(VLOOKUP($W3,'Yearly Budget'!$23:$39,MATCH(X$1,'Yearly Budget'!$23:$23,0),0),0)</f>
        <v>0</v>
      </c>
      <c r="Y3" s="1">
        <f>IFERROR(VLOOKUP($W3,'Yearly Budget'!$23:$39,MATCH(Y$1,'Yearly Budget'!$23:$23,0),0),0)</f>
        <v>0</v>
      </c>
      <c r="Z3" s="1">
        <f>IFERROR(VLOOKUP($W3,'Yearly Budget'!$23:$39,MATCH(Z$1,'Yearly Budget'!$23:$23,0),0),0)</f>
        <v>0</v>
      </c>
      <c r="AA3" s="1">
        <f>IFERROR(VLOOKUP($W3,'Yearly Budget'!$23:$39,MATCH(AA$1,'Yearly Budget'!$23:$23,0),0),0)</f>
        <v>0</v>
      </c>
      <c r="AB3" s="1">
        <f>IFERROR(VLOOKUP($W3,'Yearly Budget'!$23:$39,MATCH(AB$1,'Yearly Budget'!$23:$23,0),0),0)</f>
        <v>0</v>
      </c>
      <c r="AC3" s="1">
        <f>IFERROR(VLOOKUP($W3,'Yearly Budget'!$23:$39,MATCH(AC$1,'Yearly Budget'!$23:$23,0),0),0)</f>
        <v>0</v>
      </c>
      <c r="AD3" s="1">
        <f>IFERROR(VLOOKUP($W3,'Yearly Budget'!$23:$39,MATCH(AD$1,'Yearly Budget'!$23:$23,0),0),0)</f>
        <v>0</v>
      </c>
      <c r="AE3" s="1">
        <f>IFERROR(VLOOKUP($W3,'Yearly Budget'!$23:$39,MATCH(AE$1,'Yearly Budget'!$23:$23,0),0),0)</f>
        <v>0</v>
      </c>
      <c r="AF3" s="1">
        <f>IFERROR(VLOOKUP($W3,'Yearly Budget'!$23:$39,MATCH(AF$1,'Yearly Budget'!$23:$23,0),0),0)</f>
        <v>0</v>
      </c>
      <c r="AG3" s="1">
        <f>IFERROR(VLOOKUP($W3,'Yearly Budget'!$23:$39,MATCH(AG$1,'Yearly Budget'!$23:$23,0),0),0)</f>
        <v>0</v>
      </c>
      <c r="AH3" s="1">
        <f>IFERROR(VLOOKUP($W3,'Yearly Budget'!$23:$39,MATCH(AH$1,'Yearly Budget'!$23:$23,0),0),0)</f>
        <v>0</v>
      </c>
      <c r="AI3" s="1">
        <f>IFERROR(VLOOKUP($W3,'Yearly Budget'!$23:$39,MATCH(AI$1,'Yearly Budget'!$23:$23,0),0),0)</f>
        <v>0</v>
      </c>
      <c r="AJ3" s="1">
        <f>IFERROR(VLOOKUP($W3,'Yearly Budget'!$23:$39,MATCH(AJ$1,'Yearly Budget'!$23:$23,0),0),0)</f>
        <v>0</v>
      </c>
      <c r="AK3" s="1">
        <f>IFERROR(VLOOKUP($W3,'Yearly Budget'!$23:$39,MATCH(AK$1,'Yearly Budget'!$23:$23,0),0),0)</f>
        <v>0</v>
      </c>
      <c r="AL3" s="1">
        <f>IFERROR(VLOOKUP($W3,'Yearly Budget'!$23:$39,MATCH(AL$1,'Yearly Budget'!$23:$23,0),0),0)</f>
        <v>0</v>
      </c>
      <c r="AM3" s="1">
        <f>IFERROR(VLOOKUP($W3,'Yearly Budget'!$23:$39,MATCH(AM$1,'Yearly Budget'!$23:$23,0),0),0)</f>
        <v>0</v>
      </c>
      <c r="AN3" s="1">
        <f>IFERROR(VLOOKUP($W3,'Yearly Budget'!$23:$39,MATCH(AN$1,'Yearly Budget'!$23:$23,0),0),0)</f>
        <v>0</v>
      </c>
      <c r="AO3" s="1">
        <f>IFERROR(VLOOKUP($W3,'Yearly Budget'!$23:$39,MATCH(AO$1,'Yearly Budget'!$23:$23,0),0),0)</f>
        <v>0</v>
      </c>
      <c r="AP3" s="1">
        <f>IFERROR(VLOOKUP($W3,'Yearly Budget'!$23:$39,MATCH(AP$1,'Yearly Budget'!$23:$23,0),0),0)</f>
        <v>0</v>
      </c>
      <c r="AQ3" s="1">
        <f>IFERROR(VLOOKUP($W3,'Yearly Budget'!$23:$39,MATCH(AQ$1,'Yearly Budget'!$23:$23,0),0),0)</f>
        <v>0</v>
      </c>
      <c r="AR3" s="1">
        <f>IFERROR(VLOOKUP($W3,'Yearly Budget'!$23:$39,MATCH(AR$1,'Yearly Budget'!$23:$23,0),0),0)</f>
        <v>0</v>
      </c>
      <c r="AS3" s="1">
        <f>IFERROR(VLOOKUP($W3,'Yearly Budget'!$23:$39,MATCH(AS$1,'Yearly Budget'!$23:$23,0),0),0)</f>
        <v>0</v>
      </c>
      <c r="AT3" s="1">
        <f>IFERROR(VLOOKUP($W3,'Yearly Budget'!$23:$39,MATCH(AT$1,'Yearly Budget'!$23:$23,0),0),0)</f>
        <v>0</v>
      </c>
      <c r="AU3" s="1">
        <f>IFERROR(VLOOKUP($W3,'Yearly Budget'!$23:$39,MATCH(AU$1,'Yearly Budget'!$23:$23,0),0),0)</f>
        <v>0</v>
      </c>
      <c r="AV3" s="1">
        <f>IFERROR(VLOOKUP($W3,'Yearly Budget'!$23:$39,MATCH(AV$1,'Yearly Budget'!$23:$23,0),0),0)</f>
        <v>0</v>
      </c>
      <c r="AW3" s="1">
        <f>IFERROR(VLOOKUP($W3,'Yearly Budget'!$23:$39,MATCH(AW$1,'Yearly Budget'!$23:$23,0),0),0)</f>
        <v>0</v>
      </c>
      <c r="AX3" s="1">
        <f>IFERROR(VLOOKUP($W3,'Yearly Budget'!$23:$39,MATCH(AX$1,'Yearly Budget'!$23:$23,0),0),0)</f>
        <v>0</v>
      </c>
      <c r="AY3" s="1">
        <f>IFERROR(VLOOKUP($W3,'Yearly Budget'!$23:$39,MATCH(AY$1,'Yearly Budget'!$23:$23,0),0),0)</f>
        <v>0</v>
      </c>
      <c r="AZ3" s="1">
        <f>IFERROR(VLOOKUP($W3,'Yearly Budget'!$23:$39,MATCH(AZ$1,'Yearly Budget'!$23:$23,0),0),0)</f>
        <v>0</v>
      </c>
      <c r="BA3" s="1">
        <f>IFERROR(VLOOKUP($W3,'Yearly Budget'!$23:$39,MATCH(BA$1,'Yearly Budget'!$23:$23,0),0),0)</f>
        <v>0</v>
      </c>
      <c r="BB3" s="1">
        <f>IFERROR(VLOOKUP($W3,'Yearly Budget'!$23:$39,MATCH(BB$1,'Yearly Budget'!$23:$23,0),0),0)</f>
        <v>0</v>
      </c>
      <c r="BC3" s="1">
        <f>IFERROR(VLOOKUP($W3,'Yearly Budget'!$23:$39,MATCH(BC$1,'Yearly Budget'!$23:$23,0),0),0)</f>
        <v>0</v>
      </c>
      <c r="BD3" s="1">
        <f>IFERROR(VLOOKUP($W3,'Yearly Budget'!$23:$39,MATCH(BD$1,'Yearly Budget'!$23:$23,0),0),0)</f>
        <v>0</v>
      </c>
      <c r="BE3" s="1">
        <f>IFERROR(VLOOKUP($W3,'Yearly Budget'!$23:$39,MATCH(BE$1,'Yearly Budget'!$23:$23,0),0),0)</f>
        <v>0</v>
      </c>
      <c r="BF3" s="1">
        <f>IFERROR(VLOOKUP($W3,'Yearly Budget'!$23:$39,MATCH(BF$1,'Yearly Budget'!$23:$23,0),0),0)</f>
        <v>0</v>
      </c>
      <c r="BG3" s="1">
        <f>IFERROR(VLOOKUP($W3,'Yearly Budget'!$23:$39,MATCH(BG$1,'Yearly Budget'!$23:$23,0),0),0)</f>
        <v>0</v>
      </c>
      <c r="BH3" s="1">
        <f>IFERROR(VLOOKUP($W3,'Yearly Budget'!$23:$39,MATCH(BH$1,'Yearly Budget'!$23:$23,0),0),0)</f>
        <v>0</v>
      </c>
      <c r="BI3" s="1">
        <f>IFERROR(VLOOKUP($W3,'Yearly Budget'!$23:$39,MATCH(BI$1,'Yearly Budget'!$23:$23,0),0),0)</f>
        <v>0</v>
      </c>
      <c r="BJ3" s="1">
        <f>IFERROR(VLOOKUP($W3,'Yearly Budget'!$23:$39,MATCH(BJ$1,'Yearly Budget'!$23:$23,0),0),0)</f>
        <v>0</v>
      </c>
      <c r="BK3" s="1">
        <f>IFERROR(VLOOKUP($W3,'Yearly Budget'!$23:$39,MATCH(BK$1,'Yearly Budget'!$23:$23,0),0),0)</f>
        <v>0</v>
      </c>
      <c r="BL3" s="1">
        <f>IFERROR(VLOOKUP($W3,'Yearly Budget'!$23:$39,MATCH(BL$1,'Yearly Budget'!$23:$23,0),0),0)</f>
        <v>0</v>
      </c>
      <c r="BM3" s="1">
        <f>IFERROR(VLOOKUP($W3,'Yearly Budget'!$23:$39,MATCH(BM$1,'Yearly Budget'!$23:$23,0),0),0)</f>
        <v>0</v>
      </c>
      <c r="BN3" s="1">
        <f>IFERROR(VLOOKUP($W3,'Yearly Budget'!$23:$39,MATCH(BN$1,'Yearly Budget'!$23:$23,0),0),0)</f>
        <v>0</v>
      </c>
      <c r="BO3" s="1">
        <f>IFERROR(VLOOKUP($W3,'Yearly Budget'!$23:$39,MATCH(BO$1,'Yearly Budget'!$23:$23,0),0),0)</f>
        <v>0</v>
      </c>
      <c r="BP3" s="1">
        <f>IFERROR(VLOOKUP($W3,'Yearly Budget'!$23:$39,MATCH(BP$1,'Yearly Budget'!$23:$23,0),0),0)</f>
        <v>0</v>
      </c>
    </row>
    <row r="4" spans="1:68" x14ac:dyDescent="0.3">
      <c r="A4" s="100">
        <f>A3+1</f>
        <v>50</v>
      </c>
      <c r="B4" s="100">
        <f>B3+1</f>
        <v>2026</v>
      </c>
      <c r="D4" s="102">
        <f ca="1">'Yearly Budget'!C$54</f>
        <v>3388983</v>
      </c>
      <c r="E4" s="102"/>
      <c r="F4" s="102"/>
      <c r="G4" s="102">
        <f>'Yearly Budget'!C$21</f>
        <v>12278664</v>
      </c>
      <c r="H4" s="102">
        <f t="shared" ref="H4:H55" ca="1" si="1">D4+E4+F4</f>
        <v>3388983</v>
      </c>
      <c r="I4" s="99"/>
      <c r="J4" s="171">
        <f ca="1">'Yearly Budget'!C$69</f>
        <v>3613881.3200000003</v>
      </c>
      <c r="K4" s="102"/>
      <c r="L4" s="102">
        <f>'Yearly Budget'!C$39</f>
        <v>13248237.120000001</v>
      </c>
      <c r="M4" s="102"/>
      <c r="N4" s="102">
        <f t="shared" ref="N4:N59" ca="1" si="2">J4+K4-O4</f>
        <v>3613881.3200000003</v>
      </c>
      <c r="O4" s="447">
        <f>'Yearly Budget'!C$68</f>
        <v>0</v>
      </c>
      <c r="Q4" s="164">
        <f>G4</f>
        <v>12278664</v>
      </c>
      <c r="R4" s="164"/>
      <c r="S4" s="164">
        <f t="shared" ref="S4:S59" ca="1" si="3">H4-T4</f>
        <v>3388983</v>
      </c>
      <c r="T4" s="447">
        <f>'Yearly Budget'!C$53</f>
        <v>0</v>
      </c>
      <c r="W4" s="416">
        <f>'Yearly Budget'!A26</f>
        <v>0</v>
      </c>
      <c r="X4" s="1">
        <f>IFERROR(VLOOKUP($W4,'Yearly Budget'!$23:$39,MATCH(X$1,'Yearly Budget'!$23:$23,0),0),0)</f>
        <v>0</v>
      </c>
      <c r="Y4" s="1">
        <f>IFERROR(VLOOKUP($W4,'Yearly Budget'!$23:$39,MATCH(Y$1,'Yearly Budget'!$23:$23,0),0),0)</f>
        <v>0</v>
      </c>
      <c r="Z4" s="1">
        <f>IFERROR(VLOOKUP($W4,'Yearly Budget'!$23:$39,MATCH(Z$1,'Yearly Budget'!$23:$23,0),0),0)</f>
        <v>0</v>
      </c>
      <c r="AA4" s="1">
        <f>IFERROR(VLOOKUP($W4,'Yearly Budget'!$23:$39,MATCH(AA$1,'Yearly Budget'!$23:$23,0),0),0)</f>
        <v>0</v>
      </c>
      <c r="AB4" s="1">
        <f>IFERROR(VLOOKUP($W4,'Yearly Budget'!$23:$39,MATCH(AB$1,'Yearly Budget'!$23:$23,0),0),0)</f>
        <v>0</v>
      </c>
      <c r="AC4" s="1">
        <f>IFERROR(VLOOKUP($W4,'Yearly Budget'!$23:$39,MATCH(AC$1,'Yearly Budget'!$23:$23,0),0),0)</f>
        <v>0</v>
      </c>
      <c r="AD4" s="1">
        <f>IFERROR(VLOOKUP($W4,'Yearly Budget'!$23:$39,MATCH(AD$1,'Yearly Budget'!$23:$23,0),0),0)</f>
        <v>0</v>
      </c>
      <c r="AE4" s="1">
        <f>IFERROR(VLOOKUP($W4,'Yearly Budget'!$23:$39,MATCH(AE$1,'Yearly Budget'!$23:$23,0),0),0)</f>
        <v>0</v>
      </c>
      <c r="AF4" s="1">
        <f>IFERROR(VLOOKUP($W4,'Yearly Budget'!$23:$39,MATCH(AF$1,'Yearly Budget'!$23:$23,0),0),0)</f>
        <v>0</v>
      </c>
      <c r="AG4" s="1">
        <f>IFERROR(VLOOKUP($W4,'Yearly Budget'!$23:$39,MATCH(AG$1,'Yearly Budget'!$23:$23,0),0),0)</f>
        <v>0</v>
      </c>
      <c r="AH4" s="1">
        <f>IFERROR(VLOOKUP($W4,'Yearly Budget'!$23:$39,MATCH(AH$1,'Yearly Budget'!$23:$23,0),0),0)</f>
        <v>0</v>
      </c>
      <c r="AI4" s="1">
        <f>IFERROR(VLOOKUP($W4,'Yearly Budget'!$23:$39,MATCH(AI$1,'Yearly Budget'!$23:$23,0),0),0)</f>
        <v>0</v>
      </c>
      <c r="AJ4" s="1">
        <f>IFERROR(VLOOKUP($W4,'Yearly Budget'!$23:$39,MATCH(AJ$1,'Yearly Budget'!$23:$23,0),0),0)</f>
        <v>0</v>
      </c>
      <c r="AK4" s="1">
        <f>IFERROR(VLOOKUP($W4,'Yearly Budget'!$23:$39,MATCH(AK$1,'Yearly Budget'!$23:$23,0),0),0)</f>
        <v>0</v>
      </c>
      <c r="AL4" s="1">
        <f>IFERROR(VLOOKUP($W4,'Yearly Budget'!$23:$39,MATCH(AL$1,'Yearly Budget'!$23:$23,0),0),0)</f>
        <v>0</v>
      </c>
      <c r="AM4" s="1">
        <f>IFERROR(VLOOKUP($W4,'Yearly Budget'!$23:$39,MATCH(AM$1,'Yearly Budget'!$23:$23,0),0),0)</f>
        <v>0</v>
      </c>
      <c r="AN4" s="1">
        <f>IFERROR(VLOOKUP($W4,'Yearly Budget'!$23:$39,MATCH(AN$1,'Yearly Budget'!$23:$23,0),0),0)</f>
        <v>0</v>
      </c>
      <c r="AO4" s="1">
        <f>IFERROR(VLOOKUP($W4,'Yearly Budget'!$23:$39,MATCH(AO$1,'Yearly Budget'!$23:$23,0),0),0)</f>
        <v>0</v>
      </c>
      <c r="AP4" s="1">
        <f>IFERROR(VLOOKUP($W4,'Yearly Budget'!$23:$39,MATCH(AP$1,'Yearly Budget'!$23:$23,0),0),0)</f>
        <v>0</v>
      </c>
      <c r="AQ4" s="1">
        <f>IFERROR(VLOOKUP($W4,'Yearly Budget'!$23:$39,MATCH(AQ$1,'Yearly Budget'!$23:$23,0),0),0)</f>
        <v>0</v>
      </c>
      <c r="AR4" s="1">
        <f>IFERROR(VLOOKUP($W4,'Yearly Budget'!$23:$39,MATCH(AR$1,'Yearly Budget'!$23:$23,0),0),0)</f>
        <v>0</v>
      </c>
      <c r="AS4" s="1">
        <f>IFERROR(VLOOKUP($W4,'Yearly Budget'!$23:$39,MATCH(AS$1,'Yearly Budget'!$23:$23,0),0),0)</f>
        <v>0</v>
      </c>
      <c r="AT4" s="1">
        <f>IFERROR(VLOOKUP($W4,'Yearly Budget'!$23:$39,MATCH(AT$1,'Yearly Budget'!$23:$23,0),0),0)</f>
        <v>0</v>
      </c>
      <c r="AU4" s="1">
        <f>IFERROR(VLOOKUP($W4,'Yearly Budget'!$23:$39,MATCH(AU$1,'Yearly Budget'!$23:$23,0),0),0)</f>
        <v>0</v>
      </c>
      <c r="AV4" s="1">
        <f>IFERROR(VLOOKUP($W4,'Yearly Budget'!$23:$39,MATCH(AV$1,'Yearly Budget'!$23:$23,0),0),0)</f>
        <v>0</v>
      </c>
      <c r="AW4" s="1">
        <f>IFERROR(VLOOKUP($W4,'Yearly Budget'!$23:$39,MATCH(AW$1,'Yearly Budget'!$23:$23,0),0),0)</f>
        <v>0</v>
      </c>
      <c r="AX4" s="1">
        <f>IFERROR(VLOOKUP($W4,'Yearly Budget'!$23:$39,MATCH(AX$1,'Yearly Budget'!$23:$23,0),0),0)</f>
        <v>0</v>
      </c>
      <c r="AY4" s="1">
        <f>IFERROR(VLOOKUP($W4,'Yearly Budget'!$23:$39,MATCH(AY$1,'Yearly Budget'!$23:$23,0),0),0)</f>
        <v>0</v>
      </c>
      <c r="AZ4" s="1">
        <f>IFERROR(VLOOKUP($W4,'Yearly Budget'!$23:$39,MATCH(AZ$1,'Yearly Budget'!$23:$23,0),0),0)</f>
        <v>0</v>
      </c>
      <c r="BA4" s="1">
        <f>IFERROR(VLOOKUP($W4,'Yearly Budget'!$23:$39,MATCH(BA$1,'Yearly Budget'!$23:$23,0),0),0)</f>
        <v>0</v>
      </c>
      <c r="BB4" s="1">
        <f>IFERROR(VLOOKUP($W4,'Yearly Budget'!$23:$39,MATCH(BB$1,'Yearly Budget'!$23:$23,0),0),0)</f>
        <v>0</v>
      </c>
      <c r="BC4" s="1">
        <f>IFERROR(VLOOKUP($W4,'Yearly Budget'!$23:$39,MATCH(BC$1,'Yearly Budget'!$23:$23,0),0),0)</f>
        <v>0</v>
      </c>
      <c r="BD4" s="1">
        <f>IFERROR(VLOOKUP($W4,'Yearly Budget'!$23:$39,MATCH(BD$1,'Yearly Budget'!$23:$23,0),0),0)</f>
        <v>0</v>
      </c>
      <c r="BE4" s="1">
        <f>IFERROR(VLOOKUP($W4,'Yearly Budget'!$23:$39,MATCH(BE$1,'Yearly Budget'!$23:$23,0),0),0)</f>
        <v>0</v>
      </c>
      <c r="BF4" s="1">
        <f>IFERROR(VLOOKUP($W4,'Yearly Budget'!$23:$39,MATCH(BF$1,'Yearly Budget'!$23:$23,0),0),0)</f>
        <v>0</v>
      </c>
      <c r="BG4" s="1">
        <f>IFERROR(VLOOKUP($W4,'Yearly Budget'!$23:$39,MATCH(BG$1,'Yearly Budget'!$23:$23,0),0),0)</f>
        <v>0</v>
      </c>
      <c r="BH4" s="1">
        <f>IFERROR(VLOOKUP($W4,'Yearly Budget'!$23:$39,MATCH(BH$1,'Yearly Budget'!$23:$23,0),0),0)</f>
        <v>0</v>
      </c>
      <c r="BI4" s="1">
        <f>IFERROR(VLOOKUP($W4,'Yearly Budget'!$23:$39,MATCH(BI$1,'Yearly Budget'!$23:$23,0),0),0)</f>
        <v>0</v>
      </c>
      <c r="BJ4" s="1">
        <f>IFERROR(VLOOKUP($W4,'Yearly Budget'!$23:$39,MATCH(BJ$1,'Yearly Budget'!$23:$23,0),0),0)</f>
        <v>0</v>
      </c>
      <c r="BK4" s="1">
        <f>IFERROR(VLOOKUP($W4,'Yearly Budget'!$23:$39,MATCH(BK$1,'Yearly Budget'!$23:$23,0),0),0)</f>
        <v>0</v>
      </c>
      <c r="BL4" s="1">
        <f>IFERROR(VLOOKUP($W4,'Yearly Budget'!$23:$39,MATCH(BL$1,'Yearly Budget'!$23:$23,0),0),0)</f>
        <v>0</v>
      </c>
      <c r="BM4" s="1">
        <f>IFERROR(VLOOKUP($W4,'Yearly Budget'!$23:$39,MATCH(BM$1,'Yearly Budget'!$23:$23,0),0),0)</f>
        <v>0</v>
      </c>
      <c r="BN4" s="1">
        <f>IFERROR(VLOOKUP($W4,'Yearly Budget'!$23:$39,MATCH(BN$1,'Yearly Budget'!$23:$23,0),0),0)</f>
        <v>0</v>
      </c>
      <c r="BO4" s="1">
        <f>IFERROR(VLOOKUP($W4,'Yearly Budget'!$23:$39,MATCH(BO$1,'Yearly Budget'!$23:$23,0),0),0)</f>
        <v>0</v>
      </c>
      <c r="BP4" s="1">
        <f>IFERROR(VLOOKUP($W4,'Yearly Budget'!$23:$39,MATCH(BP$1,'Yearly Budget'!$23:$23,0),0),0)</f>
        <v>0</v>
      </c>
    </row>
    <row r="5" spans="1:68" x14ac:dyDescent="0.3">
      <c r="A5" s="100">
        <f t="shared" ref="A5:A59" si="4">A4+1</f>
        <v>51</v>
      </c>
      <c r="B5" s="100">
        <f t="shared" ref="B5:B59" si="5">B4+1</f>
        <v>2027</v>
      </c>
      <c r="D5" s="102">
        <f ca="1">'Yearly Budget'!D$54</f>
        <v>3626183</v>
      </c>
      <c r="E5" s="102"/>
      <c r="F5" s="102"/>
      <c r="G5" s="102">
        <f>'Yearly Budget'!D$21</f>
        <v>12278664</v>
      </c>
      <c r="H5" s="102">
        <f t="shared" ca="1" si="1"/>
        <v>3626183</v>
      </c>
      <c r="I5" s="99"/>
      <c r="J5" s="171">
        <f ca="1">'Yearly Budget'!D$69</f>
        <v>4093971.5056000003</v>
      </c>
      <c r="K5" s="102"/>
      <c r="L5" s="102">
        <f>'Yearly Budget'!D$39</f>
        <v>14295076.089600002</v>
      </c>
      <c r="M5" s="102"/>
      <c r="N5" s="102">
        <f t="shared" ca="1" si="2"/>
        <v>4093971.5056000003</v>
      </c>
      <c r="O5" s="447">
        <f>'Yearly Budget'!D$68</f>
        <v>0</v>
      </c>
      <c r="Q5" s="164">
        <f t="shared" ref="Q5:Q55" si="6">G5</f>
        <v>12278664</v>
      </c>
      <c r="R5" s="164"/>
      <c r="S5" s="164">
        <f t="shared" ca="1" si="3"/>
        <v>3626183</v>
      </c>
      <c r="T5" s="447">
        <f>'Yearly Budget'!D$53</f>
        <v>0</v>
      </c>
      <c r="W5" s="416" t="str">
        <f>'Yearly Budget'!A27</f>
        <v>SG HDFC Life Annuity Plan</v>
      </c>
      <c r="X5" s="1">
        <f>IFERROR(VLOOKUP($W5,'Yearly Budget'!$23:$39,MATCH(X$1,'Yearly Budget'!$23:$23,0),0),0)</f>
        <v>0</v>
      </c>
      <c r="Y5" s="1">
        <f>IFERROR(VLOOKUP($W5,'Yearly Budget'!$23:$39,MATCH(Y$1,'Yearly Budget'!$23:$23,0),0),0)</f>
        <v>0</v>
      </c>
      <c r="Z5" s="1">
        <f>IFERROR(VLOOKUP($W5,'Yearly Budget'!$23:$39,MATCH(Z$1,'Yearly Budget'!$23:$23,0),0),0)</f>
        <v>0</v>
      </c>
      <c r="AA5" s="1">
        <f>IFERROR(VLOOKUP($W5,'Yearly Budget'!$23:$39,MATCH(AA$1,'Yearly Budget'!$23:$23,0),0),0)</f>
        <v>0</v>
      </c>
      <c r="AB5" s="1">
        <f>IFERROR(VLOOKUP($W5,'Yearly Budget'!$23:$39,MATCH(AB$1,'Yearly Budget'!$23:$23,0),0),0)</f>
        <v>0</v>
      </c>
      <c r="AC5" s="1">
        <f>IFERROR(VLOOKUP($W5,'Yearly Budget'!$23:$39,MATCH(AC$1,'Yearly Budget'!$23:$23,0),0),0)</f>
        <v>0</v>
      </c>
      <c r="AD5" s="1">
        <f>IFERROR(VLOOKUP($W5,'Yearly Budget'!$23:$39,MATCH(AD$1,'Yearly Budget'!$23:$23,0),0),0)</f>
        <v>0</v>
      </c>
      <c r="AE5" s="1">
        <f>IFERROR(VLOOKUP($W5,'Yearly Budget'!$23:$39,MATCH(AE$1,'Yearly Budget'!$23:$23,0),0),0)</f>
        <v>0</v>
      </c>
      <c r="AF5" s="1">
        <f>IFERROR(VLOOKUP($W5,'Yearly Budget'!$23:$39,MATCH(AF$1,'Yearly Budget'!$23:$23,0),0),0)</f>
        <v>0</v>
      </c>
      <c r="AG5" s="1">
        <f>IFERROR(VLOOKUP($W5,'Yearly Budget'!$23:$39,MATCH(AG$1,'Yearly Budget'!$23:$23,0),0),0)</f>
        <v>0</v>
      </c>
      <c r="AH5" s="1">
        <f>IFERROR(VLOOKUP($W5,'Yearly Budget'!$23:$39,MATCH(AH$1,'Yearly Budget'!$23:$23,0),0),0)</f>
        <v>0</v>
      </c>
      <c r="AI5" s="1">
        <f>IFERROR(VLOOKUP($W5,'Yearly Budget'!$23:$39,MATCH(AI$1,'Yearly Budget'!$23:$23,0),0),0)</f>
        <v>0</v>
      </c>
      <c r="AJ5" s="1">
        <f>IFERROR(VLOOKUP($W5,'Yearly Budget'!$23:$39,MATCH(AJ$1,'Yearly Budget'!$23:$23,0),0),0)</f>
        <v>0</v>
      </c>
      <c r="AK5" s="1">
        <f>IFERROR(VLOOKUP($W5,'Yearly Budget'!$23:$39,MATCH(AK$1,'Yearly Budget'!$23:$23,0),0),0)</f>
        <v>0</v>
      </c>
      <c r="AL5" s="1">
        <f>IFERROR(VLOOKUP($W5,'Yearly Budget'!$23:$39,MATCH(AL$1,'Yearly Budget'!$23:$23,0),0),0)</f>
        <v>0</v>
      </c>
      <c r="AM5" s="1">
        <f>IFERROR(VLOOKUP($W5,'Yearly Budget'!$23:$39,MATCH(AM$1,'Yearly Budget'!$23:$23,0),0),0)</f>
        <v>0</v>
      </c>
      <c r="AN5" s="1">
        <f>IFERROR(VLOOKUP($W5,'Yearly Budget'!$23:$39,MATCH(AN$1,'Yearly Budget'!$23:$23,0),0),0)</f>
        <v>0</v>
      </c>
      <c r="AO5" s="1">
        <f>IFERROR(VLOOKUP($W5,'Yearly Budget'!$23:$39,MATCH(AO$1,'Yearly Budget'!$23:$23,0),0),0)</f>
        <v>0</v>
      </c>
      <c r="AP5" s="1">
        <f>IFERROR(VLOOKUP($W5,'Yearly Budget'!$23:$39,MATCH(AP$1,'Yearly Budget'!$23:$23,0),0),0)</f>
        <v>0</v>
      </c>
      <c r="AQ5" s="1">
        <f>IFERROR(VLOOKUP($W5,'Yearly Budget'!$23:$39,MATCH(AQ$1,'Yearly Budget'!$23:$23,0),0),0)</f>
        <v>0</v>
      </c>
      <c r="AR5" s="1">
        <f>IFERROR(VLOOKUP($W5,'Yearly Budget'!$23:$39,MATCH(AR$1,'Yearly Budget'!$23:$23,0),0),0)</f>
        <v>0</v>
      </c>
      <c r="AS5" s="1">
        <f>IFERROR(VLOOKUP($W5,'Yearly Budget'!$23:$39,MATCH(AS$1,'Yearly Budget'!$23:$23,0),0),0)</f>
        <v>0</v>
      </c>
      <c r="AT5" s="1">
        <f>IFERROR(VLOOKUP($W5,'Yearly Budget'!$23:$39,MATCH(AT$1,'Yearly Budget'!$23:$23,0),0),0)</f>
        <v>0</v>
      </c>
      <c r="AU5" s="1">
        <f>IFERROR(VLOOKUP($W5,'Yearly Budget'!$23:$39,MATCH(AU$1,'Yearly Budget'!$23:$23,0),0),0)</f>
        <v>0</v>
      </c>
      <c r="AV5" s="1">
        <f>IFERROR(VLOOKUP($W5,'Yearly Budget'!$23:$39,MATCH(AV$1,'Yearly Budget'!$23:$23,0),0),0)</f>
        <v>0</v>
      </c>
      <c r="AW5" s="1">
        <f>IFERROR(VLOOKUP($W5,'Yearly Budget'!$23:$39,MATCH(AW$1,'Yearly Budget'!$23:$23,0),0),0)</f>
        <v>0</v>
      </c>
      <c r="AX5" s="1">
        <f>IFERROR(VLOOKUP($W5,'Yearly Budget'!$23:$39,MATCH(AX$1,'Yearly Budget'!$23:$23,0),0),0)</f>
        <v>0</v>
      </c>
      <c r="AY5" s="1">
        <f>IFERROR(VLOOKUP($W5,'Yearly Budget'!$23:$39,MATCH(AY$1,'Yearly Budget'!$23:$23,0),0),0)</f>
        <v>0</v>
      </c>
      <c r="AZ5" s="1">
        <f>IFERROR(VLOOKUP($W5,'Yearly Budget'!$23:$39,MATCH(AZ$1,'Yearly Budget'!$23:$23,0),0),0)</f>
        <v>0</v>
      </c>
      <c r="BA5" s="1">
        <f>IFERROR(VLOOKUP($W5,'Yearly Budget'!$23:$39,MATCH(BA$1,'Yearly Budget'!$23:$23,0),0),0)</f>
        <v>0</v>
      </c>
      <c r="BB5" s="1">
        <f>IFERROR(VLOOKUP($W5,'Yearly Budget'!$23:$39,MATCH(BB$1,'Yearly Budget'!$23:$23,0),0),0)</f>
        <v>0</v>
      </c>
      <c r="BC5" s="1">
        <f>IFERROR(VLOOKUP($W5,'Yearly Budget'!$23:$39,MATCH(BC$1,'Yearly Budget'!$23:$23,0),0),0)</f>
        <v>0</v>
      </c>
      <c r="BD5" s="1">
        <f>IFERROR(VLOOKUP($W5,'Yearly Budget'!$23:$39,MATCH(BD$1,'Yearly Budget'!$23:$23,0),0),0)</f>
        <v>0</v>
      </c>
      <c r="BE5" s="1">
        <f>IFERROR(VLOOKUP($W5,'Yearly Budget'!$23:$39,MATCH(BE$1,'Yearly Budget'!$23:$23,0),0),0)</f>
        <v>0</v>
      </c>
      <c r="BF5" s="1">
        <f>IFERROR(VLOOKUP($W5,'Yearly Budget'!$23:$39,MATCH(BF$1,'Yearly Budget'!$23:$23,0),0),0)</f>
        <v>0</v>
      </c>
      <c r="BG5" s="1">
        <f>IFERROR(VLOOKUP($W5,'Yearly Budget'!$23:$39,MATCH(BG$1,'Yearly Budget'!$23:$23,0),0),0)</f>
        <v>0</v>
      </c>
      <c r="BH5" s="1">
        <f>IFERROR(VLOOKUP($W5,'Yearly Budget'!$23:$39,MATCH(BH$1,'Yearly Budget'!$23:$23,0),0),0)</f>
        <v>0</v>
      </c>
      <c r="BI5" s="1">
        <f>IFERROR(VLOOKUP($W5,'Yearly Budget'!$23:$39,MATCH(BI$1,'Yearly Budget'!$23:$23,0),0),0)</f>
        <v>0</v>
      </c>
      <c r="BJ5" s="1">
        <f>IFERROR(VLOOKUP($W5,'Yearly Budget'!$23:$39,MATCH(BJ$1,'Yearly Budget'!$23:$23,0),0),0)</f>
        <v>0</v>
      </c>
      <c r="BK5" s="1">
        <f>IFERROR(VLOOKUP($W5,'Yearly Budget'!$23:$39,MATCH(BK$1,'Yearly Budget'!$23:$23,0),0),0)</f>
        <v>0</v>
      </c>
      <c r="BL5" s="1">
        <f>IFERROR(VLOOKUP($W5,'Yearly Budget'!$23:$39,MATCH(BL$1,'Yearly Budget'!$23:$23,0),0),0)</f>
        <v>0</v>
      </c>
      <c r="BM5" s="1">
        <f>IFERROR(VLOOKUP($W5,'Yearly Budget'!$23:$39,MATCH(BM$1,'Yearly Budget'!$23:$23,0),0),0)</f>
        <v>0</v>
      </c>
      <c r="BN5" s="1">
        <f>IFERROR(VLOOKUP($W5,'Yearly Budget'!$23:$39,MATCH(BN$1,'Yearly Budget'!$23:$23,0),0),0)</f>
        <v>0</v>
      </c>
      <c r="BO5" s="1">
        <f>IFERROR(VLOOKUP($W5,'Yearly Budget'!$23:$39,MATCH(BO$1,'Yearly Budget'!$23:$23,0),0),0)</f>
        <v>0</v>
      </c>
      <c r="BP5" s="1">
        <f>IFERROR(VLOOKUP($W5,'Yearly Budget'!$23:$39,MATCH(BP$1,'Yearly Budget'!$23:$23,0),0),0)</f>
        <v>0</v>
      </c>
    </row>
    <row r="6" spans="1:68" x14ac:dyDescent="0.3">
      <c r="A6" s="100">
        <f t="shared" si="4"/>
        <v>52</v>
      </c>
      <c r="B6" s="100">
        <f t="shared" si="5"/>
        <v>2028</v>
      </c>
      <c r="D6" s="102">
        <f ca="1">'Yearly Budget'!E$54</f>
        <v>3414020.920652071</v>
      </c>
      <c r="E6" s="102"/>
      <c r="F6" s="102"/>
      <c r="G6" s="102">
        <f>'Yearly Budget'!E$21</f>
        <v>12278664</v>
      </c>
      <c r="H6" s="102">
        <f t="shared" ca="1" si="1"/>
        <v>3414020.920652071</v>
      </c>
      <c r="I6" s="99"/>
      <c r="J6" s="171">
        <f ca="1">'Yearly Budget'!E$69</f>
        <v>4144130.8267000713</v>
      </c>
      <c r="K6" s="102"/>
      <c r="L6" s="102">
        <f>'Yearly Budget'!E$39</f>
        <v>15425347.176768001</v>
      </c>
      <c r="M6" s="102"/>
      <c r="N6" s="102">
        <f t="shared" ca="1" si="2"/>
        <v>4144130.8267000713</v>
      </c>
      <c r="O6" s="447">
        <f>'Yearly Budget'!E$68</f>
        <v>0</v>
      </c>
      <c r="Q6" s="164">
        <f t="shared" si="6"/>
        <v>12278664</v>
      </c>
      <c r="R6" s="164"/>
      <c r="S6" s="164">
        <f t="shared" ca="1" si="3"/>
        <v>3414020.920652071</v>
      </c>
      <c r="T6" s="447">
        <f>'Yearly Budget'!E$53</f>
        <v>0</v>
      </c>
      <c r="W6" s="416" t="str">
        <f>'Yearly Budget'!A28</f>
        <v>HS Jeevan Anand</v>
      </c>
      <c r="X6" s="1">
        <f>IFERROR(VLOOKUP($W6,'Yearly Budget'!$23:$39,MATCH(X$1,'Yearly Budget'!$23:$23,0),0),0)</f>
        <v>0</v>
      </c>
      <c r="Y6" s="1">
        <f>IFERROR(VLOOKUP($W6,'Yearly Budget'!$23:$39,MATCH(Y$1,'Yearly Budget'!$23:$23,0),0),0)</f>
        <v>0</v>
      </c>
      <c r="Z6" s="1">
        <f>IFERROR(VLOOKUP($W6,'Yearly Budget'!$23:$39,MATCH(Z$1,'Yearly Budget'!$23:$23,0),0),0)</f>
        <v>0</v>
      </c>
      <c r="AA6" s="1">
        <f>IFERROR(VLOOKUP($W6,'Yearly Budget'!$23:$39,MATCH(AA$1,'Yearly Budget'!$23:$23,0),0),0)</f>
        <v>0</v>
      </c>
      <c r="AB6" s="1">
        <f>IFERROR(VLOOKUP($W6,'Yearly Budget'!$23:$39,MATCH(AB$1,'Yearly Budget'!$23:$23,0),0),0)</f>
        <v>0</v>
      </c>
      <c r="AC6" s="1">
        <f>IFERROR(VLOOKUP($W6,'Yearly Budget'!$23:$39,MATCH(AC$1,'Yearly Budget'!$23:$23,0),0),0)</f>
        <v>0</v>
      </c>
      <c r="AD6" s="1">
        <f>IFERROR(VLOOKUP($W6,'Yearly Budget'!$23:$39,MATCH(AD$1,'Yearly Budget'!$23:$23,0),0),0)</f>
        <v>0</v>
      </c>
      <c r="AE6" s="1">
        <f>IFERROR(VLOOKUP($W6,'Yearly Budget'!$23:$39,MATCH(AE$1,'Yearly Budget'!$23:$23,0),0),0)</f>
        <v>0</v>
      </c>
      <c r="AF6" s="1">
        <f>IFERROR(VLOOKUP($W6,'Yearly Budget'!$23:$39,MATCH(AF$1,'Yearly Budget'!$23:$23,0),0),0)</f>
        <v>0</v>
      </c>
      <c r="AG6" s="1">
        <f>IFERROR(VLOOKUP($W6,'Yearly Budget'!$23:$39,MATCH(AG$1,'Yearly Budget'!$23:$23,0),0),0)</f>
        <v>0</v>
      </c>
      <c r="AH6" s="1">
        <f>IFERROR(VLOOKUP($W6,'Yearly Budget'!$23:$39,MATCH(AH$1,'Yearly Budget'!$23:$23,0),0),0)</f>
        <v>0</v>
      </c>
      <c r="AI6" s="1">
        <f>IFERROR(VLOOKUP($W6,'Yearly Budget'!$23:$39,MATCH(AI$1,'Yearly Budget'!$23:$23,0),0),0)</f>
        <v>0</v>
      </c>
      <c r="AJ6" s="1">
        <f>IFERROR(VLOOKUP($W6,'Yearly Budget'!$23:$39,MATCH(AJ$1,'Yearly Budget'!$23:$23,0),0),0)</f>
        <v>0</v>
      </c>
      <c r="AK6" s="1">
        <f>IFERROR(VLOOKUP($W6,'Yearly Budget'!$23:$39,MATCH(AK$1,'Yearly Budget'!$23:$23,0),0),0)</f>
        <v>0</v>
      </c>
      <c r="AL6" s="1">
        <f>IFERROR(VLOOKUP($W6,'Yearly Budget'!$23:$39,MATCH(AL$1,'Yearly Budget'!$23:$23,0),0),0)</f>
        <v>0</v>
      </c>
      <c r="AM6" s="1">
        <f>IFERROR(VLOOKUP($W6,'Yearly Budget'!$23:$39,MATCH(AM$1,'Yearly Budget'!$23:$23,0),0),0)</f>
        <v>0</v>
      </c>
      <c r="AN6" s="1">
        <f>IFERROR(VLOOKUP($W6,'Yearly Budget'!$23:$39,MATCH(AN$1,'Yearly Budget'!$23:$23,0),0),0)</f>
        <v>0</v>
      </c>
      <c r="AO6" s="1">
        <f>IFERROR(VLOOKUP($W6,'Yearly Budget'!$23:$39,MATCH(AO$1,'Yearly Budget'!$23:$23,0),0),0)</f>
        <v>0</v>
      </c>
      <c r="AP6" s="1">
        <f>IFERROR(VLOOKUP($W6,'Yearly Budget'!$23:$39,MATCH(AP$1,'Yearly Budget'!$23:$23,0),0),0)</f>
        <v>0</v>
      </c>
      <c r="AQ6" s="1">
        <f>IFERROR(VLOOKUP($W6,'Yearly Budget'!$23:$39,MATCH(AQ$1,'Yearly Budget'!$23:$23,0),0),0)</f>
        <v>0</v>
      </c>
      <c r="AR6" s="1">
        <f>IFERROR(VLOOKUP($W6,'Yearly Budget'!$23:$39,MATCH(AR$1,'Yearly Budget'!$23:$23,0),0),0)</f>
        <v>0</v>
      </c>
      <c r="AS6" s="1">
        <f>IFERROR(VLOOKUP($W6,'Yearly Budget'!$23:$39,MATCH(AS$1,'Yearly Budget'!$23:$23,0),0),0)</f>
        <v>0</v>
      </c>
      <c r="AT6" s="1">
        <f>IFERROR(VLOOKUP($W6,'Yearly Budget'!$23:$39,MATCH(AT$1,'Yearly Budget'!$23:$23,0),0),0)</f>
        <v>0</v>
      </c>
      <c r="AU6" s="1">
        <f>IFERROR(VLOOKUP($W6,'Yearly Budget'!$23:$39,MATCH(AU$1,'Yearly Budget'!$23:$23,0),0),0)</f>
        <v>0</v>
      </c>
      <c r="AV6" s="1">
        <f>IFERROR(VLOOKUP($W6,'Yearly Budget'!$23:$39,MATCH(AV$1,'Yearly Budget'!$23:$23,0),0),0)</f>
        <v>0</v>
      </c>
      <c r="AW6" s="1">
        <f>IFERROR(VLOOKUP($W6,'Yearly Budget'!$23:$39,MATCH(AW$1,'Yearly Budget'!$23:$23,0),0),0)</f>
        <v>0</v>
      </c>
      <c r="AX6" s="1">
        <f>IFERROR(VLOOKUP($W6,'Yearly Budget'!$23:$39,MATCH(AX$1,'Yearly Budget'!$23:$23,0),0),0)</f>
        <v>0</v>
      </c>
      <c r="AY6" s="1">
        <f>IFERROR(VLOOKUP($W6,'Yearly Budget'!$23:$39,MATCH(AY$1,'Yearly Budget'!$23:$23,0),0),0)</f>
        <v>0</v>
      </c>
      <c r="AZ6" s="1">
        <f>IFERROR(VLOOKUP($W6,'Yearly Budget'!$23:$39,MATCH(AZ$1,'Yearly Budget'!$23:$23,0),0),0)</f>
        <v>0</v>
      </c>
      <c r="BA6" s="1">
        <f>IFERROR(VLOOKUP($W6,'Yearly Budget'!$23:$39,MATCH(BA$1,'Yearly Budget'!$23:$23,0),0),0)</f>
        <v>0</v>
      </c>
      <c r="BB6" s="1">
        <f>IFERROR(VLOOKUP($W6,'Yearly Budget'!$23:$39,MATCH(BB$1,'Yearly Budget'!$23:$23,0),0),0)</f>
        <v>0</v>
      </c>
      <c r="BC6" s="1">
        <f>IFERROR(VLOOKUP($W6,'Yearly Budget'!$23:$39,MATCH(BC$1,'Yearly Budget'!$23:$23,0),0),0)</f>
        <v>0</v>
      </c>
      <c r="BD6" s="1">
        <f>IFERROR(VLOOKUP($W6,'Yearly Budget'!$23:$39,MATCH(BD$1,'Yearly Budget'!$23:$23,0),0),0)</f>
        <v>0</v>
      </c>
      <c r="BE6" s="1">
        <f>IFERROR(VLOOKUP($W6,'Yearly Budget'!$23:$39,MATCH(BE$1,'Yearly Budget'!$23:$23,0),0),0)</f>
        <v>0</v>
      </c>
      <c r="BF6" s="1">
        <f>IFERROR(VLOOKUP($W6,'Yearly Budget'!$23:$39,MATCH(BF$1,'Yearly Budget'!$23:$23,0),0),0)</f>
        <v>0</v>
      </c>
      <c r="BG6" s="1">
        <f>IFERROR(VLOOKUP($W6,'Yearly Budget'!$23:$39,MATCH(BG$1,'Yearly Budget'!$23:$23,0),0),0)</f>
        <v>0</v>
      </c>
      <c r="BH6" s="1">
        <f>IFERROR(VLOOKUP($W6,'Yearly Budget'!$23:$39,MATCH(BH$1,'Yearly Budget'!$23:$23,0),0),0)</f>
        <v>0</v>
      </c>
      <c r="BI6" s="1">
        <f>IFERROR(VLOOKUP($W6,'Yearly Budget'!$23:$39,MATCH(BI$1,'Yearly Budget'!$23:$23,0),0),0)</f>
        <v>0</v>
      </c>
      <c r="BJ6" s="1">
        <f>IFERROR(VLOOKUP($W6,'Yearly Budget'!$23:$39,MATCH(BJ$1,'Yearly Budget'!$23:$23,0),0),0)</f>
        <v>0</v>
      </c>
      <c r="BK6" s="1">
        <f>IFERROR(VLOOKUP($W6,'Yearly Budget'!$23:$39,MATCH(BK$1,'Yearly Budget'!$23:$23,0),0),0)</f>
        <v>0</v>
      </c>
      <c r="BL6" s="1">
        <f>IFERROR(VLOOKUP($W6,'Yearly Budget'!$23:$39,MATCH(BL$1,'Yearly Budget'!$23:$23,0),0),0)</f>
        <v>0</v>
      </c>
      <c r="BM6" s="1">
        <f>IFERROR(VLOOKUP($W6,'Yearly Budget'!$23:$39,MATCH(BM$1,'Yearly Budget'!$23:$23,0),0),0)</f>
        <v>0</v>
      </c>
      <c r="BN6" s="1">
        <f>IFERROR(VLOOKUP($W6,'Yearly Budget'!$23:$39,MATCH(BN$1,'Yearly Budget'!$23:$23,0),0),0)</f>
        <v>0</v>
      </c>
      <c r="BO6" s="1">
        <f>IFERROR(VLOOKUP($W6,'Yearly Budget'!$23:$39,MATCH(BO$1,'Yearly Budget'!$23:$23,0),0),0)</f>
        <v>0</v>
      </c>
      <c r="BP6" s="1">
        <f>IFERROR(VLOOKUP($W6,'Yearly Budget'!$23:$39,MATCH(BP$1,'Yearly Budget'!$23:$23,0),0),0)</f>
        <v>0</v>
      </c>
    </row>
    <row r="7" spans="1:68" x14ac:dyDescent="0.3">
      <c r="A7" s="100">
        <f t="shared" si="4"/>
        <v>53</v>
      </c>
      <c r="B7" s="100">
        <f t="shared" si="5"/>
        <v>2029</v>
      </c>
      <c r="D7" s="102">
        <f ca="1">'Yearly Budget'!F$54</f>
        <v>6056903</v>
      </c>
      <c r="E7" s="102"/>
      <c r="F7" s="102"/>
      <c r="G7" s="102">
        <f>'Yearly Budget'!F$21</f>
        <v>12278664</v>
      </c>
      <c r="H7" s="102">
        <f t="shared" ca="1" si="1"/>
        <v>6056903</v>
      </c>
      <c r="I7" s="99"/>
      <c r="J7" s="171">
        <f ca="1">'Yearly Budget'!F$69</f>
        <v>7579895.6985318419</v>
      </c>
      <c r="K7" s="102"/>
      <c r="L7" s="102">
        <f>'Yearly Budget'!F$39</f>
        <v>16645709.200909443</v>
      </c>
      <c r="M7" s="102"/>
      <c r="N7" s="102">
        <f t="shared" ca="1" si="2"/>
        <v>4070320.0185318412</v>
      </c>
      <c r="O7" s="447">
        <f>'Yearly Budget'!F$68</f>
        <v>3509575.6800000006</v>
      </c>
      <c r="Q7" s="164">
        <f t="shared" si="6"/>
        <v>12278664</v>
      </c>
      <c r="R7" s="164"/>
      <c r="S7" s="164">
        <f t="shared" ca="1" si="3"/>
        <v>3056903</v>
      </c>
      <c r="T7" s="447">
        <f>'Yearly Budget'!F$53</f>
        <v>3000000</v>
      </c>
      <c r="W7" s="416" t="str">
        <f>'Yearly Budget'!A29</f>
        <v>NS Jeevan Tarang</v>
      </c>
      <c r="X7" s="1">
        <f>IFERROR(VLOOKUP($W7,'Yearly Budget'!$23:$39,MATCH(X$1,'Yearly Budget'!$23:$23,0),0),0)</f>
        <v>0</v>
      </c>
      <c r="Y7" s="1">
        <f>IFERROR(VLOOKUP($W7,'Yearly Budget'!$23:$39,MATCH(Y$1,'Yearly Budget'!$23:$23,0),0),0)</f>
        <v>0</v>
      </c>
      <c r="Z7" s="1">
        <f>IFERROR(VLOOKUP($W7,'Yearly Budget'!$23:$39,MATCH(Z$1,'Yearly Budget'!$23:$23,0),0),0)</f>
        <v>0</v>
      </c>
      <c r="AA7" s="1">
        <f>IFERROR(VLOOKUP($W7,'Yearly Budget'!$23:$39,MATCH(AA$1,'Yearly Budget'!$23:$23,0),0),0)</f>
        <v>0</v>
      </c>
      <c r="AB7" s="1">
        <f>IFERROR(VLOOKUP($W7,'Yearly Budget'!$23:$39,MATCH(AB$1,'Yearly Budget'!$23:$23,0),0),0)</f>
        <v>0</v>
      </c>
      <c r="AC7" s="1">
        <f>IFERROR(VLOOKUP($W7,'Yearly Budget'!$23:$39,MATCH(AC$1,'Yearly Budget'!$23:$23,0),0),0)</f>
        <v>0</v>
      </c>
      <c r="AD7" s="1">
        <f>IFERROR(VLOOKUP($W7,'Yearly Budget'!$23:$39,MATCH(AD$1,'Yearly Budget'!$23:$23,0),0),0)</f>
        <v>0</v>
      </c>
      <c r="AE7" s="1">
        <f>IFERROR(VLOOKUP($W7,'Yearly Budget'!$23:$39,MATCH(AE$1,'Yearly Budget'!$23:$23,0),0),0)</f>
        <v>0</v>
      </c>
      <c r="AF7" s="1">
        <f>IFERROR(VLOOKUP($W7,'Yearly Budget'!$23:$39,MATCH(AF$1,'Yearly Budget'!$23:$23,0),0),0)</f>
        <v>0</v>
      </c>
      <c r="AG7" s="1">
        <f>IFERROR(VLOOKUP($W7,'Yearly Budget'!$23:$39,MATCH(AG$1,'Yearly Budget'!$23:$23,0),0),0)</f>
        <v>0</v>
      </c>
      <c r="AH7" s="1">
        <f>IFERROR(VLOOKUP($W7,'Yearly Budget'!$23:$39,MATCH(AH$1,'Yearly Budget'!$23:$23,0),0),0)</f>
        <v>0</v>
      </c>
      <c r="AI7" s="1">
        <f>IFERROR(VLOOKUP($W7,'Yearly Budget'!$23:$39,MATCH(AI$1,'Yearly Budget'!$23:$23,0),0),0)</f>
        <v>0</v>
      </c>
      <c r="AJ7" s="1">
        <f>IFERROR(VLOOKUP($W7,'Yearly Budget'!$23:$39,MATCH(AJ$1,'Yearly Budget'!$23:$23,0),0),0)</f>
        <v>0</v>
      </c>
      <c r="AK7" s="1">
        <f>IFERROR(VLOOKUP($W7,'Yearly Budget'!$23:$39,MATCH(AK$1,'Yearly Budget'!$23:$23,0),0),0)</f>
        <v>0</v>
      </c>
      <c r="AL7" s="1">
        <f>IFERROR(VLOOKUP($W7,'Yearly Budget'!$23:$39,MATCH(AL$1,'Yearly Budget'!$23:$23,0),0),0)</f>
        <v>0</v>
      </c>
      <c r="AM7" s="1">
        <f>IFERROR(VLOOKUP($W7,'Yearly Budget'!$23:$39,MATCH(AM$1,'Yearly Budget'!$23:$23,0),0),0)</f>
        <v>0</v>
      </c>
      <c r="AN7" s="1">
        <f>IFERROR(VLOOKUP($W7,'Yearly Budget'!$23:$39,MATCH(AN$1,'Yearly Budget'!$23:$23,0),0),0)</f>
        <v>0</v>
      </c>
      <c r="AO7" s="1">
        <f>IFERROR(VLOOKUP($W7,'Yearly Budget'!$23:$39,MATCH(AO$1,'Yearly Budget'!$23:$23,0),0),0)</f>
        <v>0</v>
      </c>
      <c r="AP7" s="1">
        <f>IFERROR(VLOOKUP($W7,'Yearly Budget'!$23:$39,MATCH(AP$1,'Yearly Budget'!$23:$23,0),0),0)</f>
        <v>0</v>
      </c>
      <c r="AQ7" s="1">
        <f>IFERROR(VLOOKUP($W7,'Yearly Budget'!$23:$39,MATCH(AQ$1,'Yearly Budget'!$23:$23,0),0),0)</f>
        <v>0</v>
      </c>
      <c r="AR7" s="1">
        <f>IFERROR(VLOOKUP($W7,'Yearly Budget'!$23:$39,MATCH(AR$1,'Yearly Budget'!$23:$23,0),0),0)</f>
        <v>0</v>
      </c>
      <c r="AS7" s="1">
        <f>IFERROR(VLOOKUP($W7,'Yearly Budget'!$23:$39,MATCH(AS$1,'Yearly Budget'!$23:$23,0),0),0)</f>
        <v>0</v>
      </c>
      <c r="AT7" s="1">
        <f>IFERROR(VLOOKUP($W7,'Yearly Budget'!$23:$39,MATCH(AT$1,'Yearly Budget'!$23:$23,0),0),0)</f>
        <v>0</v>
      </c>
      <c r="AU7" s="1">
        <f>IFERROR(VLOOKUP($W7,'Yearly Budget'!$23:$39,MATCH(AU$1,'Yearly Budget'!$23:$23,0),0),0)</f>
        <v>0</v>
      </c>
      <c r="AV7" s="1">
        <f>IFERROR(VLOOKUP($W7,'Yearly Budget'!$23:$39,MATCH(AV$1,'Yearly Budget'!$23:$23,0),0),0)</f>
        <v>0</v>
      </c>
      <c r="AW7" s="1">
        <f>IFERROR(VLOOKUP($W7,'Yearly Budget'!$23:$39,MATCH(AW$1,'Yearly Budget'!$23:$23,0),0),0)</f>
        <v>0</v>
      </c>
      <c r="AX7" s="1">
        <f>IFERROR(VLOOKUP($W7,'Yearly Budget'!$23:$39,MATCH(AX$1,'Yearly Budget'!$23:$23,0),0),0)</f>
        <v>0</v>
      </c>
      <c r="AY7" s="1">
        <f>IFERROR(VLOOKUP($W7,'Yearly Budget'!$23:$39,MATCH(AY$1,'Yearly Budget'!$23:$23,0),0),0)</f>
        <v>0</v>
      </c>
      <c r="AZ7" s="1">
        <f>IFERROR(VLOOKUP($W7,'Yearly Budget'!$23:$39,MATCH(AZ$1,'Yearly Budget'!$23:$23,0),0),0)</f>
        <v>0</v>
      </c>
      <c r="BA7" s="1">
        <f>IFERROR(VLOOKUP($W7,'Yearly Budget'!$23:$39,MATCH(BA$1,'Yearly Budget'!$23:$23,0),0),0)</f>
        <v>0</v>
      </c>
      <c r="BB7" s="1">
        <f>IFERROR(VLOOKUP($W7,'Yearly Budget'!$23:$39,MATCH(BB$1,'Yearly Budget'!$23:$23,0),0),0)</f>
        <v>0</v>
      </c>
      <c r="BC7" s="1">
        <f>IFERROR(VLOOKUP($W7,'Yearly Budget'!$23:$39,MATCH(BC$1,'Yearly Budget'!$23:$23,0),0),0)</f>
        <v>0</v>
      </c>
      <c r="BD7" s="1">
        <f>IFERROR(VLOOKUP($W7,'Yearly Budget'!$23:$39,MATCH(BD$1,'Yearly Budget'!$23:$23,0),0),0)</f>
        <v>0</v>
      </c>
      <c r="BE7" s="1">
        <f>IFERROR(VLOOKUP($W7,'Yearly Budget'!$23:$39,MATCH(BE$1,'Yearly Budget'!$23:$23,0),0),0)</f>
        <v>0</v>
      </c>
      <c r="BF7" s="1">
        <f>IFERROR(VLOOKUP($W7,'Yearly Budget'!$23:$39,MATCH(BF$1,'Yearly Budget'!$23:$23,0),0),0)</f>
        <v>0</v>
      </c>
      <c r="BG7" s="1">
        <f>IFERROR(VLOOKUP($W7,'Yearly Budget'!$23:$39,MATCH(BG$1,'Yearly Budget'!$23:$23,0),0),0)</f>
        <v>0</v>
      </c>
      <c r="BH7" s="1">
        <f>IFERROR(VLOOKUP($W7,'Yearly Budget'!$23:$39,MATCH(BH$1,'Yearly Budget'!$23:$23,0),0),0)</f>
        <v>0</v>
      </c>
      <c r="BI7" s="1">
        <f>IFERROR(VLOOKUP($W7,'Yearly Budget'!$23:$39,MATCH(BI$1,'Yearly Budget'!$23:$23,0),0),0)</f>
        <v>0</v>
      </c>
      <c r="BJ7" s="1">
        <f>IFERROR(VLOOKUP($W7,'Yearly Budget'!$23:$39,MATCH(BJ$1,'Yearly Budget'!$23:$23,0),0),0)</f>
        <v>0</v>
      </c>
      <c r="BK7" s="1">
        <f>IFERROR(VLOOKUP($W7,'Yearly Budget'!$23:$39,MATCH(BK$1,'Yearly Budget'!$23:$23,0),0),0)</f>
        <v>0</v>
      </c>
      <c r="BL7" s="1">
        <f>IFERROR(VLOOKUP($W7,'Yearly Budget'!$23:$39,MATCH(BL$1,'Yearly Budget'!$23:$23,0),0),0)</f>
        <v>0</v>
      </c>
      <c r="BM7" s="1">
        <f>IFERROR(VLOOKUP($W7,'Yearly Budget'!$23:$39,MATCH(BM$1,'Yearly Budget'!$23:$23,0),0),0)</f>
        <v>0</v>
      </c>
      <c r="BN7" s="1">
        <f>IFERROR(VLOOKUP($W7,'Yearly Budget'!$23:$39,MATCH(BN$1,'Yearly Budget'!$23:$23,0),0),0)</f>
        <v>0</v>
      </c>
      <c r="BO7" s="1">
        <f>IFERROR(VLOOKUP($W7,'Yearly Budget'!$23:$39,MATCH(BO$1,'Yearly Budget'!$23:$23,0),0),0)</f>
        <v>0</v>
      </c>
      <c r="BP7" s="1">
        <f>IFERROR(VLOOKUP($W7,'Yearly Budget'!$23:$39,MATCH(BP$1,'Yearly Budget'!$23:$23,0),0),0)</f>
        <v>0</v>
      </c>
    </row>
    <row r="8" spans="1:68" x14ac:dyDescent="0.3">
      <c r="A8" s="100">
        <f t="shared" si="4"/>
        <v>54</v>
      </c>
      <c r="B8" s="100">
        <f t="shared" si="5"/>
        <v>2030</v>
      </c>
      <c r="D8" s="102">
        <f ca="1">'Yearly Budget'!G$54</f>
        <v>16056903</v>
      </c>
      <c r="E8" s="102"/>
      <c r="F8" s="102"/>
      <c r="G8" s="102">
        <f>'Yearly Budget'!G$21</f>
        <v>12278664</v>
      </c>
      <c r="H8" s="102">
        <f t="shared" ca="1" si="1"/>
        <v>16056903</v>
      </c>
      <c r="I8" s="99"/>
      <c r="J8" s="171">
        <f ca="1">'Yearly Budget'!G$69</f>
        <v>19618991.150214385</v>
      </c>
      <c r="K8" s="102"/>
      <c r="L8" s="102">
        <f>'Yearly Budget'!G$39</f>
        <v>17963352.899482198</v>
      </c>
      <c r="M8" s="102"/>
      <c r="N8" s="102">
        <f t="shared" ca="1" si="2"/>
        <v>4376291.7000143863</v>
      </c>
      <c r="O8" s="447">
        <f>'Yearly Budget'!G$68</f>
        <v>15242699.450199999</v>
      </c>
      <c r="Q8" s="164">
        <f t="shared" si="6"/>
        <v>12278664</v>
      </c>
      <c r="R8" s="164"/>
      <c r="S8" s="164">
        <f t="shared" ca="1" si="3"/>
        <v>3056903</v>
      </c>
      <c r="T8" s="447">
        <f>'Yearly Budget'!G$53</f>
        <v>13000000</v>
      </c>
      <c r="W8" s="416" t="str">
        <f>'Yearly Budget'!A30</f>
        <v>SG Jeevan Tarang</v>
      </c>
      <c r="X8" s="1">
        <f>IFERROR(VLOOKUP($W8,'Yearly Budget'!$23:$39,MATCH(X$1,'Yearly Budget'!$23:$23,0),0),0)</f>
        <v>0</v>
      </c>
      <c r="Y8" s="1">
        <f>IFERROR(VLOOKUP($W8,'Yearly Budget'!$23:$39,MATCH(Y$1,'Yearly Budget'!$23:$23,0),0),0)</f>
        <v>0</v>
      </c>
      <c r="Z8" s="1">
        <f>IFERROR(VLOOKUP($W8,'Yearly Budget'!$23:$39,MATCH(Z$1,'Yearly Budget'!$23:$23,0),0),0)</f>
        <v>0</v>
      </c>
      <c r="AA8" s="1">
        <f>IFERROR(VLOOKUP($W8,'Yearly Budget'!$23:$39,MATCH(AA$1,'Yearly Budget'!$23:$23,0),0),0)</f>
        <v>0</v>
      </c>
      <c r="AB8" s="1">
        <f>IFERROR(VLOOKUP($W8,'Yearly Budget'!$23:$39,MATCH(AB$1,'Yearly Budget'!$23:$23,0),0),0)</f>
        <v>0</v>
      </c>
      <c r="AC8" s="1">
        <f>IFERROR(VLOOKUP($W8,'Yearly Budget'!$23:$39,MATCH(AC$1,'Yearly Budget'!$23:$23,0),0),0)</f>
        <v>0</v>
      </c>
      <c r="AD8" s="1">
        <f>IFERROR(VLOOKUP($W8,'Yearly Budget'!$23:$39,MATCH(AD$1,'Yearly Budget'!$23:$23,0),0),0)</f>
        <v>0</v>
      </c>
      <c r="AE8" s="1">
        <f>IFERROR(VLOOKUP($W8,'Yearly Budget'!$23:$39,MATCH(AE$1,'Yearly Budget'!$23:$23,0),0),0)</f>
        <v>0</v>
      </c>
      <c r="AF8" s="1">
        <f>IFERROR(VLOOKUP($W8,'Yearly Budget'!$23:$39,MATCH(AF$1,'Yearly Budget'!$23:$23,0),0),0)</f>
        <v>0</v>
      </c>
      <c r="AG8" s="1">
        <f>IFERROR(VLOOKUP($W8,'Yearly Budget'!$23:$39,MATCH(AG$1,'Yearly Budget'!$23:$23,0),0),0)</f>
        <v>0</v>
      </c>
      <c r="AH8" s="1">
        <f>IFERROR(VLOOKUP($W8,'Yearly Budget'!$23:$39,MATCH(AH$1,'Yearly Budget'!$23:$23,0),0),0)</f>
        <v>0</v>
      </c>
      <c r="AI8" s="1">
        <f>IFERROR(VLOOKUP($W8,'Yearly Budget'!$23:$39,MATCH(AI$1,'Yearly Budget'!$23:$23,0),0),0)</f>
        <v>0</v>
      </c>
      <c r="AJ8" s="1">
        <f>IFERROR(VLOOKUP($W8,'Yearly Budget'!$23:$39,MATCH(AJ$1,'Yearly Budget'!$23:$23,0),0),0)</f>
        <v>0</v>
      </c>
      <c r="AK8" s="1">
        <f>IFERROR(VLOOKUP($W8,'Yearly Budget'!$23:$39,MATCH(AK$1,'Yearly Budget'!$23:$23,0),0),0)</f>
        <v>0</v>
      </c>
      <c r="AL8" s="1">
        <f>IFERROR(VLOOKUP($W8,'Yearly Budget'!$23:$39,MATCH(AL$1,'Yearly Budget'!$23:$23,0),0),0)</f>
        <v>0</v>
      </c>
      <c r="AM8" s="1">
        <f>IFERROR(VLOOKUP($W8,'Yearly Budget'!$23:$39,MATCH(AM$1,'Yearly Budget'!$23:$23,0),0),0)</f>
        <v>0</v>
      </c>
      <c r="AN8" s="1">
        <f>IFERROR(VLOOKUP($W8,'Yearly Budget'!$23:$39,MATCH(AN$1,'Yearly Budget'!$23:$23,0),0),0)</f>
        <v>0</v>
      </c>
      <c r="AO8" s="1">
        <f>IFERROR(VLOOKUP($W8,'Yearly Budget'!$23:$39,MATCH(AO$1,'Yearly Budget'!$23:$23,0),0),0)</f>
        <v>0</v>
      </c>
      <c r="AP8" s="1">
        <f>IFERROR(VLOOKUP($W8,'Yearly Budget'!$23:$39,MATCH(AP$1,'Yearly Budget'!$23:$23,0),0),0)</f>
        <v>0</v>
      </c>
      <c r="AQ8" s="1">
        <f>IFERROR(VLOOKUP($W8,'Yearly Budget'!$23:$39,MATCH(AQ$1,'Yearly Budget'!$23:$23,0),0),0)</f>
        <v>0</v>
      </c>
      <c r="AR8" s="1">
        <f>IFERROR(VLOOKUP($W8,'Yearly Budget'!$23:$39,MATCH(AR$1,'Yearly Budget'!$23:$23,0),0),0)</f>
        <v>0</v>
      </c>
      <c r="AS8" s="1">
        <f>IFERROR(VLOOKUP($W8,'Yearly Budget'!$23:$39,MATCH(AS$1,'Yearly Budget'!$23:$23,0),0),0)</f>
        <v>0</v>
      </c>
      <c r="AT8" s="1">
        <f>IFERROR(VLOOKUP($W8,'Yearly Budget'!$23:$39,MATCH(AT$1,'Yearly Budget'!$23:$23,0),0),0)</f>
        <v>0</v>
      </c>
      <c r="AU8" s="1">
        <f>IFERROR(VLOOKUP($W8,'Yearly Budget'!$23:$39,MATCH(AU$1,'Yearly Budget'!$23:$23,0),0),0)</f>
        <v>0</v>
      </c>
      <c r="AV8" s="1">
        <f>IFERROR(VLOOKUP($W8,'Yearly Budget'!$23:$39,MATCH(AV$1,'Yearly Budget'!$23:$23,0),0),0)</f>
        <v>0</v>
      </c>
      <c r="AW8" s="1">
        <f>IFERROR(VLOOKUP($W8,'Yearly Budget'!$23:$39,MATCH(AW$1,'Yearly Budget'!$23:$23,0),0),0)</f>
        <v>0</v>
      </c>
      <c r="AX8" s="1">
        <f>IFERROR(VLOOKUP($W8,'Yearly Budget'!$23:$39,MATCH(AX$1,'Yearly Budget'!$23:$23,0),0),0)</f>
        <v>0</v>
      </c>
      <c r="AY8" s="1">
        <f>IFERROR(VLOOKUP($W8,'Yearly Budget'!$23:$39,MATCH(AY$1,'Yearly Budget'!$23:$23,0),0),0)</f>
        <v>0</v>
      </c>
      <c r="AZ8" s="1">
        <f>IFERROR(VLOOKUP($W8,'Yearly Budget'!$23:$39,MATCH(AZ$1,'Yearly Budget'!$23:$23,0),0),0)</f>
        <v>0</v>
      </c>
      <c r="BA8" s="1">
        <f>IFERROR(VLOOKUP($W8,'Yearly Budget'!$23:$39,MATCH(BA$1,'Yearly Budget'!$23:$23,0),0),0)</f>
        <v>0</v>
      </c>
      <c r="BB8" s="1">
        <f>IFERROR(VLOOKUP($W8,'Yearly Budget'!$23:$39,MATCH(BB$1,'Yearly Budget'!$23:$23,0),0),0)</f>
        <v>0</v>
      </c>
      <c r="BC8" s="1">
        <f>IFERROR(VLOOKUP($W8,'Yearly Budget'!$23:$39,MATCH(BC$1,'Yearly Budget'!$23:$23,0),0),0)</f>
        <v>0</v>
      </c>
      <c r="BD8" s="1">
        <f>IFERROR(VLOOKUP($W8,'Yearly Budget'!$23:$39,MATCH(BD$1,'Yearly Budget'!$23:$23,0),0),0)</f>
        <v>0</v>
      </c>
      <c r="BE8" s="1">
        <f>IFERROR(VLOOKUP($W8,'Yearly Budget'!$23:$39,MATCH(BE$1,'Yearly Budget'!$23:$23,0),0),0)</f>
        <v>0</v>
      </c>
      <c r="BF8" s="1">
        <f>IFERROR(VLOOKUP($W8,'Yearly Budget'!$23:$39,MATCH(BF$1,'Yearly Budget'!$23:$23,0),0),0)</f>
        <v>0</v>
      </c>
      <c r="BG8" s="1">
        <f>IFERROR(VLOOKUP($W8,'Yearly Budget'!$23:$39,MATCH(BG$1,'Yearly Budget'!$23:$23,0),0),0)</f>
        <v>0</v>
      </c>
      <c r="BH8" s="1">
        <f>IFERROR(VLOOKUP($W8,'Yearly Budget'!$23:$39,MATCH(BH$1,'Yearly Budget'!$23:$23,0),0),0)</f>
        <v>0</v>
      </c>
      <c r="BI8" s="1">
        <f>IFERROR(VLOOKUP($W8,'Yearly Budget'!$23:$39,MATCH(BI$1,'Yearly Budget'!$23:$23,0),0),0)</f>
        <v>0</v>
      </c>
      <c r="BJ8" s="1">
        <f>IFERROR(VLOOKUP($W8,'Yearly Budget'!$23:$39,MATCH(BJ$1,'Yearly Budget'!$23:$23,0),0),0)</f>
        <v>0</v>
      </c>
      <c r="BK8" s="1">
        <f>IFERROR(VLOOKUP($W8,'Yearly Budget'!$23:$39,MATCH(BK$1,'Yearly Budget'!$23:$23,0),0),0)</f>
        <v>0</v>
      </c>
      <c r="BL8" s="1">
        <f>IFERROR(VLOOKUP($W8,'Yearly Budget'!$23:$39,MATCH(BL$1,'Yearly Budget'!$23:$23,0),0),0)</f>
        <v>0</v>
      </c>
      <c r="BM8" s="1">
        <f>IFERROR(VLOOKUP($W8,'Yearly Budget'!$23:$39,MATCH(BM$1,'Yearly Budget'!$23:$23,0),0),0)</f>
        <v>0</v>
      </c>
      <c r="BN8" s="1">
        <f>IFERROR(VLOOKUP($W8,'Yearly Budget'!$23:$39,MATCH(BN$1,'Yearly Budget'!$23:$23,0),0),0)</f>
        <v>0</v>
      </c>
      <c r="BO8" s="1">
        <f>IFERROR(VLOOKUP($W8,'Yearly Budget'!$23:$39,MATCH(BO$1,'Yearly Budget'!$23:$23,0),0),0)</f>
        <v>0</v>
      </c>
      <c r="BP8" s="1">
        <f>IFERROR(VLOOKUP($W8,'Yearly Budget'!$23:$39,MATCH(BP$1,'Yearly Budget'!$23:$23,0),0),0)</f>
        <v>0</v>
      </c>
    </row>
    <row r="9" spans="1:68" x14ac:dyDescent="0.3">
      <c r="A9" s="100">
        <f t="shared" si="4"/>
        <v>55</v>
      </c>
      <c r="B9" s="100">
        <f t="shared" si="5"/>
        <v>2031</v>
      </c>
      <c r="D9" s="102">
        <f ca="1">'Yearly Budget'!H$54</f>
        <v>6056903</v>
      </c>
      <c r="E9" s="102"/>
      <c r="F9" s="102"/>
      <c r="G9" s="102">
        <f>'Yearly Budget'!H$21</f>
        <v>12278664</v>
      </c>
      <c r="H9" s="102">
        <f t="shared" ca="1" si="1"/>
        <v>6056903</v>
      </c>
      <c r="I9" s="99"/>
      <c r="J9" s="171">
        <f ca="1">'Yearly Budget'!H$69</f>
        <v>8502698.171503542</v>
      </c>
      <c r="K9" s="102"/>
      <c r="L9" s="102">
        <f>'Yearly Budget'!H$39</f>
        <v>19386043.442065779</v>
      </c>
      <c r="M9" s="102"/>
      <c r="N9" s="102">
        <f t="shared" ca="1" si="2"/>
        <v>4706741.1160155404</v>
      </c>
      <c r="O9" s="447">
        <f>'Yearly Budget'!H$68</f>
        <v>3795957.0554880011</v>
      </c>
      <c r="Q9" s="164">
        <f t="shared" si="6"/>
        <v>12278664</v>
      </c>
      <c r="R9" s="164"/>
      <c r="S9" s="164">
        <f t="shared" ca="1" si="3"/>
        <v>3056903</v>
      </c>
      <c r="T9" s="447">
        <f>'Yearly Budget'!H$53</f>
        <v>3000000</v>
      </c>
      <c r="W9" s="416">
        <f>'Yearly Budget'!A31</f>
        <v>0</v>
      </c>
      <c r="X9" s="1">
        <f>IFERROR(VLOOKUP($W9,'Yearly Budget'!$23:$39,MATCH(X$1,'Yearly Budget'!$23:$23,0),0),0)</f>
        <v>0</v>
      </c>
      <c r="Y9" s="1">
        <f>IFERROR(VLOOKUP($W9,'Yearly Budget'!$23:$39,MATCH(Y$1,'Yearly Budget'!$23:$23,0),0),0)</f>
        <v>0</v>
      </c>
      <c r="Z9" s="1">
        <f>IFERROR(VLOOKUP($W9,'Yearly Budget'!$23:$39,MATCH(Z$1,'Yearly Budget'!$23:$23,0),0),0)</f>
        <v>0</v>
      </c>
      <c r="AA9" s="1">
        <f>IFERROR(VLOOKUP($W9,'Yearly Budget'!$23:$39,MATCH(AA$1,'Yearly Budget'!$23:$23,0),0),0)</f>
        <v>0</v>
      </c>
      <c r="AB9" s="1">
        <f>IFERROR(VLOOKUP($W9,'Yearly Budget'!$23:$39,MATCH(AB$1,'Yearly Budget'!$23:$23,0),0),0)</f>
        <v>0</v>
      </c>
      <c r="AC9" s="1">
        <f>IFERROR(VLOOKUP($W9,'Yearly Budget'!$23:$39,MATCH(AC$1,'Yearly Budget'!$23:$23,0),0),0)</f>
        <v>0</v>
      </c>
      <c r="AD9" s="1">
        <f>IFERROR(VLOOKUP($W9,'Yearly Budget'!$23:$39,MATCH(AD$1,'Yearly Budget'!$23:$23,0),0),0)</f>
        <v>0</v>
      </c>
      <c r="AE9" s="1">
        <f>IFERROR(VLOOKUP($W9,'Yearly Budget'!$23:$39,MATCH(AE$1,'Yearly Budget'!$23:$23,0),0),0)</f>
        <v>0</v>
      </c>
      <c r="AF9" s="1">
        <f>IFERROR(VLOOKUP($W9,'Yearly Budget'!$23:$39,MATCH(AF$1,'Yearly Budget'!$23:$23,0),0),0)</f>
        <v>0</v>
      </c>
      <c r="AG9" s="1">
        <f>IFERROR(VLOOKUP($W9,'Yearly Budget'!$23:$39,MATCH(AG$1,'Yearly Budget'!$23:$23,0),0),0)</f>
        <v>0</v>
      </c>
      <c r="AH9" s="1">
        <f>IFERROR(VLOOKUP($W9,'Yearly Budget'!$23:$39,MATCH(AH$1,'Yearly Budget'!$23:$23,0),0),0)</f>
        <v>0</v>
      </c>
      <c r="AI9" s="1">
        <f>IFERROR(VLOOKUP($W9,'Yearly Budget'!$23:$39,MATCH(AI$1,'Yearly Budget'!$23:$23,0),0),0)</f>
        <v>0</v>
      </c>
      <c r="AJ9" s="1">
        <f>IFERROR(VLOOKUP($W9,'Yearly Budget'!$23:$39,MATCH(AJ$1,'Yearly Budget'!$23:$23,0),0),0)</f>
        <v>0</v>
      </c>
      <c r="AK9" s="1">
        <f>IFERROR(VLOOKUP($W9,'Yearly Budget'!$23:$39,MATCH(AK$1,'Yearly Budget'!$23:$23,0),0),0)</f>
        <v>0</v>
      </c>
      <c r="AL9" s="1">
        <f>IFERROR(VLOOKUP($W9,'Yearly Budget'!$23:$39,MATCH(AL$1,'Yearly Budget'!$23:$23,0),0),0)</f>
        <v>0</v>
      </c>
      <c r="AM9" s="1">
        <f>IFERROR(VLOOKUP($W9,'Yearly Budget'!$23:$39,MATCH(AM$1,'Yearly Budget'!$23:$23,0),0),0)</f>
        <v>0</v>
      </c>
      <c r="AN9" s="1">
        <f>IFERROR(VLOOKUP($W9,'Yearly Budget'!$23:$39,MATCH(AN$1,'Yearly Budget'!$23:$23,0),0),0)</f>
        <v>0</v>
      </c>
      <c r="AO9" s="1">
        <f>IFERROR(VLOOKUP($W9,'Yearly Budget'!$23:$39,MATCH(AO$1,'Yearly Budget'!$23:$23,0),0),0)</f>
        <v>0</v>
      </c>
      <c r="AP9" s="1">
        <f>IFERROR(VLOOKUP($W9,'Yearly Budget'!$23:$39,MATCH(AP$1,'Yearly Budget'!$23:$23,0),0),0)</f>
        <v>0</v>
      </c>
      <c r="AQ9" s="1">
        <f>IFERROR(VLOOKUP($W9,'Yearly Budget'!$23:$39,MATCH(AQ$1,'Yearly Budget'!$23:$23,0),0),0)</f>
        <v>0</v>
      </c>
      <c r="AR9" s="1">
        <f>IFERROR(VLOOKUP($W9,'Yearly Budget'!$23:$39,MATCH(AR$1,'Yearly Budget'!$23:$23,0),0),0)</f>
        <v>0</v>
      </c>
      <c r="AS9" s="1">
        <f>IFERROR(VLOOKUP($W9,'Yearly Budget'!$23:$39,MATCH(AS$1,'Yearly Budget'!$23:$23,0),0),0)</f>
        <v>0</v>
      </c>
      <c r="AT9" s="1">
        <f>IFERROR(VLOOKUP($W9,'Yearly Budget'!$23:$39,MATCH(AT$1,'Yearly Budget'!$23:$23,0),0),0)</f>
        <v>0</v>
      </c>
      <c r="AU9" s="1">
        <f>IFERROR(VLOOKUP($W9,'Yearly Budget'!$23:$39,MATCH(AU$1,'Yearly Budget'!$23:$23,0),0),0)</f>
        <v>0</v>
      </c>
      <c r="AV9" s="1">
        <f>IFERROR(VLOOKUP($W9,'Yearly Budget'!$23:$39,MATCH(AV$1,'Yearly Budget'!$23:$23,0),0),0)</f>
        <v>0</v>
      </c>
      <c r="AW9" s="1">
        <f>IFERROR(VLOOKUP($W9,'Yearly Budget'!$23:$39,MATCH(AW$1,'Yearly Budget'!$23:$23,0),0),0)</f>
        <v>0</v>
      </c>
      <c r="AX9" s="1">
        <f>IFERROR(VLOOKUP($W9,'Yearly Budget'!$23:$39,MATCH(AX$1,'Yearly Budget'!$23:$23,0),0),0)</f>
        <v>0</v>
      </c>
      <c r="AY9" s="1">
        <f>IFERROR(VLOOKUP($W9,'Yearly Budget'!$23:$39,MATCH(AY$1,'Yearly Budget'!$23:$23,0),0),0)</f>
        <v>0</v>
      </c>
      <c r="AZ9" s="1">
        <f>IFERROR(VLOOKUP($W9,'Yearly Budget'!$23:$39,MATCH(AZ$1,'Yearly Budget'!$23:$23,0),0),0)</f>
        <v>0</v>
      </c>
      <c r="BA9" s="1">
        <f>IFERROR(VLOOKUP($W9,'Yearly Budget'!$23:$39,MATCH(BA$1,'Yearly Budget'!$23:$23,0),0),0)</f>
        <v>0</v>
      </c>
      <c r="BB9" s="1">
        <f>IFERROR(VLOOKUP($W9,'Yearly Budget'!$23:$39,MATCH(BB$1,'Yearly Budget'!$23:$23,0),0),0)</f>
        <v>0</v>
      </c>
      <c r="BC9" s="1">
        <f>IFERROR(VLOOKUP($W9,'Yearly Budget'!$23:$39,MATCH(BC$1,'Yearly Budget'!$23:$23,0),0),0)</f>
        <v>0</v>
      </c>
      <c r="BD9" s="1">
        <f>IFERROR(VLOOKUP($W9,'Yearly Budget'!$23:$39,MATCH(BD$1,'Yearly Budget'!$23:$23,0),0),0)</f>
        <v>0</v>
      </c>
      <c r="BE9" s="1">
        <f>IFERROR(VLOOKUP($W9,'Yearly Budget'!$23:$39,MATCH(BE$1,'Yearly Budget'!$23:$23,0),0),0)</f>
        <v>0</v>
      </c>
      <c r="BF9" s="1">
        <f>IFERROR(VLOOKUP($W9,'Yearly Budget'!$23:$39,MATCH(BF$1,'Yearly Budget'!$23:$23,0),0),0)</f>
        <v>0</v>
      </c>
      <c r="BG9" s="1">
        <f>IFERROR(VLOOKUP($W9,'Yearly Budget'!$23:$39,MATCH(BG$1,'Yearly Budget'!$23:$23,0),0),0)</f>
        <v>0</v>
      </c>
      <c r="BH9" s="1">
        <f>IFERROR(VLOOKUP($W9,'Yearly Budget'!$23:$39,MATCH(BH$1,'Yearly Budget'!$23:$23,0),0),0)</f>
        <v>0</v>
      </c>
      <c r="BI9" s="1">
        <f>IFERROR(VLOOKUP($W9,'Yearly Budget'!$23:$39,MATCH(BI$1,'Yearly Budget'!$23:$23,0),0),0)</f>
        <v>0</v>
      </c>
      <c r="BJ9" s="1">
        <f>IFERROR(VLOOKUP($W9,'Yearly Budget'!$23:$39,MATCH(BJ$1,'Yearly Budget'!$23:$23,0),0),0)</f>
        <v>0</v>
      </c>
      <c r="BK9" s="1">
        <f>IFERROR(VLOOKUP($W9,'Yearly Budget'!$23:$39,MATCH(BK$1,'Yearly Budget'!$23:$23,0),0),0)</f>
        <v>0</v>
      </c>
      <c r="BL9" s="1">
        <f>IFERROR(VLOOKUP($W9,'Yearly Budget'!$23:$39,MATCH(BL$1,'Yearly Budget'!$23:$23,0),0),0)</f>
        <v>0</v>
      </c>
      <c r="BM9" s="1">
        <f>IFERROR(VLOOKUP($W9,'Yearly Budget'!$23:$39,MATCH(BM$1,'Yearly Budget'!$23:$23,0),0),0)</f>
        <v>0</v>
      </c>
      <c r="BN9" s="1">
        <f>IFERROR(VLOOKUP($W9,'Yearly Budget'!$23:$39,MATCH(BN$1,'Yearly Budget'!$23:$23,0),0),0)</f>
        <v>0</v>
      </c>
      <c r="BO9" s="1">
        <f>IFERROR(VLOOKUP($W9,'Yearly Budget'!$23:$39,MATCH(BO$1,'Yearly Budget'!$23:$23,0),0),0)</f>
        <v>0</v>
      </c>
      <c r="BP9" s="1">
        <f>IFERROR(VLOOKUP($W9,'Yearly Budget'!$23:$39,MATCH(BP$1,'Yearly Budget'!$23:$23,0),0),0)</f>
        <v>0</v>
      </c>
    </row>
    <row r="10" spans="1:68" x14ac:dyDescent="0.3">
      <c r="A10" s="100">
        <f t="shared" si="4"/>
        <v>56</v>
      </c>
      <c r="B10" s="100">
        <f t="shared" si="5"/>
        <v>2032</v>
      </c>
      <c r="D10" s="102">
        <f ca="1">'Yearly Budget'!I$54</f>
        <v>5261229</v>
      </c>
      <c r="E10" s="102"/>
      <c r="F10" s="102"/>
      <c r="G10" s="102">
        <f>'Yearly Budget'!I$21</f>
        <v>5584000</v>
      </c>
      <c r="H10" s="102">
        <f t="shared" ca="1" si="1"/>
        <v>5261229</v>
      </c>
      <c r="I10" s="99"/>
      <c r="J10" s="171">
        <f ca="1">'Yearly Budget'!I$69</f>
        <v>7823144.475175567</v>
      </c>
      <c r="K10" s="102"/>
      <c r="L10" s="102">
        <f>'Yearly Budget'!I$39</f>
        <v>7915069.478446357</v>
      </c>
      <c r="M10" s="102"/>
      <c r="N10" s="102">
        <f t="shared" ca="1" si="2"/>
        <v>3875349.137468046</v>
      </c>
      <c r="O10" s="447">
        <f>'Yearly Budget'!I$68</f>
        <v>3947795.3377075209</v>
      </c>
      <c r="Q10" s="164">
        <f t="shared" si="6"/>
        <v>5584000</v>
      </c>
      <c r="R10" s="164"/>
      <c r="S10" s="164">
        <f t="shared" ca="1" si="3"/>
        <v>2261229</v>
      </c>
      <c r="T10" s="447">
        <f>'Yearly Budget'!I$53</f>
        <v>3000000</v>
      </c>
      <c r="W10" s="416" t="str">
        <f>'Yearly Budget'!A32</f>
        <v>SG EPF</v>
      </c>
      <c r="X10" s="1">
        <f>IFERROR(VLOOKUP($W10,'Yearly Budget'!$23:$39,MATCH(X$1,'Yearly Budget'!$23:$23,0),0),0)</f>
        <v>0</v>
      </c>
      <c r="Y10" s="1">
        <f>IFERROR(VLOOKUP($W10,'Yearly Budget'!$23:$39,MATCH(Y$1,'Yearly Budget'!$23:$23,0),0),0)</f>
        <v>0</v>
      </c>
      <c r="Z10" s="1">
        <f>IFERROR(VLOOKUP($W10,'Yearly Budget'!$23:$39,MATCH(Z$1,'Yearly Budget'!$23:$23,0),0),0)</f>
        <v>0</v>
      </c>
      <c r="AA10" s="1">
        <f>IFERROR(VLOOKUP($W10,'Yearly Budget'!$23:$39,MATCH(AA$1,'Yearly Budget'!$23:$23,0),0),0)</f>
        <v>0</v>
      </c>
      <c r="AB10" s="1">
        <f>IFERROR(VLOOKUP($W10,'Yearly Budget'!$23:$39,MATCH(AB$1,'Yearly Budget'!$23:$23,0),0),0)</f>
        <v>0</v>
      </c>
      <c r="AC10" s="1">
        <f>IFERROR(VLOOKUP($W10,'Yearly Budget'!$23:$39,MATCH(AC$1,'Yearly Budget'!$23:$23,0),0),0)</f>
        <v>0</v>
      </c>
      <c r="AD10" s="1">
        <f>IFERROR(VLOOKUP($W10,'Yearly Budget'!$23:$39,MATCH(AD$1,'Yearly Budget'!$23:$23,0),0),0)</f>
        <v>0</v>
      </c>
      <c r="AE10" s="1">
        <f>IFERROR(VLOOKUP($W10,'Yearly Budget'!$23:$39,MATCH(AE$1,'Yearly Budget'!$23:$23,0),0),0)</f>
        <v>0</v>
      </c>
      <c r="AF10" s="1">
        <f>IFERROR(VLOOKUP($W10,'Yearly Budget'!$23:$39,MATCH(AF$1,'Yearly Budget'!$23:$23,0),0),0)</f>
        <v>0</v>
      </c>
      <c r="AG10" s="1">
        <f>IFERROR(VLOOKUP($W10,'Yearly Budget'!$23:$39,MATCH(AG$1,'Yearly Budget'!$23:$23,0),0),0)</f>
        <v>0</v>
      </c>
      <c r="AH10" s="1">
        <f>IFERROR(VLOOKUP($W10,'Yearly Budget'!$23:$39,MATCH(AH$1,'Yearly Budget'!$23:$23,0),0),0)</f>
        <v>0</v>
      </c>
      <c r="AI10" s="1">
        <f>IFERROR(VLOOKUP($W10,'Yearly Budget'!$23:$39,MATCH(AI$1,'Yearly Budget'!$23:$23,0),0),0)</f>
        <v>0</v>
      </c>
      <c r="AJ10" s="1">
        <f>IFERROR(VLOOKUP($W10,'Yearly Budget'!$23:$39,MATCH(AJ$1,'Yearly Budget'!$23:$23,0),0),0)</f>
        <v>0</v>
      </c>
      <c r="AK10" s="1">
        <f>IFERROR(VLOOKUP($W10,'Yearly Budget'!$23:$39,MATCH(AK$1,'Yearly Budget'!$23:$23,0),0),0)</f>
        <v>0</v>
      </c>
      <c r="AL10" s="1">
        <f>IFERROR(VLOOKUP($W10,'Yearly Budget'!$23:$39,MATCH(AL$1,'Yearly Budget'!$23:$23,0),0),0)</f>
        <v>0</v>
      </c>
      <c r="AM10" s="1">
        <f>IFERROR(VLOOKUP($W10,'Yearly Budget'!$23:$39,MATCH(AM$1,'Yearly Budget'!$23:$23,0),0),0)</f>
        <v>0</v>
      </c>
      <c r="AN10" s="1">
        <f>IFERROR(VLOOKUP($W10,'Yearly Budget'!$23:$39,MATCH(AN$1,'Yearly Budget'!$23:$23,0),0),0)</f>
        <v>0</v>
      </c>
      <c r="AO10" s="1">
        <f>IFERROR(VLOOKUP($W10,'Yearly Budget'!$23:$39,MATCH(AO$1,'Yearly Budget'!$23:$23,0),0),0)</f>
        <v>0</v>
      </c>
      <c r="AP10" s="1">
        <f>IFERROR(VLOOKUP($W10,'Yearly Budget'!$23:$39,MATCH(AP$1,'Yearly Budget'!$23:$23,0),0),0)</f>
        <v>0</v>
      </c>
      <c r="AQ10" s="1">
        <f>IFERROR(VLOOKUP($W10,'Yearly Budget'!$23:$39,MATCH(AQ$1,'Yearly Budget'!$23:$23,0),0),0)</f>
        <v>0</v>
      </c>
      <c r="AR10" s="1">
        <f>IFERROR(VLOOKUP($W10,'Yearly Budget'!$23:$39,MATCH(AR$1,'Yearly Budget'!$23:$23,0),0),0)</f>
        <v>0</v>
      </c>
      <c r="AS10" s="1">
        <f>IFERROR(VLOOKUP($W10,'Yearly Budget'!$23:$39,MATCH(AS$1,'Yearly Budget'!$23:$23,0),0),0)</f>
        <v>0</v>
      </c>
      <c r="AT10" s="1">
        <f>IFERROR(VLOOKUP($W10,'Yearly Budget'!$23:$39,MATCH(AT$1,'Yearly Budget'!$23:$23,0),0),0)</f>
        <v>0</v>
      </c>
      <c r="AU10" s="1">
        <f>IFERROR(VLOOKUP($W10,'Yearly Budget'!$23:$39,MATCH(AU$1,'Yearly Budget'!$23:$23,0),0),0)</f>
        <v>0</v>
      </c>
      <c r="AV10" s="1">
        <f>IFERROR(VLOOKUP($W10,'Yearly Budget'!$23:$39,MATCH(AV$1,'Yearly Budget'!$23:$23,0),0),0)</f>
        <v>0</v>
      </c>
      <c r="AW10" s="1">
        <f>IFERROR(VLOOKUP($W10,'Yearly Budget'!$23:$39,MATCH(AW$1,'Yearly Budget'!$23:$23,0),0),0)</f>
        <v>0</v>
      </c>
      <c r="AX10" s="1">
        <f>IFERROR(VLOOKUP($W10,'Yearly Budget'!$23:$39,MATCH(AX$1,'Yearly Budget'!$23:$23,0),0),0)</f>
        <v>0</v>
      </c>
      <c r="AY10" s="1">
        <f>IFERROR(VLOOKUP($W10,'Yearly Budget'!$23:$39,MATCH(AY$1,'Yearly Budget'!$23:$23,0),0),0)</f>
        <v>0</v>
      </c>
      <c r="AZ10" s="1">
        <f>IFERROR(VLOOKUP($W10,'Yearly Budget'!$23:$39,MATCH(AZ$1,'Yearly Budget'!$23:$23,0),0),0)</f>
        <v>0</v>
      </c>
      <c r="BA10" s="1">
        <f>IFERROR(VLOOKUP($W10,'Yearly Budget'!$23:$39,MATCH(BA$1,'Yearly Budget'!$23:$23,0),0),0)</f>
        <v>0</v>
      </c>
      <c r="BB10" s="1">
        <f>IFERROR(VLOOKUP($W10,'Yearly Budget'!$23:$39,MATCH(BB$1,'Yearly Budget'!$23:$23,0),0),0)</f>
        <v>0</v>
      </c>
      <c r="BC10" s="1">
        <f>IFERROR(VLOOKUP($W10,'Yearly Budget'!$23:$39,MATCH(BC$1,'Yearly Budget'!$23:$23,0),0),0)</f>
        <v>0</v>
      </c>
      <c r="BD10" s="1">
        <f>IFERROR(VLOOKUP($W10,'Yearly Budget'!$23:$39,MATCH(BD$1,'Yearly Budget'!$23:$23,0),0),0)</f>
        <v>0</v>
      </c>
      <c r="BE10" s="1">
        <f>IFERROR(VLOOKUP($W10,'Yearly Budget'!$23:$39,MATCH(BE$1,'Yearly Budget'!$23:$23,0),0),0)</f>
        <v>0</v>
      </c>
      <c r="BF10" s="1">
        <f>IFERROR(VLOOKUP($W10,'Yearly Budget'!$23:$39,MATCH(BF$1,'Yearly Budget'!$23:$23,0),0),0)</f>
        <v>0</v>
      </c>
      <c r="BG10" s="1">
        <f>IFERROR(VLOOKUP($W10,'Yearly Budget'!$23:$39,MATCH(BG$1,'Yearly Budget'!$23:$23,0),0),0)</f>
        <v>0</v>
      </c>
      <c r="BH10" s="1">
        <f>IFERROR(VLOOKUP($W10,'Yearly Budget'!$23:$39,MATCH(BH$1,'Yearly Budget'!$23:$23,0),0),0)</f>
        <v>0</v>
      </c>
      <c r="BI10" s="1">
        <f>IFERROR(VLOOKUP($W10,'Yearly Budget'!$23:$39,MATCH(BI$1,'Yearly Budget'!$23:$23,0),0),0)</f>
        <v>0</v>
      </c>
      <c r="BJ10" s="1">
        <f>IFERROR(VLOOKUP($W10,'Yearly Budget'!$23:$39,MATCH(BJ$1,'Yearly Budget'!$23:$23,0),0),0)</f>
        <v>0</v>
      </c>
      <c r="BK10" s="1">
        <f>IFERROR(VLOOKUP($W10,'Yearly Budget'!$23:$39,MATCH(BK$1,'Yearly Budget'!$23:$23,0),0),0)</f>
        <v>0</v>
      </c>
      <c r="BL10" s="1">
        <f>IFERROR(VLOOKUP($W10,'Yearly Budget'!$23:$39,MATCH(BL$1,'Yearly Budget'!$23:$23,0),0),0)</f>
        <v>0</v>
      </c>
      <c r="BM10" s="1">
        <f>IFERROR(VLOOKUP($W10,'Yearly Budget'!$23:$39,MATCH(BM$1,'Yearly Budget'!$23:$23,0),0),0)</f>
        <v>0</v>
      </c>
      <c r="BN10" s="1">
        <f>IFERROR(VLOOKUP($W10,'Yearly Budget'!$23:$39,MATCH(BN$1,'Yearly Budget'!$23:$23,0),0),0)</f>
        <v>0</v>
      </c>
      <c r="BO10" s="1">
        <f>IFERROR(VLOOKUP($W10,'Yearly Budget'!$23:$39,MATCH(BO$1,'Yearly Budget'!$23:$23,0),0),0)</f>
        <v>0</v>
      </c>
      <c r="BP10" s="1">
        <f>IFERROR(VLOOKUP($W10,'Yearly Budget'!$23:$39,MATCH(BP$1,'Yearly Budget'!$23:$23,0),0),0)</f>
        <v>0</v>
      </c>
    </row>
    <row r="11" spans="1:68" x14ac:dyDescent="0.3">
      <c r="A11" s="100">
        <f t="shared" si="4"/>
        <v>57</v>
      </c>
      <c r="B11" s="100">
        <f t="shared" si="5"/>
        <v>2033</v>
      </c>
      <c r="D11" s="102">
        <f ca="1">'Yearly Budget'!J$54</f>
        <v>2261229</v>
      </c>
      <c r="E11" s="102"/>
      <c r="F11" s="102"/>
      <c r="G11" s="102">
        <f>'Yearly Budget'!J$21</f>
        <v>14884000</v>
      </c>
      <c r="H11" s="102">
        <f t="shared" ca="1" si="1"/>
        <v>2261229</v>
      </c>
      <c r="I11" s="99"/>
      <c r="J11" s="171">
        <f ca="1">'Yearly Budget'!J$69</f>
        <v>4185377.0684654904</v>
      </c>
      <c r="K11" s="102"/>
      <c r="L11" s="102">
        <f>'Yearly Budget'!J$39</f>
        <v>17526556.282029878</v>
      </c>
      <c r="M11" s="102"/>
      <c r="N11" s="102">
        <f t="shared" ca="1" si="2"/>
        <v>4185377.0684654904</v>
      </c>
      <c r="O11" s="447">
        <f>'Yearly Budget'!J$68</f>
        <v>0</v>
      </c>
      <c r="Q11" s="164">
        <f t="shared" si="6"/>
        <v>14884000</v>
      </c>
      <c r="R11" s="164"/>
      <c r="S11" s="164">
        <f t="shared" ca="1" si="3"/>
        <v>2261229</v>
      </c>
      <c r="T11" s="447">
        <f>'Yearly Budget'!J$53</f>
        <v>0</v>
      </c>
      <c r="W11" s="416" t="str">
        <f>'Yearly Budget'!A33</f>
        <v>SG Post Ret Income</v>
      </c>
      <c r="X11" s="1">
        <f>IFERROR(VLOOKUP($W11,'Yearly Budget'!$23:$39,MATCH(X$1,'Yearly Budget'!$23:$23,0),0),0)</f>
        <v>0</v>
      </c>
      <c r="Y11" s="1">
        <f>IFERROR(VLOOKUP($W11,'Yearly Budget'!$23:$39,MATCH(Y$1,'Yearly Budget'!$23:$23,0),0),0)</f>
        <v>0</v>
      </c>
      <c r="Z11" s="1">
        <f>IFERROR(VLOOKUP($W11,'Yearly Budget'!$23:$39,MATCH(Z$1,'Yearly Budget'!$23:$23,0),0),0)</f>
        <v>0</v>
      </c>
      <c r="AA11" s="1">
        <f>IFERROR(VLOOKUP($W11,'Yearly Budget'!$23:$39,MATCH(AA$1,'Yearly Budget'!$23:$23,0),0),0)</f>
        <v>0</v>
      </c>
      <c r="AB11" s="1">
        <f>IFERROR(VLOOKUP($W11,'Yearly Budget'!$23:$39,MATCH(AB$1,'Yearly Budget'!$23:$23,0),0),0)</f>
        <v>0</v>
      </c>
      <c r="AC11" s="1">
        <f>IFERROR(VLOOKUP($W11,'Yearly Budget'!$23:$39,MATCH(AC$1,'Yearly Budget'!$23:$23,0),0),0)</f>
        <v>0</v>
      </c>
      <c r="AD11" s="1">
        <f>IFERROR(VLOOKUP($W11,'Yearly Budget'!$23:$39,MATCH(AD$1,'Yearly Budget'!$23:$23,0),0),0)</f>
        <v>0</v>
      </c>
      <c r="AE11" s="1">
        <f>IFERROR(VLOOKUP($W11,'Yearly Budget'!$23:$39,MATCH(AE$1,'Yearly Budget'!$23:$23,0),0),0)</f>
        <v>0</v>
      </c>
      <c r="AF11" s="1">
        <f>IFERROR(VLOOKUP($W11,'Yearly Budget'!$23:$39,MATCH(AF$1,'Yearly Budget'!$23:$23,0),0),0)</f>
        <v>0</v>
      </c>
      <c r="AG11" s="1">
        <f>IFERROR(VLOOKUP($W11,'Yearly Budget'!$23:$39,MATCH(AG$1,'Yearly Budget'!$23:$23,0),0),0)</f>
        <v>0</v>
      </c>
      <c r="AH11" s="1">
        <f>IFERROR(VLOOKUP($W11,'Yearly Budget'!$23:$39,MATCH(AH$1,'Yearly Budget'!$23:$23,0),0),0)</f>
        <v>0</v>
      </c>
      <c r="AI11" s="1">
        <f>IFERROR(VLOOKUP($W11,'Yearly Budget'!$23:$39,MATCH(AI$1,'Yearly Budget'!$23:$23,0),0),0)</f>
        <v>0</v>
      </c>
      <c r="AJ11" s="1">
        <f>IFERROR(VLOOKUP($W11,'Yearly Budget'!$23:$39,MATCH(AJ$1,'Yearly Budget'!$23:$23,0),0),0)</f>
        <v>0</v>
      </c>
      <c r="AK11" s="1">
        <f>IFERROR(VLOOKUP($W11,'Yearly Budget'!$23:$39,MATCH(AK$1,'Yearly Budget'!$23:$23,0),0),0)</f>
        <v>0</v>
      </c>
      <c r="AL11" s="1">
        <f>IFERROR(VLOOKUP($W11,'Yearly Budget'!$23:$39,MATCH(AL$1,'Yearly Budget'!$23:$23,0),0),0)</f>
        <v>0</v>
      </c>
      <c r="AM11" s="1">
        <f>IFERROR(VLOOKUP($W11,'Yearly Budget'!$23:$39,MATCH(AM$1,'Yearly Budget'!$23:$23,0),0),0)</f>
        <v>0</v>
      </c>
      <c r="AN11" s="1">
        <f>IFERROR(VLOOKUP($W11,'Yearly Budget'!$23:$39,MATCH(AN$1,'Yearly Budget'!$23:$23,0),0),0)</f>
        <v>0</v>
      </c>
      <c r="AO11" s="1">
        <f>IFERROR(VLOOKUP($W11,'Yearly Budget'!$23:$39,MATCH(AO$1,'Yearly Budget'!$23:$23,0),0),0)</f>
        <v>0</v>
      </c>
      <c r="AP11" s="1">
        <f>IFERROR(VLOOKUP($W11,'Yearly Budget'!$23:$39,MATCH(AP$1,'Yearly Budget'!$23:$23,0),0),0)</f>
        <v>0</v>
      </c>
      <c r="AQ11" s="1">
        <f>IFERROR(VLOOKUP($W11,'Yearly Budget'!$23:$39,MATCH(AQ$1,'Yearly Budget'!$23:$23,0),0),0)</f>
        <v>0</v>
      </c>
      <c r="AR11" s="1">
        <f>IFERROR(VLOOKUP($W11,'Yearly Budget'!$23:$39,MATCH(AR$1,'Yearly Budget'!$23:$23,0),0),0)</f>
        <v>0</v>
      </c>
      <c r="AS11" s="1">
        <f>IFERROR(VLOOKUP($W11,'Yearly Budget'!$23:$39,MATCH(AS$1,'Yearly Budget'!$23:$23,0),0),0)</f>
        <v>0</v>
      </c>
      <c r="AT11" s="1">
        <f>IFERROR(VLOOKUP($W11,'Yearly Budget'!$23:$39,MATCH(AT$1,'Yearly Budget'!$23:$23,0),0),0)</f>
        <v>0</v>
      </c>
      <c r="AU11" s="1">
        <f>IFERROR(VLOOKUP($W11,'Yearly Budget'!$23:$39,MATCH(AU$1,'Yearly Budget'!$23:$23,0),0),0)</f>
        <v>0</v>
      </c>
      <c r="AV11" s="1">
        <f>IFERROR(VLOOKUP($W11,'Yearly Budget'!$23:$39,MATCH(AV$1,'Yearly Budget'!$23:$23,0),0),0)</f>
        <v>0</v>
      </c>
      <c r="AW11" s="1">
        <f>IFERROR(VLOOKUP($W11,'Yearly Budget'!$23:$39,MATCH(AW$1,'Yearly Budget'!$23:$23,0),0),0)</f>
        <v>0</v>
      </c>
      <c r="AX11" s="1">
        <f>IFERROR(VLOOKUP($W11,'Yearly Budget'!$23:$39,MATCH(AX$1,'Yearly Budget'!$23:$23,0),0),0)</f>
        <v>0</v>
      </c>
      <c r="AY11" s="1">
        <f>IFERROR(VLOOKUP($W11,'Yearly Budget'!$23:$39,MATCH(AY$1,'Yearly Budget'!$23:$23,0),0),0)</f>
        <v>0</v>
      </c>
      <c r="AZ11" s="1">
        <f>IFERROR(VLOOKUP($W11,'Yearly Budget'!$23:$39,MATCH(AZ$1,'Yearly Budget'!$23:$23,0),0),0)</f>
        <v>0</v>
      </c>
      <c r="BA11" s="1">
        <f>IFERROR(VLOOKUP($W11,'Yearly Budget'!$23:$39,MATCH(BA$1,'Yearly Budget'!$23:$23,0),0),0)</f>
        <v>0</v>
      </c>
      <c r="BB11" s="1">
        <f>IFERROR(VLOOKUP($W11,'Yearly Budget'!$23:$39,MATCH(BB$1,'Yearly Budget'!$23:$23,0),0),0)</f>
        <v>0</v>
      </c>
      <c r="BC11" s="1">
        <f>IFERROR(VLOOKUP($W11,'Yearly Budget'!$23:$39,MATCH(BC$1,'Yearly Budget'!$23:$23,0),0),0)</f>
        <v>0</v>
      </c>
      <c r="BD11" s="1">
        <f>IFERROR(VLOOKUP($W11,'Yearly Budget'!$23:$39,MATCH(BD$1,'Yearly Budget'!$23:$23,0),0),0)</f>
        <v>0</v>
      </c>
      <c r="BE11" s="1">
        <f>IFERROR(VLOOKUP($W11,'Yearly Budget'!$23:$39,MATCH(BE$1,'Yearly Budget'!$23:$23,0),0),0)</f>
        <v>0</v>
      </c>
      <c r="BF11" s="1">
        <f>IFERROR(VLOOKUP($W11,'Yearly Budget'!$23:$39,MATCH(BF$1,'Yearly Budget'!$23:$23,0),0),0)</f>
        <v>0</v>
      </c>
      <c r="BG11" s="1">
        <f>IFERROR(VLOOKUP($W11,'Yearly Budget'!$23:$39,MATCH(BG$1,'Yearly Budget'!$23:$23,0),0),0)</f>
        <v>0</v>
      </c>
      <c r="BH11" s="1">
        <f>IFERROR(VLOOKUP($W11,'Yearly Budget'!$23:$39,MATCH(BH$1,'Yearly Budget'!$23:$23,0),0),0)</f>
        <v>0</v>
      </c>
      <c r="BI11" s="1">
        <f>IFERROR(VLOOKUP($W11,'Yearly Budget'!$23:$39,MATCH(BI$1,'Yearly Budget'!$23:$23,0),0),0)</f>
        <v>0</v>
      </c>
      <c r="BJ11" s="1">
        <f>IFERROR(VLOOKUP($W11,'Yearly Budget'!$23:$39,MATCH(BJ$1,'Yearly Budget'!$23:$23,0),0),0)</f>
        <v>0</v>
      </c>
      <c r="BK11" s="1">
        <f>IFERROR(VLOOKUP($W11,'Yearly Budget'!$23:$39,MATCH(BK$1,'Yearly Budget'!$23:$23,0),0),0)</f>
        <v>0</v>
      </c>
      <c r="BL11" s="1">
        <f>IFERROR(VLOOKUP($W11,'Yearly Budget'!$23:$39,MATCH(BL$1,'Yearly Budget'!$23:$23,0),0),0)</f>
        <v>0</v>
      </c>
      <c r="BM11" s="1">
        <f>IFERROR(VLOOKUP($W11,'Yearly Budget'!$23:$39,MATCH(BM$1,'Yearly Budget'!$23:$23,0),0),0)</f>
        <v>0</v>
      </c>
      <c r="BN11" s="1">
        <f>IFERROR(VLOOKUP($W11,'Yearly Budget'!$23:$39,MATCH(BN$1,'Yearly Budget'!$23:$23,0),0),0)</f>
        <v>0</v>
      </c>
      <c r="BO11" s="1">
        <f>IFERROR(VLOOKUP($W11,'Yearly Budget'!$23:$39,MATCH(BO$1,'Yearly Budget'!$23:$23,0),0),0)</f>
        <v>0</v>
      </c>
      <c r="BP11" s="1">
        <f>IFERROR(VLOOKUP($W11,'Yearly Budget'!$23:$39,MATCH(BP$1,'Yearly Budget'!$23:$23,0),0),0)</f>
        <v>0</v>
      </c>
    </row>
    <row r="12" spans="1:68" x14ac:dyDescent="0.3">
      <c r="A12" s="100">
        <f t="shared" si="4"/>
        <v>58</v>
      </c>
      <c r="B12" s="100">
        <f t="shared" si="5"/>
        <v>2034</v>
      </c>
      <c r="D12" s="102">
        <f ca="1">'Yearly Budget'!K$54</f>
        <v>2261229</v>
      </c>
      <c r="E12" s="102"/>
      <c r="F12" s="102"/>
      <c r="G12" s="102">
        <f>'Yearly Budget'!K$21</f>
        <v>5384000</v>
      </c>
      <c r="H12" s="102">
        <f t="shared" ca="1" si="1"/>
        <v>2261229</v>
      </c>
      <c r="I12" s="99"/>
      <c r="J12" s="171">
        <f ca="1">'Yearly Budget'!K$69</f>
        <v>4520207.2339427304</v>
      </c>
      <c r="K12" s="102"/>
      <c r="L12" s="102">
        <f>'Yearly Budget'!K$39</f>
        <v>8440342.4680239093</v>
      </c>
      <c r="M12" s="102"/>
      <c r="N12" s="102">
        <f t="shared" ca="1" si="2"/>
        <v>4520207.2339427304</v>
      </c>
      <c r="O12" s="447">
        <f>'Yearly Budget'!K$68</f>
        <v>0</v>
      </c>
      <c r="Q12" s="164">
        <f t="shared" si="6"/>
        <v>5384000</v>
      </c>
      <c r="R12" s="164"/>
      <c r="S12" s="164">
        <f t="shared" ca="1" si="3"/>
        <v>2261229</v>
      </c>
      <c r="T12" s="447">
        <f>'Yearly Budget'!K$53</f>
        <v>0</v>
      </c>
      <c r="W12" s="416">
        <f>'Yearly Budget'!A34</f>
        <v>0</v>
      </c>
      <c r="X12" s="1">
        <f>IFERROR(VLOOKUP($W12,'Yearly Budget'!$23:$39,MATCH(X$1,'Yearly Budget'!$23:$23,0),0),0)</f>
        <v>0</v>
      </c>
      <c r="Y12" s="1">
        <f>IFERROR(VLOOKUP($W12,'Yearly Budget'!$23:$39,MATCH(Y$1,'Yearly Budget'!$23:$23,0),0),0)</f>
        <v>0</v>
      </c>
      <c r="Z12" s="1">
        <f>IFERROR(VLOOKUP($W12,'Yearly Budget'!$23:$39,MATCH(Z$1,'Yearly Budget'!$23:$23,0),0),0)</f>
        <v>0</v>
      </c>
      <c r="AA12" s="1">
        <f>IFERROR(VLOOKUP($W12,'Yearly Budget'!$23:$39,MATCH(AA$1,'Yearly Budget'!$23:$23,0),0),0)</f>
        <v>0</v>
      </c>
      <c r="AB12" s="1">
        <f>IFERROR(VLOOKUP($W12,'Yearly Budget'!$23:$39,MATCH(AB$1,'Yearly Budget'!$23:$23,0),0),0)</f>
        <v>0</v>
      </c>
      <c r="AC12" s="1">
        <f>IFERROR(VLOOKUP($W12,'Yearly Budget'!$23:$39,MATCH(AC$1,'Yearly Budget'!$23:$23,0),0),0)</f>
        <v>0</v>
      </c>
      <c r="AD12" s="1">
        <f>IFERROR(VLOOKUP($W12,'Yearly Budget'!$23:$39,MATCH(AD$1,'Yearly Budget'!$23:$23,0),0),0)</f>
        <v>0</v>
      </c>
      <c r="AE12" s="1">
        <f>IFERROR(VLOOKUP($W12,'Yearly Budget'!$23:$39,MATCH(AE$1,'Yearly Budget'!$23:$23,0),0),0)</f>
        <v>0</v>
      </c>
      <c r="AF12" s="1">
        <f>IFERROR(VLOOKUP($W12,'Yearly Budget'!$23:$39,MATCH(AF$1,'Yearly Budget'!$23:$23,0),0),0)</f>
        <v>0</v>
      </c>
      <c r="AG12" s="1">
        <f>IFERROR(VLOOKUP($W12,'Yearly Budget'!$23:$39,MATCH(AG$1,'Yearly Budget'!$23:$23,0),0),0)</f>
        <v>0</v>
      </c>
      <c r="AH12" s="1">
        <f>IFERROR(VLOOKUP($W12,'Yearly Budget'!$23:$39,MATCH(AH$1,'Yearly Budget'!$23:$23,0),0),0)</f>
        <v>0</v>
      </c>
      <c r="AI12" s="1">
        <f>IFERROR(VLOOKUP($W12,'Yearly Budget'!$23:$39,MATCH(AI$1,'Yearly Budget'!$23:$23,0),0),0)</f>
        <v>0</v>
      </c>
      <c r="AJ12" s="1">
        <f>IFERROR(VLOOKUP($W12,'Yearly Budget'!$23:$39,MATCH(AJ$1,'Yearly Budget'!$23:$23,0),0),0)</f>
        <v>0</v>
      </c>
      <c r="AK12" s="1">
        <f>IFERROR(VLOOKUP($W12,'Yearly Budget'!$23:$39,MATCH(AK$1,'Yearly Budget'!$23:$23,0),0),0)</f>
        <v>0</v>
      </c>
      <c r="AL12" s="1">
        <f>IFERROR(VLOOKUP($W12,'Yearly Budget'!$23:$39,MATCH(AL$1,'Yearly Budget'!$23:$23,0),0),0)</f>
        <v>0</v>
      </c>
      <c r="AM12" s="1">
        <f>IFERROR(VLOOKUP($W12,'Yearly Budget'!$23:$39,MATCH(AM$1,'Yearly Budget'!$23:$23,0),0),0)</f>
        <v>0</v>
      </c>
      <c r="AN12" s="1">
        <f>IFERROR(VLOOKUP($W12,'Yearly Budget'!$23:$39,MATCH(AN$1,'Yearly Budget'!$23:$23,0),0),0)</f>
        <v>0</v>
      </c>
      <c r="AO12" s="1">
        <f>IFERROR(VLOOKUP($W12,'Yearly Budget'!$23:$39,MATCH(AO$1,'Yearly Budget'!$23:$23,0),0),0)</f>
        <v>0</v>
      </c>
      <c r="AP12" s="1">
        <f>IFERROR(VLOOKUP($W12,'Yearly Budget'!$23:$39,MATCH(AP$1,'Yearly Budget'!$23:$23,0),0),0)</f>
        <v>0</v>
      </c>
      <c r="AQ12" s="1">
        <f>IFERROR(VLOOKUP($W12,'Yearly Budget'!$23:$39,MATCH(AQ$1,'Yearly Budget'!$23:$23,0),0),0)</f>
        <v>0</v>
      </c>
      <c r="AR12" s="1">
        <f>IFERROR(VLOOKUP($W12,'Yearly Budget'!$23:$39,MATCH(AR$1,'Yearly Budget'!$23:$23,0),0),0)</f>
        <v>0</v>
      </c>
      <c r="AS12" s="1">
        <f>IFERROR(VLOOKUP($W12,'Yearly Budget'!$23:$39,MATCH(AS$1,'Yearly Budget'!$23:$23,0),0),0)</f>
        <v>0</v>
      </c>
      <c r="AT12" s="1">
        <f>IFERROR(VLOOKUP($W12,'Yearly Budget'!$23:$39,MATCH(AT$1,'Yearly Budget'!$23:$23,0),0),0)</f>
        <v>0</v>
      </c>
      <c r="AU12" s="1">
        <f>IFERROR(VLOOKUP($W12,'Yearly Budget'!$23:$39,MATCH(AU$1,'Yearly Budget'!$23:$23,0),0),0)</f>
        <v>0</v>
      </c>
      <c r="AV12" s="1">
        <f>IFERROR(VLOOKUP($W12,'Yearly Budget'!$23:$39,MATCH(AV$1,'Yearly Budget'!$23:$23,0),0),0)</f>
        <v>0</v>
      </c>
      <c r="AW12" s="1">
        <f>IFERROR(VLOOKUP($W12,'Yearly Budget'!$23:$39,MATCH(AW$1,'Yearly Budget'!$23:$23,0),0),0)</f>
        <v>0</v>
      </c>
      <c r="AX12" s="1">
        <f>IFERROR(VLOOKUP($W12,'Yearly Budget'!$23:$39,MATCH(AX$1,'Yearly Budget'!$23:$23,0),0),0)</f>
        <v>0</v>
      </c>
      <c r="AY12" s="1">
        <f>IFERROR(VLOOKUP($W12,'Yearly Budget'!$23:$39,MATCH(AY$1,'Yearly Budget'!$23:$23,0),0),0)</f>
        <v>0</v>
      </c>
      <c r="AZ12" s="1">
        <f>IFERROR(VLOOKUP($W12,'Yearly Budget'!$23:$39,MATCH(AZ$1,'Yearly Budget'!$23:$23,0),0),0)</f>
        <v>0</v>
      </c>
      <c r="BA12" s="1">
        <f>IFERROR(VLOOKUP($W12,'Yearly Budget'!$23:$39,MATCH(BA$1,'Yearly Budget'!$23:$23,0),0),0)</f>
        <v>0</v>
      </c>
      <c r="BB12" s="1">
        <f>IFERROR(VLOOKUP($W12,'Yearly Budget'!$23:$39,MATCH(BB$1,'Yearly Budget'!$23:$23,0),0),0)</f>
        <v>0</v>
      </c>
      <c r="BC12" s="1">
        <f>IFERROR(VLOOKUP($W12,'Yearly Budget'!$23:$39,MATCH(BC$1,'Yearly Budget'!$23:$23,0),0),0)</f>
        <v>0</v>
      </c>
      <c r="BD12" s="1">
        <f>IFERROR(VLOOKUP($W12,'Yearly Budget'!$23:$39,MATCH(BD$1,'Yearly Budget'!$23:$23,0),0),0)</f>
        <v>0</v>
      </c>
      <c r="BE12" s="1">
        <f>IFERROR(VLOOKUP($W12,'Yearly Budget'!$23:$39,MATCH(BE$1,'Yearly Budget'!$23:$23,0),0),0)</f>
        <v>0</v>
      </c>
      <c r="BF12" s="1">
        <f>IFERROR(VLOOKUP($W12,'Yearly Budget'!$23:$39,MATCH(BF$1,'Yearly Budget'!$23:$23,0),0),0)</f>
        <v>0</v>
      </c>
      <c r="BG12" s="1">
        <f>IFERROR(VLOOKUP($W12,'Yearly Budget'!$23:$39,MATCH(BG$1,'Yearly Budget'!$23:$23,0),0),0)</f>
        <v>0</v>
      </c>
      <c r="BH12" s="1">
        <f>IFERROR(VLOOKUP($W12,'Yearly Budget'!$23:$39,MATCH(BH$1,'Yearly Budget'!$23:$23,0),0),0)</f>
        <v>0</v>
      </c>
      <c r="BI12" s="1">
        <f>IFERROR(VLOOKUP($W12,'Yearly Budget'!$23:$39,MATCH(BI$1,'Yearly Budget'!$23:$23,0),0),0)</f>
        <v>0</v>
      </c>
      <c r="BJ12" s="1">
        <f>IFERROR(VLOOKUP($W12,'Yearly Budget'!$23:$39,MATCH(BJ$1,'Yearly Budget'!$23:$23,0),0),0)</f>
        <v>0</v>
      </c>
      <c r="BK12" s="1">
        <f>IFERROR(VLOOKUP($W12,'Yearly Budget'!$23:$39,MATCH(BK$1,'Yearly Budget'!$23:$23,0),0),0)</f>
        <v>0</v>
      </c>
      <c r="BL12" s="1">
        <f>IFERROR(VLOOKUP($W12,'Yearly Budget'!$23:$39,MATCH(BL$1,'Yearly Budget'!$23:$23,0),0),0)</f>
        <v>0</v>
      </c>
      <c r="BM12" s="1">
        <f>IFERROR(VLOOKUP($W12,'Yearly Budget'!$23:$39,MATCH(BM$1,'Yearly Budget'!$23:$23,0),0),0)</f>
        <v>0</v>
      </c>
      <c r="BN12" s="1">
        <f>IFERROR(VLOOKUP($W12,'Yearly Budget'!$23:$39,MATCH(BN$1,'Yearly Budget'!$23:$23,0),0),0)</f>
        <v>0</v>
      </c>
      <c r="BO12" s="1">
        <f>IFERROR(VLOOKUP($W12,'Yearly Budget'!$23:$39,MATCH(BO$1,'Yearly Budget'!$23:$23,0),0),0)</f>
        <v>0</v>
      </c>
      <c r="BP12" s="1">
        <f>IFERROR(VLOOKUP($W12,'Yearly Budget'!$23:$39,MATCH(BP$1,'Yearly Budget'!$23:$23,0),0),0)</f>
        <v>0</v>
      </c>
    </row>
    <row r="13" spans="1:68" x14ac:dyDescent="0.3">
      <c r="A13" s="100">
        <f t="shared" si="4"/>
        <v>59</v>
      </c>
      <c r="B13" s="100">
        <f t="shared" si="5"/>
        <v>2035</v>
      </c>
      <c r="D13" s="102">
        <f ca="1">'Yearly Budget'!L$54</f>
        <v>4261229</v>
      </c>
      <c r="E13" s="102"/>
      <c r="F13" s="102"/>
      <c r="G13" s="102">
        <f>'Yearly Budget'!L$21</f>
        <v>5384000</v>
      </c>
      <c r="H13" s="102">
        <f t="shared" ca="1" si="1"/>
        <v>4261229</v>
      </c>
      <c r="I13" s="99"/>
      <c r="J13" s="171">
        <f ca="1">'Yearly Budget'!L$69</f>
        <v>9199673.8072037213</v>
      </c>
      <c r="K13" s="102"/>
      <c r="L13" s="102">
        <f>'Yearly Budget'!L$39</f>
        <v>8876150.633069044</v>
      </c>
      <c r="M13" s="102"/>
      <c r="N13" s="102">
        <f t="shared" ca="1" si="2"/>
        <v>4881823.812658146</v>
      </c>
      <c r="O13" s="447">
        <f>'Yearly Budget'!L$68</f>
        <v>4317849.9945455752</v>
      </c>
      <c r="Q13" s="164">
        <f t="shared" si="6"/>
        <v>5384000</v>
      </c>
      <c r="R13" s="164"/>
      <c r="S13" s="164">
        <f t="shared" ca="1" si="3"/>
        <v>2261229</v>
      </c>
      <c r="T13" s="447">
        <f>'Yearly Budget'!L$53</f>
        <v>2000000</v>
      </c>
      <c r="W13" s="416">
        <f>'Yearly Budget'!A35</f>
        <v>0</v>
      </c>
      <c r="X13" s="1">
        <f>IFERROR(VLOOKUP($W13,'Yearly Budget'!$23:$39,MATCH(X$1,'Yearly Budget'!$23:$23,0),0),0)</f>
        <v>0</v>
      </c>
      <c r="Y13" s="1">
        <f>IFERROR(VLOOKUP($W13,'Yearly Budget'!$23:$39,MATCH(Y$1,'Yearly Budget'!$23:$23,0),0),0)</f>
        <v>0</v>
      </c>
      <c r="Z13" s="1">
        <f>IFERROR(VLOOKUP($W13,'Yearly Budget'!$23:$39,MATCH(Z$1,'Yearly Budget'!$23:$23,0),0),0)</f>
        <v>0</v>
      </c>
      <c r="AA13" s="1">
        <f>IFERROR(VLOOKUP($W13,'Yearly Budget'!$23:$39,MATCH(AA$1,'Yearly Budget'!$23:$23,0),0),0)</f>
        <v>0</v>
      </c>
      <c r="AB13" s="1">
        <f>IFERROR(VLOOKUP($W13,'Yearly Budget'!$23:$39,MATCH(AB$1,'Yearly Budget'!$23:$23,0),0),0)</f>
        <v>0</v>
      </c>
      <c r="AC13" s="1">
        <f>IFERROR(VLOOKUP($W13,'Yearly Budget'!$23:$39,MATCH(AC$1,'Yearly Budget'!$23:$23,0),0),0)</f>
        <v>0</v>
      </c>
      <c r="AD13" s="1">
        <f>IFERROR(VLOOKUP($W13,'Yearly Budget'!$23:$39,MATCH(AD$1,'Yearly Budget'!$23:$23,0),0),0)</f>
        <v>0</v>
      </c>
      <c r="AE13" s="1">
        <f>IFERROR(VLOOKUP($W13,'Yearly Budget'!$23:$39,MATCH(AE$1,'Yearly Budget'!$23:$23,0),0),0)</f>
        <v>0</v>
      </c>
      <c r="AF13" s="1">
        <f>IFERROR(VLOOKUP($W13,'Yearly Budget'!$23:$39,MATCH(AF$1,'Yearly Budget'!$23:$23,0),0),0)</f>
        <v>0</v>
      </c>
      <c r="AG13" s="1">
        <f>IFERROR(VLOOKUP($W13,'Yearly Budget'!$23:$39,MATCH(AG$1,'Yearly Budget'!$23:$23,0),0),0)</f>
        <v>0</v>
      </c>
      <c r="AH13" s="1">
        <f>IFERROR(VLOOKUP($W13,'Yearly Budget'!$23:$39,MATCH(AH$1,'Yearly Budget'!$23:$23,0),0),0)</f>
        <v>0</v>
      </c>
      <c r="AI13" s="1">
        <f>IFERROR(VLOOKUP($W13,'Yearly Budget'!$23:$39,MATCH(AI$1,'Yearly Budget'!$23:$23,0),0),0)</f>
        <v>0</v>
      </c>
      <c r="AJ13" s="1">
        <f>IFERROR(VLOOKUP($W13,'Yearly Budget'!$23:$39,MATCH(AJ$1,'Yearly Budget'!$23:$23,0),0),0)</f>
        <v>0</v>
      </c>
      <c r="AK13" s="1">
        <f>IFERROR(VLOOKUP($W13,'Yearly Budget'!$23:$39,MATCH(AK$1,'Yearly Budget'!$23:$23,0),0),0)</f>
        <v>0</v>
      </c>
      <c r="AL13" s="1">
        <f>IFERROR(VLOOKUP($W13,'Yearly Budget'!$23:$39,MATCH(AL$1,'Yearly Budget'!$23:$23,0),0),0)</f>
        <v>0</v>
      </c>
      <c r="AM13" s="1">
        <f>IFERROR(VLOOKUP($W13,'Yearly Budget'!$23:$39,MATCH(AM$1,'Yearly Budget'!$23:$23,0),0),0)</f>
        <v>0</v>
      </c>
      <c r="AN13" s="1">
        <f>IFERROR(VLOOKUP($W13,'Yearly Budget'!$23:$39,MATCH(AN$1,'Yearly Budget'!$23:$23,0),0),0)</f>
        <v>0</v>
      </c>
      <c r="AO13" s="1">
        <f>IFERROR(VLOOKUP($W13,'Yearly Budget'!$23:$39,MATCH(AO$1,'Yearly Budget'!$23:$23,0),0),0)</f>
        <v>0</v>
      </c>
      <c r="AP13" s="1">
        <f>IFERROR(VLOOKUP($W13,'Yearly Budget'!$23:$39,MATCH(AP$1,'Yearly Budget'!$23:$23,0),0),0)</f>
        <v>0</v>
      </c>
      <c r="AQ13" s="1">
        <f>IFERROR(VLOOKUP($W13,'Yearly Budget'!$23:$39,MATCH(AQ$1,'Yearly Budget'!$23:$23,0),0),0)</f>
        <v>0</v>
      </c>
      <c r="AR13" s="1">
        <f>IFERROR(VLOOKUP($W13,'Yearly Budget'!$23:$39,MATCH(AR$1,'Yearly Budget'!$23:$23,0),0),0)</f>
        <v>0</v>
      </c>
      <c r="AS13" s="1">
        <f>IFERROR(VLOOKUP($W13,'Yearly Budget'!$23:$39,MATCH(AS$1,'Yearly Budget'!$23:$23,0),0),0)</f>
        <v>0</v>
      </c>
      <c r="AT13" s="1">
        <f>IFERROR(VLOOKUP($W13,'Yearly Budget'!$23:$39,MATCH(AT$1,'Yearly Budget'!$23:$23,0),0),0)</f>
        <v>0</v>
      </c>
      <c r="AU13" s="1">
        <f>IFERROR(VLOOKUP($W13,'Yearly Budget'!$23:$39,MATCH(AU$1,'Yearly Budget'!$23:$23,0),0),0)</f>
        <v>0</v>
      </c>
      <c r="AV13" s="1">
        <f>IFERROR(VLOOKUP($W13,'Yearly Budget'!$23:$39,MATCH(AV$1,'Yearly Budget'!$23:$23,0),0),0)</f>
        <v>0</v>
      </c>
      <c r="AW13" s="1">
        <f>IFERROR(VLOOKUP($W13,'Yearly Budget'!$23:$39,MATCH(AW$1,'Yearly Budget'!$23:$23,0),0),0)</f>
        <v>0</v>
      </c>
      <c r="AX13" s="1">
        <f>IFERROR(VLOOKUP($W13,'Yearly Budget'!$23:$39,MATCH(AX$1,'Yearly Budget'!$23:$23,0),0),0)</f>
        <v>0</v>
      </c>
      <c r="AY13" s="1">
        <f>IFERROR(VLOOKUP($W13,'Yearly Budget'!$23:$39,MATCH(AY$1,'Yearly Budget'!$23:$23,0),0),0)</f>
        <v>0</v>
      </c>
      <c r="AZ13" s="1">
        <f>IFERROR(VLOOKUP($W13,'Yearly Budget'!$23:$39,MATCH(AZ$1,'Yearly Budget'!$23:$23,0),0),0)</f>
        <v>0</v>
      </c>
      <c r="BA13" s="1">
        <f>IFERROR(VLOOKUP($W13,'Yearly Budget'!$23:$39,MATCH(BA$1,'Yearly Budget'!$23:$23,0),0),0)</f>
        <v>0</v>
      </c>
      <c r="BB13" s="1">
        <f>IFERROR(VLOOKUP($W13,'Yearly Budget'!$23:$39,MATCH(BB$1,'Yearly Budget'!$23:$23,0),0),0)</f>
        <v>0</v>
      </c>
      <c r="BC13" s="1">
        <f>IFERROR(VLOOKUP($W13,'Yearly Budget'!$23:$39,MATCH(BC$1,'Yearly Budget'!$23:$23,0),0),0)</f>
        <v>0</v>
      </c>
      <c r="BD13" s="1">
        <f>IFERROR(VLOOKUP($W13,'Yearly Budget'!$23:$39,MATCH(BD$1,'Yearly Budget'!$23:$23,0),0),0)</f>
        <v>0</v>
      </c>
      <c r="BE13" s="1">
        <f>IFERROR(VLOOKUP($W13,'Yearly Budget'!$23:$39,MATCH(BE$1,'Yearly Budget'!$23:$23,0),0),0)</f>
        <v>0</v>
      </c>
      <c r="BF13" s="1">
        <f>IFERROR(VLOOKUP($W13,'Yearly Budget'!$23:$39,MATCH(BF$1,'Yearly Budget'!$23:$23,0),0),0)</f>
        <v>0</v>
      </c>
      <c r="BG13" s="1">
        <f>IFERROR(VLOOKUP($W13,'Yearly Budget'!$23:$39,MATCH(BG$1,'Yearly Budget'!$23:$23,0),0),0)</f>
        <v>0</v>
      </c>
      <c r="BH13" s="1">
        <f>IFERROR(VLOOKUP($W13,'Yearly Budget'!$23:$39,MATCH(BH$1,'Yearly Budget'!$23:$23,0),0),0)</f>
        <v>0</v>
      </c>
      <c r="BI13" s="1">
        <f>IFERROR(VLOOKUP($W13,'Yearly Budget'!$23:$39,MATCH(BI$1,'Yearly Budget'!$23:$23,0),0),0)</f>
        <v>0</v>
      </c>
      <c r="BJ13" s="1">
        <f>IFERROR(VLOOKUP($W13,'Yearly Budget'!$23:$39,MATCH(BJ$1,'Yearly Budget'!$23:$23,0),0),0)</f>
        <v>0</v>
      </c>
      <c r="BK13" s="1">
        <f>IFERROR(VLOOKUP($W13,'Yearly Budget'!$23:$39,MATCH(BK$1,'Yearly Budget'!$23:$23,0),0),0)</f>
        <v>0</v>
      </c>
      <c r="BL13" s="1">
        <f>IFERROR(VLOOKUP($W13,'Yearly Budget'!$23:$39,MATCH(BL$1,'Yearly Budget'!$23:$23,0),0),0)</f>
        <v>0</v>
      </c>
      <c r="BM13" s="1">
        <f>IFERROR(VLOOKUP($W13,'Yearly Budget'!$23:$39,MATCH(BM$1,'Yearly Budget'!$23:$23,0),0),0)</f>
        <v>0</v>
      </c>
      <c r="BN13" s="1">
        <f>IFERROR(VLOOKUP($W13,'Yearly Budget'!$23:$39,MATCH(BN$1,'Yearly Budget'!$23:$23,0),0),0)</f>
        <v>0</v>
      </c>
      <c r="BO13" s="1">
        <f>IFERROR(VLOOKUP($W13,'Yearly Budget'!$23:$39,MATCH(BO$1,'Yearly Budget'!$23:$23,0),0),0)</f>
        <v>0</v>
      </c>
      <c r="BP13" s="1">
        <f>IFERROR(VLOOKUP($W13,'Yearly Budget'!$23:$39,MATCH(BP$1,'Yearly Budget'!$23:$23,0),0),0)</f>
        <v>0</v>
      </c>
    </row>
    <row r="14" spans="1:68" x14ac:dyDescent="0.3">
      <c r="A14" s="100">
        <f t="shared" si="4"/>
        <v>60</v>
      </c>
      <c r="B14" s="100">
        <f t="shared" si="5"/>
        <v>2036</v>
      </c>
      <c r="D14" s="102">
        <f ca="1">'Yearly Budget'!M$54</f>
        <v>2761229</v>
      </c>
      <c r="E14" s="102"/>
      <c r="F14" s="102"/>
      <c r="G14" s="102">
        <f>'Yearly Budget'!M$21</f>
        <v>5084000</v>
      </c>
      <c r="H14" s="102">
        <f t="shared" ca="1" si="1"/>
        <v>2761229</v>
      </c>
      <c r="I14" s="99"/>
      <c r="J14" s="171">
        <f ca="1">'Yearly Budget'!M$69</f>
        <v>6438189.2161981054</v>
      </c>
      <c r="K14" s="102"/>
      <c r="L14" s="102">
        <f>'Yearly Budget'!M$39</f>
        <v>8635696.7905815691</v>
      </c>
      <c r="M14" s="102"/>
      <c r="N14" s="102">
        <f t="shared" ca="1" si="2"/>
        <v>5272369.7176708002</v>
      </c>
      <c r="O14" s="447">
        <f>'Yearly Budget'!M$68</f>
        <v>1165819.4985273054</v>
      </c>
      <c r="Q14" s="164">
        <f t="shared" si="6"/>
        <v>5084000</v>
      </c>
      <c r="R14" s="164"/>
      <c r="S14" s="164">
        <f t="shared" ca="1" si="3"/>
        <v>2261229</v>
      </c>
      <c r="T14" s="447">
        <f>'Yearly Budget'!M$53</f>
        <v>500000</v>
      </c>
      <c r="W14" s="416">
        <f>'Yearly Budget'!A36</f>
        <v>0</v>
      </c>
      <c r="X14" s="1">
        <f>IFERROR(VLOOKUP($W14,'Yearly Budget'!$23:$39,MATCH(X$1,'Yearly Budget'!$23:$23,0),0),0)</f>
        <v>0</v>
      </c>
      <c r="Y14" s="1">
        <f>IFERROR(VLOOKUP($W14,'Yearly Budget'!$23:$39,MATCH(Y$1,'Yearly Budget'!$23:$23,0),0),0)</f>
        <v>0</v>
      </c>
      <c r="Z14" s="1">
        <f>IFERROR(VLOOKUP($W14,'Yearly Budget'!$23:$39,MATCH(Z$1,'Yearly Budget'!$23:$23,0),0),0)</f>
        <v>0</v>
      </c>
      <c r="AA14" s="1">
        <f>IFERROR(VLOOKUP($W14,'Yearly Budget'!$23:$39,MATCH(AA$1,'Yearly Budget'!$23:$23,0),0),0)</f>
        <v>0</v>
      </c>
      <c r="AB14" s="1">
        <f>IFERROR(VLOOKUP($W14,'Yearly Budget'!$23:$39,MATCH(AB$1,'Yearly Budget'!$23:$23,0),0),0)</f>
        <v>0</v>
      </c>
      <c r="AC14" s="1">
        <f>IFERROR(VLOOKUP($W14,'Yearly Budget'!$23:$39,MATCH(AC$1,'Yearly Budget'!$23:$23,0),0),0)</f>
        <v>0</v>
      </c>
      <c r="AD14" s="1">
        <f>IFERROR(VLOOKUP($W14,'Yearly Budget'!$23:$39,MATCH(AD$1,'Yearly Budget'!$23:$23,0),0),0)</f>
        <v>0</v>
      </c>
      <c r="AE14" s="1">
        <f>IFERROR(VLOOKUP($W14,'Yearly Budget'!$23:$39,MATCH(AE$1,'Yearly Budget'!$23:$23,0),0),0)</f>
        <v>0</v>
      </c>
      <c r="AF14" s="1">
        <f>IFERROR(VLOOKUP($W14,'Yearly Budget'!$23:$39,MATCH(AF$1,'Yearly Budget'!$23:$23,0),0),0)</f>
        <v>0</v>
      </c>
      <c r="AG14" s="1">
        <f>IFERROR(VLOOKUP($W14,'Yearly Budget'!$23:$39,MATCH(AG$1,'Yearly Budget'!$23:$23,0),0),0)</f>
        <v>0</v>
      </c>
      <c r="AH14" s="1">
        <f>IFERROR(VLOOKUP($W14,'Yearly Budget'!$23:$39,MATCH(AH$1,'Yearly Budget'!$23:$23,0),0),0)</f>
        <v>0</v>
      </c>
      <c r="AI14" s="1">
        <f>IFERROR(VLOOKUP($W14,'Yearly Budget'!$23:$39,MATCH(AI$1,'Yearly Budget'!$23:$23,0),0),0)</f>
        <v>0</v>
      </c>
      <c r="AJ14" s="1">
        <f>IFERROR(VLOOKUP($W14,'Yearly Budget'!$23:$39,MATCH(AJ$1,'Yearly Budget'!$23:$23,0),0),0)</f>
        <v>0</v>
      </c>
      <c r="AK14" s="1">
        <f>IFERROR(VLOOKUP($W14,'Yearly Budget'!$23:$39,MATCH(AK$1,'Yearly Budget'!$23:$23,0),0),0)</f>
        <v>0</v>
      </c>
      <c r="AL14" s="1">
        <f>IFERROR(VLOOKUP($W14,'Yearly Budget'!$23:$39,MATCH(AL$1,'Yearly Budget'!$23:$23,0),0),0)</f>
        <v>0</v>
      </c>
      <c r="AM14" s="1">
        <f>IFERROR(VLOOKUP($W14,'Yearly Budget'!$23:$39,MATCH(AM$1,'Yearly Budget'!$23:$23,0),0),0)</f>
        <v>0</v>
      </c>
      <c r="AN14" s="1">
        <f>IFERROR(VLOOKUP($W14,'Yearly Budget'!$23:$39,MATCH(AN$1,'Yearly Budget'!$23:$23,0),0),0)</f>
        <v>0</v>
      </c>
      <c r="AO14" s="1">
        <f>IFERROR(VLOOKUP($W14,'Yearly Budget'!$23:$39,MATCH(AO$1,'Yearly Budget'!$23:$23,0),0),0)</f>
        <v>0</v>
      </c>
      <c r="AP14" s="1">
        <f>IFERROR(VLOOKUP($W14,'Yearly Budget'!$23:$39,MATCH(AP$1,'Yearly Budget'!$23:$23,0),0),0)</f>
        <v>0</v>
      </c>
      <c r="AQ14" s="1">
        <f>IFERROR(VLOOKUP($W14,'Yearly Budget'!$23:$39,MATCH(AQ$1,'Yearly Budget'!$23:$23,0),0),0)</f>
        <v>0</v>
      </c>
      <c r="AR14" s="1">
        <f>IFERROR(VLOOKUP($W14,'Yearly Budget'!$23:$39,MATCH(AR$1,'Yearly Budget'!$23:$23,0),0),0)</f>
        <v>0</v>
      </c>
      <c r="AS14" s="1">
        <f>IFERROR(VLOOKUP($W14,'Yearly Budget'!$23:$39,MATCH(AS$1,'Yearly Budget'!$23:$23,0),0),0)</f>
        <v>0</v>
      </c>
      <c r="AT14" s="1">
        <f>IFERROR(VLOOKUP($W14,'Yearly Budget'!$23:$39,MATCH(AT$1,'Yearly Budget'!$23:$23,0),0),0)</f>
        <v>0</v>
      </c>
      <c r="AU14" s="1">
        <f>IFERROR(VLOOKUP($W14,'Yearly Budget'!$23:$39,MATCH(AU$1,'Yearly Budget'!$23:$23,0),0),0)</f>
        <v>0</v>
      </c>
      <c r="AV14" s="1">
        <f>IFERROR(VLOOKUP($W14,'Yearly Budget'!$23:$39,MATCH(AV$1,'Yearly Budget'!$23:$23,0),0),0)</f>
        <v>0</v>
      </c>
      <c r="AW14" s="1">
        <f>IFERROR(VLOOKUP($W14,'Yearly Budget'!$23:$39,MATCH(AW$1,'Yearly Budget'!$23:$23,0),0),0)</f>
        <v>0</v>
      </c>
      <c r="AX14" s="1">
        <f>IFERROR(VLOOKUP($W14,'Yearly Budget'!$23:$39,MATCH(AX$1,'Yearly Budget'!$23:$23,0),0),0)</f>
        <v>0</v>
      </c>
      <c r="AY14" s="1">
        <f>IFERROR(VLOOKUP($W14,'Yearly Budget'!$23:$39,MATCH(AY$1,'Yearly Budget'!$23:$23,0),0),0)</f>
        <v>0</v>
      </c>
      <c r="AZ14" s="1">
        <f>IFERROR(VLOOKUP($W14,'Yearly Budget'!$23:$39,MATCH(AZ$1,'Yearly Budget'!$23:$23,0),0),0)</f>
        <v>0</v>
      </c>
      <c r="BA14" s="1">
        <f>IFERROR(VLOOKUP($W14,'Yearly Budget'!$23:$39,MATCH(BA$1,'Yearly Budget'!$23:$23,0),0),0)</f>
        <v>0</v>
      </c>
      <c r="BB14" s="1">
        <f>IFERROR(VLOOKUP($W14,'Yearly Budget'!$23:$39,MATCH(BB$1,'Yearly Budget'!$23:$23,0),0),0)</f>
        <v>0</v>
      </c>
      <c r="BC14" s="1">
        <f>IFERROR(VLOOKUP($W14,'Yearly Budget'!$23:$39,MATCH(BC$1,'Yearly Budget'!$23:$23,0),0),0)</f>
        <v>0</v>
      </c>
      <c r="BD14" s="1">
        <f>IFERROR(VLOOKUP($W14,'Yearly Budget'!$23:$39,MATCH(BD$1,'Yearly Budget'!$23:$23,0),0),0)</f>
        <v>0</v>
      </c>
      <c r="BE14" s="1">
        <f>IFERROR(VLOOKUP($W14,'Yearly Budget'!$23:$39,MATCH(BE$1,'Yearly Budget'!$23:$23,0),0),0)</f>
        <v>0</v>
      </c>
      <c r="BF14" s="1">
        <f>IFERROR(VLOOKUP($W14,'Yearly Budget'!$23:$39,MATCH(BF$1,'Yearly Budget'!$23:$23,0),0),0)</f>
        <v>0</v>
      </c>
      <c r="BG14" s="1">
        <f>IFERROR(VLOOKUP($W14,'Yearly Budget'!$23:$39,MATCH(BG$1,'Yearly Budget'!$23:$23,0),0),0)</f>
        <v>0</v>
      </c>
      <c r="BH14" s="1">
        <f>IFERROR(VLOOKUP($W14,'Yearly Budget'!$23:$39,MATCH(BH$1,'Yearly Budget'!$23:$23,0),0),0)</f>
        <v>0</v>
      </c>
      <c r="BI14" s="1">
        <f>IFERROR(VLOOKUP($W14,'Yearly Budget'!$23:$39,MATCH(BI$1,'Yearly Budget'!$23:$23,0),0),0)</f>
        <v>0</v>
      </c>
      <c r="BJ14" s="1">
        <f>IFERROR(VLOOKUP($W14,'Yearly Budget'!$23:$39,MATCH(BJ$1,'Yearly Budget'!$23:$23,0),0),0)</f>
        <v>0</v>
      </c>
      <c r="BK14" s="1">
        <f>IFERROR(VLOOKUP($W14,'Yearly Budget'!$23:$39,MATCH(BK$1,'Yearly Budget'!$23:$23,0),0),0)</f>
        <v>0</v>
      </c>
      <c r="BL14" s="1">
        <f>IFERROR(VLOOKUP($W14,'Yearly Budget'!$23:$39,MATCH(BL$1,'Yearly Budget'!$23:$23,0),0),0)</f>
        <v>0</v>
      </c>
      <c r="BM14" s="1">
        <f>IFERROR(VLOOKUP($W14,'Yearly Budget'!$23:$39,MATCH(BM$1,'Yearly Budget'!$23:$23,0),0),0)</f>
        <v>0</v>
      </c>
      <c r="BN14" s="1">
        <f>IFERROR(VLOOKUP($W14,'Yearly Budget'!$23:$39,MATCH(BN$1,'Yearly Budget'!$23:$23,0),0),0)</f>
        <v>0</v>
      </c>
      <c r="BO14" s="1">
        <f>IFERROR(VLOOKUP($W14,'Yearly Budget'!$23:$39,MATCH(BO$1,'Yearly Budget'!$23:$23,0),0),0)</f>
        <v>0</v>
      </c>
      <c r="BP14" s="1">
        <f>IFERROR(VLOOKUP($W14,'Yearly Budget'!$23:$39,MATCH(BP$1,'Yearly Budget'!$23:$23,0),0),0)</f>
        <v>0</v>
      </c>
    </row>
    <row r="15" spans="1:68" x14ac:dyDescent="0.3">
      <c r="A15" s="100">
        <f t="shared" si="4"/>
        <v>61</v>
      </c>
      <c r="B15" s="100">
        <f t="shared" si="5"/>
        <v>2037</v>
      </c>
      <c r="D15" s="102">
        <f ca="1">'Yearly Budget'!N$54</f>
        <v>2261229</v>
      </c>
      <c r="E15" s="102"/>
      <c r="F15" s="102"/>
      <c r="G15" s="102">
        <f>'Yearly Budget'!N$21</f>
        <v>5084000</v>
      </c>
      <c r="H15" s="102">
        <f t="shared" ca="1" si="1"/>
        <v>2261229</v>
      </c>
      <c r="I15" s="99"/>
      <c r="J15" s="171">
        <f ca="1">'Yearly Budget'!N$69</f>
        <v>5694159.2950844644</v>
      </c>
      <c r="K15" s="102"/>
      <c r="L15" s="102">
        <f>'Yearly Budget'!N$39</f>
        <v>9063281.6301106457</v>
      </c>
      <c r="M15" s="102"/>
      <c r="N15" s="102">
        <f t="shared" ca="1" si="2"/>
        <v>5694159.2950844644</v>
      </c>
      <c r="O15" s="447">
        <f>'Yearly Budget'!N$68</f>
        <v>0</v>
      </c>
      <c r="Q15" s="164">
        <f t="shared" si="6"/>
        <v>5084000</v>
      </c>
      <c r="R15" s="164"/>
      <c r="S15" s="164">
        <f t="shared" ca="1" si="3"/>
        <v>2261229</v>
      </c>
      <c r="T15" s="447">
        <f>'Yearly Budget'!N$53</f>
        <v>0</v>
      </c>
      <c r="W15" s="416">
        <f>'Yearly Budget'!A37</f>
        <v>0</v>
      </c>
      <c r="X15" s="1">
        <f>IFERROR(VLOOKUP($W15,'Yearly Budget'!$23:$39,MATCH(X$1,'Yearly Budget'!$23:$23,0),0),0)</f>
        <v>0</v>
      </c>
      <c r="Y15" s="1">
        <f>IFERROR(VLOOKUP($W15,'Yearly Budget'!$23:$39,MATCH(Y$1,'Yearly Budget'!$23:$23,0),0),0)</f>
        <v>0</v>
      </c>
      <c r="Z15" s="1">
        <f>IFERROR(VLOOKUP($W15,'Yearly Budget'!$23:$39,MATCH(Z$1,'Yearly Budget'!$23:$23,0),0),0)</f>
        <v>0</v>
      </c>
      <c r="AA15" s="1">
        <f>IFERROR(VLOOKUP($W15,'Yearly Budget'!$23:$39,MATCH(AA$1,'Yearly Budget'!$23:$23,0),0),0)</f>
        <v>0</v>
      </c>
      <c r="AB15" s="1">
        <f>IFERROR(VLOOKUP($W15,'Yearly Budget'!$23:$39,MATCH(AB$1,'Yearly Budget'!$23:$23,0),0),0)</f>
        <v>0</v>
      </c>
      <c r="AC15" s="1">
        <f>IFERROR(VLOOKUP($W15,'Yearly Budget'!$23:$39,MATCH(AC$1,'Yearly Budget'!$23:$23,0),0),0)</f>
        <v>0</v>
      </c>
      <c r="AD15" s="1">
        <f>IFERROR(VLOOKUP($W15,'Yearly Budget'!$23:$39,MATCH(AD$1,'Yearly Budget'!$23:$23,0),0),0)</f>
        <v>0</v>
      </c>
      <c r="AE15" s="1">
        <f>IFERROR(VLOOKUP($W15,'Yearly Budget'!$23:$39,MATCH(AE$1,'Yearly Budget'!$23:$23,0),0),0)</f>
        <v>0</v>
      </c>
      <c r="AF15" s="1">
        <f>IFERROR(VLOOKUP($W15,'Yearly Budget'!$23:$39,MATCH(AF$1,'Yearly Budget'!$23:$23,0),0),0)</f>
        <v>0</v>
      </c>
      <c r="AG15" s="1">
        <f>IFERROR(VLOOKUP($W15,'Yearly Budget'!$23:$39,MATCH(AG$1,'Yearly Budget'!$23:$23,0),0),0)</f>
        <v>0</v>
      </c>
      <c r="AH15" s="1">
        <f>IFERROR(VLOOKUP($W15,'Yearly Budget'!$23:$39,MATCH(AH$1,'Yearly Budget'!$23:$23,0),0),0)</f>
        <v>0</v>
      </c>
      <c r="AI15" s="1">
        <f>IFERROR(VLOOKUP($W15,'Yearly Budget'!$23:$39,MATCH(AI$1,'Yearly Budget'!$23:$23,0),0),0)</f>
        <v>0</v>
      </c>
      <c r="AJ15" s="1">
        <f>IFERROR(VLOOKUP($W15,'Yearly Budget'!$23:$39,MATCH(AJ$1,'Yearly Budget'!$23:$23,0),0),0)</f>
        <v>0</v>
      </c>
      <c r="AK15" s="1">
        <f>IFERROR(VLOOKUP($W15,'Yearly Budget'!$23:$39,MATCH(AK$1,'Yearly Budget'!$23:$23,0),0),0)</f>
        <v>0</v>
      </c>
      <c r="AL15" s="1">
        <f>IFERROR(VLOOKUP($W15,'Yearly Budget'!$23:$39,MATCH(AL$1,'Yearly Budget'!$23:$23,0),0),0)</f>
        <v>0</v>
      </c>
      <c r="AM15" s="1">
        <f>IFERROR(VLOOKUP($W15,'Yearly Budget'!$23:$39,MATCH(AM$1,'Yearly Budget'!$23:$23,0),0),0)</f>
        <v>0</v>
      </c>
      <c r="AN15" s="1">
        <f>IFERROR(VLOOKUP($W15,'Yearly Budget'!$23:$39,MATCH(AN$1,'Yearly Budget'!$23:$23,0),0),0)</f>
        <v>0</v>
      </c>
      <c r="AO15" s="1">
        <f>IFERROR(VLOOKUP($W15,'Yearly Budget'!$23:$39,MATCH(AO$1,'Yearly Budget'!$23:$23,0),0),0)</f>
        <v>0</v>
      </c>
      <c r="AP15" s="1">
        <f>IFERROR(VLOOKUP($W15,'Yearly Budget'!$23:$39,MATCH(AP$1,'Yearly Budget'!$23:$23,0),0),0)</f>
        <v>0</v>
      </c>
      <c r="AQ15" s="1">
        <f>IFERROR(VLOOKUP($W15,'Yearly Budget'!$23:$39,MATCH(AQ$1,'Yearly Budget'!$23:$23,0),0),0)</f>
        <v>0</v>
      </c>
      <c r="AR15" s="1">
        <f>IFERROR(VLOOKUP($W15,'Yearly Budget'!$23:$39,MATCH(AR$1,'Yearly Budget'!$23:$23,0),0),0)</f>
        <v>0</v>
      </c>
      <c r="AS15" s="1">
        <f>IFERROR(VLOOKUP($W15,'Yearly Budget'!$23:$39,MATCH(AS$1,'Yearly Budget'!$23:$23,0),0),0)</f>
        <v>0</v>
      </c>
      <c r="AT15" s="1">
        <f>IFERROR(VLOOKUP($W15,'Yearly Budget'!$23:$39,MATCH(AT$1,'Yearly Budget'!$23:$23,0),0),0)</f>
        <v>0</v>
      </c>
      <c r="AU15" s="1">
        <f>IFERROR(VLOOKUP($W15,'Yearly Budget'!$23:$39,MATCH(AU$1,'Yearly Budget'!$23:$23,0),0),0)</f>
        <v>0</v>
      </c>
      <c r="AV15" s="1">
        <f>IFERROR(VLOOKUP($W15,'Yearly Budget'!$23:$39,MATCH(AV$1,'Yearly Budget'!$23:$23,0),0),0)</f>
        <v>0</v>
      </c>
      <c r="AW15" s="1">
        <f>IFERROR(VLOOKUP($W15,'Yearly Budget'!$23:$39,MATCH(AW$1,'Yearly Budget'!$23:$23,0),0),0)</f>
        <v>0</v>
      </c>
      <c r="AX15" s="1">
        <f>IFERROR(VLOOKUP($W15,'Yearly Budget'!$23:$39,MATCH(AX$1,'Yearly Budget'!$23:$23,0),0),0)</f>
        <v>0</v>
      </c>
      <c r="AY15" s="1">
        <f>IFERROR(VLOOKUP($W15,'Yearly Budget'!$23:$39,MATCH(AY$1,'Yearly Budget'!$23:$23,0),0),0)</f>
        <v>0</v>
      </c>
      <c r="AZ15" s="1">
        <f>IFERROR(VLOOKUP($W15,'Yearly Budget'!$23:$39,MATCH(AZ$1,'Yearly Budget'!$23:$23,0),0),0)</f>
        <v>0</v>
      </c>
      <c r="BA15" s="1">
        <f>IFERROR(VLOOKUP($W15,'Yearly Budget'!$23:$39,MATCH(BA$1,'Yearly Budget'!$23:$23,0),0),0)</f>
        <v>0</v>
      </c>
      <c r="BB15" s="1">
        <f>IFERROR(VLOOKUP($W15,'Yearly Budget'!$23:$39,MATCH(BB$1,'Yearly Budget'!$23:$23,0),0),0)</f>
        <v>0</v>
      </c>
      <c r="BC15" s="1">
        <f>IFERROR(VLOOKUP($W15,'Yearly Budget'!$23:$39,MATCH(BC$1,'Yearly Budget'!$23:$23,0),0),0)</f>
        <v>0</v>
      </c>
      <c r="BD15" s="1">
        <f>IFERROR(VLOOKUP($W15,'Yearly Budget'!$23:$39,MATCH(BD$1,'Yearly Budget'!$23:$23,0),0),0)</f>
        <v>0</v>
      </c>
      <c r="BE15" s="1">
        <f>IFERROR(VLOOKUP($W15,'Yearly Budget'!$23:$39,MATCH(BE$1,'Yearly Budget'!$23:$23,0),0),0)</f>
        <v>0</v>
      </c>
      <c r="BF15" s="1">
        <f>IFERROR(VLOOKUP($W15,'Yearly Budget'!$23:$39,MATCH(BF$1,'Yearly Budget'!$23:$23,0),0),0)</f>
        <v>0</v>
      </c>
      <c r="BG15" s="1">
        <f>IFERROR(VLOOKUP($W15,'Yearly Budget'!$23:$39,MATCH(BG$1,'Yearly Budget'!$23:$23,0),0),0)</f>
        <v>0</v>
      </c>
      <c r="BH15" s="1">
        <f>IFERROR(VLOOKUP($W15,'Yearly Budget'!$23:$39,MATCH(BH$1,'Yearly Budget'!$23:$23,0),0),0)</f>
        <v>0</v>
      </c>
      <c r="BI15" s="1">
        <f>IFERROR(VLOOKUP($W15,'Yearly Budget'!$23:$39,MATCH(BI$1,'Yearly Budget'!$23:$23,0),0),0)</f>
        <v>0</v>
      </c>
      <c r="BJ15" s="1">
        <f>IFERROR(VLOOKUP($W15,'Yearly Budget'!$23:$39,MATCH(BJ$1,'Yearly Budget'!$23:$23,0),0),0)</f>
        <v>0</v>
      </c>
      <c r="BK15" s="1">
        <f>IFERROR(VLOOKUP($W15,'Yearly Budget'!$23:$39,MATCH(BK$1,'Yearly Budget'!$23:$23,0),0),0)</f>
        <v>0</v>
      </c>
      <c r="BL15" s="1">
        <f>IFERROR(VLOOKUP($W15,'Yearly Budget'!$23:$39,MATCH(BL$1,'Yearly Budget'!$23:$23,0),0),0)</f>
        <v>0</v>
      </c>
      <c r="BM15" s="1">
        <f>IFERROR(VLOOKUP($W15,'Yearly Budget'!$23:$39,MATCH(BM$1,'Yearly Budget'!$23:$23,0),0),0)</f>
        <v>0</v>
      </c>
      <c r="BN15" s="1">
        <f>IFERROR(VLOOKUP($W15,'Yearly Budget'!$23:$39,MATCH(BN$1,'Yearly Budget'!$23:$23,0),0),0)</f>
        <v>0</v>
      </c>
      <c r="BO15" s="1">
        <f>IFERROR(VLOOKUP($W15,'Yearly Budget'!$23:$39,MATCH(BO$1,'Yearly Budget'!$23:$23,0),0),0)</f>
        <v>0</v>
      </c>
      <c r="BP15" s="1">
        <f>IFERROR(VLOOKUP($W15,'Yearly Budget'!$23:$39,MATCH(BP$1,'Yearly Budget'!$23:$23,0),0),0)</f>
        <v>0</v>
      </c>
    </row>
    <row r="16" spans="1:68" x14ac:dyDescent="0.3">
      <c r="A16" s="100">
        <f t="shared" si="4"/>
        <v>62</v>
      </c>
      <c r="B16" s="100">
        <f t="shared" si="5"/>
        <v>2038</v>
      </c>
      <c r="D16" s="102">
        <f ca="1">'Yearly Budget'!O$54</f>
        <v>2261229</v>
      </c>
      <c r="E16" s="102"/>
      <c r="F16" s="102"/>
      <c r="G16" s="102">
        <f>'Yearly Budget'!O$21</f>
        <v>5084000</v>
      </c>
      <c r="H16" s="102">
        <f t="shared" ca="1" si="1"/>
        <v>2261229</v>
      </c>
      <c r="I16" s="99"/>
      <c r="J16" s="171">
        <f ca="1">'Yearly Budget'!O$69</f>
        <v>6149692.0386912227</v>
      </c>
      <c r="K16" s="102"/>
      <c r="L16" s="102">
        <f>'Yearly Budget'!O$39</f>
        <v>9512245.7116161808</v>
      </c>
      <c r="M16" s="102"/>
      <c r="N16" s="102">
        <f t="shared" ca="1" si="2"/>
        <v>6149692.0386912227</v>
      </c>
      <c r="O16" s="447">
        <f>'Yearly Budget'!O$68</f>
        <v>0</v>
      </c>
      <c r="Q16" s="164">
        <f t="shared" si="6"/>
        <v>5084000</v>
      </c>
      <c r="R16" s="164"/>
      <c r="S16" s="164">
        <f t="shared" ca="1" si="3"/>
        <v>2261229</v>
      </c>
      <c r="T16" s="447">
        <f>'Yearly Budget'!O$53</f>
        <v>0</v>
      </c>
      <c r="W16" s="416">
        <f>'Yearly Budget'!A38</f>
        <v>0</v>
      </c>
      <c r="X16" s="1">
        <f>IFERROR(VLOOKUP($W16,'Yearly Budget'!$23:$39,MATCH(X$1,'Yearly Budget'!$23:$23,0),0),0)</f>
        <v>0</v>
      </c>
      <c r="Y16" s="1">
        <f>IFERROR(VLOOKUP($W16,'Yearly Budget'!$23:$39,MATCH(Y$1,'Yearly Budget'!$23:$23,0),0),0)</f>
        <v>0</v>
      </c>
      <c r="Z16" s="1">
        <f>IFERROR(VLOOKUP($W16,'Yearly Budget'!$23:$39,MATCH(Z$1,'Yearly Budget'!$23:$23,0),0),0)</f>
        <v>0</v>
      </c>
      <c r="AA16" s="1">
        <f>IFERROR(VLOOKUP($W16,'Yearly Budget'!$23:$39,MATCH(AA$1,'Yearly Budget'!$23:$23,0),0),0)</f>
        <v>0</v>
      </c>
      <c r="AB16" s="1">
        <f>IFERROR(VLOOKUP($W16,'Yearly Budget'!$23:$39,MATCH(AB$1,'Yearly Budget'!$23:$23,0),0),0)</f>
        <v>0</v>
      </c>
      <c r="AC16" s="1">
        <f>IFERROR(VLOOKUP($W16,'Yearly Budget'!$23:$39,MATCH(AC$1,'Yearly Budget'!$23:$23,0),0),0)</f>
        <v>0</v>
      </c>
      <c r="AD16" s="1">
        <f>IFERROR(VLOOKUP($W16,'Yearly Budget'!$23:$39,MATCH(AD$1,'Yearly Budget'!$23:$23,0),0),0)</f>
        <v>0</v>
      </c>
      <c r="AE16" s="1">
        <f>IFERROR(VLOOKUP($W16,'Yearly Budget'!$23:$39,MATCH(AE$1,'Yearly Budget'!$23:$23,0),0),0)</f>
        <v>0</v>
      </c>
      <c r="AF16" s="1">
        <f>IFERROR(VLOOKUP($W16,'Yearly Budget'!$23:$39,MATCH(AF$1,'Yearly Budget'!$23:$23,0),0),0)</f>
        <v>0</v>
      </c>
      <c r="AG16" s="1">
        <f>IFERROR(VLOOKUP($W16,'Yearly Budget'!$23:$39,MATCH(AG$1,'Yearly Budget'!$23:$23,0),0),0)</f>
        <v>0</v>
      </c>
      <c r="AH16" s="1">
        <f>IFERROR(VLOOKUP($W16,'Yearly Budget'!$23:$39,MATCH(AH$1,'Yearly Budget'!$23:$23,0),0),0)</f>
        <v>0</v>
      </c>
      <c r="AI16" s="1">
        <f>IFERROR(VLOOKUP($W16,'Yearly Budget'!$23:$39,MATCH(AI$1,'Yearly Budget'!$23:$23,0),0),0)</f>
        <v>0</v>
      </c>
      <c r="AJ16" s="1">
        <f>IFERROR(VLOOKUP($W16,'Yearly Budget'!$23:$39,MATCH(AJ$1,'Yearly Budget'!$23:$23,0),0),0)</f>
        <v>0</v>
      </c>
      <c r="AK16" s="1">
        <f>IFERROR(VLOOKUP($W16,'Yearly Budget'!$23:$39,MATCH(AK$1,'Yearly Budget'!$23:$23,0),0),0)</f>
        <v>0</v>
      </c>
      <c r="AL16" s="1">
        <f>IFERROR(VLOOKUP($W16,'Yearly Budget'!$23:$39,MATCH(AL$1,'Yearly Budget'!$23:$23,0),0),0)</f>
        <v>0</v>
      </c>
      <c r="AM16" s="1">
        <f>IFERROR(VLOOKUP($W16,'Yearly Budget'!$23:$39,MATCH(AM$1,'Yearly Budget'!$23:$23,0),0),0)</f>
        <v>0</v>
      </c>
      <c r="AN16" s="1">
        <f>IFERROR(VLOOKUP($W16,'Yearly Budget'!$23:$39,MATCH(AN$1,'Yearly Budget'!$23:$23,0),0),0)</f>
        <v>0</v>
      </c>
      <c r="AO16" s="1">
        <f>IFERROR(VLOOKUP($W16,'Yearly Budget'!$23:$39,MATCH(AO$1,'Yearly Budget'!$23:$23,0),0),0)</f>
        <v>0</v>
      </c>
      <c r="AP16" s="1">
        <f>IFERROR(VLOOKUP($W16,'Yearly Budget'!$23:$39,MATCH(AP$1,'Yearly Budget'!$23:$23,0),0),0)</f>
        <v>0</v>
      </c>
      <c r="AQ16" s="1">
        <f>IFERROR(VLOOKUP($W16,'Yearly Budget'!$23:$39,MATCH(AQ$1,'Yearly Budget'!$23:$23,0),0),0)</f>
        <v>0</v>
      </c>
      <c r="AR16" s="1">
        <f>IFERROR(VLOOKUP($W16,'Yearly Budget'!$23:$39,MATCH(AR$1,'Yearly Budget'!$23:$23,0),0),0)</f>
        <v>0</v>
      </c>
      <c r="AS16" s="1">
        <f>IFERROR(VLOOKUP($W16,'Yearly Budget'!$23:$39,MATCH(AS$1,'Yearly Budget'!$23:$23,0),0),0)</f>
        <v>0</v>
      </c>
      <c r="AT16" s="1">
        <f>IFERROR(VLOOKUP($W16,'Yearly Budget'!$23:$39,MATCH(AT$1,'Yearly Budget'!$23:$23,0),0),0)</f>
        <v>0</v>
      </c>
      <c r="AU16" s="1">
        <f>IFERROR(VLOOKUP($W16,'Yearly Budget'!$23:$39,MATCH(AU$1,'Yearly Budget'!$23:$23,0),0),0)</f>
        <v>0</v>
      </c>
      <c r="AV16" s="1">
        <f>IFERROR(VLOOKUP($W16,'Yearly Budget'!$23:$39,MATCH(AV$1,'Yearly Budget'!$23:$23,0),0),0)</f>
        <v>0</v>
      </c>
      <c r="AW16" s="1">
        <f>IFERROR(VLOOKUP($W16,'Yearly Budget'!$23:$39,MATCH(AW$1,'Yearly Budget'!$23:$23,0),0),0)</f>
        <v>0</v>
      </c>
      <c r="AX16" s="1">
        <f>IFERROR(VLOOKUP($W16,'Yearly Budget'!$23:$39,MATCH(AX$1,'Yearly Budget'!$23:$23,0),0),0)</f>
        <v>0</v>
      </c>
      <c r="AY16" s="1">
        <f>IFERROR(VLOOKUP($W16,'Yearly Budget'!$23:$39,MATCH(AY$1,'Yearly Budget'!$23:$23,0),0),0)</f>
        <v>0</v>
      </c>
      <c r="AZ16" s="1">
        <f>IFERROR(VLOOKUP($W16,'Yearly Budget'!$23:$39,MATCH(AZ$1,'Yearly Budget'!$23:$23,0),0),0)</f>
        <v>0</v>
      </c>
      <c r="BA16" s="1">
        <f>IFERROR(VLOOKUP($W16,'Yearly Budget'!$23:$39,MATCH(BA$1,'Yearly Budget'!$23:$23,0),0),0)</f>
        <v>0</v>
      </c>
      <c r="BB16" s="1">
        <f>IFERROR(VLOOKUP($W16,'Yearly Budget'!$23:$39,MATCH(BB$1,'Yearly Budget'!$23:$23,0),0),0)</f>
        <v>0</v>
      </c>
      <c r="BC16" s="1">
        <f>IFERROR(VLOOKUP($W16,'Yearly Budget'!$23:$39,MATCH(BC$1,'Yearly Budget'!$23:$23,0),0),0)</f>
        <v>0</v>
      </c>
      <c r="BD16" s="1">
        <f>IFERROR(VLOOKUP($W16,'Yearly Budget'!$23:$39,MATCH(BD$1,'Yearly Budget'!$23:$23,0),0),0)</f>
        <v>0</v>
      </c>
      <c r="BE16" s="1">
        <f>IFERROR(VLOOKUP($W16,'Yearly Budget'!$23:$39,MATCH(BE$1,'Yearly Budget'!$23:$23,0),0),0)</f>
        <v>0</v>
      </c>
      <c r="BF16" s="1">
        <f>IFERROR(VLOOKUP($W16,'Yearly Budget'!$23:$39,MATCH(BF$1,'Yearly Budget'!$23:$23,0),0),0)</f>
        <v>0</v>
      </c>
      <c r="BG16" s="1">
        <f>IFERROR(VLOOKUP($W16,'Yearly Budget'!$23:$39,MATCH(BG$1,'Yearly Budget'!$23:$23,0),0),0)</f>
        <v>0</v>
      </c>
      <c r="BH16" s="1">
        <f>IFERROR(VLOOKUP($W16,'Yearly Budget'!$23:$39,MATCH(BH$1,'Yearly Budget'!$23:$23,0),0),0)</f>
        <v>0</v>
      </c>
      <c r="BI16" s="1">
        <f>IFERROR(VLOOKUP($W16,'Yearly Budget'!$23:$39,MATCH(BI$1,'Yearly Budget'!$23:$23,0),0),0)</f>
        <v>0</v>
      </c>
      <c r="BJ16" s="1">
        <f>IFERROR(VLOOKUP($W16,'Yearly Budget'!$23:$39,MATCH(BJ$1,'Yearly Budget'!$23:$23,0),0),0)</f>
        <v>0</v>
      </c>
      <c r="BK16" s="1">
        <f>IFERROR(VLOOKUP($W16,'Yearly Budget'!$23:$39,MATCH(BK$1,'Yearly Budget'!$23:$23,0),0),0)</f>
        <v>0</v>
      </c>
      <c r="BL16" s="1">
        <f>IFERROR(VLOOKUP($W16,'Yearly Budget'!$23:$39,MATCH(BL$1,'Yearly Budget'!$23:$23,0),0),0)</f>
        <v>0</v>
      </c>
      <c r="BM16" s="1">
        <f>IFERROR(VLOOKUP($W16,'Yearly Budget'!$23:$39,MATCH(BM$1,'Yearly Budget'!$23:$23,0),0),0)</f>
        <v>0</v>
      </c>
      <c r="BN16" s="1">
        <f>IFERROR(VLOOKUP($W16,'Yearly Budget'!$23:$39,MATCH(BN$1,'Yearly Budget'!$23:$23,0),0),0)</f>
        <v>0</v>
      </c>
      <c r="BO16" s="1">
        <f>IFERROR(VLOOKUP($W16,'Yearly Budget'!$23:$39,MATCH(BO$1,'Yearly Budget'!$23:$23,0),0),0)</f>
        <v>0</v>
      </c>
      <c r="BP16" s="1">
        <f>IFERROR(VLOOKUP($W16,'Yearly Budget'!$23:$39,MATCH(BP$1,'Yearly Budget'!$23:$23,0),0),0)</f>
        <v>0</v>
      </c>
    </row>
    <row r="17" spans="1:68" x14ac:dyDescent="0.3">
      <c r="A17" s="100">
        <f t="shared" si="4"/>
        <v>63</v>
      </c>
      <c r="B17" s="100">
        <f t="shared" si="5"/>
        <v>2039</v>
      </c>
      <c r="D17" s="102">
        <f ca="1">'Yearly Budget'!P$54</f>
        <v>2261229</v>
      </c>
      <c r="E17" s="102"/>
      <c r="F17" s="102"/>
      <c r="G17" s="102">
        <f>'Yearly Budget'!P$21</f>
        <v>84000</v>
      </c>
      <c r="H17" s="102">
        <f t="shared" ca="1" si="1"/>
        <v>2261229</v>
      </c>
      <c r="I17" s="99"/>
      <c r="J17" s="171">
        <f ca="1">'Yearly Budget'!P$69</f>
        <v>6641667.4017865211</v>
      </c>
      <c r="K17" s="102"/>
      <c r="L17" s="102">
        <f>'Yearly Budget'!P$39</f>
        <v>84000</v>
      </c>
      <c r="M17" s="102"/>
      <c r="N17" s="102">
        <f t="shared" ca="1" si="2"/>
        <v>6641667.4017865211</v>
      </c>
      <c r="O17" s="447">
        <f>'Yearly Budget'!P$68</f>
        <v>0</v>
      </c>
      <c r="Q17" s="164">
        <f t="shared" si="6"/>
        <v>84000</v>
      </c>
      <c r="R17" s="164"/>
      <c r="S17" s="164">
        <f t="shared" ca="1" si="3"/>
        <v>2261229</v>
      </c>
      <c r="T17" s="447">
        <f>'Yearly Budget'!P$53</f>
        <v>0</v>
      </c>
      <c r="W17" s="162" t="s">
        <v>354</v>
      </c>
      <c r="X17" s="1">
        <f ca="1">VLOOKUP(X1,'NWGC - SCENARIOS'!$B$9:$L$70,7,0)</f>
        <v>3947795.3377075209</v>
      </c>
      <c r="Y17" s="1">
        <f ca="1">VLOOKUP(Y1,'NWGC - SCENARIOS'!$B$9:$L$70,7,0)</f>
        <v>0</v>
      </c>
      <c r="Z17" s="1">
        <f ca="1">VLOOKUP(Z1,'NWGC - SCENARIOS'!$B$9:$L$70,7,0)</f>
        <v>0</v>
      </c>
      <c r="AA17" s="1">
        <f ca="1">VLOOKUP(AA1,'NWGC - SCENARIOS'!$B$9:$L$70,7,0)</f>
        <v>4317849.9945455752</v>
      </c>
      <c r="AB17" s="1">
        <f ca="1">VLOOKUP(AB1,'NWGC - SCENARIOS'!$B$9:$L$70,7,0)</f>
        <v>1165819.4985273054</v>
      </c>
      <c r="AC17" s="1">
        <f ca="1">VLOOKUP(AC1,'NWGC - SCENARIOS'!$B$9:$L$70,7,0)</f>
        <v>0</v>
      </c>
      <c r="AD17" s="1">
        <f ca="1">VLOOKUP(AD1,'NWGC - SCENARIOS'!$B$9:$L$70,7,0)</f>
        <v>0</v>
      </c>
      <c r="AE17" s="1">
        <f ca="1">VLOOKUP(AE1,'NWGC - SCENARIOS'!$B$9:$L$70,7,0)</f>
        <v>6557667.4017865211</v>
      </c>
      <c r="AF17" s="1">
        <f ca="1">VLOOKUP(AF1,'NWGC - SCENARIOS'!$B$9:$L$70,7,0)</f>
        <v>7089000.7939294428</v>
      </c>
      <c r="AG17" s="1">
        <f ca="1">VLOOKUP(AG1,'NWGC - SCENARIOS'!$B$9:$L$70,7,0)</f>
        <v>7662840.8574437993</v>
      </c>
      <c r="AH17" s="1">
        <f ca="1">VLOOKUP(AH1,'NWGC - SCENARIOS'!$B$9:$L$70,7,0)</f>
        <v>8282588.126039302</v>
      </c>
      <c r="AI17" s="1">
        <f ca="1">VLOOKUP(AI1,'NWGC - SCENARIOS'!$B$9:$L$70,7,0)</f>
        <v>8951915.1761224475</v>
      </c>
      <c r="AJ17" s="1">
        <f ca="1">VLOOKUP(AJ1,'NWGC - SCENARIOS'!$B$9:$L$70,7,0)</f>
        <v>9674788.3902122453</v>
      </c>
      <c r="AK17" s="1">
        <f ca="1">VLOOKUP(AK1,'NWGC - SCENARIOS'!$B$9:$L$70,7,0)</f>
        <v>10455491.461429223</v>
      </c>
      <c r="AL17" s="1">
        <f ca="1">VLOOKUP(AL1,'NWGC - SCENARIOS'!$B$9:$L$70,7,0)</f>
        <v>11298650.778343562</v>
      </c>
      <c r="AM17" s="1">
        <f ca="1">VLOOKUP(AM1,'NWGC - SCENARIOS'!$B$9:$L$70,7,0)</f>
        <v>12209262.840611048</v>
      </c>
      <c r="AN17" s="1">
        <f ca="1">VLOOKUP(AN1,'NWGC - SCENARIOS'!$B$9:$L$70,7,0)</f>
        <v>13192723.867859932</v>
      </c>
      <c r="AO17" s="1">
        <f ca="1">VLOOKUP(AO1,'NWGC - SCENARIOS'!$B$9:$L$70,7,0)</f>
        <v>14254861.777288727</v>
      </c>
      <c r="AP17" s="1">
        <f ca="1">VLOOKUP(AP1,'NWGC - SCENARIOS'!$B$9:$L$70,7,0)</f>
        <v>15401970.719471829</v>
      </c>
      <c r="AQ17" s="1">
        <f ca="1">VLOOKUP(AQ1,'NWGC - SCENARIOS'!$B$9:$L$70,7,0)</f>
        <v>16640848.377029575</v>
      </c>
      <c r="AR17" s="1">
        <f ca="1">VLOOKUP(AR1,'NWGC - SCENARIOS'!$B$9:$L$70,7,0)</f>
        <v>17978836.247191936</v>
      </c>
      <c r="AS17" s="1">
        <f ca="1">VLOOKUP(AS1,'NWGC - SCENARIOS'!$B$9:$L$70,7,0)</f>
        <v>19423863.146967296</v>
      </c>
      <c r="AT17" s="1">
        <f ca="1">VLOOKUP(AT1,'NWGC - SCENARIOS'!$B$9:$L$70,7,0)</f>
        <v>20984492.19872468</v>
      </c>
      <c r="AU17" s="1">
        <f ca="1">VLOOKUP(AU1,'NWGC - SCENARIOS'!$B$9:$L$70,7,0)</f>
        <v>22669971.574622657</v>
      </c>
      <c r="AV17" s="1">
        <f ca="1">VLOOKUP(AV1,'NWGC - SCENARIOS'!$B$9:$L$70,7,0)</f>
        <v>24490289.300592475</v>
      </c>
      <c r="AW17" s="1">
        <f ca="1">VLOOKUP(AW1,'NWGC - SCENARIOS'!$B$9:$L$70,7,0)</f>
        <v>25869378.294869103</v>
      </c>
      <c r="AX17" s="1">
        <f ca="1">VLOOKUP(AX1,'NWGC - SCENARIOS'!$B$9:$L$70,7,0)</f>
        <v>27945648.558458634</v>
      </c>
      <c r="AY17" s="1">
        <f ca="1">VLOOKUP(AY1,'NWGC - SCENARIOS'!$B$9:$L$70,7,0)</f>
        <v>30188020.443135325</v>
      </c>
      <c r="AZ17" s="1">
        <f ca="1">VLOOKUP(AZ1,'NWGC - SCENARIOS'!$B$9:$L$70,7,0)</f>
        <v>32609782.078586154</v>
      </c>
      <c r="BA17" s="1">
        <f ca="1">VLOOKUP(BA1,'NWGC - SCENARIOS'!$B$9:$L$70,7,0)</f>
        <v>35225284.644873053</v>
      </c>
      <c r="BB17" s="1">
        <f ca="1">VLOOKUP(BB1,'NWGC - SCENARIOS'!$B$9:$L$70,7,0)</f>
        <v>38050027.416462898</v>
      </c>
      <c r="BC17" s="1">
        <f ca="1">VLOOKUP(BC1,'NWGC - SCENARIOS'!$B$9:$L$70,7,0)</f>
        <v>41100749.609779932</v>
      </c>
      <c r="BD17" s="1">
        <f ca="1">VLOOKUP(BD1,'NWGC - SCENARIOS'!$B$9:$L$70,7,0)</f>
        <v>44395529.578562327</v>
      </c>
      <c r="BE17" s="1">
        <f ca="1">VLOOKUP(BE1,'NWGC - SCENARIOS'!$B$9:$L$70,7,0)</f>
        <v>47953891.944847323</v>
      </c>
      <c r="BF17" s="1">
        <f ca="1">VLOOKUP(BF1,'NWGC - SCENARIOS'!$B$9:$L$70,7,0)</f>
        <v>51796923.300435111</v>
      </c>
      <c r="BG17" s="1">
        <f ca="1">VLOOKUP(BG1,'NWGC - SCENARIOS'!$B$9:$L$70,7,0)</f>
        <v>55947397.164469905</v>
      </c>
      <c r="BH17" s="1">
        <f ca="1">VLOOKUP(BH1,'NWGC - SCENARIOS'!$B$9:$L$70,7,0)</f>
        <v>60429908.937627502</v>
      </c>
      <c r="BI17" s="1">
        <f ca="1">VLOOKUP(BI1,'NWGC - SCENARIOS'!$B$9:$L$70,7,0)</f>
        <v>65271021.65263772</v>
      </c>
      <c r="BJ17" s="1">
        <f ca="1">VLOOKUP(BJ1,'NWGC - SCENARIOS'!$B$9:$L$70,7,0)</f>
        <v>70499423.384848729</v>
      </c>
      <c r="BK17" s="1">
        <f ca="1">VLOOKUP(BK1,'NWGC - SCENARIOS'!$B$9:$L$70,7,0)</f>
        <v>76146097.255636647</v>
      </c>
      <c r="BL17" s="1">
        <f ca="1">VLOOKUP(BL1,'NWGC - SCENARIOS'!$B$9:$L$70,7,0)</f>
        <v>82244505.036087587</v>
      </c>
      <c r="BM17" s="1">
        <f ca="1">VLOOKUP(BM1,'NWGC - SCENARIOS'!$B$9:$L$70,7,0)</f>
        <v>88830785.438974574</v>
      </c>
      <c r="BN17" s="1">
        <f ca="1">VLOOKUP(BN1,'NWGC - SCENARIOS'!$B$9:$L$70,7,0)</f>
        <v>95943968.274092555</v>
      </c>
      <c r="BO17" s="1">
        <f ca="1">VLOOKUP(BO1,'NWGC - SCENARIOS'!$B$9:$L$70,7,0)</f>
        <v>103626205.73601997</v>
      </c>
      <c r="BP17" s="1">
        <f ca="1">VLOOKUP(BP1,'NWGC - SCENARIOS'!$B$9:$L$70,7,0)</f>
        <v>111923022.19490159</v>
      </c>
    </row>
    <row r="18" spans="1:68" x14ac:dyDescent="0.3">
      <c r="A18" s="100">
        <f t="shared" si="4"/>
        <v>64</v>
      </c>
      <c r="B18" s="100">
        <f t="shared" si="5"/>
        <v>2040</v>
      </c>
      <c r="D18" s="102">
        <f ca="1">'Yearly Budget'!Q$54</f>
        <v>2261229</v>
      </c>
      <c r="E18" s="102"/>
      <c r="F18" s="102"/>
      <c r="G18" s="102">
        <f>'Yearly Budget'!Q$21</f>
        <v>84000</v>
      </c>
      <c r="H18" s="102">
        <f t="shared" ca="1" si="1"/>
        <v>2261229</v>
      </c>
      <c r="I18" s="99"/>
      <c r="J18" s="171">
        <f ca="1">'Yearly Budget'!Q$69</f>
        <v>7173000.7939294428</v>
      </c>
      <c r="K18" s="102"/>
      <c r="L18" s="102">
        <f>'Yearly Budget'!Q$39</f>
        <v>84000</v>
      </c>
      <c r="M18" s="102"/>
      <c r="N18" s="102">
        <f t="shared" ca="1" si="2"/>
        <v>7173000.7939294428</v>
      </c>
      <c r="O18" s="447">
        <f>'Yearly Budget'!Q$68</f>
        <v>0</v>
      </c>
      <c r="Q18" s="164">
        <f t="shared" si="6"/>
        <v>84000</v>
      </c>
      <c r="R18" s="164"/>
      <c r="S18" s="164">
        <f t="shared" ca="1" si="3"/>
        <v>2261229</v>
      </c>
      <c r="T18" s="447">
        <f>'Yearly Budget'!Q$53</f>
        <v>0</v>
      </c>
    </row>
    <row r="19" spans="1:68" x14ac:dyDescent="0.3">
      <c r="A19" s="100">
        <f t="shared" si="4"/>
        <v>65</v>
      </c>
      <c r="B19" s="100">
        <f t="shared" si="5"/>
        <v>2041</v>
      </c>
      <c r="D19" s="102">
        <f ca="1">'Yearly Budget'!R$54</f>
        <v>2261229</v>
      </c>
      <c r="E19" s="102"/>
      <c r="F19" s="102"/>
      <c r="G19" s="102">
        <f>'Yearly Budget'!R$21</f>
        <v>84000</v>
      </c>
      <c r="H19" s="102">
        <f t="shared" ca="1" si="1"/>
        <v>2261229</v>
      </c>
      <c r="I19" s="99"/>
      <c r="J19" s="171">
        <f ca="1">'Yearly Budget'!R$69</f>
        <v>7746840.8574437993</v>
      </c>
      <c r="K19" s="102"/>
      <c r="L19" s="102">
        <f>'Yearly Budget'!R$39</f>
        <v>84000</v>
      </c>
      <c r="M19" s="102"/>
      <c r="N19" s="102">
        <f t="shared" ca="1" si="2"/>
        <v>7746840.8574437993</v>
      </c>
      <c r="O19" s="447">
        <f>'Yearly Budget'!R$68</f>
        <v>0</v>
      </c>
      <c r="Q19" s="164">
        <f t="shared" si="6"/>
        <v>84000</v>
      </c>
      <c r="R19" s="164"/>
      <c r="S19" s="164">
        <f t="shared" ca="1" si="3"/>
        <v>2261229</v>
      </c>
      <c r="T19" s="447">
        <f>'Yearly Budget'!R$53</f>
        <v>0</v>
      </c>
    </row>
    <row r="20" spans="1:68" x14ac:dyDescent="0.3">
      <c r="A20" s="100">
        <f t="shared" si="4"/>
        <v>66</v>
      </c>
      <c r="B20" s="100">
        <f t="shared" si="5"/>
        <v>2042</v>
      </c>
      <c r="D20" s="102">
        <f ca="1">'Yearly Budget'!S$54</f>
        <v>2261229</v>
      </c>
      <c r="E20" s="102"/>
      <c r="F20" s="102"/>
      <c r="G20" s="102">
        <f>'Yearly Budget'!S$21</f>
        <v>84000</v>
      </c>
      <c r="H20" s="102">
        <f t="shared" ca="1" si="1"/>
        <v>2261229</v>
      </c>
      <c r="I20" s="99"/>
      <c r="J20" s="171">
        <f ca="1">'Yearly Budget'!S$69</f>
        <v>8366588.126039302</v>
      </c>
      <c r="K20" s="102"/>
      <c r="L20" s="102">
        <f>'Yearly Budget'!S$39</f>
        <v>84000</v>
      </c>
      <c r="M20" s="102"/>
      <c r="N20" s="102">
        <f t="shared" ca="1" si="2"/>
        <v>8366588.126039302</v>
      </c>
      <c r="O20" s="447">
        <f>'Yearly Budget'!S$68</f>
        <v>0</v>
      </c>
      <c r="Q20" s="164">
        <f t="shared" si="6"/>
        <v>84000</v>
      </c>
      <c r="R20" s="164"/>
      <c r="S20" s="164">
        <f t="shared" ca="1" si="3"/>
        <v>2261229</v>
      </c>
      <c r="T20" s="447">
        <f>'Yearly Budget'!S$53</f>
        <v>0</v>
      </c>
    </row>
    <row r="21" spans="1:68" x14ac:dyDescent="0.3">
      <c r="A21" s="100">
        <f t="shared" si="4"/>
        <v>67</v>
      </c>
      <c r="B21" s="100">
        <f t="shared" si="5"/>
        <v>2043</v>
      </c>
      <c r="D21" s="102">
        <f ca="1">'Yearly Budget'!T$54</f>
        <v>2261229</v>
      </c>
      <c r="E21" s="102"/>
      <c r="F21" s="102"/>
      <c r="G21" s="102">
        <f>'Yearly Budget'!T$21</f>
        <v>84000</v>
      </c>
      <c r="H21" s="102">
        <f t="shared" ca="1" si="1"/>
        <v>2261229</v>
      </c>
      <c r="I21" s="99"/>
      <c r="J21" s="171">
        <f ca="1">'Yearly Budget'!T$69</f>
        <v>9035915.1761224475</v>
      </c>
      <c r="K21" s="102"/>
      <c r="L21" s="102">
        <f>'Yearly Budget'!T$39</f>
        <v>84000</v>
      </c>
      <c r="M21" s="102"/>
      <c r="N21" s="102">
        <f t="shared" ca="1" si="2"/>
        <v>9035915.1761224475</v>
      </c>
      <c r="O21" s="447">
        <f>'Yearly Budget'!T$68</f>
        <v>0</v>
      </c>
      <c r="Q21" s="164">
        <f t="shared" si="6"/>
        <v>84000</v>
      </c>
      <c r="R21" s="164"/>
      <c r="S21" s="164">
        <f t="shared" ca="1" si="3"/>
        <v>2261229</v>
      </c>
      <c r="T21" s="447">
        <f>'Yearly Budget'!T$53</f>
        <v>0</v>
      </c>
    </row>
    <row r="22" spans="1:68" x14ac:dyDescent="0.3">
      <c r="A22" s="100">
        <f t="shared" si="4"/>
        <v>68</v>
      </c>
      <c r="B22" s="100">
        <f t="shared" si="5"/>
        <v>2044</v>
      </c>
      <c r="D22" s="102">
        <f ca="1">'Yearly Budget'!U$54</f>
        <v>2261229</v>
      </c>
      <c r="E22" s="102"/>
      <c r="F22" s="102"/>
      <c r="G22" s="102">
        <f>'Yearly Budget'!U$21</f>
        <v>84000</v>
      </c>
      <c r="H22" s="102">
        <f t="shared" ca="1" si="1"/>
        <v>2261229</v>
      </c>
      <c r="I22" s="99"/>
      <c r="J22" s="171">
        <f ca="1">'Yearly Budget'!U$69</f>
        <v>9758788.3902122453</v>
      </c>
      <c r="K22" s="102"/>
      <c r="L22" s="102">
        <f>'Yearly Budget'!U$39</f>
        <v>84000</v>
      </c>
      <c r="M22" s="102"/>
      <c r="N22" s="102">
        <f t="shared" ca="1" si="2"/>
        <v>9758788.3902122453</v>
      </c>
      <c r="O22" s="447">
        <f>'Yearly Budget'!U$68</f>
        <v>0</v>
      </c>
      <c r="Q22" s="164">
        <f t="shared" si="6"/>
        <v>84000</v>
      </c>
      <c r="R22" s="164"/>
      <c r="S22" s="164">
        <f t="shared" ca="1" si="3"/>
        <v>2261229</v>
      </c>
      <c r="T22" s="447">
        <f>'Yearly Budget'!U$53</f>
        <v>0</v>
      </c>
    </row>
    <row r="23" spans="1:68" x14ac:dyDescent="0.3">
      <c r="A23" s="100">
        <f t="shared" si="4"/>
        <v>69</v>
      </c>
      <c r="B23" s="100">
        <f t="shared" si="5"/>
        <v>2045</v>
      </c>
      <c r="D23" s="102">
        <f ca="1">'Yearly Budget'!V$54</f>
        <v>2261229</v>
      </c>
      <c r="E23" s="102"/>
      <c r="F23" s="102"/>
      <c r="G23" s="102">
        <f>'Yearly Budget'!V$21</f>
        <v>84000</v>
      </c>
      <c r="H23" s="102">
        <f t="shared" ca="1" si="1"/>
        <v>2261229</v>
      </c>
      <c r="I23" s="99"/>
      <c r="J23" s="171">
        <f ca="1">'Yearly Budget'!V$69</f>
        <v>10539491.461429223</v>
      </c>
      <c r="K23" s="102"/>
      <c r="L23" s="102">
        <f>'Yearly Budget'!V$39</f>
        <v>84000</v>
      </c>
      <c r="M23" s="102"/>
      <c r="N23" s="102">
        <f t="shared" ca="1" si="2"/>
        <v>10539491.461429223</v>
      </c>
      <c r="O23" s="447">
        <f>'Yearly Budget'!V$68</f>
        <v>0</v>
      </c>
      <c r="Q23" s="164">
        <f t="shared" si="6"/>
        <v>84000</v>
      </c>
      <c r="R23" s="164"/>
      <c r="S23" s="164">
        <f t="shared" ca="1" si="3"/>
        <v>2261229</v>
      </c>
      <c r="T23" s="447">
        <f>'Yearly Budget'!V$53</f>
        <v>0</v>
      </c>
    </row>
    <row r="24" spans="1:68" x14ac:dyDescent="0.3">
      <c r="A24" s="100">
        <f t="shared" si="4"/>
        <v>70</v>
      </c>
      <c r="B24" s="100">
        <f t="shared" si="5"/>
        <v>2046</v>
      </c>
      <c r="D24" s="102">
        <f ca="1">'Yearly Budget'!W$54</f>
        <v>2261229</v>
      </c>
      <c r="E24" s="102"/>
      <c r="F24" s="102"/>
      <c r="G24" s="102">
        <f>'Yearly Budget'!W$21</f>
        <v>84000</v>
      </c>
      <c r="H24" s="102">
        <f t="shared" ca="1" si="1"/>
        <v>2261229</v>
      </c>
      <c r="I24" s="99"/>
      <c r="J24" s="171">
        <f ca="1">'Yearly Budget'!W$69</f>
        <v>11382650.778343562</v>
      </c>
      <c r="K24" s="102"/>
      <c r="L24" s="102">
        <f>'Yearly Budget'!W$39</f>
        <v>84000</v>
      </c>
      <c r="M24" s="102"/>
      <c r="N24" s="102">
        <f t="shared" ca="1" si="2"/>
        <v>11382650.778343562</v>
      </c>
      <c r="O24" s="447">
        <f>'Yearly Budget'!W$68</f>
        <v>0</v>
      </c>
      <c r="Q24" s="164">
        <f t="shared" si="6"/>
        <v>84000</v>
      </c>
      <c r="R24" s="164"/>
      <c r="S24" s="164">
        <f t="shared" ca="1" si="3"/>
        <v>2261229</v>
      </c>
      <c r="T24" s="447">
        <f>'Yearly Budget'!W$53</f>
        <v>0</v>
      </c>
    </row>
    <row r="25" spans="1:68" x14ac:dyDescent="0.3">
      <c r="A25" s="100">
        <f t="shared" si="4"/>
        <v>71</v>
      </c>
      <c r="B25" s="100">
        <f t="shared" si="5"/>
        <v>2047</v>
      </c>
      <c r="D25" s="102">
        <f ca="1">'Yearly Budget'!X$54</f>
        <v>2261229</v>
      </c>
      <c r="E25" s="102"/>
      <c r="F25" s="102"/>
      <c r="G25" s="102">
        <f>'Yearly Budget'!X$21</f>
        <v>84000</v>
      </c>
      <c r="H25" s="102">
        <f t="shared" ca="1" si="1"/>
        <v>2261229</v>
      </c>
      <c r="I25" s="99"/>
      <c r="J25" s="171">
        <f ca="1">'Yearly Budget'!X$69</f>
        <v>12293262.840611048</v>
      </c>
      <c r="K25" s="102"/>
      <c r="L25" s="102">
        <f>'Yearly Budget'!X$39</f>
        <v>84000</v>
      </c>
      <c r="M25" s="102"/>
      <c r="N25" s="102">
        <f t="shared" ca="1" si="2"/>
        <v>12293262.840611048</v>
      </c>
      <c r="O25" s="447">
        <f>'Yearly Budget'!X$68</f>
        <v>0</v>
      </c>
      <c r="Q25" s="164">
        <f t="shared" si="6"/>
        <v>84000</v>
      </c>
      <c r="R25" s="164"/>
      <c r="S25" s="164">
        <f t="shared" ca="1" si="3"/>
        <v>2261229</v>
      </c>
      <c r="T25" s="447">
        <f>'Yearly Budget'!X$53</f>
        <v>0</v>
      </c>
    </row>
    <row r="26" spans="1:68" x14ac:dyDescent="0.3">
      <c r="A26" s="100">
        <f t="shared" si="4"/>
        <v>72</v>
      </c>
      <c r="B26" s="100">
        <f t="shared" si="5"/>
        <v>2048</v>
      </c>
      <c r="D26" s="102">
        <f ca="1">'Yearly Budget'!Y$54</f>
        <v>2261229</v>
      </c>
      <c r="E26" s="102"/>
      <c r="F26" s="102"/>
      <c r="G26" s="102">
        <f>'Yearly Budget'!Y$21</f>
        <v>84000</v>
      </c>
      <c r="H26" s="102">
        <f t="shared" ca="1" si="1"/>
        <v>2261229</v>
      </c>
      <c r="I26" s="99"/>
      <c r="J26" s="171">
        <f ca="1">'Yearly Budget'!Y$69</f>
        <v>13276723.867859932</v>
      </c>
      <c r="K26" s="102"/>
      <c r="L26" s="102">
        <f>'Yearly Budget'!Y$39</f>
        <v>84000</v>
      </c>
      <c r="M26" s="102"/>
      <c r="N26" s="102">
        <f t="shared" ca="1" si="2"/>
        <v>13276723.867859932</v>
      </c>
      <c r="O26" s="447">
        <f>'Yearly Budget'!Y$68</f>
        <v>0</v>
      </c>
      <c r="Q26" s="164">
        <f t="shared" si="6"/>
        <v>84000</v>
      </c>
      <c r="R26" s="164"/>
      <c r="S26" s="164">
        <f t="shared" ca="1" si="3"/>
        <v>2261229</v>
      </c>
      <c r="T26" s="447">
        <f>'Yearly Budget'!Y$53</f>
        <v>0</v>
      </c>
    </row>
    <row r="27" spans="1:68" x14ac:dyDescent="0.3">
      <c r="A27" s="100">
        <f t="shared" si="4"/>
        <v>73</v>
      </c>
      <c r="B27" s="100">
        <f t="shared" si="5"/>
        <v>2049</v>
      </c>
      <c r="D27" s="102">
        <f ca="1">'Yearly Budget'!Z$54</f>
        <v>2261229</v>
      </c>
      <c r="E27" s="102"/>
      <c r="F27" s="102"/>
      <c r="G27" s="102">
        <f>'Yearly Budget'!Z$21</f>
        <v>84000</v>
      </c>
      <c r="H27" s="102">
        <f t="shared" ca="1" si="1"/>
        <v>2261229</v>
      </c>
      <c r="I27" s="99"/>
      <c r="J27" s="171">
        <f ca="1">'Yearly Budget'!Z$69</f>
        <v>14338861.777288727</v>
      </c>
      <c r="K27" s="102"/>
      <c r="L27" s="102">
        <f>'Yearly Budget'!Z$39</f>
        <v>84000</v>
      </c>
      <c r="M27" s="102"/>
      <c r="N27" s="102">
        <f t="shared" ca="1" si="2"/>
        <v>14338861.777288727</v>
      </c>
      <c r="O27" s="447">
        <f>'Yearly Budget'!Z$68</f>
        <v>0</v>
      </c>
      <c r="Q27" s="164">
        <f t="shared" si="6"/>
        <v>84000</v>
      </c>
      <c r="R27" s="164"/>
      <c r="S27" s="164">
        <f t="shared" ca="1" si="3"/>
        <v>2261229</v>
      </c>
      <c r="T27" s="447">
        <f>'Yearly Budget'!Z$53</f>
        <v>0</v>
      </c>
    </row>
    <row r="28" spans="1:68" x14ac:dyDescent="0.3">
      <c r="A28" s="100">
        <f t="shared" si="4"/>
        <v>74</v>
      </c>
      <c r="B28" s="100">
        <f t="shared" si="5"/>
        <v>2050</v>
      </c>
      <c r="D28" s="102">
        <f ca="1">'Yearly Budget'!AA$54</f>
        <v>2261229</v>
      </c>
      <c r="E28" s="102"/>
      <c r="F28" s="102"/>
      <c r="G28" s="102">
        <f>'Yearly Budget'!AA$21</f>
        <v>84000</v>
      </c>
      <c r="H28" s="102">
        <f t="shared" ca="1" si="1"/>
        <v>2261229</v>
      </c>
      <c r="I28" s="99"/>
      <c r="J28" s="171">
        <f ca="1">'Yearly Budget'!AA$69</f>
        <v>15485970.719471829</v>
      </c>
      <c r="K28" s="102"/>
      <c r="L28" s="102">
        <f>'Yearly Budget'!AA$39</f>
        <v>84000</v>
      </c>
      <c r="M28" s="102"/>
      <c r="N28" s="102">
        <f t="shared" ca="1" si="2"/>
        <v>15485970.719471829</v>
      </c>
      <c r="O28" s="447">
        <f>'Yearly Budget'!AA$68</f>
        <v>0</v>
      </c>
      <c r="Q28" s="164">
        <f t="shared" si="6"/>
        <v>84000</v>
      </c>
      <c r="R28" s="164"/>
      <c r="S28" s="164">
        <f t="shared" ca="1" si="3"/>
        <v>2261229</v>
      </c>
      <c r="T28" s="447">
        <f>'Yearly Budget'!AA$53</f>
        <v>0</v>
      </c>
    </row>
    <row r="29" spans="1:68" x14ac:dyDescent="0.3">
      <c r="A29" s="100">
        <f t="shared" si="4"/>
        <v>75</v>
      </c>
      <c r="B29" s="100">
        <f t="shared" si="5"/>
        <v>2051</v>
      </c>
      <c r="D29" s="102">
        <f ca="1">'Yearly Budget'!AB$54</f>
        <v>2261229</v>
      </c>
      <c r="E29" s="102"/>
      <c r="F29" s="102"/>
      <c r="G29" s="102">
        <f>'Yearly Budget'!AB$21</f>
        <v>84000</v>
      </c>
      <c r="H29" s="102">
        <f t="shared" ca="1" si="1"/>
        <v>2261229</v>
      </c>
      <c r="I29" s="99"/>
      <c r="J29" s="171">
        <f ca="1">'Yearly Budget'!AB$69</f>
        <v>16724848.377029575</v>
      </c>
      <c r="K29" s="102"/>
      <c r="L29" s="102">
        <f>'Yearly Budget'!AB$39</f>
        <v>84000</v>
      </c>
      <c r="M29" s="102"/>
      <c r="N29" s="102">
        <f t="shared" ca="1" si="2"/>
        <v>16724848.377029575</v>
      </c>
      <c r="O29" s="447">
        <f>'Yearly Budget'!AB$68</f>
        <v>0</v>
      </c>
      <c r="Q29" s="164">
        <f t="shared" si="6"/>
        <v>84000</v>
      </c>
      <c r="R29" s="164"/>
      <c r="S29" s="164">
        <f t="shared" ca="1" si="3"/>
        <v>2261229</v>
      </c>
      <c r="T29" s="447">
        <f>'Yearly Budget'!AB$53</f>
        <v>0</v>
      </c>
    </row>
    <row r="30" spans="1:68" x14ac:dyDescent="0.3">
      <c r="A30" s="100">
        <f t="shared" si="4"/>
        <v>76</v>
      </c>
      <c r="B30" s="100">
        <f t="shared" si="5"/>
        <v>2052</v>
      </c>
      <c r="D30" s="102">
        <f ca="1">'Yearly Budget'!AC$54</f>
        <v>2261229</v>
      </c>
      <c r="E30" s="102"/>
      <c r="F30" s="102"/>
      <c r="G30" s="102">
        <f>'Yearly Budget'!AC$21</f>
        <v>84000</v>
      </c>
      <c r="H30" s="102">
        <f t="shared" ca="1" si="1"/>
        <v>2261229</v>
      </c>
      <c r="I30" s="99"/>
      <c r="J30" s="171">
        <f ca="1">'Yearly Budget'!AC$69</f>
        <v>18062836.247191936</v>
      </c>
      <c r="K30" s="102"/>
      <c r="L30" s="102">
        <f>'Yearly Budget'!AC$39</f>
        <v>84000</v>
      </c>
      <c r="M30" s="102"/>
      <c r="N30" s="102">
        <f t="shared" ca="1" si="2"/>
        <v>18062836.247191936</v>
      </c>
      <c r="O30" s="447">
        <f>'Yearly Budget'!AC$68</f>
        <v>0</v>
      </c>
      <c r="Q30" s="164">
        <f t="shared" si="6"/>
        <v>84000</v>
      </c>
      <c r="R30" s="164"/>
      <c r="S30" s="164">
        <f t="shared" ca="1" si="3"/>
        <v>2261229</v>
      </c>
      <c r="T30" s="447">
        <f>'Yearly Budget'!AC$53</f>
        <v>0</v>
      </c>
    </row>
    <row r="31" spans="1:68" x14ac:dyDescent="0.3">
      <c r="A31" s="100">
        <f t="shared" si="4"/>
        <v>77</v>
      </c>
      <c r="B31" s="100">
        <f t="shared" si="5"/>
        <v>2053</v>
      </c>
      <c r="D31" s="102">
        <f ca="1">'Yearly Budget'!AD$54</f>
        <v>2261229</v>
      </c>
      <c r="E31" s="102"/>
      <c r="F31" s="102"/>
      <c r="G31" s="102">
        <f>'Yearly Budget'!AD$21</f>
        <v>84000</v>
      </c>
      <c r="H31" s="102">
        <f t="shared" ca="1" si="1"/>
        <v>2261229</v>
      </c>
      <c r="I31" s="99"/>
      <c r="J31" s="171">
        <f ca="1">'Yearly Budget'!AD$69</f>
        <v>19507863.146967296</v>
      </c>
      <c r="K31" s="102"/>
      <c r="L31" s="102">
        <f>'Yearly Budget'!AD$39</f>
        <v>84000</v>
      </c>
      <c r="M31" s="102"/>
      <c r="N31" s="102">
        <f t="shared" ca="1" si="2"/>
        <v>19507863.146967296</v>
      </c>
      <c r="O31" s="447">
        <f>'Yearly Budget'!AD$68</f>
        <v>0</v>
      </c>
      <c r="Q31" s="164">
        <f t="shared" si="6"/>
        <v>84000</v>
      </c>
      <c r="R31" s="164"/>
      <c r="S31" s="164">
        <f t="shared" ca="1" si="3"/>
        <v>2261229</v>
      </c>
      <c r="T31" s="447">
        <f>'Yearly Budget'!AD$53</f>
        <v>0</v>
      </c>
    </row>
    <row r="32" spans="1:68" x14ac:dyDescent="0.3">
      <c r="A32" s="100">
        <f t="shared" si="4"/>
        <v>78</v>
      </c>
      <c r="B32" s="100">
        <f t="shared" si="5"/>
        <v>2054</v>
      </c>
      <c r="D32" s="102">
        <f ca="1">'Yearly Budget'!AE$54</f>
        <v>2261229</v>
      </c>
      <c r="E32" s="102"/>
      <c r="F32" s="102"/>
      <c r="G32" s="102">
        <f>'Yearly Budget'!AE$21</f>
        <v>84000</v>
      </c>
      <c r="H32" s="102">
        <f t="shared" ca="1" si="1"/>
        <v>2261229</v>
      </c>
      <c r="I32" s="99"/>
      <c r="J32" s="171">
        <f ca="1">'Yearly Budget'!AE$69</f>
        <v>21068492.19872468</v>
      </c>
      <c r="K32" s="102"/>
      <c r="L32" s="102">
        <f>'Yearly Budget'!AE$39</f>
        <v>84000</v>
      </c>
      <c r="M32" s="102"/>
      <c r="N32" s="102">
        <f t="shared" ca="1" si="2"/>
        <v>21068492.19872468</v>
      </c>
      <c r="O32" s="447">
        <f>'Yearly Budget'!AE$68</f>
        <v>0</v>
      </c>
      <c r="Q32" s="164">
        <f t="shared" si="6"/>
        <v>84000</v>
      </c>
      <c r="R32" s="164"/>
      <c r="S32" s="164">
        <f t="shared" ca="1" si="3"/>
        <v>2261229</v>
      </c>
      <c r="T32" s="447">
        <f>'Yearly Budget'!AE$53</f>
        <v>0</v>
      </c>
    </row>
    <row r="33" spans="1:20" x14ac:dyDescent="0.3">
      <c r="A33" s="100">
        <f t="shared" si="4"/>
        <v>79</v>
      </c>
      <c r="B33" s="100">
        <f t="shared" si="5"/>
        <v>2055</v>
      </c>
      <c r="D33" s="102">
        <f ca="1">'Yearly Budget'!AF$54</f>
        <v>2261229</v>
      </c>
      <c r="E33" s="102"/>
      <c r="F33" s="102"/>
      <c r="G33" s="102">
        <f>'Yearly Budget'!AF$21</f>
        <v>84000</v>
      </c>
      <c r="H33" s="102">
        <f t="shared" ca="1" si="1"/>
        <v>2261229</v>
      </c>
      <c r="I33" s="99"/>
      <c r="J33" s="171">
        <f ca="1">'Yearly Budget'!AF$69</f>
        <v>22753971.574622657</v>
      </c>
      <c r="K33" s="102"/>
      <c r="L33" s="102">
        <f>'Yearly Budget'!AF$39</f>
        <v>84000</v>
      </c>
      <c r="M33" s="102"/>
      <c r="N33" s="102">
        <f t="shared" ca="1" si="2"/>
        <v>22753971.574622657</v>
      </c>
      <c r="O33" s="447">
        <f>'Yearly Budget'!AF$68</f>
        <v>0</v>
      </c>
      <c r="Q33" s="164">
        <f t="shared" si="6"/>
        <v>84000</v>
      </c>
      <c r="R33" s="164"/>
      <c r="S33" s="164">
        <f t="shared" ca="1" si="3"/>
        <v>2261229</v>
      </c>
      <c r="T33" s="447">
        <f>'Yearly Budget'!AF$53</f>
        <v>0</v>
      </c>
    </row>
    <row r="34" spans="1:20" x14ac:dyDescent="0.3">
      <c r="A34" s="100">
        <f t="shared" si="4"/>
        <v>80</v>
      </c>
      <c r="B34" s="100">
        <f t="shared" si="5"/>
        <v>2056</v>
      </c>
      <c r="D34" s="102">
        <f ca="1">'Yearly Budget'!AG$54</f>
        <v>2261229</v>
      </c>
      <c r="E34" s="102"/>
      <c r="F34" s="102"/>
      <c r="G34" s="102">
        <f>'Yearly Budget'!AG$21</f>
        <v>84000</v>
      </c>
      <c r="H34" s="102">
        <f t="shared" ca="1" si="1"/>
        <v>2261229</v>
      </c>
      <c r="I34" s="99"/>
      <c r="J34" s="171">
        <f ca="1">'Yearly Budget'!AG$69</f>
        <v>24574289.300592475</v>
      </c>
      <c r="K34" s="102"/>
      <c r="L34" s="102">
        <f>'Yearly Budget'!AG$39</f>
        <v>84000</v>
      </c>
      <c r="M34" s="102"/>
      <c r="N34" s="102">
        <f t="shared" ca="1" si="2"/>
        <v>24574289.300592475</v>
      </c>
      <c r="O34" s="447">
        <f>'Yearly Budget'!AG$68</f>
        <v>0</v>
      </c>
      <c r="Q34" s="164">
        <f t="shared" si="6"/>
        <v>84000</v>
      </c>
      <c r="R34" s="164"/>
      <c r="S34" s="164">
        <f t="shared" ca="1" si="3"/>
        <v>2261229</v>
      </c>
      <c r="T34" s="447">
        <f>'Yearly Budget'!AG$53</f>
        <v>0</v>
      </c>
    </row>
    <row r="35" spans="1:20" x14ac:dyDescent="0.3">
      <c r="A35" s="100">
        <f t="shared" si="4"/>
        <v>81</v>
      </c>
      <c r="B35" s="100">
        <f t="shared" si="5"/>
        <v>2057</v>
      </c>
      <c r="D35" s="102">
        <f ca="1">'Yearly Budget'!AH$54</f>
        <v>2211229</v>
      </c>
      <c r="E35" s="102"/>
      <c r="F35" s="102"/>
      <c r="G35" s="102">
        <f>'Yearly Budget'!AH$21</f>
        <v>84000</v>
      </c>
      <c r="H35" s="102">
        <f t="shared" ca="1" si="1"/>
        <v>2211229</v>
      </c>
      <c r="I35" s="99"/>
      <c r="J35" s="171">
        <f ca="1">'Yearly Budget'!AH$69</f>
        <v>25953378.294869103</v>
      </c>
      <c r="K35" s="102"/>
      <c r="L35" s="102">
        <f>'Yearly Budget'!AH$39</f>
        <v>84000</v>
      </c>
      <c r="M35" s="102"/>
      <c r="N35" s="102">
        <f t="shared" ca="1" si="2"/>
        <v>25953378.294869103</v>
      </c>
      <c r="O35" s="447">
        <f>'Yearly Budget'!AH$68</f>
        <v>0</v>
      </c>
      <c r="Q35" s="164">
        <f t="shared" si="6"/>
        <v>84000</v>
      </c>
      <c r="R35" s="164"/>
      <c r="S35" s="164">
        <f t="shared" ca="1" si="3"/>
        <v>2211229</v>
      </c>
      <c r="T35" s="447">
        <f>'Yearly Budget'!AH$53</f>
        <v>0</v>
      </c>
    </row>
    <row r="36" spans="1:20" x14ac:dyDescent="0.3">
      <c r="A36" s="100">
        <f t="shared" si="4"/>
        <v>82</v>
      </c>
      <c r="B36" s="100">
        <f t="shared" si="5"/>
        <v>2058</v>
      </c>
      <c r="D36" s="102">
        <f ca="1">'Yearly Budget'!AI$54</f>
        <v>2211229</v>
      </c>
      <c r="E36" s="102"/>
      <c r="F36" s="102"/>
      <c r="G36" s="102">
        <f>'Yearly Budget'!AI$21</f>
        <v>84000</v>
      </c>
      <c r="H36" s="102">
        <f t="shared" ca="1" si="1"/>
        <v>2211229</v>
      </c>
      <c r="I36" s="99"/>
      <c r="J36" s="171">
        <f ca="1">'Yearly Budget'!AI$69</f>
        <v>28029648.558458634</v>
      </c>
      <c r="K36" s="102"/>
      <c r="L36" s="102">
        <f>'Yearly Budget'!AI$39</f>
        <v>84000</v>
      </c>
      <c r="M36" s="102"/>
      <c r="N36" s="102">
        <f t="shared" ca="1" si="2"/>
        <v>28029648.558458634</v>
      </c>
      <c r="O36" s="447">
        <f>'Yearly Budget'!AI$68</f>
        <v>0</v>
      </c>
      <c r="Q36" s="164">
        <f t="shared" si="6"/>
        <v>84000</v>
      </c>
      <c r="R36" s="164"/>
      <c r="S36" s="164">
        <f t="shared" ca="1" si="3"/>
        <v>2211229</v>
      </c>
      <c r="T36" s="447">
        <f>'Yearly Budget'!AI$53</f>
        <v>0</v>
      </c>
    </row>
    <row r="37" spans="1:20" x14ac:dyDescent="0.3">
      <c r="A37" s="100">
        <f t="shared" si="4"/>
        <v>83</v>
      </c>
      <c r="B37" s="100">
        <f t="shared" si="5"/>
        <v>2059</v>
      </c>
      <c r="D37" s="102">
        <f ca="1">'Yearly Budget'!AJ$54</f>
        <v>2211229</v>
      </c>
      <c r="E37" s="102"/>
      <c r="F37" s="102"/>
      <c r="G37" s="102">
        <f>'Yearly Budget'!AJ$21</f>
        <v>84000</v>
      </c>
      <c r="H37" s="102">
        <f t="shared" ca="1" si="1"/>
        <v>2211229</v>
      </c>
      <c r="I37" s="99"/>
      <c r="J37" s="171">
        <f ca="1">'Yearly Budget'!AJ$69</f>
        <v>30272020.443135325</v>
      </c>
      <c r="K37" s="102"/>
      <c r="L37" s="102">
        <f>'Yearly Budget'!AJ$39</f>
        <v>84000</v>
      </c>
      <c r="M37" s="102"/>
      <c r="N37" s="102">
        <f t="shared" ca="1" si="2"/>
        <v>30272020.443135325</v>
      </c>
      <c r="O37" s="447">
        <f>'Yearly Budget'!AJ$68</f>
        <v>0</v>
      </c>
      <c r="Q37" s="164">
        <f t="shared" si="6"/>
        <v>84000</v>
      </c>
      <c r="R37" s="164"/>
      <c r="S37" s="164">
        <f t="shared" ca="1" si="3"/>
        <v>2211229</v>
      </c>
      <c r="T37" s="447">
        <f>'Yearly Budget'!AJ$53</f>
        <v>0</v>
      </c>
    </row>
    <row r="38" spans="1:20" x14ac:dyDescent="0.3">
      <c r="A38" s="100">
        <f t="shared" si="4"/>
        <v>84</v>
      </c>
      <c r="B38" s="100">
        <f t="shared" si="5"/>
        <v>2060</v>
      </c>
      <c r="D38" s="102">
        <f ca="1">'Yearly Budget'!AK$54</f>
        <v>2211229</v>
      </c>
      <c r="E38" s="102"/>
      <c r="F38" s="102"/>
      <c r="G38" s="102">
        <f>'Yearly Budget'!AK$21</f>
        <v>84000</v>
      </c>
      <c r="H38" s="102">
        <f t="shared" ca="1" si="1"/>
        <v>2211229</v>
      </c>
      <c r="I38" s="99"/>
      <c r="J38" s="171">
        <f ca="1">'Yearly Budget'!AK$69</f>
        <v>32693782.078586154</v>
      </c>
      <c r="K38" s="102"/>
      <c r="L38" s="102">
        <f>'Yearly Budget'!AK$39</f>
        <v>84000</v>
      </c>
      <c r="M38" s="102"/>
      <c r="N38" s="102">
        <f t="shared" ca="1" si="2"/>
        <v>32693782.078586154</v>
      </c>
      <c r="O38" s="447">
        <f>'Yearly Budget'!AK$68</f>
        <v>0</v>
      </c>
      <c r="Q38" s="164">
        <f t="shared" si="6"/>
        <v>84000</v>
      </c>
      <c r="R38" s="164"/>
      <c r="S38" s="164">
        <f t="shared" ca="1" si="3"/>
        <v>2211229</v>
      </c>
      <c r="T38" s="447">
        <f>'Yearly Budget'!AK$53</f>
        <v>0</v>
      </c>
    </row>
    <row r="39" spans="1:20" x14ac:dyDescent="0.3">
      <c r="A39" s="100">
        <f t="shared" si="4"/>
        <v>85</v>
      </c>
      <c r="B39" s="100">
        <f t="shared" si="5"/>
        <v>2061</v>
      </c>
      <c r="D39" s="102">
        <f ca="1">'Yearly Budget'!AL$54</f>
        <v>2211229</v>
      </c>
      <c r="E39" s="102"/>
      <c r="F39" s="102"/>
      <c r="G39" s="102">
        <f>'Yearly Budget'!AL$21</f>
        <v>84000</v>
      </c>
      <c r="H39" s="102">
        <f t="shared" ca="1" si="1"/>
        <v>2211229</v>
      </c>
      <c r="I39" s="99"/>
      <c r="J39" s="171">
        <f ca="1">'Yearly Budget'!AL$69</f>
        <v>35309284.644873053</v>
      </c>
      <c r="K39" s="102"/>
      <c r="L39" s="102">
        <f>'Yearly Budget'!AL$39</f>
        <v>84000</v>
      </c>
      <c r="M39" s="102"/>
      <c r="N39" s="102">
        <f t="shared" ca="1" si="2"/>
        <v>35309284.644873053</v>
      </c>
      <c r="O39" s="447">
        <f>'Yearly Budget'!AL$68</f>
        <v>0</v>
      </c>
      <c r="Q39" s="164">
        <f t="shared" si="6"/>
        <v>84000</v>
      </c>
      <c r="R39" s="164"/>
      <c r="S39" s="164">
        <f t="shared" ca="1" si="3"/>
        <v>2211229</v>
      </c>
      <c r="T39" s="447">
        <f>'Yearly Budget'!AL$53</f>
        <v>0</v>
      </c>
    </row>
    <row r="40" spans="1:20" x14ac:dyDescent="0.3">
      <c r="A40" s="100">
        <f t="shared" si="4"/>
        <v>86</v>
      </c>
      <c r="B40" s="100">
        <f t="shared" si="5"/>
        <v>2062</v>
      </c>
      <c r="D40" s="102">
        <f ca="1">'Yearly Budget'!AM$54</f>
        <v>2211229</v>
      </c>
      <c r="E40" s="102"/>
      <c r="F40" s="102"/>
      <c r="G40" s="102">
        <f>'Yearly Budget'!AM$21</f>
        <v>84000</v>
      </c>
      <c r="H40" s="102">
        <f t="shared" ca="1" si="1"/>
        <v>2211229</v>
      </c>
      <c r="I40" s="99"/>
      <c r="J40" s="171">
        <f ca="1">'Yearly Budget'!AM$69</f>
        <v>38134027.416462898</v>
      </c>
      <c r="K40" s="102"/>
      <c r="L40" s="102">
        <f>'Yearly Budget'!AM$39</f>
        <v>84000</v>
      </c>
      <c r="M40" s="102"/>
      <c r="N40" s="102">
        <f t="shared" ca="1" si="2"/>
        <v>38134027.416462898</v>
      </c>
      <c r="O40" s="447">
        <f>'Yearly Budget'!AM$68</f>
        <v>0</v>
      </c>
      <c r="Q40" s="164">
        <f t="shared" si="6"/>
        <v>84000</v>
      </c>
      <c r="R40" s="164"/>
      <c r="S40" s="164">
        <f t="shared" ca="1" si="3"/>
        <v>2211229</v>
      </c>
      <c r="T40" s="447">
        <f>'Yearly Budget'!AM$53</f>
        <v>0</v>
      </c>
    </row>
    <row r="41" spans="1:20" x14ac:dyDescent="0.3">
      <c r="A41" s="100">
        <f t="shared" si="4"/>
        <v>87</v>
      </c>
      <c r="B41" s="100">
        <f t="shared" si="5"/>
        <v>2063</v>
      </c>
      <c r="D41" s="102">
        <f ca="1">'Yearly Budget'!AN$54</f>
        <v>2211229</v>
      </c>
      <c r="E41" s="102"/>
      <c r="F41" s="102"/>
      <c r="G41" s="102">
        <f>'Yearly Budget'!AN$21</f>
        <v>84000</v>
      </c>
      <c r="H41" s="102">
        <f t="shared" ca="1" si="1"/>
        <v>2211229</v>
      </c>
      <c r="I41" s="99"/>
      <c r="J41" s="171">
        <f ca="1">'Yearly Budget'!AN$69</f>
        <v>41184749.609779932</v>
      </c>
      <c r="K41" s="102"/>
      <c r="L41" s="102">
        <f>'Yearly Budget'!AN$39</f>
        <v>84000</v>
      </c>
      <c r="M41" s="102"/>
      <c r="N41" s="102">
        <f t="shared" ca="1" si="2"/>
        <v>41184749.609779932</v>
      </c>
      <c r="O41" s="447">
        <f>'Yearly Budget'!AN$68</f>
        <v>0</v>
      </c>
      <c r="Q41" s="164">
        <f t="shared" si="6"/>
        <v>84000</v>
      </c>
      <c r="R41" s="164"/>
      <c r="S41" s="164">
        <f t="shared" ca="1" si="3"/>
        <v>2211229</v>
      </c>
      <c r="T41" s="447">
        <f>'Yearly Budget'!AN$53</f>
        <v>0</v>
      </c>
    </row>
    <row r="42" spans="1:20" x14ac:dyDescent="0.3">
      <c r="A42" s="100">
        <f t="shared" si="4"/>
        <v>88</v>
      </c>
      <c r="B42" s="100">
        <f t="shared" si="5"/>
        <v>2064</v>
      </c>
      <c r="D42" s="102">
        <f ca="1">'Yearly Budget'!AO$54</f>
        <v>2211229</v>
      </c>
      <c r="E42" s="102"/>
      <c r="F42" s="102"/>
      <c r="G42" s="102">
        <f>'Yearly Budget'!AO$21</f>
        <v>84000</v>
      </c>
      <c r="H42" s="102">
        <f t="shared" ca="1" si="1"/>
        <v>2211229</v>
      </c>
      <c r="I42" s="99"/>
      <c r="J42" s="171">
        <f ca="1">'Yearly Budget'!AO$69</f>
        <v>44479529.578562327</v>
      </c>
      <c r="K42" s="102"/>
      <c r="L42" s="102">
        <f>'Yearly Budget'!AO$39</f>
        <v>84000</v>
      </c>
      <c r="M42" s="102"/>
      <c r="N42" s="102">
        <f t="shared" ca="1" si="2"/>
        <v>44479529.578562327</v>
      </c>
      <c r="O42" s="447">
        <f>'Yearly Budget'!AO$68</f>
        <v>0</v>
      </c>
      <c r="Q42" s="164">
        <f t="shared" si="6"/>
        <v>84000</v>
      </c>
      <c r="R42" s="164"/>
      <c r="S42" s="164">
        <f t="shared" ca="1" si="3"/>
        <v>2211229</v>
      </c>
      <c r="T42" s="447">
        <f>'Yearly Budget'!AO$53</f>
        <v>0</v>
      </c>
    </row>
    <row r="43" spans="1:20" x14ac:dyDescent="0.3">
      <c r="A43" s="100">
        <f t="shared" si="4"/>
        <v>89</v>
      </c>
      <c r="B43" s="100">
        <f t="shared" si="5"/>
        <v>2065</v>
      </c>
      <c r="D43" s="102">
        <f ca="1">'Yearly Budget'!AP$54</f>
        <v>2211229</v>
      </c>
      <c r="E43" s="102"/>
      <c r="F43" s="102"/>
      <c r="G43" s="102">
        <f>'Yearly Budget'!AP$21</f>
        <v>84000</v>
      </c>
      <c r="H43" s="102">
        <f t="shared" ca="1" si="1"/>
        <v>2211229</v>
      </c>
      <c r="I43" s="99"/>
      <c r="J43" s="171">
        <f ca="1">'Yearly Budget'!AP$69</f>
        <v>48037891.944847323</v>
      </c>
      <c r="K43" s="102"/>
      <c r="L43" s="102">
        <f>'Yearly Budget'!AP$39</f>
        <v>84000</v>
      </c>
      <c r="M43" s="102"/>
      <c r="N43" s="102">
        <f t="shared" ca="1" si="2"/>
        <v>48037891.944847323</v>
      </c>
      <c r="O43" s="447">
        <f>'Yearly Budget'!AP$68</f>
        <v>0</v>
      </c>
      <c r="Q43" s="164">
        <f t="shared" si="6"/>
        <v>84000</v>
      </c>
      <c r="R43" s="164"/>
      <c r="S43" s="164">
        <f t="shared" ca="1" si="3"/>
        <v>2211229</v>
      </c>
      <c r="T43" s="447">
        <f>'Yearly Budget'!AP$53</f>
        <v>0</v>
      </c>
    </row>
    <row r="44" spans="1:20" x14ac:dyDescent="0.3">
      <c r="A44" s="100">
        <f t="shared" si="4"/>
        <v>90</v>
      </c>
      <c r="B44" s="100">
        <f t="shared" si="5"/>
        <v>2066</v>
      </c>
      <c r="D44" s="102">
        <f ca="1">'Yearly Budget'!AQ$54</f>
        <v>2211229</v>
      </c>
      <c r="E44" s="102"/>
      <c r="F44" s="102"/>
      <c r="G44" s="102">
        <f>'Yearly Budget'!AQ$21</f>
        <v>84000</v>
      </c>
      <c r="H44" s="102">
        <f t="shared" ca="1" si="1"/>
        <v>2211229</v>
      </c>
      <c r="I44" s="99"/>
      <c r="J44" s="171">
        <f ca="1">'Yearly Budget'!AQ$69</f>
        <v>51880923.300435111</v>
      </c>
      <c r="K44" s="102"/>
      <c r="L44" s="102">
        <f>'Yearly Budget'!AQ$39</f>
        <v>84000</v>
      </c>
      <c r="M44" s="102"/>
      <c r="N44" s="102">
        <f t="shared" ca="1" si="2"/>
        <v>51880923.300435111</v>
      </c>
      <c r="O44" s="447">
        <f>'Yearly Budget'!AQ$68</f>
        <v>0</v>
      </c>
      <c r="Q44" s="164">
        <f t="shared" si="6"/>
        <v>84000</v>
      </c>
      <c r="R44" s="164"/>
      <c r="S44" s="164">
        <f t="shared" ca="1" si="3"/>
        <v>2211229</v>
      </c>
      <c r="T44" s="447">
        <f>'Yearly Budget'!AQ$53</f>
        <v>0</v>
      </c>
    </row>
    <row r="45" spans="1:20" x14ac:dyDescent="0.3">
      <c r="A45" s="100">
        <f t="shared" si="4"/>
        <v>91</v>
      </c>
      <c r="B45" s="100">
        <f t="shared" si="5"/>
        <v>2067</v>
      </c>
      <c r="D45" s="102">
        <f ca="1">'Yearly Budget'!AR$54</f>
        <v>2211229</v>
      </c>
      <c r="E45" s="102"/>
      <c r="F45" s="102"/>
      <c r="G45" s="102">
        <f>'Yearly Budget'!AR$21</f>
        <v>84000</v>
      </c>
      <c r="H45" s="102">
        <f t="shared" ca="1" si="1"/>
        <v>2211229</v>
      </c>
      <c r="I45" s="99"/>
      <c r="J45" s="171">
        <f ca="1">'Yearly Budget'!AR$69</f>
        <v>56031397.164469905</v>
      </c>
      <c r="K45" s="102"/>
      <c r="L45" s="102">
        <f>'Yearly Budget'!AR$39</f>
        <v>84000</v>
      </c>
      <c r="M45" s="102"/>
      <c r="N45" s="102">
        <f t="shared" ca="1" si="2"/>
        <v>56031397.164469905</v>
      </c>
      <c r="O45" s="447">
        <f>'Yearly Budget'!AR$68</f>
        <v>0</v>
      </c>
      <c r="Q45" s="164">
        <f t="shared" si="6"/>
        <v>84000</v>
      </c>
      <c r="R45" s="164"/>
      <c r="S45" s="164">
        <f t="shared" ca="1" si="3"/>
        <v>2211229</v>
      </c>
      <c r="T45" s="447">
        <f>'Yearly Budget'!AR$53</f>
        <v>0</v>
      </c>
    </row>
    <row r="46" spans="1:20" x14ac:dyDescent="0.3">
      <c r="A46" s="100">
        <f t="shared" si="4"/>
        <v>92</v>
      </c>
      <c r="B46" s="100">
        <f t="shared" si="5"/>
        <v>2068</v>
      </c>
      <c r="D46" s="102">
        <f ca="1">'Yearly Budget'!AS$54</f>
        <v>2211229</v>
      </c>
      <c r="E46" s="102"/>
      <c r="F46" s="102"/>
      <c r="G46" s="102">
        <f>'Yearly Budget'!AS$21</f>
        <v>84000</v>
      </c>
      <c r="H46" s="102">
        <f t="shared" ca="1" si="1"/>
        <v>2211229</v>
      </c>
      <c r="I46" s="99"/>
      <c r="J46" s="171">
        <f ca="1">'Yearly Budget'!AS$69</f>
        <v>60513908.937627502</v>
      </c>
      <c r="K46" s="102"/>
      <c r="L46" s="102">
        <f>'Yearly Budget'!AS$39</f>
        <v>84000</v>
      </c>
      <c r="M46" s="102"/>
      <c r="N46" s="102">
        <f t="shared" ca="1" si="2"/>
        <v>60513908.937627502</v>
      </c>
      <c r="O46" s="447">
        <f>'Yearly Budget'!AS$68</f>
        <v>0</v>
      </c>
      <c r="Q46" s="164">
        <f t="shared" si="6"/>
        <v>84000</v>
      </c>
      <c r="R46" s="164"/>
      <c r="S46" s="164">
        <f t="shared" ca="1" si="3"/>
        <v>2211229</v>
      </c>
      <c r="T46" s="447">
        <f>'Yearly Budget'!AS$53</f>
        <v>0</v>
      </c>
    </row>
    <row r="47" spans="1:20" x14ac:dyDescent="0.3">
      <c r="A47" s="100">
        <f t="shared" si="4"/>
        <v>93</v>
      </c>
      <c r="B47" s="100">
        <f t="shared" si="5"/>
        <v>2069</v>
      </c>
      <c r="D47" s="102">
        <f ca="1">'Yearly Budget'!AT$54</f>
        <v>2211229</v>
      </c>
      <c r="E47" s="102"/>
      <c r="F47" s="102"/>
      <c r="G47" s="102">
        <f>'Yearly Budget'!AT$21</f>
        <v>84000</v>
      </c>
      <c r="H47" s="102">
        <f t="shared" ca="1" si="1"/>
        <v>2211229</v>
      </c>
      <c r="I47" s="99"/>
      <c r="J47" s="171">
        <f ca="1">'Yearly Budget'!AT$69</f>
        <v>65355021.65263772</v>
      </c>
      <c r="K47" s="102"/>
      <c r="L47" s="102">
        <f>'Yearly Budget'!AT$39</f>
        <v>84000</v>
      </c>
      <c r="M47" s="102"/>
      <c r="N47" s="102">
        <f t="shared" ca="1" si="2"/>
        <v>65355021.65263772</v>
      </c>
      <c r="O47" s="447">
        <f>'Yearly Budget'!AT$68</f>
        <v>0</v>
      </c>
      <c r="Q47" s="164">
        <f t="shared" si="6"/>
        <v>84000</v>
      </c>
      <c r="R47" s="164"/>
      <c r="S47" s="164">
        <f t="shared" ca="1" si="3"/>
        <v>2211229</v>
      </c>
      <c r="T47" s="447">
        <f>'Yearly Budget'!AT$53</f>
        <v>0</v>
      </c>
    </row>
    <row r="48" spans="1:20" x14ac:dyDescent="0.3">
      <c r="A48" s="100">
        <f t="shared" si="4"/>
        <v>94</v>
      </c>
      <c r="B48" s="100">
        <f t="shared" si="5"/>
        <v>2070</v>
      </c>
      <c r="D48" s="102">
        <f ca="1">'Yearly Budget'!AU$54</f>
        <v>2211229</v>
      </c>
      <c r="E48" s="102"/>
      <c r="F48" s="102"/>
      <c r="G48" s="102">
        <f>'Yearly Budget'!AU$21</f>
        <v>84000</v>
      </c>
      <c r="H48" s="102">
        <f t="shared" ca="1" si="1"/>
        <v>2211229</v>
      </c>
      <c r="I48" s="99"/>
      <c r="J48" s="171">
        <f ca="1">'Yearly Budget'!AU$69</f>
        <v>70583423.384848729</v>
      </c>
      <c r="K48" s="102"/>
      <c r="L48" s="102">
        <f>'Yearly Budget'!AU$39</f>
        <v>84000</v>
      </c>
      <c r="M48" s="102"/>
      <c r="N48" s="102">
        <f t="shared" ca="1" si="2"/>
        <v>70583423.384848729</v>
      </c>
      <c r="O48" s="447">
        <f>'Yearly Budget'!AU$68</f>
        <v>0</v>
      </c>
      <c r="Q48" s="164">
        <f t="shared" si="6"/>
        <v>84000</v>
      </c>
      <c r="R48" s="164"/>
      <c r="S48" s="164">
        <f t="shared" ca="1" si="3"/>
        <v>2211229</v>
      </c>
      <c r="T48" s="447">
        <f>'Yearly Budget'!AU$53</f>
        <v>0</v>
      </c>
    </row>
    <row r="49" spans="1:20" x14ac:dyDescent="0.3">
      <c r="A49" s="100">
        <f t="shared" si="4"/>
        <v>95</v>
      </c>
      <c r="B49" s="100">
        <f t="shared" si="5"/>
        <v>2071</v>
      </c>
      <c r="D49" s="102">
        <f ca="1">'Yearly Budget'!AV$54</f>
        <v>2211229</v>
      </c>
      <c r="E49" s="102"/>
      <c r="F49" s="102"/>
      <c r="G49" s="102">
        <f>'Yearly Budget'!AV$21</f>
        <v>84000</v>
      </c>
      <c r="H49" s="102">
        <f t="shared" ca="1" si="1"/>
        <v>2211229</v>
      </c>
      <c r="I49" s="99"/>
      <c r="J49" s="171">
        <f ca="1">'Yearly Budget'!AV$69</f>
        <v>76230097.255636647</v>
      </c>
      <c r="K49" s="102"/>
      <c r="L49" s="102">
        <f>'Yearly Budget'!AV$39</f>
        <v>84000</v>
      </c>
      <c r="M49" s="102"/>
      <c r="N49" s="102">
        <f t="shared" ca="1" si="2"/>
        <v>76230097.255636647</v>
      </c>
      <c r="O49" s="447">
        <f>'Yearly Budget'!AV$68</f>
        <v>0</v>
      </c>
      <c r="Q49" s="164">
        <f t="shared" si="6"/>
        <v>84000</v>
      </c>
      <c r="R49" s="164"/>
      <c r="S49" s="164">
        <f t="shared" ca="1" si="3"/>
        <v>2211229</v>
      </c>
      <c r="T49" s="447">
        <f>'Yearly Budget'!AV$53</f>
        <v>0</v>
      </c>
    </row>
    <row r="50" spans="1:20" x14ac:dyDescent="0.3">
      <c r="A50" s="100">
        <f t="shared" si="4"/>
        <v>96</v>
      </c>
      <c r="B50" s="100">
        <f t="shared" si="5"/>
        <v>2072</v>
      </c>
      <c r="D50" s="102">
        <f ca="1">'Yearly Budget'!AW$54</f>
        <v>2211229</v>
      </c>
      <c r="E50" s="102"/>
      <c r="F50" s="102"/>
      <c r="G50" s="102">
        <f>'Yearly Budget'!AW$21</f>
        <v>84000</v>
      </c>
      <c r="H50" s="102">
        <f t="shared" ca="1" si="1"/>
        <v>2211229</v>
      </c>
      <c r="I50" s="99"/>
      <c r="J50" s="171">
        <f ca="1">'Yearly Budget'!AW$69</f>
        <v>82328505.036087587</v>
      </c>
      <c r="K50" s="102"/>
      <c r="L50" s="102">
        <f>'Yearly Budget'!AW$39</f>
        <v>84000</v>
      </c>
      <c r="M50" s="102"/>
      <c r="N50" s="102">
        <f t="shared" ca="1" si="2"/>
        <v>82328505.036087587</v>
      </c>
      <c r="O50" s="447">
        <f>'Yearly Budget'!AW$68</f>
        <v>0</v>
      </c>
      <c r="Q50" s="164">
        <f t="shared" si="6"/>
        <v>84000</v>
      </c>
      <c r="R50" s="164"/>
      <c r="S50" s="164">
        <f t="shared" ca="1" si="3"/>
        <v>2211229</v>
      </c>
      <c r="T50" s="447">
        <f>'Yearly Budget'!AW$53</f>
        <v>0</v>
      </c>
    </row>
    <row r="51" spans="1:20" x14ac:dyDescent="0.3">
      <c r="A51" s="100">
        <f t="shared" si="4"/>
        <v>97</v>
      </c>
      <c r="B51" s="100">
        <f t="shared" si="5"/>
        <v>2073</v>
      </c>
      <c r="D51" s="102">
        <f ca="1">'Yearly Budget'!AX$54</f>
        <v>2211229</v>
      </c>
      <c r="E51" s="102"/>
      <c r="F51" s="102"/>
      <c r="G51" s="102">
        <f>'Yearly Budget'!AX$21</f>
        <v>84000</v>
      </c>
      <c r="H51" s="102">
        <f t="shared" ca="1" si="1"/>
        <v>2211229</v>
      </c>
      <c r="I51" s="99"/>
      <c r="J51" s="171">
        <f ca="1">'Yearly Budget'!AX$69</f>
        <v>88914785.438974574</v>
      </c>
      <c r="K51" s="102"/>
      <c r="L51" s="102">
        <f>'Yearly Budget'!AX$39</f>
        <v>84000</v>
      </c>
      <c r="M51" s="102"/>
      <c r="N51" s="102">
        <f t="shared" ca="1" si="2"/>
        <v>88914785.438974574</v>
      </c>
      <c r="O51" s="447">
        <f>'Yearly Budget'!AX$68</f>
        <v>0</v>
      </c>
      <c r="Q51" s="164">
        <f t="shared" si="6"/>
        <v>84000</v>
      </c>
      <c r="R51" s="164"/>
      <c r="S51" s="164">
        <f t="shared" ca="1" si="3"/>
        <v>2211229</v>
      </c>
      <c r="T51" s="447">
        <f>'Yearly Budget'!AX$53</f>
        <v>0</v>
      </c>
    </row>
    <row r="52" spans="1:20" x14ac:dyDescent="0.3">
      <c r="A52" s="100">
        <f t="shared" si="4"/>
        <v>98</v>
      </c>
      <c r="B52" s="100">
        <f t="shared" si="5"/>
        <v>2074</v>
      </c>
      <c r="D52" s="102">
        <f ca="1">'Yearly Budget'!AY$54</f>
        <v>2211229</v>
      </c>
      <c r="E52" s="102"/>
      <c r="F52" s="102"/>
      <c r="G52" s="102">
        <f>'Yearly Budget'!AY$21</f>
        <v>84000</v>
      </c>
      <c r="H52" s="102">
        <f t="shared" ca="1" si="1"/>
        <v>2211229</v>
      </c>
      <c r="I52" s="99"/>
      <c r="J52" s="171">
        <f ca="1">'Yearly Budget'!AY$69</f>
        <v>96027968.274092555</v>
      </c>
      <c r="K52" s="102"/>
      <c r="L52" s="102">
        <f>'Yearly Budget'!AY$39</f>
        <v>84000</v>
      </c>
      <c r="M52" s="102"/>
      <c r="N52" s="102">
        <f t="shared" ca="1" si="2"/>
        <v>96027968.274092555</v>
      </c>
      <c r="O52" s="447">
        <f>'Yearly Budget'!AY$68</f>
        <v>0</v>
      </c>
      <c r="Q52" s="164">
        <f t="shared" si="6"/>
        <v>84000</v>
      </c>
      <c r="R52" s="164"/>
      <c r="S52" s="164">
        <f t="shared" ca="1" si="3"/>
        <v>2211229</v>
      </c>
      <c r="T52" s="447">
        <f>'Yearly Budget'!AY$53</f>
        <v>0</v>
      </c>
    </row>
    <row r="53" spans="1:20" x14ac:dyDescent="0.3">
      <c r="A53" s="100">
        <f t="shared" si="4"/>
        <v>99</v>
      </c>
      <c r="B53" s="100">
        <f t="shared" si="5"/>
        <v>2075</v>
      </c>
      <c r="D53" s="102">
        <f ca="1">'Yearly Budget'!AZ$54</f>
        <v>2211229</v>
      </c>
      <c r="E53" s="102"/>
      <c r="F53" s="102"/>
      <c r="G53" s="102">
        <f>'Yearly Budget'!AZ$21</f>
        <v>84000</v>
      </c>
      <c r="H53" s="102">
        <f t="shared" ca="1" si="1"/>
        <v>2211229</v>
      </c>
      <c r="I53" s="99"/>
      <c r="J53" s="171">
        <f ca="1">'Yearly Budget'!AZ$69</f>
        <v>103710205.73601997</v>
      </c>
      <c r="K53" s="102"/>
      <c r="L53" s="102">
        <f>'Yearly Budget'!AZ$39</f>
        <v>84000</v>
      </c>
      <c r="M53" s="102"/>
      <c r="N53" s="102">
        <f t="shared" ca="1" si="2"/>
        <v>103710205.73601997</v>
      </c>
      <c r="O53" s="447">
        <f>'Yearly Budget'!AZ$68</f>
        <v>0</v>
      </c>
      <c r="Q53" s="164">
        <f t="shared" si="6"/>
        <v>84000</v>
      </c>
      <c r="R53" s="164"/>
      <c r="S53" s="164">
        <f t="shared" ca="1" si="3"/>
        <v>2211229</v>
      </c>
      <c r="T53" s="447">
        <f>'Yearly Budget'!AZ$53</f>
        <v>0</v>
      </c>
    </row>
    <row r="54" spans="1:20" x14ac:dyDescent="0.3">
      <c r="A54" s="100">
        <f t="shared" si="4"/>
        <v>100</v>
      </c>
      <c r="B54" s="100">
        <f t="shared" si="5"/>
        <v>2076</v>
      </c>
      <c r="D54" s="102">
        <f ca="1">'Yearly Budget'!BA$54</f>
        <v>2211229</v>
      </c>
      <c r="E54" s="102"/>
      <c r="F54" s="102"/>
      <c r="G54" s="102">
        <f>'Yearly Budget'!BA$21</f>
        <v>84000</v>
      </c>
      <c r="H54" s="102">
        <f t="shared" ca="1" si="1"/>
        <v>2211229</v>
      </c>
      <c r="I54" s="99"/>
      <c r="J54" s="171">
        <f ca="1">'Yearly Budget'!BA$69</f>
        <v>112007022.19490159</v>
      </c>
      <c r="K54" s="102"/>
      <c r="L54" s="102">
        <f>'Yearly Budget'!BA$39</f>
        <v>84000</v>
      </c>
      <c r="M54" s="102"/>
      <c r="N54" s="102">
        <f t="shared" ca="1" si="2"/>
        <v>112007022.19490159</v>
      </c>
      <c r="O54" s="447">
        <f>'Yearly Budget'!BA$68</f>
        <v>0</v>
      </c>
      <c r="Q54" s="164">
        <f t="shared" si="6"/>
        <v>84000</v>
      </c>
      <c r="R54" s="164"/>
      <c r="S54" s="164">
        <f t="shared" ca="1" si="3"/>
        <v>2211229</v>
      </c>
      <c r="T54" s="447">
        <f>'Yearly Budget'!BA$53</f>
        <v>0</v>
      </c>
    </row>
    <row r="55" spans="1:20" x14ac:dyDescent="0.3">
      <c r="A55" s="100">
        <f t="shared" si="4"/>
        <v>101</v>
      </c>
      <c r="B55" s="100">
        <f t="shared" si="5"/>
        <v>2077</v>
      </c>
      <c r="D55" s="102">
        <f ca="1">'Yearly Budget'!BB$54</f>
        <v>2211229</v>
      </c>
      <c r="E55" s="102"/>
      <c r="F55" s="102"/>
      <c r="G55" s="102">
        <f>'Yearly Budget'!BB$21</f>
        <v>84000</v>
      </c>
      <c r="H55" s="102">
        <f t="shared" ca="1" si="1"/>
        <v>2211229</v>
      </c>
      <c r="I55" s="99"/>
      <c r="J55" s="171">
        <f ca="1">'Yearly Budget'!BB$69</f>
        <v>120967583.9704937</v>
      </c>
      <c r="K55" s="102"/>
      <c r="L55" s="102">
        <f>'Yearly Budget'!BB$39</f>
        <v>84000</v>
      </c>
      <c r="M55" s="102"/>
      <c r="N55" s="102">
        <f t="shared" ca="1" si="2"/>
        <v>120967583.9704937</v>
      </c>
      <c r="O55" s="447">
        <f>'Yearly Budget'!BB$68</f>
        <v>0</v>
      </c>
      <c r="Q55" s="164">
        <f t="shared" si="6"/>
        <v>84000</v>
      </c>
      <c r="R55" s="164"/>
      <c r="S55" s="164">
        <f t="shared" ca="1" si="3"/>
        <v>2211229</v>
      </c>
      <c r="T55" s="447">
        <f>'Yearly Budget'!BB$53</f>
        <v>0</v>
      </c>
    </row>
    <row r="56" spans="1:20" x14ac:dyDescent="0.3">
      <c r="A56" s="100">
        <f t="shared" si="4"/>
        <v>102</v>
      </c>
      <c r="B56" s="100">
        <f t="shared" si="5"/>
        <v>2078</v>
      </c>
      <c r="D56" s="102">
        <f ca="1">'Yearly Budget'!BC$54</f>
        <v>2211229</v>
      </c>
      <c r="E56" s="102"/>
      <c r="F56" s="102"/>
      <c r="G56" s="102">
        <f>'Yearly Budget'!BC$21</f>
        <v>84000</v>
      </c>
      <c r="H56" s="102">
        <f t="shared" ref="H56:H59" ca="1" si="7">D56+E56+F56</f>
        <v>2211229</v>
      </c>
      <c r="J56" s="171">
        <f ca="1">'Yearly Budget'!BC$69</f>
        <v>130644990.68813318</v>
      </c>
      <c r="K56" s="102"/>
      <c r="L56" s="102">
        <f>'Yearly Budget'!BC$39</f>
        <v>84000</v>
      </c>
      <c r="M56" s="102"/>
      <c r="N56" s="102">
        <f t="shared" ca="1" si="2"/>
        <v>130644990.68813318</v>
      </c>
      <c r="O56" s="447">
        <f>'Yearly Budget'!BC$68</f>
        <v>0</v>
      </c>
      <c r="Q56" s="164">
        <f t="shared" ref="Q56:Q59" si="8">G56</f>
        <v>84000</v>
      </c>
      <c r="R56" s="164"/>
      <c r="S56" s="164">
        <f t="shared" ca="1" si="3"/>
        <v>2211229</v>
      </c>
      <c r="T56" s="447">
        <f>'Yearly Budget'!BC$53</f>
        <v>0</v>
      </c>
    </row>
    <row r="57" spans="1:20" x14ac:dyDescent="0.3">
      <c r="A57" s="100">
        <f t="shared" si="4"/>
        <v>103</v>
      </c>
      <c r="B57" s="100">
        <f t="shared" si="5"/>
        <v>2079</v>
      </c>
      <c r="D57" s="102">
        <f ca="1">'Yearly Budget'!BD$54</f>
        <v>2211229</v>
      </c>
      <c r="E57" s="102"/>
      <c r="F57" s="102"/>
      <c r="G57" s="102">
        <f>'Yearly Budget'!BD$21</f>
        <v>84000</v>
      </c>
      <c r="H57" s="102">
        <f t="shared" ca="1" si="7"/>
        <v>2211229</v>
      </c>
      <c r="J57" s="171">
        <f ca="1">'Yearly Budget'!BD$69</f>
        <v>141096589.94318387</v>
      </c>
      <c r="K57" s="102"/>
      <c r="L57" s="102">
        <f>'Yearly Budget'!BD$39</f>
        <v>84000</v>
      </c>
      <c r="M57" s="102"/>
      <c r="N57" s="102">
        <f t="shared" ca="1" si="2"/>
        <v>141096589.94318387</v>
      </c>
      <c r="O57" s="447">
        <f>'Yearly Budget'!BD$68</f>
        <v>0</v>
      </c>
      <c r="Q57" s="164">
        <f t="shared" si="8"/>
        <v>84000</v>
      </c>
      <c r="R57" s="164"/>
      <c r="S57" s="164">
        <f t="shared" ca="1" si="3"/>
        <v>2211229</v>
      </c>
      <c r="T57" s="447">
        <f>'Yearly Budget'!BD$53</f>
        <v>0</v>
      </c>
    </row>
    <row r="58" spans="1:20" x14ac:dyDescent="0.3">
      <c r="A58" s="100">
        <f t="shared" si="4"/>
        <v>104</v>
      </c>
      <c r="B58" s="100">
        <f t="shared" si="5"/>
        <v>2080</v>
      </c>
      <c r="D58" s="102">
        <f ca="1">'Yearly Budget'!BE$54</f>
        <v>2211229</v>
      </c>
      <c r="E58" s="102"/>
      <c r="F58" s="102"/>
      <c r="G58" s="102">
        <f>'Yearly Budget'!BE$21</f>
        <v>84000</v>
      </c>
      <c r="H58" s="102">
        <f t="shared" ca="1" si="7"/>
        <v>2211229</v>
      </c>
      <c r="J58" s="171">
        <f ca="1">'Yearly Budget'!BE$69</f>
        <v>152384317.13863859</v>
      </c>
      <c r="K58" s="102"/>
      <c r="L58" s="102">
        <f>'Yearly Budget'!BE$39</f>
        <v>84000</v>
      </c>
      <c r="M58" s="102"/>
      <c r="N58" s="102">
        <f t="shared" ca="1" si="2"/>
        <v>152384317.13863859</v>
      </c>
      <c r="O58" s="447">
        <f>'Yearly Budget'!BE$68</f>
        <v>0</v>
      </c>
      <c r="Q58" s="164">
        <f t="shared" si="8"/>
        <v>84000</v>
      </c>
      <c r="R58" s="164"/>
      <c r="S58" s="164">
        <f t="shared" ca="1" si="3"/>
        <v>2211229</v>
      </c>
      <c r="T58" s="447">
        <f>'Yearly Budget'!BE$53</f>
        <v>0</v>
      </c>
    </row>
    <row r="59" spans="1:20" x14ac:dyDescent="0.3">
      <c r="A59" s="100">
        <f t="shared" si="4"/>
        <v>105</v>
      </c>
      <c r="B59" s="100">
        <f t="shared" si="5"/>
        <v>2081</v>
      </c>
      <c r="D59" s="102">
        <f ca="1">'Yearly Budget'!BF$54</f>
        <v>2211229</v>
      </c>
      <c r="E59" s="102"/>
      <c r="F59" s="102"/>
      <c r="G59" s="102">
        <f>'Yearly Budget'!BF$21</f>
        <v>84000</v>
      </c>
      <c r="H59" s="102">
        <f t="shared" ca="1" si="7"/>
        <v>2211229</v>
      </c>
      <c r="J59" s="171">
        <f ca="1">'Yearly Budget'!BF$69</f>
        <v>164575062.50972965</v>
      </c>
      <c r="K59" s="102"/>
      <c r="L59" s="102">
        <f>'Yearly Budget'!BF$39</f>
        <v>84000</v>
      </c>
      <c r="M59" s="102"/>
      <c r="N59" s="102">
        <f t="shared" ca="1" si="2"/>
        <v>164575062.50972965</v>
      </c>
      <c r="O59" s="447">
        <f>'Yearly Budget'!BF$68</f>
        <v>0</v>
      </c>
      <c r="Q59" s="164">
        <f t="shared" si="8"/>
        <v>84000</v>
      </c>
      <c r="R59" s="164"/>
      <c r="S59" s="164">
        <f t="shared" ca="1" si="3"/>
        <v>2211229</v>
      </c>
      <c r="T59" s="447">
        <f>'Yearly Budget'!BF$53</f>
        <v>0</v>
      </c>
    </row>
  </sheetData>
  <mergeCells count="3">
    <mergeCell ref="D1:H1"/>
    <mergeCell ref="Q1:T1"/>
    <mergeCell ref="J1:O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F460C-CECF-4EB7-930B-95DAB76EB4BB}">
  <sheetPr codeName="Sheet14"/>
  <dimension ref="A2:AA53"/>
  <sheetViews>
    <sheetView workbookViewId="0">
      <selection activeCell="B3" sqref="B3"/>
    </sheetView>
  </sheetViews>
  <sheetFormatPr defaultColWidth="9.109375" defaultRowHeight="14.4" x14ac:dyDescent="0.3"/>
  <cols>
    <col min="1" max="1" width="11.5546875" style="1" customWidth="1"/>
    <col min="2" max="2" width="4.6640625" style="1" customWidth="1"/>
    <col min="3" max="14" width="9.109375" style="1"/>
    <col min="15" max="15" width="29.88671875" style="1" bestFit="1" customWidth="1"/>
    <col min="16" max="16" width="15.88671875" style="1" bestFit="1" customWidth="1"/>
    <col min="17" max="17" width="0" style="1" hidden="1" customWidth="1"/>
    <col min="18" max="25" width="9.109375" style="1"/>
    <col min="26" max="26" width="26.33203125" style="1" bestFit="1" customWidth="1"/>
    <col min="27" max="27" width="10" style="1" bestFit="1" customWidth="1"/>
    <col min="28" max="16384" width="9.109375" style="1"/>
  </cols>
  <sheetData>
    <row r="2" spans="1:27" ht="19.5" customHeight="1" x14ac:dyDescent="0.3">
      <c r="A2" s="149" t="s">
        <v>355</v>
      </c>
      <c r="B2" s="150">
        <v>49</v>
      </c>
      <c r="Z2" s="112" t="s">
        <v>316</v>
      </c>
      <c r="AA2" s="99">
        <f>VLOOKUP(Z2,'Yearly Budget'!$57:$68,MATCH('Yearly Budget (Pie)'!$B$2,'Yearly Budget'!$1:$1,0),0)</f>
        <v>372229</v>
      </c>
    </row>
    <row r="3" spans="1:27" x14ac:dyDescent="0.3">
      <c r="Z3" s="1" t="str">
        <f>'Yearly Budget'!A43</f>
        <v>Personal Care</v>
      </c>
      <c r="AA3" s="99">
        <f>VLOOKUP(Z3,'Yearly Budget'!$57:$68,MATCH('Yearly Budget (Pie)'!$B$2,'Yearly Budget'!$1:$1,0),0)</f>
        <v>322000</v>
      </c>
    </row>
    <row r="4" spans="1:27" ht="18.75" customHeight="1" thickBot="1" x14ac:dyDescent="0.35">
      <c r="Z4" s="1" t="str">
        <f>'Yearly Budget'!A44</f>
        <v>Housing</v>
      </c>
      <c r="AA4" s="99">
        <f>VLOOKUP(Z4,'Yearly Budget'!$57:$68,MATCH('Yearly Budget (Pie)'!$B$2,'Yearly Budget'!$1:$1,0),0)</f>
        <v>98000</v>
      </c>
    </row>
    <row r="5" spans="1:27" ht="18.75" customHeight="1" thickBot="1" x14ac:dyDescent="0.35">
      <c r="O5" s="674" t="s">
        <v>356</v>
      </c>
      <c r="P5" s="675"/>
      <c r="Z5" s="1" t="str">
        <f>'Yearly Budget'!A45</f>
        <v>Food</v>
      </c>
      <c r="AA5" s="99">
        <f>VLOOKUP(Z5,'Yearly Budget'!$57:$68,MATCH('Yearly Budget (Pie)'!$B$2,'Yearly Budget'!$1:$1,0),0)</f>
        <v>308000</v>
      </c>
    </row>
    <row r="6" spans="1:27" ht="18.75" customHeight="1" x14ac:dyDescent="0.3">
      <c r="O6" s="453" t="str">
        <f>'Yearly Budget'!A57</f>
        <v>Utilities</v>
      </c>
      <c r="P6" s="155">
        <f>AA2</f>
        <v>372229</v>
      </c>
      <c r="Z6" s="1" t="str">
        <f>'Yearly Budget'!A46</f>
        <v>Health</v>
      </c>
      <c r="AA6" s="99">
        <f>VLOOKUP(Z6,'Yearly Budget'!$57:$68,MATCH('Yearly Budget (Pie)'!$B$2,'Yearly Budget'!$1:$1,0),0)</f>
        <v>203000</v>
      </c>
    </row>
    <row r="7" spans="1:27" ht="18.75" customHeight="1" x14ac:dyDescent="0.3">
      <c r="O7" s="454" t="str">
        <f>'Yearly Budget'!A58</f>
        <v>Personal Care</v>
      </c>
      <c r="P7" s="156">
        <f t="shared" ref="P7:P16" si="0">AA3</f>
        <v>322000</v>
      </c>
      <c r="Z7" s="1" t="str">
        <f>'Yearly Budget'!A47</f>
        <v>Family Care &amp; Donations</v>
      </c>
      <c r="AA7" s="99">
        <f>VLOOKUP(Z7,'Yearly Budget'!$57:$68,MATCH('Yearly Budget (Pie)'!$B$2,'Yearly Budget'!$1:$1,0),0)</f>
        <v>750000</v>
      </c>
    </row>
    <row r="8" spans="1:27" ht="18.75" customHeight="1" x14ac:dyDescent="0.3">
      <c r="O8" s="454" t="str">
        <f>'Yearly Budget'!A59</f>
        <v>Housing</v>
      </c>
      <c r="P8" s="156">
        <f t="shared" si="0"/>
        <v>98000</v>
      </c>
      <c r="Z8" s="1" t="str">
        <f>'Yearly Budget'!A48</f>
        <v>Transportation</v>
      </c>
      <c r="AA8" s="99">
        <f>VLOOKUP(Z8,'Yearly Budget'!$57:$68,MATCH('Yearly Budget (Pie)'!$B$2,'Yearly Budget'!$1:$1,0),0)</f>
        <v>184000</v>
      </c>
    </row>
    <row r="9" spans="1:27" ht="18.75" customHeight="1" x14ac:dyDescent="0.3">
      <c r="O9" s="454" t="str">
        <f>'Yearly Budget'!A60</f>
        <v>Food</v>
      </c>
      <c r="P9" s="156">
        <f t="shared" si="0"/>
        <v>308000</v>
      </c>
      <c r="Z9" s="1" t="str">
        <f>'Yearly Budget'!A49</f>
        <v>Recreation &amp; Entertainment</v>
      </c>
      <c r="AA9" s="99">
        <f>VLOOKUP(Z9,'Yearly Budget'!$57:$68,MATCH('Yearly Budget (Pie)'!$B$2,'Yearly Budget'!$1:$1,0),0)</f>
        <v>504000</v>
      </c>
    </row>
    <row r="10" spans="1:27" ht="18.75" customHeight="1" x14ac:dyDescent="0.3">
      <c r="O10" s="454" t="str">
        <f>'Yearly Budget'!A61</f>
        <v>Health</v>
      </c>
      <c r="P10" s="156">
        <f t="shared" si="0"/>
        <v>203000</v>
      </c>
      <c r="Z10" s="1" t="str">
        <f>'Yearly Budget'!A50</f>
        <v>Premiums &amp; Fees</v>
      </c>
      <c r="AA10" s="99">
        <f>VLOOKUP(Z10,'Yearly Budget'!$57:$68,MATCH('Yearly Budget (Pie)'!$B$2,'Yearly Budget'!$1:$1,0),0)</f>
        <v>70000</v>
      </c>
    </row>
    <row r="11" spans="1:27" ht="18.75" customHeight="1" x14ac:dyDescent="0.3">
      <c r="O11" s="454" t="str">
        <f>'Yearly Budget'!A62</f>
        <v>Family Care &amp; Donations</v>
      </c>
      <c r="P11" s="156">
        <f t="shared" si="0"/>
        <v>750000</v>
      </c>
      <c r="Z11" s="1" t="str">
        <f>'Yearly Budget'!A52</f>
        <v>Loan EMIs</v>
      </c>
      <c r="AA11" s="99">
        <f>VLOOKUP(Z11,'Yearly Budget'!$57:$68,MATCH('Yearly Budget (Pie)'!$B$2,'Yearly Budget'!$1:$1,0),0)</f>
        <v>569280</v>
      </c>
    </row>
    <row r="12" spans="1:27" ht="18.75" customHeight="1" x14ac:dyDescent="0.3">
      <c r="O12" s="454" t="str">
        <f>'Yearly Budget'!A63</f>
        <v>Transportation</v>
      </c>
      <c r="P12" s="156">
        <f t="shared" si="0"/>
        <v>184000</v>
      </c>
      <c r="Z12" s="1" t="str">
        <f>'Yearly Budget'!A53</f>
        <v>Life Events</v>
      </c>
      <c r="AA12" s="99">
        <f>VLOOKUP(Z12,'Yearly Budget'!$57:$68,MATCH('Yearly Budget (Pie)'!$B$2,'Yearly Budget'!$1:$1,0),0)</f>
        <v>0</v>
      </c>
    </row>
    <row r="13" spans="1:27" ht="18.75" customHeight="1" x14ac:dyDescent="0.3">
      <c r="O13" s="454" t="str">
        <f>'Yearly Budget'!A64</f>
        <v>Recreation &amp; Entertainment</v>
      </c>
      <c r="P13" s="156">
        <f t="shared" si="0"/>
        <v>504000</v>
      </c>
      <c r="AA13" s="148">
        <f>SUM(AA2:AA12)</f>
        <v>3380509</v>
      </c>
    </row>
    <row r="14" spans="1:27" ht="18.75" customHeight="1" x14ac:dyDescent="0.3">
      <c r="O14" s="454" t="str">
        <f>'Yearly Budget'!A65</f>
        <v>Premiums &amp; Fees</v>
      </c>
      <c r="P14" s="156">
        <f t="shared" si="0"/>
        <v>70000</v>
      </c>
    </row>
    <row r="15" spans="1:27" ht="18.75" customHeight="1" x14ac:dyDescent="0.3">
      <c r="O15" s="454" t="str">
        <f>IF(P15&gt;0,'Yearly Budget'!A67,0)</f>
        <v>Loan EMIs</v>
      </c>
      <c r="P15" s="156">
        <f t="shared" si="0"/>
        <v>569280</v>
      </c>
    </row>
    <row r="16" spans="1:27" ht="18.75" customHeight="1" thickBot="1" x14ac:dyDescent="0.35">
      <c r="O16" s="455">
        <f>IF(P16&gt;0,'Yearly Budget'!A68,0)</f>
        <v>0</v>
      </c>
      <c r="P16" s="157">
        <f t="shared" si="0"/>
        <v>0</v>
      </c>
    </row>
    <row r="17" spans="15:17" ht="18" thickBot="1" x14ac:dyDescent="0.35">
      <c r="O17" s="159" t="s">
        <v>53</v>
      </c>
      <c r="P17" s="158">
        <f>SUM(P6:P16)</f>
        <v>3380509</v>
      </c>
    </row>
    <row r="22" spans="15:17" hidden="1" x14ac:dyDescent="0.3"/>
    <row r="23" spans="15:17" hidden="1" x14ac:dyDescent="0.3"/>
    <row r="24" spans="15:17" hidden="1" x14ac:dyDescent="0.3">
      <c r="O24" s="463" t="str">
        <f ca="1">IF(P24&gt;0,Q24,0)</f>
        <v>Cash In Hand / Bank</v>
      </c>
      <c r="P24" s="102">
        <f ca="1">HLOOKUP(Q24,'Yoy Assets Working'!$A$2:$Z$71,MATCH('Yearly Budget (Pie)'!$B$2,'Yoy Assets Working'!$A:$A,0),0)</f>
        <v>1606837.4999999995</v>
      </c>
      <c r="Q24" s="1" t="str">
        <f>'Yoy Assets Working'!C$2</f>
        <v>Cash In Hand / Bank</v>
      </c>
    </row>
    <row r="25" spans="15:17" hidden="1" x14ac:dyDescent="0.3">
      <c r="O25" s="463">
        <f t="shared" ref="O25:O47" ca="1" si="1">IF(P25&gt;0,Q25,0)</f>
        <v>0</v>
      </c>
      <c r="P25" s="102">
        <f ca="1">HLOOKUP(Q25,'Yoy Assets Working'!$A$2:$Z$71,MATCH('Yearly Budget (Pie)'!$B$2,'Yoy Assets Working'!$A:$A,0),0)</f>
        <v>0</v>
      </c>
      <c r="Q25" s="1" t="str">
        <f>'Yoy Assets Working'!D$2</f>
        <v>Fixed Deposit</v>
      </c>
    </row>
    <row r="26" spans="15:17" hidden="1" x14ac:dyDescent="0.3">
      <c r="O26" s="463" t="str">
        <f t="shared" ca="1" si="1"/>
        <v>Equity Stocks</v>
      </c>
      <c r="P26" s="102">
        <f ca="1">HLOOKUP(Q26,'Yoy Assets Working'!$A$2:$Z$71,MATCH('Yearly Budget (Pie)'!$B$2,'Yoy Assets Working'!$A:$A,0),0)</f>
        <v>318364.78320000006</v>
      </c>
      <c r="Q26" s="1" t="str">
        <f>'Yoy Assets Working'!E$2</f>
        <v>Equity Stocks</v>
      </c>
    </row>
    <row r="27" spans="15:17" hidden="1" x14ac:dyDescent="0.3">
      <c r="O27" s="463" t="str">
        <f t="shared" ca="1" si="1"/>
        <v>Equity Mutual Funds</v>
      </c>
      <c r="P27" s="102">
        <f ca="1">HLOOKUP(Q27,'Yoy Assets Working'!$A$2:$Z$71,MATCH('Yearly Budget (Pie)'!$B$2,'Yoy Assets Working'!$A:$A,0),0)</f>
        <v>15071998.470530549</v>
      </c>
      <c r="Q27" s="1" t="str">
        <f>'Yoy Assets Working'!F$2</f>
        <v>Equity Mutual Funds</v>
      </c>
    </row>
    <row r="28" spans="15:17" hidden="1" x14ac:dyDescent="0.3">
      <c r="O28" s="463" t="str">
        <f t="shared" ca="1" si="1"/>
        <v>Debt Mutual Funds</v>
      </c>
      <c r="P28" s="102">
        <f ca="1">HLOOKUP(Q28,'Yoy Assets Working'!$A$2:$Z$71,MATCH('Yearly Budget (Pie)'!$B$2,'Yoy Assets Working'!$A:$A,0),0)</f>
        <v>5286108.2623786982</v>
      </c>
      <c r="Q28" s="1" t="str">
        <f>'Yoy Assets Working'!G$2</f>
        <v>Debt Mutual Funds</v>
      </c>
    </row>
    <row r="29" spans="15:17" hidden="1" x14ac:dyDescent="0.3">
      <c r="O29" s="463" t="str">
        <f t="shared" ca="1" si="1"/>
        <v>International Equities</v>
      </c>
      <c r="P29" s="102">
        <f ca="1">HLOOKUP(Q29,'Yoy Assets Working'!$A$2:$Z$71,MATCH('Yearly Budget (Pie)'!$B$2,'Yoy Assets Working'!$A:$A,0),0)</f>
        <v>2052159.9822000002</v>
      </c>
      <c r="Q29" s="1" t="str">
        <f>'Yoy Assets Working'!H$2</f>
        <v>International Equities</v>
      </c>
    </row>
    <row r="30" spans="15:17" hidden="1" x14ac:dyDescent="0.3">
      <c r="O30" s="463" t="str">
        <f t="shared" ca="1" si="1"/>
        <v>Commodities (Gold / Silver)</v>
      </c>
      <c r="P30" s="102">
        <f ca="1">HLOOKUP(Q30,'Yoy Assets Working'!$A$2:$Z$71,MATCH('Yearly Budget (Pie)'!$B$2,'Yoy Assets Working'!$A:$A,0),0)</f>
        <v>4579600</v>
      </c>
      <c r="Q30" s="1" t="str">
        <f>'Yoy Assets Working'!I$2</f>
        <v>Commodities (Gold / Silver)</v>
      </c>
    </row>
    <row r="31" spans="15:17" hidden="1" x14ac:dyDescent="0.3">
      <c r="O31" s="463" t="str">
        <f t="shared" ca="1" si="1"/>
        <v>SGBs</v>
      </c>
      <c r="P31" s="102">
        <f ca="1">HLOOKUP(Q31,'Yoy Assets Working'!$A$2:$Z$71,MATCH('Yearly Budget (Pie)'!$B$2,'Yoy Assets Working'!$A:$A,0),0)</f>
        <v>258328.44000000006</v>
      </c>
      <c r="Q31" s="1" t="str">
        <f>'Yoy Assets Working'!J$2</f>
        <v>SGBs</v>
      </c>
    </row>
    <row r="32" spans="15:17" hidden="1" x14ac:dyDescent="0.3">
      <c r="O32" s="463">
        <f t="shared" ca="1" si="1"/>
        <v>0</v>
      </c>
      <c r="P32" s="102">
        <f ca="1">HLOOKUP(Q32,'Yoy Assets Working'!$A$2:$Z$71,MATCH('Yearly Budget (Pie)'!$B$2,'Yoy Assets Working'!$A:$A,0),0)</f>
        <v>0</v>
      </c>
      <c r="Q32" s="1" t="str">
        <f>'Yoy Assets Working'!K$2</f>
        <v>Gold/Silver ETFs</v>
      </c>
    </row>
    <row r="33" spans="15:17" hidden="1" x14ac:dyDescent="0.3">
      <c r="O33" s="463" t="str">
        <f t="shared" ca="1" si="1"/>
        <v>Cryptos</v>
      </c>
      <c r="P33" s="102">
        <f ca="1">HLOOKUP(Q33,'Yoy Assets Working'!$A$2:$Z$71,MATCH('Yearly Budget (Pie)'!$B$2,'Yoy Assets Working'!$A:$A,0),0)</f>
        <v>2420000</v>
      </c>
      <c r="Q33" s="1" t="str">
        <f>'Yoy Assets Working'!L$2</f>
        <v>Cryptos</v>
      </c>
    </row>
    <row r="34" spans="15:17" hidden="1" x14ac:dyDescent="0.3">
      <c r="O34" s="463" t="str">
        <f t="shared" ca="1" si="1"/>
        <v>Others (Realisable)</v>
      </c>
      <c r="P34" s="102">
        <f ca="1">HLOOKUP(Q34,'Yoy Assets Working'!$A$2:$Z$71,MATCH('Yearly Budget (Pie)'!$B$2,'Yoy Assets Working'!$A:$A,0),0)</f>
        <v>699840</v>
      </c>
      <c r="Q34" s="1" t="str">
        <f>'Yoy Assets Working'!M$2</f>
        <v>Others (Realisable)</v>
      </c>
    </row>
    <row r="35" spans="15:17" hidden="1" x14ac:dyDescent="0.3">
      <c r="O35" s="463" t="str">
        <f t="shared" ca="1" si="1"/>
        <v>Residential Property</v>
      </c>
      <c r="P35" s="102">
        <f ca="1">HLOOKUP(Q35,'Yoy Assets Working'!$A$2:$Z$71,MATCH('Yearly Budget (Pie)'!$B$2,'Yoy Assets Working'!$A:$A,0),0)</f>
        <v>9017650</v>
      </c>
      <c r="Q35" s="1" t="str">
        <f>'Yoy Assets Working'!N$2</f>
        <v>Residential Property</v>
      </c>
    </row>
    <row r="36" spans="15:17" hidden="1" x14ac:dyDescent="0.3">
      <c r="O36" s="463">
        <f t="shared" ca="1" si="1"/>
        <v>0</v>
      </c>
      <c r="P36" s="102">
        <f ca="1">HLOOKUP(Q36,'Yoy Assets Working'!$A$2:$Z$71,MATCH('Yearly Budget (Pie)'!$B$2,'Yoy Assets Working'!$A:$A,0),0)</f>
        <v>0</v>
      </c>
      <c r="Q36" s="1" t="str">
        <f>'Yoy Assets Working'!O$2</f>
        <v>Commercial Property</v>
      </c>
    </row>
    <row r="37" spans="15:17" hidden="1" x14ac:dyDescent="0.3">
      <c r="O37" s="463" t="str">
        <f t="shared" ca="1" si="1"/>
        <v>Land</v>
      </c>
      <c r="P37" s="102">
        <f ca="1">HLOOKUP(Q37,'Yoy Assets Working'!$A$2:$Z$71,MATCH('Yearly Budget (Pie)'!$B$2,'Yoy Assets Working'!$A:$A,0),0)</f>
        <v>2756250</v>
      </c>
      <c r="Q37" s="1" t="str">
        <f>'Yoy Assets Working'!P$2</f>
        <v>Land</v>
      </c>
    </row>
    <row r="38" spans="15:17" hidden="1" x14ac:dyDescent="0.3">
      <c r="O38" s="463" t="str">
        <f t="shared" ca="1" si="1"/>
        <v>Government Schemes</v>
      </c>
      <c r="P38" s="102">
        <f ca="1">HLOOKUP(Q38,'Yoy Assets Working'!$A$2:$Z$71,MATCH('Yearly Budget (Pie)'!$B$2,'Yoy Assets Working'!$A:$A,0),0)</f>
        <v>1951313.6</v>
      </c>
      <c r="Q38" s="1" t="str">
        <f>'Yoy Assets Working'!Q$2</f>
        <v>Government Schemes</v>
      </c>
    </row>
    <row r="39" spans="15:17" hidden="1" x14ac:dyDescent="0.3">
      <c r="O39" s="463">
        <f t="shared" ca="1" si="1"/>
        <v>0</v>
      </c>
      <c r="P39" s="102">
        <f ca="1">HLOOKUP(Q39,'Yoy Assets Working'!$A$2:$Z$71,MATCH('Yearly Budget (Pie)'!$B$2,'Yoy Assets Working'!$A:$A,0),0)</f>
        <v>0</v>
      </c>
      <c r="Q39" s="1" t="str">
        <f>'Yoy Assets Working'!R$2</f>
        <v>PPF</v>
      </c>
    </row>
    <row r="40" spans="15:17" hidden="1" x14ac:dyDescent="0.3">
      <c r="O40" s="463" t="str">
        <f t="shared" ca="1" si="1"/>
        <v>EPF</v>
      </c>
      <c r="P40" s="102">
        <f ca="1">HLOOKUP(Q40,'Yoy Assets Working'!$A$2:$Z$71,MATCH('Yearly Budget (Pie)'!$B$2,'Yoy Assets Working'!$A:$A,0),0)</f>
        <v>1881600.0000000005</v>
      </c>
      <c r="Q40" s="1" t="str">
        <f>'Yoy Assets Working'!S$2</f>
        <v>EPF</v>
      </c>
    </row>
    <row r="41" spans="15:17" hidden="1" x14ac:dyDescent="0.3">
      <c r="O41" s="463">
        <f t="shared" ca="1" si="1"/>
        <v>0</v>
      </c>
      <c r="P41" s="102">
        <f ca="1">HLOOKUP(Q41,'Yoy Assets Working'!$A$2:$Z$71,MATCH('Yearly Budget (Pie)'!$B$2,'Yoy Assets Working'!$A:$A,0),0)</f>
        <v>0</v>
      </c>
      <c r="Q41" s="1" t="str">
        <f>'Yoy Assets Working'!T$2</f>
        <v>NSC</v>
      </c>
    </row>
    <row r="42" spans="15:17" hidden="1" x14ac:dyDescent="0.3">
      <c r="O42" s="463">
        <f t="shared" ca="1" si="1"/>
        <v>0</v>
      </c>
      <c r="P42" s="102">
        <f ca="1">HLOOKUP(Q42,'Yoy Assets Working'!$A$2:$Z$71,MATCH('Yearly Budget (Pie)'!$B$2,'Yoy Assets Working'!$A:$A,0),0)</f>
        <v>0</v>
      </c>
      <c r="Q42" s="1" t="str">
        <f>'Yoy Assets Working'!U$2</f>
        <v>Life Insurance / ULIPs</v>
      </c>
    </row>
    <row r="43" spans="15:17" hidden="1" x14ac:dyDescent="0.3">
      <c r="O43" s="463">
        <f t="shared" ca="1" si="1"/>
        <v>0</v>
      </c>
      <c r="P43" s="102">
        <f ca="1">HLOOKUP(Q43,'Yoy Assets Working'!$A$2:$Z$71,MATCH('Yearly Budget (Pie)'!$B$2,'Yoy Assets Working'!$A:$A,0),0)</f>
        <v>0</v>
      </c>
      <c r="Q43" s="1" t="str">
        <f>'Yoy Assets Working'!V$2</f>
        <v>ESOPs</v>
      </c>
    </row>
    <row r="44" spans="15:17" hidden="1" x14ac:dyDescent="0.3">
      <c r="O44" s="463">
        <f t="shared" ca="1" si="1"/>
        <v>0</v>
      </c>
      <c r="P44" s="102">
        <f ca="1">HLOOKUP(Q44,'Yoy Assets Working'!$A$2:$Z$71,MATCH('Yearly Budget (Pie)'!$B$2,'Yoy Assets Working'!$A:$A,0),0)</f>
        <v>0</v>
      </c>
      <c r="Q44" s="1" t="str">
        <f>'Yoy Assets Working'!W$2</f>
        <v>Equity PMS</v>
      </c>
    </row>
    <row r="45" spans="15:17" hidden="1" x14ac:dyDescent="0.3">
      <c r="O45" s="463" t="str">
        <f t="shared" ca="1" si="1"/>
        <v>Structure Products</v>
      </c>
      <c r="P45" s="102">
        <f ca="1">HLOOKUP(Q45,'Yoy Assets Working'!$A$2:$Z$71,MATCH('Yearly Budget (Pie)'!$B$2,'Yoy Assets Working'!$A:$A,0),0)</f>
        <v>4210589.4000000004</v>
      </c>
      <c r="Q45" s="1" t="str">
        <f>'Yoy Assets Working'!X$2</f>
        <v>Structure Products</v>
      </c>
    </row>
    <row r="46" spans="15:17" hidden="1" x14ac:dyDescent="0.3">
      <c r="O46" s="463" t="str">
        <f t="shared" ca="1" si="1"/>
        <v>Start-Ups</v>
      </c>
      <c r="P46" s="102">
        <f ca="1">HLOOKUP(Q46,'Yoy Assets Working'!$A$2:$Z$71,MATCH('Yearly Budget (Pie)'!$B$2,'Yoy Assets Working'!$A:$A,0),0)</f>
        <v>35015376.695615754</v>
      </c>
      <c r="Q46" s="1" t="str">
        <f>'Yoy Assets Working'!Y$2</f>
        <v>Start-Ups</v>
      </c>
    </row>
    <row r="47" spans="15:17" hidden="1" x14ac:dyDescent="0.3">
      <c r="O47" s="463" t="str">
        <f t="shared" ca="1" si="1"/>
        <v>NPS</v>
      </c>
      <c r="P47" s="102">
        <f ca="1">HLOOKUP(Q47,'Yoy Assets Working'!$A$2:$Z$71,MATCH('Yearly Budget (Pie)'!$B$2,'Yoy Assets Working'!$A:$A,0),0)</f>
        <v>8533755</v>
      </c>
      <c r="Q47" s="1" t="str">
        <f>'Yoy Assets Working'!Z$2</f>
        <v>NPS</v>
      </c>
    </row>
    <row r="48" spans="15:17" hidden="1" x14ac:dyDescent="0.3">
      <c r="O48" s="204" t="s">
        <v>53</v>
      </c>
      <c r="P48" s="464">
        <f ca="1">SUM(P24:P47)</f>
        <v>95659772.133925006</v>
      </c>
    </row>
    <row r="49" hidden="1" x14ac:dyDescent="0.3"/>
    <row r="50" hidden="1" x14ac:dyDescent="0.3"/>
    <row r="51" hidden="1" x14ac:dyDescent="0.3"/>
    <row r="52" hidden="1" x14ac:dyDescent="0.3"/>
    <row r="53" hidden="1" x14ac:dyDescent="0.3"/>
  </sheetData>
  <mergeCells count="1">
    <mergeCell ref="O5:P5"/>
  </mergeCells>
  <conditionalFormatting sqref="O6:O16">
    <cfRule type="cellIs" dxfId="6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Scroll Bar 1">
              <controlPr defaultSize="0" autoPict="0">
                <anchor moveWithCells="1">
                  <from>
                    <xdr:col>2</xdr:col>
                    <xdr:colOff>137160</xdr:colOff>
                    <xdr:row>1</xdr:row>
                    <xdr:rowOff>182880</xdr:rowOff>
                  </from>
                  <to>
                    <xdr:col>13</xdr:col>
                    <xdr:colOff>373380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69F63-9A71-4C10-8C3D-C23D48D54DA7}">
  <sheetPr codeName="Sheet7"/>
  <dimension ref="A1"/>
  <sheetViews>
    <sheetView topLeftCell="A29" workbookViewId="0">
      <selection activeCell="K24" sqref="K24"/>
    </sheetView>
  </sheetViews>
  <sheetFormatPr defaultColWidth="9.109375" defaultRowHeight="14.4" x14ac:dyDescent="0.3"/>
  <cols>
    <col min="1" max="16384" width="9.109375" style="1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8E26F-E0C3-49C4-93CD-F8EC1DF15B6A}">
  <sheetPr codeName="Sheet23"/>
  <dimension ref="A1:GO201"/>
  <sheetViews>
    <sheetView topLeftCell="B1" zoomScale="70" zoomScaleNormal="70" workbookViewId="0">
      <pane xSplit="14" ySplit="3" topLeftCell="P4" activePane="bottomRight" state="frozen"/>
      <selection pane="topRight" activeCell="P1" sqref="P1"/>
      <selection pane="bottomLeft" activeCell="B4" sqref="B4"/>
      <selection pane="bottomRight" activeCell="H19" sqref="H19"/>
    </sheetView>
  </sheetViews>
  <sheetFormatPr defaultRowHeight="14.4" x14ac:dyDescent="0.3"/>
  <cols>
    <col min="1" max="1" width="22.44140625" bestFit="1" customWidth="1"/>
    <col min="2" max="2" width="39.6640625" bestFit="1" customWidth="1"/>
    <col min="3" max="3" width="15.33203125" bestFit="1" customWidth="1"/>
    <col min="5" max="5" width="24.109375" customWidth="1"/>
    <col min="6" max="6" width="9.6640625" bestFit="1" customWidth="1"/>
    <col min="7" max="7" width="20" style="58" bestFit="1" customWidth="1"/>
    <col min="8" max="8" width="13" style="58" bestFit="1" customWidth="1"/>
    <col min="9" max="9" width="1.5546875" customWidth="1"/>
    <col min="10" max="11" width="9.109375" customWidth="1"/>
    <col min="12" max="12" width="15.6640625" customWidth="1"/>
    <col min="13" max="13" width="14.5546875" customWidth="1"/>
    <col min="14" max="14" width="18" style="58" customWidth="1"/>
    <col min="15" max="15" width="13.6640625" style="58" customWidth="1"/>
    <col min="16" max="16" width="11.33203125" bestFit="1" customWidth="1"/>
    <col min="18" max="18" width="29" bestFit="1" customWidth="1"/>
    <col min="19" max="20" width="11.33203125" bestFit="1" customWidth="1"/>
    <col min="21" max="21" width="2.6640625" customWidth="1"/>
    <col min="22" max="22" width="13" bestFit="1" customWidth="1"/>
    <col min="24" max="24" width="23.5546875" bestFit="1" customWidth="1"/>
    <col min="25" max="25" width="13" bestFit="1" customWidth="1"/>
    <col min="27" max="27" width="2.33203125" customWidth="1"/>
    <col min="28" max="28" width="13" bestFit="1" customWidth="1"/>
    <col min="30" max="30" width="11.5546875" bestFit="1" customWidth="1"/>
    <col min="31" max="31" width="16.44140625" bestFit="1" customWidth="1"/>
    <col min="33" max="33" width="2.33203125" customWidth="1"/>
    <col min="34" max="34" width="14.6640625" bestFit="1" customWidth="1"/>
    <col min="35" max="35" width="12.44140625" bestFit="1" customWidth="1"/>
    <col min="36" max="36" width="29.109375" bestFit="1" customWidth="1"/>
    <col min="37" max="37" width="14.6640625" bestFit="1" customWidth="1"/>
    <col min="39" max="39" width="3.33203125" customWidth="1"/>
    <col min="40" max="40" width="13.44140625" bestFit="1" customWidth="1"/>
    <col min="41" max="41" width="12.44140625" bestFit="1" customWidth="1"/>
    <col min="42" max="42" width="29.109375" bestFit="1" customWidth="1"/>
    <col min="43" max="43" width="13.5546875" bestFit="1" customWidth="1"/>
    <col min="45" max="45" width="3" customWidth="1"/>
    <col min="51" max="51" width="4.5546875" customWidth="1"/>
    <col min="57" max="57" width="3.6640625" customWidth="1"/>
    <col min="63" max="63" width="4.33203125" customWidth="1"/>
    <col min="69" max="69" width="3.44140625" customWidth="1"/>
    <col min="75" max="75" width="5" customWidth="1"/>
    <col min="81" max="81" width="4.109375" customWidth="1"/>
    <col min="82" max="83" width="12.33203125" bestFit="1" customWidth="1"/>
    <col min="84" max="84" width="30.5546875" bestFit="1" customWidth="1"/>
    <col min="85" max="85" width="11.6640625" bestFit="1" customWidth="1"/>
    <col min="87" max="87" width="3.88671875" customWidth="1"/>
    <col min="88" max="88" width="12.44140625" bestFit="1" customWidth="1"/>
    <col min="90" max="90" width="31.109375" bestFit="1" customWidth="1"/>
    <col min="91" max="91" width="12.44140625" bestFit="1" customWidth="1"/>
    <col min="93" max="93" width="3.44140625" customWidth="1"/>
    <col min="99" max="99" width="4.5546875" customWidth="1"/>
    <col min="105" max="105" width="3.6640625" customWidth="1"/>
    <col min="106" max="106" width="11.44140625" bestFit="1" customWidth="1"/>
    <col min="107" max="107" width="9" bestFit="1" customWidth="1"/>
    <col min="108" max="109" width="11.44140625" bestFit="1" customWidth="1"/>
    <col min="111" max="111" width="3.88671875" customWidth="1"/>
    <col min="112" max="112" width="14" bestFit="1" customWidth="1"/>
    <col min="113" max="113" width="9.6640625" bestFit="1" customWidth="1"/>
    <col min="114" max="114" width="15.44140625" bestFit="1" customWidth="1"/>
    <col min="115" max="115" width="13.88671875" bestFit="1" customWidth="1"/>
    <col min="117" max="117" width="3.6640625" customWidth="1"/>
    <col min="123" max="123" width="3.33203125" customWidth="1"/>
    <col min="129" max="129" width="2.88671875" customWidth="1"/>
    <col min="135" max="135" width="2.6640625" customWidth="1"/>
    <col min="136" max="139" width="9" bestFit="1" customWidth="1"/>
    <col min="141" max="141" width="2.6640625" customWidth="1"/>
    <col min="142" max="142" width="11.6640625" bestFit="1" customWidth="1"/>
    <col min="143" max="143" width="9.6640625" bestFit="1" customWidth="1"/>
    <col min="144" max="144" width="18.33203125" bestFit="1" customWidth="1"/>
    <col min="145" max="145" width="13.33203125" bestFit="1" customWidth="1"/>
    <col min="147" max="147" width="3.33203125" customWidth="1"/>
    <col min="148" max="148" width="12.33203125" bestFit="1" customWidth="1"/>
    <col min="149" max="149" width="10.6640625" customWidth="1"/>
    <col min="150" max="151" width="12.33203125" bestFit="1" customWidth="1"/>
    <col min="153" max="153" width="2.33203125" customWidth="1"/>
    <col min="154" max="154" width="14" bestFit="1" customWidth="1"/>
    <col min="155" max="155" width="9.6640625" bestFit="1" customWidth="1"/>
    <col min="156" max="156" width="15.6640625" bestFit="1" customWidth="1"/>
    <col min="157" max="157" width="13.88671875" bestFit="1" customWidth="1"/>
  </cols>
  <sheetData>
    <row r="1" spans="1:197" x14ac:dyDescent="0.3">
      <c r="G1"/>
      <c r="H1"/>
      <c r="N1"/>
      <c r="O1"/>
      <c r="S1" t="str">
        <f>_xlfn.XLOOKUP(P2,$B$3:$B$1048576,$A$3:$A$1048576)</f>
        <v>Realisable</v>
      </c>
      <c r="Y1" t="str">
        <f>_xlfn.XLOOKUP(V2,$B$3:$B$1048576,$A$3:$A$1048576)</f>
        <v>Realisable</v>
      </c>
      <c r="AE1" t="str">
        <f>_xlfn.XLOOKUP(AB2,$B$3:$B$1048576,$A$3:$A$1048576)</f>
        <v>Realisable</v>
      </c>
      <c r="AK1" t="str">
        <f>_xlfn.XLOOKUP(AH2,$B$3:$B$1048576,$A$3:$A$1048576)</f>
        <v>Realisable</v>
      </c>
      <c r="AQ1" t="str">
        <f>_xlfn.XLOOKUP(AN2,$B$3:$B$1048576,$A$3:$A$1048576)</f>
        <v>Realisable</v>
      </c>
      <c r="AW1" t="str">
        <f>_xlfn.XLOOKUP(AT2,$B$3:$B$1048576,$A$3:$A$1048576)</f>
        <v>Realisable</v>
      </c>
      <c r="BC1" t="str">
        <f>_xlfn.XLOOKUP(AZ2,$B$3:$B$1048576,$A$3:$A$1048576)</f>
        <v>Unrealisable</v>
      </c>
      <c r="BI1" t="str">
        <f>_xlfn.XLOOKUP(BF2,$B$3:$B$1048576,$A$3:$A$1048576)</f>
        <v>Realisable</v>
      </c>
      <c r="BO1" t="str">
        <f>_xlfn.XLOOKUP(BL2,$B$3:$B$1048576,$A$3:$A$1048576)</f>
        <v>Realisable</v>
      </c>
      <c r="BU1" t="str">
        <f>_xlfn.XLOOKUP(BR2,$B$3:$B$1048576,$A$3:$A$1048576)</f>
        <v>Realisable</v>
      </c>
      <c r="CA1" t="str">
        <f>_xlfn.XLOOKUP(BX2,$B$3:$B$1048576,$A$3:$A$1048576)</f>
        <v>Realisable</v>
      </c>
      <c r="CG1" t="str">
        <f>_xlfn.XLOOKUP(CD2,$B$3:$B$1048576,$A$3:$A$1048576)</f>
        <v>Unrealisable</v>
      </c>
      <c r="CM1" t="str">
        <f>_xlfn.XLOOKUP(CJ2,$B$3:$B$1048576,$A$3:$A$1048576)</f>
        <v>Unrealisable</v>
      </c>
      <c r="CS1" t="str">
        <f>_xlfn.XLOOKUP(CP2,$B$3:$B$1048576,$A$3:$A$1048576)</f>
        <v>Unrealisable</v>
      </c>
      <c r="CY1" t="str">
        <f>_xlfn.XLOOKUP(CV2,$B$3:$B$1048576,$A$3:$A$1048576)</f>
        <v>Unrealisable</v>
      </c>
      <c r="DE1" t="str">
        <f>_xlfn.XLOOKUP(DB2,$B$3:$B$1048576,$A$3:$A$1048576)</f>
        <v>Unrealisable</v>
      </c>
      <c r="DK1" t="str">
        <f>_xlfn.XLOOKUP(DH2,$B$3:$B$1048576,$A$3:$A$1048576)</f>
        <v>Unrealisable</v>
      </c>
      <c r="DQ1" t="str">
        <f>_xlfn.XLOOKUP(DN2,$B$3:$B$1048576,$A$3:$A$1048576)</f>
        <v>Unrealisable</v>
      </c>
      <c r="DW1" t="str">
        <f>_xlfn.XLOOKUP(DT2,$B$3:$B$1048576,$A$3:$A$1048576)</f>
        <v>Unrealisable</v>
      </c>
      <c r="EC1" t="str">
        <f>_xlfn.XLOOKUP(DZ2,$B$3:$B$1048576,$A$3:$A$1048576)</f>
        <v>Unrealisable</v>
      </c>
      <c r="EI1" t="str">
        <f>_xlfn.XLOOKUP(EF2,$B$3:$B$1048576,$A$3:$A$1048576)</f>
        <v>Realisable</v>
      </c>
      <c r="EO1" t="str">
        <f>_xlfn.XLOOKUP(EL2,$B$3:$B$1048576,$A$3:$A$1048576)</f>
        <v>Unrealisable</v>
      </c>
      <c r="EU1" t="str">
        <f>_xlfn.XLOOKUP(ER2,$B$3:$B$1048576,$A$3:$A$1048576)</f>
        <v>Unrealisable</v>
      </c>
      <c r="FA1" t="str">
        <f>_xlfn.XLOOKUP(EX2,$B$3:$B$1048576,$A$3:$A$1048576)</f>
        <v>Unrealisable</v>
      </c>
    </row>
    <row r="2" spans="1:197" x14ac:dyDescent="0.3">
      <c r="G2"/>
      <c r="H2"/>
      <c r="N2"/>
      <c r="O2"/>
      <c r="P2" s="676" t="str">
        <f>B4</f>
        <v>Cash In Hand / Bank</v>
      </c>
      <c r="Q2" s="676"/>
      <c r="R2" s="676"/>
      <c r="S2" s="676"/>
      <c r="T2" s="450"/>
      <c r="V2" s="677" t="str">
        <f>B5</f>
        <v>Fixed Deposit</v>
      </c>
      <c r="W2" s="677"/>
      <c r="X2" s="677"/>
      <c r="Y2" s="677"/>
      <c r="AB2" s="676" t="str">
        <f>B6</f>
        <v>Equity Stocks</v>
      </c>
      <c r="AC2" s="676"/>
      <c r="AD2" s="676"/>
      <c r="AE2" s="676"/>
      <c r="AH2" s="676" t="str">
        <f>B7</f>
        <v>Equity Mutual Funds</v>
      </c>
      <c r="AI2" s="676"/>
      <c r="AJ2" s="676"/>
      <c r="AK2" s="676"/>
      <c r="AN2" s="676" t="str">
        <f>B9</f>
        <v>Debt Mutual Funds</v>
      </c>
      <c r="AO2" s="676"/>
      <c r="AP2" s="676"/>
      <c r="AQ2" s="676"/>
      <c r="AR2" s="451"/>
      <c r="AT2" s="676" t="str">
        <f>B10</f>
        <v>Hybrid</v>
      </c>
      <c r="AU2" s="676"/>
      <c r="AV2" s="676"/>
      <c r="AW2" s="676"/>
      <c r="AZ2" s="676" t="str">
        <f>B11</f>
        <v>Commodities Inv Physical (Gold / Silver)</v>
      </c>
      <c r="BA2" s="676"/>
      <c r="BB2" s="676"/>
      <c r="BC2" s="676"/>
      <c r="BF2" s="676" t="str">
        <f>B12</f>
        <v>SGBs</v>
      </c>
      <c r="BG2" s="676"/>
      <c r="BH2" s="676"/>
      <c r="BI2" s="676"/>
      <c r="BL2" s="676" t="str">
        <f>B13</f>
        <v>Gold/Silver ETFs</v>
      </c>
      <c r="BM2" s="676"/>
      <c r="BN2" s="676"/>
      <c r="BO2" s="676"/>
      <c r="BR2" s="676" t="str">
        <f>B14</f>
        <v>ESOPs ( vested)</v>
      </c>
      <c r="BS2" s="676"/>
      <c r="BT2" s="676"/>
      <c r="BU2" s="676"/>
      <c r="BX2" s="676" t="str">
        <f>B15</f>
        <v>International Equities</v>
      </c>
      <c r="BY2" s="676"/>
      <c r="BZ2" s="676"/>
      <c r="CA2" s="676"/>
      <c r="CD2" s="676" t="str">
        <f>B16</f>
        <v>Residential Property</v>
      </c>
      <c r="CE2" s="676"/>
      <c r="CF2" s="676"/>
      <c r="CG2" s="676"/>
      <c r="CJ2" s="676" t="str">
        <f>B17</f>
        <v>Commercial Property</v>
      </c>
      <c r="CK2" s="676"/>
      <c r="CL2" s="676"/>
      <c r="CM2" s="676"/>
      <c r="CP2" s="676" t="str">
        <f>B18</f>
        <v>Land- Chennai</v>
      </c>
      <c r="CQ2" s="676"/>
      <c r="CR2" s="676"/>
      <c r="CS2" s="676"/>
      <c r="CV2" s="676" t="str">
        <f>B19</f>
        <v>Government Schemes- SSA</v>
      </c>
      <c r="CW2" s="676"/>
      <c r="CX2" s="676"/>
      <c r="CY2" s="676"/>
      <c r="DB2" s="678" t="str">
        <f>B20</f>
        <v>Structure Products</v>
      </c>
      <c r="DC2" s="678"/>
      <c r="DD2" s="678"/>
      <c r="DE2" s="678"/>
      <c r="DH2" s="678" t="str">
        <f>B21</f>
        <v>Start-Ups</v>
      </c>
      <c r="DI2" s="678"/>
      <c r="DJ2" s="678"/>
      <c r="DK2" s="678"/>
      <c r="DN2" s="676" t="str">
        <f>B22</f>
        <v>NSC</v>
      </c>
      <c r="DO2" s="676"/>
      <c r="DP2" s="676"/>
      <c r="DQ2" s="676"/>
      <c r="DT2" s="676" t="str">
        <f>B23</f>
        <v>Life Insurance / ULIPs</v>
      </c>
      <c r="DU2" s="676"/>
      <c r="DV2" s="676"/>
      <c r="DW2" s="676"/>
      <c r="DZ2" s="676" t="str">
        <f>B24</f>
        <v>ESOPs (to be vested)</v>
      </c>
      <c r="EA2" s="676"/>
      <c r="EB2" s="676"/>
      <c r="EC2" s="676"/>
      <c r="EF2" s="676" t="str">
        <f>B8</f>
        <v>Equity PMS</v>
      </c>
      <c r="EG2" s="676"/>
      <c r="EH2" s="676"/>
      <c r="EI2" s="676"/>
      <c r="EL2" s="677" t="str">
        <f>B25</f>
        <v>PPF</v>
      </c>
      <c r="EM2" s="677"/>
      <c r="EN2" s="677"/>
      <c r="EO2" s="677"/>
      <c r="ER2" s="677" t="str">
        <f>B26</f>
        <v>EPF</v>
      </c>
      <c r="ES2" s="677"/>
      <c r="ET2" s="677"/>
      <c r="EU2" s="677"/>
      <c r="EX2" s="677" t="str">
        <f>B27</f>
        <v>NPS</v>
      </c>
      <c r="EY2" s="677"/>
      <c r="EZ2" s="677"/>
      <c r="FA2" s="677"/>
      <c r="FC2" s="676"/>
      <c r="FD2" s="676"/>
      <c r="FE2" s="676"/>
      <c r="FF2" s="676"/>
      <c r="FH2" s="676"/>
      <c r="FI2" s="676"/>
      <c r="FJ2" s="676"/>
      <c r="FK2" s="676"/>
      <c r="FM2" s="676"/>
      <c r="FN2" s="676"/>
      <c r="FO2" s="676"/>
      <c r="FP2" s="676"/>
      <c r="FR2" s="676"/>
      <c r="FS2" s="676"/>
      <c r="FT2" s="676"/>
      <c r="FU2" s="676"/>
      <c r="FW2" s="676"/>
      <c r="FX2" s="676"/>
      <c r="FY2" s="676"/>
      <c r="FZ2" s="676"/>
      <c r="GB2" s="676"/>
      <c r="GC2" s="676"/>
      <c r="GD2" s="676"/>
      <c r="GE2" s="676"/>
      <c r="GG2" s="676"/>
      <c r="GH2" s="676"/>
      <c r="GI2" s="676"/>
      <c r="GJ2" s="676"/>
      <c r="GL2" s="676"/>
      <c r="GM2" s="676"/>
      <c r="GN2" s="676"/>
      <c r="GO2" s="676"/>
    </row>
    <row r="3" spans="1:197" x14ac:dyDescent="0.3">
      <c r="A3" s="319" t="s">
        <v>357</v>
      </c>
      <c r="B3" s="319" t="s">
        <v>147</v>
      </c>
      <c r="C3" s="319" t="s">
        <v>148</v>
      </c>
      <c r="D3" s="319" t="s">
        <v>149</v>
      </c>
      <c r="E3" s="319" t="s">
        <v>358</v>
      </c>
      <c r="F3" s="319" t="s">
        <v>359</v>
      </c>
      <c r="G3" s="319" t="s">
        <v>360</v>
      </c>
      <c r="H3" s="319" t="s">
        <v>361</v>
      </c>
      <c r="J3" s="319" t="s">
        <v>204</v>
      </c>
      <c r="K3" s="319" t="s">
        <v>168</v>
      </c>
      <c r="L3" s="319" t="s">
        <v>201</v>
      </c>
      <c r="M3" s="319" t="s">
        <v>165</v>
      </c>
      <c r="N3" s="319" t="s">
        <v>362</v>
      </c>
      <c r="O3" s="319" t="s">
        <v>363</v>
      </c>
      <c r="P3" s="6" t="s">
        <v>364</v>
      </c>
      <c r="Q3" s="6" t="s">
        <v>201</v>
      </c>
      <c r="R3" s="6" t="str">
        <f>CONCATENATE(P2," ","Withdrawals")</f>
        <v>Cash In Hand / Bank Withdrawals</v>
      </c>
      <c r="S3" s="6" t="s">
        <v>365</v>
      </c>
      <c r="T3" s="6">
        <f>VLOOKUP(P$2,$B:$G,6,0)</f>
        <v>1</v>
      </c>
      <c r="V3" s="6" t="s">
        <v>364</v>
      </c>
      <c r="W3" s="6" t="s">
        <v>201</v>
      </c>
      <c r="X3" s="6" t="str">
        <f>CONCATENATE(V2," ","Withdrawals")</f>
        <v>Fixed Deposit Withdrawals</v>
      </c>
      <c r="Y3" s="6" t="s">
        <v>365</v>
      </c>
      <c r="Z3" s="6">
        <f>VLOOKUP(V$2,$B:$G,6,0)</f>
        <v>2</v>
      </c>
      <c r="AA3" s="6"/>
      <c r="AB3" s="6" t="s">
        <v>364</v>
      </c>
      <c r="AC3" s="6" t="s">
        <v>201</v>
      </c>
      <c r="AD3" s="6" t="str">
        <f>CONCATENATE(AB2," ","Withdrawals")</f>
        <v>Equity Stocks Withdrawals</v>
      </c>
      <c r="AE3" s="6" t="s">
        <v>365</v>
      </c>
      <c r="AF3" s="6">
        <f>VLOOKUP(AB$2,$B:$G,6,0)</f>
        <v>7</v>
      </c>
      <c r="AG3" s="6"/>
      <c r="AH3" s="6" t="s">
        <v>364</v>
      </c>
      <c r="AI3" s="6" t="s">
        <v>201</v>
      </c>
      <c r="AJ3" s="6" t="str">
        <f>CONCATENATE(AH2," ","Withdrawals")</f>
        <v>Equity Mutual Funds Withdrawals</v>
      </c>
      <c r="AK3" s="6" t="s">
        <v>365</v>
      </c>
      <c r="AL3" s="6">
        <f>VLOOKUP(AH$2,$B:$G,6,0)</f>
        <v>6</v>
      </c>
      <c r="AM3" s="6"/>
      <c r="AN3" s="6" t="s">
        <v>364</v>
      </c>
      <c r="AO3" s="6" t="s">
        <v>201</v>
      </c>
      <c r="AP3" s="6" t="str">
        <f>CONCATENATE(AN2," ","Withdrawals")</f>
        <v>Debt Mutual Funds Withdrawals</v>
      </c>
      <c r="AQ3" s="6" t="s">
        <v>365</v>
      </c>
      <c r="AR3" s="6">
        <f>VLOOKUP(AN$2,$B:$G,6,0)</f>
        <v>5</v>
      </c>
      <c r="AT3" s="6" t="s">
        <v>364</v>
      </c>
      <c r="AU3" s="6" t="s">
        <v>201</v>
      </c>
      <c r="AV3" s="6" t="str">
        <f>CONCATENATE(AT2," ","Withdrawals")</f>
        <v>Hybrid Withdrawals</v>
      </c>
      <c r="AW3" s="6" t="s">
        <v>365</v>
      </c>
      <c r="AX3" s="6">
        <f>VLOOKUP(AT$2,$B:$G,6,0)</f>
        <v>4</v>
      </c>
      <c r="AY3" s="6"/>
      <c r="AZ3" s="6" t="s">
        <v>364</v>
      </c>
      <c r="BA3" s="6" t="s">
        <v>201</v>
      </c>
      <c r="BB3" s="6" t="str">
        <f>CONCATENATE(AZ2," ","Withdrawals")</f>
        <v>Commodities Inv Physical (Gold / Silver) Withdrawals</v>
      </c>
      <c r="BC3" s="6" t="s">
        <v>365</v>
      </c>
      <c r="BD3" s="6">
        <f>VLOOKUP(AZ$2,$B:$G,6,0)</f>
        <v>0</v>
      </c>
      <c r="BE3" s="6"/>
      <c r="BF3" s="6" t="s">
        <v>364</v>
      </c>
      <c r="BG3" s="6" t="s">
        <v>201</v>
      </c>
      <c r="BH3" s="6" t="str">
        <f>CONCATENATE(BF2," ","Withdrawals")</f>
        <v>SGBs Withdrawals</v>
      </c>
      <c r="BI3" s="6" t="s">
        <v>365</v>
      </c>
      <c r="BJ3" s="6">
        <f>VLOOKUP(BF$2,$B:$G,6,0)</f>
        <v>3</v>
      </c>
      <c r="BK3" s="6"/>
      <c r="BL3" s="6" t="s">
        <v>364</v>
      </c>
      <c r="BM3" s="6" t="s">
        <v>201</v>
      </c>
      <c r="BN3" s="6" t="str">
        <f>CONCATENATE(BL2," ","Withdrawals")</f>
        <v>Gold/Silver ETFs Withdrawals</v>
      </c>
      <c r="BO3" s="6" t="s">
        <v>365</v>
      </c>
      <c r="BP3" s="6">
        <f>VLOOKUP(BL$2,$B:$G,6,0)</f>
        <v>0</v>
      </c>
      <c r="BQ3" s="6"/>
      <c r="BR3" s="6" t="s">
        <v>364</v>
      </c>
      <c r="BS3" s="6" t="s">
        <v>201</v>
      </c>
      <c r="BT3" s="6" t="str">
        <f>CONCATENATE(BR2," ","Withdrawals")</f>
        <v>ESOPs ( vested) Withdrawals</v>
      </c>
      <c r="BU3" s="6" t="s">
        <v>365</v>
      </c>
      <c r="BV3" s="6">
        <f>VLOOKUP(BR$2,$B:$G,6,0)</f>
        <v>0</v>
      </c>
      <c r="BW3" s="6"/>
      <c r="BX3" s="6" t="s">
        <v>364</v>
      </c>
      <c r="BY3" s="6" t="s">
        <v>201</v>
      </c>
      <c r="BZ3" s="6" t="str">
        <f>CONCATENATE(BX2," ","Withdrawals")</f>
        <v>International Equities Withdrawals</v>
      </c>
      <c r="CA3" s="6" t="s">
        <v>365</v>
      </c>
      <c r="CB3" s="6">
        <f>VLOOKUP(BX$2,$B:$G,6,0)</f>
        <v>0</v>
      </c>
      <c r="CC3" s="6"/>
      <c r="CD3" s="6" t="s">
        <v>364</v>
      </c>
      <c r="CE3" s="6" t="s">
        <v>201</v>
      </c>
      <c r="CF3" s="6" t="str">
        <f>CONCATENATE(CD2," ","Withdrawals")</f>
        <v>Residential Property Withdrawals</v>
      </c>
      <c r="CG3" s="6" t="s">
        <v>365</v>
      </c>
      <c r="CH3" s="6">
        <f>VLOOKUP(CD$2,$B:$G,6,0)</f>
        <v>0</v>
      </c>
      <c r="CI3" s="6"/>
      <c r="CJ3" s="6" t="s">
        <v>364</v>
      </c>
      <c r="CK3" s="6" t="s">
        <v>201</v>
      </c>
      <c r="CL3" s="6" t="str">
        <f>CONCATENATE(CJ2," ","Withdrawals")</f>
        <v>Commercial Property Withdrawals</v>
      </c>
      <c r="CM3" s="6" t="s">
        <v>365</v>
      </c>
      <c r="CN3" s="6">
        <f>VLOOKUP(CJ$2,$B:$G,6,0)</f>
        <v>0</v>
      </c>
      <c r="CO3" s="6"/>
      <c r="CP3" s="6" t="s">
        <v>364</v>
      </c>
      <c r="CQ3" s="6" t="s">
        <v>201</v>
      </c>
      <c r="CR3" s="6" t="str">
        <f>CONCATENATE(CP2," ","Withdrawals")</f>
        <v>Land- Chennai Withdrawals</v>
      </c>
      <c r="CS3" s="6" t="s">
        <v>365</v>
      </c>
      <c r="CT3" s="6">
        <f>VLOOKUP(CP$2,$B:$G,6,0)</f>
        <v>0</v>
      </c>
      <c r="CU3" s="6"/>
      <c r="CV3" s="6" t="s">
        <v>364</v>
      </c>
      <c r="CW3" s="6" t="s">
        <v>201</v>
      </c>
      <c r="CX3" s="6" t="str">
        <f>CONCATENATE(CV2," ","Withdrawals")</f>
        <v>Government Schemes- SSA Withdrawals</v>
      </c>
      <c r="CY3" s="6" t="s">
        <v>365</v>
      </c>
      <c r="CZ3" s="6">
        <f>VLOOKUP(CV$2,$B:$G,6,0)</f>
        <v>0</v>
      </c>
      <c r="DA3" s="6"/>
      <c r="DB3" s="6" t="s">
        <v>364</v>
      </c>
      <c r="DC3" s="6" t="s">
        <v>201</v>
      </c>
      <c r="DD3" s="6" t="str">
        <f>CONCATENATE(DB2," ","Withdrawals")</f>
        <v>Structure Products Withdrawals</v>
      </c>
      <c r="DE3" s="6" t="s">
        <v>365</v>
      </c>
      <c r="DF3" s="6">
        <f>VLOOKUP(DB$2,$B:$G,6,0)</f>
        <v>0</v>
      </c>
      <c r="DG3" s="6"/>
      <c r="DH3" s="6" t="s">
        <v>364</v>
      </c>
      <c r="DI3" s="6" t="s">
        <v>201</v>
      </c>
      <c r="DJ3" s="6" t="str">
        <f>CONCATENATE(DH2," ","Withdrawals")</f>
        <v>Start-Ups Withdrawals</v>
      </c>
      <c r="DK3" s="6" t="s">
        <v>365</v>
      </c>
      <c r="DL3" s="6">
        <f>VLOOKUP(DH$2,$B:$G,6,0)</f>
        <v>0</v>
      </c>
      <c r="DM3" s="6"/>
      <c r="DN3" s="6" t="s">
        <v>364</v>
      </c>
      <c r="DO3" s="6" t="s">
        <v>201</v>
      </c>
      <c r="DP3" s="6" t="str">
        <f>CONCATENATE(DN2," ","Withdrawals")</f>
        <v>NSC Withdrawals</v>
      </c>
      <c r="DQ3" s="6" t="s">
        <v>365</v>
      </c>
      <c r="DR3" s="6">
        <f>VLOOKUP(DN$2,$B:$G,6,0)</f>
        <v>0</v>
      </c>
      <c r="DS3" s="6"/>
      <c r="DT3" s="6" t="s">
        <v>364</v>
      </c>
      <c r="DU3" s="6" t="s">
        <v>201</v>
      </c>
      <c r="DV3" s="6" t="str">
        <f>CONCATENATE(DT2," ","Withdrawals")</f>
        <v>Life Insurance / ULIPs Withdrawals</v>
      </c>
      <c r="DW3" s="6" t="s">
        <v>365</v>
      </c>
      <c r="DX3" s="6">
        <f>VLOOKUP(DT$2,$B:$G,6,0)</f>
        <v>0</v>
      </c>
      <c r="DY3" s="6"/>
      <c r="DZ3" s="6" t="s">
        <v>364</v>
      </c>
      <c r="EA3" s="6" t="s">
        <v>201</v>
      </c>
      <c r="EB3" s="6" t="str">
        <f>CONCATENATE(DZ2," ","Withdrawals")</f>
        <v>ESOPs (to be vested) Withdrawals</v>
      </c>
      <c r="EC3" s="6" t="s">
        <v>365</v>
      </c>
      <c r="ED3" s="6">
        <f>VLOOKUP(DZ$2,$B:$G,6,0)</f>
        <v>0</v>
      </c>
      <c r="EE3" s="6"/>
      <c r="EF3" s="6" t="s">
        <v>364</v>
      </c>
      <c r="EG3" s="6" t="s">
        <v>201</v>
      </c>
      <c r="EH3" s="6" t="str">
        <f>CONCATENATE(EF2," ","Withdrawals")</f>
        <v>Equity PMS Withdrawals</v>
      </c>
      <c r="EI3" s="6" t="s">
        <v>365</v>
      </c>
      <c r="EJ3" s="6">
        <f>VLOOKUP(EF$2,$B:$G,6,0)</f>
        <v>0</v>
      </c>
      <c r="EK3" s="6"/>
      <c r="EL3" s="6" t="s">
        <v>364</v>
      </c>
      <c r="EM3" s="6" t="s">
        <v>201</v>
      </c>
      <c r="EN3" s="6" t="str">
        <f>CONCATENATE(EL2," ","Withdrawals")</f>
        <v>PPF Withdrawals</v>
      </c>
      <c r="EO3" s="6" t="s">
        <v>365</v>
      </c>
      <c r="EP3" s="6">
        <f>VLOOKUP(EL$2,$B:$G,6,0)</f>
        <v>0</v>
      </c>
      <c r="EQ3" s="6"/>
      <c r="ER3" s="6" t="s">
        <v>364</v>
      </c>
      <c r="ES3" s="6" t="s">
        <v>201</v>
      </c>
      <c r="ET3" s="6" t="str">
        <f>CONCATENATE(ER2," ","Withdrawals")</f>
        <v>EPF Withdrawals</v>
      </c>
      <c r="EU3" s="6" t="s">
        <v>365</v>
      </c>
      <c r="EV3" s="6">
        <f>VLOOKUP(ER$2,$B:$G,6,0)</f>
        <v>0</v>
      </c>
      <c r="EW3" s="6"/>
      <c r="EX3" s="6" t="s">
        <v>364</v>
      </c>
      <c r="EY3" s="6" t="s">
        <v>201</v>
      </c>
      <c r="EZ3" s="6" t="str">
        <f>CONCATENATE(EX2," ","Withdrawals")</f>
        <v>NPS Withdrawals</v>
      </c>
      <c r="FA3" s="6" t="s">
        <v>365</v>
      </c>
      <c r="FB3" s="6">
        <f>VLOOKUP(EX$2,$B:$G,6,0)</f>
        <v>0</v>
      </c>
      <c r="FC3" s="6"/>
      <c r="FD3" s="6"/>
      <c r="FE3" s="6"/>
      <c r="FF3" s="6"/>
      <c r="FH3" s="6"/>
      <c r="FI3" s="6"/>
      <c r="FJ3" s="6"/>
      <c r="FK3" s="6"/>
      <c r="FM3" s="6"/>
      <c r="FN3" s="6"/>
      <c r="FO3" s="6"/>
      <c r="FP3" s="6"/>
      <c r="FR3" s="6"/>
      <c r="FS3" s="6"/>
      <c r="FT3" s="6"/>
      <c r="FU3" s="6"/>
      <c r="FW3" s="6"/>
      <c r="FX3" s="6"/>
      <c r="FY3" s="6"/>
      <c r="FZ3" s="6"/>
      <c r="GB3" s="6"/>
      <c r="GC3" s="6"/>
      <c r="GD3" s="6"/>
      <c r="GE3" s="6"/>
      <c r="GG3" s="6"/>
      <c r="GH3" s="6"/>
      <c r="GI3" s="6"/>
      <c r="GJ3" s="6"/>
      <c r="GL3" s="6"/>
      <c r="GM3" s="6"/>
      <c r="GN3" s="6"/>
      <c r="GO3" s="6"/>
    </row>
    <row r="4" spans="1:197" x14ac:dyDescent="0.3">
      <c r="A4" t="s">
        <v>366</v>
      </c>
      <c r="B4" t="str">
        <f>Networth!B4</f>
        <v>Cash In Hand / Bank</v>
      </c>
      <c r="C4" s="58">
        <f>VLOOKUP('Yoy WAR OG'!B4,'WAR - Rev'!$A$1:$B$29,2,0)</f>
        <v>1500000</v>
      </c>
      <c r="D4" s="313">
        <f>'WAR - Rev'!C2</f>
        <v>3.5000000000000003E-2</v>
      </c>
      <c r="E4" s="313"/>
      <c r="F4" s="313"/>
      <c r="G4" s="58">
        <v>1</v>
      </c>
      <c r="H4" s="452">
        <f>VLOOKUP('NWGC - SCENARIOS'!$D$7,'NWGC - SCENARIOS'!$B$11:$C$67,2,0)</f>
        <v>2031</v>
      </c>
      <c r="J4">
        <f>IFERROR('NWGC - SCENARIOS'!B11,0)</f>
        <v>49</v>
      </c>
      <c r="K4">
        <f>IFERROR('NWGC - SCENARIOS'!C11,0)</f>
        <v>2025</v>
      </c>
      <c r="L4" s="449">
        <f>IF(('NWGC - SCENARIOS'!G11-working!G2)&gt;'NWGC - SCENARIOS'!H11,'NWGC - SCENARIOS'!G11-'NWGC - SCENARIOS'!H11-working!G2,0)</f>
        <v>5975149</v>
      </c>
      <c r="M4" s="449">
        <f>IF(('NWGC - SCENARIOS'!G11-working!G2)&gt;'NWGC - SCENARIOS'!H11,0,'NWGC - SCENARIOS'!H11-'NWGC - SCENARIOS'!G11+working!G2)</f>
        <v>0</v>
      </c>
      <c r="N4" s="58">
        <f t="shared" ref="N4:N35" ca="1" si="0">SUMIFS($P4:$XFD4,$P$1:$XFD$1,"Realisable",$P$3:$XFD$3,"End Value")</f>
        <v>19096671.884999998</v>
      </c>
      <c r="O4" s="58">
        <f t="shared" ref="O4:O35" ca="1" si="1">SUMIFS($P4:$XFD4,$P$1:$XFD$1,"Unrealisable",$P$3:$XFD$3,"End Value")</f>
        <v>60760032</v>
      </c>
      <c r="P4" s="58">
        <f>VLOOKUP(P$2,$B$3:$D$1048576,2,0)</f>
        <v>1500000</v>
      </c>
      <c r="Q4" s="58">
        <f>(VLOOKUP(P$2,$B$1:$F$32,5,0)*$L4)+(VLOOKUP($K4,'Withdrawal Working'!$AD:$AE,2,0)*(IFERROR(VLOOKUP(P$2,$B$35:$C$42,2,0),0)))</f>
        <v>0</v>
      </c>
      <c r="R4" s="58">
        <f>IFERROR(IF($K4&lt;VLOOKUP(P$2,$B:$H,7,0),IF(T$3=1,MIN($M4,P4),IF(HLOOKUP(CONCATENATE("Balance",T$3-1),'Withdrawal Working'!$A$2:$CD$78,MATCH('Yoy WAR OG'!$J4,'Withdrawal Working'!$A$2:$A$78,0),FALSE)&gt;0,MIN(HLOOKUP(CONCATENATE("Balance",T$3-1),'Withdrawal Working'!$A$2:$CD$78,MATCH('Yoy WAR OG'!$J4,'Withdrawal Working'!$A$2:$A$78,0),0),P4),0)),IF($K4=VLOOKUP(P$2,$B:$H,7,0),P4,)),0)</f>
        <v>0</v>
      </c>
      <c r="S4" s="58">
        <f>((P4-R4)*(1+(IFERROR(VLOOKUP(P$2,$B:$D,3,0),0))))+Q4</f>
        <v>1552499.9999999998</v>
      </c>
      <c r="T4" s="58"/>
      <c r="V4" s="58">
        <f>VLOOKUP(V$2,$B$3:$D$1048576,2,0)</f>
        <v>0</v>
      </c>
      <c r="W4" s="58">
        <f>(VLOOKUP(V$2,$B$1:$F$32,5,0)*$L4)+(VLOOKUP($K4,'Withdrawal Working'!$AD:$AE,2,0)*(IFERROR(VLOOKUP(V$2,$B$35:$C$42,2,0),0)))</f>
        <v>0</v>
      </c>
      <c r="X4" s="58">
        <f>IFERROR(IF($K4&lt;VLOOKUP(V$2,$B:$H,7,0),IF(Z$3=1,MIN($M4,V4),IF(HLOOKUP(CONCATENATE("Balance",Z$3-1),'Withdrawal Working'!$A$2:$CD$78,MATCH('Yoy WAR OG'!$J4,'Withdrawal Working'!$A$2:$A$78,0),FALSE)&gt;0,MIN(HLOOKUP(CONCATENATE("Balance",Z$3-1),'Withdrawal Working'!$A$2:$CD$78,MATCH('Yoy WAR OG'!$J4,'Withdrawal Working'!$A$2:$A$78,0),0),V4),0)),IF($K4=VLOOKUP(V$2,$B:$H,7,0),V4,)),0)</f>
        <v>0</v>
      </c>
      <c r="Y4" s="58">
        <f t="shared" ref="Y4:Y35" si="2">((V4-X4)*(1+(IFERROR(VLOOKUP(V$2,$B:$D,3,0),0))))+W4</f>
        <v>0</v>
      </c>
      <c r="AB4" s="58">
        <f>VLOOKUP(AB$2,$B$3:$D$1048576,2,0)</f>
        <v>258392</v>
      </c>
      <c r="AC4" s="58">
        <f>(VLOOKUP(AB$2,$B$1:$F$32,5,0)*$L4)+(VLOOKUP($K4,'Withdrawal Working'!$AD:$AE,2,0)*(IFERROR(VLOOKUP(AB$2,$B$35:$C$42,2,0),0)))</f>
        <v>0</v>
      </c>
      <c r="AD4" s="58">
        <f>IFERROR(IF($K4&lt;VLOOKUP(AB$2,$B:$H,7,0),IF(AF$3=1,MIN($M4,AB4),IF(HLOOKUP(CONCATENATE("Balance",AF$3-1),'Withdrawal Working'!$A$2:$CD$78,MATCH('Yoy WAR OG'!$J4,'Withdrawal Working'!$A$2:$A$78,0),FALSE)&gt;0,MIN(HLOOKUP(CONCATENATE("Balance",AF$3-1),'Withdrawal Working'!$A$2:$CD$78,MATCH('Yoy WAR OG'!$J4,'Withdrawal Working'!$A$2:$A$78,0),0),AB4),0)),IF($K4=VLOOKUP(AB$2,$B:$H,7,0),AB4,)),0)</f>
        <v>0</v>
      </c>
      <c r="AE4" s="58">
        <f t="shared" ref="AE4:AE35" si="3">((AB4-AD4)*(1+(IFERROR(VLOOKUP(AB$2,$B:$D,3,0),0))))+AC4</f>
        <v>286815.12000000005</v>
      </c>
      <c r="AH4" s="58">
        <f>VLOOKUP(AH$2,$B$3:$D$1048576,2,0)</f>
        <v>5666347</v>
      </c>
      <c r="AI4" s="58">
        <f>(VLOOKUP(AH$2,$B$1:$F$32,5,0)*$L4)+IF(J4&gt;'NWGC - SCENARIOS'!$D$7,0,(VLOOKUP($K4,'Withdrawal Working'!$AD:$AE,2,0)*(IFERROR(VLOOKUP(AH$2,$B$35:$C$42,2,0),0))))</f>
        <v>3585089.4</v>
      </c>
      <c r="AJ4" s="58">
        <f>IFERROR(IF(AL$3=1,$M4,IF(HLOOKUP(CONCATENATE("Balance",AL$3-1),'Withdrawal Working'!$A$2:$CD$78,MATCH('Yoy WAR OG'!$J4,'Withdrawal Working'!$A$2:$A$78,0),FALSE)&gt;0,MIN(HLOOKUP(CONCATENATE("Balance",AL$3-1),'Withdrawal Working'!$A$2:$CD$78,MATCH('Yoy WAR OG'!$J4,'Withdrawal Working'!$A$2:$A$78,0),0),AH4),0)),0)</f>
        <v>0</v>
      </c>
      <c r="AK4" s="58">
        <f t="shared" ref="AK4:AK35" si="4">((AH4-AJ4)*(1+(IFERROR(VLOOKUP(AH$2,$B:$D,3,0),0))))+AI4</f>
        <v>9874734.5700000003</v>
      </c>
      <c r="AN4">
        <f>VLOOKUP(AN$2,$B$3:$D$1048576,2,0)</f>
        <v>21473</v>
      </c>
      <c r="AO4" s="58">
        <f>IF(J4&gt;'NWGC - SCENARIOS'!$D$7,(IF(AJ4=0,0,'Yoy WAR OG'!AJ4)+(VLOOKUP(AN$2,$B$1:$F$32,5,0)*$L4)),(VLOOKUP(AN$2,$B$1:$F$32,5,0)*$L4)+(VLOOKUP($K4,'Withdrawal Working'!$AD:$AE,2,0)*(IFERROR(VLOOKUP(AN$2,$B$35:$C$42,2,0),0))))</f>
        <v>2390059.6</v>
      </c>
      <c r="AP4" s="470">
        <f>IFERROR(IF($K4&lt;&gt;VLOOKUP(AN$2,$B:$H,7,0),IF(AR$3=1,MIN($M4,AN4),IF(HLOOKUP(CONCATENATE("Balance",AR$3-1),'Withdrawal Working'!$A$2:$CD$78,MATCH('Yoy WAR OG'!$J4,'Withdrawal Working'!$A$2:$A$78,0),FALSE)&gt;0,MIN(HLOOKUP(CONCATENATE("Balance",AR$3-1),'Withdrawal Working'!$A$2:$CD$78,MATCH('Yoy WAR OG'!$J4,'Withdrawal Working'!$A$2:$A$78,0),0),AN4),0)),IF($K4=VLOOKUP(AN$2,$B:$H,7,0),AN4,)),0)</f>
        <v>0</v>
      </c>
      <c r="AQ4" s="58">
        <f>IF(AO4&lt;0,0,IF(J4&gt;'NWGC - SCENARIOS'!$D$7,((AN4-AP4+AO4)*(1+(IFERROR(VLOOKUP(AN$2,$B:$D,3,0),0)))),((AN4-AP4)*(1+(IFERROR(VLOOKUP(AN$2,$B:$D,3,0),0))))+AO4))</f>
        <v>2412713.6150000002</v>
      </c>
      <c r="AR4" s="58"/>
      <c r="AT4">
        <f>VLOOKUP(AT$2,$B$3:$D$1048576,2,0)</f>
        <v>1727262</v>
      </c>
      <c r="AU4" s="58">
        <f>(VLOOKUP(AT$2,$B$1:$F$32,5,0)*$L4)+(VLOOKUP($K4,'Withdrawal Working'!$AD:$AE,2,0)*(IFERROR(VLOOKUP(AT$2,$B$35:$C$42,2,0),0)))</f>
        <v>0</v>
      </c>
      <c r="AV4" s="58">
        <f>IFERROR(IF($K4&lt;VLOOKUP(AT$2,$B:$H,7,0),IF(AX$3=1,MIN($M4,AT4),IF(HLOOKUP(CONCATENATE("Balance",AX$3-1),'Withdrawal Working'!$A$2:$CD$78,MATCH('Yoy WAR OG'!$J4,'Withdrawal Working'!$A$2:$A$78,0),FALSE)&gt;0,MIN(HLOOKUP(CONCATENATE("Balance",AX$3-1),'Withdrawal Working'!$A$2:$CD$78,MATCH('Yoy WAR OG'!$J4,'Withdrawal Working'!$A$2:$A$78,0),0),AT4),0)),IF($K4=VLOOKUP(AT$2,$B:$H,7,0),AT4,)),0)</f>
        <v>0</v>
      </c>
      <c r="AW4" s="58">
        <f t="shared" ref="AW4:AW35" si="5">((AT4-AV4)*(1+(IFERROR(VLOOKUP(AT$2,$B:$D,3,0),0))))+AU4</f>
        <v>1882715.58</v>
      </c>
      <c r="AZ4">
        <f>VLOOKUP(AZ$2,$B$3:$D$1048576,2,0)</f>
        <v>4000000</v>
      </c>
      <c r="BA4" s="58">
        <f>(VLOOKUP(AZ$2,$B$1:$F$32,5,0)*$L4)+(VLOOKUP($K4,'Withdrawal Working'!$AD:$AE,2,0)*(IFERROR(VLOOKUP(AZ$2,$B$35:$C$42,2,0),0)))</f>
        <v>0</v>
      </c>
      <c r="BB4" s="58">
        <f>IFERROR(IF($K4&lt;VLOOKUP(AZ$2,$B:$H,7,0),IF(BD$3=1,MIN($M4,AZ4),IF(HLOOKUP(CONCATENATE("Balance",BD$3-1),'Withdrawal Working'!$A$2:$CD$78,MATCH('Yoy WAR OG'!$J4,'Withdrawal Working'!$A$2:$A$78,0),FALSE)&gt;0,MIN(HLOOKUP(CONCATENATE("Balance",BD$3-1),'Withdrawal Working'!$A$2:$CD$78,MATCH('Yoy WAR OG'!$J4,'Withdrawal Working'!$A$2:$A$78,0),0),AZ4),0)),IF($K4=VLOOKUP(AZ$2,$B:$H,7,0),AZ4,)),0)</f>
        <v>0</v>
      </c>
      <c r="BC4" s="58">
        <f t="shared" ref="BC4:BC35" si="6">((AZ4-BB4)*(1+(IFERROR(VLOOKUP(AZ$2,$B:$D,3,0),0))))+BA4</f>
        <v>4280000</v>
      </c>
      <c r="BF4">
        <f>VLOOKUP(BF$2,$B$3:$D$1048576,2,0)</f>
        <v>221475</v>
      </c>
      <c r="BG4" s="58">
        <f>(VLOOKUP(BF$2,$B$1:$F$32,5,0)*$L4)+(VLOOKUP($K4,'Withdrawal Working'!$AD:$AE,2,0)*(IFERROR(VLOOKUP(BF$2,$B$35:$C$42,2,0),0)))</f>
        <v>0</v>
      </c>
      <c r="BH4" s="58">
        <f>IFERROR(IF($K4&lt;VLOOKUP(BF$2,$B:$H,7,0),IF(BJ$3=1,MIN($M4,BF4),IF(HLOOKUP(CONCATENATE("Balance",BJ$3-1),'Withdrawal Working'!$A$2:$CD$78,MATCH('Yoy WAR OG'!$J4,'Withdrawal Working'!$A$2:$A$78,0),FALSE)&gt;0,MIN(HLOOKUP(CONCATENATE("Balance",BJ$3-1),'Withdrawal Working'!$A$2:$CD$78,MATCH('Yoy WAR OG'!$J4,'Withdrawal Working'!$A$2:$A$78,0),0),BF4),0)),IF($K4=VLOOKUP(BF$2,$B:$H,7,0),BF4,)),0)</f>
        <v>0</v>
      </c>
      <c r="BI4" s="58">
        <f t="shared" ref="BI4:BI35" si="7">((BF4-BH4)*(1+(IFERROR(VLOOKUP(BF$2,$B:$D,3,0),0))))+BG4</f>
        <v>239193.00000000003</v>
      </c>
      <c r="BL4">
        <f>VLOOKUP(BL$2,$B$3:$D$1048576,2,0)</f>
        <v>0</v>
      </c>
      <c r="BM4" s="58">
        <f>(VLOOKUP(BL$2,$B$1:$F$32,5,0)*$L4)+(VLOOKUP($K4,'Withdrawal Working'!$AD:$AE,2,0)*(IFERROR(VLOOKUP(BL$2,$B$35:$C$42,2,0),0)))</f>
        <v>0</v>
      </c>
      <c r="BN4" s="58">
        <f ca="1">IFERROR(IF($K4&lt;VLOOKUP(BL$2,$B:$H,7,0),IF(BP$3=1,MIN($M4,BL4),IF(HLOOKUP(CONCATENATE("Balance",BP$3-1),'Withdrawal Working'!$A$2:$CD$78,MATCH('Yoy WAR OG'!$J4,'Withdrawal Working'!$A$2:$A$78,0),FALSE)&gt;0,MIN(HLOOKUP(CONCATENATE("Balance",BP$3-1),'Withdrawal Working'!$A$2:$CD$78,MATCH('Yoy WAR OG'!$J4,'Withdrawal Working'!$A$2:$A$78,0),0),BL4),0)),IF($K4=VLOOKUP(BL$2,$B:$H,7,0),BL4,)),0)</f>
        <v>0</v>
      </c>
      <c r="BO4" s="58">
        <f t="shared" ref="BO4:BO35" ca="1" si="8">((BL4-BN4)*(1+(IFERROR(VLOOKUP(BL$2,$B:$D,3,0),0))))+BM4</f>
        <v>0</v>
      </c>
      <c r="BR4">
        <f>VLOOKUP(BR$2,$B$3:$D$1048576,2,0)</f>
        <v>2000000</v>
      </c>
      <c r="BS4" s="58">
        <f>(VLOOKUP(BR$2,$B$1:$F$32,5,0)*$L4)+(VLOOKUP($K4,'Withdrawal Working'!$AD:$AE,2,0)*(IFERROR(VLOOKUP(BR$2,$B$35:$C$42,2,0),0)))</f>
        <v>0</v>
      </c>
      <c r="BT4" s="58">
        <f ca="1">IFERROR(IF($K4&lt;VLOOKUP(BR$2,$B:$H,7,0),IF(BV$3=1,MIN($M4,BR4),IF(HLOOKUP(CONCATENATE("Balance",BV$3-1),'Withdrawal Working'!$A$2:$CD$78,MATCH('Yoy WAR OG'!$J4,'Withdrawal Working'!$A$2:$A$78,0),FALSE)&gt;0,MIN(HLOOKUP(CONCATENATE("Balance",BV$3-1),'Withdrawal Working'!$A$2:$CD$78,MATCH('Yoy WAR OG'!$J4,'Withdrawal Working'!$A$2:$A$78,0),0),BR4),0)),IF($K4=VLOOKUP(BR$2,$B:$H,7,0),BR4,)),0)</f>
        <v>0</v>
      </c>
      <c r="BU4" s="58">
        <f t="shared" ref="BU4:BU35" ca="1" si="9">((BR4-BT4)*(1+(IFERROR(VLOOKUP(BR$2,$B:$D,3,0),0))))+BS4</f>
        <v>2200000</v>
      </c>
      <c r="BX4">
        <f>VLOOKUP(BX$2,$B$3:$D$1048576,2,0)</f>
        <v>600000</v>
      </c>
      <c r="BY4" s="58">
        <f>(VLOOKUP(BX$2,$B$1:$F$32,5,0)*$L4)+(VLOOKUP($K4,'Withdrawal Working'!$AD:$AE,2,0)*(IFERROR(VLOOKUP(BX$2,$B$35:$C$42,2,0),0)))</f>
        <v>0</v>
      </c>
      <c r="BZ4" s="58">
        <f ca="1">IFERROR(IF($K4&lt;VLOOKUP(BX$2,$B:$H,7,0),IF(CB$3=1,MIN($M4,BX4),IF(HLOOKUP(CONCATENATE("Balance",CB$3-1),'Withdrawal Working'!$A$2:$CD$78,MATCH('Yoy WAR OG'!$J4,'Withdrawal Working'!$A$2:$A$78,0),FALSE)&gt;0,MIN(HLOOKUP(CONCATENATE("Balance",CB$3-1),'Withdrawal Working'!$A$2:$CD$78,MATCH('Yoy WAR OG'!$J4,'Withdrawal Working'!$A$2:$A$78,0),0),BX4),0)),IF($K4=VLOOKUP(BX$2,$B:$H,7,0),BX4,)),0)</f>
        <v>0</v>
      </c>
      <c r="CA4" s="58">
        <f t="shared" ref="CA4:CA35" ca="1" si="10">((BX4-BZ4)*(1+(IFERROR(VLOOKUP(BX$2,$B:$D,3,0),0))))+BY4</f>
        <v>648000</v>
      </c>
      <c r="CD4">
        <f>VLOOKUP(CD$2,$B$3:$D$1048576,2,0)</f>
        <v>8500000</v>
      </c>
      <c r="CE4" s="58">
        <f>(VLOOKUP(CD$2,$B$1:$F$32,5,0)*$L4)+(VLOOKUP($K4,'Withdrawal Working'!$AD:$AE,2,0)*(IFERROR(VLOOKUP(CD$2,$B$35:$C$42,2,0),0)))+SUMIFS('Key Life Events'!$I$3:$I$28,'Key Life Events'!$H$3:$H$28,"House",'Key Life Events'!$E$3:$E$28,'Yoy WAR OG'!K4)</f>
        <v>0</v>
      </c>
      <c r="CF4" s="58">
        <f>IFERROR(IF($K4&lt;VLOOKUP(CD$2,$B:$H,7,0),IF(CH$3=1,MIN($M4,CD4),IF(HLOOKUP(CONCATENATE("Balance",CH$3-1),'Withdrawal Working'!$A$2:$CD$78,MATCH('Yoy WAR OG'!$J4,'Withdrawal Working'!$A$2:$A$78,0),FALSE)&gt;0,MIN(HLOOKUP(CONCATENATE("Balance",CH$3-1),'Withdrawal Working'!$A$2:$CD$78,MATCH('Yoy WAR OG'!$J4,'Withdrawal Working'!$A$2:$A$78,0),0),CD4),0)),IF($K4=VLOOKUP(CD$2,$B:$H,7,0),CD4,)),0)</f>
        <v>0</v>
      </c>
      <c r="CG4" s="58">
        <f t="shared" ref="CG4:CG35" si="11">((CD4-CF4)*(1+(IFERROR(VLOOKUP(CD$2,$B:$D,3,0),0))))+CE4</f>
        <v>8755000</v>
      </c>
      <c r="CJ4">
        <f>VLOOKUP(CJ$2,$B$3:$D$1048576,2,0)</f>
        <v>0</v>
      </c>
      <c r="CK4" s="58">
        <f>(VLOOKUP(CJ$2,$B$1:$F$32,5,0)*$L4)+(VLOOKUP($K4,'Withdrawal Working'!$AD:$AE,2,0)*(IFERROR(VLOOKUP(CJ$2,$B$35:$C$42,2,0),0)))+SUMIFS('Key Life Events'!$I$3:$I$28,'Key Life Events'!$H$3:$H$28,"House2",'Key Life Events'!$E$3:$E$28,'Yoy WAR OG'!K4)</f>
        <v>0</v>
      </c>
      <c r="CL4" s="58">
        <f ca="1">IF(IFERROR(IF($K4&lt;&gt;VLOOKUP(CJ$2,$B:$H,7,0),IF(CN$3=1,MIN($M4,CJ4),IF(HLOOKUP(CONCATENATE("Balance",CN$3-1),'Withdrawal Working'!$A$2:$CD$78,MATCH('Yoy WAR OG'!$J4,'Withdrawal Working'!$A$2:$A$78,0),FALSE)&gt;0,MIN(HLOOKUP(CONCATENATE("Balance",CN$3-1),'Withdrawal Working'!$A$2:$CD$78,MATCH('Yoy WAR OG'!$J4,'Withdrawal Working'!$A$2:$A$78,0),0),CJ4),0)),IF($K4=VLOOKUP(CJ$2,$B:$H,7,0),CJ4,)),0)&gt;0,CJ4,0)</f>
        <v>0</v>
      </c>
      <c r="CM4" s="58">
        <f t="shared" ref="CM4:CM35" ca="1" si="12">((CJ4-CL4)*(1+(IFERROR(VLOOKUP(CJ$2,$B:$D,3,0),0))))+CK4</f>
        <v>0</v>
      </c>
      <c r="CP4">
        <f>VLOOKUP(CP$2,$B$3:$D$1048576,2,0)</f>
        <v>2500000</v>
      </c>
      <c r="CQ4" s="58">
        <f>(VLOOKUP(CP$2,$B$1:$F$32,5,0)*$L4)+(VLOOKUP($K4,'Withdrawal Working'!$AD:$AE,2,0)*(IFERROR(VLOOKUP(CP$2,$B$35:$C$42,2,0),0)))+SUMIFS('Key Life Events'!$I$3:$I$28,'Key Life Events'!$H$3:$H$28,"Land",'Key Life Events'!$E$3:$E$28,'Yoy WAR OG'!K4)</f>
        <v>0</v>
      </c>
      <c r="CR4" s="58">
        <f>IFERROR(IF($K4&lt;VLOOKUP(CP$2,$B:$H,7,0),IF(CT$3=1,MIN($M4,CP4),IF(HLOOKUP(CONCATENATE("Balance",CT$3-1),'Withdrawal Working'!$A$2:$CD$78,MATCH('Yoy WAR OG'!$J4,'Withdrawal Working'!$A$2:$A$78,0),FALSE)&gt;0,MIN(HLOOKUP(CONCATENATE("Balance",CT$3-1),'Withdrawal Working'!$A$2:$CD$78,MATCH('Yoy WAR OG'!$J4,'Withdrawal Working'!$A$2:$A$78,0),0),CP4),0)),IF($K4=VLOOKUP(CP$2,$B:$H,7,0),CP4,)),0)</f>
        <v>0</v>
      </c>
      <c r="CS4" s="58">
        <f t="shared" ref="CS4:CS35" si="13">((CP4-CR4)*(1+(IFERROR(VLOOKUP(CP$2,$B:$D,3,0),0))))+CQ4</f>
        <v>2625000</v>
      </c>
      <c r="CV4">
        <f>VLOOKUP(CV$2,$B$3:$D$1048576,2,0)</f>
        <v>1400000</v>
      </c>
      <c r="CW4" s="58">
        <f>$E$19</f>
        <v>150000</v>
      </c>
      <c r="CX4" s="58">
        <f ca="1">IFERROR(IF($K4&lt;VLOOKUP(CV$2,$B:$H,7,0),IF(CZ$3=1,MIN($M4,CV4),IF(HLOOKUP(CONCATENATE("Balance",CZ$3-1),'Withdrawal Working'!$A$2:$CD$78,MATCH('Yoy WAR OG'!$J4,'Withdrawal Working'!$A$2:$A$78,0),FALSE)&gt;0,MIN(HLOOKUP(CONCATENATE("Balance",CZ$3-1),'Withdrawal Working'!$A$2:$CD$78,MATCH('Yoy WAR OG'!$J4,'Withdrawal Working'!$A$2:$A$78,0),0),CV4),0)),IF($K4=VLOOKUP(CV$2,$B:$H,7,0),CV4,)),0)</f>
        <v>0</v>
      </c>
      <c r="CY4" s="58">
        <f t="shared" ref="CY4:CY35" ca="1" si="14">((CV4-CX4)*(1+(IFERROR(VLOOKUP(CV$2,$B:$D,3,0),0))))+CW4</f>
        <v>1664800</v>
      </c>
      <c r="DB4">
        <f>VLOOKUP(DB$2,$B$3:$D$1048576,2,0)</f>
        <v>0</v>
      </c>
      <c r="DC4" s="58">
        <f>(VLOOKUP(DB$2,$B$1:$F$32,5,0)*$L4)+(VLOOKUP($K4,'Withdrawal Working'!$AD:$AE,2,0)*(IFERROR(VLOOKUP(DB$2,$B$35:$C$42,2,0),0)))</f>
        <v>0</v>
      </c>
      <c r="DD4" s="58">
        <f ca="1">IFERROR(IF($K4&lt;VLOOKUP(DB$2,$B:$H,7,0),IF(DF$3=1,MIN($M4,DB4),IF(HLOOKUP(CONCATENATE("Balance",DF$3-1),'Withdrawal Working'!$A$2:$CD$78,MATCH('Yoy WAR OG'!$J4,'Withdrawal Working'!$A$2:$A$78,0),FALSE)&gt;0,MIN(HLOOKUP(CONCATENATE("Balance",DF$3-1),'Withdrawal Working'!$A$2:$CD$78,MATCH('Yoy WAR OG'!$J4,'Withdrawal Working'!$A$2:$A$78,0),0),DB4),0)),IF($K4=VLOOKUP(DB$2,$B:$H,7,0),DB4,)),0)</f>
        <v>0</v>
      </c>
      <c r="DE4" s="58">
        <f t="shared" ref="DE4:DE35" ca="1" si="15">((DB4-DD4)*(1+(IFERROR(VLOOKUP(DB$2,$B:$D,3,0),0))))+DC4</f>
        <v>0</v>
      </c>
      <c r="DH4">
        <f>VLOOKUP(DH$2,$B$3:$D$1048576,2,0)</f>
        <v>1500000</v>
      </c>
      <c r="DI4" s="58">
        <f>IF(OR(J4&gt;'NWGC - SCENARIOS'!$D$7,J4='NWGC - SCENARIOS'!$D$7),0,VLOOKUP($DH$2,B:F,4,0))</f>
        <v>0</v>
      </c>
      <c r="DJ4" s="58">
        <f ca="1">IFERROR(IF($K4&lt;VLOOKUP(DH$2,$B:$H,7,0),IF(DL$3=1,MIN($M4,DH4),IF(HLOOKUP(CONCATENATE("Balance",DL$3-1),'Withdrawal Working'!$A$2:$CD$78,MATCH('Yoy WAR OG'!$J4,'Withdrawal Working'!$A$2:$A$78,0),FALSE)&gt;0,MIN(HLOOKUP(CONCATENATE("Balance",DL$3-1),'Withdrawal Working'!$A$2:$CD$78,MATCH('Yoy WAR OG'!$J4,'Withdrawal Working'!$A$2:$A$78,0),0),DH4),0)),IF($K4=VLOOKUP(DH$2,$B:$H,7,0),DH4,)),0)</f>
        <v>0</v>
      </c>
      <c r="DK4" s="58">
        <f t="shared" ref="DK4:DK35" ca="1" si="16">((DH4-DJ4)*(1+(IFERROR(VLOOKUP(DH$2,$B:$D,3,0),0))))+DI4</f>
        <v>1680000.0000000002</v>
      </c>
      <c r="DN4">
        <f>VLOOKUP(DN$2,$B$3:$D$1048576,2,0)</f>
        <v>0</v>
      </c>
      <c r="DO4" s="58">
        <f>(VLOOKUP(DN$2,$B$1:$F$32,5,0)*$L4)+(VLOOKUP($K4,'Withdrawal Working'!$AD:$AE,2,0)*(IFERROR(VLOOKUP(DN$2,$B$35:$C$42,2,0),0)))</f>
        <v>0</v>
      </c>
      <c r="DP4" s="58">
        <f ca="1">IFERROR(IF($K4&lt;VLOOKUP(DN$2,$B:$H,7,0),IF(DR$3=1,MIN($M4,DN4),IF(HLOOKUP(CONCATENATE("Balance",DR$3-1),'Withdrawal Working'!$A$2:$CD$78,MATCH('Yoy WAR OG'!$J4,'Withdrawal Working'!$A$2:$A$78,0),FALSE)&gt;0,MIN(HLOOKUP(CONCATENATE("Balance",DR$3-1),'Withdrawal Working'!$A$2:$CD$78,MATCH('Yoy WAR OG'!$J4,'Withdrawal Working'!$A$2:$A$78,0),0),DN4),0)),IF($K4=VLOOKUP(DN$2,$B:$H,7,0),DN4,)),0)</f>
        <v>0</v>
      </c>
      <c r="DQ4" s="58">
        <f t="shared" ref="DQ4:DQ35" ca="1" si="17">((DN4-DP4)*(1+(IFERROR(VLOOKUP(DN$2,$B:$D,3,0),0))))+DO4</f>
        <v>0</v>
      </c>
      <c r="DT4">
        <f>VLOOKUP(DT$2,$B$3:$D$1048576,2,0)</f>
        <v>0</v>
      </c>
      <c r="DU4" s="58">
        <f>(VLOOKUP(DT$2,$B$1:$F$32,5,0)*$L4)+(VLOOKUP($K4,'Withdrawal Working'!$AD:$AE,2,0)*(IFERROR(VLOOKUP(DT$2,$B$35:$C$42,2,0),0)))</f>
        <v>0</v>
      </c>
      <c r="DV4" s="58">
        <f ca="1">IFERROR(IF($K4&lt;VLOOKUP(DT$2,$B:$H,7,0),IF(DX$3=1,MIN($M4,DT4),IF(HLOOKUP(CONCATENATE("Balance",DX$3-1),'Withdrawal Working'!$A$2:$CD$78,MATCH('Yoy WAR OG'!$J4,'Withdrawal Working'!$A$2:$A$78,0),FALSE)&gt;0,MIN(HLOOKUP(CONCATENATE("Balance",DX$3-1),'Withdrawal Working'!$A$2:$CD$78,MATCH('Yoy WAR OG'!$J4,'Withdrawal Working'!$A$2:$A$78,0),0),DT4),0)),IF($K4=VLOOKUP(DT$2,$B:$H,7,0),DT4,)),0)</f>
        <v>0</v>
      </c>
      <c r="DW4" s="58">
        <f t="shared" ref="DW4:DW35" ca="1" si="18">((DT4-DV4)*(1+(IFERROR(VLOOKUP(DT$2,$B:$D,3,0),0))))+DU4</f>
        <v>0</v>
      </c>
      <c r="DZ4">
        <f>VLOOKUP(DZ$2,$B$3:$D$1048576,2,0)</f>
        <v>0</v>
      </c>
      <c r="EA4" s="58">
        <f>(VLOOKUP(DZ$2,$B$1:$F$32,5,0)*$L4)+(VLOOKUP($K4,'Withdrawal Working'!$AD:$AE,2,0)*(IFERROR(VLOOKUP(DZ$2,$B$35:$C$42,2,0),0)))</f>
        <v>0</v>
      </c>
      <c r="EB4" s="58">
        <f ca="1">IFERROR(IF($K4&lt;VLOOKUP(DZ$2,$B:$H,7,0),IF(ED$3=1,MIN($M4,DZ4),IF(HLOOKUP(CONCATENATE("Balance",ED$3-1),'Withdrawal Working'!$A$2:$CD$78,MATCH('Yoy WAR OG'!$J4,'Withdrawal Working'!$A$2:$A$78,0),FALSE)&gt;0,MIN(HLOOKUP(CONCATENATE("Balance",ED$3-1),'Withdrawal Working'!$A$2:$CD$78,MATCH('Yoy WAR OG'!$J4,'Withdrawal Working'!$A$2:$A$78,0),0),DZ4),0)),IF($K4=VLOOKUP(DZ$2,$B:$H,7,0),DZ4,)),0)</f>
        <v>0</v>
      </c>
      <c r="EC4" s="58">
        <f t="shared" ref="EC4:EC35" ca="1" si="19">((DZ4-EB4)*(1+(IFERROR(VLOOKUP(DZ$2,$B:$D,3,0),0))))+EA4</f>
        <v>0</v>
      </c>
      <c r="EF4">
        <f>VLOOKUP(EF$2,$B$3:$D$1048576,2,0)</f>
        <v>0</v>
      </c>
      <c r="EG4" s="58">
        <f>(VLOOKUP(EF$2,$B$1:$F$32,5,0)*$L4)+(VLOOKUP($K4,'Withdrawal Working'!$AD:$AE,2,0)*(IFERROR(VLOOKUP(EF$2,$B$35:$C$42,2,0),0)))</f>
        <v>0</v>
      </c>
      <c r="EH4" s="58">
        <f ca="1">IFERROR(IF($K4&lt;VLOOKUP(EF$2,$B:$H,7,0),IF(EJ$3=1,MIN($M4,EF4),IF(HLOOKUP(CONCATENATE("Balance",EJ$3-1),'Withdrawal Working'!$A$2:$CD$78,MATCH('Yoy WAR OG'!$J4,'Withdrawal Working'!$A$2:$A$78,0),FALSE)&gt;0,MIN(HLOOKUP(CONCATENATE("Balance",EJ$3-1),'Withdrawal Working'!$A$2:$CD$78,MATCH('Yoy WAR OG'!$J4,'Withdrawal Working'!$A$2:$A$78,0),0),EF4),0)),IF($K4=VLOOKUP(EF$2,$B:$H,7,0),EF4,)),0)</f>
        <v>0</v>
      </c>
      <c r="EI4" s="58">
        <f t="shared" ref="EI4:EI35" ca="1" si="20">((EF4-EH4)*(1+(IFERROR(VLOOKUP(EF$2,$B:$D,3,0),0))))+EG4</f>
        <v>0</v>
      </c>
      <c r="EL4">
        <f>VLOOKUP(EL$2,$B$3:$D$1048576,2,0)</f>
        <v>3400000</v>
      </c>
      <c r="EM4" s="58">
        <f>IF(OR($J4&gt;'NWGC - SCENARIOS'!$D$7,$J4='NWGC - SCENARIOS'!$D$7),0,VLOOKUP($EL$2,B:F,4,0))</f>
        <v>150000</v>
      </c>
      <c r="EN4" s="58">
        <f ca="1">IFERROR(IF($K4&lt;VLOOKUP(EL$2,$B:$H,7,0),IF(EP$3=1,MIN($M4,EL4),IF(HLOOKUP(CONCATENATE("Balance",EP$3-1),'Withdrawal Working'!$A$2:$CD$78,MATCH('Yoy WAR OG'!$J4,'Withdrawal Working'!$A$2:$A$78,0),FALSE)&gt;0,MIN(HLOOKUP(CONCATENATE("Balance",EP$3-1),'Withdrawal Working'!$A$2:$CD$78,MATCH('Yoy WAR OG'!$J4,'Withdrawal Working'!$A$2:$A$78,0),0),EL4),0)),IF($K4=VLOOKUP(EL$2,$B:$H,7,0),EL4,)),0)</f>
        <v>0</v>
      </c>
      <c r="EO4" s="58">
        <f t="shared" ref="EO4:EO35" ca="1" si="21">((EL4-EN4)*(1+(IFERROR(VLOOKUP(EL$2,$B:$D,3,0),0))))+EM4</f>
        <v>3791400</v>
      </c>
      <c r="ER4">
        <f>VLOOKUP(ER$2,$B$3:$D$1048576,2,0)</f>
        <v>27500000</v>
      </c>
      <c r="ES4" s="58">
        <f>IF(OR(J4&gt;'NWGC - SCENARIOS'!$D$7,J4='NWGC - SCENARIOS'!$D$7),0,VLOOKUP($ER$2,B:F,4,0))</f>
        <v>1333332</v>
      </c>
      <c r="ET4" s="58">
        <f ca="1">IFERROR(IF($K4&lt;VLOOKUP(ER$2,$B:$H,7,0),IF(EV$3=1,MIN($M4,ER4),IF(HLOOKUP(CONCATENATE("Balance",EV$3-1),'Withdrawal Working'!$A$2:$CD$78,MATCH('Yoy WAR OG'!$J4,'Withdrawal Working'!$A$2:$A$78,0),FALSE)&gt;0,MIN(HLOOKUP(CONCATENATE("Balance",EV$3-1),'Withdrawal Working'!$A$2:$CD$78,MATCH('Yoy WAR OG'!$J4,'Withdrawal Working'!$A$2:$A$78,0),0),ER4),0)),IF($K4=VLOOKUP(ER$2,$B:$H,7,0),ER4,)),0)</f>
        <v>0</v>
      </c>
      <c r="EU4" s="58">
        <f t="shared" ref="EU4:EU35" ca="1" si="22">((ER4-ET4)*(1+(IFERROR(VLOOKUP(ER$2,$B:$D,3,0),0))))+ES4</f>
        <v>31060832</v>
      </c>
      <c r="EX4">
        <f>VLOOKUP(EX$2,$B$3:$D$1048576,2,0)</f>
        <v>5400000</v>
      </c>
      <c r="EY4" s="58">
        <f>IF(OR(J4&gt;'NWGC - SCENARIOS'!$D$7,J4='NWGC - SCENARIOS'!$D$7),0,VLOOKUP($EX$2,B:F,4,0))</f>
        <v>1044000</v>
      </c>
      <c r="EZ4" s="58">
        <f ca="1">IFERROR(IF($K4&lt;VLOOKUP(EX$2,$B:$H,7,0),IF(FB$3=1,MIN($M4,EX4),IF(HLOOKUP(CONCATENATE("Balance",FB$3-1),'Withdrawal Working'!$A$2:$CD$78,MATCH('Yoy WAR OG'!$J4,'Withdrawal Working'!$A$2:$A$78,0),FALSE)&gt;0,MIN(HLOOKUP(CONCATENATE("Balance",FB$3-1),'Withdrawal Working'!$A$2:$CD$78,MATCH('Yoy WAR OG'!$J4,'Withdrawal Working'!$A$2:$A$78,0),0),EX4),0)),IF($K4=VLOOKUP(EX$2,$B:$H,7,0),EX4,)),0)</f>
        <v>0</v>
      </c>
      <c r="FA4" s="58">
        <f t="shared" ref="FA4:FA35" ca="1" si="23">((EX4-EZ4)*(1+(IFERROR(VLOOKUP(EX$2,$B:$D,3,0),0))))+EY4</f>
        <v>6903000</v>
      </c>
    </row>
    <row r="5" spans="1:197" x14ac:dyDescent="0.3">
      <c r="A5" t="s">
        <v>366</v>
      </c>
      <c r="B5" t="str">
        <f>Networth!B5</f>
        <v>Fixed Deposit</v>
      </c>
      <c r="C5" s="58">
        <f>VLOOKUP('Yoy WAR OG'!B5,'WAR - Rev'!$A$1:$B$29,2,0)</f>
        <v>0</v>
      </c>
      <c r="D5" s="313">
        <f>'WAR - Rev'!C3</f>
        <v>0.05</v>
      </c>
      <c r="E5" s="313"/>
      <c r="F5" s="313"/>
      <c r="G5" s="58">
        <v>2</v>
      </c>
      <c r="H5" s="452">
        <f>VLOOKUP('NWGC - SCENARIOS'!$D$7,'NWGC - SCENARIOS'!$B$11:$C$67,2,0)</f>
        <v>2031</v>
      </c>
      <c r="J5">
        <f>IFERROR('NWGC - SCENARIOS'!B12,0)</f>
        <v>50</v>
      </c>
      <c r="K5">
        <f>IFERROR('NWGC - SCENARIOS'!C12,0)</f>
        <v>2026</v>
      </c>
      <c r="L5" s="449">
        <f ca="1">IF(('NWGC - SCENARIOS'!G12-working!G3)&gt;'NWGC - SCENARIOS'!H12,'NWGC - SCENARIOS'!G12-'NWGC - SCENARIOS'!H12-working!G3,0)</f>
        <v>6851738.4963842463</v>
      </c>
      <c r="M5" s="449">
        <f ca="1">IF(('NWGC - SCENARIOS'!G12-working!G3)&gt;'NWGC - SCENARIOS'!H12,0,'NWGC - SCENARIOS'!H12-'NWGC - SCENARIOS'!G12+working!G3)</f>
        <v>0</v>
      </c>
      <c r="N5" s="58">
        <f t="shared" ca="1" si="0"/>
        <v>27713637.438309252</v>
      </c>
      <c r="O5" s="58">
        <f t="shared" ca="1" si="1"/>
        <v>67946134.695615754</v>
      </c>
      <c r="P5" s="58">
        <f t="shared" ref="P5:P36" si="24">S4</f>
        <v>1552499.9999999998</v>
      </c>
      <c r="Q5" s="58">
        <f ca="1">(VLOOKUP(P$2,$B$1:$F$32,5,0)*$L5)+(VLOOKUP($K5,'Withdrawal Working'!$AD:$AE,2,0)*(IFERROR(VLOOKUP(P$2,$B$35:$C$42,2,0),0)))</f>
        <v>0</v>
      </c>
      <c r="R5" s="58">
        <f ca="1">IFERROR(IF($K5&lt;VLOOKUP(P$2,$B:$H,7,0),IF(T$3=1,MIN($M5,P5),IF(HLOOKUP(CONCATENATE("Balance",T$3-1),'Withdrawal Working'!$A$2:$CD$78,MATCH('Yoy WAR OG'!$J5,'Withdrawal Working'!$A$2:$A$78,0),FALSE)&gt;0,MIN(HLOOKUP(CONCATENATE("Balance",T$3-1),'Withdrawal Working'!$A$2:$CD$78,MATCH('Yoy WAR OG'!$J5,'Withdrawal Working'!$A$2:$A$78,0),0),P5),0)),IF($K5=VLOOKUP(P$2,$B:$H,7,0),P5,)),0)</f>
        <v>0</v>
      </c>
      <c r="S5" s="58">
        <f ca="1">((P5-R5)*(1+(IFERROR(VLOOKUP(P$2,$B:$D,3,0),0))))+Q5</f>
        <v>1606837.4999999995</v>
      </c>
      <c r="T5" s="58"/>
      <c r="V5" s="58">
        <f>Y4</f>
        <v>0</v>
      </c>
      <c r="W5" s="58">
        <f ca="1">(VLOOKUP(V$2,$B$1:$F$32,5,0)*$L5)+(VLOOKUP($K5,'Withdrawal Working'!$AD:$AE,2,0)*(IFERROR(VLOOKUP(V$2,$B$35:$C$42,2,0),0)))</f>
        <v>0</v>
      </c>
      <c r="X5" s="58">
        <f ca="1">IFERROR(IF($K5&lt;VLOOKUP(V$2,$B:$H,7,0),IF(Z$3=1,MIN($M5,V5),IF(HLOOKUP(CONCATENATE("Balance",Z$3-1),'Withdrawal Working'!$A$2:$CD$78,MATCH('Yoy WAR OG'!$J5,'Withdrawal Working'!$A$2:$A$78,0),FALSE)&gt;0,MIN(HLOOKUP(CONCATENATE("Balance",Z$3-1),'Withdrawal Working'!$A$2:$CD$78,MATCH('Yoy WAR OG'!$J5,'Withdrawal Working'!$A$2:$A$78,0),0),V5),0)),IF($K5=VLOOKUP(V$2,$B:$H,7,0),V5,)),0)</f>
        <v>0</v>
      </c>
      <c r="Y5" s="58">
        <f t="shared" ca="1" si="2"/>
        <v>0</v>
      </c>
      <c r="AB5" s="58">
        <f>AE4</f>
        <v>286815.12000000005</v>
      </c>
      <c r="AC5" s="58">
        <f ca="1">(VLOOKUP(AB$2,$B$1:$F$32,5,0)*$L5)+(VLOOKUP($K5,'Withdrawal Working'!$AD:$AE,2,0)*(IFERROR(VLOOKUP(AB$2,$B$35:$C$42,2,0),0)))</f>
        <v>0</v>
      </c>
      <c r="AD5" s="58">
        <f ca="1">IFERROR(IF($K5&lt;VLOOKUP(AB$2,$B:$H,7,0),IF(AF$3=1,MIN($M5,AB5),IF(HLOOKUP(CONCATENATE("Balance",AF$3-1),'Withdrawal Working'!$A$2:$CD$78,MATCH('Yoy WAR OG'!$J5,'Withdrawal Working'!$A$2:$A$78,0),FALSE)&gt;0,MIN(HLOOKUP(CONCATENATE("Balance",AF$3-1),'Withdrawal Working'!$A$2:$CD$78,MATCH('Yoy WAR OG'!$J5,'Withdrawal Working'!$A$2:$A$78,0),0),AB5),0)),IF($K5=VLOOKUP(AB$2,$B:$H,7,0),AB5,)),0)</f>
        <v>0</v>
      </c>
      <c r="AE5" s="58">
        <f t="shared" ca="1" si="3"/>
        <v>318364.78320000006</v>
      </c>
      <c r="AH5" s="58">
        <f>AK4</f>
        <v>9874734.5700000003</v>
      </c>
      <c r="AI5" s="58">
        <f ca="1">(VLOOKUP(AH$2,$B$1:$F$32,5,0)*$L5)+IF(J5&gt;'NWGC - SCENARIOS'!$D$7,0,(VLOOKUP($K5,'Withdrawal Working'!$AD:$AE,2,0)*(IFERROR(VLOOKUP(AH$2,$B$35:$C$42,2,0),0))))</f>
        <v>4111043.0978305475</v>
      </c>
      <c r="AJ5" s="58">
        <f ca="1">IFERROR(IF($J5&gt;'NWGC - SCENARIOS'!$D$7,MIN('Yoy WAR OG'!AH5,VLOOKUP('Yoy WAR OG'!$J5,'Withdrawal Working'!BC:BD,2,0)),IF(AL$3=1,$M5,IF(HLOOKUP(CONCATENATE("Balance",AL$3-1),'Withdrawal Working'!$A$2:$CD$78,MATCH('Yoy WAR OG'!$J5,'Withdrawal Working'!$A$2:$A$78,0),FALSE)&gt;0,MIN(HLOOKUP(CONCATENATE("Balance",AL$3-1),'Withdrawal Working'!$A$2:$CD$78,MATCH('Yoy WAR OG'!$J5,'Withdrawal Working'!$A$2:$A$78,0),0),AH5),0))),0)</f>
        <v>0</v>
      </c>
      <c r="AK5" s="58">
        <f t="shared" ca="1" si="4"/>
        <v>15071998.470530549</v>
      </c>
      <c r="AN5" s="450">
        <f>AQ4</f>
        <v>2412713.6150000002</v>
      </c>
      <c r="AO5" s="58">
        <f ca="1">IF(J5&gt;'NWGC - SCENARIOS'!$D$7,(IF(AJ5=0,0,'Yoy WAR OG'!AJ5)+(VLOOKUP(AN$2,$B$1:$F$32,5,0)*$L5)),(VLOOKUP(AN$2,$B$1:$F$32,5,0)*$L5)+(VLOOKUP($K5,'Withdrawal Working'!$AD:$AE,2,0)*(IFERROR(VLOOKUP(AN$2,$B$35:$C$42,2,0),0))))</f>
        <v>2740695.3985536988</v>
      </c>
      <c r="AP5" s="470">
        <f ca="1">IFERROR(IF($K5&lt;&gt;VLOOKUP(AN$2,$B:$H,7,0),IF(AR$3=1,MIN($M5,AN5),IF(HLOOKUP(CONCATENATE("Balance",AR$3-1),'Withdrawal Working'!$A$2:$CD$78,MATCH('Yoy WAR OG'!$J5,'Withdrawal Working'!$A$2:$A$78,0),FALSE)&gt;0,MIN(HLOOKUP(CONCATENATE("Balance",AR$3-1),'Withdrawal Working'!$A$2:$CD$78,MATCH('Yoy WAR OG'!$J5,'Withdrawal Working'!$A$2:$A$78,0),0),AN5),0)),IF($K5=VLOOKUP(AN$2,$B:$H,7,0),AN5,)),0)</f>
        <v>0</v>
      </c>
      <c r="AQ5" s="58">
        <f ca="1">IF(AO5&lt;0,0,IF(J5&gt;'NWGC - SCENARIOS'!$D$7,((AN5-AP5+AO5)*(1+(IFERROR(VLOOKUP(AN$2,$B:$D,3,0),0)))),((AN5-AP5)*(1+(IFERROR(VLOOKUP(AN$2,$B:$D,3,0),0))))+AO5))</f>
        <v>5286108.2623786982</v>
      </c>
      <c r="AT5" s="450">
        <f>AW4</f>
        <v>1882715.58</v>
      </c>
      <c r="AU5" s="58">
        <f ca="1">(VLOOKUP(AT$2,$B$1:$F$32,5,0)*$L5)+(VLOOKUP($K5,'Withdrawal Working'!$AD:$AE,2,0)*(IFERROR(VLOOKUP(AT$2,$B$35:$C$42,2,0),0)))</f>
        <v>0</v>
      </c>
      <c r="AV5" s="58">
        <f ca="1">IFERROR(IF($K5&lt;VLOOKUP(AT$2,$B:$H,7,0),IF(AX$3=1,MIN($M5,AT5),IF(HLOOKUP(CONCATENATE("Balance",AX$3-1),'Withdrawal Working'!$A$2:$CD$78,MATCH('Yoy WAR OG'!$J5,'Withdrawal Working'!$A$2:$A$78,0),FALSE)&gt;0,MIN(HLOOKUP(CONCATENATE("Balance",AX$3-1),'Withdrawal Working'!$A$2:$CD$78,MATCH('Yoy WAR OG'!$J5,'Withdrawal Working'!$A$2:$A$78,0),0),AT5),0)),IF($K5=VLOOKUP(AT$2,$B:$H,7,0),AT5,)),0)</f>
        <v>0</v>
      </c>
      <c r="AW5" s="58">
        <f t="shared" ca="1" si="5"/>
        <v>2052159.9822000002</v>
      </c>
      <c r="AZ5" s="450">
        <f>BC4</f>
        <v>4280000</v>
      </c>
      <c r="BA5" s="58">
        <f ca="1">(VLOOKUP(AZ$2,$B$1:$F$32,5,0)*$L5)+(VLOOKUP($K5,'Withdrawal Working'!$AD:$AE,2,0)*(IFERROR(VLOOKUP(AZ$2,$B$35:$C$42,2,0),0)))</f>
        <v>0</v>
      </c>
      <c r="BB5" s="58">
        <f>IFERROR(IF($K5&lt;VLOOKUP(AZ$2,$B:$H,7,0),IF(BD$3=1,MIN($M5,AZ5),IF(HLOOKUP(CONCATENATE("Balance",BD$3-1),'Withdrawal Working'!$A$2:$CD$78,MATCH('Yoy WAR OG'!$J5,'Withdrawal Working'!$A$2:$A$78,0),FALSE)&gt;0,MIN(HLOOKUP(CONCATENATE("Balance",BD$3-1),'Withdrawal Working'!$A$2:$CD$78,MATCH('Yoy WAR OG'!$J5,'Withdrawal Working'!$A$2:$A$78,0),0),AZ5),0)),IF($K5=VLOOKUP(AZ$2,$B:$H,7,0),AZ5,)),0)</f>
        <v>0</v>
      </c>
      <c r="BC5" s="58">
        <f t="shared" ca="1" si="6"/>
        <v>4579600</v>
      </c>
      <c r="BF5" s="450">
        <f>BI4</f>
        <v>239193.00000000003</v>
      </c>
      <c r="BG5" s="58">
        <f ca="1">(VLOOKUP(BF$2,$B$1:$F$32,5,0)*$L5)+(VLOOKUP($K5,'Withdrawal Working'!$AD:$AE,2,0)*(IFERROR(VLOOKUP(BF$2,$B$35:$C$42,2,0),0)))</f>
        <v>0</v>
      </c>
      <c r="BH5" s="58">
        <f ca="1">IFERROR(IF($K5&lt;VLOOKUP(BF$2,$B:$H,7,0),IF(BJ$3=1,MIN($M5,BF5),IF(HLOOKUP(CONCATENATE("Balance",BJ$3-1),'Withdrawal Working'!$A$2:$CD$78,MATCH('Yoy WAR OG'!$J5,'Withdrawal Working'!$A$2:$A$78,0),FALSE)&gt;0,MIN(HLOOKUP(CONCATENATE("Balance",BJ$3-1),'Withdrawal Working'!$A$2:$CD$78,MATCH('Yoy WAR OG'!$J5,'Withdrawal Working'!$A$2:$A$78,0),0),BF5),0)),IF($K5=VLOOKUP(BF$2,$B:$H,7,0),BF5,)),0)</f>
        <v>0</v>
      </c>
      <c r="BI5" s="58">
        <f t="shared" ca="1" si="7"/>
        <v>258328.44000000006</v>
      </c>
      <c r="BL5" s="450">
        <f ca="1">BO4</f>
        <v>0</v>
      </c>
      <c r="BM5" s="58">
        <f ca="1">(VLOOKUP(BL$2,$B$1:$F$32,5,0)*$L5)+(VLOOKUP($K5,'Withdrawal Working'!$AD:$AE,2,0)*(IFERROR(VLOOKUP(BL$2,$B$35:$C$42,2,0),0)))</f>
        <v>0</v>
      </c>
      <c r="BN5" s="58">
        <f ca="1">IFERROR(IF($K5&lt;VLOOKUP(BL$2,$B:$H,7,0),IF(BP$3=1,MIN($M5,BL5),IF(HLOOKUP(CONCATENATE("Balance",BP$3-1),'Withdrawal Working'!$A$2:$CD$78,MATCH('Yoy WAR OG'!$J5,'Withdrawal Working'!$A$2:$A$78,0),FALSE)&gt;0,MIN(HLOOKUP(CONCATENATE("Balance",BP$3-1),'Withdrawal Working'!$A$2:$CD$78,MATCH('Yoy WAR OG'!$J5,'Withdrawal Working'!$A$2:$A$78,0),0),BL5),0)),IF($K5=VLOOKUP(BL$2,$B:$H,7,0),BL5,)),0)</f>
        <v>0</v>
      </c>
      <c r="BO5" s="58">
        <f t="shared" ca="1" si="8"/>
        <v>0</v>
      </c>
      <c r="BR5" s="450">
        <f ca="1">BU4</f>
        <v>2200000</v>
      </c>
      <c r="BS5" s="58">
        <f ca="1">(VLOOKUP(BR$2,$B$1:$F$32,5,0)*$L5)+(VLOOKUP($K5,'Withdrawal Working'!$AD:$AE,2,0)*(IFERROR(VLOOKUP(BR$2,$B$35:$C$42,2,0),0)))</f>
        <v>0</v>
      </c>
      <c r="BT5" s="58">
        <f ca="1">IFERROR(IF($K5&lt;VLOOKUP(BR$2,$B:$H,7,0),IF(BV$3=1,MIN($M5,BR5),IF(HLOOKUP(CONCATENATE("Balance",BV$3-1),'Withdrawal Working'!$A$2:$CD$78,MATCH('Yoy WAR OG'!$J5,'Withdrawal Working'!$A$2:$A$78,0),FALSE)&gt;0,MIN(HLOOKUP(CONCATENATE("Balance",BV$3-1),'Withdrawal Working'!$A$2:$CD$78,MATCH('Yoy WAR OG'!$J5,'Withdrawal Working'!$A$2:$A$78,0),0),BR5),0)),IF($K5=VLOOKUP(BR$2,$B:$H,7,0),BR5,)),0)</f>
        <v>0</v>
      </c>
      <c r="BU5" s="58">
        <f t="shared" ca="1" si="9"/>
        <v>2420000</v>
      </c>
      <c r="BX5" s="450">
        <f ca="1">CA4</f>
        <v>648000</v>
      </c>
      <c r="BY5" s="58">
        <f ca="1">(VLOOKUP(BX$2,$B$1:$F$32,5,0)*$L5)+(VLOOKUP($K5,'Withdrawal Working'!$AD:$AE,2,0)*(IFERROR(VLOOKUP(BX$2,$B$35:$C$42,2,0),0)))</f>
        <v>0</v>
      </c>
      <c r="BZ5" s="58">
        <f ca="1">IFERROR(IF($K5&lt;VLOOKUP(BX$2,$B:$H,7,0),IF(CB$3=1,MIN($M5,BX5),IF(HLOOKUP(CONCATENATE("Balance",CB$3-1),'Withdrawal Working'!$A$2:$CD$78,MATCH('Yoy WAR OG'!$J5,'Withdrawal Working'!$A$2:$A$78,0),FALSE)&gt;0,MIN(HLOOKUP(CONCATENATE("Balance",CB$3-1),'Withdrawal Working'!$A$2:$CD$78,MATCH('Yoy WAR OG'!$J5,'Withdrawal Working'!$A$2:$A$78,0),0),BX5),0)),IF($K5=VLOOKUP(BX$2,$B:$H,7,0),BX5,)),0)</f>
        <v>0</v>
      </c>
      <c r="CA5" s="58">
        <f t="shared" ca="1" si="10"/>
        <v>699840</v>
      </c>
      <c r="CD5" s="450">
        <f>CG4</f>
        <v>8755000</v>
      </c>
      <c r="CE5" s="58">
        <f ca="1">(VLOOKUP(CD$2,$B$1:$F$32,5,0)*$L5)+(VLOOKUP($K5,'Withdrawal Working'!$AD:$AE,2,0)*(IFERROR(VLOOKUP(CD$2,$B$35:$C$42,2,0),0)))+SUMIFS('Key Life Events'!$I$3:$I$28,'Key Life Events'!$H$3:$H$28,"House",'Key Life Events'!$E$3:$E$28,'Yoy WAR OG'!K5)</f>
        <v>0</v>
      </c>
      <c r="CF5" s="58">
        <f>IFERROR(IF($K5&lt;VLOOKUP(CD$2,$B:$H,7,0),IF(CH$3=1,MIN($M5,CD5),IF(HLOOKUP(CONCATENATE("Balance",CH$3-1),'Withdrawal Working'!$A$2:$CD$78,MATCH('Yoy WAR OG'!$J5,'Withdrawal Working'!$A$2:$A$78,0),FALSE)&gt;0,MIN(HLOOKUP(CONCATENATE("Balance",CH$3-1),'Withdrawal Working'!$A$2:$CD$78,MATCH('Yoy WAR OG'!$J5,'Withdrawal Working'!$A$2:$A$78,0),0),CD5),0)),IF($K5=VLOOKUP(CD$2,$B:$H,7,0),CD5,)),0)</f>
        <v>0</v>
      </c>
      <c r="CG5" s="58">
        <f t="shared" ca="1" si="11"/>
        <v>9017650</v>
      </c>
      <c r="CJ5" s="450">
        <f ca="1">CM4</f>
        <v>0</v>
      </c>
      <c r="CK5" s="58">
        <f ca="1">(VLOOKUP(CJ$2,$B$1:$F$32,5,0)*$L5)+(VLOOKUP($K5,'Withdrawal Working'!$AD:$AE,2,0)*(IFERROR(VLOOKUP(CJ$2,$B$35:$C$42,2,0),0)))+SUMIFS('Key Life Events'!$I$3:$I$28,'Key Life Events'!$H$3:$H$28,"House2",'Key Life Events'!$E$3:$E$28,'Yoy WAR OG'!K5)</f>
        <v>0</v>
      </c>
      <c r="CL5" s="58">
        <f ca="1">IF(IFERROR(IF($K5&lt;&gt;VLOOKUP(CJ$2,$B:$H,7,0),IF(CN$3=1,MIN($M5,CJ5),IF(HLOOKUP(CONCATENATE("Balance",CN$3-1),'Withdrawal Working'!$A$2:$CD$78,MATCH('Yoy WAR OG'!$J5,'Withdrawal Working'!$A$2:$A$78,0),FALSE)&gt;0,MIN(HLOOKUP(CONCATENATE("Balance",CN$3-1),'Withdrawal Working'!$A$2:$CD$78,MATCH('Yoy WAR OG'!$J5,'Withdrawal Working'!$A$2:$A$78,0),0),CJ5),0)),IF($K5=VLOOKUP(CJ$2,$B:$H,7,0),CJ5,)),0)&gt;0,CJ5,0)</f>
        <v>0</v>
      </c>
      <c r="CM5" s="58">
        <f t="shared" ca="1" si="12"/>
        <v>0</v>
      </c>
      <c r="CP5" s="450">
        <f>CS4</f>
        <v>2625000</v>
      </c>
      <c r="CQ5" s="58">
        <f ca="1">(VLOOKUP(CP$2,$B$1:$F$32,5,0)*$L5)+(VLOOKUP($K5,'Withdrawal Working'!$AD:$AE,2,0)*(IFERROR(VLOOKUP(CP$2,$B$35:$C$42,2,0),0)))+SUMIFS('Key Life Events'!$I$3:$I$28,'Key Life Events'!$H$3:$H$28,"Land",'Key Life Events'!$E$3:$E$28,'Yoy WAR OG'!K5)</f>
        <v>0</v>
      </c>
      <c r="CR5" s="58">
        <f>IFERROR(IF($K5&lt;VLOOKUP(CP$2,$B:$H,7,0),IF(CT$3=1,MIN($M5,CP5),IF(HLOOKUP(CONCATENATE("Balance",CT$3-1),'Withdrawal Working'!$A$2:$CD$78,MATCH('Yoy WAR OG'!$J5,'Withdrawal Working'!$A$2:$A$78,0),FALSE)&gt;0,MIN(HLOOKUP(CONCATENATE("Balance",CT$3-1),'Withdrawal Working'!$A$2:$CD$78,MATCH('Yoy WAR OG'!$J5,'Withdrawal Working'!$A$2:$A$78,0),0),CP5),0)),IF($K5=VLOOKUP(CP$2,$B:$H,7,0),CP5,)),0)</f>
        <v>0</v>
      </c>
      <c r="CS5" s="58">
        <f t="shared" ca="1" si="13"/>
        <v>2756250</v>
      </c>
      <c r="CV5" s="450">
        <f ca="1">CY4</f>
        <v>1664800</v>
      </c>
      <c r="CW5" s="58">
        <f t="shared" ref="CW5:CW9" si="25">$E$19</f>
        <v>150000</v>
      </c>
      <c r="CX5" s="58">
        <f ca="1">IFERROR(IF($K5&lt;VLOOKUP(CV$2,$B:$H,7,0),IF(CZ$3=1,MIN($M5,CV5),IF(HLOOKUP(CONCATENATE("Balance",CZ$3-1),'Withdrawal Working'!$A$2:$CD$78,MATCH('Yoy WAR OG'!$J5,'Withdrawal Working'!$A$2:$A$78,0),FALSE)&gt;0,MIN(HLOOKUP(CONCATENATE("Balance",CZ$3-1),'Withdrawal Working'!$A$2:$CD$78,MATCH('Yoy WAR OG'!$J5,'Withdrawal Working'!$A$2:$A$78,0),0),CV5),0)),IF($K5=VLOOKUP(CV$2,$B:$H,7,0),CV5,)),0)</f>
        <v>0</v>
      </c>
      <c r="CY5" s="58">
        <f t="shared" ca="1" si="14"/>
        <v>1951313.6</v>
      </c>
      <c r="DB5" s="450">
        <f ca="1">DE4</f>
        <v>0</v>
      </c>
      <c r="DC5" s="58">
        <f ca="1">(VLOOKUP(DB$2,$B$1:$F$32,5,0)*$L5)+(VLOOKUP($K5,'Withdrawal Working'!$AD:$AE,2,0)*(IFERROR(VLOOKUP(DB$2,$B$35:$C$42,2,0),0)))</f>
        <v>0</v>
      </c>
      <c r="DD5" s="58">
        <f ca="1">IFERROR(IF($K5&lt;VLOOKUP(DB$2,$B:$H,7,0),IF(DF$3=1,MIN($M5,DB5),IF(HLOOKUP(CONCATENATE("Balance",DF$3-1),'Withdrawal Working'!$A$2:$CD$78,MATCH('Yoy WAR OG'!$J5,'Withdrawal Working'!$A$2:$A$78,0),FALSE)&gt;0,MIN(HLOOKUP(CONCATENATE("Balance",DF$3-1),'Withdrawal Working'!$A$2:$CD$78,MATCH('Yoy WAR OG'!$J5,'Withdrawal Working'!$A$2:$A$78,0),0),DB5),0)),IF($K5=VLOOKUP(DB$2,$B:$H,7,0),DB5,)),0)</f>
        <v>0</v>
      </c>
      <c r="DE5" s="58">
        <f t="shared" ca="1" si="15"/>
        <v>0</v>
      </c>
      <c r="DH5" s="450">
        <f ca="1">DK4</f>
        <v>1680000.0000000002</v>
      </c>
      <c r="DI5" s="58">
        <f>IF(OR(J5&gt;'NWGC - SCENARIOS'!$D$7,J5='NWGC - SCENARIOS'!$D$7),0,DI4*(1+'NWGC - SCENARIOS'!$L$5))</f>
        <v>0</v>
      </c>
      <c r="DJ5" s="58">
        <f ca="1">IFERROR(IF($K5&lt;VLOOKUP(DH$2,$B:$H,7,0),IF(DL$3=1,MIN($M5,DH5),IF(HLOOKUP(CONCATENATE("Balance",DL$3-1),'Withdrawal Working'!$A$2:$CD$78,MATCH('Yoy WAR OG'!$J5,'Withdrawal Working'!$A$2:$A$78,0),FALSE)&gt;0,MIN(HLOOKUP(CONCATENATE("Balance",DL$3-1),'Withdrawal Working'!$A$2:$CD$78,MATCH('Yoy WAR OG'!$J5,'Withdrawal Working'!$A$2:$A$78,0),0),DH5),0)),IF($K5=VLOOKUP(DH$2,$B:$H,7,0),DH5,)),0)</f>
        <v>0</v>
      </c>
      <c r="DK5" s="58">
        <f t="shared" ca="1" si="16"/>
        <v>1881600.0000000005</v>
      </c>
      <c r="DN5" s="450">
        <f ca="1">DQ4</f>
        <v>0</v>
      </c>
      <c r="DO5" s="58">
        <f ca="1">(VLOOKUP(DN$2,$B$1:$F$32,5,0)*$L5)+(VLOOKUP($K5,'Withdrawal Working'!$AD:$AE,2,0)*(IFERROR(VLOOKUP(DN$2,$B$35:$C$42,2,0),0)))</f>
        <v>0</v>
      </c>
      <c r="DP5" s="58">
        <f ca="1">IFERROR(IF($K5&lt;VLOOKUP(DN$2,$B:$H,7,0),IF(DR$3=1,MIN($M5,DN5),IF(HLOOKUP(CONCATENATE("Balance",DR$3-1),'Withdrawal Working'!$A$2:$CD$78,MATCH('Yoy WAR OG'!$J5,'Withdrawal Working'!$A$2:$A$78,0),FALSE)&gt;0,MIN(HLOOKUP(CONCATENATE("Balance",DR$3-1),'Withdrawal Working'!$A$2:$CD$78,MATCH('Yoy WAR OG'!$J5,'Withdrawal Working'!$A$2:$A$78,0),0),DN5),0)),IF($K5=VLOOKUP(DN$2,$B:$H,7,0),DN5,)),0)</f>
        <v>0</v>
      </c>
      <c r="DQ5" s="58">
        <f t="shared" ca="1" si="17"/>
        <v>0</v>
      </c>
      <c r="DT5" s="450">
        <f ca="1">DW4</f>
        <v>0</v>
      </c>
      <c r="DU5" s="58">
        <f ca="1">(VLOOKUP(DT$2,$B$1:$F$32,5,0)*$L5)+(VLOOKUP($K5,'Withdrawal Working'!$AD:$AE,2,0)*(IFERROR(VLOOKUP(DT$2,$B$35:$C$42,2,0),0)))</f>
        <v>0</v>
      </c>
      <c r="DV5" s="58">
        <f ca="1">IFERROR(IF($K5&lt;VLOOKUP(DT$2,$B:$H,7,0),IF(DX$3=1,MIN($M5,DT5),IF(HLOOKUP(CONCATENATE("Balance",DX$3-1),'Withdrawal Working'!$A$2:$CD$78,MATCH('Yoy WAR OG'!$J5,'Withdrawal Working'!$A$2:$A$78,0),FALSE)&gt;0,MIN(HLOOKUP(CONCATENATE("Balance",DX$3-1),'Withdrawal Working'!$A$2:$CD$78,MATCH('Yoy WAR OG'!$J5,'Withdrawal Working'!$A$2:$A$78,0),0),DT5),0)),IF($K5=VLOOKUP(DT$2,$B:$H,7,0),DT5,)),0)</f>
        <v>0</v>
      </c>
      <c r="DW5" s="58">
        <f t="shared" ca="1" si="18"/>
        <v>0</v>
      </c>
      <c r="DZ5" s="450">
        <f ca="1">EC4</f>
        <v>0</v>
      </c>
      <c r="EA5" s="58">
        <f ca="1">(VLOOKUP(DZ$2,$B$1:$F$32,5,0)*$L5)+(VLOOKUP($K5,'Withdrawal Working'!$AD:$AE,2,0)*(IFERROR(VLOOKUP(DZ$2,$B$35:$C$42,2,0),0)))</f>
        <v>0</v>
      </c>
      <c r="EB5" s="58">
        <f ca="1">IFERROR(IF($K5&lt;VLOOKUP(DZ$2,$B:$H,7,0),IF(ED$3=1,MIN($M5,DZ5),IF(HLOOKUP(CONCATENATE("Balance",ED$3-1),'Withdrawal Working'!$A$2:$CD$78,MATCH('Yoy WAR OG'!$J5,'Withdrawal Working'!$A$2:$A$78,0),FALSE)&gt;0,MIN(HLOOKUP(CONCATENATE("Balance",ED$3-1),'Withdrawal Working'!$A$2:$CD$78,MATCH('Yoy WAR OG'!$J5,'Withdrawal Working'!$A$2:$A$78,0),0),DZ5),0)),IF($K5=VLOOKUP(DZ$2,$B:$H,7,0),DZ5,)),0)</f>
        <v>0</v>
      </c>
      <c r="EC5" s="58">
        <f t="shared" ca="1" si="19"/>
        <v>0</v>
      </c>
      <c r="EF5" s="450">
        <f ca="1">EI4</f>
        <v>0</v>
      </c>
      <c r="EG5" s="58">
        <f ca="1">(VLOOKUP(EF$2,$B$1:$F$32,5,0)*$L5)+(VLOOKUP($K5,'Withdrawal Working'!$AD:$AE,2,0)*(IFERROR(VLOOKUP(EF$2,$B$35:$C$42,2,0),0)))</f>
        <v>0</v>
      </c>
      <c r="EH5" s="58">
        <f ca="1">IFERROR(IF($K5&lt;VLOOKUP(EF$2,$B:$H,7,0),IF(EJ$3=1,MIN($M5,EF5),IF(HLOOKUP(CONCATENATE("Balance",EJ$3-1),'Withdrawal Working'!$A$2:$CD$78,MATCH('Yoy WAR OG'!$J5,'Withdrawal Working'!$A$2:$A$78,0),FALSE)&gt;0,MIN(HLOOKUP(CONCATENATE("Balance",EJ$3-1),'Withdrawal Working'!$A$2:$CD$78,MATCH('Yoy WAR OG'!$J5,'Withdrawal Working'!$A$2:$A$78,0),0),EF5),0)),IF($K5=VLOOKUP(EF$2,$B:$H,7,0),EF5,)),0)</f>
        <v>0</v>
      </c>
      <c r="EI5" s="58">
        <f t="shared" ca="1" si="20"/>
        <v>0</v>
      </c>
      <c r="EL5" s="450">
        <f ca="1">EO4</f>
        <v>3791400</v>
      </c>
      <c r="EM5" s="58">
        <f>IF(OR($J5&gt;'NWGC - SCENARIOS'!$D$7,$J5='NWGC - SCENARIOS'!$D$7),0,EM4)</f>
        <v>150000</v>
      </c>
      <c r="EN5" s="58">
        <f ca="1">IFERROR(IF($K5&lt;VLOOKUP(EL$2,$B:$H,7,0),IF(EP$3=1,MIN($M5,EL5),IF(HLOOKUP(CONCATENATE("Balance",EP$3-1),'Withdrawal Working'!$A$2:$CD$78,MATCH('Yoy WAR OG'!$J5,'Withdrawal Working'!$A$2:$A$78,0),FALSE)&gt;0,MIN(HLOOKUP(CONCATENATE("Balance",EP$3-1),'Withdrawal Working'!$A$2:$CD$78,MATCH('Yoy WAR OG'!$J5,'Withdrawal Working'!$A$2:$A$78,0),0),EL5),0)),IF($K5=VLOOKUP(EL$2,$B:$H,7,0),EL5,)),0)</f>
        <v>0</v>
      </c>
      <c r="EO5" s="58">
        <f t="shared" ca="1" si="21"/>
        <v>4210589.4000000004</v>
      </c>
      <c r="ER5" s="450">
        <f ca="1">EU4</f>
        <v>31060832</v>
      </c>
      <c r="ES5" s="58">
        <f>IF(OR(J5&gt;'NWGC - SCENARIOS'!$D$7,J5='NWGC - SCENARIOS'!$D$7),0,ES4*(1+'NWGC - SCENARIOS'!$L$5))</f>
        <v>1438617.3036157549</v>
      </c>
      <c r="ET5" s="58">
        <f ca="1">IFERROR(IF($K5&lt;VLOOKUP(ER$2,$B:$H,7,0),IF(EV$3=1,MIN($M5,ER5),IF(HLOOKUP(CONCATENATE("Balance",EV$3-1),'Withdrawal Working'!$A$2:$CD$78,MATCH('Yoy WAR OG'!$J5,'Withdrawal Working'!$A$2:$A$78,0),FALSE)&gt;0,MIN(HLOOKUP(CONCATENATE("Balance",EV$3-1),'Withdrawal Working'!$A$2:$CD$78,MATCH('Yoy WAR OG'!$J5,'Withdrawal Working'!$A$2:$A$78,0),0),ER5),0)),IF($K5=VLOOKUP(ER$2,$B:$H,7,0),ER5,)),0)</f>
        <v>0</v>
      </c>
      <c r="EU5" s="58">
        <f t="shared" ca="1" si="22"/>
        <v>35015376.695615754</v>
      </c>
      <c r="EX5" s="450">
        <f ca="1">FA4</f>
        <v>6903000</v>
      </c>
      <c r="EY5" s="58">
        <f>IF(OR(J5&gt;'NWGC - SCENARIOS'!$D$7,J5='NWGC - SCENARIOS'!$D$7),0,EY4)</f>
        <v>1044000</v>
      </c>
      <c r="EZ5" s="58">
        <f ca="1">IFERROR(IF($K5&lt;VLOOKUP(EX$2,$B:$H,7,0),IF(FB$3=1,MIN($M5,EX5),IF(HLOOKUP(CONCATENATE("Balance",FB$3-1),'Withdrawal Working'!$A$2:$CD$78,MATCH('Yoy WAR OG'!$J5,'Withdrawal Working'!$A$2:$A$78,0),FALSE)&gt;0,MIN(HLOOKUP(CONCATENATE("Balance",FB$3-1),'Withdrawal Working'!$A$2:$CD$78,MATCH('Yoy WAR OG'!$J5,'Withdrawal Working'!$A$2:$A$78,0),0),EX5),0)),IF($K5=VLOOKUP(EX$2,$B:$H,7,0),EX5,)),0)</f>
        <v>0</v>
      </c>
      <c r="FA5" s="58">
        <f t="shared" ca="1" si="23"/>
        <v>8533755</v>
      </c>
    </row>
    <row r="6" spans="1:197" x14ac:dyDescent="0.3">
      <c r="A6" t="s">
        <v>366</v>
      </c>
      <c r="B6" t="str">
        <f>Networth!B6</f>
        <v>Equity Stocks</v>
      </c>
      <c r="C6" s="58">
        <f>VLOOKUP('Yoy WAR OG'!B6,'WAR - Rev'!$A$1:$B$29,2,0)</f>
        <v>258392</v>
      </c>
      <c r="D6" s="313">
        <f>'WAR - Rev'!C4</f>
        <v>0.11</v>
      </c>
      <c r="E6" s="201"/>
      <c r="F6" s="201"/>
      <c r="G6" s="58">
        <v>7</v>
      </c>
      <c r="H6" s="452">
        <f>VLOOKUP('NWGC - SCENARIOS'!$D$7,'NWGC - SCENARIOS'!$B$11:$C$67,2,0)</f>
        <v>2031</v>
      </c>
      <c r="J6">
        <f>IFERROR('NWGC - SCENARIOS'!B13,0)</f>
        <v>51</v>
      </c>
      <c r="K6">
        <f>IFERROR('NWGC - SCENARIOS'!C13,0)</f>
        <v>2027</v>
      </c>
      <c r="L6" s="449">
        <f ca="1">IF(('NWGC - SCENARIOS'!G13-working!G4)&gt;'NWGC - SCENARIOS'!H13,'NWGC - SCENARIOS'!G13-'NWGC - SCENARIOS'!H13-working!G4,0)</f>
        <v>7304888.2220866419</v>
      </c>
      <c r="M6" s="449">
        <f ca="1">IF(('NWGC - SCENARIOS'!G13-working!G4)&gt;'NWGC - SCENARIOS'!H13,0,'NWGC - SCENARIOS'!H13-'NWGC - SCENARIOS'!G13+working!G4)</f>
        <v>0</v>
      </c>
      <c r="N6" s="58">
        <f t="shared" ca="1" si="0"/>
        <v>37561788.758835085</v>
      </c>
      <c r="O6" s="58">
        <f t="shared" ca="1" si="1"/>
        <v>75817631.307473987</v>
      </c>
      <c r="P6" s="58">
        <f t="shared" ca="1" si="24"/>
        <v>1606837.4999999995</v>
      </c>
      <c r="Q6" s="58">
        <f ca="1">(VLOOKUP(P$2,$B$1:$F$32,5,0)*$L6)+(VLOOKUP($K6,'Withdrawal Working'!$AD:$AE,2,0)*(IFERROR(VLOOKUP(P$2,$B$35:$C$42,2,0),0)))</f>
        <v>0</v>
      </c>
      <c r="R6" s="58">
        <f ca="1">IFERROR(IF($K6&lt;VLOOKUP(P$2,$B:$H,7,0),IF(T$3=1,MIN($M6,P6),IF(HLOOKUP(CONCATENATE("Balance",T$3-1),'Withdrawal Working'!$A$2:$CD$78,MATCH('Yoy WAR OG'!$J6,'Withdrawal Working'!$A$2:$A$78,0),FALSE)&gt;0,MIN(HLOOKUP(CONCATENATE("Balance",T$3-1),'Withdrawal Working'!$A$2:$CD$78,MATCH('Yoy WAR OG'!$J6,'Withdrawal Working'!$A$2:$A$78,0),0),P6),0)),IF($K6=VLOOKUP(P$2,$B:$H,7,0),P6,)),0)</f>
        <v>0</v>
      </c>
      <c r="S6" s="58">
        <f t="shared" ref="S6:S37" ca="1" si="26">((P6-R6)*(1+(IFERROR(VLOOKUP(P$2,B:D,3,0),0))))+Q6</f>
        <v>1663076.8124999993</v>
      </c>
      <c r="T6" s="58"/>
      <c r="V6" s="58">
        <f t="shared" ref="V6:V65" ca="1" si="27">Y5</f>
        <v>0</v>
      </c>
      <c r="W6" s="58">
        <f ca="1">(VLOOKUP(V$2,$B$1:$F$32,5,0)*$L6)+(VLOOKUP($K6,'Withdrawal Working'!$AD:$AE,2,0)*(IFERROR(VLOOKUP(V$2,$B$35:$C$42,2,0),0)))</f>
        <v>0</v>
      </c>
      <c r="X6" s="58">
        <f ca="1">IFERROR(IF($K6&lt;VLOOKUP(V$2,$B:$H,7,0),IF(Z$3=1,MIN($M6,V6),IF(HLOOKUP(CONCATENATE("Balance",Z$3-1),'Withdrawal Working'!$A$2:$CD$78,MATCH('Yoy WAR OG'!$J6,'Withdrawal Working'!$A$2:$A$78,0),FALSE)&gt;0,MIN(HLOOKUP(CONCATENATE("Balance",Z$3-1),'Withdrawal Working'!$A$2:$CD$78,MATCH('Yoy WAR OG'!$J6,'Withdrawal Working'!$A$2:$A$78,0),0),V6),0)),IF($K6=VLOOKUP(V$2,$B:$H,7,0),V6,)),0)</f>
        <v>0</v>
      </c>
      <c r="Y6" s="58">
        <f t="shared" ca="1" si="2"/>
        <v>0</v>
      </c>
      <c r="AB6" s="58">
        <f t="shared" ref="AB6:AB65" ca="1" si="28">AE5</f>
        <v>318364.78320000006</v>
      </c>
      <c r="AC6" s="58">
        <f ca="1">(VLOOKUP(AB$2,$B$1:$F$32,5,0)*$L6)+(VLOOKUP($K6,'Withdrawal Working'!$AD:$AE,2,0)*(IFERROR(VLOOKUP(AB$2,$B$35:$C$42,2,0),0)))</f>
        <v>0</v>
      </c>
      <c r="AD6" s="58">
        <f ca="1">IFERROR(IF($K6&lt;VLOOKUP(AB$2,$B:$H,7,0),IF(AF$3=1,MIN($M6,AB6),IF(HLOOKUP(CONCATENATE("Balance",AF$3-1),'Withdrawal Working'!$A$2:$CD$78,MATCH('Yoy WAR OG'!$J6,'Withdrawal Working'!$A$2:$A$78,0),FALSE)&gt;0,MIN(HLOOKUP(CONCATENATE("Balance",AF$3-1),'Withdrawal Working'!$A$2:$CD$78,MATCH('Yoy WAR OG'!$J6,'Withdrawal Working'!$A$2:$A$78,0),0),AB6),0)),IF($K6=VLOOKUP(AB$2,$B:$H,7,0),AB6,)),0)</f>
        <v>0</v>
      </c>
      <c r="AE6" s="58">
        <f t="shared" ca="1" si="3"/>
        <v>353384.9093520001</v>
      </c>
      <c r="AH6" s="58">
        <f t="shared" ref="AH6:AH65" ca="1" si="29">AK5</f>
        <v>15071998.470530549</v>
      </c>
      <c r="AI6" s="58">
        <f ca="1">(VLOOKUP(AH$2,$B$1:$F$32,5,0)*$L6)+IF(J6&gt;'NWGC - SCENARIOS'!$D$7,0,(VLOOKUP($K6,'Withdrawal Working'!$AD:$AE,2,0)*(IFERROR(VLOOKUP(AH$2,$B$35:$C$42,2,0),0))))</f>
        <v>4382932.9332519853</v>
      </c>
      <c r="AJ6" s="58">
        <f ca="1">IFERROR(IF($J6&gt;'NWGC - SCENARIOS'!$D$7,MIN('Yoy WAR OG'!AH6,VLOOKUP('Yoy WAR OG'!$J6,'Withdrawal Working'!BC:BD,2,0)),IF(AL$3=1,$M6,IF(HLOOKUP(CONCATENATE("Balance",AL$3-1),'Withdrawal Working'!$A$2:$CD$78,MATCH('Yoy WAR OG'!$J6,'Withdrawal Working'!$A$2:$A$78,0),FALSE)&gt;0,MIN(HLOOKUP(CONCATENATE("Balance",AL$3-1),'Withdrawal Working'!$A$2:$CD$78,MATCH('Yoy WAR OG'!$J6,'Withdrawal Working'!$A$2:$A$78,0),0),AH6),0))),0)</f>
        <v>0</v>
      </c>
      <c r="AK6" s="58">
        <f t="shared" ca="1" si="4"/>
        <v>21112851.235540897</v>
      </c>
      <c r="AN6" s="450">
        <f t="shared" ref="AN6:AN65" ca="1" si="30">AQ5</f>
        <v>5286108.2623786982</v>
      </c>
      <c r="AO6" s="58">
        <f ca="1">IF(J6&gt;'NWGC - SCENARIOS'!$D$7,(IF(AJ6=0,0,'Yoy WAR OG'!AJ6)+(VLOOKUP(AN$2,$B$1:$F$32,5,0)*$L6)),(VLOOKUP(AN$2,$B$1:$F$32,5,0)*$L6)+(VLOOKUP($K6,'Withdrawal Working'!$AD:$AE,2,0)*(IFERROR(VLOOKUP(AN$2,$B$35:$C$42,2,0),0))))</f>
        <v>2921955.2888346571</v>
      </c>
      <c r="AP6" s="470">
        <f ca="1">IFERROR(IF($K6&lt;&gt;VLOOKUP(AN$2,$B:$H,7,0),IF(AR$3=1,MIN($M6,AN6),IF(HLOOKUP(CONCATENATE("Balance",AR$3-1),'Withdrawal Working'!$A$2:$CD$78,MATCH('Yoy WAR OG'!$J6,'Withdrawal Working'!$A$2:$A$78,0),FALSE)&gt;0,MIN(HLOOKUP(CONCATENATE("Balance",AR$3-1),'Withdrawal Working'!$A$2:$CD$78,MATCH('Yoy WAR OG'!$J6,'Withdrawal Working'!$A$2:$A$78,0),0),AN6),0)),IF($K6=VLOOKUP(AN$2,$B:$H,7,0),AN6,)),0)</f>
        <v>0</v>
      </c>
      <c r="AQ6" s="58">
        <f ca="1">IF(AO6&lt;0,0,IF(J6&gt;'NWGC - SCENARIOS'!$D$7,((AN6-AP6+AO6)*(1+(IFERROR(VLOOKUP(AN$2,$B:$D,3,0),0)))),((AN6-AP6)*(1+(IFERROR(VLOOKUP(AN$2,$B:$D,3,0),0))))+AO6))</f>
        <v>8498799.5056441836</v>
      </c>
      <c r="AT6" s="450">
        <f t="shared" ref="AT6:AT65" ca="1" si="31">AW5</f>
        <v>2052159.9822000002</v>
      </c>
      <c r="AU6" s="58">
        <f ca="1">(VLOOKUP(AT$2,$B$1:$F$32,5,0)*$L6)+(VLOOKUP($K6,'Withdrawal Working'!$AD:$AE,2,0)*(IFERROR(VLOOKUP(AT$2,$B$35:$C$42,2,0),0)))</f>
        <v>0</v>
      </c>
      <c r="AV6" s="58">
        <f ca="1">IFERROR(IF($K6&lt;VLOOKUP(AT$2,$B:$H,7,0),IF(AX$3=1,MIN($M6,AT6),IF(HLOOKUP(CONCATENATE("Balance",AX$3-1),'Withdrawal Working'!$A$2:$CD$78,MATCH('Yoy WAR OG'!$J6,'Withdrawal Working'!$A$2:$A$78,0),FALSE)&gt;0,MIN(HLOOKUP(CONCATENATE("Balance",AX$3-1),'Withdrawal Working'!$A$2:$CD$78,MATCH('Yoy WAR OG'!$J6,'Withdrawal Working'!$A$2:$A$78,0),0),AT6),0)),IF($K6=VLOOKUP(AT$2,$B:$H,7,0),AT6,)),0)</f>
        <v>0</v>
      </c>
      <c r="AW6" s="58">
        <f t="shared" ca="1" si="5"/>
        <v>2236854.3805980003</v>
      </c>
      <c r="AZ6" s="450">
        <f t="shared" ref="AZ6:AZ65" ca="1" si="32">BC5</f>
        <v>4579600</v>
      </c>
      <c r="BA6" s="58">
        <f ca="1">(VLOOKUP(AZ$2,$B$1:$F$32,5,0)*$L6)+(VLOOKUP($K6,'Withdrawal Working'!$AD:$AE,2,0)*(IFERROR(VLOOKUP(AZ$2,$B$35:$C$42,2,0),0)))</f>
        <v>0</v>
      </c>
      <c r="BB6" s="58">
        <f>IFERROR(IF($K6&lt;VLOOKUP(AZ$2,$B:$H,7,0),IF(BD$3=1,MIN($M6,AZ6),IF(HLOOKUP(CONCATENATE("Balance",BD$3-1),'Withdrawal Working'!$A$2:$CD$78,MATCH('Yoy WAR OG'!$J6,'Withdrawal Working'!$A$2:$A$78,0),FALSE)&gt;0,MIN(HLOOKUP(CONCATENATE("Balance",BD$3-1),'Withdrawal Working'!$A$2:$CD$78,MATCH('Yoy WAR OG'!$J6,'Withdrawal Working'!$A$2:$A$78,0),0),AZ6),0)),IF($K6=VLOOKUP(AZ$2,$B:$H,7,0),AZ6,)),0)</f>
        <v>0</v>
      </c>
      <c r="BC6" s="58">
        <f t="shared" ca="1" si="6"/>
        <v>4900172</v>
      </c>
      <c r="BF6" s="450">
        <f t="shared" ref="BF6:BF65" ca="1" si="33">BI5</f>
        <v>258328.44000000006</v>
      </c>
      <c r="BG6" s="58">
        <f ca="1">(VLOOKUP(BF$2,$B$1:$F$32,5,0)*$L6)+(VLOOKUP($K6,'Withdrawal Working'!$AD:$AE,2,0)*(IFERROR(VLOOKUP(BF$2,$B$35:$C$42,2,0),0)))</f>
        <v>0</v>
      </c>
      <c r="BH6" s="58">
        <f ca="1">IFERROR(IF($K6&lt;VLOOKUP(BF$2,$B:$H,7,0),IF(BJ$3=1,MIN($M6,BF6),IF(HLOOKUP(CONCATENATE("Balance",BJ$3-1),'Withdrawal Working'!$A$2:$CD$78,MATCH('Yoy WAR OG'!$J6,'Withdrawal Working'!$A$2:$A$78,0),FALSE)&gt;0,MIN(HLOOKUP(CONCATENATE("Balance",BJ$3-1),'Withdrawal Working'!$A$2:$CD$78,MATCH('Yoy WAR OG'!$J6,'Withdrawal Working'!$A$2:$A$78,0),0),BF6),0)),IF($K6=VLOOKUP(BF$2,$B:$H,7,0),BF6,)),0)</f>
        <v>0</v>
      </c>
      <c r="BI6" s="58">
        <f t="shared" ca="1" si="7"/>
        <v>278994.71520000009</v>
      </c>
      <c r="BL6" s="450">
        <f t="shared" ref="BL6:BL65" ca="1" si="34">BO5</f>
        <v>0</v>
      </c>
      <c r="BM6" s="58">
        <f ca="1">(VLOOKUP(BL$2,$B$1:$F$32,5,0)*$L6)+(VLOOKUP($K6,'Withdrawal Working'!$AD:$AE,2,0)*(IFERROR(VLOOKUP(BL$2,$B$35:$C$42,2,0),0)))</f>
        <v>0</v>
      </c>
      <c r="BN6" s="58">
        <f ca="1">IFERROR(IF($K6&lt;VLOOKUP(BL$2,$B:$H,7,0),IF(BP$3=1,MIN($M6,BL6),IF(HLOOKUP(CONCATENATE("Balance",BP$3-1),'Withdrawal Working'!$A$2:$CD$78,MATCH('Yoy WAR OG'!$J6,'Withdrawal Working'!$A$2:$A$78,0),FALSE)&gt;0,MIN(HLOOKUP(CONCATENATE("Balance",BP$3-1),'Withdrawal Working'!$A$2:$CD$78,MATCH('Yoy WAR OG'!$J6,'Withdrawal Working'!$A$2:$A$78,0),0),BL6),0)),IF($K6=VLOOKUP(BL$2,$B:$H,7,0),BL6,)),0)</f>
        <v>0</v>
      </c>
      <c r="BO6" s="58">
        <f t="shared" ca="1" si="8"/>
        <v>0</v>
      </c>
      <c r="BR6" s="450">
        <f t="shared" ref="BR6:BR65" ca="1" si="35">BU5</f>
        <v>2420000</v>
      </c>
      <c r="BS6" s="58">
        <f ca="1">(VLOOKUP(BR$2,$B$1:$F$32,5,0)*$L6)+(VLOOKUP($K6,'Withdrawal Working'!$AD:$AE,2,0)*(IFERROR(VLOOKUP(BR$2,$B$35:$C$42,2,0),0)))</f>
        <v>0</v>
      </c>
      <c r="BT6" s="58">
        <f ca="1">IFERROR(IF($K6&lt;VLOOKUP(BR$2,$B:$H,7,0),IF(BV$3=1,MIN($M6,BR6),IF(HLOOKUP(CONCATENATE("Balance",BV$3-1),'Withdrawal Working'!$A$2:$CD$78,MATCH('Yoy WAR OG'!$J6,'Withdrawal Working'!$A$2:$A$78,0),FALSE)&gt;0,MIN(HLOOKUP(CONCATENATE("Balance",BV$3-1),'Withdrawal Working'!$A$2:$CD$78,MATCH('Yoy WAR OG'!$J6,'Withdrawal Working'!$A$2:$A$78,0),0),BR6),0)),IF($K6=VLOOKUP(BR$2,$B:$H,7,0),BR6,)),0)</f>
        <v>0</v>
      </c>
      <c r="BU6" s="58">
        <f t="shared" ca="1" si="9"/>
        <v>2662000</v>
      </c>
      <c r="BX6" s="450">
        <f t="shared" ref="BX6:BX65" ca="1" si="36">CA5</f>
        <v>699840</v>
      </c>
      <c r="BY6" s="58">
        <f ca="1">(VLOOKUP(BX$2,$B$1:$F$32,5,0)*$L6)+(VLOOKUP($K6,'Withdrawal Working'!$AD:$AE,2,0)*(IFERROR(VLOOKUP(BX$2,$B$35:$C$42,2,0),0)))</f>
        <v>0</v>
      </c>
      <c r="BZ6" s="58">
        <f ca="1">IFERROR(IF($K6&lt;VLOOKUP(BX$2,$B:$H,7,0),IF(CB$3=1,MIN($M6,BX6),IF(HLOOKUP(CONCATENATE("Balance",CB$3-1),'Withdrawal Working'!$A$2:$CD$78,MATCH('Yoy WAR OG'!$J6,'Withdrawal Working'!$A$2:$A$78,0),FALSE)&gt;0,MIN(HLOOKUP(CONCATENATE("Balance",CB$3-1),'Withdrawal Working'!$A$2:$CD$78,MATCH('Yoy WAR OG'!$J6,'Withdrawal Working'!$A$2:$A$78,0),0),BX6),0)),IF($K6=VLOOKUP(BX$2,$B:$H,7,0),BX6,)),0)</f>
        <v>0</v>
      </c>
      <c r="CA6" s="58">
        <f t="shared" ca="1" si="10"/>
        <v>755827.20000000007</v>
      </c>
      <c r="CD6" s="450">
        <f t="shared" ref="CD6:CD65" ca="1" si="37">CG5</f>
        <v>9017650</v>
      </c>
      <c r="CE6" s="58">
        <f ca="1">(VLOOKUP(CD$2,$B$1:$F$32,5,0)*$L6)+(VLOOKUP($K6,'Withdrawal Working'!$AD:$AE,2,0)*(IFERROR(VLOOKUP(CD$2,$B$35:$C$42,2,0),0)))+SUMIFS('Key Life Events'!$I$3:$I$28,'Key Life Events'!$H$3:$H$28,"House",'Key Life Events'!$E$3:$E$28,'Yoy WAR OG'!K6)</f>
        <v>0</v>
      </c>
      <c r="CF6" s="58">
        <f>IFERROR(IF($K6&lt;VLOOKUP(CD$2,$B:$H,7,0),IF(CH$3=1,MIN($M6,CD6),IF(HLOOKUP(CONCATENATE("Balance",CH$3-1),'Withdrawal Working'!$A$2:$CD$78,MATCH('Yoy WAR OG'!$J6,'Withdrawal Working'!$A$2:$A$78,0),FALSE)&gt;0,MIN(HLOOKUP(CONCATENATE("Balance",CH$3-1),'Withdrawal Working'!$A$2:$CD$78,MATCH('Yoy WAR OG'!$J6,'Withdrawal Working'!$A$2:$A$78,0),0),CD6),0)),IF($K6=VLOOKUP(CD$2,$B:$H,7,0),CD6,)),0)</f>
        <v>0</v>
      </c>
      <c r="CG6" s="58">
        <f t="shared" ca="1" si="11"/>
        <v>9288179.5</v>
      </c>
      <c r="CJ6" s="450">
        <f t="shared" ref="CJ6:CJ65" ca="1" si="38">CM5</f>
        <v>0</v>
      </c>
      <c r="CK6" s="58">
        <f ca="1">(VLOOKUP(CJ$2,$B$1:$F$32,5,0)*$L6)+(VLOOKUP($K6,'Withdrawal Working'!$AD:$AE,2,0)*(IFERROR(VLOOKUP(CJ$2,$B$35:$C$42,2,0),0)))+SUMIFS('Key Life Events'!$I$3:$I$28,'Key Life Events'!$H$3:$H$28,"House2",'Key Life Events'!$E$3:$E$28,'Yoy WAR OG'!K6)</f>
        <v>0</v>
      </c>
      <c r="CL6" s="58">
        <f ca="1">IF(IFERROR(IF($K6&lt;&gt;VLOOKUP(CJ$2,$B:$H,7,0),IF(CN$3=1,MIN($M6,CJ6),IF(HLOOKUP(CONCATENATE("Balance",CN$3-1),'Withdrawal Working'!$A$2:$CD$78,MATCH('Yoy WAR OG'!$J6,'Withdrawal Working'!$A$2:$A$78,0),FALSE)&gt;0,MIN(HLOOKUP(CONCATENATE("Balance",CN$3-1),'Withdrawal Working'!$A$2:$CD$78,MATCH('Yoy WAR OG'!$J6,'Withdrawal Working'!$A$2:$A$78,0),0),CJ6),0)),IF($K6=VLOOKUP(CJ$2,$B:$H,7,0),CJ6,)),0)&gt;0,CJ6,0)</f>
        <v>0</v>
      </c>
      <c r="CM6" s="58">
        <f t="shared" ca="1" si="12"/>
        <v>0</v>
      </c>
      <c r="CP6" s="450">
        <f t="shared" ref="CP6:CP65" ca="1" si="39">CS5</f>
        <v>2756250</v>
      </c>
      <c r="CQ6" s="58">
        <f ca="1">(VLOOKUP(CP$2,$B$1:$F$32,5,0)*$L6)+(VLOOKUP($K6,'Withdrawal Working'!$AD:$AE,2,0)*(IFERROR(VLOOKUP(CP$2,$B$35:$C$42,2,0),0)))+SUMIFS('Key Life Events'!$I$3:$I$28,'Key Life Events'!$H$3:$H$28,"Land",'Key Life Events'!$E$3:$E$28,'Yoy WAR OG'!K6)</f>
        <v>0</v>
      </c>
      <c r="CR6" s="58">
        <f>IFERROR(IF($K6&lt;VLOOKUP(CP$2,$B:$H,7,0),IF(CT$3=1,MIN($M6,CP6),IF(HLOOKUP(CONCATENATE("Balance",CT$3-1),'Withdrawal Working'!$A$2:$CD$78,MATCH('Yoy WAR OG'!$J6,'Withdrawal Working'!$A$2:$A$78,0),FALSE)&gt;0,MIN(HLOOKUP(CONCATENATE("Balance",CT$3-1),'Withdrawal Working'!$A$2:$CD$78,MATCH('Yoy WAR OG'!$J6,'Withdrawal Working'!$A$2:$A$78,0),0),CP6),0)),IF($K6=VLOOKUP(CP$2,$B:$H,7,0),CP6,)),0)</f>
        <v>0</v>
      </c>
      <c r="CS6" s="58">
        <f t="shared" ca="1" si="13"/>
        <v>2894062.5</v>
      </c>
      <c r="CV6" s="450">
        <f t="shared" ref="CV6:CV65" ca="1" si="40">CY5</f>
        <v>1951313.6</v>
      </c>
      <c r="CW6" s="58">
        <f t="shared" si="25"/>
        <v>150000</v>
      </c>
      <c r="CX6" s="58">
        <f ca="1">IFERROR(IF($K6&lt;VLOOKUP(CV$2,$B:$H,7,0),IF(CZ$3=1,MIN($M6,CV6),IF(HLOOKUP(CONCATENATE("Balance",CZ$3-1),'Withdrawal Working'!$A$2:$CD$78,MATCH('Yoy WAR OG'!$J6,'Withdrawal Working'!$A$2:$A$78,0),FALSE)&gt;0,MIN(HLOOKUP(CONCATENATE("Balance",CZ$3-1),'Withdrawal Working'!$A$2:$CD$78,MATCH('Yoy WAR OG'!$J6,'Withdrawal Working'!$A$2:$A$78,0),0),CV6),0)),IF($K6=VLOOKUP(CV$2,$B:$H,7,0),CV6,)),0)</f>
        <v>0</v>
      </c>
      <c r="CY6" s="58">
        <f t="shared" ca="1" si="14"/>
        <v>2261321.3152000001</v>
      </c>
      <c r="DB6" s="450">
        <f t="shared" ref="DB6:DB65" ca="1" si="41">DE5</f>
        <v>0</v>
      </c>
      <c r="DC6" s="58">
        <f ca="1">(VLOOKUP(DB$2,$B$1:$F$32,5,0)*$L6)+(VLOOKUP($K6,'Withdrawal Working'!$AD:$AE,2,0)*(IFERROR(VLOOKUP(DB$2,$B$35:$C$42,2,0),0)))</f>
        <v>0</v>
      </c>
      <c r="DD6" s="58">
        <f ca="1">IFERROR(IF($K6&lt;VLOOKUP(DB$2,$B:$H,7,0),IF(DF$3=1,MIN($M6,DB6),IF(HLOOKUP(CONCATENATE("Balance",DF$3-1),'Withdrawal Working'!$A$2:$CD$78,MATCH('Yoy WAR OG'!$J6,'Withdrawal Working'!$A$2:$A$78,0),FALSE)&gt;0,MIN(HLOOKUP(CONCATENATE("Balance",DF$3-1),'Withdrawal Working'!$A$2:$CD$78,MATCH('Yoy WAR OG'!$J6,'Withdrawal Working'!$A$2:$A$78,0),0),DB6),0)),IF($K6=VLOOKUP(DB$2,$B:$H,7,0),DB6,)),0)</f>
        <v>0</v>
      </c>
      <c r="DE6" s="58">
        <f t="shared" ca="1" si="15"/>
        <v>0</v>
      </c>
      <c r="DH6" s="450">
        <f t="shared" ref="DH6:DH65" ca="1" si="42">DK5</f>
        <v>1881600.0000000005</v>
      </c>
      <c r="DI6" s="58">
        <f>IF(OR(J6&gt;'NWGC - SCENARIOS'!$D$7,J6='NWGC - SCENARIOS'!$D$7),0,DI5*(1+'NWGC - SCENARIOS'!$L$5))</f>
        <v>0</v>
      </c>
      <c r="DJ6" s="58">
        <f ca="1">IFERROR(IF($K6&lt;VLOOKUP(DH$2,$B:$H,7,0),IF(DL$3=1,MIN($M6,DH6),IF(HLOOKUP(CONCATENATE("Balance",DL$3-1),'Withdrawal Working'!$A$2:$CD$78,MATCH('Yoy WAR OG'!$J6,'Withdrawal Working'!$A$2:$A$78,0),FALSE)&gt;0,MIN(HLOOKUP(CONCATENATE("Balance",DL$3-1),'Withdrawal Working'!$A$2:$CD$78,MATCH('Yoy WAR OG'!$J6,'Withdrawal Working'!$A$2:$A$78,0),0),DH6),0)),IF($K6=VLOOKUP(DH$2,$B:$H,7,0),DH6,)),0)</f>
        <v>0</v>
      </c>
      <c r="DK6" s="58">
        <f t="shared" ca="1" si="16"/>
        <v>2107392.0000000009</v>
      </c>
      <c r="DN6" s="450">
        <f t="shared" ref="DN6:DN65" ca="1" si="43">DQ5</f>
        <v>0</v>
      </c>
      <c r="DO6" s="58">
        <f ca="1">(VLOOKUP(DN$2,$B$1:$F$32,5,0)*$L6)+(VLOOKUP($K6,'Withdrawal Working'!$AD:$AE,2,0)*(IFERROR(VLOOKUP(DN$2,$B$35:$C$42,2,0),0)))</f>
        <v>0</v>
      </c>
      <c r="DP6" s="58">
        <f ca="1">IFERROR(IF($K6&lt;VLOOKUP(DN$2,$B:$H,7,0),IF(DR$3=1,MIN($M6,DN6),IF(HLOOKUP(CONCATENATE("Balance",DR$3-1),'Withdrawal Working'!$A$2:$CD$78,MATCH('Yoy WAR OG'!$J6,'Withdrawal Working'!$A$2:$A$78,0),FALSE)&gt;0,MIN(HLOOKUP(CONCATENATE("Balance",DR$3-1),'Withdrawal Working'!$A$2:$CD$78,MATCH('Yoy WAR OG'!$J6,'Withdrawal Working'!$A$2:$A$78,0),0),DN6),0)),IF($K6=VLOOKUP(DN$2,$B:$H,7,0),DN6,)),0)</f>
        <v>0</v>
      </c>
      <c r="DQ6" s="58">
        <f t="shared" ca="1" si="17"/>
        <v>0</v>
      </c>
      <c r="DT6" s="450">
        <f t="shared" ref="DT6:DT65" ca="1" si="44">DW5</f>
        <v>0</v>
      </c>
      <c r="DU6" s="58">
        <f ca="1">(VLOOKUP(DT$2,$B$1:$F$32,5,0)*$L6)+(VLOOKUP($K6,'Withdrawal Working'!$AD:$AE,2,0)*(IFERROR(VLOOKUP(DT$2,$B$35:$C$42,2,0),0)))</f>
        <v>0</v>
      </c>
      <c r="DV6" s="58">
        <f ca="1">IFERROR(IF($K6&lt;VLOOKUP(DT$2,$B:$H,7,0),IF(DX$3=1,MIN($M6,DT6),IF(HLOOKUP(CONCATENATE("Balance",DX$3-1),'Withdrawal Working'!$A$2:$CD$78,MATCH('Yoy WAR OG'!$J6,'Withdrawal Working'!$A$2:$A$78,0),FALSE)&gt;0,MIN(HLOOKUP(CONCATENATE("Balance",DX$3-1),'Withdrawal Working'!$A$2:$CD$78,MATCH('Yoy WAR OG'!$J6,'Withdrawal Working'!$A$2:$A$78,0),0),DT6),0)),IF($K6=VLOOKUP(DT$2,$B:$H,7,0),DT6,)),0)</f>
        <v>0</v>
      </c>
      <c r="DW6" s="58">
        <f t="shared" ca="1" si="18"/>
        <v>0</v>
      </c>
      <c r="DZ6" s="450">
        <f t="shared" ref="DZ6:DZ65" ca="1" si="45">EC5</f>
        <v>0</v>
      </c>
      <c r="EA6" s="58">
        <f ca="1">(VLOOKUP(DZ$2,$B$1:$F$32,5,0)*$L6)+(VLOOKUP($K6,'Withdrawal Working'!$AD:$AE,2,0)*(IFERROR(VLOOKUP(DZ$2,$B$35:$C$42,2,0),0)))</f>
        <v>0</v>
      </c>
      <c r="EB6" s="58">
        <f ca="1">IFERROR(IF($K6&lt;VLOOKUP(DZ$2,$B:$H,7,0),IF(ED$3=1,MIN($M6,DZ6),IF(HLOOKUP(CONCATENATE("Balance",ED$3-1),'Withdrawal Working'!$A$2:$CD$78,MATCH('Yoy WAR OG'!$J6,'Withdrawal Working'!$A$2:$A$78,0),FALSE)&gt;0,MIN(HLOOKUP(CONCATENATE("Balance",ED$3-1),'Withdrawal Working'!$A$2:$CD$78,MATCH('Yoy WAR OG'!$J6,'Withdrawal Working'!$A$2:$A$78,0),0),DZ6),0)),IF($K6=VLOOKUP(DZ$2,$B:$H,7,0),DZ6,)),0)</f>
        <v>0</v>
      </c>
      <c r="EC6" s="58">
        <f t="shared" ca="1" si="19"/>
        <v>0</v>
      </c>
      <c r="EF6" s="450">
        <f t="shared" ref="EF6:EF65" ca="1" si="46">EI5</f>
        <v>0</v>
      </c>
      <c r="EG6" s="58">
        <f ca="1">(VLOOKUP(EF$2,$B$1:$F$32,5,0)*$L6)+(VLOOKUP($K6,'Withdrawal Working'!$AD:$AE,2,0)*(IFERROR(VLOOKUP(EF$2,$B$35:$C$42,2,0),0)))</f>
        <v>0</v>
      </c>
      <c r="EH6" s="58">
        <f ca="1">IFERROR(IF($K6&lt;VLOOKUP(EF$2,$B:$H,7,0),IF(EJ$3=1,MIN($M6,EF6),IF(HLOOKUP(CONCATENATE("Balance",EJ$3-1),'Withdrawal Working'!$A$2:$CD$78,MATCH('Yoy WAR OG'!$J6,'Withdrawal Working'!$A$2:$A$78,0),FALSE)&gt;0,MIN(HLOOKUP(CONCATENATE("Balance",EJ$3-1),'Withdrawal Working'!$A$2:$CD$78,MATCH('Yoy WAR OG'!$J6,'Withdrawal Working'!$A$2:$A$78,0),0),EF6),0)),IF($K6=VLOOKUP(EF$2,$B:$H,7,0),EF6,)),0)</f>
        <v>0</v>
      </c>
      <c r="EI6" s="58">
        <f t="shared" ca="1" si="20"/>
        <v>0</v>
      </c>
      <c r="EL6" s="450">
        <f t="shared" ref="EL6:EL65" ca="1" si="47">EO5</f>
        <v>4210589.4000000004</v>
      </c>
      <c r="EM6" s="58">
        <f>IF(OR($J6&gt;'NWGC - SCENARIOS'!$D$7,$J6='NWGC - SCENARIOS'!$D$7),0,EM5)</f>
        <v>150000</v>
      </c>
      <c r="EN6" s="58">
        <f ca="1">IFERROR(IF($K6&lt;VLOOKUP(EL$2,$B:$H,7,0),IF(EP$3=1,MIN($M6,EL6),IF(HLOOKUP(CONCATENATE("Balance",EP$3-1),'Withdrawal Working'!$A$2:$CD$78,MATCH('Yoy WAR OG'!$J6,'Withdrawal Working'!$A$2:$A$78,0),FALSE)&gt;0,MIN(HLOOKUP(CONCATENATE("Balance",EP$3-1),'Withdrawal Working'!$A$2:$CD$78,MATCH('Yoy WAR OG'!$J6,'Withdrawal Working'!$A$2:$A$78,0),0),EL6),0)),IF($K6=VLOOKUP(EL$2,$B:$H,7,0),EL6,)),0)</f>
        <v>0</v>
      </c>
      <c r="EO6" s="58">
        <f t="shared" ca="1" si="21"/>
        <v>4659541.2473999998</v>
      </c>
      <c r="ER6" s="450">
        <f t="shared" ref="ER6:ER65" ca="1" si="48">EU5</f>
        <v>35015376.695615754</v>
      </c>
      <c r="ES6" s="58">
        <f>IF(OR(J6&gt;'NWGC - SCENARIOS'!$D$7,J6='NWGC - SCENARIOS'!$D$7),0,ES5*(1+'NWGC - SCENARIOS'!$L$5))</f>
        <v>1552216.3619133609</v>
      </c>
      <c r="ET6" s="58">
        <f ca="1">IFERROR(IF($K6&lt;VLOOKUP(ER$2,$B:$H,7,0),IF(EV$3=1,MIN($M6,ER6),IF(HLOOKUP(CONCATENATE("Balance",EV$3-1),'Withdrawal Working'!$A$2:$CD$78,MATCH('Yoy WAR OG'!$J6,'Withdrawal Working'!$A$2:$A$78,0),FALSE)&gt;0,MIN(HLOOKUP(CONCATENATE("Balance",EV$3-1),'Withdrawal Working'!$A$2:$CD$78,MATCH('Yoy WAR OG'!$J6,'Withdrawal Working'!$A$2:$A$78,0),0),ER6),0)),IF($K6=VLOOKUP(ER$2,$B:$H,7,0),ER6,)),0)</f>
        <v>0</v>
      </c>
      <c r="EU6" s="58">
        <f t="shared" ca="1" si="22"/>
        <v>39403838.569873989</v>
      </c>
      <c r="EX6" s="450">
        <f t="shared" ref="EX6:EX65" ca="1" si="49">FA5</f>
        <v>8533755</v>
      </c>
      <c r="EY6" s="58">
        <f>IF(OR(J6&gt;'NWGC - SCENARIOS'!$D$7,J6='NWGC - SCENARIOS'!$D$7),0,EY5)</f>
        <v>1044000</v>
      </c>
      <c r="EZ6" s="58">
        <f ca="1">IFERROR(IF($K6&lt;VLOOKUP(EX$2,$B:$H,7,0),IF(FB$3=1,MIN($M6,EX6),IF(HLOOKUP(CONCATENATE("Balance",FB$3-1),'Withdrawal Working'!$A$2:$CD$78,MATCH('Yoy WAR OG'!$J6,'Withdrawal Working'!$A$2:$A$78,0),FALSE)&gt;0,MIN(HLOOKUP(CONCATENATE("Balance",FB$3-1),'Withdrawal Working'!$A$2:$CD$78,MATCH('Yoy WAR OG'!$J6,'Withdrawal Working'!$A$2:$A$78,0),0),EX6),0)),IF($K6=VLOOKUP(EX$2,$B:$H,7,0),EX6,)),0)</f>
        <v>0</v>
      </c>
      <c r="FA6" s="58">
        <f t="shared" ca="1" si="23"/>
        <v>10303124.174999999</v>
      </c>
    </row>
    <row r="7" spans="1:197" x14ac:dyDescent="0.3">
      <c r="A7" t="s">
        <v>366</v>
      </c>
      <c r="B7" t="str">
        <f>Networth!B7</f>
        <v>Equity Mutual Funds</v>
      </c>
      <c r="C7" s="58">
        <f>VLOOKUP('Yoy WAR OG'!B7,'WAR - Rev'!$A$1:$B$29,2,0)</f>
        <v>5666347</v>
      </c>
      <c r="D7" s="313">
        <f>'WAR - Rev'!C5</f>
        <v>0.11</v>
      </c>
      <c r="E7" s="201"/>
      <c r="F7" s="201">
        <v>0.6</v>
      </c>
      <c r="G7" s="58">
        <v>6</v>
      </c>
      <c r="H7" s="452"/>
      <c r="J7">
        <f>IFERROR('NWGC - SCENARIOS'!B14,0)</f>
        <v>52</v>
      </c>
      <c r="K7">
        <f>IFERROR('NWGC - SCENARIOS'!C14,0)</f>
        <v>2028</v>
      </c>
      <c r="L7" s="449">
        <f ca="1">IF(('NWGC - SCENARIOS'!G14-working!G5)&gt;'NWGC - SCENARIOS'!H14,'NWGC - SCENARIOS'!G14-'NWGC - SCENARIOS'!H14-working!G5,0)</f>
        <v>8262430.6873792261</v>
      </c>
      <c r="M7" s="449">
        <f ca="1">IF(('NWGC - SCENARIOS'!G14-working!G5)&gt;'NWGC - SCENARIOS'!H14,0,'NWGC - SCENARIOS'!H14-'NWGC - SCENARIOS'!G14+working!G5)</f>
        <v>0</v>
      </c>
      <c r="N7" s="58">
        <f t="shared" ca="1" si="0"/>
        <v>49261449.730870277</v>
      </c>
      <c r="O7" s="58">
        <f t="shared" ca="1" si="1"/>
        <v>84439396.815609291</v>
      </c>
      <c r="P7" s="58">
        <f t="shared" ca="1" si="24"/>
        <v>1663076.8124999993</v>
      </c>
      <c r="Q7" s="58">
        <f ca="1">(VLOOKUP(P$2,$B$1:$F$32,5,0)*$L7)+(VLOOKUP($K7,'Withdrawal Working'!$AD:$AE,2,0)*(IFERROR(VLOOKUP(P$2,$B$35:$C$42,2,0),0)))</f>
        <v>0</v>
      </c>
      <c r="R7" s="58">
        <f ca="1">IFERROR(IF($K7&lt;VLOOKUP(P$2,$B:$H,7,0),IF(T$3=1,MIN($M7,P7),IF(HLOOKUP(CONCATENATE("Balance",T$3-1),'Withdrawal Working'!$A$2:$CD$78,MATCH('Yoy WAR OG'!$J7,'Withdrawal Working'!$A$2:$A$78,0),FALSE)&gt;0,MIN(HLOOKUP(CONCATENATE("Balance",T$3-1),'Withdrawal Working'!$A$2:$CD$78,MATCH('Yoy WAR OG'!$J7,'Withdrawal Working'!$A$2:$A$78,0),0),P7),0)),IF($K7=VLOOKUP(P$2,$B:$H,7,0),P7,)),0)</f>
        <v>0</v>
      </c>
      <c r="S7" s="58">
        <f t="shared" ca="1" si="26"/>
        <v>1721284.5009374991</v>
      </c>
      <c r="T7" s="58"/>
      <c r="V7" s="58">
        <f t="shared" ca="1" si="27"/>
        <v>0</v>
      </c>
      <c r="W7" s="58">
        <f ca="1">(VLOOKUP(V$2,$B$1:$F$32,5,0)*$L7)+(VLOOKUP($K7,'Withdrawal Working'!$AD:$AE,2,0)*(IFERROR(VLOOKUP(V$2,$B$35:$C$42,2,0),0)))</f>
        <v>0</v>
      </c>
      <c r="X7" s="58">
        <f ca="1">IFERROR(IF($K7&lt;VLOOKUP(V$2,$B:$H,7,0),IF(Z$3=1,MIN($M7,V7),IF(HLOOKUP(CONCATENATE("Balance",Z$3-1),'Withdrawal Working'!$A$2:$CD$78,MATCH('Yoy WAR OG'!$J7,'Withdrawal Working'!$A$2:$A$78,0),FALSE)&gt;0,MIN(HLOOKUP(CONCATENATE("Balance",Z$3-1),'Withdrawal Working'!$A$2:$CD$78,MATCH('Yoy WAR OG'!$J7,'Withdrawal Working'!$A$2:$A$78,0),0),V7),0)),IF($K7=VLOOKUP(V$2,$B:$H,7,0),V7,)),0)</f>
        <v>0</v>
      </c>
      <c r="Y7" s="58">
        <f t="shared" ca="1" si="2"/>
        <v>0</v>
      </c>
      <c r="AB7" s="58">
        <f t="shared" ca="1" si="28"/>
        <v>353384.9093520001</v>
      </c>
      <c r="AC7" s="58">
        <f ca="1">(VLOOKUP(AB$2,$B$1:$F$32,5,0)*$L7)+(VLOOKUP($K7,'Withdrawal Working'!$AD:$AE,2,0)*(IFERROR(VLOOKUP(AB$2,$B$35:$C$42,2,0),0)))</f>
        <v>0</v>
      </c>
      <c r="AD7" s="58">
        <f ca="1">IFERROR(IF($K7&lt;VLOOKUP(AB$2,$B:$H,7,0),IF(AF$3=1,MIN($M7,AB7),IF(HLOOKUP(CONCATENATE("Balance",AF$3-1),'Withdrawal Working'!$A$2:$CD$78,MATCH('Yoy WAR OG'!$J7,'Withdrawal Working'!$A$2:$A$78,0),FALSE)&gt;0,MIN(HLOOKUP(CONCATENATE("Balance",AF$3-1),'Withdrawal Working'!$A$2:$CD$78,MATCH('Yoy WAR OG'!$J7,'Withdrawal Working'!$A$2:$A$78,0),0),AB7),0)),IF($K7=VLOOKUP(AB$2,$B:$H,7,0),AB7,)),0)</f>
        <v>0</v>
      </c>
      <c r="AE7" s="58">
        <f t="shared" ca="1" si="3"/>
        <v>392257.24938072014</v>
      </c>
      <c r="AH7" s="58">
        <f t="shared" ca="1" si="29"/>
        <v>21112851.235540897</v>
      </c>
      <c r="AI7" s="58">
        <f ca="1">(VLOOKUP(AH$2,$B$1:$F$32,5,0)*$L7)+IF(J7&gt;'NWGC - SCENARIOS'!$D$7,0,(VLOOKUP($K7,'Withdrawal Working'!$AD:$AE,2,0)*(IFERROR(VLOOKUP(AH$2,$B$35:$C$42,2,0),0))))</f>
        <v>4957458.4124275353</v>
      </c>
      <c r="AJ7" s="58">
        <f ca="1">IFERROR(IF($J7&gt;'NWGC - SCENARIOS'!$D$7,MIN('Yoy WAR OG'!AH7,VLOOKUP('Yoy WAR OG'!$J7,'Withdrawal Working'!BC:BD,2,0)),IF(AL$3=1,$M7,IF(HLOOKUP(CONCATENATE("Balance",AL$3-1),'Withdrawal Working'!$A$2:$CD$78,MATCH('Yoy WAR OG'!$J7,'Withdrawal Working'!$A$2:$A$78,0),FALSE)&gt;0,MIN(HLOOKUP(CONCATENATE("Balance",AL$3-1),'Withdrawal Working'!$A$2:$CD$78,MATCH('Yoy WAR OG'!$J7,'Withdrawal Working'!$A$2:$A$78,0),0),AH7),0))),0)</f>
        <v>0</v>
      </c>
      <c r="AK7" s="58">
        <f t="shared" ca="1" si="4"/>
        <v>28392723.283877932</v>
      </c>
      <c r="AN7" s="450">
        <f t="shared" ca="1" si="30"/>
        <v>8498799.5056441836</v>
      </c>
      <c r="AO7" s="58">
        <f ca="1">IF(J7&gt;'NWGC - SCENARIOS'!$D$7,(IF(AJ7=0,0,'Yoy WAR OG'!AJ7)+(VLOOKUP(AN$2,$B$1:$F$32,5,0)*$L7)),(VLOOKUP(AN$2,$B$1:$F$32,5,0)*$L7)+(VLOOKUP($K7,'Withdrawal Working'!$AD:$AE,2,0)*(IFERROR(VLOOKUP(AN$2,$B$35:$C$42,2,0),0))))</f>
        <v>3304972.2749516908</v>
      </c>
      <c r="AP7" s="470">
        <f ca="1">IFERROR(IF($K7&lt;&gt;VLOOKUP(AN$2,$B:$H,7,0),IF(AR$3=1,MIN($M7,AN7),IF(HLOOKUP(CONCATENATE("Balance",AR$3-1),'Withdrawal Working'!$A$2:$CD$78,MATCH('Yoy WAR OG'!$J7,'Withdrawal Working'!$A$2:$A$78,0),FALSE)&gt;0,MIN(HLOOKUP(CONCATENATE("Balance",AR$3-1),'Withdrawal Working'!$A$2:$CD$78,MATCH('Yoy WAR OG'!$J7,'Withdrawal Working'!$A$2:$A$78,0),0),AN7),0)),IF($K7=VLOOKUP(AN$2,$B:$H,7,0),AN7,)),0)</f>
        <v>0</v>
      </c>
      <c r="AQ7" s="58">
        <f ca="1">IF(AO7&lt;0,0,IF(J7&gt;'NWGC - SCENARIOS'!$D$7,((AN7-AP7+AO7)*(1+(IFERROR(VLOOKUP(AN$2,$B:$D,3,0),0)))),((AN7-AP7)*(1+(IFERROR(VLOOKUP(AN$2,$B:$D,3,0),0))))+AO7))</f>
        <v>12271205.753406305</v>
      </c>
      <c r="AT7" s="450">
        <f t="shared" ca="1" si="31"/>
        <v>2236854.3805980003</v>
      </c>
      <c r="AU7" s="58">
        <f ca="1">(VLOOKUP(AT$2,$B$1:$F$32,5,0)*$L7)+(VLOOKUP($K7,'Withdrawal Working'!$AD:$AE,2,0)*(IFERROR(VLOOKUP(AT$2,$B$35:$C$42,2,0),0)))</f>
        <v>0</v>
      </c>
      <c r="AV7" s="58">
        <f ca="1">IFERROR(IF($K7&lt;VLOOKUP(AT$2,$B:$H,7,0),IF(AX$3=1,MIN($M7,AT7),IF(HLOOKUP(CONCATENATE("Balance",AX$3-1),'Withdrawal Working'!$A$2:$CD$78,MATCH('Yoy WAR OG'!$J7,'Withdrawal Working'!$A$2:$A$78,0),FALSE)&gt;0,MIN(HLOOKUP(CONCATENATE("Balance",AX$3-1),'Withdrawal Working'!$A$2:$CD$78,MATCH('Yoy WAR OG'!$J7,'Withdrawal Working'!$A$2:$A$78,0),0),AT7),0)),IF($K7=VLOOKUP(AT$2,$B:$H,7,0),AT7,)),0)</f>
        <v>0</v>
      </c>
      <c r="AW7" s="58">
        <f t="shared" ca="1" si="5"/>
        <v>2438171.2748518204</v>
      </c>
      <c r="AZ7" s="450">
        <f t="shared" ca="1" si="32"/>
        <v>4900172</v>
      </c>
      <c r="BA7" s="58">
        <f ca="1">(VLOOKUP(AZ$2,$B$1:$F$32,5,0)*$L7)+(VLOOKUP($K7,'Withdrawal Working'!$AD:$AE,2,0)*(IFERROR(VLOOKUP(AZ$2,$B$35:$C$42,2,0),0)))</f>
        <v>0</v>
      </c>
      <c r="BB7" s="58">
        <f>IFERROR(IF($K7&lt;VLOOKUP(AZ$2,$B:$H,7,0),IF(BD$3=1,MIN($M7,AZ7),IF(HLOOKUP(CONCATENATE("Balance",BD$3-1),'Withdrawal Working'!$A$2:$CD$78,MATCH('Yoy WAR OG'!$J7,'Withdrawal Working'!$A$2:$A$78,0),FALSE)&gt;0,MIN(HLOOKUP(CONCATENATE("Balance",BD$3-1),'Withdrawal Working'!$A$2:$CD$78,MATCH('Yoy WAR OG'!$J7,'Withdrawal Working'!$A$2:$A$78,0),0),AZ7),0)),IF($K7=VLOOKUP(AZ$2,$B:$H,7,0),AZ7,)),0)</f>
        <v>0</v>
      </c>
      <c r="BC7" s="58">
        <f t="shared" ca="1" si="6"/>
        <v>5243184.04</v>
      </c>
      <c r="BF7" s="450">
        <f t="shared" ca="1" si="33"/>
        <v>278994.71520000009</v>
      </c>
      <c r="BG7" s="58">
        <f ca="1">(VLOOKUP(BF$2,$B$1:$F$32,5,0)*$L7)+(VLOOKUP($K7,'Withdrawal Working'!$AD:$AE,2,0)*(IFERROR(VLOOKUP(BF$2,$B$35:$C$42,2,0),0)))</f>
        <v>0</v>
      </c>
      <c r="BH7" s="58">
        <f ca="1">IFERROR(IF($K7&lt;VLOOKUP(BF$2,$B:$H,7,0),IF(BJ$3=1,MIN($M7,BF7),IF(HLOOKUP(CONCATENATE("Balance",BJ$3-1),'Withdrawal Working'!$A$2:$CD$78,MATCH('Yoy WAR OG'!$J7,'Withdrawal Working'!$A$2:$A$78,0),FALSE)&gt;0,MIN(HLOOKUP(CONCATENATE("Balance",BJ$3-1),'Withdrawal Working'!$A$2:$CD$78,MATCH('Yoy WAR OG'!$J7,'Withdrawal Working'!$A$2:$A$78,0),0),BF7),0)),IF($K7=VLOOKUP(BF$2,$B:$H,7,0),BF7,)),0)</f>
        <v>0</v>
      </c>
      <c r="BI7" s="58">
        <f t="shared" ca="1" si="7"/>
        <v>301314.2924160001</v>
      </c>
      <c r="BL7" s="450">
        <f t="shared" ca="1" si="34"/>
        <v>0</v>
      </c>
      <c r="BM7" s="58">
        <f ca="1">(VLOOKUP(BL$2,$B$1:$F$32,5,0)*$L7)+(VLOOKUP($K7,'Withdrawal Working'!$AD:$AE,2,0)*(IFERROR(VLOOKUP(BL$2,$B$35:$C$42,2,0),0)))</f>
        <v>0</v>
      </c>
      <c r="BN7" s="58">
        <f ca="1">IFERROR(IF($K7&lt;VLOOKUP(BL$2,$B:$H,7,0),IF(BP$3=1,MIN($M7,BL7),IF(HLOOKUP(CONCATENATE("Balance",BP$3-1),'Withdrawal Working'!$A$2:$CD$78,MATCH('Yoy WAR OG'!$J7,'Withdrawal Working'!$A$2:$A$78,0),FALSE)&gt;0,MIN(HLOOKUP(CONCATENATE("Balance",BP$3-1),'Withdrawal Working'!$A$2:$CD$78,MATCH('Yoy WAR OG'!$J7,'Withdrawal Working'!$A$2:$A$78,0),0),BL7),0)),IF($K7=VLOOKUP(BL$2,$B:$H,7,0),BL7,)),0)</f>
        <v>0</v>
      </c>
      <c r="BO7" s="58">
        <f t="shared" ca="1" si="8"/>
        <v>0</v>
      </c>
      <c r="BR7" s="450">
        <f t="shared" ca="1" si="35"/>
        <v>2662000</v>
      </c>
      <c r="BS7" s="58">
        <f ca="1">(VLOOKUP(BR$2,$B$1:$F$32,5,0)*$L7)+(VLOOKUP($K7,'Withdrawal Working'!$AD:$AE,2,0)*(IFERROR(VLOOKUP(BR$2,$B$35:$C$42,2,0),0)))</f>
        <v>0</v>
      </c>
      <c r="BT7" s="58">
        <f ca="1">IFERROR(IF($K7&lt;VLOOKUP(BR$2,$B:$H,7,0),IF(BV$3=1,MIN($M7,BR7),IF(HLOOKUP(CONCATENATE("Balance",BV$3-1),'Withdrawal Working'!$A$2:$CD$78,MATCH('Yoy WAR OG'!$J7,'Withdrawal Working'!$A$2:$A$78,0),FALSE)&gt;0,MIN(HLOOKUP(CONCATENATE("Balance",BV$3-1),'Withdrawal Working'!$A$2:$CD$78,MATCH('Yoy WAR OG'!$J7,'Withdrawal Working'!$A$2:$A$78,0),0),BR7),0)),IF($K7=VLOOKUP(BR$2,$B:$H,7,0),BR7,)),0)</f>
        <v>0</v>
      </c>
      <c r="BU7" s="58">
        <f t="shared" ca="1" si="9"/>
        <v>2928200.0000000005</v>
      </c>
      <c r="BX7" s="450">
        <f t="shared" ca="1" si="36"/>
        <v>755827.20000000007</v>
      </c>
      <c r="BY7" s="58">
        <f ca="1">(VLOOKUP(BX$2,$B$1:$F$32,5,0)*$L7)+(VLOOKUP($K7,'Withdrawal Working'!$AD:$AE,2,0)*(IFERROR(VLOOKUP(BX$2,$B$35:$C$42,2,0),0)))</f>
        <v>0</v>
      </c>
      <c r="BZ7" s="58">
        <f ca="1">IFERROR(IF($K7&lt;VLOOKUP(BX$2,$B:$H,7,0),IF(CB$3=1,MIN($M7,BX7),IF(HLOOKUP(CONCATENATE("Balance",CB$3-1),'Withdrawal Working'!$A$2:$CD$78,MATCH('Yoy WAR OG'!$J7,'Withdrawal Working'!$A$2:$A$78,0),FALSE)&gt;0,MIN(HLOOKUP(CONCATENATE("Balance",CB$3-1),'Withdrawal Working'!$A$2:$CD$78,MATCH('Yoy WAR OG'!$J7,'Withdrawal Working'!$A$2:$A$78,0),0),BX7),0)),IF($K7=VLOOKUP(BX$2,$B:$H,7,0),BX7,)),0)</f>
        <v>0</v>
      </c>
      <c r="CA7" s="58">
        <f t="shared" ca="1" si="10"/>
        <v>816293.37600000016</v>
      </c>
      <c r="CD7" s="450">
        <f t="shared" ca="1" si="37"/>
        <v>9288179.5</v>
      </c>
      <c r="CE7" s="58">
        <f ca="1">(VLOOKUP(CD$2,$B$1:$F$32,5,0)*$L7)+(VLOOKUP($K7,'Withdrawal Working'!$AD:$AE,2,0)*(IFERROR(VLOOKUP(CD$2,$B$35:$C$42,2,0),0)))+SUMIFS('Key Life Events'!$I$3:$I$28,'Key Life Events'!$H$3:$H$28,"House",'Key Life Events'!$E$3:$E$28,'Yoy WAR OG'!K7)</f>
        <v>0</v>
      </c>
      <c r="CF7" s="58">
        <f>IFERROR(IF($K7&lt;VLOOKUP(CD$2,$B:$H,7,0),IF(CH$3=1,MIN($M7,CD7),IF(HLOOKUP(CONCATENATE("Balance",CH$3-1),'Withdrawal Working'!$A$2:$CD$78,MATCH('Yoy WAR OG'!$J7,'Withdrawal Working'!$A$2:$A$78,0),FALSE)&gt;0,MIN(HLOOKUP(CONCATENATE("Balance",CH$3-1),'Withdrawal Working'!$A$2:$CD$78,MATCH('Yoy WAR OG'!$J7,'Withdrawal Working'!$A$2:$A$78,0),0),CD7),0)),IF($K7=VLOOKUP(CD$2,$B:$H,7,0),CD7,)),0)</f>
        <v>0</v>
      </c>
      <c r="CG7" s="58">
        <f t="shared" ca="1" si="11"/>
        <v>9566824.8849999998</v>
      </c>
      <c r="CJ7" s="450">
        <f t="shared" ca="1" si="38"/>
        <v>0</v>
      </c>
      <c r="CK7" s="58">
        <f ca="1">(VLOOKUP(CJ$2,$B$1:$F$32,5,0)*$L7)+(VLOOKUP($K7,'Withdrawal Working'!$AD:$AE,2,0)*(IFERROR(VLOOKUP(CJ$2,$B$35:$C$42,2,0),0)))+SUMIFS('Key Life Events'!$I$3:$I$28,'Key Life Events'!$H$3:$H$28,"House2",'Key Life Events'!$E$3:$E$28,'Yoy WAR OG'!K7)</f>
        <v>0</v>
      </c>
      <c r="CL7" s="58">
        <f ca="1">IF(IFERROR(IF($K7&lt;&gt;VLOOKUP(CJ$2,$B:$H,7,0),IF(CN$3=1,MIN($M7,CJ7),IF(HLOOKUP(CONCATENATE("Balance",CN$3-1),'Withdrawal Working'!$A$2:$CD$78,MATCH('Yoy WAR OG'!$J7,'Withdrawal Working'!$A$2:$A$78,0),FALSE)&gt;0,MIN(HLOOKUP(CONCATENATE("Balance",CN$3-1),'Withdrawal Working'!$A$2:$CD$78,MATCH('Yoy WAR OG'!$J7,'Withdrawal Working'!$A$2:$A$78,0),0),CJ7),0)),IF($K7=VLOOKUP(CJ$2,$B:$H,7,0),CJ7,)),0)&gt;0,CJ7,0)</f>
        <v>0</v>
      </c>
      <c r="CM7" s="58">
        <f t="shared" ca="1" si="12"/>
        <v>0</v>
      </c>
      <c r="CP7" s="450">
        <f t="shared" ca="1" si="39"/>
        <v>2894062.5</v>
      </c>
      <c r="CQ7" s="58">
        <f ca="1">(VLOOKUP(CP$2,$B$1:$F$32,5,0)*$L7)+(VLOOKUP($K7,'Withdrawal Working'!$AD:$AE,2,0)*(IFERROR(VLOOKUP(CP$2,$B$35:$C$42,2,0),0)))+SUMIFS('Key Life Events'!$I$3:$I$28,'Key Life Events'!$H$3:$H$28,"Land",'Key Life Events'!$E$3:$E$28,'Yoy WAR OG'!K7)</f>
        <v>0</v>
      </c>
      <c r="CR7" s="58">
        <f>IFERROR(IF($K7&lt;VLOOKUP(CP$2,$B:$H,7,0),IF(CT$3=1,MIN($M7,CP7),IF(HLOOKUP(CONCATENATE("Balance",CT$3-1),'Withdrawal Working'!$A$2:$CD$78,MATCH('Yoy WAR OG'!$J7,'Withdrawal Working'!$A$2:$A$78,0),FALSE)&gt;0,MIN(HLOOKUP(CONCATENATE("Balance",CT$3-1),'Withdrawal Working'!$A$2:$CD$78,MATCH('Yoy WAR OG'!$J7,'Withdrawal Working'!$A$2:$A$78,0),0),CP7),0)),IF($K7=VLOOKUP(CP$2,$B:$H,7,0),CP7,)),0)</f>
        <v>0</v>
      </c>
      <c r="CS7" s="58">
        <f t="shared" ca="1" si="13"/>
        <v>3038765.625</v>
      </c>
      <c r="CV7" s="450">
        <f t="shared" ca="1" si="40"/>
        <v>2261321.3152000001</v>
      </c>
      <c r="CW7" s="58">
        <f t="shared" si="25"/>
        <v>150000</v>
      </c>
      <c r="CX7" s="58">
        <f ca="1">IFERROR(IF($K7&lt;VLOOKUP(CV$2,$B:$H,7,0),IF(CZ$3=1,MIN($M7,CV7),IF(HLOOKUP(CONCATENATE("Balance",CZ$3-1),'Withdrawal Working'!$A$2:$CD$78,MATCH('Yoy WAR OG'!$J7,'Withdrawal Working'!$A$2:$A$78,0),FALSE)&gt;0,MIN(HLOOKUP(CONCATENATE("Balance",CZ$3-1),'Withdrawal Working'!$A$2:$CD$78,MATCH('Yoy WAR OG'!$J7,'Withdrawal Working'!$A$2:$A$78,0),0),CV7),0)),IF($K7=VLOOKUP(CV$2,$B:$H,7,0),CV7,)),0)</f>
        <v>0</v>
      </c>
      <c r="CY7" s="58">
        <f t="shared" ca="1" si="14"/>
        <v>2596749.6630464001</v>
      </c>
      <c r="DB7" s="450">
        <f t="shared" ca="1" si="41"/>
        <v>0</v>
      </c>
      <c r="DC7" s="58">
        <f ca="1">(VLOOKUP(DB$2,$B$1:$F$32,5,0)*$L7)+(VLOOKUP($K7,'Withdrawal Working'!$AD:$AE,2,0)*(IFERROR(VLOOKUP(DB$2,$B$35:$C$42,2,0),0)))</f>
        <v>0</v>
      </c>
      <c r="DD7" s="58">
        <f ca="1">IFERROR(IF($K7&lt;VLOOKUP(DB$2,$B:$H,7,0),IF(DF$3=1,MIN($M7,DB7),IF(HLOOKUP(CONCATENATE("Balance",DF$3-1),'Withdrawal Working'!$A$2:$CD$78,MATCH('Yoy WAR OG'!$J7,'Withdrawal Working'!$A$2:$A$78,0),FALSE)&gt;0,MIN(HLOOKUP(CONCATENATE("Balance",DF$3-1),'Withdrawal Working'!$A$2:$CD$78,MATCH('Yoy WAR OG'!$J7,'Withdrawal Working'!$A$2:$A$78,0),0),DB7),0)),IF($K7=VLOOKUP(DB$2,$B:$H,7,0),DB7,)),0)</f>
        <v>0</v>
      </c>
      <c r="DE7" s="58">
        <f t="shared" ca="1" si="15"/>
        <v>0</v>
      </c>
      <c r="DH7" s="450">
        <f t="shared" ca="1" si="42"/>
        <v>2107392.0000000009</v>
      </c>
      <c r="DI7" s="58">
        <f>IF(OR(J7&gt;'NWGC - SCENARIOS'!$D$7,J7='NWGC - SCENARIOS'!$D$7),0,DI6*(1+'NWGC - SCENARIOS'!$L$5))</f>
        <v>0</v>
      </c>
      <c r="DJ7" s="58">
        <f ca="1">IFERROR(IF($K7&lt;VLOOKUP(DH$2,$B:$H,7,0),IF(DL$3=1,MIN($M7,DH7),IF(HLOOKUP(CONCATENATE("Balance",DL$3-1),'Withdrawal Working'!$A$2:$CD$78,MATCH('Yoy WAR OG'!$J7,'Withdrawal Working'!$A$2:$A$78,0),FALSE)&gt;0,MIN(HLOOKUP(CONCATENATE("Balance",DL$3-1),'Withdrawal Working'!$A$2:$CD$78,MATCH('Yoy WAR OG'!$J7,'Withdrawal Working'!$A$2:$A$78,0),0),DH7),0)),IF($K7=VLOOKUP(DH$2,$B:$H,7,0),DH7,)),0)</f>
        <v>0</v>
      </c>
      <c r="DK7" s="58">
        <f t="shared" ca="1" si="16"/>
        <v>2360279.0400000014</v>
      </c>
      <c r="DN7" s="450">
        <f t="shared" ca="1" si="43"/>
        <v>0</v>
      </c>
      <c r="DO7" s="58">
        <f ca="1">(VLOOKUP(DN$2,$B$1:$F$32,5,0)*$L7)+(VLOOKUP($K7,'Withdrawal Working'!$AD:$AE,2,0)*(IFERROR(VLOOKUP(DN$2,$B$35:$C$42,2,0),0)))</f>
        <v>0</v>
      </c>
      <c r="DP7" s="58">
        <f ca="1">IFERROR(IF($K7&lt;VLOOKUP(DN$2,$B:$H,7,0),IF(DR$3=1,MIN($M7,DN7),IF(HLOOKUP(CONCATENATE("Balance",DR$3-1),'Withdrawal Working'!$A$2:$CD$78,MATCH('Yoy WAR OG'!$J7,'Withdrawal Working'!$A$2:$A$78,0),FALSE)&gt;0,MIN(HLOOKUP(CONCATENATE("Balance",DR$3-1),'Withdrawal Working'!$A$2:$CD$78,MATCH('Yoy WAR OG'!$J7,'Withdrawal Working'!$A$2:$A$78,0),0),DN7),0)),IF($K7=VLOOKUP(DN$2,$B:$H,7,0),DN7,)),0)</f>
        <v>0</v>
      </c>
      <c r="DQ7" s="58">
        <f t="shared" ca="1" si="17"/>
        <v>0</v>
      </c>
      <c r="DT7" s="450">
        <f t="shared" ca="1" si="44"/>
        <v>0</v>
      </c>
      <c r="DU7" s="58">
        <f ca="1">(VLOOKUP(DT$2,$B$1:$F$32,5,0)*$L7)+(VLOOKUP($K7,'Withdrawal Working'!$AD:$AE,2,0)*(IFERROR(VLOOKUP(DT$2,$B$35:$C$42,2,0),0)))</f>
        <v>0</v>
      </c>
      <c r="DV7" s="58">
        <f ca="1">IFERROR(IF($K7&lt;VLOOKUP(DT$2,$B:$H,7,0),IF(DX$3=1,MIN($M7,DT7),IF(HLOOKUP(CONCATENATE("Balance",DX$3-1),'Withdrawal Working'!$A$2:$CD$78,MATCH('Yoy WAR OG'!$J7,'Withdrawal Working'!$A$2:$A$78,0),FALSE)&gt;0,MIN(HLOOKUP(CONCATENATE("Balance",DX$3-1),'Withdrawal Working'!$A$2:$CD$78,MATCH('Yoy WAR OG'!$J7,'Withdrawal Working'!$A$2:$A$78,0),0),DT7),0)),IF($K7=VLOOKUP(DT$2,$B:$H,7,0),DT7,)),0)</f>
        <v>0</v>
      </c>
      <c r="DW7" s="58">
        <f t="shared" ca="1" si="18"/>
        <v>0</v>
      </c>
      <c r="DZ7" s="450">
        <f t="shared" ca="1" si="45"/>
        <v>0</v>
      </c>
      <c r="EA7" s="58">
        <f ca="1">(VLOOKUP(DZ$2,$B$1:$F$32,5,0)*$L7)+(VLOOKUP($K7,'Withdrawal Working'!$AD:$AE,2,0)*(IFERROR(VLOOKUP(DZ$2,$B$35:$C$42,2,0),0)))</f>
        <v>0</v>
      </c>
      <c r="EB7" s="58">
        <f ca="1">IFERROR(IF($K7&lt;VLOOKUP(DZ$2,$B:$H,7,0),IF(ED$3=1,MIN($M7,DZ7),IF(HLOOKUP(CONCATENATE("Balance",ED$3-1),'Withdrawal Working'!$A$2:$CD$78,MATCH('Yoy WAR OG'!$J7,'Withdrawal Working'!$A$2:$A$78,0),FALSE)&gt;0,MIN(HLOOKUP(CONCATENATE("Balance",ED$3-1),'Withdrawal Working'!$A$2:$CD$78,MATCH('Yoy WAR OG'!$J7,'Withdrawal Working'!$A$2:$A$78,0),0),DZ7),0)),IF($K7=VLOOKUP(DZ$2,$B:$H,7,0),DZ7,)),0)</f>
        <v>0</v>
      </c>
      <c r="EC7" s="58">
        <f t="shared" ca="1" si="19"/>
        <v>0</v>
      </c>
      <c r="EF7" s="450">
        <f t="shared" ca="1" si="46"/>
        <v>0</v>
      </c>
      <c r="EG7" s="58">
        <f ca="1">(VLOOKUP(EF$2,$B$1:$F$32,5,0)*$L7)+(VLOOKUP($K7,'Withdrawal Working'!$AD:$AE,2,0)*(IFERROR(VLOOKUP(EF$2,$B$35:$C$42,2,0),0)))</f>
        <v>0</v>
      </c>
      <c r="EH7" s="58">
        <f ca="1">IFERROR(IF($K7&lt;VLOOKUP(EF$2,$B:$H,7,0),IF(EJ$3=1,MIN($M7,EF7),IF(HLOOKUP(CONCATENATE("Balance",EJ$3-1),'Withdrawal Working'!$A$2:$CD$78,MATCH('Yoy WAR OG'!$J7,'Withdrawal Working'!$A$2:$A$78,0),FALSE)&gt;0,MIN(HLOOKUP(CONCATENATE("Balance",EJ$3-1),'Withdrawal Working'!$A$2:$CD$78,MATCH('Yoy WAR OG'!$J7,'Withdrawal Working'!$A$2:$A$78,0),0),EF7),0)),IF($K7=VLOOKUP(EF$2,$B:$H,7,0),EF7,)),0)</f>
        <v>0</v>
      </c>
      <c r="EI7" s="58">
        <f t="shared" ca="1" si="20"/>
        <v>0</v>
      </c>
      <c r="EL7" s="450">
        <f t="shared" ca="1" si="47"/>
        <v>4659541.2473999998</v>
      </c>
      <c r="EM7" s="58">
        <f>IF(OR($J7&gt;'NWGC - SCENARIOS'!$D$7,$J7='NWGC - SCENARIOS'!$D$7),0,EM6)</f>
        <v>150000</v>
      </c>
      <c r="EN7" s="58">
        <f ca="1">IFERROR(IF($K7&lt;VLOOKUP(EL$2,$B:$H,7,0),IF(EP$3=1,MIN($M7,EL7),IF(HLOOKUP(CONCATENATE("Balance",EP$3-1),'Withdrawal Working'!$A$2:$CD$78,MATCH('Yoy WAR OG'!$J7,'Withdrawal Working'!$A$2:$A$78,0),FALSE)&gt;0,MIN(HLOOKUP(CONCATENATE("Balance",EP$3-1),'Withdrawal Working'!$A$2:$CD$78,MATCH('Yoy WAR OG'!$J7,'Withdrawal Working'!$A$2:$A$78,0),0),EL7),0)),IF($K7=VLOOKUP(EL$2,$B:$H,7,0),EL7,)),0)</f>
        <v>0</v>
      </c>
      <c r="EO7" s="58">
        <f t="shared" ca="1" si="21"/>
        <v>5140368.6759653995</v>
      </c>
      <c r="ER7" s="450">
        <f t="shared" ca="1" si="48"/>
        <v>39403838.569873989</v>
      </c>
      <c r="ES7" s="58">
        <f>IF(OR(J7&gt;'NWGC - SCENARIOS'!$D$7,J7='NWGC - SCENARIOS'!$D$7),0,ES6*(1+'NWGC - SCENARIOS'!$L$5))</f>
        <v>1674785.6626887047</v>
      </c>
      <c r="ET7" s="58">
        <f ca="1">IFERROR(IF($K7&lt;VLOOKUP(ER$2,$B:$H,7,0),IF(EV$3=1,MIN($M7,ER7),IF(HLOOKUP(CONCATENATE("Balance",EV$3-1),'Withdrawal Working'!$A$2:$CD$78,MATCH('Yoy WAR OG'!$J7,'Withdrawal Working'!$A$2:$A$78,0),FALSE)&gt;0,MIN(HLOOKUP(CONCATENATE("Balance",EV$3-1),'Withdrawal Working'!$A$2:$CD$78,MATCH('Yoy WAR OG'!$J7,'Withdrawal Working'!$A$2:$A$78,0),0),ER7),0)),IF($K7=VLOOKUP(ER$2,$B:$H,7,0),ER7,)),0)</f>
        <v>0</v>
      </c>
      <c r="EU7" s="58">
        <f t="shared" ca="1" si="22"/>
        <v>44270335.156722486</v>
      </c>
      <c r="EX7" s="450">
        <f t="shared" ca="1" si="49"/>
        <v>10303124.174999999</v>
      </c>
      <c r="EY7" s="58">
        <f>IF(OR(J7&gt;'NWGC - SCENARIOS'!$D$7,J7='NWGC - SCENARIOS'!$D$7),0,EY6)</f>
        <v>1044000</v>
      </c>
      <c r="EZ7" s="58">
        <f ca="1">IFERROR(IF($K7&lt;VLOOKUP(EX$2,$B:$H,7,0),IF(FB$3=1,MIN($M7,EX7),IF(HLOOKUP(CONCATENATE("Balance",FB$3-1),'Withdrawal Working'!$A$2:$CD$78,MATCH('Yoy WAR OG'!$J7,'Withdrawal Working'!$A$2:$A$78,0),FALSE)&gt;0,MIN(HLOOKUP(CONCATENATE("Balance",FB$3-1),'Withdrawal Working'!$A$2:$CD$78,MATCH('Yoy WAR OG'!$J7,'Withdrawal Working'!$A$2:$A$78,0),0),EX7),0)),IF($K7=VLOOKUP(EX$2,$B:$H,7,0),EX7,)),0)</f>
        <v>0</v>
      </c>
      <c r="FA7" s="58">
        <f t="shared" ca="1" si="23"/>
        <v>12222889.729874998</v>
      </c>
    </row>
    <row r="8" spans="1:197" x14ac:dyDescent="0.3">
      <c r="A8" t="s">
        <v>366</v>
      </c>
      <c r="B8" t="str">
        <f>Networth!B8</f>
        <v>Equity PMS</v>
      </c>
      <c r="C8" s="58">
        <f>VLOOKUP('Yoy WAR OG'!B8,'WAR - Rev'!$A$1:$B$29,2,0)</f>
        <v>0</v>
      </c>
      <c r="D8" s="313">
        <f>'WAR - Rev'!C6</f>
        <v>0.11</v>
      </c>
      <c r="E8" s="201"/>
      <c r="F8" s="201"/>
      <c r="H8" s="452">
        <f>VLOOKUP('NWGC - SCENARIOS'!$D$7,'NWGC - SCENARIOS'!$B$11:$C$67,2,0)</f>
        <v>2031</v>
      </c>
      <c r="J8">
        <f>IFERROR('NWGC - SCENARIOS'!B15,0)</f>
        <v>53</v>
      </c>
      <c r="K8">
        <f>IFERROR('NWGC - SCENARIOS'!C15,0)</f>
        <v>2029</v>
      </c>
      <c r="L8" s="449">
        <f ca="1">IF(('NWGC - SCENARIOS'!G15-working!G6)&gt;'NWGC - SCENARIOS'!H15,'NWGC - SCENARIOS'!G15-'NWGC - SCENARIOS'!H15-working!G6,0)</f>
        <v>5914779.9697004082</v>
      </c>
      <c r="M8" s="449">
        <f ca="1">IF(('NWGC - SCENARIOS'!G15-working!G6)&gt;'NWGC - SCENARIOS'!H15,0,'NWGC - SCENARIOS'!H15-'NWGC - SCENARIOS'!G15+working!G6)</f>
        <v>0</v>
      </c>
      <c r="N8" s="58">
        <f t="shared" ca="1" si="0"/>
        <v>59679402.861409239</v>
      </c>
      <c r="O8" s="58">
        <f t="shared" ca="1" si="1"/>
        <v>93882372.16678372</v>
      </c>
      <c r="P8" s="58">
        <f t="shared" ca="1" si="24"/>
        <v>1721284.5009374991</v>
      </c>
      <c r="Q8" s="58">
        <f ca="1">(VLOOKUP(P$2,$B$1:$F$32,5,0)*$L8)+(VLOOKUP($K8,'Withdrawal Working'!$AD:$AE,2,0)*(IFERROR(VLOOKUP(P$2,$B$35:$C$42,2,0),0)))</f>
        <v>0</v>
      </c>
      <c r="R8" s="58">
        <f ca="1">IFERROR(IF($K8&lt;VLOOKUP(P$2,$B:$H,7,0),IF(T$3=1,MIN($M8,P8),IF(HLOOKUP(CONCATENATE("Balance",T$3-1),'Withdrawal Working'!$A$2:$CD$78,MATCH('Yoy WAR OG'!$J8,'Withdrawal Working'!$A$2:$A$78,0),FALSE)&gt;0,MIN(HLOOKUP(CONCATENATE("Balance",T$3-1),'Withdrawal Working'!$A$2:$CD$78,MATCH('Yoy WAR OG'!$J8,'Withdrawal Working'!$A$2:$A$78,0),0),P8),0)),IF($K8=VLOOKUP(P$2,$B:$H,7,0),P8,)),0)</f>
        <v>0</v>
      </c>
      <c r="S8" s="58">
        <f t="shared" ca="1" si="26"/>
        <v>1781529.4584703115</v>
      </c>
      <c r="T8" s="58"/>
      <c r="V8" s="58">
        <f t="shared" ca="1" si="27"/>
        <v>0</v>
      </c>
      <c r="W8" s="58">
        <f ca="1">(VLOOKUP(V$2,$B$1:$F$32,5,0)*$L8)+(VLOOKUP($K8,'Withdrawal Working'!$AD:$AE,2,0)*(IFERROR(VLOOKUP(V$2,$B$35:$C$42,2,0),0)))</f>
        <v>0</v>
      </c>
      <c r="X8" s="58">
        <f ca="1">IFERROR(IF($K8&lt;VLOOKUP(V$2,$B:$H,7,0),IF(Z$3=1,MIN($M8,V8),IF(HLOOKUP(CONCATENATE("Balance",Z$3-1),'Withdrawal Working'!$A$2:$CD$78,MATCH('Yoy WAR OG'!$J8,'Withdrawal Working'!$A$2:$A$78,0),FALSE)&gt;0,MIN(HLOOKUP(CONCATENATE("Balance",Z$3-1),'Withdrawal Working'!$A$2:$CD$78,MATCH('Yoy WAR OG'!$J8,'Withdrawal Working'!$A$2:$A$78,0),0),V8),0)),IF($K8=VLOOKUP(V$2,$B:$H,7,0),V8,)),0)</f>
        <v>0</v>
      </c>
      <c r="Y8" s="58">
        <f t="shared" ca="1" si="2"/>
        <v>0</v>
      </c>
      <c r="AB8" s="58">
        <f t="shared" ca="1" si="28"/>
        <v>392257.24938072014</v>
      </c>
      <c r="AC8" s="58">
        <f ca="1">(VLOOKUP(AB$2,$B$1:$F$32,5,0)*$L8)+(VLOOKUP($K8,'Withdrawal Working'!$AD:$AE,2,0)*(IFERROR(VLOOKUP(AB$2,$B$35:$C$42,2,0),0)))</f>
        <v>0</v>
      </c>
      <c r="AD8" s="58">
        <f ca="1">IFERROR(IF($K8&lt;VLOOKUP(AB$2,$B:$H,7,0),IF(AF$3=1,MIN($M8,AB8),IF(HLOOKUP(CONCATENATE("Balance",AF$3-1),'Withdrawal Working'!$A$2:$CD$78,MATCH('Yoy WAR OG'!$J8,'Withdrawal Working'!$A$2:$A$78,0),FALSE)&gt;0,MIN(HLOOKUP(CONCATENATE("Balance",AF$3-1),'Withdrawal Working'!$A$2:$CD$78,MATCH('Yoy WAR OG'!$J8,'Withdrawal Working'!$A$2:$A$78,0),0),AB8),0)),IF($K8=VLOOKUP(AB$2,$B:$H,7,0),AB8,)),0)</f>
        <v>0</v>
      </c>
      <c r="AE8" s="58">
        <f t="shared" ca="1" si="3"/>
        <v>435405.54681259941</v>
      </c>
      <c r="AH8" s="58">
        <f t="shared" ca="1" si="29"/>
        <v>28392723.283877932</v>
      </c>
      <c r="AI8" s="58">
        <f ca="1">(VLOOKUP(AH$2,$B$1:$F$32,5,0)*$L8)+IF(J8&gt;'NWGC - SCENARIOS'!$D$7,0,(VLOOKUP($K8,'Withdrawal Working'!$AD:$AE,2,0)*(IFERROR(VLOOKUP(AH$2,$B$35:$C$42,2,0),0))))</f>
        <v>3548867.9818202448</v>
      </c>
      <c r="AJ8" s="58">
        <f ca="1">IFERROR(IF($J8&gt;'NWGC - SCENARIOS'!$D$7,MIN('Yoy WAR OG'!AH8,VLOOKUP('Yoy WAR OG'!$J8,'Withdrawal Working'!BC:BD,2,0)),IF(AL$3=1,$M8,IF(HLOOKUP(CONCATENATE("Balance",AL$3-1),'Withdrawal Working'!$A$2:$CD$78,MATCH('Yoy WAR OG'!$J8,'Withdrawal Working'!$A$2:$A$78,0),FALSE)&gt;0,MIN(HLOOKUP(CONCATENATE("Balance",AL$3-1),'Withdrawal Working'!$A$2:$CD$78,MATCH('Yoy WAR OG'!$J8,'Withdrawal Working'!$A$2:$A$78,0),0),AH8),0))),0)</f>
        <v>0</v>
      </c>
      <c r="AK8" s="58">
        <f t="shared" ca="1" si="4"/>
        <v>35064790.826924756</v>
      </c>
      <c r="AN8" s="450">
        <f t="shared" ca="1" si="30"/>
        <v>12271205.753406305</v>
      </c>
      <c r="AO8" s="58">
        <f ca="1">IF(J8&gt;'NWGC - SCENARIOS'!$D$7,(IF(AJ8=0,0,'Yoy WAR OG'!AJ8)+(VLOOKUP(AN$2,$B$1:$F$32,5,0)*$L8)),(VLOOKUP(AN$2,$B$1:$F$32,5,0)*$L8)+(VLOOKUP($K8,'Withdrawal Working'!$AD:$AE,2,0)*(IFERROR(VLOOKUP(AN$2,$B$35:$C$42,2,0),0))))</f>
        <v>2365911.9878801634</v>
      </c>
      <c r="AP8" s="470">
        <f ca="1">IFERROR(IF($K8&lt;&gt;VLOOKUP(AN$2,$B:$H,7,0),IF(AR$3=1,MIN($M8,AN8),IF(HLOOKUP(CONCATENATE("Balance",AR$3-1),'Withdrawal Working'!$A$2:$CD$78,MATCH('Yoy WAR OG'!$J8,'Withdrawal Working'!$A$2:$A$78,0),FALSE)&gt;0,MIN(HLOOKUP(CONCATENATE("Balance",AR$3-1),'Withdrawal Working'!$A$2:$CD$78,MATCH('Yoy WAR OG'!$J8,'Withdrawal Working'!$A$2:$A$78,0),0),AN8),0)),IF($K8=VLOOKUP(AN$2,$B:$H,7,0),AN8,)),0)</f>
        <v>0</v>
      </c>
      <c r="AQ8" s="58">
        <f ca="1">IF(AO8&lt;0,0,IF(J8&gt;'NWGC - SCENARIOS'!$D$7,((AN8-AP8+AO8)*(1+(IFERROR(VLOOKUP(AN$2,$B:$D,3,0),0)))),((AN8-AP8)*(1+(IFERROR(VLOOKUP(AN$2,$B:$D,3,0),0))))+AO8))</f>
        <v>15312034.057723815</v>
      </c>
      <c r="AT8" s="450">
        <f t="shared" ca="1" si="31"/>
        <v>2438171.2748518204</v>
      </c>
      <c r="AU8" s="58">
        <f ca="1">(VLOOKUP(AT$2,$B$1:$F$32,5,0)*$L8)+(VLOOKUP($K8,'Withdrawal Working'!$AD:$AE,2,0)*(IFERROR(VLOOKUP(AT$2,$B$35:$C$42,2,0),0)))</f>
        <v>0</v>
      </c>
      <c r="AV8" s="58">
        <f ca="1">IFERROR(IF($K8&lt;VLOOKUP(AT$2,$B:$H,7,0),IF(AX$3=1,MIN($M8,AT8),IF(HLOOKUP(CONCATENATE("Balance",AX$3-1),'Withdrawal Working'!$A$2:$CD$78,MATCH('Yoy WAR OG'!$J8,'Withdrawal Working'!$A$2:$A$78,0),FALSE)&gt;0,MIN(HLOOKUP(CONCATENATE("Balance",AX$3-1),'Withdrawal Working'!$A$2:$CD$78,MATCH('Yoy WAR OG'!$J8,'Withdrawal Working'!$A$2:$A$78,0),0),AT8),0)),IF($K8=VLOOKUP(AT$2,$B:$H,7,0),AT8,)),0)</f>
        <v>0</v>
      </c>
      <c r="AW8" s="58">
        <f t="shared" ca="1" si="5"/>
        <v>2657606.6895884844</v>
      </c>
      <c r="AZ8" s="450">
        <f t="shared" ca="1" si="32"/>
        <v>5243184.04</v>
      </c>
      <c r="BA8" s="58">
        <f ca="1">(VLOOKUP(AZ$2,$B$1:$F$32,5,0)*$L8)+(VLOOKUP($K8,'Withdrawal Working'!$AD:$AE,2,0)*(IFERROR(VLOOKUP(AZ$2,$B$35:$C$42,2,0),0)))</f>
        <v>0</v>
      </c>
      <c r="BB8" s="58">
        <f>IFERROR(IF($K8&lt;VLOOKUP(AZ$2,$B:$H,7,0),IF(BD$3=1,MIN($M8,AZ8),IF(HLOOKUP(CONCATENATE("Balance",BD$3-1),'Withdrawal Working'!$A$2:$CD$78,MATCH('Yoy WAR OG'!$J8,'Withdrawal Working'!$A$2:$A$78,0),FALSE)&gt;0,MIN(HLOOKUP(CONCATENATE("Balance",BD$3-1),'Withdrawal Working'!$A$2:$CD$78,MATCH('Yoy WAR OG'!$J8,'Withdrawal Working'!$A$2:$A$78,0),0),AZ8),0)),IF($K8=VLOOKUP(AZ$2,$B:$H,7,0),AZ8,)),0)</f>
        <v>0</v>
      </c>
      <c r="BC8" s="58">
        <f t="shared" ca="1" si="6"/>
        <v>5610206.9228000008</v>
      </c>
      <c r="BF8" s="450">
        <f t="shared" ca="1" si="33"/>
        <v>301314.2924160001</v>
      </c>
      <c r="BG8" s="58">
        <f ca="1">(VLOOKUP(BF$2,$B$1:$F$32,5,0)*$L8)+(VLOOKUP($K8,'Withdrawal Working'!$AD:$AE,2,0)*(IFERROR(VLOOKUP(BF$2,$B$35:$C$42,2,0),0)))</f>
        <v>0</v>
      </c>
      <c r="BH8" s="58">
        <f ca="1">IFERROR(IF($K8&lt;VLOOKUP(BF$2,$B:$H,7,0),IF(BJ$3=1,MIN($M8,BF8),IF(HLOOKUP(CONCATENATE("Balance",BJ$3-1),'Withdrawal Working'!$A$2:$CD$78,MATCH('Yoy WAR OG'!$J8,'Withdrawal Working'!$A$2:$A$78,0),FALSE)&gt;0,MIN(HLOOKUP(CONCATENATE("Balance",BJ$3-1),'Withdrawal Working'!$A$2:$CD$78,MATCH('Yoy WAR OG'!$J8,'Withdrawal Working'!$A$2:$A$78,0),0),BF8),0)),IF($K8=VLOOKUP(BF$2,$B:$H,7,0),BF8,)),0)</f>
        <v>0</v>
      </c>
      <c r="BI8" s="58">
        <f t="shared" ca="1" si="7"/>
        <v>325419.43580928014</v>
      </c>
      <c r="BL8" s="450">
        <f t="shared" ca="1" si="34"/>
        <v>0</v>
      </c>
      <c r="BM8" s="58">
        <f ca="1">(VLOOKUP(BL$2,$B$1:$F$32,5,0)*$L8)+(VLOOKUP($K8,'Withdrawal Working'!$AD:$AE,2,0)*(IFERROR(VLOOKUP(BL$2,$B$35:$C$42,2,0),0)))</f>
        <v>0</v>
      </c>
      <c r="BN8" s="58">
        <f ca="1">IFERROR(IF($K8&lt;VLOOKUP(BL$2,$B:$H,7,0),IF(BP$3=1,MIN($M8,BL8),IF(HLOOKUP(CONCATENATE("Balance",BP$3-1),'Withdrawal Working'!$A$2:$CD$78,MATCH('Yoy WAR OG'!$J8,'Withdrawal Working'!$A$2:$A$78,0),FALSE)&gt;0,MIN(HLOOKUP(CONCATENATE("Balance",BP$3-1),'Withdrawal Working'!$A$2:$CD$78,MATCH('Yoy WAR OG'!$J8,'Withdrawal Working'!$A$2:$A$78,0),0),BL8),0)),IF($K8=VLOOKUP(BL$2,$B:$H,7,0),BL8,)),0)</f>
        <v>0</v>
      </c>
      <c r="BO8" s="58">
        <f t="shared" ca="1" si="8"/>
        <v>0</v>
      </c>
      <c r="BR8" s="450">
        <f t="shared" ca="1" si="35"/>
        <v>2928200.0000000005</v>
      </c>
      <c r="BS8" s="58">
        <f ca="1">(VLOOKUP(BR$2,$B$1:$F$32,5,0)*$L8)+(VLOOKUP($K8,'Withdrawal Working'!$AD:$AE,2,0)*(IFERROR(VLOOKUP(BR$2,$B$35:$C$42,2,0),0)))</f>
        <v>0</v>
      </c>
      <c r="BT8" s="58">
        <f ca="1">IFERROR(IF($K8&lt;VLOOKUP(BR$2,$B:$H,7,0),IF(BV$3=1,MIN($M8,BR8),IF(HLOOKUP(CONCATENATE("Balance",BV$3-1),'Withdrawal Working'!$A$2:$CD$78,MATCH('Yoy WAR OG'!$J8,'Withdrawal Working'!$A$2:$A$78,0),FALSE)&gt;0,MIN(HLOOKUP(CONCATENATE("Balance",BV$3-1),'Withdrawal Working'!$A$2:$CD$78,MATCH('Yoy WAR OG'!$J8,'Withdrawal Working'!$A$2:$A$78,0),0),BR8),0)),IF($K8=VLOOKUP(BR$2,$B:$H,7,0),BR8,)),0)</f>
        <v>0</v>
      </c>
      <c r="BU8" s="58">
        <f t="shared" ca="1" si="9"/>
        <v>3221020.0000000009</v>
      </c>
      <c r="BX8" s="450">
        <f t="shared" ca="1" si="36"/>
        <v>816293.37600000016</v>
      </c>
      <c r="BY8" s="58">
        <f ca="1">(VLOOKUP(BX$2,$B$1:$F$32,5,0)*$L8)+(VLOOKUP($K8,'Withdrawal Working'!$AD:$AE,2,0)*(IFERROR(VLOOKUP(BX$2,$B$35:$C$42,2,0),0)))</f>
        <v>0</v>
      </c>
      <c r="BZ8" s="58">
        <f ca="1">IFERROR(IF($K8&lt;VLOOKUP(BX$2,$B:$H,7,0),IF(CB$3=1,MIN($M8,BX8),IF(HLOOKUP(CONCATENATE("Balance",CB$3-1),'Withdrawal Working'!$A$2:$CD$78,MATCH('Yoy WAR OG'!$J8,'Withdrawal Working'!$A$2:$A$78,0),FALSE)&gt;0,MIN(HLOOKUP(CONCATENATE("Balance",CB$3-1),'Withdrawal Working'!$A$2:$CD$78,MATCH('Yoy WAR OG'!$J8,'Withdrawal Working'!$A$2:$A$78,0),0),BX8),0)),IF($K8=VLOOKUP(BX$2,$B:$H,7,0),BX8,)),0)</f>
        <v>0</v>
      </c>
      <c r="CA8" s="58">
        <f t="shared" ca="1" si="10"/>
        <v>881596.84608000028</v>
      </c>
      <c r="CD8" s="450">
        <f t="shared" ca="1" si="37"/>
        <v>9566824.8849999998</v>
      </c>
      <c r="CE8" s="58">
        <f ca="1">(VLOOKUP(CD$2,$B$1:$F$32,5,0)*$L8)+(VLOOKUP($K8,'Withdrawal Working'!$AD:$AE,2,0)*(IFERROR(VLOOKUP(CD$2,$B$35:$C$42,2,0),0)))+SUMIFS('Key Life Events'!$I$3:$I$28,'Key Life Events'!$H$3:$H$28,"House",'Key Life Events'!$E$3:$E$28,'Yoy WAR OG'!K8)</f>
        <v>0</v>
      </c>
      <c r="CF8" s="58">
        <f>IFERROR(IF($K8&lt;VLOOKUP(CD$2,$B:$H,7,0),IF(CH$3=1,MIN($M8,CD8),IF(HLOOKUP(CONCATENATE("Balance",CH$3-1),'Withdrawal Working'!$A$2:$CD$78,MATCH('Yoy WAR OG'!$J8,'Withdrawal Working'!$A$2:$A$78,0),FALSE)&gt;0,MIN(HLOOKUP(CONCATENATE("Balance",CH$3-1),'Withdrawal Working'!$A$2:$CD$78,MATCH('Yoy WAR OG'!$J8,'Withdrawal Working'!$A$2:$A$78,0),0),CD8),0)),IF($K8=VLOOKUP(CD$2,$B:$H,7,0),CD8,)),0)</f>
        <v>0</v>
      </c>
      <c r="CG8" s="58">
        <f t="shared" ca="1" si="11"/>
        <v>9853829.6315499991</v>
      </c>
      <c r="CJ8" s="450">
        <f t="shared" ca="1" si="38"/>
        <v>0</v>
      </c>
      <c r="CK8" s="58">
        <f ca="1">(VLOOKUP(CJ$2,$B$1:$F$32,5,0)*$L8)+(VLOOKUP($K8,'Withdrawal Working'!$AD:$AE,2,0)*(IFERROR(VLOOKUP(CJ$2,$B$35:$C$42,2,0),0)))+SUMIFS('Key Life Events'!$I$3:$I$28,'Key Life Events'!$H$3:$H$28,"House2",'Key Life Events'!$E$3:$E$28,'Yoy WAR OG'!K8)</f>
        <v>0</v>
      </c>
      <c r="CL8" s="58">
        <f ca="1">IF(IFERROR(IF($K8&lt;&gt;VLOOKUP(CJ$2,$B:$H,7,0),IF(CN$3=1,MIN($M8,CJ8),IF(HLOOKUP(CONCATENATE("Balance",CN$3-1),'Withdrawal Working'!$A$2:$CD$78,MATCH('Yoy WAR OG'!$J8,'Withdrawal Working'!$A$2:$A$78,0),FALSE)&gt;0,MIN(HLOOKUP(CONCATENATE("Balance",CN$3-1),'Withdrawal Working'!$A$2:$CD$78,MATCH('Yoy WAR OG'!$J8,'Withdrawal Working'!$A$2:$A$78,0),0),CJ8),0)),IF($K8=VLOOKUP(CJ$2,$B:$H,7,0),CJ8,)),0)&gt;0,CJ8,0)</f>
        <v>0</v>
      </c>
      <c r="CM8" s="58">
        <f t="shared" ca="1" si="12"/>
        <v>0</v>
      </c>
      <c r="CP8" s="450">
        <f t="shared" ca="1" si="39"/>
        <v>3038765.625</v>
      </c>
      <c r="CQ8" s="58">
        <f ca="1">(VLOOKUP(CP$2,$B$1:$F$32,5,0)*$L8)+(VLOOKUP($K8,'Withdrawal Working'!$AD:$AE,2,0)*(IFERROR(VLOOKUP(CP$2,$B$35:$C$42,2,0),0)))+SUMIFS('Key Life Events'!$I$3:$I$28,'Key Life Events'!$H$3:$H$28,"Land",'Key Life Events'!$E$3:$E$28,'Yoy WAR OG'!K8)</f>
        <v>0</v>
      </c>
      <c r="CR8" s="58">
        <f>IFERROR(IF($K8&lt;VLOOKUP(CP$2,$B:$H,7,0),IF(CT$3=1,MIN($M8,CP8),IF(HLOOKUP(CONCATENATE("Balance",CT$3-1),'Withdrawal Working'!$A$2:$CD$78,MATCH('Yoy WAR OG'!$J8,'Withdrawal Working'!$A$2:$A$78,0),FALSE)&gt;0,MIN(HLOOKUP(CONCATENATE("Balance",CT$3-1),'Withdrawal Working'!$A$2:$CD$78,MATCH('Yoy WAR OG'!$J8,'Withdrawal Working'!$A$2:$A$78,0),0),CP8),0)),IF($K8=VLOOKUP(CP$2,$B:$H,7,0),CP8,)),0)</f>
        <v>0</v>
      </c>
      <c r="CS8" s="58">
        <f t="shared" ca="1" si="13"/>
        <v>3190703.90625</v>
      </c>
      <c r="CV8" s="450">
        <f t="shared" ca="1" si="40"/>
        <v>2596749.6630464001</v>
      </c>
      <c r="CW8" s="58">
        <f t="shared" si="25"/>
        <v>150000</v>
      </c>
      <c r="CX8" s="58">
        <f ca="1">IFERROR(IF($K8&lt;VLOOKUP(CV$2,$B:$H,7,0),IF(CZ$3=1,MIN($M8,CV8),IF(HLOOKUP(CONCATENATE("Balance",CZ$3-1),'Withdrawal Working'!$A$2:$CD$78,MATCH('Yoy WAR OG'!$J8,'Withdrawal Working'!$A$2:$A$78,0),FALSE)&gt;0,MIN(HLOOKUP(CONCATENATE("Balance",CZ$3-1),'Withdrawal Working'!$A$2:$CD$78,MATCH('Yoy WAR OG'!$J8,'Withdrawal Working'!$A$2:$A$78,0),0),CV8),0)),IF($K8=VLOOKUP(CV$2,$B:$H,7,0),CV8,)),0)</f>
        <v>0</v>
      </c>
      <c r="CY8" s="58">
        <f t="shared" ca="1" si="14"/>
        <v>2959683.135416205</v>
      </c>
      <c r="DB8" s="450">
        <f t="shared" ca="1" si="41"/>
        <v>0</v>
      </c>
      <c r="DC8" s="58">
        <f ca="1">(VLOOKUP(DB$2,$B$1:$F$32,5,0)*$L8)+(VLOOKUP($K8,'Withdrawal Working'!$AD:$AE,2,0)*(IFERROR(VLOOKUP(DB$2,$B$35:$C$42,2,0),0)))</f>
        <v>0</v>
      </c>
      <c r="DD8" s="58">
        <f ca="1">IFERROR(IF($K8&lt;VLOOKUP(DB$2,$B:$H,7,0),IF(DF$3=1,MIN($M8,DB8),IF(HLOOKUP(CONCATENATE("Balance",DF$3-1),'Withdrawal Working'!$A$2:$CD$78,MATCH('Yoy WAR OG'!$J8,'Withdrawal Working'!$A$2:$A$78,0),FALSE)&gt;0,MIN(HLOOKUP(CONCATENATE("Balance",DF$3-1),'Withdrawal Working'!$A$2:$CD$78,MATCH('Yoy WAR OG'!$J8,'Withdrawal Working'!$A$2:$A$78,0),0),DB8),0)),IF($K8=VLOOKUP(DB$2,$B:$H,7,0),DB8,)),0)</f>
        <v>0</v>
      </c>
      <c r="DE8" s="58">
        <f t="shared" ca="1" si="15"/>
        <v>0</v>
      </c>
      <c r="DH8" s="450">
        <f t="shared" ca="1" si="42"/>
        <v>2360279.0400000014</v>
      </c>
      <c r="DI8" s="58">
        <f>IF(OR(J8&gt;'NWGC - SCENARIOS'!$D$7,J8='NWGC - SCENARIOS'!$D$7),0,DI7*(1+'NWGC - SCENARIOS'!$L$5))</f>
        <v>0</v>
      </c>
      <c r="DJ8" s="58">
        <f ca="1">IFERROR(IF($K8&lt;VLOOKUP(DH$2,$B:$H,7,0),IF(DL$3=1,MIN($M8,DH8),IF(HLOOKUP(CONCATENATE("Balance",DL$3-1),'Withdrawal Working'!$A$2:$CD$78,MATCH('Yoy WAR OG'!$J8,'Withdrawal Working'!$A$2:$A$78,0),FALSE)&gt;0,MIN(HLOOKUP(CONCATENATE("Balance",DL$3-1),'Withdrawal Working'!$A$2:$CD$78,MATCH('Yoy WAR OG'!$J8,'Withdrawal Working'!$A$2:$A$78,0),0),DH8),0)),IF($K8=VLOOKUP(DH$2,$B:$H,7,0),DH8,)),0)</f>
        <v>0</v>
      </c>
      <c r="DK8" s="58">
        <f t="shared" ca="1" si="16"/>
        <v>2643512.5248000016</v>
      </c>
      <c r="DN8" s="450">
        <f t="shared" ca="1" si="43"/>
        <v>0</v>
      </c>
      <c r="DO8" s="58">
        <f ca="1">(VLOOKUP(DN$2,$B$1:$F$32,5,0)*$L8)+(VLOOKUP($K8,'Withdrawal Working'!$AD:$AE,2,0)*(IFERROR(VLOOKUP(DN$2,$B$35:$C$42,2,0),0)))</f>
        <v>0</v>
      </c>
      <c r="DP8" s="58">
        <f ca="1">IFERROR(IF($K8&lt;VLOOKUP(DN$2,$B:$H,7,0),IF(DR$3=1,MIN($M8,DN8),IF(HLOOKUP(CONCATENATE("Balance",DR$3-1),'Withdrawal Working'!$A$2:$CD$78,MATCH('Yoy WAR OG'!$J8,'Withdrawal Working'!$A$2:$A$78,0),FALSE)&gt;0,MIN(HLOOKUP(CONCATENATE("Balance",DR$3-1),'Withdrawal Working'!$A$2:$CD$78,MATCH('Yoy WAR OG'!$J8,'Withdrawal Working'!$A$2:$A$78,0),0),DN8),0)),IF($K8=VLOOKUP(DN$2,$B:$H,7,0),DN8,)),0)</f>
        <v>0</v>
      </c>
      <c r="DQ8" s="58">
        <f t="shared" ca="1" si="17"/>
        <v>0</v>
      </c>
      <c r="DT8" s="450">
        <f t="shared" ca="1" si="44"/>
        <v>0</v>
      </c>
      <c r="DU8" s="58">
        <f ca="1">(VLOOKUP(DT$2,$B$1:$F$32,5,0)*$L8)+(VLOOKUP($K8,'Withdrawal Working'!$AD:$AE,2,0)*(IFERROR(VLOOKUP(DT$2,$B$35:$C$42,2,0),0)))</f>
        <v>0</v>
      </c>
      <c r="DV8" s="58">
        <f ca="1">IFERROR(IF($K8&lt;VLOOKUP(DT$2,$B:$H,7,0),IF(DX$3=1,MIN($M8,DT8),IF(HLOOKUP(CONCATENATE("Balance",DX$3-1),'Withdrawal Working'!$A$2:$CD$78,MATCH('Yoy WAR OG'!$J8,'Withdrawal Working'!$A$2:$A$78,0),FALSE)&gt;0,MIN(HLOOKUP(CONCATENATE("Balance",DX$3-1),'Withdrawal Working'!$A$2:$CD$78,MATCH('Yoy WAR OG'!$J8,'Withdrawal Working'!$A$2:$A$78,0),0),DT8),0)),IF($K8=VLOOKUP(DT$2,$B:$H,7,0),DT8,)),0)</f>
        <v>0</v>
      </c>
      <c r="DW8" s="58">
        <f t="shared" ca="1" si="18"/>
        <v>0</v>
      </c>
      <c r="DZ8" s="450">
        <f t="shared" ca="1" si="45"/>
        <v>0</v>
      </c>
      <c r="EA8" s="58">
        <f ca="1">(VLOOKUP(DZ$2,$B$1:$F$32,5,0)*$L8)+(VLOOKUP($K8,'Withdrawal Working'!$AD:$AE,2,0)*(IFERROR(VLOOKUP(DZ$2,$B$35:$C$42,2,0),0)))</f>
        <v>0</v>
      </c>
      <c r="EB8" s="58">
        <f ca="1">IFERROR(IF($K8&lt;VLOOKUP(DZ$2,$B:$H,7,0),IF(ED$3=1,MIN($M8,DZ8),IF(HLOOKUP(CONCATENATE("Balance",ED$3-1),'Withdrawal Working'!$A$2:$CD$78,MATCH('Yoy WAR OG'!$J8,'Withdrawal Working'!$A$2:$A$78,0),FALSE)&gt;0,MIN(HLOOKUP(CONCATENATE("Balance",ED$3-1),'Withdrawal Working'!$A$2:$CD$78,MATCH('Yoy WAR OG'!$J8,'Withdrawal Working'!$A$2:$A$78,0),0),DZ8),0)),IF($K8=VLOOKUP(DZ$2,$B:$H,7,0),DZ8,)),0)</f>
        <v>0</v>
      </c>
      <c r="EC8" s="58">
        <f t="shared" ca="1" si="19"/>
        <v>0</v>
      </c>
      <c r="EF8" s="450">
        <f t="shared" ca="1" si="46"/>
        <v>0</v>
      </c>
      <c r="EG8" s="58">
        <f ca="1">(VLOOKUP(EF$2,$B$1:$F$32,5,0)*$L8)+(VLOOKUP($K8,'Withdrawal Working'!$AD:$AE,2,0)*(IFERROR(VLOOKUP(EF$2,$B$35:$C$42,2,0),0)))</f>
        <v>0</v>
      </c>
      <c r="EH8" s="58">
        <f ca="1">IFERROR(IF($K8&lt;VLOOKUP(EF$2,$B:$H,7,0),IF(EJ$3=1,MIN($M8,EF8),IF(HLOOKUP(CONCATENATE("Balance",EJ$3-1),'Withdrawal Working'!$A$2:$CD$78,MATCH('Yoy WAR OG'!$J8,'Withdrawal Working'!$A$2:$A$78,0),FALSE)&gt;0,MIN(HLOOKUP(CONCATENATE("Balance",EJ$3-1),'Withdrawal Working'!$A$2:$CD$78,MATCH('Yoy WAR OG'!$J8,'Withdrawal Working'!$A$2:$A$78,0),0),EF8),0)),IF($K8=VLOOKUP(EF$2,$B:$H,7,0),EF8,)),0)</f>
        <v>0</v>
      </c>
      <c r="EI8" s="58">
        <f t="shared" ca="1" si="20"/>
        <v>0</v>
      </c>
      <c r="EL8" s="450">
        <f t="shared" ca="1" si="47"/>
        <v>5140368.6759653995</v>
      </c>
      <c r="EM8" s="58">
        <f>IF(OR($J8&gt;'NWGC - SCENARIOS'!$D$7,$J8='NWGC - SCENARIOS'!$D$7),0,EM7)</f>
        <v>150000</v>
      </c>
      <c r="EN8" s="58">
        <f ca="1">IFERROR(IF($K8&lt;VLOOKUP(EL$2,$B:$H,7,0),IF(EP$3=1,MIN($M8,EL8),IF(HLOOKUP(CONCATENATE("Balance",EP$3-1),'Withdrawal Working'!$A$2:$CD$78,MATCH('Yoy WAR OG'!$J8,'Withdrawal Working'!$A$2:$A$78,0),FALSE)&gt;0,MIN(HLOOKUP(CONCATENATE("Balance",EP$3-1),'Withdrawal Working'!$A$2:$CD$78,MATCH('Yoy WAR OG'!$J8,'Withdrawal Working'!$A$2:$A$78,0),0),EL8),0)),IF($K8=VLOOKUP(EL$2,$B:$H,7,0),EL8,)),0)</f>
        <v>0</v>
      </c>
      <c r="EO8" s="58">
        <f t="shared" ca="1" si="21"/>
        <v>5655334.8519589426</v>
      </c>
      <c r="ER8" s="450">
        <f t="shared" ca="1" si="48"/>
        <v>44270335.156722486</v>
      </c>
      <c r="ES8" s="58">
        <f>IF(OR(J8&gt;'NWGC - SCENARIOS'!$D$7,J8='NWGC - SCENARIOS'!$D$7),0,ES7*(1+'NWGC - SCENARIOS'!$L$5))</f>
        <v>1807033.532677195</v>
      </c>
      <c r="ET8" s="58">
        <f ca="1">IFERROR(IF($K8&lt;VLOOKUP(ER$2,$B:$H,7,0),IF(EV$3=1,MIN($M8,ER8),IF(HLOOKUP(CONCATENATE("Balance",EV$3-1),'Withdrawal Working'!$A$2:$CD$78,MATCH('Yoy WAR OG'!$J8,'Withdrawal Working'!$A$2:$A$78,0),FALSE)&gt;0,MIN(HLOOKUP(CONCATENATE("Balance",EV$3-1),'Withdrawal Working'!$A$2:$CD$78,MATCH('Yoy WAR OG'!$J8,'Withdrawal Working'!$A$2:$A$78,0),0),ER8),0)),IF($K8=VLOOKUP(ER$2,$B:$H,7,0),ER8,)),0)</f>
        <v>0</v>
      </c>
      <c r="EU8" s="58">
        <f t="shared" ca="1" si="22"/>
        <v>49663265.837094203</v>
      </c>
      <c r="EX8" s="450">
        <f t="shared" ca="1" si="49"/>
        <v>12222889.729874998</v>
      </c>
      <c r="EY8" s="58">
        <f>IF(OR(J8&gt;'NWGC - SCENARIOS'!$D$7,J8='NWGC - SCENARIOS'!$D$7),0,EY7)</f>
        <v>1044000</v>
      </c>
      <c r="EZ8" s="58">
        <f ca="1">IFERROR(IF($K8&lt;VLOOKUP(EX$2,$B:$H,7,0),IF(FB$3=1,MIN($M8,EX8),IF(HLOOKUP(CONCATENATE("Balance",FB$3-1),'Withdrawal Working'!$A$2:$CD$78,MATCH('Yoy WAR OG'!$J8,'Withdrawal Working'!$A$2:$A$78,0),FALSE)&gt;0,MIN(HLOOKUP(CONCATENATE("Balance",FB$3-1),'Withdrawal Working'!$A$2:$CD$78,MATCH('Yoy WAR OG'!$J8,'Withdrawal Working'!$A$2:$A$78,0),0),EX8),0)),IF($K8=VLOOKUP(EX$2,$B:$H,7,0),EX8,)),0)</f>
        <v>0</v>
      </c>
      <c r="FA8" s="58">
        <f t="shared" ca="1" si="23"/>
        <v>14305835.356914373</v>
      </c>
    </row>
    <row r="9" spans="1:197" x14ac:dyDescent="0.3">
      <c r="A9" t="s">
        <v>366</v>
      </c>
      <c r="B9" t="str">
        <f>Networth!B9</f>
        <v>Debt Mutual Funds</v>
      </c>
      <c r="C9" s="58">
        <f>VLOOKUP('Yoy WAR OG'!B9,'WAR - Rev'!$A$1:$B$29,2,0)</f>
        <v>21473</v>
      </c>
      <c r="D9" s="313">
        <f>'WAR - Rev'!C7</f>
        <v>5.5E-2</v>
      </c>
      <c r="E9" s="313"/>
      <c r="F9" s="201">
        <v>0.4</v>
      </c>
      <c r="G9" s="58">
        <v>5</v>
      </c>
      <c r="H9" s="452"/>
      <c r="J9">
        <f>IFERROR('NWGC - SCENARIOS'!B16,0)</f>
        <v>54</v>
      </c>
      <c r="K9">
        <f>IFERROR('NWGC - SCENARIOS'!C16,0)</f>
        <v>2030</v>
      </c>
      <c r="L9" s="449">
        <f ca="1">IF(('NWGC - SCENARIOS'!G16-working!G7)&gt;'NWGC - SCENARIOS'!H16,'NWGC - SCENARIOS'!G16-'NWGC - SCENARIOS'!H16-working!G7,0)</f>
        <v>0</v>
      </c>
      <c r="M9" s="449">
        <f ca="1">IF(('NWGC - SCENARIOS'!G16-working!G7)&gt;'NWGC - SCENARIOS'!H16,0,'NWGC - SCENARIOS'!H16-'NWGC - SCENARIOS'!G16+working!G7)</f>
        <v>4949362.481698907</v>
      </c>
      <c r="N9" s="58">
        <f t="shared" ca="1" si="0"/>
        <v>59859689.22230196</v>
      </c>
      <c r="O9" s="58">
        <f t="shared" ca="1" si="1"/>
        <v>115816866.542317</v>
      </c>
      <c r="P9" s="58">
        <f t="shared" ca="1" si="24"/>
        <v>1781529.4584703115</v>
      </c>
      <c r="Q9" s="58">
        <f ca="1">(VLOOKUP(P$2,$B$1:$F$32,5,0)*$L9)+(VLOOKUP($K9,'Withdrawal Working'!$AD:$AE,2,0)*(IFERROR(VLOOKUP(P$2,$B$35:$C$42,2,0),0)))</f>
        <v>0</v>
      </c>
      <c r="R9" s="58">
        <f ca="1">IFERROR(IF($K9&lt;VLOOKUP(P$2,$B:$H,7,0),IF(T$3=1,MIN($M9,P9),IF(HLOOKUP(CONCATENATE("Balance",T$3-1),'Withdrawal Working'!$A$2:$CD$78,MATCH('Yoy WAR OG'!$J9,'Withdrawal Working'!$A$2:$A$78,0),FALSE)&gt;0,MIN(HLOOKUP(CONCATENATE("Balance",T$3-1),'Withdrawal Working'!$A$2:$CD$78,MATCH('Yoy WAR OG'!$J9,'Withdrawal Working'!$A$2:$A$78,0),0),P9),0)),IF($K9=VLOOKUP(P$2,$B:$H,7,0),P9,)),0)</f>
        <v>1781529.4584703115</v>
      </c>
      <c r="S9" s="58">
        <f t="shared" ca="1" si="26"/>
        <v>0</v>
      </c>
      <c r="T9" s="58"/>
      <c r="V9" s="58">
        <f t="shared" ca="1" si="27"/>
        <v>0</v>
      </c>
      <c r="W9" s="58">
        <f ca="1">(VLOOKUP(V$2,$B$1:$F$32,5,0)*$L9)+(VLOOKUP($K9,'Withdrawal Working'!$AD:$AE,2,0)*(IFERROR(VLOOKUP(V$2,$B$35:$C$42,2,0),0)))</f>
        <v>0</v>
      </c>
      <c r="X9" s="58">
        <f ca="1">IFERROR(IF($K9&lt;VLOOKUP(V$2,$B:$H,7,0),IF(Z$3=1,MIN($M9,V9),IF(HLOOKUP(CONCATENATE("Balance",Z$3-1),'Withdrawal Working'!$A$2:$CD$78,MATCH('Yoy WAR OG'!$J9,'Withdrawal Working'!$A$2:$A$78,0),FALSE)&gt;0,MIN(HLOOKUP(CONCATENATE("Balance",Z$3-1),'Withdrawal Working'!$A$2:$CD$78,MATCH('Yoy WAR OG'!$J9,'Withdrawal Working'!$A$2:$A$78,0),0),V9),0)),IF($K9=VLOOKUP(V$2,$B:$H,7,0),V9,)),0)</f>
        <v>0</v>
      </c>
      <c r="Y9" s="58">
        <f t="shared" ca="1" si="2"/>
        <v>0</v>
      </c>
      <c r="AB9" s="58">
        <f t="shared" ca="1" si="28"/>
        <v>435405.54681259941</v>
      </c>
      <c r="AC9" s="58">
        <f ca="1">(VLOOKUP(AB$2,$B$1:$F$32,5,0)*$L9)+(VLOOKUP($K9,'Withdrawal Working'!$AD:$AE,2,0)*(IFERROR(VLOOKUP(AB$2,$B$35:$C$42,2,0),0)))</f>
        <v>0</v>
      </c>
      <c r="AD9" s="58">
        <f ca="1">IFERROR(IF($K9&lt;VLOOKUP(AB$2,$B:$H,7,0),IF(AF$3=1,MIN($M9,AB9),IF(HLOOKUP(CONCATENATE("Balance",AF$3-1),'Withdrawal Working'!$A$2:$CD$78,MATCH('Yoy WAR OG'!$J9,'Withdrawal Working'!$A$2:$A$78,0),FALSE)&gt;0,MIN(HLOOKUP(CONCATENATE("Balance",AF$3-1),'Withdrawal Working'!$A$2:$CD$78,MATCH('Yoy WAR OG'!$J9,'Withdrawal Working'!$A$2:$A$78,0),0),AB9),0)),IF($K9=VLOOKUP(AB$2,$B:$H,7,0),AB9,)),0)</f>
        <v>0</v>
      </c>
      <c r="AE9" s="58">
        <f t="shared" ca="1" si="3"/>
        <v>483300.1569619854</v>
      </c>
      <c r="AH9" s="58">
        <f t="shared" ca="1" si="29"/>
        <v>35064790.826924756</v>
      </c>
      <c r="AI9" s="58">
        <f ca="1">(VLOOKUP(AH$2,$B$1:$F$32,5,0)*$L9)+IF(J9&gt;'NWGC - SCENARIOS'!$D$7,0,(VLOOKUP($K9,'Withdrawal Working'!$AD:$AE,2,0)*(IFERROR(VLOOKUP(AH$2,$B$35:$C$42,2,0),0))))</f>
        <v>0</v>
      </c>
      <c r="AJ9" s="58">
        <f ca="1">IFERROR(IF($J9&gt;'NWGC - SCENARIOS'!$D$7,MIN('Yoy WAR OG'!AH9,VLOOKUP('Yoy WAR OG'!$J9,'Withdrawal Working'!BC:BD,2,0)),IF(AL$3=1,$M9,IF(HLOOKUP(CONCATENATE("Balance",AL$3-1),'Withdrawal Working'!$A$2:$CD$78,MATCH('Yoy WAR OG'!$J9,'Withdrawal Working'!$A$2:$A$78,0),FALSE)&gt;0,MIN(HLOOKUP(CONCATENATE("Balance",AL$3-1),'Withdrawal Working'!$A$2:$CD$78,MATCH('Yoy WAR OG'!$J9,'Withdrawal Working'!$A$2:$A$78,0),0),AH9),0))),0)</f>
        <v>0</v>
      </c>
      <c r="AK9" s="58">
        <f t="shared" ca="1" si="4"/>
        <v>38921917.817886479</v>
      </c>
      <c r="AN9" s="450">
        <f t="shared" ca="1" si="30"/>
        <v>15312034.057723815</v>
      </c>
      <c r="AO9" s="58">
        <f ca="1">IF(J9&gt;'NWGC - SCENARIOS'!$D$7,(IF(AJ9=0,0,'Yoy WAR OG'!AJ9)+(VLOOKUP(AN$2,$B$1:$F$32,5,0)*$L9)),(VLOOKUP(AN$2,$B$1:$F$32,5,0)*$L9)+(VLOOKUP($K9,'Withdrawal Working'!$AD:$AE,2,0)*(IFERROR(VLOOKUP(AN$2,$B$35:$C$42,2,0),0))))</f>
        <v>0</v>
      </c>
      <c r="AP9" s="470">
        <f ca="1">IFERROR(IF($K9&lt;&gt;VLOOKUP(AN$2,$B:$H,7,0),IF(AR$3=1,MIN($M9,AN9),IF(HLOOKUP(CONCATENATE("Balance",AR$3-1),'Withdrawal Working'!$A$2:$CD$78,MATCH('Yoy WAR OG'!$J9,'Withdrawal Working'!$A$2:$A$78,0),FALSE)&gt;0,MIN(HLOOKUP(CONCATENATE("Balance",AR$3-1),'Withdrawal Working'!$A$2:$CD$78,MATCH('Yoy WAR OG'!$J9,'Withdrawal Working'!$A$2:$A$78,0),0),AN9),0)),IF($K9=VLOOKUP(AN$2,$B:$H,7,0),AN9,)),0)</f>
        <v>184806.89783083089</v>
      </c>
      <c r="AQ9" s="58">
        <f ca="1">IF(AO9&lt;0,0,IF(J9&gt;'NWGC - SCENARIOS'!$D$7,((AN9-AP9+AO9)*(1+(IFERROR(VLOOKUP(AN$2,$B:$D,3,0),0)))),((AN9-AP9)*(1+(IFERROR(VLOOKUP(AN$2,$B:$D,3,0),0))))+AO9))</f>
        <v>15959224.653687097</v>
      </c>
      <c r="AT9" s="450">
        <f t="shared" ca="1" si="31"/>
        <v>2657606.6895884844</v>
      </c>
      <c r="AU9" s="58">
        <f ca="1">(VLOOKUP(AT$2,$B$1:$F$32,5,0)*$L9)+(VLOOKUP($K9,'Withdrawal Working'!$AD:$AE,2,0)*(IFERROR(VLOOKUP(AT$2,$B$35:$C$42,2,0),0)))</f>
        <v>0</v>
      </c>
      <c r="AV9" s="58">
        <f ca="1">IFERROR(IF($K9&lt;VLOOKUP(AT$2,$B:$H,7,0),IF(AX$3=1,MIN($M9,AT9),IF(HLOOKUP(CONCATENATE("Balance",AX$3-1),'Withdrawal Working'!$A$2:$CD$78,MATCH('Yoy WAR OG'!$J9,'Withdrawal Working'!$A$2:$A$78,0),FALSE)&gt;0,MIN(HLOOKUP(CONCATENATE("Balance",AX$3-1),'Withdrawal Working'!$A$2:$CD$78,MATCH('Yoy WAR OG'!$J9,'Withdrawal Working'!$A$2:$A$78,0),0),AT9),0)),IF($K9=VLOOKUP(AT$2,$B:$H,7,0),AT9,)),0)</f>
        <v>2657606.6895884844</v>
      </c>
      <c r="AW9" s="58">
        <f t="shared" ca="1" si="5"/>
        <v>0</v>
      </c>
      <c r="AZ9" s="450">
        <f t="shared" ca="1" si="32"/>
        <v>5610206.9228000008</v>
      </c>
      <c r="BA9" s="58">
        <f ca="1">(VLOOKUP(AZ$2,$B$1:$F$32,5,0)*$L9)+(VLOOKUP($K9,'Withdrawal Working'!$AD:$AE,2,0)*(IFERROR(VLOOKUP(AZ$2,$B$35:$C$42,2,0),0)))</f>
        <v>0</v>
      </c>
      <c r="BB9" s="58">
        <f>IFERROR(IF($K9&lt;VLOOKUP(AZ$2,$B:$H,7,0),IF(BD$3=1,MIN($M9,AZ9),IF(HLOOKUP(CONCATENATE("Balance",BD$3-1),'Withdrawal Working'!$A$2:$CD$78,MATCH('Yoy WAR OG'!$J9,'Withdrawal Working'!$A$2:$A$78,0),FALSE)&gt;0,MIN(HLOOKUP(CONCATENATE("Balance",BD$3-1),'Withdrawal Working'!$A$2:$CD$78,MATCH('Yoy WAR OG'!$J9,'Withdrawal Working'!$A$2:$A$78,0),0),AZ9),0)),IF($K9=VLOOKUP(AZ$2,$B:$H,7,0),AZ9,)),0)</f>
        <v>0</v>
      </c>
      <c r="BC9" s="58">
        <f t="shared" ca="1" si="6"/>
        <v>6002921.4073960008</v>
      </c>
      <c r="BF9" s="450">
        <f t="shared" ca="1" si="33"/>
        <v>325419.43580928014</v>
      </c>
      <c r="BG9" s="58">
        <f ca="1">(VLOOKUP(BF$2,$B$1:$F$32,5,0)*$L9)+(VLOOKUP($K9,'Withdrawal Working'!$AD:$AE,2,0)*(IFERROR(VLOOKUP(BF$2,$B$35:$C$42,2,0),0)))</f>
        <v>0</v>
      </c>
      <c r="BH9" s="58">
        <f ca="1">IFERROR(IF($K9&lt;VLOOKUP(BF$2,$B:$H,7,0),IF(BJ$3=1,MIN($M9,BF9),IF(HLOOKUP(CONCATENATE("Balance",BJ$3-1),'Withdrawal Working'!$A$2:$CD$78,MATCH('Yoy WAR OG'!$J9,'Withdrawal Working'!$A$2:$A$78,0),FALSE)&gt;0,MIN(HLOOKUP(CONCATENATE("Balance",BJ$3-1),'Withdrawal Working'!$A$2:$CD$78,MATCH('Yoy WAR OG'!$J9,'Withdrawal Working'!$A$2:$A$78,0),0),BF9),0)),IF($K9=VLOOKUP(BF$2,$B:$H,7,0),BF9,)),0)</f>
        <v>325419.43580928014</v>
      </c>
      <c r="BI9" s="58">
        <f t="shared" ca="1" si="7"/>
        <v>0</v>
      </c>
      <c r="BL9" s="450">
        <f t="shared" ca="1" si="34"/>
        <v>0</v>
      </c>
      <c r="BM9" s="58">
        <f ca="1">(VLOOKUP(BL$2,$B$1:$F$32,5,0)*$L9)+(VLOOKUP($K9,'Withdrawal Working'!$AD:$AE,2,0)*(IFERROR(VLOOKUP(BL$2,$B$35:$C$42,2,0),0)))</f>
        <v>0</v>
      </c>
      <c r="BN9" s="58">
        <f ca="1">IFERROR(IF($K9&lt;VLOOKUP(BL$2,$B:$H,7,0),IF(BP$3=1,MIN($M9,BL9),IF(HLOOKUP(CONCATENATE("Balance",BP$3-1),'Withdrawal Working'!$A$2:$CD$78,MATCH('Yoy WAR OG'!$J9,'Withdrawal Working'!$A$2:$A$78,0),FALSE)&gt;0,MIN(HLOOKUP(CONCATENATE("Balance",BP$3-1),'Withdrawal Working'!$A$2:$CD$78,MATCH('Yoy WAR OG'!$J9,'Withdrawal Working'!$A$2:$A$78,0),0),BL9),0)),IF($K9=VLOOKUP(BL$2,$B:$H,7,0),BL9,)),0)</f>
        <v>0</v>
      </c>
      <c r="BO9" s="58">
        <f t="shared" ca="1" si="8"/>
        <v>0</v>
      </c>
      <c r="BR9" s="450">
        <f t="shared" ca="1" si="35"/>
        <v>3221020.0000000009</v>
      </c>
      <c r="BS9" s="58">
        <f ca="1">(VLOOKUP(BR$2,$B$1:$F$32,5,0)*$L9)+(VLOOKUP($K9,'Withdrawal Working'!$AD:$AE,2,0)*(IFERROR(VLOOKUP(BR$2,$B$35:$C$42,2,0),0)))</f>
        <v>0</v>
      </c>
      <c r="BT9" s="58">
        <f ca="1">IFERROR(IF($K9&lt;VLOOKUP(BR$2,$B:$H,7,0),IF(BV$3=1,MIN($M9,BR9),IF(HLOOKUP(CONCATENATE("Balance",BV$3-1),'Withdrawal Working'!$A$2:$CD$78,MATCH('Yoy WAR OG'!$J9,'Withdrawal Working'!$A$2:$A$78,0),FALSE)&gt;0,MIN(HLOOKUP(CONCATENATE("Balance",BV$3-1),'Withdrawal Working'!$A$2:$CD$78,MATCH('Yoy WAR OG'!$J9,'Withdrawal Working'!$A$2:$A$78,0),0),BR9),0)),IF($K9=VLOOKUP(BR$2,$B:$H,7,0),BR9,)),0)</f>
        <v>0</v>
      </c>
      <c r="BU9" s="58">
        <f t="shared" ca="1" si="9"/>
        <v>3543122.0000000014</v>
      </c>
      <c r="BX9" s="450">
        <f t="shared" ca="1" si="36"/>
        <v>881596.84608000028</v>
      </c>
      <c r="BY9" s="58">
        <f ca="1">(VLOOKUP(BX$2,$B$1:$F$32,5,0)*$L9)+(VLOOKUP($K9,'Withdrawal Working'!$AD:$AE,2,0)*(IFERROR(VLOOKUP(BX$2,$B$35:$C$42,2,0),0)))</f>
        <v>0</v>
      </c>
      <c r="BZ9" s="58">
        <f ca="1">IFERROR(IF($K9&lt;VLOOKUP(BX$2,$B:$H,7,0),IF(CB$3=1,MIN($M9,BX9),IF(HLOOKUP(CONCATENATE("Balance",CB$3-1),'Withdrawal Working'!$A$2:$CD$78,MATCH('Yoy WAR OG'!$J9,'Withdrawal Working'!$A$2:$A$78,0),FALSE)&gt;0,MIN(HLOOKUP(CONCATENATE("Balance",CB$3-1),'Withdrawal Working'!$A$2:$CD$78,MATCH('Yoy WAR OG'!$J9,'Withdrawal Working'!$A$2:$A$78,0),0),BX9),0)),IF($K9=VLOOKUP(BX$2,$B:$H,7,0),BX9,)),0)</f>
        <v>0</v>
      </c>
      <c r="CA9" s="58">
        <f t="shared" ca="1" si="10"/>
        <v>952124.59376640036</v>
      </c>
      <c r="CD9" s="450">
        <f t="shared" ca="1" si="37"/>
        <v>9853829.6315499991</v>
      </c>
      <c r="CE9" s="58">
        <f ca="1">(VLOOKUP(CD$2,$B$1:$F$32,5,0)*$L9)+(VLOOKUP($K9,'Withdrawal Working'!$AD:$AE,2,0)*(IFERROR(VLOOKUP(CD$2,$B$35:$C$42,2,0),0)))+SUMIFS('Key Life Events'!$I$3:$I$28,'Key Life Events'!$H$3:$H$28,"House",'Key Life Events'!$E$3:$E$28,'Yoy WAR OG'!K9)</f>
        <v>11592740.742999999</v>
      </c>
      <c r="CF9" s="58">
        <f>IFERROR(IF($K9&lt;VLOOKUP(CD$2,$B:$H,7,0),IF(CH$3=1,MIN($M9,CD9),IF(HLOOKUP(CONCATENATE("Balance",CH$3-1),'Withdrawal Working'!$A$2:$CD$78,MATCH('Yoy WAR OG'!$J9,'Withdrawal Working'!$A$2:$A$78,0),FALSE)&gt;0,MIN(HLOOKUP(CONCATENATE("Balance",CH$3-1),'Withdrawal Working'!$A$2:$CD$78,MATCH('Yoy WAR OG'!$J9,'Withdrawal Working'!$A$2:$A$78,0),0),CD9),0)),IF($K9=VLOOKUP(CD$2,$B:$H,7,0),CD9,)),0)</f>
        <v>0</v>
      </c>
      <c r="CG9" s="58">
        <f t="shared" ca="1" si="11"/>
        <v>21742185.263496496</v>
      </c>
      <c r="CJ9" s="450">
        <f t="shared" ca="1" si="38"/>
        <v>0</v>
      </c>
      <c r="CK9" s="58">
        <f ca="1">(VLOOKUP(CJ$2,$B$1:$F$32,5,0)*$L9)+(VLOOKUP($K9,'Withdrawal Working'!$AD:$AE,2,0)*(IFERROR(VLOOKUP(CJ$2,$B$35:$C$42,2,0),0)))+SUMIFS('Key Life Events'!$I$3:$I$28,'Key Life Events'!$H$3:$H$28,"House2",'Key Life Events'!$E$3:$E$28,'Yoy WAR OG'!K9)</f>
        <v>0</v>
      </c>
      <c r="CL9" s="58">
        <f ca="1">IF(IFERROR(IF($K9&lt;&gt;VLOOKUP(CJ$2,$B:$H,7,0),IF(CN$3=1,MIN($M9,CJ9),IF(HLOOKUP(CONCATENATE("Balance",CN$3-1),'Withdrawal Working'!$A$2:$CD$78,MATCH('Yoy WAR OG'!$J9,'Withdrawal Working'!$A$2:$A$78,0),FALSE)&gt;0,MIN(HLOOKUP(CONCATENATE("Balance",CN$3-1),'Withdrawal Working'!$A$2:$CD$78,MATCH('Yoy WAR OG'!$J9,'Withdrawal Working'!$A$2:$A$78,0),0),CJ9),0)),IF($K9=VLOOKUP(CJ$2,$B:$H,7,0),CJ9,)),0)&gt;0,CJ9,0)</f>
        <v>0</v>
      </c>
      <c r="CM9" s="58">
        <f t="shared" ca="1" si="12"/>
        <v>0</v>
      </c>
      <c r="CP9" s="450">
        <f t="shared" ca="1" si="39"/>
        <v>3190703.90625</v>
      </c>
      <c r="CQ9" s="58">
        <f ca="1">(VLOOKUP(CP$2,$B$1:$F$32,5,0)*$L9)+(VLOOKUP($K9,'Withdrawal Working'!$AD:$AE,2,0)*(IFERROR(VLOOKUP(CP$2,$B$35:$C$42,2,0),0)))+SUMIFS('Key Life Events'!$I$3:$I$28,'Key Life Events'!$H$3:$H$28,"Land",'Key Life Events'!$E$3:$E$28,'Yoy WAR OG'!K9)</f>
        <v>0</v>
      </c>
      <c r="CR9" s="58">
        <f>IFERROR(IF($K9&lt;VLOOKUP(CP$2,$B:$H,7,0),IF(CT$3=1,MIN($M9,CP9),IF(HLOOKUP(CONCATENATE("Balance",CT$3-1),'Withdrawal Working'!$A$2:$CD$78,MATCH('Yoy WAR OG'!$J9,'Withdrawal Working'!$A$2:$A$78,0),FALSE)&gt;0,MIN(HLOOKUP(CONCATENATE("Balance",CT$3-1),'Withdrawal Working'!$A$2:$CD$78,MATCH('Yoy WAR OG'!$J9,'Withdrawal Working'!$A$2:$A$78,0),0),CP9),0)),IF($K9=VLOOKUP(CP$2,$B:$H,7,0),CP9,)),0)</f>
        <v>0</v>
      </c>
      <c r="CS9" s="58">
        <f t="shared" ca="1" si="13"/>
        <v>3350239.1015625</v>
      </c>
      <c r="CV9" s="450">
        <f t="shared" ca="1" si="40"/>
        <v>2959683.135416205</v>
      </c>
      <c r="CW9" s="58">
        <f t="shared" si="25"/>
        <v>150000</v>
      </c>
      <c r="CX9" s="58">
        <f ca="1">IFERROR(IF($K9&lt;VLOOKUP(CV$2,$B:$H,7,0),IF(CZ$3=1,MIN($M9,CV9),IF(HLOOKUP(CONCATENATE("Balance",CZ$3-1),'Withdrawal Working'!$A$2:$CD$78,MATCH('Yoy WAR OG'!$J9,'Withdrawal Working'!$A$2:$A$78,0),FALSE)&gt;0,MIN(HLOOKUP(CONCATENATE("Balance",CZ$3-1),'Withdrawal Working'!$A$2:$CD$78,MATCH('Yoy WAR OG'!$J9,'Withdrawal Working'!$A$2:$A$78,0),0),CV9),0)),IF($K9=VLOOKUP(CV$2,$B:$H,7,0),CV9,)),0)</f>
        <v>0</v>
      </c>
      <c r="CY9" s="58">
        <f t="shared" ca="1" si="14"/>
        <v>3352377.1525203339</v>
      </c>
      <c r="DB9" s="450">
        <f t="shared" ca="1" si="41"/>
        <v>0</v>
      </c>
      <c r="DC9" s="58">
        <f ca="1">(VLOOKUP(DB$2,$B$1:$F$32,5,0)*$L9)+(VLOOKUP($K9,'Withdrawal Working'!$AD:$AE,2,0)*(IFERROR(VLOOKUP(DB$2,$B$35:$C$42,2,0),0)))</f>
        <v>0</v>
      </c>
      <c r="DD9" s="58">
        <f ca="1">IFERROR(IF($K9&lt;VLOOKUP(DB$2,$B:$H,7,0),IF(DF$3=1,MIN($M9,DB9),IF(HLOOKUP(CONCATENATE("Balance",DF$3-1),'Withdrawal Working'!$A$2:$CD$78,MATCH('Yoy WAR OG'!$J9,'Withdrawal Working'!$A$2:$A$78,0),FALSE)&gt;0,MIN(HLOOKUP(CONCATENATE("Balance",DF$3-1),'Withdrawal Working'!$A$2:$CD$78,MATCH('Yoy WAR OG'!$J9,'Withdrawal Working'!$A$2:$A$78,0),0),DB9),0)),IF($K9=VLOOKUP(DB$2,$B:$H,7,0),DB9,)),0)</f>
        <v>0</v>
      </c>
      <c r="DE9" s="58">
        <f t="shared" ca="1" si="15"/>
        <v>0</v>
      </c>
      <c r="DH9" s="450">
        <f t="shared" ca="1" si="42"/>
        <v>2643512.5248000016</v>
      </c>
      <c r="DI9" s="58">
        <f>IF(OR(J9&gt;'NWGC - SCENARIOS'!$D$7,J9='NWGC - SCENARIOS'!$D$7),0,DI8*(1+'NWGC - SCENARIOS'!$L$5))</f>
        <v>0</v>
      </c>
      <c r="DJ9" s="58">
        <f ca="1">IFERROR(IF($K9&lt;VLOOKUP(DH$2,$B:$H,7,0),IF(DL$3=1,MIN($M9,DH9),IF(HLOOKUP(CONCATENATE("Balance",DL$3-1),'Withdrawal Working'!$A$2:$CD$78,MATCH('Yoy WAR OG'!$J9,'Withdrawal Working'!$A$2:$A$78,0),FALSE)&gt;0,MIN(HLOOKUP(CONCATENATE("Balance",DL$3-1),'Withdrawal Working'!$A$2:$CD$78,MATCH('Yoy WAR OG'!$J9,'Withdrawal Working'!$A$2:$A$78,0),0),DH9),0)),IF($K9=VLOOKUP(DH$2,$B:$H,7,0),DH9,)),0)</f>
        <v>0</v>
      </c>
      <c r="DK9" s="58">
        <f t="shared" ca="1" si="16"/>
        <v>2960734.027776002</v>
      </c>
      <c r="DN9" s="450">
        <f t="shared" ca="1" si="43"/>
        <v>0</v>
      </c>
      <c r="DO9" s="58">
        <f ca="1">(VLOOKUP(DN$2,$B$1:$F$32,5,0)*$L9)+(VLOOKUP($K9,'Withdrawal Working'!$AD:$AE,2,0)*(IFERROR(VLOOKUP(DN$2,$B$35:$C$42,2,0),0)))</f>
        <v>0</v>
      </c>
      <c r="DP9" s="58">
        <f ca="1">IFERROR(IF($K9&lt;VLOOKUP(DN$2,$B:$H,7,0),IF(DR$3=1,MIN($M9,DN9),IF(HLOOKUP(CONCATENATE("Balance",DR$3-1),'Withdrawal Working'!$A$2:$CD$78,MATCH('Yoy WAR OG'!$J9,'Withdrawal Working'!$A$2:$A$78,0),FALSE)&gt;0,MIN(HLOOKUP(CONCATENATE("Balance",DR$3-1),'Withdrawal Working'!$A$2:$CD$78,MATCH('Yoy WAR OG'!$J9,'Withdrawal Working'!$A$2:$A$78,0),0),DN9),0)),IF($K9=VLOOKUP(DN$2,$B:$H,7,0),DN9,)),0)</f>
        <v>0</v>
      </c>
      <c r="DQ9" s="58">
        <f t="shared" ca="1" si="17"/>
        <v>0</v>
      </c>
      <c r="DT9" s="450">
        <f t="shared" ca="1" si="44"/>
        <v>0</v>
      </c>
      <c r="DU9" s="58">
        <f ca="1">(VLOOKUP(DT$2,$B$1:$F$32,5,0)*$L9)+(VLOOKUP($K9,'Withdrawal Working'!$AD:$AE,2,0)*(IFERROR(VLOOKUP(DT$2,$B$35:$C$42,2,0),0)))</f>
        <v>0</v>
      </c>
      <c r="DV9" s="58">
        <f ca="1">IFERROR(IF($K9&lt;VLOOKUP(DT$2,$B:$H,7,0),IF(DX$3=1,MIN($M9,DT9),IF(HLOOKUP(CONCATENATE("Balance",DX$3-1),'Withdrawal Working'!$A$2:$CD$78,MATCH('Yoy WAR OG'!$J9,'Withdrawal Working'!$A$2:$A$78,0),FALSE)&gt;0,MIN(HLOOKUP(CONCATENATE("Balance",DX$3-1),'Withdrawal Working'!$A$2:$CD$78,MATCH('Yoy WAR OG'!$J9,'Withdrawal Working'!$A$2:$A$78,0),0),DT9),0)),IF($K9=VLOOKUP(DT$2,$B:$H,7,0),DT9,)),0)</f>
        <v>0</v>
      </c>
      <c r="DW9" s="58">
        <f t="shared" ca="1" si="18"/>
        <v>0</v>
      </c>
      <c r="DZ9" s="450">
        <f t="shared" ca="1" si="45"/>
        <v>0</v>
      </c>
      <c r="EA9" s="58">
        <f ca="1">(VLOOKUP(DZ$2,$B$1:$F$32,5,0)*$L9)+(VLOOKUP($K9,'Withdrawal Working'!$AD:$AE,2,0)*(IFERROR(VLOOKUP(DZ$2,$B$35:$C$42,2,0),0)))</f>
        <v>0</v>
      </c>
      <c r="EB9" s="58">
        <f ca="1">IFERROR(IF($K9&lt;VLOOKUP(DZ$2,$B:$H,7,0),IF(ED$3=1,MIN($M9,DZ9),IF(HLOOKUP(CONCATENATE("Balance",ED$3-1),'Withdrawal Working'!$A$2:$CD$78,MATCH('Yoy WAR OG'!$J9,'Withdrawal Working'!$A$2:$A$78,0),FALSE)&gt;0,MIN(HLOOKUP(CONCATENATE("Balance",ED$3-1),'Withdrawal Working'!$A$2:$CD$78,MATCH('Yoy WAR OG'!$J9,'Withdrawal Working'!$A$2:$A$78,0),0),DZ9),0)),IF($K9=VLOOKUP(DZ$2,$B:$H,7,0),DZ9,)),0)</f>
        <v>0</v>
      </c>
      <c r="EC9" s="58">
        <f t="shared" ca="1" si="19"/>
        <v>0</v>
      </c>
      <c r="EF9" s="450">
        <f t="shared" ca="1" si="46"/>
        <v>0</v>
      </c>
      <c r="EG9" s="58">
        <f ca="1">(VLOOKUP(EF$2,$B$1:$F$32,5,0)*$L9)+(VLOOKUP($K9,'Withdrawal Working'!$AD:$AE,2,0)*(IFERROR(VLOOKUP(EF$2,$B$35:$C$42,2,0),0)))</f>
        <v>0</v>
      </c>
      <c r="EH9" s="58">
        <f ca="1">IFERROR(IF($K9&lt;VLOOKUP(EF$2,$B:$H,7,0),IF(EJ$3=1,MIN($M9,EF9),IF(HLOOKUP(CONCATENATE("Balance",EJ$3-1),'Withdrawal Working'!$A$2:$CD$78,MATCH('Yoy WAR OG'!$J9,'Withdrawal Working'!$A$2:$A$78,0),FALSE)&gt;0,MIN(HLOOKUP(CONCATENATE("Balance",EJ$3-1),'Withdrawal Working'!$A$2:$CD$78,MATCH('Yoy WAR OG'!$J9,'Withdrawal Working'!$A$2:$A$78,0),0),EF9),0)),IF($K9=VLOOKUP(EF$2,$B:$H,7,0),EF9,)),0)</f>
        <v>0</v>
      </c>
      <c r="EI9" s="58">
        <f t="shared" ca="1" si="20"/>
        <v>0</v>
      </c>
      <c r="EL9" s="450">
        <f t="shared" ca="1" si="47"/>
        <v>5655334.8519589426</v>
      </c>
      <c r="EM9" s="58">
        <f>IF(OR($J9&gt;'NWGC - SCENARIOS'!$D$7,$J9='NWGC - SCENARIOS'!$D$7),0,EM8)</f>
        <v>150000</v>
      </c>
      <c r="EN9" s="58">
        <f ca="1">IFERROR(IF($K9&lt;VLOOKUP(EL$2,$B:$H,7,0),IF(EP$3=1,MIN($M9,EL9),IF(HLOOKUP(CONCATENATE("Balance",EP$3-1),'Withdrawal Working'!$A$2:$CD$78,MATCH('Yoy WAR OG'!$J9,'Withdrawal Working'!$A$2:$A$78,0),FALSE)&gt;0,MIN(HLOOKUP(CONCATENATE("Balance",EP$3-1),'Withdrawal Working'!$A$2:$CD$78,MATCH('Yoy WAR OG'!$J9,'Withdrawal Working'!$A$2:$A$78,0),0),EL9),0)),IF($K9=VLOOKUP(EL$2,$B:$H,7,0),EL9,)),0)</f>
        <v>0</v>
      </c>
      <c r="EO9" s="58">
        <f t="shared" ca="1" si="21"/>
        <v>6206863.6264480269</v>
      </c>
      <c r="ER9" s="450">
        <f t="shared" ca="1" si="48"/>
        <v>49663265.837094203</v>
      </c>
      <c r="ES9" s="58">
        <f>IF(OR(J9&gt;'NWGC - SCENARIOS'!$D$7,J9='NWGC - SCENARIOS'!$D$7),0,ES8*(1+'NWGC - SCENARIOS'!$L$5))</f>
        <v>1949724.23096672</v>
      </c>
      <c r="ET9" s="58">
        <f ca="1">IFERROR(IF($K9&lt;VLOOKUP(ER$2,$B:$H,7,0),IF(EV$3=1,MIN($M9,ER9),IF(HLOOKUP(CONCATENATE("Balance",EV$3-1),'Withdrawal Working'!$A$2:$CD$78,MATCH('Yoy WAR OG'!$J9,'Withdrawal Working'!$A$2:$A$78,0),FALSE)&gt;0,MIN(HLOOKUP(CONCATENATE("Balance",EV$3-1),'Withdrawal Working'!$A$2:$CD$78,MATCH('Yoy WAR OG'!$J9,'Withdrawal Working'!$A$2:$A$78,0),0),ER9),0)),IF($K9=VLOOKUP(ER$2,$B:$H,7,0),ER9,)),0)</f>
        <v>0</v>
      </c>
      <c r="EU9" s="58">
        <f t="shared" ca="1" si="22"/>
        <v>55635714.60086555</v>
      </c>
      <c r="EX9" s="450">
        <f t="shared" ca="1" si="49"/>
        <v>14305835.356914373</v>
      </c>
      <c r="EY9" s="58">
        <f>IF(OR(J9&gt;'NWGC - SCENARIOS'!$D$7,J9='NWGC - SCENARIOS'!$D$7),0,EY8)</f>
        <v>1044000</v>
      </c>
      <c r="EZ9" s="58">
        <f ca="1">IFERROR(IF($K9&lt;VLOOKUP(EX$2,$B:$H,7,0),IF(FB$3=1,MIN($M9,EX9),IF(HLOOKUP(CONCATENATE("Balance",FB$3-1),'Withdrawal Working'!$A$2:$CD$78,MATCH('Yoy WAR OG'!$J9,'Withdrawal Working'!$A$2:$A$78,0),FALSE)&gt;0,MIN(HLOOKUP(CONCATENATE("Balance",FB$3-1),'Withdrawal Working'!$A$2:$CD$78,MATCH('Yoy WAR OG'!$J9,'Withdrawal Working'!$A$2:$A$78,0),0),EX9),0)),IF($K9=VLOOKUP(EX$2,$B:$H,7,0),EX9,)),0)</f>
        <v>0</v>
      </c>
      <c r="FA9" s="58">
        <f t="shared" ca="1" si="23"/>
        <v>16565831.362252094</v>
      </c>
    </row>
    <row r="10" spans="1:197" s="448" customFormat="1" x14ac:dyDescent="0.3">
      <c r="A10" s="448" t="s">
        <v>366</v>
      </c>
      <c r="B10" s="448" t="str">
        <f>Networth!B10</f>
        <v>Hybrid</v>
      </c>
      <c r="C10" s="565">
        <f>VLOOKUP('Yoy WAR OG'!B10,'WAR - Rev'!$A$1:$B$29,2,0)</f>
        <v>1727262</v>
      </c>
      <c r="D10" s="566">
        <f>'WAR - Rev'!C8</f>
        <v>0.09</v>
      </c>
      <c r="E10" s="567"/>
      <c r="G10" s="565">
        <v>4</v>
      </c>
      <c r="H10" s="568">
        <f>VLOOKUP('NWGC - SCENARIOS'!$D$7,'NWGC - SCENARIOS'!$B$11:$C$67,2,0)</f>
        <v>2031</v>
      </c>
      <c r="J10" s="448">
        <f>IFERROR('NWGC - SCENARIOS'!B17,0)</f>
        <v>55</v>
      </c>
      <c r="K10" s="448">
        <f>IFERROR('NWGC - SCENARIOS'!C17,0)</f>
        <v>2031</v>
      </c>
      <c r="L10" s="569">
        <f ca="1">IF(('NWGC - SCENARIOS'!G17-working!G8)&gt;'NWGC - SCENARIOS'!H17,'NWGC - SCENARIOS'!G17-'NWGC - SCENARIOS'!H17-working!G8,0)</f>
        <v>10883345.270562237</v>
      </c>
      <c r="M10" s="569">
        <f ca="1">IF(('NWGC - SCENARIOS'!G17-working!G8)&gt;'NWGC - SCENARIOS'!H17,0,'NWGC - SCENARIOS'!H17-'NWGC - SCENARIOS'!G17+working!G8)</f>
        <v>0</v>
      </c>
      <c r="N10" s="565">
        <f t="shared" ca="1" si="0"/>
        <v>160623723.57864654</v>
      </c>
      <c r="O10" s="565">
        <f t="shared" ca="1" si="1"/>
        <v>32335327.783955738</v>
      </c>
      <c r="P10" s="565">
        <f t="shared" ca="1" si="24"/>
        <v>0</v>
      </c>
      <c r="Q10" s="565">
        <f ca="1">(VLOOKUP(P$2,$B$1:$F$32,5,0)*$L10)+(VLOOKUP($K10,'Withdrawal Working'!$AD:$AE,2,0)*(IFERROR(VLOOKUP(P$2,$B$35:$C$42,2,0),0)))</f>
        <v>0</v>
      </c>
      <c r="R10" s="565">
        <f ca="1">IFERROR(IF($K10&lt;VLOOKUP(P$2,$B:$H,7,0),IF(T$3=1,MIN($M10,P10),IF(HLOOKUP(CONCATENATE("Balance",T$3-1),'Withdrawal Working'!$A$2:$CD$78,MATCH('Yoy WAR OG'!$J10,'Withdrawal Working'!$A$2:$A$78,0),FALSE)&gt;0,MIN(HLOOKUP(CONCATENATE("Balance",T$3-1),'Withdrawal Working'!$A$2:$CD$78,MATCH('Yoy WAR OG'!$J10,'Withdrawal Working'!$A$2:$A$78,0),0),P10),0)),IF($K10=VLOOKUP(P$2,$B:$H,7,0),P10,)),0)</f>
        <v>0</v>
      </c>
      <c r="S10" s="565">
        <f t="shared" ca="1" si="26"/>
        <v>0</v>
      </c>
      <c r="T10" s="565"/>
      <c r="V10" s="565">
        <f t="shared" ca="1" si="27"/>
        <v>0</v>
      </c>
      <c r="W10" s="565">
        <f ca="1">(VLOOKUP(V$2,$B$1:$F$32,5,0)*$L10)+(VLOOKUP($K10,'Withdrawal Working'!$AD:$AE,2,0)*(IFERROR(VLOOKUP(V$2,$B$35:$C$42,2,0),0)))</f>
        <v>0</v>
      </c>
      <c r="X10" s="565">
        <f ca="1">IFERROR(IF($K10&lt;VLOOKUP(V$2,$B:$H,7,0),IF(Z$3=1,MIN($M10,V10),IF(HLOOKUP(CONCATENATE("Balance",Z$3-1),'Withdrawal Working'!$A$2:$CD$78,MATCH('Yoy WAR OG'!$J10,'Withdrawal Working'!$A$2:$A$78,0),FALSE)&gt;0,MIN(HLOOKUP(CONCATENATE("Balance",Z$3-1),'Withdrawal Working'!$A$2:$CD$78,MATCH('Yoy WAR OG'!$J10,'Withdrawal Working'!$A$2:$A$78,0),0),V10),0)),IF($K10=VLOOKUP(V$2,$B:$H,7,0),V10,)),0)</f>
        <v>0</v>
      </c>
      <c r="Y10" s="565">
        <f t="shared" ca="1" si="2"/>
        <v>0</v>
      </c>
      <c r="AB10" s="565">
        <f t="shared" ca="1" si="28"/>
        <v>483300.1569619854</v>
      </c>
      <c r="AC10" s="565">
        <f ca="1">(VLOOKUP(AB$2,$B$1:$F$32,5,0)*$L10)+(VLOOKUP($K10,'Withdrawal Working'!$AD:$AE,2,0)*(IFERROR(VLOOKUP(AB$2,$B$35:$C$42,2,0),0)))</f>
        <v>0</v>
      </c>
      <c r="AD10" s="565">
        <f ca="1">IFERROR(IF($K10&lt;VLOOKUP(AB$2,$B:$H,7,0),IF(AF$3=1,MIN($M10,AB10),IF(HLOOKUP(CONCATENATE("Balance",AF$3-1),'Withdrawal Working'!$A$2:$CD$78,MATCH('Yoy WAR OG'!$J10,'Withdrawal Working'!$A$2:$A$78,0),FALSE)&gt;0,MIN(HLOOKUP(CONCATENATE("Balance",AF$3-1),'Withdrawal Working'!$A$2:$CD$78,MATCH('Yoy WAR OG'!$J10,'Withdrawal Working'!$A$2:$A$78,0),0),AB10),0)),IF($K10=VLOOKUP(AB$2,$B:$H,7,0),AB10,)),0)</f>
        <v>483300.1569619854</v>
      </c>
      <c r="AE10" s="565">
        <f t="shared" ca="1" si="3"/>
        <v>0</v>
      </c>
      <c r="AH10" s="565">
        <f t="shared" ca="1" si="29"/>
        <v>38921917.817886479</v>
      </c>
      <c r="AI10" s="565">
        <f ca="1">(VLOOKUP(AH$2,$B$1:$F$32,5,0)*$L10)+IF(J10&gt;'NWGC - SCENARIOS'!$D$7,0,(VLOOKUP($K10,'Withdrawal Working'!$AD:$AE,2,0)*(IFERROR(VLOOKUP(AH$2,$B$35:$C$42,2,0),0))))</f>
        <v>34908559.000689112</v>
      </c>
      <c r="AJ10" s="565">
        <f ca="1">IFERROR(IF($J10&gt;'NWGC - SCENARIOS'!$D$7,MIN('Yoy WAR OG'!AH10,VLOOKUP('Yoy WAR OG'!$J10,'Withdrawal Working'!BC:BD,2,0)),IF(AL$3=1,$M10,IF(HLOOKUP(CONCATENATE("Balance",AL$3-1),'Withdrawal Working'!$A$2:$CD$78,MATCH('Yoy WAR OG'!$J10,'Withdrawal Working'!$A$2:$A$78,0),FALSE)&gt;0,MIN(HLOOKUP(CONCATENATE("Balance",AL$3-1),'Withdrawal Working'!$A$2:$CD$78,MATCH('Yoy WAR OG'!$J10,'Withdrawal Working'!$A$2:$A$78,0),0),AH10),0))),0)</f>
        <v>0</v>
      </c>
      <c r="AK10" s="565">
        <f t="shared" ca="1" si="4"/>
        <v>78111887.778543115</v>
      </c>
      <c r="AN10" s="570">
        <f t="shared" ca="1" si="30"/>
        <v>15959224.653687097</v>
      </c>
      <c r="AO10" s="565">
        <f ca="1">IF(J10&gt;'NWGC - SCENARIOS'!$D$7,(IF(AJ10=0,0,'Yoy WAR OG'!AJ10)+(VLOOKUP(AN$2,$B$1:$F$32,5,0)*$L10)),(VLOOKUP(AN$2,$B$1:$F$32,5,0)*$L10)+(VLOOKUP($K10,'Withdrawal Working'!$AD:$AE,2,0)*(IFERROR(VLOOKUP(AN$2,$B$35:$C$42,2,0),0))))</f>
        <v>65674853.790463522</v>
      </c>
      <c r="AP10" s="565">
        <f ca="1">IFERROR(IF($K10&lt;&gt;VLOOKUP(AN$2,$B:$H,7,0),IF(AR$3=1,MIN($M10,AN10),IF(HLOOKUP(CONCATENATE("Balance",AR$3-1),'Withdrawal Working'!$A$2:$CD$78,MATCH('Yoy WAR OG'!$J10,'Withdrawal Working'!$A$2:$A$78,0),FALSE)&gt;0,MIN(HLOOKUP(CONCATENATE("Balance",AR$3-1),'Withdrawal Working'!$A$2:$CD$78,MATCH('Yoy WAR OG'!$J10,'Withdrawal Working'!$A$2:$A$78,0),0),AN10),0)),IF($K10=VLOOKUP(AN$2,$B:$H,7,0),AN10,)),0)</f>
        <v>0</v>
      </c>
      <c r="AQ10" s="565">
        <f ca="1">IF(AO10&lt;0,0,IF(J10&gt;'NWGC - SCENARIOS'!$D$7,((AN10-AP10+AO10)*(1+(IFERROR(VLOOKUP(AN$2,$B:$D,3,0),0)))),((AN10-AP10)*(1+(IFERROR(VLOOKUP(AN$2,$B:$D,3,0),0))))+AO10))</f>
        <v>82511835.800103411</v>
      </c>
      <c r="AT10" s="570">
        <f t="shared" ca="1" si="31"/>
        <v>0</v>
      </c>
      <c r="AU10" s="565">
        <f ca="1">(VLOOKUP(AT$2,$B$1:$F$32,5,0)*$L10)+(VLOOKUP($K10,'Withdrawal Working'!$AD:$AE,2,0)*(IFERROR(VLOOKUP(AT$2,$B$35:$C$42,2,0),0)))</f>
        <v>0</v>
      </c>
      <c r="AV10" s="565">
        <f ca="1">IFERROR(IF($K10&lt;VLOOKUP(AT$2,$B:$H,7,0),IF(AX$3=1,MIN($M10,AT10),IF(HLOOKUP(CONCATENATE("Balance",AX$3-1),'Withdrawal Working'!$A$2:$CD$78,MATCH('Yoy WAR OG'!$J10,'Withdrawal Working'!$A$2:$A$78,0),FALSE)&gt;0,MIN(HLOOKUP(CONCATENATE("Balance",AX$3-1),'Withdrawal Working'!$A$2:$CD$78,MATCH('Yoy WAR OG'!$J10,'Withdrawal Working'!$A$2:$A$78,0),0),AT10),0)),IF($K10=VLOOKUP(AT$2,$B:$H,7,0),AT10,)),0)</f>
        <v>0</v>
      </c>
      <c r="AW10" s="565">
        <f t="shared" ca="1" si="5"/>
        <v>0</v>
      </c>
      <c r="AZ10" s="570">
        <f t="shared" ca="1" si="32"/>
        <v>6002921.4073960008</v>
      </c>
      <c r="BA10" s="565">
        <f ca="1">(VLOOKUP(AZ$2,$B$1:$F$32,5,0)*$L10)+(VLOOKUP($K10,'Withdrawal Working'!$AD:$AE,2,0)*(IFERROR(VLOOKUP(AZ$2,$B$35:$C$42,2,0),0)))</f>
        <v>0</v>
      </c>
      <c r="BB10" s="565">
        <f>IFERROR(IF($K10&lt;VLOOKUP(AZ$2,$B:$H,7,0),IF(BD$3=1,MIN($M10,AZ10),IF(HLOOKUP(CONCATENATE("Balance",BD$3-1),'Withdrawal Working'!$A$2:$CD$78,MATCH('Yoy WAR OG'!$J10,'Withdrawal Working'!$A$2:$A$78,0),FALSE)&gt;0,MIN(HLOOKUP(CONCATENATE("Balance",BD$3-1),'Withdrawal Working'!$A$2:$CD$78,MATCH('Yoy WAR OG'!$J10,'Withdrawal Working'!$A$2:$A$78,0),0),AZ10),0)),IF($K10=VLOOKUP(AZ$2,$B:$H,7,0),AZ10,)),0)</f>
        <v>0</v>
      </c>
      <c r="BC10" s="565">
        <f t="shared" ca="1" si="6"/>
        <v>6423125.9059137208</v>
      </c>
      <c r="BF10" s="570">
        <f t="shared" ca="1" si="33"/>
        <v>0</v>
      </c>
      <c r="BG10" s="565">
        <f ca="1">(VLOOKUP(BF$2,$B$1:$F$32,5,0)*$L10)+(VLOOKUP($K10,'Withdrawal Working'!$AD:$AE,2,0)*(IFERROR(VLOOKUP(BF$2,$B$35:$C$42,2,0),0)))</f>
        <v>0</v>
      </c>
      <c r="BH10" s="565">
        <f ca="1">IFERROR(IF($K10&lt;VLOOKUP(BF$2,$B:$H,7,0),IF(BJ$3=1,MIN($M10,BF10),IF(HLOOKUP(CONCATENATE("Balance",BJ$3-1),'Withdrawal Working'!$A$2:$CD$78,MATCH('Yoy WAR OG'!$J10,'Withdrawal Working'!$A$2:$A$78,0),FALSE)&gt;0,MIN(HLOOKUP(CONCATENATE("Balance",BJ$3-1),'Withdrawal Working'!$A$2:$CD$78,MATCH('Yoy WAR OG'!$J10,'Withdrawal Working'!$A$2:$A$78,0),0),BF10),0)),IF($K10=VLOOKUP(BF$2,$B:$H,7,0),BF10,)),0)</f>
        <v>0</v>
      </c>
      <c r="BI10" s="565">
        <f t="shared" ca="1" si="7"/>
        <v>0</v>
      </c>
      <c r="BL10" s="570">
        <f t="shared" ca="1" si="34"/>
        <v>0</v>
      </c>
      <c r="BM10" s="565">
        <f ca="1">(VLOOKUP(BL$2,$B$1:$F$32,5,0)*$L10)+(VLOOKUP($K10,'Withdrawal Working'!$AD:$AE,2,0)*(IFERROR(VLOOKUP(BL$2,$B$35:$C$42,2,0),0)))</f>
        <v>0</v>
      </c>
      <c r="BN10" s="565">
        <f ca="1">IFERROR(IF($K10&lt;VLOOKUP(BL$2,$B:$H,7,0),IF(BP$3=1,MIN($M10,BL10),IF(HLOOKUP(CONCATENATE("Balance",BP$3-1),'Withdrawal Working'!$A$2:$CD$78,MATCH('Yoy WAR OG'!$J10,'Withdrawal Working'!$A$2:$A$78,0),FALSE)&gt;0,MIN(HLOOKUP(CONCATENATE("Balance",BP$3-1),'Withdrawal Working'!$A$2:$CD$78,MATCH('Yoy WAR OG'!$J10,'Withdrawal Working'!$A$2:$A$78,0),0),BL10),0)),IF($K10=VLOOKUP(BL$2,$B:$H,7,0),BL10,)),0)</f>
        <v>0</v>
      </c>
      <c r="BO10" s="565">
        <f t="shared" ca="1" si="8"/>
        <v>0</v>
      </c>
      <c r="BR10" s="570">
        <f t="shared" ca="1" si="35"/>
        <v>3543122.0000000014</v>
      </c>
      <c r="BS10" s="565">
        <f ca="1">(VLOOKUP(BR$2,$B$1:$F$32,5,0)*$L10)+(VLOOKUP($K10,'Withdrawal Working'!$AD:$AE,2,0)*(IFERROR(VLOOKUP(BR$2,$B$35:$C$42,2,0),0)))</f>
        <v>0</v>
      </c>
      <c r="BT10" s="565">
        <f ca="1">IFERROR(IF($K10&lt;VLOOKUP(BR$2,$B:$H,7,0),IF(BV$3=1,MIN($M10,BR10),IF(HLOOKUP(CONCATENATE("Balance",BV$3-1),'Withdrawal Working'!$A$2:$CD$78,MATCH('Yoy WAR OG'!$J10,'Withdrawal Working'!$A$2:$A$78,0),FALSE)&gt;0,MIN(HLOOKUP(CONCATENATE("Balance",BV$3-1),'Withdrawal Working'!$A$2:$CD$78,MATCH('Yoy WAR OG'!$J10,'Withdrawal Working'!$A$2:$A$78,0),0),BR10),0)),IF($K10=VLOOKUP(BR$2,$B:$H,7,0),BR10,)),0)</f>
        <v>3543122.0000000014</v>
      </c>
      <c r="BU10" s="565">
        <f t="shared" ca="1" si="9"/>
        <v>0</v>
      </c>
      <c r="BX10" s="570">
        <f t="shared" ca="1" si="36"/>
        <v>952124.59376640036</v>
      </c>
      <c r="BY10" s="565">
        <f ca="1">(VLOOKUP(BX$2,$B$1:$F$32,5,0)*$L10)+(VLOOKUP($K10,'Withdrawal Working'!$AD:$AE,2,0)*(IFERROR(VLOOKUP(BX$2,$B$35:$C$42,2,0),0)))</f>
        <v>0</v>
      </c>
      <c r="BZ10" s="565">
        <f ca="1">IFERROR(IF($K10&lt;VLOOKUP(BX$2,$B:$H,7,0),IF(CB$3=1,MIN($M10,BX10),IF(HLOOKUP(CONCATENATE("Balance",CB$3-1),'Withdrawal Working'!$A$2:$CD$78,MATCH('Yoy WAR OG'!$J10,'Withdrawal Working'!$A$2:$A$78,0),FALSE)&gt;0,MIN(HLOOKUP(CONCATENATE("Balance",CB$3-1),'Withdrawal Working'!$A$2:$CD$78,MATCH('Yoy WAR OG'!$J10,'Withdrawal Working'!$A$2:$A$78,0),0),BX10),0)),IF($K10=VLOOKUP(BX$2,$B:$H,7,0),BX10,)),0)</f>
        <v>952124.59376640036</v>
      </c>
      <c r="CA10" s="565">
        <f t="shared" ca="1" si="10"/>
        <v>0</v>
      </c>
      <c r="CD10" s="570">
        <f t="shared" ca="1" si="37"/>
        <v>21742185.263496496</v>
      </c>
      <c r="CE10" s="565">
        <f ca="1">(VLOOKUP(CD$2,$B$1:$F$32,5,0)*$L10)+(VLOOKUP($K10,'Withdrawal Working'!$AD:$AE,2,0)*(IFERROR(VLOOKUP(CD$2,$B$35:$C$42,2,0),0)))+SUMIFS('Key Life Events'!$I$3:$I$28,'Key Life Events'!$H$3:$H$28,"House",'Key Life Events'!$E$3:$E$28,'Yoy WAR OG'!K10)</f>
        <v>0</v>
      </c>
      <c r="CF10" s="565">
        <f>IFERROR(IF($K10&lt;VLOOKUP(CD$2,$B:$H,7,0),IF(CH$3=1,MIN($M10,CD10),IF(HLOOKUP(CONCATENATE("Balance",CH$3-1),'Withdrawal Working'!$A$2:$CD$78,MATCH('Yoy WAR OG'!$J10,'Withdrawal Working'!$A$2:$A$78,0),FALSE)&gt;0,MIN(HLOOKUP(CONCATENATE("Balance",CH$3-1),'Withdrawal Working'!$A$2:$CD$78,MATCH('Yoy WAR OG'!$J10,'Withdrawal Working'!$A$2:$A$78,0),0),CD10),0)),IF($K10=VLOOKUP(CD$2,$B:$H,7,0),CD10,)),0)</f>
        <v>0</v>
      </c>
      <c r="CG10" s="565">
        <f t="shared" ca="1" si="11"/>
        <v>22394450.821401391</v>
      </c>
      <c r="CJ10" s="570">
        <f t="shared" ca="1" si="38"/>
        <v>0</v>
      </c>
      <c r="CK10" s="565">
        <f ca="1">(VLOOKUP(CJ$2,$B$1:$F$32,5,0)*$L10)+(VLOOKUP($K10,'Withdrawal Working'!$AD:$AE,2,0)*(IFERROR(VLOOKUP(CJ$2,$B$35:$C$42,2,0),0)))+SUMIFS('Key Life Events'!$I$3:$I$28,'Key Life Events'!$H$3:$H$28,"House2",'Key Life Events'!$E$3:$E$28,'Yoy WAR OG'!K10)</f>
        <v>0</v>
      </c>
      <c r="CL10" s="565">
        <f ca="1">IF(IFERROR(IF($K10&lt;&gt;VLOOKUP(CJ$2,$B:$H,7,0),IF(CN$3=1,MIN($M10,CJ10),IF(HLOOKUP(CONCATENATE("Balance",CN$3-1),'Withdrawal Working'!$A$2:$CD$78,MATCH('Yoy WAR OG'!$J10,'Withdrawal Working'!$A$2:$A$78,0),FALSE)&gt;0,MIN(HLOOKUP(CONCATENATE("Balance",CN$3-1),'Withdrawal Working'!$A$2:$CD$78,MATCH('Yoy WAR OG'!$J10,'Withdrawal Working'!$A$2:$A$78,0),0),CJ10),0)),IF($K10=VLOOKUP(CJ$2,$B:$H,7,0),CJ10,)),0)&gt;0,CJ10,0)</f>
        <v>0</v>
      </c>
      <c r="CM10" s="565">
        <f t="shared" ca="1" si="12"/>
        <v>0</v>
      </c>
      <c r="CP10" s="570">
        <f t="shared" ca="1" si="39"/>
        <v>3350239.1015625</v>
      </c>
      <c r="CQ10" s="565">
        <f ca="1">(VLOOKUP(CP$2,$B$1:$F$32,5,0)*$L10)+(VLOOKUP($K10,'Withdrawal Working'!$AD:$AE,2,0)*(IFERROR(VLOOKUP(CP$2,$B$35:$C$42,2,0),0)))+SUMIFS('Key Life Events'!$I$3:$I$28,'Key Life Events'!$H$3:$H$28,"Land",'Key Life Events'!$E$3:$E$28,'Yoy WAR OG'!K10)</f>
        <v>0</v>
      </c>
      <c r="CR10" s="565">
        <f>IFERROR(IF($K10&lt;VLOOKUP(CP$2,$B:$H,7,0),IF(CT$3=1,MIN($M10,CP10),IF(HLOOKUP(CONCATENATE("Balance",CT$3-1),'Withdrawal Working'!$A$2:$CD$78,MATCH('Yoy WAR OG'!$J10,'Withdrawal Working'!$A$2:$A$78,0),FALSE)&gt;0,MIN(HLOOKUP(CONCATENATE("Balance",CT$3-1),'Withdrawal Working'!$A$2:$CD$78,MATCH('Yoy WAR OG'!$J10,'Withdrawal Working'!$A$2:$A$78,0),0),CP10),0)),IF($K10=VLOOKUP(CP$2,$B:$H,7,0),CP10,)),0)</f>
        <v>0</v>
      </c>
      <c r="CS10" s="565">
        <f t="shared" ca="1" si="13"/>
        <v>3517751.056640625</v>
      </c>
      <c r="CV10" s="570">
        <f t="shared" ca="1" si="40"/>
        <v>3352377.1525203339</v>
      </c>
      <c r="CW10" s="565"/>
      <c r="CX10" s="565">
        <f ca="1">IFERROR(IF($K10&lt;VLOOKUP(CV$2,$B:$H,7,0),IF(CZ$3=1,MIN($M10,CV10),IF(HLOOKUP(CONCATENATE("Balance",CZ$3-1),'Withdrawal Working'!$A$2:$CD$78,MATCH('Yoy WAR OG'!$J10,'Withdrawal Working'!$A$2:$A$78,0),FALSE)&gt;0,MIN(HLOOKUP(CONCATENATE("Balance",CZ$3-1),'Withdrawal Working'!$A$2:$CD$78,MATCH('Yoy WAR OG'!$J10,'Withdrawal Working'!$A$2:$A$78,0),0),CV10),0)),IF($K10=VLOOKUP(CV$2,$B:$H,7,0),CV10,)),0)</f>
        <v>3352377.1525203339</v>
      </c>
      <c r="CY10" s="565">
        <f t="shared" ca="1" si="14"/>
        <v>0</v>
      </c>
      <c r="DB10" s="570">
        <f t="shared" ca="1" si="41"/>
        <v>0</v>
      </c>
      <c r="DC10" s="565">
        <f ca="1">(VLOOKUP(DB$2,$B$1:$F$32,5,0)*$L10)+(VLOOKUP($K10,'Withdrawal Working'!$AD:$AE,2,0)*(IFERROR(VLOOKUP(DB$2,$B$35:$C$42,2,0),0)))</f>
        <v>0</v>
      </c>
      <c r="DD10" s="565">
        <f ca="1">IFERROR(IF($K10&lt;VLOOKUP(DB$2,$B:$H,7,0),IF(DF$3=1,MIN($M10,DB10),IF(HLOOKUP(CONCATENATE("Balance",DF$3-1),'Withdrawal Working'!$A$2:$CD$78,MATCH('Yoy WAR OG'!$J10,'Withdrawal Working'!$A$2:$A$78,0),FALSE)&gt;0,MIN(HLOOKUP(CONCATENATE("Balance",DF$3-1),'Withdrawal Working'!$A$2:$CD$78,MATCH('Yoy WAR OG'!$J10,'Withdrawal Working'!$A$2:$A$78,0),0),DB10),0)),IF($K10=VLOOKUP(DB$2,$B:$H,7,0),DB10,)),0)</f>
        <v>0</v>
      </c>
      <c r="DE10" s="565">
        <f t="shared" ca="1" si="15"/>
        <v>0</v>
      </c>
      <c r="DH10" s="570">
        <f t="shared" ca="1" si="42"/>
        <v>2960734.027776002</v>
      </c>
      <c r="DI10" s="565">
        <f>IF(OR(J10&gt;'NWGC - SCENARIOS'!$D$7,J10='NWGC - SCENARIOS'!$D$7),0,DI9*(1+'NWGC - SCENARIOS'!$L$5))</f>
        <v>0</v>
      </c>
      <c r="DJ10" s="565">
        <f ca="1">IFERROR(IF($K10&lt;VLOOKUP(DH$2,$B:$H,7,0),IF(DL$3=1,MIN($M10,DH10),IF(HLOOKUP(CONCATENATE("Balance",DL$3-1),'Withdrawal Working'!$A$2:$CD$78,MATCH('Yoy WAR OG'!$J10,'Withdrawal Working'!$A$2:$A$78,0),FALSE)&gt;0,MIN(HLOOKUP(CONCATENATE("Balance",DL$3-1),'Withdrawal Working'!$A$2:$CD$78,MATCH('Yoy WAR OG'!$J10,'Withdrawal Working'!$A$2:$A$78,0),0),DH10),0)),IF($K10=VLOOKUP(DH$2,$B:$H,7,0),DH10,)),0)</f>
        <v>2960734.027776002</v>
      </c>
      <c r="DK10" s="565">
        <f t="shared" ca="1" si="16"/>
        <v>0</v>
      </c>
      <c r="DN10" s="570">
        <f t="shared" ca="1" si="43"/>
        <v>0</v>
      </c>
      <c r="DO10" s="565">
        <f ca="1">(VLOOKUP(DN$2,$B$1:$F$32,5,0)*$L10)+(VLOOKUP($K10,'Withdrawal Working'!$AD:$AE,2,0)*(IFERROR(VLOOKUP(DN$2,$B$35:$C$42,2,0),0)))</f>
        <v>0</v>
      </c>
      <c r="DP10" s="565">
        <f ca="1">IFERROR(IF($K10&lt;VLOOKUP(DN$2,$B:$H,7,0),IF(DR$3=1,MIN($M10,DN10),IF(HLOOKUP(CONCATENATE("Balance",DR$3-1),'Withdrawal Working'!$A$2:$CD$78,MATCH('Yoy WAR OG'!$J10,'Withdrawal Working'!$A$2:$A$78,0),FALSE)&gt;0,MIN(HLOOKUP(CONCATENATE("Balance",DR$3-1),'Withdrawal Working'!$A$2:$CD$78,MATCH('Yoy WAR OG'!$J10,'Withdrawal Working'!$A$2:$A$78,0),0),DN10),0)),IF($K10=VLOOKUP(DN$2,$B:$H,7,0),DN10,)),0)</f>
        <v>0</v>
      </c>
      <c r="DQ10" s="565">
        <f t="shared" ca="1" si="17"/>
        <v>0</v>
      </c>
      <c r="DT10" s="570">
        <f t="shared" ca="1" si="44"/>
        <v>0</v>
      </c>
      <c r="DU10" s="565">
        <f ca="1">(VLOOKUP(DT$2,$B$1:$F$32,5,0)*$L10)+(VLOOKUP($K10,'Withdrawal Working'!$AD:$AE,2,0)*(IFERROR(VLOOKUP(DT$2,$B$35:$C$42,2,0),0)))</f>
        <v>0</v>
      </c>
      <c r="DV10" s="565">
        <f ca="1">IFERROR(IF($K10&lt;VLOOKUP(DT$2,$B:$H,7,0),IF(DX$3=1,MIN($M10,DT10),IF(HLOOKUP(CONCATENATE("Balance",DX$3-1),'Withdrawal Working'!$A$2:$CD$78,MATCH('Yoy WAR OG'!$J10,'Withdrawal Working'!$A$2:$A$78,0),FALSE)&gt;0,MIN(HLOOKUP(CONCATENATE("Balance",DX$3-1),'Withdrawal Working'!$A$2:$CD$78,MATCH('Yoy WAR OG'!$J10,'Withdrawal Working'!$A$2:$A$78,0),0),DT10),0)),IF($K10=VLOOKUP(DT$2,$B:$H,7,0),DT10,)),0)</f>
        <v>0</v>
      </c>
      <c r="DW10" s="565">
        <f t="shared" ca="1" si="18"/>
        <v>0</v>
      </c>
      <c r="DZ10" s="570">
        <f t="shared" ca="1" si="45"/>
        <v>0</v>
      </c>
      <c r="EA10" s="565">
        <f ca="1">(VLOOKUP(DZ$2,$B$1:$F$32,5,0)*$L10)+(VLOOKUP($K10,'Withdrawal Working'!$AD:$AE,2,0)*(IFERROR(VLOOKUP(DZ$2,$B$35:$C$42,2,0),0)))</f>
        <v>0</v>
      </c>
      <c r="EB10" s="565">
        <f ca="1">IFERROR(IF($K10&lt;VLOOKUP(DZ$2,$B:$H,7,0),IF(ED$3=1,MIN($M10,DZ10),IF(HLOOKUP(CONCATENATE("Balance",ED$3-1),'Withdrawal Working'!$A$2:$CD$78,MATCH('Yoy WAR OG'!$J10,'Withdrawal Working'!$A$2:$A$78,0),FALSE)&gt;0,MIN(HLOOKUP(CONCATENATE("Balance",ED$3-1),'Withdrawal Working'!$A$2:$CD$78,MATCH('Yoy WAR OG'!$J10,'Withdrawal Working'!$A$2:$A$78,0),0),DZ10),0)),IF($K10=VLOOKUP(DZ$2,$B:$H,7,0),DZ10,)),0)</f>
        <v>0</v>
      </c>
      <c r="EC10" s="565">
        <f t="shared" ca="1" si="19"/>
        <v>0</v>
      </c>
      <c r="EF10" s="570">
        <f t="shared" ca="1" si="46"/>
        <v>0</v>
      </c>
      <c r="EG10" s="565">
        <f ca="1">(VLOOKUP(EF$2,$B$1:$F$32,5,0)*$L10)+(VLOOKUP($K10,'Withdrawal Working'!$AD:$AE,2,0)*(IFERROR(VLOOKUP(EF$2,$B$35:$C$42,2,0),0)))</f>
        <v>0</v>
      </c>
      <c r="EH10" s="565">
        <f ca="1">IFERROR(IF($K10&lt;VLOOKUP(EF$2,$B:$H,7,0),IF(EJ$3=1,MIN($M10,EF10),IF(HLOOKUP(CONCATENATE("Balance",EJ$3-1),'Withdrawal Working'!$A$2:$CD$78,MATCH('Yoy WAR OG'!$J10,'Withdrawal Working'!$A$2:$A$78,0),FALSE)&gt;0,MIN(HLOOKUP(CONCATENATE("Balance",EJ$3-1),'Withdrawal Working'!$A$2:$CD$78,MATCH('Yoy WAR OG'!$J10,'Withdrawal Working'!$A$2:$A$78,0),0),EF10),0)),IF($K10=VLOOKUP(EF$2,$B:$H,7,0),EF10,)),0)</f>
        <v>0</v>
      </c>
      <c r="EI10" s="565">
        <f t="shared" ca="1" si="20"/>
        <v>0</v>
      </c>
      <c r="EL10" s="570">
        <f t="shared" ca="1" si="47"/>
        <v>6206863.6264480269</v>
      </c>
      <c r="EM10" s="565">
        <f>IF(OR($J10&gt;'NWGC - SCENARIOS'!$D$7,$J10='NWGC - SCENARIOS'!$D$7),0,EM9)</f>
        <v>0</v>
      </c>
      <c r="EN10" s="565">
        <f ca="1">IFERROR(IF($K10&lt;VLOOKUP(EL$2,$B:$H,7,0),IF(EP$3=1,MIN($M10,EL10),IF(HLOOKUP(CONCATENATE("Balance",EP$3-1),'Withdrawal Working'!$A$2:$CD$78,MATCH('Yoy WAR OG'!$J10,'Withdrawal Working'!$A$2:$A$78,0),FALSE)&gt;0,MIN(HLOOKUP(CONCATENATE("Balance",EP$3-1),'Withdrawal Working'!$A$2:$CD$78,MATCH('Yoy WAR OG'!$J10,'Withdrawal Working'!$A$2:$A$78,0),0),EL10),0)),IF($K10=VLOOKUP(EL$2,$B:$H,7,0),EL10,)),0)</f>
        <v>6206863.6264480269</v>
      </c>
      <c r="EO10" s="565">
        <f t="shared" ca="1" si="21"/>
        <v>0</v>
      </c>
      <c r="ER10" s="570">
        <f t="shared" ca="1" si="48"/>
        <v>55635714.60086555</v>
      </c>
      <c r="ES10" s="565">
        <f>IF(OR(J10&gt;'NWGC - SCENARIOS'!$D$7,J10='NWGC - SCENARIOS'!$D$7),0,ES9*(1+'NWGC - SCENARIOS'!$L$5))</f>
        <v>0</v>
      </c>
      <c r="ET10" s="565">
        <f ca="1">IFERROR(IF($K10&lt;VLOOKUP(ER$2,$B:$H,7,0),IF(EV$3=1,MIN($M10,ER10),IF(HLOOKUP(CONCATENATE("Balance",EV$3-1),'Withdrawal Working'!$A$2:$CD$78,MATCH('Yoy WAR OG'!$J10,'Withdrawal Working'!$A$2:$A$78,0),FALSE)&gt;0,MIN(HLOOKUP(CONCATENATE("Balance",EV$3-1),'Withdrawal Working'!$A$2:$CD$78,MATCH('Yoy WAR OG'!$J10,'Withdrawal Working'!$A$2:$A$78,0),0),ER10),0)),IF($K10=VLOOKUP(ER$2,$B:$H,7,0),ER10,)),0)</f>
        <v>55635714.60086555</v>
      </c>
      <c r="EU10" s="565">
        <f t="shared" ca="1" si="22"/>
        <v>0</v>
      </c>
      <c r="EX10" s="570">
        <f t="shared" ca="1" si="49"/>
        <v>16565831.362252094</v>
      </c>
      <c r="EY10" s="565">
        <f>IF(OR(J10&gt;'NWGC - SCENARIOS'!$D$7,J10='NWGC - SCENARIOS'!$D$7),0,EY9)</f>
        <v>0</v>
      </c>
      <c r="EZ10" s="565">
        <f ca="1">IFERROR(IF($K10&lt;VLOOKUP(EX$2,$B:$H,7,0),IF(FB$3=1,MIN($M10,EX10),IF(HLOOKUP(CONCATENATE("Balance",FB$3-1),'Withdrawal Working'!$A$2:$CD$78,MATCH('Yoy WAR OG'!$J10,'Withdrawal Working'!$A$2:$A$78,0),FALSE)&gt;0,MIN(HLOOKUP(CONCATENATE("Balance",FB$3-1),'Withdrawal Working'!$A$2:$CD$78,MATCH('Yoy WAR OG'!$J10,'Withdrawal Working'!$A$2:$A$78,0),0),EX10),0)),IF($K10=VLOOKUP(EX$2,$B:$H,7,0),EX10,)),0)</f>
        <v>16565831.362252094</v>
      </c>
      <c r="FA10" s="565">
        <f t="shared" ca="1" si="23"/>
        <v>0</v>
      </c>
    </row>
    <row r="11" spans="1:197" x14ac:dyDescent="0.3">
      <c r="A11" t="s">
        <v>367</v>
      </c>
      <c r="B11" t="str">
        <f>Networth!B11</f>
        <v>Commodities Inv Physical (Gold / Silver)</v>
      </c>
      <c r="C11" s="58">
        <f>VLOOKUP('Yoy WAR OG'!B11,'WAR - Rev'!$A$1:$B$29,2,0)</f>
        <v>4000000</v>
      </c>
      <c r="D11" s="313">
        <f>'WAR - Rev'!C9</f>
        <v>7.0000000000000007E-2</v>
      </c>
      <c r="H11" s="452"/>
      <c r="J11">
        <f>IFERROR('NWGC - SCENARIOS'!B18,0)</f>
        <v>56</v>
      </c>
      <c r="K11">
        <f>IFERROR('NWGC - SCENARIOS'!C18,0)</f>
        <v>2032</v>
      </c>
      <c r="L11" s="449">
        <f ca="1">IF(('NWGC - SCENARIOS'!G18-working!G9)&gt;'NWGC - SCENARIOS'!H18,'NWGC - SCENARIOS'!G18-'NWGC - SCENARIOS'!H18-working!G9,0)</f>
        <v>91925.003270789981</v>
      </c>
      <c r="M11" s="449">
        <f ca="1">IF(('NWGC - SCENARIOS'!G18-working!G9)&gt;'NWGC - SCENARIOS'!H18,0,'NWGC - SCENARIOS'!H18-'NWGC - SCENARIOS'!G18+working!G9)</f>
        <v>0</v>
      </c>
      <c r="N11" s="58">
        <f t="shared" ca="1" si="0"/>
        <v>173631000.81306082</v>
      </c>
      <c r="O11" s="58">
        <f t="shared" ca="1" si="1"/>
        <v>33632667.674843773</v>
      </c>
      <c r="P11" s="58">
        <f t="shared" ca="1" si="24"/>
        <v>0</v>
      </c>
      <c r="Q11" s="58">
        <f ca="1">(VLOOKUP(P$2,$B$1:$F$32,5,0)*$L11)+(VLOOKUP($K11,'Withdrawal Working'!$AD:$AE,2,0)*(IFERROR(VLOOKUP(P$2,$B$35:$C$42,2,0),0)))</f>
        <v>0</v>
      </c>
      <c r="R11" s="58">
        <f>IFERROR(IF($K11&lt;VLOOKUP(P$2,$B:$H,7,0),IF(T$3=1,MIN($M11,P11),IF(HLOOKUP(CONCATENATE("Balance",T$3-1),'Withdrawal Working'!$A$2:$CD$78,MATCH('Yoy WAR OG'!$J11,'Withdrawal Working'!$A$2:$A$78,0),FALSE)&gt;0,MIN(HLOOKUP(CONCATENATE("Balance",T$3-1),'Withdrawal Working'!$A$2:$CD$78,MATCH('Yoy WAR OG'!$J11,'Withdrawal Working'!$A$2:$A$78,0),0),P11),0)),IF($K11=VLOOKUP(P$2,$B:$H,7,0),P11,)),0)</f>
        <v>0</v>
      </c>
      <c r="S11" s="58">
        <f t="shared" ca="1" si="26"/>
        <v>0</v>
      </c>
      <c r="T11" s="58"/>
      <c r="V11" s="58">
        <f t="shared" ca="1" si="27"/>
        <v>0</v>
      </c>
      <c r="W11" s="58">
        <f ca="1">(VLOOKUP(V$2,$B$1:$F$32,5,0)*$L11)+(VLOOKUP($K11,'Withdrawal Working'!$AD:$AE,2,0)*(IFERROR(VLOOKUP(V$2,$B$35:$C$42,2,0),0)))</f>
        <v>0</v>
      </c>
      <c r="X11" s="58">
        <f>IFERROR(IF($K11&lt;VLOOKUP(V$2,$B:$H,7,0),IF(Z$3=1,MIN($M11,V11),IF(HLOOKUP(CONCATENATE("Balance",Z$3-1),'Withdrawal Working'!$A$2:$CD$78,MATCH('Yoy WAR OG'!$J11,'Withdrawal Working'!$A$2:$A$78,0),FALSE)&gt;0,MIN(HLOOKUP(CONCATENATE("Balance",Z$3-1),'Withdrawal Working'!$A$2:$CD$78,MATCH('Yoy WAR OG'!$J11,'Withdrawal Working'!$A$2:$A$78,0),0),V11),0)),IF($K11=VLOOKUP(V$2,$B:$H,7,0),V11,)),0)</f>
        <v>0</v>
      </c>
      <c r="Y11" s="58">
        <f t="shared" ca="1" si="2"/>
        <v>0</v>
      </c>
      <c r="AB11" s="58">
        <f t="shared" ca="1" si="28"/>
        <v>0</v>
      </c>
      <c r="AC11" s="58">
        <f ca="1">(VLOOKUP(AB$2,$B$1:$F$32,5,0)*$L11)+(VLOOKUP($K11,'Withdrawal Working'!$AD:$AE,2,0)*(IFERROR(VLOOKUP(AB$2,$B$35:$C$42,2,0),0)))</f>
        <v>0</v>
      </c>
      <c r="AD11" s="58">
        <f>IFERROR(IF($K11&lt;VLOOKUP(AB$2,$B:$H,7,0),IF(AF$3=1,MIN($M11,AB11),IF(HLOOKUP(CONCATENATE("Balance",AF$3-1),'Withdrawal Working'!$A$2:$CD$78,MATCH('Yoy WAR OG'!$J11,'Withdrawal Working'!$A$2:$A$78,0),FALSE)&gt;0,MIN(HLOOKUP(CONCATENATE("Balance",AF$3-1),'Withdrawal Working'!$A$2:$CD$78,MATCH('Yoy WAR OG'!$J11,'Withdrawal Working'!$A$2:$A$78,0),0),AB11),0)),IF($K11=VLOOKUP(AB$2,$B:$H,7,0),AB11,)),0)</f>
        <v>0</v>
      </c>
      <c r="AE11" s="58">
        <f t="shared" ca="1" si="3"/>
        <v>0</v>
      </c>
      <c r="AH11" s="58">
        <f t="shared" ca="1" si="29"/>
        <v>78111887.778543115</v>
      </c>
      <c r="AI11" s="58">
        <f ca="1">(VLOOKUP(AH$2,$B$1:$F$32,5,0)*$L11)+IF(J11&gt;'NWGC - SCENARIOS'!$D$7,0,(VLOOKUP($K11,'Withdrawal Working'!$AD:$AE,2,0)*(IFERROR(VLOOKUP(AH$2,$B$35:$C$42,2,0),0))))</f>
        <v>55155.001962473987</v>
      </c>
      <c r="AJ11" s="58">
        <f ca="1">IFERROR(IF($J11&gt;'NWGC - SCENARIOS'!$D$7,MIN('Yoy WAR OG'!AH11,VLOOKUP('Yoy WAR OG'!$J11,'Withdrawal Working'!BC:BD,2,0)),IF(AL$3=1,$M11,IF(HLOOKUP(CONCATENATE("Balance",AL$3-1),'Withdrawal Working'!$A$2:$CD$78,MATCH('Yoy WAR OG'!$J11,'Withdrawal Working'!$A$2:$A$78,0),FALSE)&gt;0,MIN(HLOOKUP(CONCATENATE("Balance",AL$3-1),'Withdrawal Working'!$A$2:$CD$78,MATCH('Yoy WAR OG'!$J11,'Withdrawal Working'!$A$2:$A$78,0),0),AH11),0))),0)</f>
        <v>3947795.3377075209</v>
      </c>
      <c r="AK11" s="58">
        <f t="shared" ca="1" si="4"/>
        <v>82377297.611289993</v>
      </c>
      <c r="AN11" s="450">
        <f t="shared" ca="1" si="30"/>
        <v>82511835.800103411</v>
      </c>
      <c r="AO11" s="58">
        <f ca="1">IF(J11&gt;'NWGC - SCENARIOS'!$D$7,(IF(AJ11=0,0,'Yoy WAR OG'!AJ11)+(VLOOKUP(AN$2,$B$1:$F$32,5,0)*$L11)),(VLOOKUP(AN$2,$B$1:$F$32,5,0)*$L11)+(VLOOKUP($K11,'Withdrawal Working'!$AD:$AE,2,0)*(IFERROR(VLOOKUP(AN$2,$B$35:$C$42,2,0),0))))</f>
        <v>3984565.3390158368</v>
      </c>
      <c r="AP11" s="470">
        <f ca="1">IFERROR(IF($K11&lt;&gt;VLOOKUP(AN$2,$B:$H,7,0),IF(AR$3=1,MIN($M11,AN11),IF(HLOOKUP(CONCATENATE("Balance",AR$3-1),'Withdrawal Working'!$A$2:$CD$78,MATCH('Yoy WAR OG'!$J11,'Withdrawal Working'!$A$2:$A$78,0),FALSE)&gt;0,MIN(HLOOKUP(CONCATENATE("Balance",AR$3-1),'Withdrawal Working'!$A$2:$CD$78,MATCH('Yoy WAR OG'!$J11,'Withdrawal Working'!$A$2:$A$78,0),0),AN11),0)),IF($K11=VLOOKUP(AN$2,$B:$H,7,0),AN11,)),0)</f>
        <v>0</v>
      </c>
      <c r="AQ11" s="58">
        <f ca="1">IF(AO11&lt;0,0,IF(J11&gt;'NWGC - SCENARIOS'!$D$7,((AN11-AP11+AO11)*(1+(IFERROR(VLOOKUP(AN$2,$B:$D,3,0),0)))),((AN11-AP11)*(1+(IFERROR(VLOOKUP(AN$2,$B:$D,3,0),0))))+AO11))</f>
        <v>91253703.201770812</v>
      </c>
      <c r="AT11" s="450">
        <f t="shared" ca="1" si="31"/>
        <v>0</v>
      </c>
      <c r="AU11" s="58">
        <f ca="1">(VLOOKUP(AT$2,$B$1:$F$32,5,0)*$L11)+(VLOOKUP($K11,'Withdrawal Working'!$AD:$AE,2,0)*(IFERROR(VLOOKUP(AT$2,$B$35:$C$42,2,0),0)))</f>
        <v>0</v>
      </c>
      <c r="AV11" s="58">
        <f>IFERROR(IF($K11&lt;VLOOKUP(AT$2,$B:$H,7,0),IF(AX$3=1,MIN($M11,AT11),IF(HLOOKUP(CONCATENATE("Balance",AX$3-1),'Withdrawal Working'!$A$2:$CD$78,MATCH('Yoy WAR OG'!$J11,'Withdrawal Working'!$A$2:$A$78,0),FALSE)&gt;0,MIN(HLOOKUP(CONCATENATE("Balance",AX$3-1),'Withdrawal Working'!$A$2:$CD$78,MATCH('Yoy WAR OG'!$J11,'Withdrawal Working'!$A$2:$A$78,0),0),AT11),0)),IF($K11=VLOOKUP(AT$2,$B:$H,7,0),AT11,)),0)</f>
        <v>0</v>
      </c>
      <c r="AW11" s="58">
        <f t="shared" ca="1" si="5"/>
        <v>0</v>
      </c>
      <c r="AZ11" s="450">
        <f t="shared" ca="1" si="32"/>
        <v>6423125.9059137208</v>
      </c>
      <c r="BA11" s="58">
        <f ca="1">(VLOOKUP(AZ$2,$B$1:$F$32,5,0)*$L11)+(VLOOKUP($K11,'Withdrawal Working'!$AD:$AE,2,0)*(IFERROR(VLOOKUP(AZ$2,$B$35:$C$42,2,0),0)))</f>
        <v>0</v>
      </c>
      <c r="BB11" s="58">
        <f>IFERROR(IF($K11&lt;VLOOKUP(AZ$2,$B:$H,7,0),IF(BD$3=1,MIN($M11,AZ11),IF(HLOOKUP(CONCATENATE("Balance",BD$3-1),'Withdrawal Working'!$A$2:$CD$78,MATCH('Yoy WAR OG'!$J11,'Withdrawal Working'!$A$2:$A$78,0),FALSE)&gt;0,MIN(HLOOKUP(CONCATENATE("Balance",BD$3-1),'Withdrawal Working'!$A$2:$CD$78,MATCH('Yoy WAR OG'!$J11,'Withdrawal Working'!$A$2:$A$78,0),0),AZ11),0)),IF($K11=VLOOKUP(AZ$2,$B:$H,7,0),AZ11,)),0)</f>
        <v>0</v>
      </c>
      <c r="BC11" s="58">
        <f t="shared" ca="1" si="6"/>
        <v>6872744.7193276817</v>
      </c>
      <c r="BF11" s="450">
        <f t="shared" ca="1" si="33"/>
        <v>0</v>
      </c>
      <c r="BG11" s="58">
        <f ca="1">(VLOOKUP(BF$2,$B$1:$F$32,5,0)*$L11)+(VLOOKUP($K11,'Withdrawal Working'!$AD:$AE,2,0)*(IFERROR(VLOOKUP(BF$2,$B$35:$C$42,2,0),0)))</f>
        <v>0</v>
      </c>
      <c r="BH11" s="58">
        <f>IFERROR(IF($K11&lt;VLOOKUP(BF$2,$B:$H,7,0),IF(BJ$3=1,MIN($M11,BF11),IF(HLOOKUP(CONCATENATE("Balance",BJ$3-1),'Withdrawal Working'!$A$2:$CD$78,MATCH('Yoy WAR OG'!$J11,'Withdrawal Working'!$A$2:$A$78,0),FALSE)&gt;0,MIN(HLOOKUP(CONCATENATE("Balance",BJ$3-1),'Withdrawal Working'!$A$2:$CD$78,MATCH('Yoy WAR OG'!$J11,'Withdrawal Working'!$A$2:$A$78,0),0),BF11),0)),IF($K11=VLOOKUP(BF$2,$B:$H,7,0),BF11,)),0)</f>
        <v>0</v>
      </c>
      <c r="BI11" s="58">
        <f t="shared" ca="1" si="7"/>
        <v>0</v>
      </c>
      <c r="BL11" s="450">
        <f t="shared" ca="1" si="34"/>
        <v>0</v>
      </c>
      <c r="BM11" s="58">
        <f ca="1">(VLOOKUP(BL$2,$B$1:$F$32,5,0)*$L11)+(VLOOKUP($K11,'Withdrawal Working'!$AD:$AE,2,0)*(IFERROR(VLOOKUP(BL$2,$B$35:$C$42,2,0),0)))</f>
        <v>0</v>
      </c>
      <c r="BN11" s="58">
        <f>IFERROR(IF($K11&lt;VLOOKUP(BL$2,$B:$H,7,0),IF(BP$3=1,MIN($M11,BL11),IF(HLOOKUP(CONCATENATE("Balance",BP$3-1),'Withdrawal Working'!$A$2:$CD$78,MATCH('Yoy WAR OG'!$J11,'Withdrawal Working'!$A$2:$A$78,0),FALSE)&gt;0,MIN(HLOOKUP(CONCATENATE("Balance",BP$3-1),'Withdrawal Working'!$A$2:$CD$78,MATCH('Yoy WAR OG'!$J11,'Withdrawal Working'!$A$2:$A$78,0),0),BL11),0)),IF($K11=VLOOKUP(BL$2,$B:$H,7,0),BL11,)),0)</f>
        <v>0</v>
      </c>
      <c r="BO11" s="58">
        <f t="shared" ca="1" si="8"/>
        <v>0</v>
      </c>
      <c r="BR11" s="450">
        <f t="shared" ca="1" si="35"/>
        <v>0</v>
      </c>
      <c r="BS11" s="58">
        <f ca="1">(VLOOKUP(BR$2,$B$1:$F$32,5,0)*$L11)+(VLOOKUP($K11,'Withdrawal Working'!$AD:$AE,2,0)*(IFERROR(VLOOKUP(BR$2,$B$35:$C$42,2,0),0)))</f>
        <v>0</v>
      </c>
      <c r="BT11" s="58">
        <f>IFERROR(IF($K11&lt;VLOOKUP(BR$2,$B:$H,7,0),IF(BV$3=1,MIN($M11,BR11),IF(HLOOKUP(CONCATENATE("Balance",BV$3-1),'Withdrawal Working'!$A$2:$CD$78,MATCH('Yoy WAR OG'!$J11,'Withdrawal Working'!$A$2:$A$78,0),FALSE)&gt;0,MIN(HLOOKUP(CONCATENATE("Balance",BV$3-1),'Withdrawal Working'!$A$2:$CD$78,MATCH('Yoy WAR OG'!$J11,'Withdrawal Working'!$A$2:$A$78,0),0),BR11),0)),IF($K11=VLOOKUP(BR$2,$B:$H,7,0),BR11,)),0)</f>
        <v>0</v>
      </c>
      <c r="BU11" s="58">
        <f t="shared" ca="1" si="9"/>
        <v>0</v>
      </c>
      <c r="BX11" s="450">
        <f t="shared" ca="1" si="36"/>
        <v>0</v>
      </c>
      <c r="BY11" s="58">
        <f ca="1">(VLOOKUP(BX$2,$B$1:$F$32,5,0)*$L11)+(VLOOKUP($K11,'Withdrawal Working'!$AD:$AE,2,0)*(IFERROR(VLOOKUP(BX$2,$B$35:$C$42,2,0),0)))</f>
        <v>0</v>
      </c>
      <c r="BZ11" s="58">
        <f>IFERROR(IF($K11&lt;VLOOKUP(BX$2,$B:$H,7,0),IF(CB$3=1,MIN($M11,BX11),IF(HLOOKUP(CONCATENATE("Balance",CB$3-1),'Withdrawal Working'!$A$2:$CD$78,MATCH('Yoy WAR OG'!$J11,'Withdrawal Working'!$A$2:$A$78,0),FALSE)&gt;0,MIN(HLOOKUP(CONCATENATE("Balance",CB$3-1),'Withdrawal Working'!$A$2:$CD$78,MATCH('Yoy WAR OG'!$J11,'Withdrawal Working'!$A$2:$A$78,0),0),BX11),0)),IF($K11=VLOOKUP(BX$2,$B:$H,7,0),BX11,)),0)</f>
        <v>0</v>
      </c>
      <c r="CA11" s="58">
        <f t="shared" ca="1" si="10"/>
        <v>0</v>
      </c>
      <c r="CD11" s="450">
        <f t="shared" ca="1" si="37"/>
        <v>22394450.821401391</v>
      </c>
      <c r="CE11" s="58">
        <f ca="1">(VLOOKUP(CD$2,$B$1:$F$32,5,0)*$L11)+(VLOOKUP($K11,'Withdrawal Working'!$AD:$AE,2,0)*(IFERROR(VLOOKUP(CD$2,$B$35:$C$42,2,0),0)))+SUMIFS('Key Life Events'!$I$3:$I$28,'Key Life Events'!$H$3:$H$28,"House",'Key Life Events'!$E$3:$E$28,'Yoy WAR OG'!K11)</f>
        <v>0</v>
      </c>
      <c r="CF11" s="58">
        <f>IFERROR(IF($K11&lt;VLOOKUP(CD$2,$B:$H,7,0),IF(CH$3=1,MIN($M11,CD11),IF(HLOOKUP(CONCATENATE("Balance",CH$3-1),'Withdrawal Working'!$A$2:$CD$78,MATCH('Yoy WAR OG'!$J11,'Withdrawal Working'!$A$2:$A$78,0),FALSE)&gt;0,MIN(HLOOKUP(CONCATENATE("Balance",CH$3-1),'Withdrawal Working'!$A$2:$CD$78,MATCH('Yoy WAR OG'!$J11,'Withdrawal Working'!$A$2:$A$78,0),0),CD11),0)),IF($K11=VLOOKUP(CD$2,$B:$H,7,0),CD11,)),0)</f>
        <v>0</v>
      </c>
      <c r="CG11" s="58">
        <f t="shared" ca="1" si="11"/>
        <v>23066284.346043434</v>
      </c>
      <c r="CJ11" s="450">
        <f t="shared" ca="1" si="38"/>
        <v>0</v>
      </c>
      <c r="CK11" s="58">
        <f ca="1">(VLOOKUP(CJ$2,$B$1:$F$32,5,0)*$L11)+(VLOOKUP($K11,'Withdrawal Working'!$AD:$AE,2,0)*(IFERROR(VLOOKUP(CJ$2,$B$35:$C$42,2,0),0)))+SUMIFS('Key Life Events'!$I$3:$I$28,'Key Life Events'!$H$3:$H$28,"House2",'Key Life Events'!$E$3:$E$28,'Yoy WAR OG'!K11)</f>
        <v>0</v>
      </c>
      <c r="CL11" s="58">
        <f ca="1">IF(IFERROR(IF($K11&lt;&gt;VLOOKUP(CJ$2,$B:$H,7,0),IF(CN$3=1,MIN($M11,CJ11),IF(HLOOKUP(CONCATENATE("Balance",CN$3-1),'Withdrawal Working'!$A$2:$CD$78,MATCH('Yoy WAR OG'!$J11,'Withdrawal Working'!$A$2:$A$78,0),FALSE)&gt;0,MIN(HLOOKUP(CONCATENATE("Balance",CN$3-1),'Withdrawal Working'!$A$2:$CD$78,MATCH('Yoy WAR OG'!$J11,'Withdrawal Working'!$A$2:$A$78,0),0),CJ11),0)),IF($K11=VLOOKUP(CJ$2,$B:$H,7,0),CJ11,)),0)&gt;0,CJ11,0)</f>
        <v>0</v>
      </c>
      <c r="CM11" s="58">
        <f t="shared" ca="1" si="12"/>
        <v>0</v>
      </c>
      <c r="CP11" s="450">
        <f t="shared" ca="1" si="39"/>
        <v>3517751.056640625</v>
      </c>
      <c r="CQ11" s="58">
        <f ca="1">(VLOOKUP(CP$2,$B$1:$F$32,5,0)*$L11)+(VLOOKUP($K11,'Withdrawal Working'!$AD:$AE,2,0)*(IFERROR(VLOOKUP(CP$2,$B$35:$C$42,2,0),0)))+SUMIFS('Key Life Events'!$I$3:$I$28,'Key Life Events'!$H$3:$H$28,"Land",'Key Life Events'!$E$3:$E$28,'Yoy WAR OG'!K11)</f>
        <v>0</v>
      </c>
      <c r="CR11" s="58">
        <f>IFERROR(IF($K11&lt;VLOOKUP(CP$2,$B:$H,7,0),IF(CT$3=1,MIN($M11,CP11),IF(HLOOKUP(CONCATENATE("Balance",CT$3-1),'Withdrawal Working'!$A$2:$CD$78,MATCH('Yoy WAR OG'!$J11,'Withdrawal Working'!$A$2:$A$78,0),FALSE)&gt;0,MIN(HLOOKUP(CONCATENATE("Balance",CT$3-1),'Withdrawal Working'!$A$2:$CD$78,MATCH('Yoy WAR OG'!$J11,'Withdrawal Working'!$A$2:$A$78,0),0),CP11),0)),IF($K11=VLOOKUP(CP$2,$B:$H,7,0),CP11,)),0)</f>
        <v>0</v>
      </c>
      <c r="CS11" s="58">
        <f t="shared" ca="1" si="13"/>
        <v>3693638.6094726566</v>
      </c>
      <c r="CV11" s="450">
        <f t="shared" ca="1" si="40"/>
        <v>0</v>
      </c>
      <c r="CW11" s="58"/>
      <c r="CX11" s="58">
        <f>IFERROR(IF($K11&lt;VLOOKUP(CV$2,$B:$H,7,0),IF(CZ$3=1,MIN($M11,CV11),IF(HLOOKUP(CONCATENATE("Balance",CZ$3-1),'Withdrawal Working'!$A$2:$CD$78,MATCH('Yoy WAR OG'!$J11,'Withdrawal Working'!$A$2:$A$78,0),FALSE)&gt;0,MIN(HLOOKUP(CONCATENATE("Balance",CZ$3-1),'Withdrawal Working'!$A$2:$CD$78,MATCH('Yoy WAR OG'!$J11,'Withdrawal Working'!$A$2:$A$78,0),0),CV11),0)),IF($K11=VLOOKUP(CV$2,$B:$H,7,0),CV11,)),0)</f>
        <v>0</v>
      </c>
      <c r="CY11" s="58">
        <f t="shared" ca="1" si="14"/>
        <v>0</v>
      </c>
      <c r="DB11" s="450">
        <f t="shared" ca="1" si="41"/>
        <v>0</v>
      </c>
      <c r="DC11" s="58">
        <f ca="1">(VLOOKUP(DB$2,$B$1:$F$32,5,0)*$L11)+(VLOOKUP($K11,'Withdrawal Working'!$AD:$AE,2,0)*(IFERROR(VLOOKUP(DB$2,$B$35:$C$42,2,0),0)))</f>
        <v>0</v>
      </c>
      <c r="DD11" s="58">
        <f>IFERROR(IF($K11&lt;VLOOKUP(DB$2,$B:$H,7,0),IF(DF$3=1,MIN($M11,DB11),IF(HLOOKUP(CONCATENATE("Balance",DF$3-1),'Withdrawal Working'!$A$2:$CD$78,MATCH('Yoy WAR OG'!$J11,'Withdrawal Working'!$A$2:$A$78,0),FALSE)&gt;0,MIN(HLOOKUP(CONCATENATE("Balance",DF$3-1),'Withdrawal Working'!$A$2:$CD$78,MATCH('Yoy WAR OG'!$J11,'Withdrawal Working'!$A$2:$A$78,0),0),DB11),0)),IF($K11=VLOOKUP(DB$2,$B:$H,7,0),DB11,)),0)</f>
        <v>0</v>
      </c>
      <c r="DE11" s="58">
        <f t="shared" ca="1" si="15"/>
        <v>0</v>
      </c>
      <c r="DH11" s="450">
        <f t="shared" ca="1" si="42"/>
        <v>0</v>
      </c>
      <c r="DI11" s="58">
        <f>IF(OR(J11&gt;'NWGC - SCENARIOS'!$D$7,J11='NWGC - SCENARIOS'!$D$7),0,DI10*(1+'NWGC - SCENARIOS'!$L$5))</f>
        <v>0</v>
      </c>
      <c r="DJ11" s="58">
        <f>IFERROR(IF($K11&lt;VLOOKUP(DH$2,$B:$H,7,0),IF(DL$3=1,MIN($M11,DH11),IF(HLOOKUP(CONCATENATE("Balance",DL$3-1),'Withdrawal Working'!$A$2:$CD$78,MATCH('Yoy WAR OG'!$J11,'Withdrawal Working'!$A$2:$A$78,0),FALSE)&gt;0,MIN(HLOOKUP(CONCATENATE("Balance",DL$3-1),'Withdrawal Working'!$A$2:$CD$78,MATCH('Yoy WAR OG'!$J11,'Withdrawal Working'!$A$2:$A$78,0),0),DH11),0)),IF($K11=VLOOKUP(DH$2,$B:$H,7,0),DH11,)),0)</f>
        <v>0</v>
      </c>
      <c r="DK11" s="58">
        <f t="shared" ca="1" si="16"/>
        <v>0</v>
      </c>
      <c r="DN11" s="450">
        <f t="shared" ca="1" si="43"/>
        <v>0</v>
      </c>
      <c r="DO11" s="58">
        <f ca="1">(VLOOKUP(DN$2,$B$1:$F$32,5,0)*$L11)+(VLOOKUP($K11,'Withdrawal Working'!$AD:$AE,2,0)*(IFERROR(VLOOKUP(DN$2,$B$35:$C$42,2,0),0)))</f>
        <v>0</v>
      </c>
      <c r="DP11" s="58">
        <f>IFERROR(IF($K11&lt;VLOOKUP(DN$2,$B:$H,7,0),IF(DR$3=1,MIN($M11,DN11),IF(HLOOKUP(CONCATENATE("Balance",DR$3-1),'Withdrawal Working'!$A$2:$CD$78,MATCH('Yoy WAR OG'!$J11,'Withdrawal Working'!$A$2:$A$78,0),FALSE)&gt;0,MIN(HLOOKUP(CONCATENATE("Balance",DR$3-1),'Withdrawal Working'!$A$2:$CD$78,MATCH('Yoy WAR OG'!$J11,'Withdrawal Working'!$A$2:$A$78,0),0),DN11),0)),IF($K11=VLOOKUP(DN$2,$B:$H,7,0),DN11,)),0)</f>
        <v>0</v>
      </c>
      <c r="DQ11" s="58">
        <f t="shared" ca="1" si="17"/>
        <v>0</v>
      </c>
      <c r="DT11" s="450">
        <f t="shared" ca="1" si="44"/>
        <v>0</v>
      </c>
      <c r="DU11" s="58">
        <f ca="1">(VLOOKUP(DT$2,$B$1:$F$32,5,0)*$L11)+(VLOOKUP($K11,'Withdrawal Working'!$AD:$AE,2,0)*(IFERROR(VLOOKUP(DT$2,$B$35:$C$42,2,0),0)))</f>
        <v>0</v>
      </c>
      <c r="DV11" s="58">
        <f>IFERROR(IF($K11&lt;VLOOKUP(DT$2,$B:$H,7,0),IF(DX$3=1,MIN($M11,DT11),IF(HLOOKUP(CONCATENATE("Balance",DX$3-1),'Withdrawal Working'!$A$2:$CD$78,MATCH('Yoy WAR OG'!$J11,'Withdrawal Working'!$A$2:$A$78,0),FALSE)&gt;0,MIN(HLOOKUP(CONCATENATE("Balance",DX$3-1),'Withdrawal Working'!$A$2:$CD$78,MATCH('Yoy WAR OG'!$J11,'Withdrawal Working'!$A$2:$A$78,0),0),DT11),0)),IF($K11=VLOOKUP(DT$2,$B:$H,7,0),DT11,)),0)</f>
        <v>0</v>
      </c>
      <c r="DW11" s="58">
        <f t="shared" ca="1" si="18"/>
        <v>0</v>
      </c>
      <c r="DZ11" s="450">
        <f t="shared" ca="1" si="45"/>
        <v>0</v>
      </c>
      <c r="EA11" s="58">
        <f ca="1">(VLOOKUP(DZ$2,$B$1:$F$32,5,0)*$L11)+(VLOOKUP($K11,'Withdrawal Working'!$AD:$AE,2,0)*(IFERROR(VLOOKUP(DZ$2,$B$35:$C$42,2,0),0)))</f>
        <v>0</v>
      </c>
      <c r="EB11" s="58">
        <f>IFERROR(IF($K11&lt;VLOOKUP(DZ$2,$B:$H,7,0),IF(ED$3=1,MIN($M11,DZ11),IF(HLOOKUP(CONCATENATE("Balance",ED$3-1),'Withdrawal Working'!$A$2:$CD$78,MATCH('Yoy WAR OG'!$J11,'Withdrawal Working'!$A$2:$A$78,0),FALSE)&gt;0,MIN(HLOOKUP(CONCATENATE("Balance",ED$3-1),'Withdrawal Working'!$A$2:$CD$78,MATCH('Yoy WAR OG'!$J11,'Withdrawal Working'!$A$2:$A$78,0),0),DZ11),0)),IF($K11=VLOOKUP(DZ$2,$B:$H,7,0),DZ11,)),0)</f>
        <v>0</v>
      </c>
      <c r="EC11" s="58">
        <f t="shared" ca="1" si="19"/>
        <v>0</v>
      </c>
      <c r="EF11" s="450">
        <f t="shared" ca="1" si="46"/>
        <v>0</v>
      </c>
      <c r="EG11" s="58">
        <f ca="1">(VLOOKUP(EF$2,$B$1:$F$32,5,0)*$L11)+(VLOOKUP($K11,'Withdrawal Working'!$AD:$AE,2,0)*(IFERROR(VLOOKUP(EF$2,$B$35:$C$42,2,0),0)))</f>
        <v>0</v>
      </c>
      <c r="EH11" s="58">
        <f>IFERROR(IF($K11&lt;VLOOKUP(EF$2,$B:$H,7,0),IF(EJ$3=1,MIN($M11,EF11),IF(HLOOKUP(CONCATENATE("Balance",EJ$3-1),'Withdrawal Working'!$A$2:$CD$78,MATCH('Yoy WAR OG'!$J11,'Withdrawal Working'!$A$2:$A$78,0),FALSE)&gt;0,MIN(HLOOKUP(CONCATENATE("Balance",EJ$3-1),'Withdrawal Working'!$A$2:$CD$78,MATCH('Yoy WAR OG'!$J11,'Withdrawal Working'!$A$2:$A$78,0),0),EF11),0)),IF($K11=VLOOKUP(EF$2,$B:$H,7,0),EF11,)),0)</f>
        <v>0</v>
      </c>
      <c r="EI11" s="58">
        <f t="shared" ca="1" si="20"/>
        <v>0</v>
      </c>
      <c r="EL11" s="450">
        <f t="shared" ca="1" si="47"/>
        <v>0</v>
      </c>
      <c r="EM11" s="58">
        <f>IF(OR($J11&gt;'NWGC - SCENARIOS'!$D$7,$J11='NWGC - SCENARIOS'!$D$7),0,EM10)</f>
        <v>0</v>
      </c>
      <c r="EN11" s="58">
        <f>IFERROR(IF($K11&lt;VLOOKUP(EL$2,$B:$H,7,0),IF(EP$3=1,MIN($M11,EL11),IF(HLOOKUP(CONCATENATE("Balance",EP$3-1),'Withdrawal Working'!$A$2:$CD$78,MATCH('Yoy WAR OG'!$J11,'Withdrawal Working'!$A$2:$A$78,0),FALSE)&gt;0,MIN(HLOOKUP(CONCATENATE("Balance",EP$3-1),'Withdrawal Working'!$A$2:$CD$78,MATCH('Yoy WAR OG'!$J11,'Withdrawal Working'!$A$2:$A$78,0),0),EL11),0)),IF($K11=VLOOKUP(EL$2,$B:$H,7,0),EL11,)),0)</f>
        <v>0</v>
      </c>
      <c r="EO11" s="58">
        <f t="shared" ca="1" si="21"/>
        <v>0</v>
      </c>
      <c r="ER11" s="450">
        <f t="shared" ca="1" si="48"/>
        <v>0</v>
      </c>
      <c r="ES11" s="58">
        <f>IF(OR(J11&gt;'NWGC - SCENARIOS'!$D$7,J11='NWGC - SCENARIOS'!$D$7),0,ES10*(1+'NWGC - SCENARIOS'!$L$5))</f>
        <v>0</v>
      </c>
      <c r="ET11" s="58">
        <f>IFERROR(IF($K11&lt;VLOOKUP(ER$2,$B:$H,7,0),IF(EV$3=1,MIN($M11,ER11),IF(HLOOKUP(CONCATENATE("Balance",EV$3-1),'Withdrawal Working'!$A$2:$CD$78,MATCH('Yoy WAR OG'!$J11,'Withdrawal Working'!$A$2:$A$78,0),FALSE)&gt;0,MIN(HLOOKUP(CONCATENATE("Balance",EV$3-1),'Withdrawal Working'!$A$2:$CD$78,MATCH('Yoy WAR OG'!$J11,'Withdrawal Working'!$A$2:$A$78,0),0),ER11),0)),IF($K11=VLOOKUP(ER$2,$B:$H,7,0),ER11,)),0)</f>
        <v>0</v>
      </c>
      <c r="EU11" s="58">
        <f t="shared" ca="1" si="22"/>
        <v>0</v>
      </c>
      <c r="EX11" s="450">
        <f t="shared" ca="1" si="49"/>
        <v>0</v>
      </c>
      <c r="EY11" s="58">
        <f>IF(OR(J11&gt;'NWGC - SCENARIOS'!$D$7,J11='NWGC - SCENARIOS'!$D$7),0,EY10)</f>
        <v>0</v>
      </c>
      <c r="EZ11" s="58">
        <f>IFERROR(IF($K11&lt;VLOOKUP(EX$2,$B:$H,7,0),IF(FB$3=1,MIN($M11,EX11),IF(HLOOKUP(CONCATENATE("Balance",FB$3-1),'Withdrawal Working'!$A$2:$CD$78,MATCH('Yoy WAR OG'!$J11,'Withdrawal Working'!$A$2:$A$78,0),FALSE)&gt;0,MIN(HLOOKUP(CONCATENATE("Balance",FB$3-1),'Withdrawal Working'!$A$2:$CD$78,MATCH('Yoy WAR OG'!$J11,'Withdrawal Working'!$A$2:$A$78,0),0),EX11),0)),IF($K11=VLOOKUP(EX$2,$B:$H,7,0),EX11,)),0)</f>
        <v>0</v>
      </c>
      <c r="FA11" s="58">
        <f t="shared" ca="1" si="23"/>
        <v>0</v>
      </c>
    </row>
    <row r="12" spans="1:197" x14ac:dyDescent="0.3">
      <c r="A12" t="s">
        <v>366</v>
      </c>
      <c r="B12" t="str">
        <f>Networth!B12</f>
        <v>SGBs</v>
      </c>
      <c r="C12" s="58">
        <f>VLOOKUP('Yoy WAR OG'!B12,'WAR - Rev'!$A$1:$B$29,2,0)</f>
        <v>221475</v>
      </c>
      <c r="D12" s="313">
        <f>'WAR - Rev'!C10</f>
        <v>0.08</v>
      </c>
      <c r="G12" s="58">
        <v>3</v>
      </c>
      <c r="H12" s="452">
        <f>VLOOKUP('NWGC - SCENARIOS'!$D$7,'NWGC - SCENARIOS'!$B$11:$C$67,2,0)</f>
        <v>2031</v>
      </c>
      <c r="J12">
        <f>IFERROR('NWGC - SCENARIOS'!B19,0)</f>
        <v>57</v>
      </c>
      <c r="K12">
        <f>IFERROR('NWGC - SCENARIOS'!C19,0)</f>
        <v>2033</v>
      </c>
      <c r="L12" s="449">
        <f ca="1">IF(('NWGC - SCENARIOS'!G19-working!G10)&gt;'NWGC - SCENARIOS'!H19,'NWGC - SCENARIOS'!G19-'NWGC - SCENARIOS'!H19-working!G10,0)</f>
        <v>13341179.213564388</v>
      </c>
      <c r="M12" s="449">
        <f ca="1">IF(('NWGC - SCENARIOS'!G19-working!G10)&gt;'NWGC - SCENARIOS'!H19,0,'NWGC - SCENARIOS'!H19-'NWGC - SCENARIOS'!G19+working!G10)</f>
        <v>0</v>
      </c>
      <c r="N12" s="58">
        <f t="shared" ca="1" si="0"/>
        <v>201108660.63296288</v>
      </c>
      <c r="O12" s="58">
        <f t="shared" ca="1" si="1"/>
        <v>34990430.26605165</v>
      </c>
      <c r="P12" s="58">
        <f t="shared" ca="1" si="24"/>
        <v>0</v>
      </c>
      <c r="Q12" s="58">
        <f ca="1">(VLOOKUP(P$2,$B$1:$F$32,5,0)*$L12)+(VLOOKUP($K12,'Withdrawal Working'!$AD:$AE,2,0)*(IFERROR(VLOOKUP(P$2,$B$35:$C$42,2,0),0)))</f>
        <v>0</v>
      </c>
      <c r="R12" s="58">
        <f>IFERROR(IF($K12&lt;VLOOKUP(P$2,$B:$H,7,0),IF(T$3=1,MIN($M12,P12),IF(HLOOKUP(CONCATENATE("Balance",T$3-1),'Withdrawal Working'!$A$2:$CD$78,MATCH('Yoy WAR OG'!$J12,'Withdrawal Working'!$A$2:$A$78,0),FALSE)&gt;0,MIN(HLOOKUP(CONCATENATE("Balance",T$3-1),'Withdrawal Working'!$A$2:$CD$78,MATCH('Yoy WAR OG'!$J12,'Withdrawal Working'!$A$2:$A$78,0),0),P12),0)),IF($K12=VLOOKUP(P$2,$B:$H,7,0),P12,)),0)</f>
        <v>0</v>
      </c>
      <c r="S12" s="58">
        <f t="shared" ca="1" si="26"/>
        <v>0</v>
      </c>
      <c r="T12" s="58"/>
      <c r="V12" s="58">
        <f t="shared" ca="1" si="27"/>
        <v>0</v>
      </c>
      <c r="W12" s="58">
        <f ca="1">(VLOOKUP(V$2,$B$1:$F$32,5,0)*$L12)+(VLOOKUP($K12,'Withdrawal Working'!$AD:$AE,2,0)*(IFERROR(VLOOKUP(V$2,$B$35:$C$42,2,0),0)))</f>
        <v>0</v>
      </c>
      <c r="X12" s="58">
        <f>IFERROR(IF($K12&lt;VLOOKUP(V$2,$B:$H,7,0),IF(Z$3=1,MIN($M12,V12),IF(HLOOKUP(CONCATENATE("Balance",Z$3-1),'Withdrawal Working'!$A$2:$CD$78,MATCH('Yoy WAR OG'!$J12,'Withdrawal Working'!$A$2:$A$78,0),FALSE)&gt;0,MIN(HLOOKUP(CONCATENATE("Balance",Z$3-1),'Withdrawal Working'!$A$2:$CD$78,MATCH('Yoy WAR OG'!$J12,'Withdrawal Working'!$A$2:$A$78,0),0),V12),0)),IF($K12=VLOOKUP(V$2,$B:$H,7,0),V12,)),0)</f>
        <v>0</v>
      </c>
      <c r="Y12" s="58">
        <f t="shared" ca="1" si="2"/>
        <v>0</v>
      </c>
      <c r="AB12" s="58">
        <f t="shared" ca="1" si="28"/>
        <v>0</v>
      </c>
      <c r="AC12" s="58">
        <f ca="1">(VLOOKUP(AB$2,$B$1:$F$32,5,0)*$L12)+(VLOOKUP($K12,'Withdrawal Working'!$AD:$AE,2,0)*(IFERROR(VLOOKUP(AB$2,$B$35:$C$42,2,0),0)))</f>
        <v>0</v>
      </c>
      <c r="AD12" s="58">
        <f>IFERROR(IF($K12&lt;VLOOKUP(AB$2,$B:$H,7,0),IF(AF$3=1,MIN($M12,AB12),IF(HLOOKUP(CONCATENATE("Balance",AF$3-1),'Withdrawal Working'!$A$2:$CD$78,MATCH('Yoy WAR OG'!$J12,'Withdrawal Working'!$A$2:$A$78,0),FALSE)&gt;0,MIN(HLOOKUP(CONCATENATE("Balance",AF$3-1),'Withdrawal Working'!$A$2:$CD$78,MATCH('Yoy WAR OG'!$J12,'Withdrawal Working'!$A$2:$A$78,0),0),AB12),0)),IF($K12=VLOOKUP(AB$2,$B:$H,7,0),AB12,)),0)</f>
        <v>0</v>
      </c>
      <c r="AE12" s="58">
        <f t="shared" ca="1" si="3"/>
        <v>0</v>
      </c>
      <c r="AH12" s="58">
        <f t="shared" ca="1" si="29"/>
        <v>82377297.611289993</v>
      </c>
      <c r="AI12" s="58">
        <f ca="1">(VLOOKUP(AH$2,$B$1:$F$32,5,0)*$L12)+IF(J12&gt;'NWGC - SCENARIOS'!$D$7,0,(VLOOKUP($K12,'Withdrawal Working'!$AD:$AE,2,0)*(IFERROR(VLOOKUP(AH$2,$B$35:$C$42,2,0),0))))</f>
        <v>8004707.5281386329</v>
      </c>
      <c r="AJ12" s="58">
        <f ca="1">IFERROR(IF($J12&gt;'NWGC - SCENARIOS'!$D$7,MIN('Yoy WAR OG'!AH12,VLOOKUP('Yoy WAR OG'!$J12,'Withdrawal Working'!BC:BD,2,0)),IF(AL$3=1,$M12,IF(HLOOKUP(CONCATENATE("Balance",AL$3-1),'Withdrawal Working'!$A$2:$CD$78,MATCH('Yoy WAR OG'!$J12,'Withdrawal Working'!$A$2:$A$78,0),FALSE)&gt;0,MIN(HLOOKUP(CONCATENATE("Balance",AL$3-1),'Withdrawal Working'!$A$2:$CD$78,MATCH('Yoy WAR OG'!$J12,'Withdrawal Working'!$A$2:$A$78,0),0),AH12),0))),0)</f>
        <v>4317849.9945455752</v>
      </c>
      <c r="AK12" s="58">
        <f t="shared" ca="1" si="4"/>
        <v>94650694.382724941</v>
      </c>
      <c r="AN12" s="450">
        <f t="shared" ca="1" si="30"/>
        <v>91253703.201770812</v>
      </c>
      <c r="AO12" s="58">
        <f ca="1">IF(J12&gt;'NWGC - SCENARIOS'!$D$7,(IF(AJ12=0,0,'Yoy WAR OG'!AJ12)+(VLOOKUP(AN$2,$B$1:$F$32,5,0)*$L12)),(VLOOKUP(AN$2,$B$1:$F$32,5,0)*$L12)+(VLOOKUP($K12,'Withdrawal Working'!$AD:$AE,2,0)*(IFERROR(VLOOKUP(AN$2,$B$35:$C$42,2,0),0))))</f>
        <v>9654321.6799713299</v>
      </c>
      <c r="AP12" s="470">
        <f ca="1">IFERROR(IF($K12&lt;&gt;VLOOKUP(AN$2,$B:$H,7,0),IF(AR$3=1,MIN($M12,AN12),IF(HLOOKUP(CONCATENATE("Balance",AR$3-1),'Withdrawal Working'!$A$2:$CD$78,MATCH('Yoy WAR OG'!$J12,'Withdrawal Working'!$A$2:$A$78,0),FALSE)&gt;0,MIN(HLOOKUP(CONCATENATE("Balance",AR$3-1),'Withdrawal Working'!$A$2:$CD$78,MATCH('Yoy WAR OG'!$J12,'Withdrawal Working'!$A$2:$A$78,0),0),AN12),0)),IF($K12=VLOOKUP(AN$2,$B:$H,7,0),AN12,)),0)</f>
        <v>0</v>
      </c>
      <c r="AQ12" s="58">
        <f ca="1">IF(AO12&lt;0,0,IF(J12&gt;'NWGC - SCENARIOS'!$D$7,((AN12-AP12+AO12)*(1+(IFERROR(VLOOKUP(AN$2,$B:$D,3,0),0)))),((AN12-AP12)*(1+(IFERROR(VLOOKUP(AN$2,$B:$D,3,0),0))))+AO12))</f>
        <v>106457966.25023796</v>
      </c>
      <c r="AT12" s="450">
        <f t="shared" ca="1" si="31"/>
        <v>0</v>
      </c>
      <c r="AU12" s="58">
        <f ca="1">(VLOOKUP(AT$2,$B$1:$F$32,5,0)*$L12)+(VLOOKUP($K12,'Withdrawal Working'!$AD:$AE,2,0)*(IFERROR(VLOOKUP(AT$2,$B$35:$C$42,2,0),0)))</f>
        <v>0</v>
      </c>
      <c r="AV12" s="58">
        <f>IFERROR(IF($K12&lt;VLOOKUP(AT$2,$B:$H,7,0),IF(AX$3=1,MIN($M12,AT12),IF(HLOOKUP(CONCATENATE("Balance",AX$3-1),'Withdrawal Working'!$A$2:$CD$78,MATCH('Yoy WAR OG'!$J12,'Withdrawal Working'!$A$2:$A$78,0),FALSE)&gt;0,MIN(HLOOKUP(CONCATENATE("Balance",AX$3-1),'Withdrawal Working'!$A$2:$CD$78,MATCH('Yoy WAR OG'!$J12,'Withdrawal Working'!$A$2:$A$78,0),0),AT12),0)),IF($K12=VLOOKUP(AT$2,$B:$H,7,0),AT12,)),0)</f>
        <v>0</v>
      </c>
      <c r="AW12" s="58">
        <f t="shared" ca="1" si="5"/>
        <v>0</v>
      </c>
      <c r="AZ12" s="450">
        <f t="shared" ca="1" si="32"/>
        <v>6872744.7193276817</v>
      </c>
      <c r="BA12" s="58">
        <f ca="1">(VLOOKUP(AZ$2,$B$1:$F$32,5,0)*$L12)+(VLOOKUP($K12,'Withdrawal Working'!$AD:$AE,2,0)*(IFERROR(VLOOKUP(AZ$2,$B$35:$C$42,2,0),0)))</f>
        <v>0</v>
      </c>
      <c r="BB12" s="58">
        <f>IFERROR(IF($K12&lt;VLOOKUP(AZ$2,$B:$H,7,0),IF(BD$3=1,MIN($M12,AZ12),IF(HLOOKUP(CONCATENATE("Balance",BD$3-1),'Withdrawal Working'!$A$2:$CD$78,MATCH('Yoy WAR OG'!$J12,'Withdrawal Working'!$A$2:$A$78,0),FALSE)&gt;0,MIN(HLOOKUP(CONCATENATE("Balance",BD$3-1),'Withdrawal Working'!$A$2:$CD$78,MATCH('Yoy WAR OG'!$J12,'Withdrawal Working'!$A$2:$A$78,0),0),AZ12),0)),IF($K12=VLOOKUP(AZ$2,$B:$H,7,0),AZ12,)),0)</f>
        <v>0</v>
      </c>
      <c r="BC12" s="58">
        <f t="shared" ca="1" si="6"/>
        <v>7353836.8496806202</v>
      </c>
      <c r="BF12" s="450">
        <f t="shared" ca="1" si="33"/>
        <v>0</v>
      </c>
      <c r="BG12" s="58">
        <f ca="1">(VLOOKUP(BF$2,$B$1:$F$32,5,0)*$L12)+(VLOOKUP($K12,'Withdrawal Working'!$AD:$AE,2,0)*(IFERROR(VLOOKUP(BF$2,$B$35:$C$42,2,0),0)))</f>
        <v>0</v>
      </c>
      <c r="BH12" s="58">
        <f>IFERROR(IF($K12&lt;VLOOKUP(BF$2,$B:$H,7,0),IF(BJ$3=1,MIN($M12,BF12),IF(HLOOKUP(CONCATENATE("Balance",BJ$3-1),'Withdrawal Working'!$A$2:$CD$78,MATCH('Yoy WAR OG'!$J12,'Withdrawal Working'!$A$2:$A$78,0),FALSE)&gt;0,MIN(HLOOKUP(CONCATENATE("Balance",BJ$3-1),'Withdrawal Working'!$A$2:$CD$78,MATCH('Yoy WAR OG'!$J12,'Withdrawal Working'!$A$2:$A$78,0),0),BF12),0)),IF($K12=VLOOKUP(BF$2,$B:$H,7,0),BF12,)),0)</f>
        <v>0</v>
      </c>
      <c r="BI12" s="58">
        <f t="shared" ca="1" si="7"/>
        <v>0</v>
      </c>
      <c r="BL12" s="450">
        <f t="shared" ca="1" si="34"/>
        <v>0</v>
      </c>
      <c r="BM12" s="58">
        <f ca="1">(VLOOKUP(BL$2,$B$1:$F$32,5,0)*$L12)+(VLOOKUP($K12,'Withdrawal Working'!$AD:$AE,2,0)*(IFERROR(VLOOKUP(BL$2,$B$35:$C$42,2,0),0)))</f>
        <v>0</v>
      </c>
      <c r="BN12" s="58">
        <f>IFERROR(IF($K12&lt;VLOOKUP(BL$2,$B:$H,7,0),IF(BP$3=1,MIN($M12,BL12),IF(HLOOKUP(CONCATENATE("Balance",BP$3-1),'Withdrawal Working'!$A$2:$CD$78,MATCH('Yoy WAR OG'!$J12,'Withdrawal Working'!$A$2:$A$78,0),FALSE)&gt;0,MIN(HLOOKUP(CONCATENATE("Balance",BP$3-1),'Withdrawal Working'!$A$2:$CD$78,MATCH('Yoy WAR OG'!$J12,'Withdrawal Working'!$A$2:$A$78,0),0),BL12),0)),IF($K12=VLOOKUP(BL$2,$B:$H,7,0),BL12,)),0)</f>
        <v>0</v>
      </c>
      <c r="BO12" s="58">
        <f t="shared" ca="1" si="8"/>
        <v>0</v>
      </c>
      <c r="BR12" s="450">
        <f t="shared" ca="1" si="35"/>
        <v>0</v>
      </c>
      <c r="BS12" s="58">
        <f ca="1">(VLOOKUP(BR$2,$B$1:$F$32,5,0)*$L12)+(VLOOKUP($K12,'Withdrawal Working'!$AD:$AE,2,0)*(IFERROR(VLOOKUP(BR$2,$B$35:$C$42,2,0),0)))</f>
        <v>0</v>
      </c>
      <c r="BT12" s="58">
        <f>IFERROR(IF($K12&lt;VLOOKUP(BR$2,$B:$H,7,0),IF(BV$3=1,MIN($M12,BR12),IF(HLOOKUP(CONCATENATE("Balance",BV$3-1),'Withdrawal Working'!$A$2:$CD$78,MATCH('Yoy WAR OG'!$J12,'Withdrawal Working'!$A$2:$A$78,0),FALSE)&gt;0,MIN(HLOOKUP(CONCATENATE("Balance",BV$3-1),'Withdrawal Working'!$A$2:$CD$78,MATCH('Yoy WAR OG'!$J12,'Withdrawal Working'!$A$2:$A$78,0),0),BR12),0)),IF($K12=VLOOKUP(BR$2,$B:$H,7,0),BR12,)),0)</f>
        <v>0</v>
      </c>
      <c r="BU12" s="58">
        <f t="shared" ca="1" si="9"/>
        <v>0</v>
      </c>
      <c r="BX12" s="450">
        <f t="shared" ca="1" si="36"/>
        <v>0</v>
      </c>
      <c r="BY12" s="58">
        <f ca="1">(VLOOKUP(BX$2,$B$1:$F$32,5,0)*$L12)+(VLOOKUP($K12,'Withdrawal Working'!$AD:$AE,2,0)*(IFERROR(VLOOKUP(BX$2,$B$35:$C$42,2,0),0)))</f>
        <v>0</v>
      </c>
      <c r="BZ12" s="58">
        <f>IFERROR(IF($K12&lt;VLOOKUP(BX$2,$B:$H,7,0),IF(CB$3=1,MIN($M12,BX12),IF(HLOOKUP(CONCATENATE("Balance",CB$3-1),'Withdrawal Working'!$A$2:$CD$78,MATCH('Yoy WAR OG'!$J12,'Withdrawal Working'!$A$2:$A$78,0),FALSE)&gt;0,MIN(HLOOKUP(CONCATENATE("Balance",CB$3-1),'Withdrawal Working'!$A$2:$CD$78,MATCH('Yoy WAR OG'!$J12,'Withdrawal Working'!$A$2:$A$78,0),0),BX12),0)),IF($K12=VLOOKUP(BX$2,$B:$H,7,0),BX12,)),0)</f>
        <v>0</v>
      </c>
      <c r="CA12" s="58">
        <f t="shared" ca="1" si="10"/>
        <v>0</v>
      </c>
      <c r="CD12" s="450">
        <f t="shared" ca="1" si="37"/>
        <v>23066284.346043434</v>
      </c>
      <c r="CE12" s="58">
        <f ca="1">(VLOOKUP(CD$2,$B$1:$F$32,5,0)*$L12)+(VLOOKUP($K12,'Withdrawal Working'!$AD:$AE,2,0)*(IFERROR(VLOOKUP(CD$2,$B$35:$C$42,2,0),0)))+SUMIFS('Key Life Events'!$I$3:$I$28,'Key Life Events'!$H$3:$H$28,"House",'Key Life Events'!$E$3:$E$28,'Yoy WAR OG'!K12)</f>
        <v>0</v>
      </c>
      <c r="CF12" s="58">
        <f>IFERROR(IF($K12&lt;VLOOKUP(CD$2,$B:$H,7,0),IF(CH$3=1,MIN($M12,CD12),IF(HLOOKUP(CONCATENATE("Balance",CH$3-1),'Withdrawal Working'!$A$2:$CD$78,MATCH('Yoy WAR OG'!$J12,'Withdrawal Working'!$A$2:$A$78,0),FALSE)&gt;0,MIN(HLOOKUP(CONCATENATE("Balance",CH$3-1),'Withdrawal Working'!$A$2:$CD$78,MATCH('Yoy WAR OG'!$J12,'Withdrawal Working'!$A$2:$A$78,0),0),CD12),0)),IF($K12=VLOOKUP(CD$2,$B:$H,7,0),CD12,)),0)</f>
        <v>0</v>
      </c>
      <c r="CG12" s="58">
        <f t="shared" ca="1" si="11"/>
        <v>23758272.876424737</v>
      </c>
      <c r="CJ12" s="450">
        <f t="shared" ca="1" si="38"/>
        <v>0</v>
      </c>
      <c r="CK12" s="58">
        <f ca="1">(VLOOKUP(CJ$2,$B$1:$F$32,5,0)*$L12)+(VLOOKUP($K12,'Withdrawal Working'!$AD:$AE,2,0)*(IFERROR(VLOOKUP(CJ$2,$B$35:$C$42,2,0),0)))+SUMIFS('Key Life Events'!$I$3:$I$28,'Key Life Events'!$H$3:$H$28,"House2",'Key Life Events'!$E$3:$E$28,'Yoy WAR OG'!K12)</f>
        <v>0</v>
      </c>
      <c r="CL12" s="58">
        <f ca="1">IF(IFERROR(IF($K12&lt;&gt;VLOOKUP(CJ$2,$B:$H,7,0),IF(CN$3=1,MIN($M12,CJ12),IF(HLOOKUP(CONCATENATE("Balance",CN$3-1),'Withdrawal Working'!$A$2:$CD$78,MATCH('Yoy WAR OG'!$J12,'Withdrawal Working'!$A$2:$A$78,0),FALSE)&gt;0,MIN(HLOOKUP(CONCATENATE("Balance",CN$3-1),'Withdrawal Working'!$A$2:$CD$78,MATCH('Yoy WAR OG'!$J12,'Withdrawal Working'!$A$2:$A$78,0),0),CJ12),0)),IF($K12=VLOOKUP(CJ$2,$B:$H,7,0),CJ12,)),0)&gt;0,CJ12,0)</f>
        <v>0</v>
      </c>
      <c r="CM12" s="58">
        <f t="shared" ca="1" si="12"/>
        <v>0</v>
      </c>
      <c r="CP12" s="450">
        <f t="shared" ca="1" si="39"/>
        <v>3693638.6094726566</v>
      </c>
      <c r="CQ12" s="58">
        <f ca="1">(VLOOKUP(CP$2,$B$1:$F$32,5,0)*$L12)+(VLOOKUP($K12,'Withdrawal Working'!$AD:$AE,2,0)*(IFERROR(VLOOKUP(CP$2,$B$35:$C$42,2,0),0)))+SUMIFS('Key Life Events'!$I$3:$I$28,'Key Life Events'!$H$3:$H$28,"Land",'Key Life Events'!$E$3:$E$28,'Yoy WAR OG'!K12)</f>
        <v>0</v>
      </c>
      <c r="CR12" s="58">
        <f>IFERROR(IF($K12&lt;VLOOKUP(CP$2,$B:$H,7,0),IF(CT$3=1,MIN($M12,CP12),IF(HLOOKUP(CONCATENATE("Balance",CT$3-1),'Withdrawal Working'!$A$2:$CD$78,MATCH('Yoy WAR OG'!$J12,'Withdrawal Working'!$A$2:$A$78,0),FALSE)&gt;0,MIN(HLOOKUP(CONCATENATE("Balance",CT$3-1),'Withdrawal Working'!$A$2:$CD$78,MATCH('Yoy WAR OG'!$J12,'Withdrawal Working'!$A$2:$A$78,0),0),CP12),0)),IF($K12=VLOOKUP(CP$2,$B:$H,7,0),CP12,)),0)</f>
        <v>0</v>
      </c>
      <c r="CS12" s="58">
        <f t="shared" ca="1" si="13"/>
        <v>3878320.5399462897</v>
      </c>
      <c r="CV12" s="450">
        <f t="shared" ca="1" si="40"/>
        <v>0</v>
      </c>
      <c r="CW12" s="58"/>
      <c r="CX12" s="58">
        <f>IFERROR(IF($K12&lt;VLOOKUP(CV$2,$B:$H,7,0),IF(CZ$3=1,MIN($M12,CV12),IF(HLOOKUP(CONCATENATE("Balance",CZ$3-1),'Withdrawal Working'!$A$2:$CD$78,MATCH('Yoy WAR OG'!$J12,'Withdrawal Working'!$A$2:$A$78,0),FALSE)&gt;0,MIN(HLOOKUP(CONCATENATE("Balance",CZ$3-1),'Withdrawal Working'!$A$2:$CD$78,MATCH('Yoy WAR OG'!$J12,'Withdrawal Working'!$A$2:$A$78,0),0),CV12),0)),IF($K12=VLOOKUP(CV$2,$B:$H,7,0),CV12,)),0)</f>
        <v>0</v>
      </c>
      <c r="CY12" s="58">
        <f t="shared" ca="1" si="14"/>
        <v>0</v>
      </c>
      <c r="DB12" s="450">
        <f t="shared" ca="1" si="41"/>
        <v>0</v>
      </c>
      <c r="DC12" s="58">
        <f ca="1">(VLOOKUP(DB$2,$B$1:$F$32,5,0)*$L12)+(VLOOKUP($K12,'Withdrawal Working'!$AD:$AE,2,0)*(IFERROR(VLOOKUP(DB$2,$B$35:$C$42,2,0),0)))</f>
        <v>0</v>
      </c>
      <c r="DD12" s="58">
        <f>IFERROR(IF($K12&lt;VLOOKUP(DB$2,$B:$H,7,0),IF(DF$3=1,MIN($M12,DB12),IF(HLOOKUP(CONCATENATE("Balance",DF$3-1),'Withdrawal Working'!$A$2:$CD$78,MATCH('Yoy WAR OG'!$J12,'Withdrawal Working'!$A$2:$A$78,0),FALSE)&gt;0,MIN(HLOOKUP(CONCATENATE("Balance",DF$3-1),'Withdrawal Working'!$A$2:$CD$78,MATCH('Yoy WAR OG'!$J12,'Withdrawal Working'!$A$2:$A$78,0),0),DB12),0)),IF($K12=VLOOKUP(DB$2,$B:$H,7,0),DB12,)),0)</f>
        <v>0</v>
      </c>
      <c r="DE12" s="58">
        <f t="shared" ca="1" si="15"/>
        <v>0</v>
      </c>
      <c r="DH12" s="450">
        <f t="shared" ca="1" si="42"/>
        <v>0</v>
      </c>
      <c r="DI12" s="58">
        <f>IF(OR(J12&gt;'NWGC - SCENARIOS'!$D$7,J12='NWGC - SCENARIOS'!$D$7),0,DI11*(1+'NWGC - SCENARIOS'!$L$5))</f>
        <v>0</v>
      </c>
      <c r="DJ12" s="58">
        <f>IFERROR(IF($K12&lt;VLOOKUP(DH$2,$B:$H,7,0),IF(DL$3=1,MIN($M12,DH12),IF(HLOOKUP(CONCATENATE("Balance",DL$3-1),'Withdrawal Working'!$A$2:$CD$78,MATCH('Yoy WAR OG'!$J12,'Withdrawal Working'!$A$2:$A$78,0),FALSE)&gt;0,MIN(HLOOKUP(CONCATENATE("Balance",DL$3-1),'Withdrawal Working'!$A$2:$CD$78,MATCH('Yoy WAR OG'!$J12,'Withdrawal Working'!$A$2:$A$78,0),0),DH12),0)),IF($K12=VLOOKUP(DH$2,$B:$H,7,0),DH12,)),0)</f>
        <v>0</v>
      </c>
      <c r="DK12" s="58">
        <f t="shared" ca="1" si="16"/>
        <v>0</v>
      </c>
      <c r="DN12" s="450">
        <f t="shared" ca="1" si="43"/>
        <v>0</v>
      </c>
      <c r="DO12" s="58">
        <f ca="1">(VLOOKUP(DN$2,$B$1:$F$32,5,0)*$L12)+(VLOOKUP($K12,'Withdrawal Working'!$AD:$AE,2,0)*(IFERROR(VLOOKUP(DN$2,$B$35:$C$42,2,0),0)))</f>
        <v>0</v>
      </c>
      <c r="DP12" s="58">
        <f>IFERROR(IF($K12&lt;VLOOKUP(DN$2,$B:$H,7,0),IF(DR$3=1,MIN($M12,DN12),IF(HLOOKUP(CONCATENATE("Balance",DR$3-1),'Withdrawal Working'!$A$2:$CD$78,MATCH('Yoy WAR OG'!$J12,'Withdrawal Working'!$A$2:$A$78,0),FALSE)&gt;0,MIN(HLOOKUP(CONCATENATE("Balance",DR$3-1),'Withdrawal Working'!$A$2:$CD$78,MATCH('Yoy WAR OG'!$J12,'Withdrawal Working'!$A$2:$A$78,0),0),DN12),0)),IF($K12=VLOOKUP(DN$2,$B:$H,7,0),DN12,)),0)</f>
        <v>0</v>
      </c>
      <c r="DQ12" s="58">
        <f t="shared" ca="1" si="17"/>
        <v>0</v>
      </c>
      <c r="DT12" s="450">
        <f t="shared" ca="1" si="44"/>
        <v>0</v>
      </c>
      <c r="DU12" s="58">
        <f ca="1">(VLOOKUP(DT$2,$B$1:$F$32,5,0)*$L12)+(VLOOKUP($K12,'Withdrawal Working'!$AD:$AE,2,0)*(IFERROR(VLOOKUP(DT$2,$B$35:$C$42,2,0),0)))</f>
        <v>0</v>
      </c>
      <c r="DV12" s="58">
        <f>IFERROR(IF($K12&lt;VLOOKUP(DT$2,$B:$H,7,0),IF(DX$3=1,MIN($M12,DT12),IF(HLOOKUP(CONCATENATE("Balance",DX$3-1),'Withdrawal Working'!$A$2:$CD$78,MATCH('Yoy WAR OG'!$J12,'Withdrawal Working'!$A$2:$A$78,0),FALSE)&gt;0,MIN(HLOOKUP(CONCATENATE("Balance",DX$3-1),'Withdrawal Working'!$A$2:$CD$78,MATCH('Yoy WAR OG'!$J12,'Withdrawal Working'!$A$2:$A$78,0),0),DT12),0)),IF($K12=VLOOKUP(DT$2,$B:$H,7,0),DT12,)),0)</f>
        <v>0</v>
      </c>
      <c r="DW12" s="58">
        <f t="shared" ca="1" si="18"/>
        <v>0</v>
      </c>
      <c r="DZ12" s="450">
        <f t="shared" ca="1" si="45"/>
        <v>0</v>
      </c>
      <c r="EA12" s="58">
        <f ca="1">(VLOOKUP(DZ$2,$B$1:$F$32,5,0)*$L12)+(VLOOKUP($K12,'Withdrawal Working'!$AD:$AE,2,0)*(IFERROR(VLOOKUP(DZ$2,$B$35:$C$42,2,0),0)))</f>
        <v>0</v>
      </c>
      <c r="EB12" s="58">
        <f>IFERROR(IF($K12&lt;VLOOKUP(DZ$2,$B:$H,7,0),IF(ED$3=1,MIN($M12,DZ12),IF(HLOOKUP(CONCATENATE("Balance",ED$3-1),'Withdrawal Working'!$A$2:$CD$78,MATCH('Yoy WAR OG'!$J12,'Withdrawal Working'!$A$2:$A$78,0),FALSE)&gt;0,MIN(HLOOKUP(CONCATENATE("Balance",ED$3-1),'Withdrawal Working'!$A$2:$CD$78,MATCH('Yoy WAR OG'!$J12,'Withdrawal Working'!$A$2:$A$78,0),0),DZ12),0)),IF($K12=VLOOKUP(DZ$2,$B:$H,7,0),DZ12,)),0)</f>
        <v>0</v>
      </c>
      <c r="EC12" s="58">
        <f t="shared" ca="1" si="19"/>
        <v>0</v>
      </c>
      <c r="EF12" s="450">
        <f t="shared" ca="1" si="46"/>
        <v>0</v>
      </c>
      <c r="EG12" s="58">
        <f ca="1">(VLOOKUP(EF$2,$B$1:$F$32,5,0)*$L12)+(VLOOKUP($K12,'Withdrawal Working'!$AD:$AE,2,0)*(IFERROR(VLOOKUP(EF$2,$B$35:$C$42,2,0),0)))</f>
        <v>0</v>
      </c>
      <c r="EH12" s="58">
        <f>IFERROR(IF($K12&lt;VLOOKUP(EF$2,$B:$H,7,0),IF(EJ$3=1,MIN($M12,EF12),IF(HLOOKUP(CONCATENATE("Balance",EJ$3-1),'Withdrawal Working'!$A$2:$CD$78,MATCH('Yoy WAR OG'!$J12,'Withdrawal Working'!$A$2:$A$78,0),FALSE)&gt;0,MIN(HLOOKUP(CONCATENATE("Balance",EJ$3-1),'Withdrawal Working'!$A$2:$CD$78,MATCH('Yoy WAR OG'!$J12,'Withdrawal Working'!$A$2:$A$78,0),0),EF12),0)),IF($K12=VLOOKUP(EF$2,$B:$H,7,0),EF12,)),0)</f>
        <v>0</v>
      </c>
      <c r="EI12" s="58">
        <f t="shared" ca="1" si="20"/>
        <v>0</v>
      </c>
      <c r="EL12" s="450">
        <f t="shared" ca="1" si="47"/>
        <v>0</v>
      </c>
      <c r="EM12" s="58">
        <f>IF(OR($J12&gt;'NWGC - SCENARIOS'!$D$7,$J12='NWGC - SCENARIOS'!$D$7),0,EM11)</f>
        <v>0</v>
      </c>
      <c r="EN12" s="58">
        <f>IFERROR(IF($K12&lt;VLOOKUP(EL$2,$B:$H,7,0),IF(EP$3=1,MIN($M12,EL12),IF(HLOOKUP(CONCATENATE("Balance",EP$3-1),'Withdrawal Working'!$A$2:$CD$78,MATCH('Yoy WAR OG'!$J12,'Withdrawal Working'!$A$2:$A$78,0),FALSE)&gt;0,MIN(HLOOKUP(CONCATENATE("Balance",EP$3-1),'Withdrawal Working'!$A$2:$CD$78,MATCH('Yoy WAR OG'!$J12,'Withdrawal Working'!$A$2:$A$78,0),0),EL12),0)),IF($K12=VLOOKUP(EL$2,$B:$H,7,0),EL12,)),0)</f>
        <v>0</v>
      </c>
      <c r="EO12" s="58">
        <f t="shared" ca="1" si="21"/>
        <v>0</v>
      </c>
      <c r="ER12" s="450">
        <f t="shared" ca="1" si="48"/>
        <v>0</v>
      </c>
      <c r="ES12" s="58">
        <f>IF(OR(J12&gt;'NWGC - SCENARIOS'!$D$7,J12='NWGC - SCENARIOS'!$D$7),0,ES11*(1+'NWGC - SCENARIOS'!$L$5))</f>
        <v>0</v>
      </c>
      <c r="ET12" s="58">
        <f>IFERROR(IF($K12&lt;VLOOKUP(ER$2,$B:$H,7,0),IF(EV$3=1,MIN($M12,ER12),IF(HLOOKUP(CONCATENATE("Balance",EV$3-1),'Withdrawal Working'!$A$2:$CD$78,MATCH('Yoy WAR OG'!$J12,'Withdrawal Working'!$A$2:$A$78,0),FALSE)&gt;0,MIN(HLOOKUP(CONCATENATE("Balance",EV$3-1),'Withdrawal Working'!$A$2:$CD$78,MATCH('Yoy WAR OG'!$J12,'Withdrawal Working'!$A$2:$A$78,0),0),ER12),0)),IF($K12=VLOOKUP(ER$2,$B:$H,7,0),ER12,)),0)</f>
        <v>0</v>
      </c>
      <c r="EU12" s="58">
        <f t="shared" ca="1" si="22"/>
        <v>0</v>
      </c>
      <c r="EX12" s="450">
        <f t="shared" ca="1" si="49"/>
        <v>0</v>
      </c>
      <c r="EY12" s="58">
        <f>IF(OR(J12&gt;'NWGC - SCENARIOS'!$D$7,J12='NWGC - SCENARIOS'!$D$7),0,EY11)</f>
        <v>0</v>
      </c>
      <c r="EZ12" s="58">
        <f>IFERROR(IF($K12&lt;VLOOKUP(EX$2,$B:$H,7,0),IF(FB$3=1,MIN($M12,EX12),IF(HLOOKUP(CONCATENATE("Balance",FB$3-1),'Withdrawal Working'!$A$2:$CD$78,MATCH('Yoy WAR OG'!$J12,'Withdrawal Working'!$A$2:$A$78,0),FALSE)&gt;0,MIN(HLOOKUP(CONCATENATE("Balance",FB$3-1),'Withdrawal Working'!$A$2:$CD$78,MATCH('Yoy WAR OG'!$J12,'Withdrawal Working'!$A$2:$A$78,0),0),EX12),0)),IF($K12=VLOOKUP(EX$2,$B:$H,7,0),EX12,)),0)</f>
        <v>0</v>
      </c>
      <c r="FA12" s="58">
        <f t="shared" ca="1" si="23"/>
        <v>0</v>
      </c>
    </row>
    <row r="13" spans="1:197" x14ac:dyDescent="0.3">
      <c r="A13" t="s">
        <v>366</v>
      </c>
      <c r="B13" t="str">
        <f>Networth!B13</f>
        <v>Gold/Silver ETFs</v>
      </c>
      <c r="C13" s="58">
        <f>VLOOKUP('Yoy WAR OG'!B13,'WAR - Rev'!$A$1:$B$29,2,0)</f>
        <v>0</v>
      </c>
      <c r="D13" s="313">
        <f>'WAR - Rev'!C11</f>
        <v>7.0000000000000007E-2</v>
      </c>
      <c r="H13" s="452">
        <f>VLOOKUP('NWGC - SCENARIOS'!$D$7,'NWGC - SCENARIOS'!$B$11:$C$67,2,0)</f>
        <v>2031</v>
      </c>
      <c r="J13">
        <f>IFERROR('NWGC - SCENARIOS'!B20,0)</f>
        <v>58</v>
      </c>
      <c r="K13">
        <f>IFERROR('NWGC - SCENARIOS'!C20,0)</f>
        <v>2034</v>
      </c>
      <c r="L13" s="449">
        <f ca="1">IF(('NWGC - SCENARIOS'!G20-working!G11)&gt;'NWGC - SCENARIOS'!H20,'NWGC - SCENARIOS'!G20-'NWGC - SCENARIOS'!H20-working!G11,0)</f>
        <v>3920135.2340811789</v>
      </c>
      <c r="M13" s="449">
        <f ca="1">IF(('NWGC - SCENARIOS'!G20-working!G11)&gt;'NWGC - SCENARIOS'!H20,0,'NWGC - SCENARIOS'!H20-'NWGC - SCENARIOS'!G20+working!G11)</f>
        <v>0</v>
      </c>
      <c r="N13" s="58">
        <f t="shared" ca="1" si="0"/>
        <v>221317683.29563767</v>
      </c>
      <c r="O13" s="58">
        <f t="shared" ca="1" si="1"/>
        <v>36411863.058819346</v>
      </c>
      <c r="P13" s="58">
        <f t="shared" ca="1" si="24"/>
        <v>0</v>
      </c>
      <c r="Q13" s="58">
        <f ca="1">(VLOOKUP(P$2,$B$1:$F$32,5,0)*$L13)+(VLOOKUP($K13,'Withdrawal Working'!$AD:$AE,2,0)*(IFERROR(VLOOKUP(P$2,$B$35:$C$42,2,0),0)))</f>
        <v>0</v>
      </c>
      <c r="R13" s="58">
        <f>IFERROR(IF($K13&lt;VLOOKUP(P$2,$B:$H,7,0),IF(T$3=1,MIN($M13,P13),IF(HLOOKUP(CONCATENATE("Balance",T$3-1),'Withdrawal Working'!$A$2:$CD$78,MATCH('Yoy WAR OG'!$J13,'Withdrawal Working'!$A$2:$A$78,0),FALSE)&gt;0,MIN(HLOOKUP(CONCATENATE("Balance",T$3-1),'Withdrawal Working'!$A$2:$CD$78,MATCH('Yoy WAR OG'!$J13,'Withdrawal Working'!$A$2:$A$78,0),0),P13),0)),IF($K13=VLOOKUP(P$2,$B:$H,7,0),P13,)),0)</f>
        <v>0</v>
      </c>
      <c r="S13" s="58">
        <f t="shared" ca="1" si="26"/>
        <v>0</v>
      </c>
      <c r="T13" s="58"/>
      <c r="V13" s="58">
        <f t="shared" ca="1" si="27"/>
        <v>0</v>
      </c>
      <c r="W13" s="58">
        <f ca="1">(VLOOKUP(V$2,$B$1:$F$32,5,0)*$L13)+(VLOOKUP($K13,'Withdrawal Working'!$AD:$AE,2,0)*(IFERROR(VLOOKUP(V$2,$B$35:$C$42,2,0),0)))</f>
        <v>0</v>
      </c>
      <c r="X13" s="58">
        <f>IFERROR(IF($K13&lt;VLOOKUP(V$2,$B:$H,7,0),IF(Z$3=1,MIN($M13,V13),IF(HLOOKUP(CONCATENATE("Balance",Z$3-1),'Withdrawal Working'!$A$2:$CD$78,MATCH('Yoy WAR OG'!$J13,'Withdrawal Working'!$A$2:$A$78,0),FALSE)&gt;0,MIN(HLOOKUP(CONCATENATE("Balance",Z$3-1),'Withdrawal Working'!$A$2:$CD$78,MATCH('Yoy WAR OG'!$J13,'Withdrawal Working'!$A$2:$A$78,0),0),V13),0)),IF($K13=VLOOKUP(V$2,$B:$H,7,0),V13,)),0)</f>
        <v>0</v>
      </c>
      <c r="Y13" s="58">
        <f t="shared" ca="1" si="2"/>
        <v>0</v>
      </c>
      <c r="AB13" s="58">
        <f t="shared" ca="1" si="28"/>
        <v>0</v>
      </c>
      <c r="AC13" s="58">
        <f ca="1">(VLOOKUP(AB$2,$B$1:$F$32,5,0)*$L13)+(VLOOKUP($K13,'Withdrawal Working'!$AD:$AE,2,0)*(IFERROR(VLOOKUP(AB$2,$B$35:$C$42,2,0),0)))</f>
        <v>0</v>
      </c>
      <c r="AD13" s="58">
        <f>IFERROR(IF($K13&lt;VLOOKUP(AB$2,$B:$H,7,0),IF(AF$3=1,MIN($M13,AB13),IF(HLOOKUP(CONCATENATE("Balance",AF$3-1),'Withdrawal Working'!$A$2:$CD$78,MATCH('Yoy WAR OG'!$J13,'Withdrawal Working'!$A$2:$A$78,0),FALSE)&gt;0,MIN(HLOOKUP(CONCATENATE("Balance",AF$3-1),'Withdrawal Working'!$A$2:$CD$78,MATCH('Yoy WAR OG'!$J13,'Withdrawal Working'!$A$2:$A$78,0),0),AB13),0)),IF($K13=VLOOKUP(AB$2,$B:$H,7,0),AB13,)),0)</f>
        <v>0</v>
      </c>
      <c r="AE13" s="58">
        <f t="shared" ca="1" si="3"/>
        <v>0</v>
      </c>
      <c r="AH13" s="58">
        <f t="shared" ca="1" si="29"/>
        <v>94650694.382724941</v>
      </c>
      <c r="AI13" s="58">
        <f ca="1">(VLOOKUP(AH$2,$B$1:$F$32,5,0)*$L13)+IF(J13&gt;'NWGC - SCENARIOS'!$D$7,0,(VLOOKUP($K13,'Withdrawal Working'!$AD:$AE,2,0)*(IFERROR(VLOOKUP(AH$2,$B$35:$C$42,2,0),0))))</f>
        <v>2352081.1404487072</v>
      </c>
      <c r="AJ13" s="58">
        <f ca="1">IFERROR(IF($J13&gt;'NWGC - SCENARIOS'!$D$7,MIN('Yoy WAR OG'!AH13,VLOOKUP('Yoy WAR OG'!$J13,'Withdrawal Working'!BC:BD,2,0)),IF(AL$3=1,$M13,IF(HLOOKUP(CONCATENATE("Balance",AL$3-1),'Withdrawal Working'!$A$2:$CD$78,MATCH('Yoy WAR OG'!$J13,'Withdrawal Working'!$A$2:$A$78,0),FALSE)&gt;0,MIN(HLOOKUP(CONCATENATE("Balance",AL$3-1),'Withdrawal Working'!$A$2:$CD$78,MATCH('Yoy WAR OG'!$J13,'Withdrawal Working'!$A$2:$A$78,0),0),AH13),0))),0)</f>
        <v>1165819.4985273054</v>
      </c>
      <c r="AK13" s="58">
        <f t="shared" ca="1" si="4"/>
        <v>106120292.26190808</v>
      </c>
      <c r="AN13" s="450">
        <f t="shared" ca="1" si="30"/>
        <v>106457966.25023796</v>
      </c>
      <c r="AO13" s="58">
        <f ca="1">IF(J13&gt;'NWGC - SCENARIOS'!$D$7,(IF(AJ13=0,0,'Yoy WAR OG'!AJ13)+(VLOOKUP(AN$2,$B$1:$F$32,5,0)*$L13)),(VLOOKUP(AN$2,$B$1:$F$32,5,0)*$L13)+(VLOOKUP($K13,'Withdrawal Working'!$AD:$AE,2,0)*(IFERROR(VLOOKUP(AN$2,$B$35:$C$42,2,0),0))))</f>
        <v>2733873.5921597769</v>
      </c>
      <c r="AP13" s="470">
        <f ca="1">IFERROR(IF($K13&lt;&gt;VLOOKUP(AN$2,$B:$H,7,0),IF(AR$3=1,MIN($M13,AN13),IF(HLOOKUP(CONCATENATE("Balance",AR$3-1),'Withdrawal Working'!$A$2:$CD$78,MATCH('Yoy WAR OG'!$J13,'Withdrawal Working'!$A$2:$A$78,0),FALSE)&gt;0,MIN(HLOOKUP(CONCATENATE("Balance",AR$3-1),'Withdrawal Working'!$A$2:$CD$78,MATCH('Yoy WAR OG'!$J13,'Withdrawal Working'!$A$2:$A$78,0),0),AN13),0)),IF($K13=VLOOKUP(AN$2,$B:$H,7,0),AN13,)),0)</f>
        <v>0</v>
      </c>
      <c r="AQ13" s="58">
        <f ca="1">IF(AO13&lt;0,0,IF(J13&gt;'NWGC - SCENARIOS'!$D$7,((AN13-AP13+AO13)*(1+(IFERROR(VLOOKUP(AN$2,$B:$D,3,0),0)))),((AN13-AP13)*(1+(IFERROR(VLOOKUP(AN$2,$B:$D,3,0),0))))+AO13))</f>
        <v>115197391.0337296</v>
      </c>
      <c r="AT13" s="450">
        <f t="shared" ca="1" si="31"/>
        <v>0</v>
      </c>
      <c r="AU13" s="58">
        <f ca="1">(VLOOKUP(AT$2,$B$1:$F$32,5,0)*$L13)+(VLOOKUP($K13,'Withdrawal Working'!$AD:$AE,2,0)*(IFERROR(VLOOKUP(AT$2,$B$35:$C$42,2,0),0)))</f>
        <v>0</v>
      </c>
      <c r="AV13" s="58">
        <f>IFERROR(IF($K13&lt;VLOOKUP(AT$2,$B:$H,7,0),IF(AX$3=1,MIN($M13,AT13),IF(HLOOKUP(CONCATENATE("Balance",AX$3-1),'Withdrawal Working'!$A$2:$CD$78,MATCH('Yoy WAR OG'!$J13,'Withdrawal Working'!$A$2:$A$78,0),FALSE)&gt;0,MIN(HLOOKUP(CONCATENATE("Balance",AX$3-1),'Withdrawal Working'!$A$2:$CD$78,MATCH('Yoy WAR OG'!$J13,'Withdrawal Working'!$A$2:$A$78,0),0),AT13),0)),IF($K13=VLOOKUP(AT$2,$B:$H,7,0),AT13,)),0)</f>
        <v>0</v>
      </c>
      <c r="AW13" s="58">
        <f t="shared" ca="1" si="5"/>
        <v>0</v>
      </c>
      <c r="AZ13" s="450">
        <f t="shared" ca="1" si="32"/>
        <v>7353836.8496806202</v>
      </c>
      <c r="BA13" s="58">
        <f ca="1">(VLOOKUP(AZ$2,$B$1:$F$32,5,0)*$L13)+(VLOOKUP($K13,'Withdrawal Working'!$AD:$AE,2,0)*(IFERROR(VLOOKUP(AZ$2,$B$35:$C$42,2,0),0)))</f>
        <v>0</v>
      </c>
      <c r="BB13" s="58">
        <f>IFERROR(IF($K13&lt;VLOOKUP(AZ$2,$B:$H,7,0),IF(BD$3=1,MIN($M13,AZ13),IF(HLOOKUP(CONCATENATE("Balance",BD$3-1),'Withdrawal Working'!$A$2:$CD$78,MATCH('Yoy WAR OG'!$J13,'Withdrawal Working'!$A$2:$A$78,0),FALSE)&gt;0,MIN(HLOOKUP(CONCATENATE("Balance",BD$3-1),'Withdrawal Working'!$A$2:$CD$78,MATCH('Yoy WAR OG'!$J13,'Withdrawal Working'!$A$2:$A$78,0),0),AZ13),0)),IF($K13=VLOOKUP(AZ$2,$B:$H,7,0),AZ13,)),0)</f>
        <v>0</v>
      </c>
      <c r="BC13" s="58">
        <f t="shared" ca="1" si="6"/>
        <v>7868605.4291582638</v>
      </c>
      <c r="BF13" s="450">
        <f t="shared" ca="1" si="33"/>
        <v>0</v>
      </c>
      <c r="BG13" s="58">
        <f ca="1">(VLOOKUP(BF$2,$B$1:$F$32,5,0)*$L13)+(VLOOKUP($K13,'Withdrawal Working'!$AD:$AE,2,0)*(IFERROR(VLOOKUP(BF$2,$B$35:$C$42,2,0),0)))</f>
        <v>0</v>
      </c>
      <c r="BH13" s="58">
        <f>IFERROR(IF($K13&lt;VLOOKUP(BF$2,$B:$H,7,0),IF(BJ$3=1,MIN($M13,BF13),IF(HLOOKUP(CONCATENATE("Balance",BJ$3-1),'Withdrawal Working'!$A$2:$CD$78,MATCH('Yoy WAR OG'!$J13,'Withdrawal Working'!$A$2:$A$78,0),FALSE)&gt;0,MIN(HLOOKUP(CONCATENATE("Balance",BJ$3-1),'Withdrawal Working'!$A$2:$CD$78,MATCH('Yoy WAR OG'!$J13,'Withdrawal Working'!$A$2:$A$78,0),0),BF13),0)),IF($K13=VLOOKUP(BF$2,$B:$H,7,0),BF13,)),0)</f>
        <v>0</v>
      </c>
      <c r="BI13" s="58">
        <f t="shared" ca="1" si="7"/>
        <v>0</v>
      </c>
      <c r="BL13" s="450">
        <f t="shared" ca="1" si="34"/>
        <v>0</v>
      </c>
      <c r="BM13" s="58">
        <f ca="1">(VLOOKUP(BL$2,$B$1:$F$32,5,0)*$L13)+(VLOOKUP($K13,'Withdrawal Working'!$AD:$AE,2,0)*(IFERROR(VLOOKUP(BL$2,$B$35:$C$42,2,0),0)))</f>
        <v>0</v>
      </c>
      <c r="BN13" s="58">
        <f>IFERROR(IF($K13&lt;VLOOKUP(BL$2,$B:$H,7,0),IF(BP$3=1,MIN($M13,BL13),IF(HLOOKUP(CONCATENATE("Balance",BP$3-1),'Withdrawal Working'!$A$2:$CD$78,MATCH('Yoy WAR OG'!$J13,'Withdrawal Working'!$A$2:$A$78,0),FALSE)&gt;0,MIN(HLOOKUP(CONCATENATE("Balance",BP$3-1),'Withdrawal Working'!$A$2:$CD$78,MATCH('Yoy WAR OG'!$J13,'Withdrawal Working'!$A$2:$A$78,0),0),BL13),0)),IF($K13=VLOOKUP(BL$2,$B:$H,7,0),BL13,)),0)</f>
        <v>0</v>
      </c>
      <c r="BO13" s="58">
        <f t="shared" ca="1" si="8"/>
        <v>0</v>
      </c>
      <c r="BR13" s="450">
        <f t="shared" ca="1" si="35"/>
        <v>0</v>
      </c>
      <c r="BS13" s="58">
        <f ca="1">(VLOOKUP(BR$2,$B$1:$F$32,5,0)*$L13)+(VLOOKUP($K13,'Withdrawal Working'!$AD:$AE,2,0)*(IFERROR(VLOOKUP(BR$2,$B$35:$C$42,2,0),0)))</f>
        <v>0</v>
      </c>
      <c r="BT13" s="58">
        <f>IFERROR(IF($K13&lt;VLOOKUP(BR$2,$B:$H,7,0),IF(BV$3=1,MIN($M13,BR13),IF(HLOOKUP(CONCATENATE("Balance",BV$3-1),'Withdrawal Working'!$A$2:$CD$78,MATCH('Yoy WAR OG'!$J13,'Withdrawal Working'!$A$2:$A$78,0),FALSE)&gt;0,MIN(HLOOKUP(CONCATENATE("Balance",BV$3-1),'Withdrawal Working'!$A$2:$CD$78,MATCH('Yoy WAR OG'!$J13,'Withdrawal Working'!$A$2:$A$78,0),0),BR13),0)),IF($K13=VLOOKUP(BR$2,$B:$H,7,0),BR13,)),0)</f>
        <v>0</v>
      </c>
      <c r="BU13" s="58">
        <f t="shared" ca="1" si="9"/>
        <v>0</v>
      </c>
      <c r="BX13" s="450">
        <f t="shared" ca="1" si="36"/>
        <v>0</v>
      </c>
      <c r="BY13" s="58">
        <f ca="1">(VLOOKUP(BX$2,$B$1:$F$32,5,0)*$L13)+(VLOOKUP($K13,'Withdrawal Working'!$AD:$AE,2,0)*(IFERROR(VLOOKUP(BX$2,$B$35:$C$42,2,0),0)))</f>
        <v>0</v>
      </c>
      <c r="BZ13" s="58">
        <f>IFERROR(IF($K13&lt;VLOOKUP(BX$2,$B:$H,7,0),IF(CB$3=1,MIN($M13,BX13),IF(HLOOKUP(CONCATENATE("Balance",CB$3-1),'Withdrawal Working'!$A$2:$CD$78,MATCH('Yoy WAR OG'!$J13,'Withdrawal Working'!$A$2:$A$78,0),FALSE)&gt;0,MIN(HLOOKUP(CONCATENATE("Balance",CB$3-1),'Withdrawal Working'!$A$2:$CD$78,MATCH('Yoy WAR OG'!$J13,'Withdrawal Working'!$A$2:$A$78,0),0),BX13),0)),IF($K13=VLOOKUP(BX$2,$B:$H,7,0),BX13,)),0)</f>
        <v>0</v>
      </c>
      <c r="CA13" s="58">
        <f t="shared" ca="1" si="10"/>
        <v>0</v>
      </c>
      <c r="CD13" s="450">
        <f t="shared" ca="1" si="37"/>
        <v>23758272.876424737</v>
      </c>
      <c r="CE13" s="58">
        <f ca="1">(VLOOKUP(CD$2,$B$1:$F$32,5,0)*$L13)+(VLOOKUP($K13,'Withdrawal Working'!$AD:$AE,2,0)*(IFERROR(VLOOKUP(CD$2,$B$35:$C$42,2,0),0)))+SUMIFS('Key Life Events'!$I$3:$I$28,'Key Life Events'!$H$3:$H$28,"House",'Key Life Events'!$E$3:$E$28,'Yoy WAR OG'!K13)</f>
        <v>0</v>
      </c>
      <c r="CF13" s="58">
        <f>IFERROR(IF($K13&lt;VLOOKUP(CD$2,$B:$H,7,0),IF(CH$3=1,MIN($M13,CD13),IF(HLOOKUP(CONCATENATE("Balance",CH$3-1),'Withdrawal Working'!$A$2:$CD$78,MATCH('Yoy WAR OG'!$J13,'Withdrawal Working'!$A$2:$A$78,0),FALSE)&gt;0,MIN(HLOOKUP(CONCATENATE("Balance",CH$3-1),'Withdrawal Working'!$A$2:$CD$78,MATCH('Yoy WAR OG'!$J13,'Withdrawal Working'!$A$2:$A$78,0),0),CD13),0)),IF($K13=VLOOKUP(CD$2,$B:$H,7,0),CD13,)),0)</f>
        <v>0</v>
      </c>
      <c r="CG13" s="58">
        <f t="shared" ca="1" si="11"/>
        <v>24471021.062717479</v>
      </c>
      <c r="CJ13" s="450">
        <f t="shared" ca="1" si="38"/>
        <v>0</v>
      </c>
      <c r="CK13" s="58">
        <f ca="1">(VLOOKUP(CJ$2,$B$1:$F$32,5,0)*$L13)+(VLOOKUP($K13,'Withdrawal Working'!$AD:$AE,2,0)*(IFERROR(VLOOKUP(CJ$2,$B$35:$C$42,2,0),0)))+SUMIFS('Key Life Events'!$I$3:$I$28,'Key Life Events'!$H$3:$H$28,"House2",'Key Life Events'!$E$3:$E$28,'Yoy WAR OG'!K13)</f>
        <v>0</v>
      </c>
      <c r="CL13" s="58">
        <f ca="1">IF(IFERROR(IF($K13&lt;&gt;VLOOKUP(CJ$2,$B:$H,7,0),IF(CN$3=1,MIN($M13,CJ13),IF(HLOOKUP(CONCATENATE("Balance",CN$3-1),'Withdrawal Working'!$A$2:$CD$78,MATCH('Yoy WAR OG'!$J13,'Withdrawal Working'!$A$2:$A$78,0),FALSE)&gt;0,MIN(HLOOKUP(CONCATENATE("Balance",CN$3-1),'Withdrawal Working'!$A$2:$CD$78,MATCH('Yoy WAR OG'!$J13,'Withdrawal Working'!$A$2:$A$78,0),0),CJ13),0)),IF($K13=VLOOKUP(CJ$2,$B:$H,7,0),CJ13,)),0)&gt;0,CJ13,0)</f>
        <v>0</v>
      </c>
      <c r="CM13" s="58">
        <f t="shared" ca="1" si="12"/>
        <v>0</v>
      </c>
      <c r="CP13" s="450">
        <f t="shared" ca="1" si="39"/>
        <v>3878320.5399462897</v>
      </c>
      <c r="CQ13" s="58">
        <f ca="1">(VLOOKUP(CP$2,$B$1:$F$32,5,0)*$L13)+(VLOOKUP($K13,'Withdrawal Working'!$AD:$AE,2,0)*(IFERROR(VLOOKUP(CP$2,$B$35:$C$42,2,0),0)))+SUMIFS('Key Life Events'!$I$3:$I$28,'Key Life Events'!$H$3:$H$28,"Land",'Key Life Events'!$E$3:$E$28,'Yoy WAR OG'!K13)</f>
        <v>0</v>
      </c>
      <c r="CR13" s="58">
        <f>IFERROR(IF($K13&lt;VLOOKUP(CP$2,$B:$H,7,0),IF(CT$3=1,MIN($M13,CP13),IF(HLOOKUP(CONCATENATE("Balance",CT$3-1),'Withdrawal Working'!$A$2:$CD$78,MATCH('Yoy WAR OG'!$J13,'Withdrawal Working'!$A$2:$A$78,0),FALSE)&gt;0,MIN(HLOOKUP(CONCATENATE("Balance",CT$3-1),'Withdrawal Working'!$A$2:$CD$78,MATCH('Yoy WAR OG'!$J13,'Withdrawal Working'!$A$2:$A$78,0),0),CP13),0)),IF($K13=VLOOKUP(CP$2,$B:$H,7,0),CP13,)),0)</f>
        <v>0</v>
      </c>
      <c r="CS13" s="58">
        <f t="shared" ca="1" si="13"/>
        <v>4072236.5669436045</v>
      </c>
      <c r="CV13" s="450">
        <f t="shared" ca="1" si="40"/>
        <v>0</v>
      </c>
      <c r="CW13" s="58"/>
      <c r="CX13" s="58">
        <f>IFERROR(IF($K13&lt;VLOOKUP(CV$2,$B:$H,7,0),IF(CZ$3=1,MIN($M13,CV13),IF(HLOOKUP(CONCATENATE("Balance",CZ$3-1),'Withdrawal Working'!$A$2:$CD$78,MATCH('Yoy WAR OG'!$J13,'Withdrawal Working'!$A$2:$A$78,0),FALSE)&gt;0,MIN(HLOOKUP(CONCATENATE("Balance",CZ$3-1),'Withdrawal Working'!$A$2:$CD$78,MATCH('Yoy WAR OG'!$J13,'Withdrawal Working'!$A$2:$A$78,0),0),CV13),0)),IF($K13=VLOOKUP(CV$2,$B:$H,7,0),CV13,)),0)</f>
        <v>0</v>
      </c>
      <c r="CY13" s="58">
        <f t="shared" ca="1" si="14"/>
        <v>0</v>
      </c>
      <c r="DB13" s="450">
        <f t="shared" ca="1" si="41"/>
        <v>0</v>
      </c>
      <c r="DC13" s="58">
        <f ca="1">(VLOOKUP(DB$2,$B$1:$F$32,5,0)*$L13)+(VLOOKUP($K13,'Withdrawal Working'!$AD:$AE,2,0)*(IFERROR(VLOOKUP(DB$2,$B$35:$C$42,2,0),0)))</f>
        <v>0</v>
      </c>
      <c r="DD13" s="58">
        <f>IFERROR(IF($K13&lt;VLOOKUP(DB$2,$B:$H,7,0),IF(DF$3=1,MIN($M13,DB13),IF(HLOOKUP(CONCATENATE("Balance",DF$3-1),'Withdrawal Working'!$A$2:$CD$78,MATCH('Yoy WAR OG'!$J13,'Withdrawal Working'!$A$2:$A$78,0),FALSE)&gt;0,MIN(HLOOKUP(CONCATENATE("Balance",DF$3-1),'Withdrawal Working'!$A$2:$CD$78,MATCH('Yoy WAR OG'!$J13,'Withdrawal Working'!$A$2:$A$78,0),0),DB13),0)),IF($K13=VLOOKUP(DB$2,$B:$H,7,0),DB13,)),0)</f>
        <v>0</v>
      </c>
      <c r="DE13" s="58">
        <f t="shared" ca="1" si="15"/>
        <v>0</v>
      </c>
      <c r="DH13" s="450">
        <f t="shared" ca="1" si="42"/>
        <v>0</v>
      </c>
      <c r="DI13" s="58">
        <f>IF(OR(J13&gt;'NWGC - SCENARIOS'!$D$7,J13='NWGC - SCENARIOS'!$D$7),0,DI12*(1+'NWGC - SCENARIOS'!$L$5))</f>
        <v>0</v>
      </c>
      <c r="DJ13" s="58">
        <f>IFERROR(IF($K13&lt;VLOOKUP(DH$2,$B:$H,7,0),IF(DL$3=1,MIN($M13,DH13),IF(HLOOKUP(CONCATENATE("Balance",DL$3-1),'Withdrawal Working'!$A$2:$CD$78,MATCH('Yoy WAR OG'!$J13,'Withdrawal Working'!$A$2:$A$78,0),FALSE)&gt;0,MIN(HLOOKUP(CONCATENATE("Balance",DL$3-1),'Withdrawal Working'!$A$2:$CD$78,MATCH('Yoy WAR OG'!$J13,'Withdrawal Working'!$A$2:$A$78,0),0),DH13),0)),IF($K13=VLOOKUP(DH$2,$B:$H,7,0),DH13,)),0)</f>
        <v>0</v>
      </c>
      <c r="DK13" s="58">
        <f t="shared" ca="1" si="16"/>
        <v>0</v>
      </c>
      <c r="DN13" s="450">
        <f t="shared" ca="1" si="43"/>
        <v>0</v>
      </c>
      <c r="DO13" s="58">
        <f ca="1">(VLOOKUP(DN$2,$B$1:$F$32,5,0)*$L13)+(VLOOKUP($K13,'Withdrawal Working'!$AD:$AE,2,0)*(IFERROR(VLOOKUP(DN$2,$B$35:$C$42,2,0),0)))</f>
        <v>0</v>
      </c>
      <c r="DP13" s="58">
        <f>IFERROR(IF($K13&lt;VLOOKUP(DN$2,$B:$H,7,0),IF(DR$3=1,MIN($M13,DN13),IF(HLOOKUP(CONCATENATE("Balance",DR$3-1),'Withdrawal Working'!$A$2:$CD$78,MATCH('Yoy WAR OG'!$J13,'Withdrawal Working'!$A$2:$A$78,0),FALSE)&gt;0,MIN(HLOOKUP(CONCATENATE("Balance",DR$3-1),'Withdrawal Working'!$A$2:$CD$78,MATCH('Yoy WAR OG'!$J13,'Withdrawal Working'!$A$2:$A$78,0),0),DN13),0)),IF($K13=VLOOKUP(DN$2,$B:$H,7,0),DN13,)),0)</f>
        <v>0</v>
      </c>
      <c r="DQ13" s="58">
        <f t="shared" ca="1" si="17"/>
        <v>0</v>
      </c>
      <c r="DT13" s="450">
        <f t="shared" ca="1" si="44"/>
        <v>0</v>
      </c>
      <c r="DU13" s="58">
        <f ca="1">(VLOOKUP(DT$2,$B$1:$F$32,5,0)*$L13)+(VLOOKUP($K13,'Withdrawal Working'!$AD:$AE,2,0)*(IFERROR(VLOOKUP(DT$2,$B$35:$C$42,2,0),0)))</f>
        <v>0</v>
      </c>
      <c r="DV13" s="58">
        <f>IFERROR(IF($K13&lt;VLOOKUP(DT$2,$B:$H,7,0),IF(DX$3=1,MIN($M13,DT13),IF(HLOOKUP(CONCATENATE("Balance",DX$3-1),'Withdrawal Working'!$A$2:$CD$78,MATCH('Yoy WAR OG'!$J13,'Withdrawal Working'!$A$2:$A$78,0),FALSE)&gt;0,MIN(HLOOKUP(CONCATENATE("Balance",DX$3-1),'Withdrawal Working'!$A$2:$CD$78,MATCH('Yoy WAR OG'!$J13,'Withdrawal Working'!$A$2:$A$78,0),0),DT13),0)),IF($K13=VLOOKUP(DT$2,$B:$H,7,0),DT13,)),0)</f>
        <v>0</v>
      </c>
      <c r="DW13" s="58">
        <f t="shared" ca="1" si="18"/>
        <v>0</v>
      </c>
      <c r="DZ13" s="450">
        <f t="shared" ca="1" si="45"/>
        <v>0</v>
      </c>
      <c r="EA13" s="58">
        <f ca="1">(VLOOKUP(DZ$2,$B$1:$F$32,5,0)*$L13)+(VLOOKUP($K13,'Withdrawal Working'!$AD:$AE,2,0)*(IFERROR(VLOOKUP(DZ$2,$B$35:$C$42,2,0),0)))</f>
        <v>0</v>
      </c>
      <c r="EB13" s="58">
        <f>IFERROR(IF($K13&lt;VLOOKUP(DZ$2,$B:$H,7,0),IF(ED$3=1,MIN($M13,DZ13),IF(HLOOKUP(CONCATENATE("Balance",ED$3-1),'Withdrawal Working'!$A$2:$CD$78,MATCH('Yoy WAR OG'!$J13,'Withdrawal Working'!$A$2:$A$78,0),FALSE)&gt;0,MIN(HLOOKUP(CONCATENATE("Balance",ED$3-1),'Withdrawal Working'!$A$2:$CD$78,MATCH('Yoy WAR OG'!$J13,'Withdrawal Working'!$A$2:$A$78,0),0),DZ13),0)),IF($K13=VLOOKUP(DZ$2,$B:$H,7,0),DZ13,)),0)</f>
        <v>0</v>
      </c>
      <c r="EC13" s="58">
        <f t="shared" ca="1" si="19"/>
        <v>0</v>
      </c>
      <c r="EF13" s="450">
        <f t="shared" ca="1" si="46"/>
        <v>0</v>
      </c>
      <c r="EG13" s="58">
        <f ca="1">(VLOOKUP(EF$2,$B$1:$F$32,5,0)*$L13)+(VLOOKUP($K13,'Withdrawal Working'!$AD:$AE,2,0)*(IFERROR(VLOOKUP(EF$2,$B$35:$C$42,2,0),0)))</f>
        <v>0</v>
      </c>
      <c r="EH13" s="58">
        <f>IFERROR(IF($K13&lt;VLOOKUP(EF$2,$B:$H,7,0),IF(EJ$3=1,MIN($M13,EF13),IF(HLOOKUP(CONCATENATE("Balance",EJ$3-1),'Withdrawal Working'!$A$2:$CD$78,MATCH('Yoy WAR OG'!$J13,'Withdrawal Working'!$A$2:$A$78,0),FALSE)&gt;0,MIN(HLOOKUP(CONCATENATE("Balance",EJ$3-1),'Withdrawal Working'!$A$2:$CD$78,MATCH('Yoy WAR OG'!$J13,'Withdrawal Working'!$A$2:$A$78,0),0),EF13),0)),IF($K13=VLOOKUP(EF$2,$B:$H,7,0),EF13,)),0)</f>
        <v>0</v>
      </c>
      <c r="EI13" s="58">
        <f t="shared" ca="1" si="20"/>
        <v>0</v>
      </c>
      <c r="EL13" s="450">
        <f t="shared" ca="1" si="47"/>
        <v>0</v>
      </c>
      <c r="EM13" s="58">
        <f>IF(OR($J13&gt;'NWGC - SCENARIOS'!$D$7,$J13='NWGC - SCENARIOS'!$D$7),0,EM12)</f>
        <v>0</v>
      </c>
      <c r="EN13" s="58">
        <f>IFERROR(IF($K13&lt;VLOOKUP(EL$2,$B:$H,7,0),IF(EP$3=1,MIN($M13,EL13),IF(HLOOKUP(CONCATENATE("Balance",EP$3-1),'Withdrawal Working'!$A$2:$CD$78,MATCH('Yoy WAR OG'!$J13,'Withdrawal Working'!$A$2:$A$78,0),FALSE)&gt;0,MIN(HLOOKUP(CONCATENATE("Balance",EP$3-1),'Withdrawal Working'!$A$2:$CD$78,MATCH('Yoy WAR OG'!$J13,'Withdrawal Working'!$A$2:$A$78,0),0),EL13),0)),IF($K13=VLOOKUP(EL$2,$B:$H,7,0),EL13,)),0)</f>
        <v>0</v>
      </c>
      <c r="EO13" s="58">
        <f t="shared" ca="1" si="21"/>
        <v>0</v>
      </c>
      <c r="ER13" s="450">
        <f t="shared" ca="1" si="48"/>
        <v>0</v>
      </c>
      <c r="ES13" s="58">
        <f>IF(OR(J13&gt;'NWGC - SCENARIOS'!$D$7,J13='NWGC - SCENARIOS'!$D$7),0,ES12*(1+'NWGC - SCENARIOS'!$L$5))</f>
        <v>0</v>
      </c>
      <c r="ET13" s="58">
        <f>IFERROR(IF($K13&lt;VLOOKUP(ER$2,$B:$H,7,0),IF(EV$3=1,MIN($M13,ER13),IF(HLOOKUP(CONCATENATE("Balance",EV$3-1),'Withdrawal Working'!$A$2:$CD$78,MATCH('Yoy WAR OG'!$J13,'Withdrawal Working'!$A$2:$A$78,0),FALSE)&gt;0,MIN(HLOOKUP(CONCATENATE("Balance",EV$3-1),'Withdrawal Working'!$A$2:$CD$78,MATCH('Yoy WAR OG'!$J13,'Withdrawal Working'!$A$2:$A$78,0),0),ER13),0)),IF($K13=VLOOKUP(ER$2,$B:$H,7,0),ER13,)),0)</f>
        <v>0</v>
      </c>
      <c r="EU13" s="58">
        <f t="shared" ca="1" si="22"/>
        <v>0</v>
      </c>
      <c r="EX13" s="450">
        <f t="shared" ca="1" si="49"/>
        <v>0</v>
      </c>
      <c r="EY13" s="58">
        <f>IF(OR(J13&gt;'NWGC - SCENARIOS'!$D$7,J13='NWGC - SCENARIOS'!$D$7),0,EY12)</f>
        <v>0</v>
      </c>
      <c r="EZ13" s="58">
        <f>IFERROR(IF($K13&lt;VLOOKUP(EX$2,$B:$H,7,0),IF(FB$3=1,MIN($M13,EX13),IF(HLOOKUP(CONCATENATE("Balance",FB$3-1),'Withdrawal Working'!$A$2:$CD$78,MATCH('Yoy WAR OG'!$J13,'Withdrawal Working'!$A$2:$A$78,0),FALSE)&gt;0,MIN(HLOOKUP(CONCATENATE("Balance",FB$3-1),'Withdrawal Working'!$A$2:$CD$78,MATCH('Yoy WAR OG'!$J13,'Withdrawal Working'!$A$2:$A$78,0),0),EX13),0)),IF($K13=VLOOKUP(EX$2,$B:$H,7,0),EX13,)),0)</f>
        <v>0</v>
      </c>
      <c r="FA13" s="58">
        <f t="shared" ca="1" si="23"/>
        <v>0</v>
      </c>
    </row>
    <row r="14" spans="1:197" x14ac:dyDescent="0.3">
      <c r="A14" t="s">
        <v>366</v>
      </c>
      <c r="B14" t="str">
        <f>Networth!B14</f>
        <v>ESOPs ( vested)</v>
      </c>
      <c r="C14" s="58">
        <f>VLOOKUP('Yoy WAR OG'!B14,'WAR - Rev'!$A$1:$B$29,2,0)</f>
        <v>2000000</v>
      </c>
      <c r="D14" s="313">
        <f>'WAR - Rev'!C12</f>
        <v>0.1</v>
      </c>
      <c r="H14" s="452">
        <f>VLOOKUP('NWGC - SCENARIOS'!$D$7,'NWGC - SCENARIOS'!$B$11:$C$67,2,0)</f>
        <v>2031</v>
      </c>
      <c r="J14">
        <f>IFERROR('NWGC - SCENARIOS'!B21,0)</f>
        <v>59</v>
      </c>
      <c r="K14">
        <f>IFERROR('NWGC - SCENARIOS'!C21,0)</f>
        <v>2035</v>
      </c>
      <c r="L14" s="449">
        <f ca="1">IF(('NWGC - SCENARIOS'!G21-working!G12)&gt;'NWGC - SCENARIOS'!H21,'NWGC - SCENARIOS'!G21-'NWGC - SCENARIOS'!H21-working!G12,0)</f>
        <v>0</v>
      </c>
      <c r="M14" s="449">
        <f ca="1">IF(('NWGC - SCENARIOS'!G21-working!G12)&gt;'NWGC - SCENARIOS'!H21,0,'NWGC - SCENARIOS'!H21-'NWGC - SCENARIOS'!G21+working!G12)</f>
        <v>323523.17413467728</v>
      </c>
      <c r="N14" s="58">
        <f t="shared" ca="1" si="0"/>
        <v>238985455.00259063</v>
      </c>
      <c r="O14" s="58">
        <f t="shared" ca="1" si="1"/>
        <v>37900407.899089128</v>
      </c>
      <c r="P14" s="58">
        <f t="shared" ca="1" si="24"/>
        <v>0</v>
      </c>
      <c r="Q14" s="58">
        <f ca="1">(VLOOKUP(P$2,$B$1:$F$32,5,0)*$L14)+(VLOOKUP($K14,'Withdrawal Working'!$AD:$AE,2,0)*(IFERROR(VLOOKUP(P$2,$B$35:$C$42,2,0),0)))</f>
        <v>0</v>
      </c>
      <c r="R14" s="58">
        <f>IFERROR(IF($K14&lt;VLOOKUP(P$2,$B:$H,7,0),IF(T$3=1,MIN($M14,P14),IF(HLOOKUP(CONCATENATE("Balance",T$3-1),'Withdrawal Working'!$A$2:$CD$78,MATCH('Yoy WAR OG'!$J14,'Withdrawal Working'!$A$2:$A$78,0),FALSE)&gt;0,MIN(HLOOKUP(CONCATENATE("Balance",T$3-1),'Withdrawal Working'!$A$2:$CD$78,MATCH('Yoy WAR OG'!$J14,'Withdrawal Working'!$A$2:$A$78,0),0),P14),0)),IF($K14=VLOOKUP(P$2,$B:$H,7,0),P14,)),0)</f>
        <v>0</v>
      </c>
      <c r="S14" s="58">
        <f t="shared" ca="1" si="26"/>
        <v>0</v>
      </c>
      <c r="T14" s="58"/>
      <c r="V14" s="58">
        <f t="shared" ca="1" si="27"/>
        <v>0</v>
      </c>
      <c r="W14" s="58">
        <f ca="1">(VLOOKUP(V$2,$B$1:$F$32,5,0)*$L14)+(VLOOKUP($K14,'Withdrawal Working'!$AD:$AE,2,0)*(IFERROR(VLOOKUP(V$2,$B$35:$C$42,2,0),0)))</f>
        <v>0</v>
      </c>
      <c r="X14" s="58">
        <f>IFERROR(IF($K14&lt;VLOOKUP(V$2,$B:$H,7,0),IF(Z$3=1,MIN($M14,V14),IF(HLOOKUP(CONCATENATE("Balance",Z$3-1),'Withdrawal Working'!$A$2:$CD$78,MATCH('Yoy WAR OG'!$J14,'Withdrawal Working'!$A$2:$A$78,0),FALSE)&gt;0,MIN(HLOOKUP(CONCATENATE("Balance",Z$3-1),'Withdrawal Working'!$A$2:$CD$78,MATCH('Yoy WAR OG'!$J14,'Withdrawal Working'!$A$2:$A$78,0),0),V14),0)),IF($K14=VLOOKUP(V$2,$B:$H,7,0),V14,)),0)</f>
        <v>0</v>
      </c>
      <c r="Y14" s="58">
        <f t="shared" ca="1" si="2"/>
        <v>0</v>
      </c>
      <c r="AB14" s="58">
        <f t="shared" ca="1" si="28"/>
        <v>0</v>
      </c>
      <c r="AC14" s="58">
        <f ca="1">(VLOOKUP(AB$2,$B$1:$F$32,5,0)*$L14)+(VLOOKUP($K14,'Withdrawal Working'!$AD:$AE,2,0)*(IFERROR(VLOOKUP(AB$2,$B$35:$C$42,2,0),0)))</f>
        <v>0</v>
      </c>
      <c r="AD14" s="58">
        <f>IFERROR(IF($K14&lt;VLOOKUP(AB$2,$B:$H,7,0),IF(AF$3=1,MIN($M14,AB14),IF(HLOOKUP(CONCATENATE("Balance",AF$3-1),'Withdrawal Working'!$A$2:$CD$78,MATCH('Yoy WAR OG'!$J14,'Withdrawal Working'!$A$2:$A$78,0),FALSE)&gt;0,MIN(HLOOKUP(CONCATENATE("Balance",AF$3-1),'Withdrawal Working'!$A$2:$CD$78,MATCH('Yoy WAR OG'!$J14,'Withdrawal Working'!$A$2:$A$78,0),0),AB14),0)),IF($K14=VLOOKUP(AB$2,$B:$H,7,0),AB14,)),0)</f>
        <v>0</v>
      </c>
      <c r="AE14" s="58">
        <f t="shared" ca="1" si="3"/>
        <v>0</v>
      </c>
      <c r="AH14" s="58">
        <f t="shared" ca="1" si="29"/>
        <v>106120292.26190808</v>
      </c>
      <c r="AI14" s="58">
        <f ca="1">(VLOOKUP(AH$2,$B$1:$F$32,5,0)*$L14)+IF(J14&gt;'NWGC - SCENARIOS'!$D$7,0,(VLOOKUP($K14,'Withdrawal Working'!$AD:$AE,2,0)*(IFERROR(VLOOKUP(AH$2,$B$35:$C$42,2,0),0))))</f>
        <v>0</v>
      </c>
      <c r="AJ14" s="58">
        <f ca="1">IFERROR(IF($J14&gt;'NWGC - SCENARIOS'!$D$7,MIN('Yoy WAR OG'!AH14,VLOOKUP('Yoy WAR OG'!$J14,'Withdrawal Working'!BC:BD,2,0)),IF(AL$3=1,$M14,IF(HLOOKUP(CONCATENATE("Balance",AL$3-1),'Withdrawal Working'!$A$2:$CD$78,MATCH('Yoy WAR OG'!$J14,'Withdrawal Working'!$A$2:$A$78,0),FALSE)&gt;0,MIN(HLOOKUP(CONCATENATE("Balance",AL$3-1),'Withdrawal Working'!$A$2:$CD$78,MATCH('Yoy WAR OG'!$J14,'Withdrawal Working'!$A$2:$A$78,0),0),AH14),0))),0)</f>
        <v>0</v>
      </c>
      <c r="AK14" s="58">
        <f t="shared" ca="1" si="4"/>
        <v>117793524.41071798</v>
      </c>
      <c r="AN14" s="450">
        <f t="shared" ca="1" si="30"/>
        <v>115197391.0337296</v>
      </c>
      <c r="AO14" s="58">
        <f ca="1">IF(J14&gt;'NWGC - SCENARIOS'!$D$7,(IF(AJ14=0,0,'Yoy WAR OG'!AJ14)+(VLOOKUP(AN$2,$B$1:$F$32,5,0)*$L14)),(VLOOKUP(AN$2,$B$1:$F$32,5,0)*$L14)+(VLOOKUP($K14,'Withdrawal Working'!$AD:$AE,2,0)*(IFERROR(VLOOKUP(AN$2,$B$35:$C$42,2,0),0))))</f>
        <v>0</v>
      </c>
      <c r="AP14" s="470">
        <f ca="1">IFERROR(IF($K14&lt;&gt;VLOOKUP(AN$2,$B:$H,7,0),IF(AR$3=1,MIN($M14,AN14),IF(HLOOKUP(CONCATENATE("Balance",AR$3-1),'Withdrawal Working'!$A$2:$CD$78,MATCH('Yoy WAR OG'!$J14,'Withdrawal Working'!$A$2:$A$78,0),FALSE)&gt;0,MIN(HLOOKUP(CONCATENATE("Balance",AR$3-1),'Withdrawal Working'!$A$2:$CD$78,MATCH('Yoy WAR OG'!$J14,'Withdrawal Working'!$A$2:$A$78,0),0),AN14),0)),IF($K14=VLOOKUP(AN$2,$B:$H,7,0),AN14,)),0)</f>
        <v>323523.17413467728</v>
      </c>
      <c r="AQ14" s="58">
        <f ca="1">IF(AO14&lt;0,0,IF(J14&gt;'NWGC - SCENARIOS'!$D$7,((AN14-AP14+AO14)*(1+(IFERROR(VLOOKUP(AN$2,$B:$D,3,0),0)))),((AN14-AP14)*(1+(IFERROR(VLOOKUP(AN$2,$B:$D,3,0),0))))+AO14))</f>
        <v>121191930.59187265</v>
      </c>
      <c r="AT14" s="450">
        <f t="shared" ca="1" si="31"/>
        <v>0</v>
      </c>
      <c r="AU14" s="58">
        <f ca="1">(VLOOKUP(AT$2,$B$1:$F$32,5,0)*$L14)+(VLOOKUP($K14,'Withdrawal Working'!$AD:$AE,2,0)*(IFERROR(VLOOKUP(AT$2,$B$35:$C$42,2,0),0)))</f>
        <v>0</v>
      </c>
      <c r="AV14" s="58">
        <f>IFERROR(IF($K14&lt;VLOOKUP(AT$2,$B:$H,7,0),IF(AX$3=1,MIN($M14,AT14),IF(HLOOKUP(CONCATENATE("Balance",AX$3-1),'Withdrawal Working'!$A$2:$CD$78,MATCH('Yoy WAR OG'!$J14,'Withdrawal Working'!$A$2:$A$78,0),FALSE)&gt;0,MIN(HLOOKUP(CONCATENATE("Balance",AX$3-1),'Withdrawal Working'!$A$2:$CD$78,MATCH('Yoy WAR OG'!$J14,'Withdrawal Working'!$A$2:$A$78,0),0),AT14),0)),IF($K14=VLOOKUP(AT$2,$B:$H,7,0),AT14,)),0)</f>
        <v>0</v>
      </c>
      <c r="AW14" s="58">
        <f t="shared" ca="1" si="5"/>
        <v>0</v>
      </c>
      <c r="AZ14" s="450">
        <f t="shared" ca="1" si="32"/>
        <v>7868605.4291582638</v>
      </c>
      <c r="BA14" s="58">
        <f ca="1">(VLOOKUP(AZ$2,$B$1:$F$32,5,0)*$L14)+(VLOOKUP($K14,'Withdrawal Working'!$AD:$AE,2,0)*(IFERROR(VLOOKUP(AZ$2,$B$35:$C$42,2,0),0)))</f>
        <v>0</v>
      </c>
      <c r="BB14" s="58">
        <f>IFERROR(IF($K14&lt;VLOOKUP(AZ$2,$B:$H,7,0),IF(BD$3=1,MIN($M14,AZ14),IF(HLOOKUP(CONCATENATE("Balance",BD$3-1),'Withdrawal Working'!$A$2:$CD$78,MATCH('Yoy WAR OG'!$J14,'Withdrawal Working'!$A$2:$A$78,0),FALSE)&gt;0,MIN(HLOOKUP(CONCATENATE("Balance",BD$3-1),'Withdrawal Working'!$A$2:$CD$78,MATCH('Yoy WAR OG'!$J14,'Withdrawal Working'!$A$2:$A$78,0),0),AZ14),0)),IF($K14=VLOOKUP(AZ$2,$B:$H,7,0),AZ14,)),0)</f>
        <v>0</v>
      </c>
      <c r="BC14" s="58">
        <f t="shared" ca="1" si="6"/>
        <v>8419407.8091993425</v>
      </c>
      <c r="BF14" s="450">
        <f t="shared" ca="1" si="33"/>
        <v>0</v>
      </c>
      <c r="BG14" s="58">
        <f ca="1">(VLOOKUP(BF$2,$B$1:$F$32,5,0)*$L14)+(VLOOKUP($K14,'Withdrawal Working'!$AD:$AE,2,0)*(IFERROR(VLOOKUP(BF$2,$B$35:$C$42,2,0),0)))</f>
        <v>0</v>
      </c>
      <c r="BH14" s="58">
        <f>IFERROR(IF($K14&lt;VLOOKUP(BF$2,$B:$H,7,0),IF(BJ$3=1,MIN($M14,BF14),IF(HLOOKUP(CONCATENATE("Balance",BJ$3-1),'Withdrawal Working'!$A$2:$CD$78,MATCH('Yoy WAR OG'!$J14,'Withdrawal Working'!$A$2:$A$78,0),FALSE)&gt;0,MIN(HLOOKUP(CONCATENATE("Balance",BJ$3-1),'Withdrawal Working'!$A$2:$CD$78,MATCH('Yoy WAR OG'!$J14,'Withdrawal Working'!$A$2:$A$78,0),0),BF14),0)),IF($K14=VLOOKUP(BF$2,$B:$H,7,0),BF14,)),0)</f>
        <v>0</v>
      </c>
      <c r="BI14" s="58">
        <f t="shared" ca="1" si="7"/>
        <v>0</v>
      </c>
      <c r="BL14" s="450">
        <f t="shared" ca="1" si="34"/>
        <v>0</v>
      </c>
      <c r="BM14" s="58">
        <f ca="1">(VLOOKUP(BL$2,$B$1:$F$32,5,0)*$L14)+(VLOOKUP($K14,'Withdrawal Working'!$AD:$AE,2,0)*(IFERROR(VLOOKUP(BL$2,$B$35:$C$42,2,0),0)))</f>
        <v>0</v>
      </c>
      <c r="BN14" s="58">
        <f>IFERROR(IF($K14&lt;VLOOKUP(BL$2,$B:$H,7,0),IF(BP$3=1,MIN($M14,BL14),IF(HLOOKUP(CONCATENATE("Balance",BP$3-1),'Withdrawal Working'!$A$2:$CD$78,MATCH('Yoy WAR OG'!$J14,'Withdrawal Working'!$A$2:$A$78,0),FALSE)&gt;0,MIN(HLOOKUP(CONCATENATE("Balance",BP$3-1),'Withdrawal Working'!$A$2:$CD$78,MATCH('Yoy WAR OG'!$J14,'Withdrawal Working'!$A$2:$A$78,0),0),BL14),0)),IF($K14=VLOOKUP(BL$2,$B:$H,7,0),BL14,)),0)</f>
        <v>0</v>
      </c>
      <c r="BO14" s="58">
        <f t="shared" ca="1" si="8"/>
        <v>0</v>
      </c>
      <c r="BR14" s="450">
        <f t="shared" ca="1" si="35"/>
        <v>0</v>
      </c>
      <c r="BS14" s="58">
        <f ca="1">(VLOOKUP(BR$2,$B$1:$F$32,5,0)*$L14)+(VLOOKUP($K14,'Withdrawal Working'!$AD:$AE,2,0)*(IFERROR(VLOOKUP(BR$2,$B$35:$C$42,2,0),0)))</f>
        <v>0</v>
      </c>
      <c r="BT14" s="58">
        <f>IFERROR(IF($K14&lt;VLOOKUP(BR$2,$B:$H,7,0),IF(BV$3=1,MIN($M14,BR14),IF(HLOOKUP(CONCATENATE("Balance",BV$3-1),'Withdrawal Working'!$A$2:$CD$78,MATCH('Yoy WAR OG'!$J14,'Withdrawal Working'!$A$2:$A$78,0),FALSE)&gt;0,MIN(HLOOKUP(CONCATENATE("Balance",BV$3-1),'Withdrawal Working'!$A$2:$CD$78,MATCH('Yoy WAR OG'!$J14,'Withdrawal Working'!$A$2:$A$78,0),0),BR14),0)),IF($K14=VLOOKUP(BR$2,$B:$H,7,0),BR14,)),0)</f>
        <v>0</v>
      </c>
      <c r="BU14" s="58">
        <f t="shared" ca="1" si="9"/>
        <v>0</v>
      </c>
      <c r="BX14" s="450">
        <f t="shared" ca="1" si="36"/>
        <v>0</v>
      </c>
      <c r="BY14" s="58">
        <f ca="1">(VLOOKUP(BX$2,$B$1:$F$32,5,0)*$L14)+(VLOOKUP($K14,'Withdrawal Working'!$AD:$AE,2,0)*(IFERROR(VLOOKUP(BX$2,$B$35:$C$42,2,0),0)))</f>
        <v>0</v>
      </c>
      <c r="BZ14" s="58">
        <f>IFERROR(IF($K14&lt;VLOOKUP(BX$2,$B:$H,7,0),IF(CB$3=1,MIN($M14,BX14),IF(HLOOKUP(CONCATENATE("Balance",CB$3-1),'Withdrawal Working'!$A$2:$CD$78,MATCH('Yoy WAR OG'!$J14,'Withdrawal Working'!$A$2:$A$78,0),FALSE)&gt;0,MIN(HLOOKUP(CONCATENATE("Balance",CB$3-1),'Withdrawal Working'!$A$2:$CD$78,MATCH('Yoy WAR OG'!$J14,'Withdrawal Working'!$A$2:$A$78,0),0),BX14),0)),IF($K14=VLOOKUP(BX$2,$B:$H,7,0),BX14,)),0)</f>
        <v>0</v>
      </c>
      <c r="CA14" s="58">
        <f t="shared" ca="1" si="10"/>
        <v>0</v>
      </c>
      <c r="CD14" s="450">
        <f t="shared" ca="1" si="37"/>
        <v>24471021.062717479</v>
      </c>
      <c r="CE14" s="58">
        <f ca="1">(VLOOKUP(CD$2,$B$1:$F$32,5,0)*$L14)+(VLOOKUP($K14,'Withdrawal Working'!$AD:$AE,2,0)*(IFERROR(VLOOKUP(CD$2,$B$35:$C$42,2,0),0)))+SUMIFS('Key Life Events'!$I$3:$I$28,'Key Life Events'!$H$3:$H$28,"House",'Key Life Events'!$E$3:$E$28,'Yoy WAR OG'!K14)</f>
        <v>0</v>
      </c>
      <c r="CF14" s="58">
        <f>IFERROR(IF($K14&lt;VLOOKUP(CD$2,$B:$H,7,0),IF(CH$3=1,MIN($M14,CD14),IF(HLOOKUP(CONCATENATE("Balance",CH$3-1),'Withdrawal Working'!$A$2:$CD$78,MATCH('Yoy WAR OG'!$J14,'Withdrawal Working'!$A$2:$A$78,0),FALSE)&gt;0,MIN(HLOOKUP(CONCATENATE("Balance",CH$3-1),'Withdrawal Working'!$A$2:$CD$78,MATCH('Yoy WAR OG'!$J14,'Withdrawal Working'!$A$2:$A$78,0),0),CD14),0)),IF($K14=VLOOKUP(CD$2,$B:$H,7,0),CD14,)),0)</f>
        <v>0</v>
      </c>
      <c r="CG14" s="58">
        <f t="shared" ca="1" si="11"/>
        <v>25205151.694599003</v>
      </c>
      <c r="CJ14" s="450">
        <f t="shared" ca="1" si="38"/>
        <v>0</v>
      </c>
      <c r="CK14" s="58">
        <f ca="1">(VLOOKUP(CJ$2,$B$1:$F$32,5,0)*$L14)+(VLOOKUP($K14,'Withdrawal Working'!$AD:$AE,2,0)*(IFERROR(VLOOKUP(CJ$2,$B$35:$C$42,2,0),0)))+SUMIFS('Key Life Events'!$I$3:$I$28,'Key Life Events'!$H$3:$H$28,"House2",'Key Life Events'!$E$3:$E$28,'Yoy WAR OG'!K14)</f>
        <v>0</v>
      </c>
      <c r="CL14" s="58">
        <f ca="1">IF(IFERROR(IF($K14&lt;&gt;VLOOKUP(CJ$2,$B:$H,7,0),IF(CN$3=1,MIN($M14,CJ14),IF(HLOOKUP(CONCATENATE("Balance",CN$3-1),'Withdrawal Working'!$A$2:$CD$78,MATCH('Yoy WAR OG'!$J14,'Withdrawal Working'!$A$2:$A$78,0),FALSE)&gt;0,MIN(HLOOKUP(CONCATENATE("Balance",CN$3-1),'Withdrawal Working'!$A$2:$CD$78,MATCH('Yoy WAR OG'!$J14,'Withdrawal Working'!$A$2:$A$78,0),0),CJ14),0)),IF($K14=VLOOKUP(CJ$2,$B:$H,7,0),CJ14,)),0)&gt;0,CJ14,0)</f>
        <v>0</v>
      </c>
      <c r="CM14" s="58">
        <f t="shared" ca="1" si="12"/>
        <v>0</v>
      </c>
      <c r="CP14" s="450">
        <f t="shared" ca="1" si="39"/>
        <v>4072236.5669436045</v>
      </c>
      <c r="CQ14" s="58">
        <f ca="1">(VLOOKUP(CP$2,$B$1:$F$32,5,0)*$L14)+(VLOOKUP($K14,'Withdrawal Working'!$AD:$AE,2,0)*(IFERROR(VLOOKUP(CP$2,$B$35:$C$42,2,0),0)))+SUMIFS('Key Life Events'!$I$3:$I$28,'Key Life Events'!$H$3:$H$28,"Land",'Key Life Events'!$E$3:$E$28,'Yoy WAR OG'!K14)</f>
        <v>0</v>
      </c>
      <c r="CR14" s="58">
        <f>IFERROR(IF($K14&lt;VLOOKUP(CP$2,$B:$H,7,0),IF(CT$3=1,MIN($M14,CP14),IF(HLOOKUP(CONCATENATE("Balance",CT$3-1),'Withdrawal Working'!$A$2:$CD$78,MATCH('Yoy WAR OG'!$J14,'Withdrawal Working'!$A$2:$A$78,0),FALSE)&gt;0,MIN(HLOOKUP(CONCATENATE("Balance",CT$3-1),'Withdrawal Working'!$A$2:$CD$78,MATCH('Yoy WAR OG'!$J14,'Withdrawal Working'!$A$2:$A$78,0),0),CP14),0)),IF($K14=VLOOKUP(CP$2,$B:$H,7,0),CP14,)),0)</f>
        <v>0</v>
      </c>
      <c r="CS14" s="58">
        <f t="shared" ca="1" si="13"/>
        <v>4275848.3952907845</v>
      </c>
      <c r="CV14" s="450">
        <f t="shared" ca="1" si="40"/>
        <v>0</v>
      </c>
      <c r="CW14" s="58"/>
      <c r="CX14" s="58">
        <f>IFERROR(IF($K14&lt;VLOOKUP(CV$2,$B:$H,7,0),IF(CZ$3=1,MIN($M14,CV14),IF(HLOOKUP(CONCATENATE("Balance",CZ$3-1),'Withdrawal Working'!$A$2:$CD$78,MATCH('Yoy WAR OG'!$J14,'Withdrawal Working'!$A$2:$A$78,0),FALSE)&gt;0,MIN(HLOOKUP(CONCATENATE("Balance",CZ$3-1),'Withdrawal Working'!$A$2:$CD$78,MATCH('Yoy WAR OG'!$J14,'Withdrawal Working'!$A$2:$A$78,0),0),CV14),0)),IF($K14=VLOOKUP(CV$2,$B:$H,7,0),CV14,)),0)</f>
        <v>0</v>
      </c>
      <c r="CY14" s="58">
        <f t="shared" ca="1" si="14"/>
        <v>0</v>
      </c>
      <c r="DB14" s="450">
        <f t="shared" ca="1" si="41"/>
        <v>0</v>
      </c>
      <c r="DC14" s="58">
        <f ca="1">(VLOOKUP(DB$2,$B$1:$F$32,5,0)*$L14)+(VLOOKUP($K14,'Withdrawal Working'!$AD:$AE,2,0)*(IFERROR(VLOOKUP(DB$2,$B$35:$C$42,2,0),0)))</f>
        <v>0</v>
      </c>
      <c r="DD14" s="58">
        <f>IFERROR(IF($K14&lt;VLOOKUP(DB$2,$B:$H,7,0),IF(DF$3=1,MIN($M14,DB14),IF(HLOOKUP(CONCATENATE("Balance",DF$3-1),'Withdrawal Working'!$A$2:$CD$78,MATCH('Yoy WAR OG'!$J14,'Withdrawal Working'!$A$2:$A$78,0),FALSE)&gt;0,MIN(HLOOKUP(CONCATENATE("Balance",DF$3-1),'Withdrawal Working'!$A$2:$CD$78,MATCH('Yoy WAR OG'!$J14,'Withdrawal Working'!$A$2:$A$78,0),0),DB14),0)),IF($K14=VLOOKUP(DB$2,$B:$H,7,0),DB14,)),0)</f>
        <v>0</v>
      </c>
      <c r="DE14" s="58">
        <f t="shared" ca="1" si="15"/>
        <v>0</v>
      </c>
      <c r="DH14" s="450">
        <f t="shared" ca="1" si="42"/>
        <v>0</v>
      </c>
      <c r="DI14" s="58">
        <f>IF(OR(J14&gt;'NWGC - SCENARIOS'!$D$7,J14='NWGC - SCENARIOS'!$D$7),0,DI13*(1+'NWGC - SCENARIOS'!$L$5))</f>
        <v>0</v>
      </c>
      <c r="DJ14" s="58">
        <f>IFERROR(IF($K14&lt;VLOOKUP(DH$2,$B:$H,7,0),IF(DL$3=1,MIN($M14,DH14),IF(HLOOKUP(CONCATENATE("Balance",DL$3-1),'Withdrawal Working'!$A$2:$CD$78,MATCH('Yoy WAR OG'!$J14,'Withdrawal Working'!$A$2:$A$78,0),FALSE)&gt;0,MIN(HLOOKUP(CONCATENATE("Balance",DL$3-1),'Withdrawal Working'!$A$2:$CD$78,MATCH('Yoy WAR OG'!$J14,'Withdrawal Working'!$A$2:$A$78,0),0),DH14),0)),IF($K14=VLOOKUP(DH$2,$B:$H,7,0),DH14,)),0)</f>
        <v>0</v>
      </c>
      <c r="DK14" s="58">
        <f t="shared" ca="1" si="16"/>
        <v>0</v>
      </c>
      <c r="DN14" s="450">
        <f t="shared" ca="1" si="43"/>
        <v>0</v>
      </c>
      <c r="DO14" s="58">
        <f ca="1">(VLOOKUP(DN$2,$B$1:$F$32,5,0)*$L14)+(VLOOKUP($K14,'Withdrawal Working'!$AD:$AE,2,0)*(IFERROR(VLOOKUP(DN$2,$B$35:$C$42,2,0),0)))</f>
        <v>0</v>
      </c>
      <c r="DP14" s="58">
        <f>IFERROR(IF($K14&lt;VLOOKUP(DN$2,$B:$H,7,0),IF(DR$3=1,MIN($M14,DN14),IF(HLOOKUP(CONCATENATE("Balance",DR$3-1),'Withdrawal Working'!$A$2:$CD$78,MATCH('Yoy WAR OG'!$J14,'Withdrawal Working'!$A$2:$A$78,0),FALSE)&gt;0,MIN(HLOOKUP(CONCATENATE("Balance",DR$3-1),'Withdrawal Working'!$A$2:$CD$78,MATCH('Yoy WAR OG'!$J14,'Withdrawal Working'!$A$2:$A$78,0),0),DN14),0)),IF($K14=VLOOKUP(DN$2,$B:$H,7,0),DN14,)),0)</f>
        <v>0</v>
      </c>
      <c r="DQ14" s="58">
        <f t="shared" ca="1" si="17"/>
        <v>0</v>
      </c>
      <c r="DT14" s="450">
        <f t="shared" ca="1" si="44"/>
        <v>0</v>
      </c>
      <c r="DU14" s="58">
        <f ca="1">(VLOOKUP(DT$2,$B$1:$F$32,5,0)*$L14)+(VLOOKUP($K14,'Withdrawal Working'!$AD:$AE,2,0)*(IFERROR(VLOOKUP(DT$2,$B$35:$C$42,2,0),0)))</f>
        <v>0</v>
      </c>
      <c r="DV14" s="58">
        <f>IFERROR(IF($K14&lt;VLOOKUP(DT$2,$B:$H,7,0),IF(DX$3=1,MIN($M14,DT14),IF(HLOOKUP(CONCATENATE("Balance",DX$3-1),'Withdrawal Working'!$A$2:$CD$78,MATCH('Yoy WAR OG'!$J14,'Withdrawal Working'!$A$2:$A$78,0),FALSE)&gt;0,MIN(HLOOKUP(CONCATENATE("Balance",DX$3-1),'Withdrawal Working'!$A$2:$CD$78,MATCH('Yoy WAR OG'!$J14,'Withdrawal Working'!$A$2:$A$78,0),0),DT14),0)),IF($K14=VLOOKUP(DT$2,$B:$H,7,0),DT14,)),0)</f>
        <v>0</v>
      </c>
      <c r="DW14" s="58">
        <f t="shared" ca="1" si="18"/>
        <v>0</v>
      </c>
      <c r="DZ14" s="450">
        <f t="shared" ca="1" si="45"/>
        <v>0</v>
      </c>
      <c r="EA14" s="58">
        <f ca="1">(VLOOKUP(DZ$2,$B$1:$F$32,5,0)*$L14)+(VLOOKUP($K14,'Withdrawal Working'!$AD:$AE,2,0)*(IFERROR(VLOOKUP(DZ$2,$B$35:$C$42,2,0),0)))</f>
        <v>0</v>
      </c>
      <c r="EB14" s="58">
        <f>IFERROR(IF($K14&lt;VLOOKUP(DZ$2,$B:$H,7,0),IF(ED$3=1,MIN($M14,DZ14),IF(HLOOKUP(CONCATENATE("Balance",ED$3-1),'Withdrawal Working'!$A$2:$CD$78,MATCH('Yoy WAR OG'!$J14,'Withdrawal Working'!$A$2:$A$78,0),FALSE)&gt;0,MIN(HLOOKUP(CONCATENATE("Balance",ED$3-1),'Withdrawal Working'!$A$2:$CD$78,MATCH('Yoy WAR OG'!$J14,'Withdrawal Working'!$A$2:$A$78,0),0),DZ14),0)),IF($K14=VLOOKUP(DZ$2,$B:$H,7,0),DZ14,)),0)</f>
        <v>0</v>
      </c>
      <c r="EC14" s="58">
        <f t="shared" ca="1" si="19"/>
        <v>0</v>
      </c>
      <c r="EF14" s="450">
        <f t="shared" ca="1" si="46"/>
        <v>0</v>
      </c>
      <c r="EG14" s="58">
        <f ca="1">(VLOOKUP(EF$2,$B$1:$F$32,5,0)*$L14)+(VLOOKUP($K14,'Withdrawal Working'!$AD:$AE,2,0)*(IFERROR(VLOOKUP(EF$2,$B$35:$C$42,2,0),0)))</f>
        <v>0</v>
      </c>
      <c r="EH14" s="58">
        <f>IFERROR(IF($K14&lt;VLOOKUP(EF$2,$B:$H,7,0),IF(EJ$3=1,MIN($M14,EF14),IF(HLOOKUP(CONCATENATE("Balance",EJ$3-1),'Withdrawal Working'!$A$2:$CD$78,MATCH('Yoy WAR OG'!$J14,'Withdrawal Working'!$A$2:$A$78,0),FALSE)&gt;0,MIN(HLOOKUP(CONCATENATE("Balance",EJ$3-1),'Withdrawal Working'!$A$2:$CD$78,MATCH('Yoy WAR OG'!$J14,'Withdrawal Working'!$A$2:$A$78,0),0),EF14),0)),IF($K14=VLOOKUP(EF$2,$B:$H,7,0),EF14,)),0)</f>
        <v>0</v>
      </c>
      <c r="EI14" s="58">
        <f t="shared" ca="1" si="20"/>
        <v>0</v>
      </c>
      <c r="EL14" s="450">
        <f t="shared" ca="1" si="47"/>
        <v>0</v>
      </c>
      <c r="EM14" s="58">
        <f>IF(OR($J14&gt;'NWGC - SCENARIOS'!$D$7,$J14='NWGC - SCENARIOS'!$D$7),0,EM13)</f>
        <v>0</v>
      </c>
      <c r="EN14" s="58">
        <f>IFERROR(IF($K14&lt;VLOOKUP(EL$2,$B:$H,7,0),IF(EP$3=1,MIN($M14,EL14),IF(HLOOKUP(CONCATENATE("Balance",EP$3-1),'Withdrawal Working'!$A$2:$CD$78,MATCH('Yoy WAR OG'!$J14,'Withdrawal Working'!$A$2:$A$78,0),FALSE)&gt;0,MIN(HLOOKUP(CONCATENATE("Balance",EP$3-1),'Withdrawal Working'!$A$2:$CD$78,MATCH('Yoy WAR OG'!$J14,'Withdrawal Working'!$A$2:$A$78,0),0),EL14),0)),IF($K14=VLOOKUP(EL$2,$B:$H,7,0),EL14,)),0)</f>
        <v>0</v>
      </c>
      <c r="EO14" s="58">
        <f t="shared" ca="1" si="21"/>
        <v>0</v>
      </c>
      <c r="ER14" s="450">
        <f t="shared" ca="1" si="48"/>
        <v>0</v>
      </c>
      <c r="ES14" s="58">
        <f>IF(OR(J14&gt;'NWGC - SCENARIOS'!$D$7,J14='NWGC - SCENARIOS'!$D$7),0,ES13*(1+'NWGC - SCENARIOS'!$L$5))</f>
        <v>0</v>
      </c>
      <c r="ET14" s="58">
        <f>IFERROR(IF($K14&lt;VLOOKUP(ER$2,$B:$H,7,0),IF(EV$3=1,MIN($M14,ER14),IF(HLOOKUP(CONCATENATE("Balance",EV$3-1),'Withdrawal Working'!$A$2:$CD$78,MATCH('Yoy WAR OG'!$J14,'Withdrawal Working'!$A$2:$A$78,0),FALSE)&gt;0,MIN(HLOOKUP(CONCATENATE("Balance",EV$3-1),'Withdrawal Working'!$A$2:$CD$78,MATCH('Yoy WAR OG'!$J14,'Withdrawal Working'!$A$2:$A$78,0),0),ER14),0)),IF($K14=VLOOKUP(ER$2,$B:$H,7,0),ER14,)),0)</f>
        <v>0</v>
      </c>
      <c r="EU14" s="58">
        <f t="shared" ca="1" si="22"/>
        <v>0</v>
      </c>
      <c r="EX14" s="450">
        <f t="shared" ca="1" si="49"/>
        <v>0</v>
      </c>
      <c r="EY14" s="58">
        <f>IF(OR(J14&gt;'NWGC - SCENARIOS'!$D$7,J14='NWGC - SCENARIOS'!$D$7),0,EY13)</f>
        <v>0</v>
      </c>
      <c r="EZ14" s="58">
        <f>IFERROR(IF($K14&lt;VLOOKUP(EX$2,$B:$H,7,0),IF(FB$3=1,MIN($M14,EX14),IF(HLOOKUP(CONCATENATE("Balance",FB$3-1),'Withdrawal Working'!$A$2:$CD$78,MATCH('Yoy WAR OG'!$J14,'Withdrawal Working'!$A$2:$A$78,0),FALSE)&gt;0,MIN(HLOOKUP(CONCATENATE("Balance",FB$3-1),'Withdrawal Working'!$A$2:$CD$78,MATCH('Yoy WAR OG'!$J14,'Withdrawal Working'!$A$2:$A$78,0),0),EX14),0)),IF($K14=VLOOKUP(EX$2,$B:$H,7,0),EX14,)),0)</f>
        <v>0</v>
      </c>
      <c r="FA14" s="58">
        <f t="shared" ca="1" si="23"/>
        <v>0</v>
      </c>
    </row>
    <row r="15" spans="1:197" x14ac:dyDescent="0.3">
      <c r="A15" t="s">
        <v>366</v>
      </c>
      <c r="B15" t="str">
        <f>Networth!B15</f>
        <v>International Equities</v>
      </c>
      <c r="C15" s="58">
        <f>VLOOKUP('Yoy WAR OG'!B15,'WAR - Rev'!$A$1:$B$29,2,0)</f>
        <v>600000</v>
      </c>
      <c r="D15" s="313">
        <f>'WAR - Rev'!C13</f>
        <v>0.08</v>
      </c>
      <c r="H15" s="452">
        <f>VLOOKUP('NWGC - SCENARIOS'!$D$7,'NWGC - SCENARIOS'!$B$11:$C$67,2,0)</f>
        <v>2031</v>
      </c>
      <c r="J15">
        <f>IFERROR('NWGC - SCENARIOS'!B22,0)</f>
        <v>60</v>
      </c>
      <c r="K15">
        <f>IFERROR('NWGC - SCENARIOS'!C22,0)</f>
        <v>2036</v>
      </c>
      <c r="L15" s="449">
        <f ca="1">IF(('NWGC - SCENARIOS'!G22-working!G13)&gt;'NWGC - SCENARIOS'!H22,'NWGC - SCENARIOS'!G22-'NWGC - SCENARIOS'!H22-working!G13,0)</f>
        <v>2197507.5743834637</v>
      </c>
      <c r="M15" s="449">
        <f ca="1">IF(('NWGC - SCENARIOS'!G22-working!G13)&gt;'NWGC - SCENARIOS'!H22,0,'NWGC - SCENARIOS'!H22-'NWGC - SCENARIOS'!G22+working!G13)</f>
        <v>0</v>
      </c>
      <c r="N15" s="58">
        <f t="shared" ca="1" si="0"/>
        <v>260854151.61134252</v>
      </c>
      <c r="O15" s="58">
        <f t="shared" ca="1" si="1"/>
        <v>39459713.416335598</v>
      </c>
      <c r="P15" s="58">
        <f t="shared" ca="1" si="24"/>
        <v>0</v>
      </c>
      <c r="Q15" s="58">
        <f ca="1">(VLOOKUP(P$2,$B$1:$F$32,5,0)*$L15)+(VLOOKUP($K15,'Withdrawal Working'!$AD:$AE,2,0)*(IFERROR(VLOOKUP(P$2,$B$35:$C$42,2,0),0)))</f>
        <v>0</v>
      </c>
      <c r="R15" s="58">
        <f>IFERROR(IF($K15&lt;VLOOKUP(P$2,$B:$H,7,0),IF(T$3=1,MIN($M15,P15),IF(HLOOKUP(CONCATENATE("Balance",T$3-1),'Withdrawal Working'!$A$2:$CD$78,MATCH('Yoy WAR OG'!$J15,'Withdrawal Working'!$A$2:$A$78,0),FALSE)&gt;0,MIN(HLOOKUP(CONCATENATE("Balance",T$3-1),'Withdrawal Working'!$A$2:$CD$78,MATCH('Yoy WAR OG'!$J15,'Withdrawal Working'!$A$2:$A$78,0),0),P15),0)),IF($K15=VLOOKUP(P$2,$B:$H,7,0),P15,)),0)</f>
        <v>0</v>
      </c>
      <c r="S15" s="58">
        <f t="shared" ca="1" si="26"/>
        <v>0</v>
      </c>
      <c r="T15" s="58"/>
      <c r="V15" s="58">
        <f t="shared" ca="1" si="27"/>
        <v>0</v>
      </c>
      <c r="W15" s="58">
        <f ca="1">(VLOOKUP(V$2,$B$1:$F$32,5,0)*$L15)+(VLOOKUP($K15,'Withdrawal Working'!$AD:$AE,2,0)*(IFERROR(VLOOKUP(V$2,$B$35:$C$42,2,0),0)))</f>
        <v>0</v>
      </c>
      <c r="X15" s="58">
        <f>IFERROR(IF($K15&lt;VLOOKUP(V$2,$B:$H,7,0),IF(Z$3=1,MIN($M15,V15),IF(HLOOKUP(CONCATENATE("Balance",Z$3-1),'Withdrawal Working'!$A$2:$CD$78,MATCH('Yoy WAR OG'!$J15,'Withdrawal Working'!$A$2:$A$78,0),FALSE)&gt;0,MIN(HLOOKUP(CONCATENATE("Balance",Z$3-1),'Withdrawal Working'!$A$2:$CD$78,MATCH('Yoy WAR OG'!$J15,'Withdrawal Working'!$A$2:$A$78,0),0),V15),0)),IF($K15=VLOOKUP(V$2,$B:$H,7,0),V15,)),0)</f>
        <v>0</v>
      </c>
      <c r="Y15" s="58">
        <f t="shared" ca="1" si="2"/>
        <v>0</v>
      </c>
      <c r="AB15" s="58">
        <f t="shared" ca="1" si="28"/>
        <v>0</v>
      </c>
      <c r="AC15" s="58">
        <f ca="1">(VLOOKUP(AB$2,$B$1:$F$32,5,0)*$L15)+(VLOOKUP($K15,'Withdrawal Working'!$AD:$AE,2,0)*(IFERROR(VLOOKUP(AB$2,$B$35:$C$42,2,0),0)))</f>
        <v>0</v>
      </c>
      <c r="AD15" s="58">
        <f>IFERROR(IF($K15&lt;VLOOKUP(AB$2,$B:$H,7,0),IF(AF$3=1,MIN($M15,AB15),IF(HLOOKUP(CONCATENATE("Balance",AF$3-1),'Withdrawal Working'!$A$2:$CD$78,MATCH('Yoy WAR OG'!$J15,'Withdrawal Working'!$A$2:$A$78,0),FALSE)&gt;0,MIN(HLOOKUP(CONCATENATE("Balance",AF$3-1),'Withdrawal Working'!$A$2:$CD$78,MATCH('Yoy WAR OG'!$J15,'Withdrawal Working'!$A$2:$A$78,0),0),AB15),0)),IF($K15=VLOOKUP(AB$2,$B:$H,7,0),AB15,)),0)</f>
        <v>0</v>
      </c>
      <c r="AE15" s="58">
        <f t="shared" ca="1" si="3"/>
        <v>0</v>
      </c>
      <c r="AH15" s="58">
        <f t="shared" ca="1" si="29"/>
        <v>117793524.41071798</v>
      </c>
      <c r="AI15" s="58">
        <f ca="1">(VLOOKUP(AH$2,$B$1:$F$32,5,0)*$L15)+IF(J15&gt;'NWGC - SCENARIOS'!$D$7,0,(VLOOKUP($K15,'Withdrawal Working'!$AD:$AE,2,0)*(IFERROR(VLOOKUP(AH$2,$B$35:$C$42,2,0),0))))</f>
        <v>1318504.5446300781</v>
      </c>
      <c r="AJ15" s="58">
        <f ca="1">IFERROR(IF($J15&gt;'NWGC - SCENARIOS'!$D$7,MIN('Yoy WAR OG'!AH15,VLOOKUP('Yoy WAR OG'!$J15,'Withdrawal Working'!BC:BD,2,0)),IF(AL$3=1,$M15,IF(HLOOKUP(CONCATENATE("Balance",AL$3-1),'Withdrawal Working'!$A$2:$CD$78,MATCH('Yoy WAR OG'!$J15,'Withdrawal Working'!$A$2:$A$78,0),FALSE)&gt;0,MIN(HLOOKUP(CONCATENATE("Balance",AL$3-1),'Withdrawal Working'!$A$2:$CD$78,MATCH('Yoy WAR OG'!$J15,'Withdrawal Working'!$A$2:$A$78,0),0),AH15),0))),0)</f>
        <v>0</v>
      </c>
      <c r="AK15" s="58">
        <f t="shared" ca="1" si="4"/>
        <v>132069316.64052705</v>
      </c>
      <c r="AN15" s="450">
        <f t="shared" ca="1" si="30"/>
        <v>121191930.59187265</v>
      </c>
      <c r="AO15" s="58">
        <f ca="1">IF(J15&gt;'NWGC - SCENARIOS'!$D$7,(IF(AJ15=0,0,'Yoy WAR OG'!AJ15)+(VLOOKUP(AN$2,$B$1:$F$32,5,0)*$L15)),(VLOOKUP(AN$2,$B$1:$F$32,5,0)*$L15)+(VLOOKUP($K15,'Withdrawal Working'!$AD:$AE,2,0)*(IFERROR(VLOOKUP(AN$2,$B$35:$C$42,2,0),0))))</f>
        <v>879003.02975338558</v>
      </c>
      <c r="AP15" s="470">
        <f ca="1">IFERROR(IF($K15&lt;&gt;VLOOKUP(AN$2,$B:$H,7,0),IF(AR$3=1,MIN($M15,AN15),IF(HLOOKUP(CONCATENATE("Balance",AR$3-1),'Withdrawal Working'!$A$2:$CD$78,MATCH('Yoy WAR OG'!$J15,'Withdrawal Working'!$A$2:$A$78,0),FALSE)&gt;0,MIN(HLOOKUP(CONCATENATE("Balance",AR$3-1),'Withdrawal Working'!$A$2:$CD$78,MATCH('Yoy WAR OG'!$J15,'Withdrawal Working'!$A$2:$A$78,0),0),AN15),0)),IF($K15=VLOOKUP(AN$2,$B:$H,7,0),AN15,)),0)</f>
        <v>0</v>
      </c>
      <c r="AQ15" s="58">
        <f ca="1">IF(AO15&lt;0,0,IF(J15&gt;'NWGC - SCENARIOS'!$D$7,((AN15-AP15+AO15)*(1+(IFERROR(VLOOKUP(AN$2,$B:$D,3,0),0)))),((AN15-AP15)*(1+(IFERROR(VLOOKUP(AN$2,$B:$D,3,0),0))))+AO15))</f>
        <v>128784834.97081546</v>
      </c>
      <c r="AT15" s="450">
        <f t="shared" ca="1" si="31"/>
        <v>0</v>
      </c>
      <c r="AU15" s="58">
        <f ca="1">(VLOOKUP(AT$2,$B$1:$F$32,5,0)*$L15)+(VLOOKUP($K15,'Withdrawal Working'!$AD:$AE,2,0)*(IFERROR(VLOOKUP(AT$2,$B$35:$C$42,2,0),0)))</f>
        <v>0</v>
      </c>
      <c r="AV15" s="58">
        <f>IFERROR(IF($K15&lt;VLOOKUP(AT$2,$B:$H,7,0),IF(AX$3=1,MIN($M15,AT15),IF(HLOOKUP(CONCATENATE("Balance",AX$3-1),'Withdrawal Working'!$A$2:$CD$78,MATCH('Yoy WAR OG'!$J15,'Withdrawal Working'!$A$2:$A$78,0),FALSE)&gt;0,MIN(HLOOKUP(CONCATENATE("Balance",AX$3-1),'Withdrawal Working'!$A$2:$CD$78,MATCH('Yoy WAR OG'!$J15,'Withdrawal Working'!$A$2:$A$78,0),0),AT15),0)),IF($K15=VLOOKUP(AT$2,$B:$H,7,0),AT15,)),0)</f>
        <v>0</v>
      </c>
      <c r="AW15" s="58">
        <f t="shared" ca="1" si="5"/>
        <v>0</v>
      </c>
      <c r="AZ15" s="450">
        <f t="shared" ca="1" si="32"/>
        <v>8419407.8091993425</v>
      </c>
      <c r="BA15" s="58">
        <f ca="1">(VLOOKUP(AZ$2,$B$1:$F$32,5,0)*$L15)+(VLOOKUP($K15,'Withdrawal Working'!$AD:$AE,2,0)*(IFERROR(VLOOKUP(AZ$2,$B$35:$C$42,2,0),0)))</f>
        <v>0</v>
      </c>
      <c r="BB15" s="58">
        <f>IFERROR(IF($K15&lt;VLOOKUP(AZ$2,$B:$H,7,0),IF(BD$3=1,MIN($M15,AZ15),IF(HLOOKUP(CONCATENATE("Balance",BD$3-1),'Withdrawal Working'!$A$2:$CD$78,MATCH('Yoy WAR OG'!$J15,'Withdrawal Working'!$A$2:$A$78,0),FALSE)&gt;0,MIN(HLOOKUP(CONCATENATE("Balance",BD$3-1),'Withdrawal Working'!$A$2:$CD$78,MATCH('Yoy WAR OG'!$J15,'Withdrawal Working'!$A$2:$A$78,0),0),AZ15),0)),IF($K15=VLOOKUP(AZ$2,$B:$H,7,0),AZ15,)),0)</f>
        <v>0</v>
      </c>
      <c r="BC15" s="58">
        <f t="shared" ca="1" si="6"/>
        <v>9008766.3558432963</v>
      </c>
      <c r="BF15" s="450">
        <f t="shared" ca="1" si="33"/>
        <v>0</v>
      </c>
      <c r="BG15" s="58">
        <f ca="1">(VLOOKUP(BF$2,$B$1:$F$32,5,0)*$L15)+(VLOOKUP($K15,'Withdrawal Working'!$AD:$AE,2,0)*(IFERROR(VLOOKUP(BF$2,$B$35:$C$42,2,0),0)))</f>
        <v>0</v>
      </c>
      <c r="BH15" s="58">
        <f>IFERROR(IF($K15&lt;VLOOKUP(BF$2,$B:$H,7,0),IF(BJ$3=1,MIN($M15,BF15),IF(HLOOKUP(CONCATENATE("Balance",BJ$3-1),'Withdrawal Working'!$A$2:$CD$78,MATCH('Yoy WAR OG'!$J15,'Withdrawal Working'!$A$2:$A$78,0),FALSE)&gt;0,MIN(HLOOKUP(CONCATENATE("Balance",BJ$3-1),'Withdrawal Working'!$A$2:$CD$78,MATCH('Yoy WAR OG'!$J15,'Withdrawal Working'!$A$2:$A$78,0),0),BF15),0)),IF($K15=VLOOKUP(BF$2,$B:$H,7,0),BF15,)),0)</f>
        <v>0</v>
      </c>
      <c r="BI15" s="58">
        <f t="shared" ca="1" si="7"/>
        <v>0</v>
      </c>
      <c r="BL15" s="450">
        <f t="shared" ca="1" si="34"/>
        <v>0</v>
      </c>
      <c r="BM15" s="58">
        <f ca="1">(VLOOKUP(BL$2,$B$1:$F$32,5,0)*$L15)+(VLOOKUP($K15,'Withdrawal Working'!$AD:$AE,2,0)*(IFERROR(VLOOKUP(BL$2,$B$35:$C$42,2,0),0)))</f>
        <v>0</v>
      </c>
      <c r="BN15" s="58">
        <f>IFERROR(IF($K15&lt;VLOOKUP(BL$2,$B:$H,7,0),IF(BP$3=1,MIN($M15,BL15),IF(HLOOKUP(CONCATENATE("Balance",BP$3-1),'Withdrawal Working'!$A$2:$CD$78,MATCH('Yoy WAR OG'!$J15,'Withdrawal Working'!$A$2:$A$78,0),FALSE)&gt;0,MIN(HLOOKUP(CONCATENATE("Balance",BP$3-1),'Withdrawal Working'!$A$2:$CD$78,MATCH('Yoy WAR OG'!$J15,'Withdrawal Working'!$A$2:$A$78,0),0),BL15),0)),IF($K15=VLOOKUP(BL$2,$B:$H,7,0),BL15,)),0)</f>
        <v>0</v>
      </c>
      <c r="BO15" s="58">
        <f t="shared" ca="1" si="8"/>
        <v>0</v>
      </c>
      <c r="BR15" s="450">
        <f t="shared" ca="1" si="35"/>
        <v>0</v>
      </c>
      <c r="BS15" s="58">
        <f ca="1">(VLOOKUP(BR$2,$B$1:$F$32,5,0)*$L15)+(VLOOKUP($K15,'Withdrawal Working'!$AD:$AE,2,0)*(IFERROR(VLOOKUP(BR$2,$B$35:$C$42,2,0),0)))</f>
        <v>0</v>
      </c>
      <c r="BT15" s="58">
        <f>IFERROR(IF($K15&lt;VLOOKUP(BR$2,$B:$H,7,0),IF(BV$3=1,MIN($M15,BR15),IF(HLOOKUP(CONCATENATE("Balance",BV$3-1),'Withdrawal Working'!$A$2:$CD$78,MATCH('Yoy WAR OG'!$J15,'Withdrawal Working'!$A$2:$A$78,0),FALSE)&gt;0,MIN(HLOOKUP(CONCATENATE("Balance",BV$3-1),'Withdrawal Working'!$A$2:$CD$78,MATCH('Yoy WAR OG'!$J15,'Withdrawal Working'!$A$2:$A$78,0),0),BR15),0)),IF($K15=VLOOKUP(BR$2,$B:$H,7,0),BR15,)),0)</f>
        <v>0</v>
      </c>
      <c r="BU15" s="58">
        <f t="shared" ca="1" si="9"/>
        <v>0</v>
      </c>
      <c r="BX15" s="450">
        <f t="shared" ca="1" si="36"/>
        <v>0</v>
      </c>
      <c r="BY15" s="58">
        <f ca="1">(VLOOKUP(BX$2,$B$1:$F$32,5,0)*$L15)+(VLOOKUP($K15,'Withdrawal Working'!$AD:$AE,2,0)*(IFERROR(VLOOKUP(BX$2,$B$35:$C$42,2,0),0)))</f>
        <v>0</v>
      </c>
      <c r="BZ15" s="58">
        <f>IFERROR(IF($K15&lt;VLOOKUP(BX$2,$B:$H,7,0),IF(CB$3=1,MIN($M15,BX15),IF(HLOOKUP(CONCATENATE("Balance",CB$3-1),'Withdrawal Working'!$A$2:$CD$78,MATCH('Yoy WAR OG'!$J15,'Withdrawal Working'!$A$2:$A$78,0),FALSE)&gt;0,MIN(HLOOKUP(CONCATENATE("Balance",CB$3-1),'Withdrawal Working'!$A$2:$CD$78,MATCH('Yoy WAR OG'!$J15,'Withdrawal Working'!$A$2:$A$78,0),0),BX15),0)),IF($K15=VLOOKUP(BX$2,$B:$H,7,0),BX15,)),0)</f>
        <v>0</v>
      </c>
      <c r="CA15" s="58">
        <f t="shared" ca="1" si="10"/>
        <v>0</v>
      </c>
      <c r="CD15" s="450">
        <f t="shared" ca="1" si="37"/>
        <v>25205151.694599003</v>
      </c>
      <c r="CE15" s="58">
        <f ca="1">(VLOOKUP(CD$2,$B$1:$F$32,5,0)*$L15)+(VLOOKUP($K15,'Withdrawal Working'!$AD:$AE,2,0)*(IFERROR(VLOOKUP(CD$2,$B$35:$C$42,2,0),0)))+SUMIFS('Key Life Events'!$I$3:$I$28,'Key Life Events'!$H$3:$H$28,"House",'Key Life Events'!$E$3:$E$28,'Yoy WAR OG'!K15)</f>
        <v>0</v>
      </c>
      <c r="CF15" s="58">
        <f>IFERROR(IF($K15&lt;VLOOKUP(CD$2,$B:$H,7,0),IF(CH$3=1,MIN($M15,CD15),IF(HLOOKUP(CONCATENATE("Balance",CH$3-1),'Withdrawal Working'!$A$2:$CD$78,MATCH('Yoy WAR OG'!$J15,'Withdrawal Working'!$A$2:$A$78,0),FALSE)&gt;0,MIN(HLOOKUP(CONCATENATE("Balance",CH$3-1),'Withdrawal Working'!$A$2:$CD$78,MATCH('Yoy WAR OG'!$J15,'Withdrawal Working'!$A$2:$A$78,0),0),CD15),0)),IF($K15=VLOOKUP(CD$2,$B:$H,7,0),CD15,)),0)</f>
        <v>0</v>
      </c>
      <c r="CG15" s="58">
        <f t="shared" ca="1" si="11"/>
        <v>25961306.245436974</v>
      </c>
      <c r="CJ15" s="450">
        <f t="shared" ca="1" si="38"/>
        <v>0</v>
      </c>
      <c r="CK15" s="58">
        <f ca="1">(VLOOKUP(CJ$2,$B$1:$F$32,5,0)*$L15)+(VLOOKUP($K15,'Withdrawal Working'!$AD:$AE,2,0)*(IFERROR(VLOOKUP(CJ$2,$B$35:$C$42,2,0),0)))+SUMIFS('Key Life Events'!$I$3:$I$28,'Key Life Events'!$H$3:$H$28,"House2",'Key Life Events'!$E$3:$E$28,'Yoy WAR OG'!K15)</f>
        <v>0</v>
      </c>
      <c r="CL15" s="58">
        <f ca="1">IF(IFERROR(IF($K15&lt;&gt;VLOOKUP(CJ$2,$B:$H,7,0),IF(CN$3=1,MIN($M15,CJ15),IF(HLOOKUP(CONCATENATE("Balance",CN$3-1),'Withdrawal Working'!$A$2:$CD$78,MATCH('Yoy WAR OG'!$J15,'Withdrawal Working'!$A$2:$A$78,0),FALSE)&gt;0,MIN(HLOOKUP(CONCATENATE("Balance",CN$3-1),'Withdrawal Working'!$A$2:$CD$78,MATCH('Yoy WAR OG'!$J15,'Withdrawal Working'!$A$2:$A$78,0),0),CJ15),0)),IF($K15=VLOOKUP(CJ$2,$B:$H,7,0),CJ15,)),0)&gt;0,CJ15,0)</f>
        <v>0</v>
      </c>
      <c r="CM15" s="58">
        <f t="shared" ca="1" si="12"/>
        <v>0</v>
      </c>
      <c r="CP15" s="450">
        <f t="shared" ca="1" si="39"/>
        <v>4275848.3952907845</v>
      </c>
      <c r="CQ15" s="58">
        <f ca="1">(VLOOKUP(CP$2,$B$1:$F$32,5,0)*$L15)+(VLOOKUP($K15,'Withdrawal Working'!$AD:$AE,2,0)*(IFERROR(VLOOKUP(CP$2,$B$35:$C$42,2,0),0)))+SUMIFS('Key Life Events'!$I$3:$I$28,'Key Life Events'!$H$3:$H$28,"Land",'Key Life Events'!$E$3:$E$28,'Yoy WAR OG'!K15)</f>
        <v>0</v>
      </c>
      <c r="CR15" s="58">
        <f>IFERROR(IF($K15&lt;VLOOKUP(CP$2,$B:$H,7,0),IF(CT$3=1,MIN($M15,CP15),IF(HLOOKUP(CONCATENATE("Balance",CT$3-1),'Withdrawal Working'!$A$2:$CD$78,MATCH('Yoy WAR OG'!$J15,'Withdrawal Working'!$A$2:$A$78,0),FALSE)&gt;0,MIN(HLOOKUP(CONCATENATE("Balance",CT$3-1),'Withdrawal Working'!$A$2:$CD$78,MATCH('Yoy WAR OG'!$J15,'Withdrawal Working'!$A$2:$A$78,0),0),CP15),0)),IF($K15=VLOOKUP(CP$2,$B:$H,7,0),CP15,)),0)</f>
        <v>0</v>
      </c>
      <c r="CS15" s="58">
        <f t="shared" ca="1" si="13"/>
        <v>4489640.8150553238</v>
      </c>
      <c r="CV15" s="450">
        <f t="shared" ca="1" si="40"/>
        <v>0</v>
      </c>
      <c r="CW15" s="58"/>
      <c r="CX15" s="58">
        <f>IFERROR(IF($K15&lt;VLOOKUP(CV$2,$B:$H,7,0),IF(CZ$3=1,MIN($M15,CV15),IF(HLOOKUP(CONCATENATE("Balance",CZ$3-1),'Withdrawal Working'!$A$2:$CD$78,MATCH('Yoy WAR OG'!$J15,'Withdrawal Working'!$A$2:$A$78,0),FALSE)&gt;0,MIN(HLOOKUP(CONCATENATE("Balance",CZ$3-1),'Withdrawal Working'!$A$2:$CD$78,MATCH('Yoy WAR OG'!$J15,'Withdrawal Working'!$A$2:$A$78,0),0),CV15),0)),IF($K15=VLOOKUP(CV$2,$B:$H,7,0),CV15,)),0)</f>
        <v>0</v>
      </c>
      <c r="CY15" s="58">
        <f t="shared" ca="1" si="14"/>
        <v>0</v>
      </c>
      <c r="DB15" s="450">
        <f t="shared" ca="1" si="41"/>
        <v>0</v>
      </c>
      <c r="DC15" s="58">
        <f ca="1">(VLOOKUP(DB$2,$B$1:$F$32,5,0)*$L15)+(VLOOKUP($K15,'Withdrawal Working'!$AD:$AE,2,0)*(IFERROR(VLOOKUP(DB$2,$B$35:$C$42,2,0),0)))</f>
        <v>0</v>
      </c>
      <c r="DD15" s="58">
        <f>IFERROR(IF($K15&lt;VLOOKUP(DB$2,$B:$H,7,0),IF(DF$3=1,MIN($M15,DB15),IF(HLOOKUP(CONCATENATE("Balance",DF$3-1),'Withdrawal Working'!$A$2:$CD$78,MATCH('Yoy WAR OG'!$J15,'Withdrawal Working'!$A$2:$A$78,0),FALSE)&gt;0,MIN(HLOOKUP(CONCATENATE("Balance",DF$3-1),'Withdrawal Working'!$A$2:$CD$78,MATCH('Yoy WAR OG'!$J15,'Withdrawal Working'!$A$2:$A$78,0),0),DB15),0)),IF($K15=VLOOKUP(DB$2,$B:$H,7,0),DB15,)),0)</f>
        <v>0</v>
      </c>
      <c r="DE15" s="58">
        <f t="shared" ca="1" si="15"/>
        <v>0</v>
      </c>
      <c r="DH15" s="450">
        <f t="shared" ca="1" si="42"/>
        <v>0</v>
      </c>
      <c r="DI15" s="58">
        <f>IF(OR(J15&gt;'NWGC - SCENARIOS'!$D$7,J15='NWGC - SCENARIOS'!$D$7),0,DI14*(1+'NWGC - SCENARIOS'!$L$5))</f>
        <v>0</v>
      </c>
      <c r="DJ15" s="58">
        <f>IFERROR(IF($K15&lt;VLOOKUP(DH$2,$B:$H,7,0),IF(DL$3=1,MIN($M15,DH15),IF(HLOOKUP(CONCATENATE("Balance",DL$3-1),'Withdrawal Working'!$A$2:$CD$78,MATCH('Yoy WAR OG'!$J15,'Withdrawal Working'!$A$2:$A$78,0),FALSE)&gt;0,MIN(HLOOKUP(CONCATENATE("Balance",DL$3-1),'Withdrawal Working'!$A$2:$CD$78,MATCH('Yoy WAR OG'!$J15,'Withdrawal Working'!$A$2:$A$78,0),0),DH15),0)),IF($K15=VLOOKUP(DH$2,$B:$H,7,0),DH15,)),0)</f>
        <v>0</v>
      </c>
      <c r="DK15" s="58">
        <f t="shared" ca="1" si="16"/>
        <v>0</v>
      </c>
      <c r="DN15" s="450">
        <f t="shared" ca="1" si="43"/>
        <v>0</v>
      </c>
      <c r="DO15" s="58">
        <f ca="1">(VLOOKUP(DN$2,$B$1:$F$32,5,0)*$L15)+(VLOOKUP($K15,'Withdrawal Working'!$AD:$AE,2,0)*(IFERROR(VLOOKUP(DN$2,$B$35:$C$42,2,0),0)))</f>
        <v>0</v>
      </c>
      <c r="DP15" s="58">
        <f>IFERROR(IF($K15&lt;VLOOKUP(DN$2,$B:$H,7,0),IF(DR$3=1,MIN($M15,DN15),IF(HLOOKUP(CONCATENATE("Balance",DR$3-1),'Withdrawal Working'!$A$2:$CD$78,MATCH('Yoy WAR OG'!$J15,'Withdrawal Working'!$A$2:$A$78,0),FALSE)&gt;0,MIN(HLOOKUP(CONCATENATE("Balance",DR$3-1),'Withdrawal Working'!$A$2:$CD$78,MATCH('Yoy WAR OG'!$J15,'Withdrawal Working'!$A$2:$A$78,0),0),DN15),0)),IF($K15=VLOOKUP(DN$2,$B:$H,7,0),DN15,)),0)</f>
        <v>0</v>
      </c>
      <c r="DQ15" s="58">
        <f t="shared" ca="1" si="17"/>
        <v>0</v>
      </c>
      <c r="DT15" s="450">
        <f t="shared" ca="1" si="44"/>
        <v>0</v>
      </c>
      <c r="DU15" s="58">
        <f ca="1">(VLOOKUP(DT$2,$B$1:$F$32,5,0)*$L15)+(VLOOKUP($K15,'Withdrawal Working'!$AD:$AE,2,0)*(IFERROR(VLOOKUP(DT$2,$B$35:$C$42,2,0),0)))</f>
        <v>0</v>
      </c>
      <c r="DV15" s="58">
        <f>IFERROR(IF($K15&lt;VLOOKUP(DT$2,$B:$H,7,0),IF(DX$3=1,MIN($M15,DT15),IF(HLOOKUP(CONCATENATE("Balance",DX$3-1),'Withdrawal Working'!$A$2:$CD$78,MATCH('Yoy WAR OG'!$J15,'Withdrawal Working'!$A$2:$A$78,0),FALSE)&gt;0,MIN(HLOOKUP(CONCATENATE("Balance",DX$3-1),'Withdrawal Working'!$A$2:$CD$78,MATCH('Yoy WAR OG'!$J15,'Withdrawal Working'!$A$2:$A$78,0),0),DT15),0)),IF($K15=VLOOKUP(DT$2,$B:$H,7,0),DT15,)),0)</f>
        <v>0</v>
      </c>
      <c r="DW15" s="58">
        <f t="shared" ca="1" si="18"/>
        <v>0</v>
      </c>
      <c r="DZ15" s="450">
        <f t="shared" ca="1" si="45"/>
        <v>0</v>
      </c>
      <c r="EA15" s="58">
        <f ca="1">(VLOOKUP(DZ$2,$B$1:$F$32,5,0)*$L15)+(VLOOKUP($K15,'Withdrawal Working'!$AD:$AE,2,0)*(IFERROR(VLOOKUP(DZ$2,$B$35:$C$42,2,0),0)))</f>
        <v>0</v>
      </c>
      <c r="EB15" s="58">
        <f>IFERROR(IF($K15&lt;VLOOKUP(DZ$2,$B:$H,7,0),IF(ED$3=1,MIN($M15,DZ15),IF(HLOOKUP(CONCATENATE("Balance",ED$3-1),'Withdrawal Working'!$A$2:$CD$78,MATCH('Yoy WAR OG'!$J15,'Withdrawal Working'!$A$2:$A$78,0),FALSE)&gt;0,MIN(HLOOKUP(CONCATENATE("Balance",ED$3-1),'Withdrawal Working'!$A$2:$CD$78,MATCH('Yoy WAR OG'!$J15,'Withdrawal Working'!$A$2:$A$78,0),0),DZ15),0)),IF($K15=VLOOKUP(DZ$2,$B:$H,7,0),DZ15,)),0)</f>
        <v>0</v>
      </c>
      <c r="EC15" s="58">
        <f t="shared" ca="1" si="19"/>
        <v>0</v>
      </c>
      <c r="EF15" s="450">
        <f t="shared" ca="1" si="46"/>
        <v>0</v>
      </c>
      <c r="EG15" s="58">
        <f ca="1">(VLOOKUP(EF$2,$B$1:$F$32,5,0)*$L15)+(VLOOKUP($K15,'Withdrawal Working'!$AD:$AE,2,0)*(IFERROR(VLOOKUP(EF$2,$B$35:$C$42,2,0),0)))</f>
        <v>0</v>
      </c>
      <c r="EH15" s="58">
        <f>IFERROR(IF($K15&lt;VLOOKUP(EF$2,$B:$H,7,0),IF(EJ$3=1,MIN($M15,EF15),IF(HLOOKUP(CONCATENATE("Balance",EJ$3-1),'Withdrawal Working'!$A$2:$CD$78,MATCH('Yoy WAR OG'!$J15,'Withdrawal Working'!$A$2:$A$78,0),FALSE)&gt;0,MIN(HLOOKUP(CONCATENATE("Balance",EJ$3-1),'Withdrawal Working'!$A$2:$CD$78,MATCH('Yoy WAR OG'!$J15,'Withdrawal Working'!$A$2:$A$78,0),0),EF15),0)),IF($K15=VLOOKUP(EF$2,$B:$H,7,0),EF15,)),0)</f>
        <v>0</v>
      </c>
      <c r="EI15" s="58">
        <f t="shared" ca="1" si="20"/>
        <v>0</v>
      </c>
      <c r="EL15" s="450">
        <f t="shared" ca="1" si="47"/>
        <v>0</v>
      </c>
      <c r="EM15" s="58">
        <f>IF(OR($J15&gt;'NWGC - SCENARIOS'!$D$7,$J15='NWGC - SCENARIOS'!$D$7),0,EM14)</f>
        <v>0</v>
      </c>
      <c r="EN15" s="58">
        <f>IFERROR(IF($K15&lt;VLOOKUP(EL$2,$B:$H,7,0),IF(EP$3=1,MIN($M15,EL15),IF(HLOOKUP(CONCATENATE("Balance",EP$3-1),'Withdrawal Working'!$A$2:$CD$78,MATCH('Yoy WAR OG'!$J15,'Withdrawal Working'!$A$2:$A$78,0),FALSE)&gt;0,MIN(HLOOKUP(CONCATENATE("Balance",EP$3-1),'Withdrawal Working'!$A$2:$CD$78,MATCH('Yoy WAR OG'!$J15,'Withdrawal Working'!$A$2:$A$78,0),0),EL15),0)),IF($K15=VLOOKUP(EL$2,$B:$H,7,0),EL15,)),0)</f>
        <v>0</v>
      </c>
      <c r="EO15" s="58">
        <f t="shared" ca="1" si="21"/>
        <v>0</v>
      </c>
      <c r="ER15" s="450">
        <f t="shared" ca="1" si="48"/>
        <v>0</v>
      </c>
      <c r="ES15" s="58">
        <f>IF(OR(J15&gt;'NWGC - SCENARIOS'!$D$7,J15='NWGC - SCENARIOS'!$D$7),0,ES14*(1+'NWGC - SCENARIOS'!$L$5))</f>
        <v>0</v>
      </c>
      <c r="ET15" s="58">
        <f>IFERROR(IF($K15&lt;VLOOKUP(ER$2,$B:$H,7,0),IF(EV$3=1,MIN($M15,ER15),IF(HLOOKUP(CONCATENATE("Balance",EV$3-1),'Withdrawal Working'!$A$2:$CD$78,MATCH('Yoy WAR OG'!$J15,'Withdrawal Working'!$A$2:$A$78,0),FALSE)&gt;0,MIN(HLOOKUP(CONCATENATE("Balance",EV$3-1),'Withdrawal Working'!$A$2:$CD$78,MATCH('Yoy WAR OG'!$J15,'Withdrawal Working'!$A$2:$A$78,0),0),ER15),0)),IF($K15=VLOOKUP(ER$2,$B:$H,7,0),ER15,)),0)</f>
        <v>0</v>
      </c>
      <c r="EU15" s="58">
        <f t="shared" ca="1" si="22"/>
        <v>0</v>
      </c>
      <c r="EX15" s="450">
        <f t="shared" ca="1" si="49"/>
        <v>0</v>
      </c>
      <c r="EY15" s="58">
        <f>IF(OR(J15&gt;'NWGC - SCENARIOS'!$D$7,J15='NWGC - SCENARIOS'!$D$7),0,EY14)</f>
        <v>0</v>
      </c>
      <c r="EZ15" s="58">
        <f>IFERROR(IF($K15&lt;VLOOKUP(EX$2,$B:$H,7,0),IF(FB$3=1,MIN($M15,EX15),IF(HLOOKUP(CONCATENATE("Balance",FB$3-1),'Withdrawal Working'!$A$2:$CD$78,MATCH('Yoy WAR OG'!$J15,'Withdrawal Working'!$A$2:$A$78,0),FALSE)&gt;0,MIN(HLOOKUP(CONCATENATE("Balance",FB$3-1),'Withdrawal Working'!$A$2:$CD$78,MATCH('Yoy WAR OG'!$J15,'Withdrawal Working'!$A$2:$A$78,0),0),EX15),0)),IF($K15=VLOOKUP(EX$2,$B:$H,7,0),EX15,)),0)</f>
        <v>0</v>
      </c>
      <c r="FA15" s="58">
        <f t="shared" ca="1" si="23"/>
        <v>0</v>
      </c>
    </row>
    <row r="16" spans="1:197" x14ac:dyDescent="0.3">
      <c r="A16" t="s">
        <v>367</v>
      </c>
      <c r="B16" t="str">
        <f>Networth!B19</f>
        <v>Residential Property</v>
      </c>
      <c r="C16" s="58">
        <f>VLOOKUP('Yoy WAR OG'!B16,'WAR - Rev'!$A$1:$B$29,2,0)</f>
        <v>8500000</v>
      </c>
      <c r="D16" s="313">
        <f>'WAR - Rev'!C14</f>
        <v>0.03</v>
      </c>
      <c r="H16" s="452"/>
      <c r="J16">
        <f>IFERROR('NWGC - SCENARIOS'!B23,0)</f>
        <v>61</v>
      </c>
      <c r="K16">
        <f>IFERROR('NWGC - SCENARIOS'!C23,0)</f>
        <v>2037</v>
      </c>
      <c r="L16" s="449">
        <f ca="1">IF(('NWGC - SCENARIOS'!G23-working!G14)&gt;'NWGC - SCENARIOS'!H23,'NWGC - SCENARIOS'!G23-'NWGC - SCENARIOS'!H23-working!G14,0)</f>
        <v>3369122.3350261813</v>
      </c>
      <c r="M16" s="449">
        <f ca="1">IF(('NWGC - SCENARIOS'!G23-working!G14)&gt;'NWGC - SCENARIOS'!H23,0,'NWGC - SCENARIOS'!H23-'NWGC - SCENARIOS'!G23+working!G14)</f>
        <v>0</v>
      </c>
      <c r="N16" s="58">
        <f t="shared" ca="1" si="0"/>
        <v>285547513.68449384</v>
      </c>
      <c r="O16" s="58">
        <f t="shared" ca="1" si="1"/>
        <v>41093648.289360508</v>
      </c>
      <c r="P16" s="58">
        <f t="shared" ca="1" si="24"/>
        <v>0</v>
      </c>
      <c r="Q16" s="58">
        <f ca="1">(VLOOKUP(P$2,$B$1:$F$32,5,0)*$L16)+(VLOOKUP($K16,'Withdrawal Working'!$AD:$AE,2,0)*(IFERROR(VLOOKUP(P$2,$B$35:$C$42,2,0),0)))</f>
        <v>0</v>
      </c>
      <c r="R16" s="58">
        <f>IFERROR(IF($K16&lt;VLOOKUP(P$2,$B:$H,7,0),IF(T$3=1,MIN($M16,P16),IF(HLOOKUP(CONCATENATE("Balance",T$3-1),'Withdrawal Working'!$A$2:$CD$78,MATCH('Yoy WAR OG'!$J16,'Withdrawal Working'!$A$2:$A$78,0),FALSE)&gt;0,MIN(HLOOKUP(CONCATENATE("Balance",T$3-1),'Withdrawal Working'!$A$2:$CD$78,MATCH('Yoy WAR OG'!$J16,'Withdrawal Working'!$A$2:$A$78,0),0),P16),0)),IF($K16=VLOOKUP(P$2,$B:$H,7,0),P16,)),0)</f>
        <v>0</v>
      </c>
      <c r="S16" s="58">
        <f t="shared" ca="1" si="26"/>
        <v>0</v>
      </c>
      <c r="T16" s="58"/>
      <c r="V16" s="58">
        <f t="shared" ca="1" si="27"/>
        <v>0</v>
      </c>
      <c r="W16" s="58">
        <f ca="1">(VLOOKUP(V$2,$B$1:$F$32,5,0)*$L16)+(VLOOKUP($K16,'Withdrawal Working'!$AD:$AE,2,0)*(IFERROR(VLOOKUP(V$2,$B$35:$C$42,2,0),0)))</f>
        <v>0</v>
      </c>
      <c r="X16" s="58">
        <f>IFERROR(IF($K16&lt;VLOOKUP(V$2,$B:$H,7,0),IF(Z$3=1,MIN($M16,V16),IF(HLOOKUP(CONCATENATE("Balance",Z$3-1),'Withdrawal Working'!$A$2:$CD$78,MATCH('Yoy WAR OG'!$J16,'Withdrawal Working'!$A$2:$A$78,0),FALSE)&gt;0,MIN(HLOOKUP(CONCATENATE("Balance",Z$3-1),'Withdrawal Working'!$A$2:$CD$78,MATCH('Yoy WAR OG'!$J16,'Withdrawal Working'!$A$2:$A$78,0),0),V16),0)),IF($K16=VLOOKUP(V$2,$B:$H,7,0),V16,)),0)</f>
        <v>0</v>
      </c>
      <c r="Y16" s="58">
        <f t="shared" ca="1" si="2"/>
        <v>0</v>
      </c>
      <c r="AB16" s="58">
        <f t="shared" ca="1" si="28"/>
        <v>0</v>
      </c>
      <c r="AC16" s="58">
        <f ca="1">(VLOOKUP(AB$2,$B$1:$F$32,5,0)*$L16)+(VLOOKUP($K16,'Withdrawal Working'!$AD:$AE,2,0)*(IFERROR(VLOOKUP(AB$2,$B$35:$C$42,2,0),0)))</f>
        <v>0</v>
      </c>
      <c r="AD16" s="58">
        <f>IFERROR(IF($K16&lt;VLOOKUP(AB$2,$B:$H,7,0),IF(AF$3=1,MIN($M16,AB16),IF(HLOOKUP(CONCATENATE("Balance",AF$3-1),'Withdrawal Working'!$A$2:$CD$78,MATCH('Yoy WAR OG'!$J16,'Withdrawal Working'!$A$2:$A$78,0),FALSE)&gt;0,MIN(HLOOKUP(CONCATENATE("Balance",AF$3-1),'Withdrawal Working'!$A$2:$CD$78,MATCH('Yoy WAR OG'!$J16,'Withdrawal Working'!$A$2:$A$78,0),0),AB16),0)),IF($K16=VLOOKUP(AB$2,$B:$H,7,0),AB16,)),0)</f>
        <v>0</v>
      </c>
      <c r="AE16" s="58">
        <f t="shared" ca="1" si="3"/>
        <v>0</v>
      </c>
      <c r="AH16" s="58">
        <f t="shared" ca="1" si="29"/>
        <v>132069316.64052705</v>
      </c>
      <c r="AI16" s="58">
        <f ca="1">(VLOOKUP(AH$2,$B$1:$F$32,5,0)*$L16)+IF(J16&gt;'NWGC - SCENARIOS'!$D$7,0,(VLOOKUP($K16,'Withdrawal Working'!$AD:$AE,2,0)*(IFERROR(VLOOKUP(AH$2,$B$35:$C$42,2,0),0))))</f>
        <v>2021473.4010157087</v>
      </c>
      <c r="AJ16" s="58">
        <f ca="1">IFERROR(IF($J16&gt;'NWGC - SCENARIOS'!$D$7,MIN('Yoy WAR OG'!AH16,VLOOKUP('Yoy WAR OG'!$J16,'Withdrawal Working'!BC:BD,2,0)),IF(AL$3=1,$M16,IF(HLOOKUP(CONCATENATE("Balance",AL$3-1),'Withdrawal Working'!$A$2:$CD$78,MATCH('Yoy WAR OG'!$J16,'Withdrawal Working'!$A$2:$A$78,0),FALSE)&gt;0,MIN(HLOOKUP(CONCATENATE("Balance",AL$3-1),'Withdrawal Working'!$A$2:$CD$78,MATCH('Yoy WAR OG'!$J16,'Withdrawal Working'!$A$2:$A$78,0),0),AH16),0))),0)</f>
        <v>6557667.4017865211</v>
      </c>
      <c r="AK16" s="58">
        <f t="shared" ca="1" si="4"/>
        <v>141339404.0560177</v>
      </c>
      <c r="AN16" s="450">
        <f t="shared" ca="1" si="30"/>
        <v>128784834.97081546</v>
      </c>
      <c r="AO16" s="58">
        <f ca="1">IF(J16&gt;'NWGC - SCENARIOS'!$D$7,(IF(AJ16=0,0,'Yoy WAR OG'!AJ16)+(VLOOKUP(AN$2,$B$1:$F$32,5,0)*$L16)),(VLOOKUP(AN$2,$B$1:$F$32,5,0)*$L16)+(VLOOKUP($K16,'Withdrawal Working'!$AD:$AE,2,0)*(IFERROR(VLOOKUP(AN$2,$B$35:$C$42,2,0),0))))</f>
        <v>7905316.3357969932</v>
      </c>
      <c r="AP16" s="470">
        <f ca="1">IFERROR(IF($K16&lt;&gt;VLOOKUP(AN$2,$B:$H,7,0),IF(AR$3=1,MIN($M16,AN16),IF(HLOOKUP(CONCATENATE("Balance",AR$3-1),'Withdrawal Working'!$A$2:$CD$78,MATCH('Yoy WAR OG'!$J16,'Withdrawal Working'!$A$2:$A$78,0),FALSE)&gt;0,MIN(HLOOKUP(CONCATENATE("Balance",AR$3-1),'Withdrawal Working'!$A$2:$CD$78,MATCH('Yoy WAR OG'!$J16,'Withdrawal Working'!$A$2:$A$78,0),0),AN16),0)),IF($K16=VLOOKUP(AN$2,$B:$H,7,0),AN16,)),0)</f>
        <v>0</v>
      </c>
      <c r="AQ16" s="58">
        <f ca="1">IF(AO16&lt;0,0,IF(J16&gt;'NWGC - SCENARIOS'!$D$7,((AN16-AP16+AO16)*(1+(IFERROR(VLOOKUP(AN$2,$B:$D,3,0),0)))),((AN16-AP16)*(1+(IFERROR(VLOOKUP(AN$2,$B:$D,3,0),0))))+AO16))</f>
        <v>144208109.62847614</v>
      </c>
      <c r="AT16" s="450">
        <f t="shared" ca="1" si="31"/>
        <v>0</v>
      </c>
      <c r="AU16" s="58">
        <f ca="1">(VLOOKUP(AT$2,$B$1:$F$32,5,0)*$L16)+(VLOOKUP($K16,'Withdrawal Working'!$AD:$AE,2,0)*(IFERROR(VLOOKUP(AT$2,$B$35:$C$42,2,0),0)))</f>
        <v>0</v>
      </c>
      <c r="AV16" s="58">
        <f>IFERROR(IF($K16&lt;VLOOKUP(AT$2,$B:$H,7,0),IF(AX$3=1,MIN($M16,AT16),IF(HLOOKUP(CONCATENATE("Balance",AX$3-1),'Withdrawal Working'!$A$2:$CD$78,MATCH('Yoy WAR OG'!$J16,'Withdrawal Working'!$A$2:$A$78,0),FALSE)&gt;0,MIN(HLOOKUP(CONCATENATE("Balance",AX$3-1),'Withdrawal Working'!$A$2:$CD$78,MATCH('Yoy WAR OG'!$J16,'Withdrawal Working'!$A$2:$A$78,0),0),AT16),0)),IF($K16=VLOOKUP(AT$2,$B:$H,7,0),AT16,)),0)</f>
        <v>0</v>
      </c>
      <c r="AW16" s="58">
        <f t="shared" ca="1" si="5"/>
        <v>0</v>
      </c>
      <c r="AZ16" s="450">
        <f t="shared" ca="1" si="32"/>
        <v>9008766.3558432963</v>
      </c>
      <c r="BA16" s="58">
        <f ca="1">(VLOOKUP(AZ$2,$B$1:$F$32,5,0)*$L16)+(VLOOKUP($K16,'Withdrawal Working'!$AD:$AE,2,0)*(IFERROR(VLOOKUP(AZ$2,$B$35:$C$42,2,0),0)))</f>
        <v>0</v>
      </c>
      <c r="BB16" s="58">
        <f>IFERROR(IF($K16&lt;VLOOKUP(AZ$2,$B:$H,7,0),IF(BD$3=1,MIN($M16,AZ16),IF(HLOOKUP(CONCATENATE("Balance",BD$3-1),'Withdrawal Working'!$A$2:$CD$78,MATCH('Yoy WAR OG'!$J16,'Withdrawal Working'!$A$2:$A$78,0),FALSE)&gt;0,MIN(HLOOKUP(CONCATENATE("Balance",BD$3-1),'Withdrawal Working'!$A$2:$CD$78,MATCH('Yoy WAR OG'!$J16,'Withdrawal Working'!$A$2:$A$78,0),0),AZ16),0)),IF($K16=VLOOKUP(AZ$2,$B:$H,7,0),AZ16,)),0)</f>
        <v>0</v>
      </c>
      <c r="BC16" s="58">
        <f t="shared" ca="1" si="6"/>
        <v>9639380.000752328</v>
      </c>
      <c r="BF16" s="450">
        <f t="shared" ca="1" si="33"/>
        <v>0</v>
      </c>
      <c r="BG16" s="58">
        <f ca="1">(VLOOKUP(BF$2,$B$1:$F$32,5,0)*$L16)+(VLOOKUP($K16,'Withdrawal Working'!$AD:$AE,2,0)*(IFERROR(VLOOKUP(BF$2,$B$35:$C$42,2,0),0)))</f>
        <v>0</v>
      </c>
      <c r="BH16" s="58">
        <f>IFERROR(IF($K16&lt;VLOOKUP(BF$2,$B:$H,7,0),IF(BJ$3=1,MIN($M16,BF16),IF(HLOOKUP(CONCATENATE("Balance",BJ$3-1),'Withdrawal Working'!$A$2:$CD$78,MATCH('Yoy WAR OG'!$J16,'Withdrawal Working'!$A$2:$A$78,0),FALSE)&gt;0,MIN(HLOOKUP(CONCATENATE("Balance",BJ$3-1),'Withdrawal Working'!$A$2:$CD$78,MATCH('Yoy WAR OG'!$J16,'Withdrawal Working'!$A$2:$A$78,0),0),BF16),0)),IF($K16=VLOOKUP(BF$2,$B:$H,7,0),BF16,)),0)</f>
        <v>0</v>
      </c>
      <c r="BI16" s="58">
        <f t="shared" ca="1" si="7"/>
        <v>0</v>
      </c>
      <c r="BL16" s="450">
        <f t="shared" ca="1" si="34"/>
        <v>0</v>
      </c>
      <c r="BM16" s="58">
        <f ca="1">(VLOOKUP(BL$2,$B$1:$F$32,5,0)*$L16)+(VLOOKUP($K16,'Withdrawal Working'!$AD:$AE,2,0)*(IFERROR(VLOOKUP(BL$2,$B$35:$C$42,2,0),0)))</f>
        <v>0</v>
      </c>
      <c r="BN16" s="58">
        <f>IFERROR(IF($K16&lt;VLOOKUP(BL$2,$B:$H,7,0),IF(BP$3=1,MIN($M16,BL16),IF(HLOOKUP(CONCATENATE("Balance",BP$3-1),'Withdrawal Working'!$A$2:$CD$78,MATCH('Yoy WAR OG'!$J16,'Withdrawal Working'!$A$2:$A$78,0),FALSE)&gt;0,MIN(HLOOKUP(CONCATENATE("Balance",BP$3-1),'Withdrawal Working'!$A$2:$CD$78,MATCH('Yoy WAR OG'!$J16,'Withdrawal Working'!$A$2:$A$78,0),0),BL16),0)),IF($K16=VLOOKUP(BL$2,$B:$H,7,0),BL16,)),0)</f>
        <v>0</v>
      </c>
      <c r="BO16" s="58">
        <f t="shared" ca="1" si="8"/>
        <v>0</v>
      </c>
      <c r="BR16" s="450">
        <f t="shared" ca="1" si="35"/>
        <v>0</v>
      </c>
      <c r="BS16" s="58">
        <f ca="1">(VLOOKUP(BR$2,$B$1:$F$32,5,0)*$L16)+(VLOOKUP($K16,'Withdrawal Working'!$AD:$AE,2,0)*(IFERROR(VLOOKUP(BR$2,$B$35:$C$42,2,0),0)))</f>
        <v>0</v>
      </c>
      <c r="BT16" s="58">
        <f>IFERROR(IF($K16&lt;VLOOKUP(BR$2,$B:$H,7,0),IF(BV$3=1,MIN($M16,BR16),IF(HLOOKUP(CONCATENATE("Balance",BV$3-1),'Withdrawal Working'!$A$2:$CD$78,MATCH('Yoy WAR OG'!$J16,'Withdrawal Working'!$A$2:$A$78,0),FALSE)&gt;0,MIN(HLOOKUP(CONCATENATE("Balance",BV$3-1),'Withdrawal Working'!$A$2:$CD$78,MATCH('Yoy WAR OG'!$J16,'Withdrawal Working'!$A$2:$A$78,0),0),BR16),0)),IF($K16=VLOOKUP(BR$2,$B:$H,7,0),BR16,)),0)</f>
        <v>0</v>
      </c>
      <c r="BU16" s="58">
        <f t="shared" ca="1" si="9"/>
        <v>0</v>
      </c>
      <c r="BX16" s="450">
        <f t="shared" ca="1" si="36"/>
        <v>0</v>
      </c>
      <c r="BY16" s="58">
        <f ca="1">(VLOOKUP(BX$2,$B$1:$F$32,5,0)*$L16)+(VLOOKUP($K16,'Withdrawal Working'!$AD:$AE,2,0)*(IFERROR(VLOOKUP(BX$2,$B$35:$C$42,2,0),0)))</f>
        <v>0</v>
      </c>
      <c r="BZ16" s="58">
        <f>IFERROR(IF($K16&lt;VLOOKUP(BX$2,$B:$H,7,0),IF(CB$3=1,MIN($M16,BX16),IF(HLOOKUP(CONCATENATE("Balance",CB$3-1),'Withdrawal Working'!$A$2:$CD$78,MATCH('Yoy WAR OG'!$J16,'Withdrawal Working'!$A$2:$A$78,0),FALSE)&gt;0,MIN(HLOOKUP(CONCATENATE("Balance",CB$3-1),'Withdrawal Working'!$A$2:$CD$78,MATCH('Yoy WAR OG'!$J16,'Withdrawal Working'!$A$2:$A$78,0),0),BX16),0)),IF($K16=VLOOKUP(BX$2,$B:$H,7,0),BX16,)),0)</f>
        <v>0</v>
      </c>
      <c r="CA16" s="58">
        <f t="shared" ca="1" si="10"/>
        <v>0</v>
      </c>
      <c r="CD16" s="450">
        <f t="shared" ca="1" si="37"/>
        <v>25961306.245436974</v>
      </c>
      <c r="CE16" s="58">
        <f ca="1">(VLOOKUP(CD$2,$B$1:$F$32,5,0)*$L16)+(VLOOKUP($K16,'Withdrawal Working'!$AD:$AE,2,0)*(IFERROR(VLOOKUP(CD$2,$B$35:$C$42,2,0),0)))+SUMIFS('Key Life Events'!$I$3:$I$28,'Key Life Events'!$H$3:$H$28,"House",'Key Life Events'!$E$3:$E$28,'Yoy WAR OG'!K16)</f>
        <v>0</v>
      </c>
      <c r="CF16" s="58">
        <f>IFERROR(IF($K16&lt;VLOOKUP(CD$2,$B:$H,7,0),IF(CH$3=1,MIN($M16,CD16),IF(HLOOKUP(CONCATENATE("Balance",CH$3-1),'Withdrawal Working'!$A$2:$CD$78,MATCH('Yoy WAR OG'!$J16,'Withdrawal Working'!$A$2:$A$78,0),FALSE)&gt;0,MIN(HLOOKUP(CONCATENATE("Balance",CH$3-1),'Withdrawal Working'!$A$2:$CD$78,MATCH('Yoy WAR OG'!$J16,'Withdrawal Working'!$A$2:$A$78,0),0),CD16),0)),IF($K16=VLOOKUP(CD$2,$B:$H,7,0),CD16,)),0)</f>
        <v>0</v>
      </c>
      <c r="CG16" s="58">
        <f t="shared" ca="1" si="11"/>
        <v>26740145.432800084</v>
      </c>
      <c r="CJ16" s="450">
        <f t="shared" ca="1" si="38"/>
        <v>0</v>
      </c>
      <c r="CK16" s="58">
        <f ca="1">(VLOOKUP(CJ$2,$B$1:$F$32,5,0)*$L16)+(VLOOKUP($K16,'Withdrawal Working'!$AD:$AE,2,0)*(IFERROR(VLOOKUP(CJ$2,$B$35:$C$42,2,0),0)))+SUMIFS('Key Life Events'!$I$3:$I$28,'Key Life Events'!$H$3:$H$28,"House2",'Key Life Events'!$E$3:$E$28,'Yoy WAR OG'!K16)</f>
        <v>0</v>
      </c>
      <c r="CL16" s="58">
        <f ca="1">IF(IFERROR(IF($K16&lt;&gt;VLOOKUP(CJ$2,$B:$H,7,0),IF(CN$3=1,MIN($M16,CJ16),IF(HLOOKUP(CONCATENATE("Balance",CN$3-1),'Withdrawal Working'!$A$2:$CD$78,MATCH('Yoy WAR OG'!$J16,'Withdrawal Working'!$A$2:$A$78,0),FALSE)&gt;0,MIN(HLOOKUP(CONCATENATE("Balance",CN$3-1),'Withdrawal Working'!$A$2:$CD$78,MATCH('Yoy WAR OG'!$J16,'Withdrawal Working'!$A$2:$A$78,0),0),CJ16),0)),IF($K16=VLOOKUP(CJ$2,$B:$H,7,0),CJ16,)),0)&gt;0,CJ16,0)</f>
        <v>0</v>
      </c>
      <c r="CM16" s="58">
        <f t="shared" ca="1" si="12"/>
        <v>0</v>
      </c>
      <c r="CP16" s="450">
        <f t="shared" ca="1" si="39"/>
        <v>4489640.8150553238</v>
      </c>
      <c r="CQ16" s="58">
        <f ca="1">(VLOOKUP(CP$2,$B$1:$F$32,5,0)*$L16)+(VLOOKUP($K16,'Withdrawal Working'!$AD:$AE,2,0)*(IFERROR(VLOOKUP(CP$2,$B$35:$C$42,2,0),0)))+SUMIFS('Key Life Events'!$I$3:$I$28,'Key Life Events'!$H$3:$H$28,"Land",'Key Life Events'!$E$3:$E$28,'Yoy WAR OG'!K16)</f>
        <v>0</v>
      </c>
      <c r="CR16" s="58">
        <f>IFERROR(IF($K16&lt;VLOOKUP(CP$2,$B:$H,7,0),IF(CT$3=1,MIN($M16,CP16),IF(HLOOKUP(CONCATENATE("Balance",CT$3-1),'Withdrawal Working'!$A$2:$CD$78,MATCH('Yoy WAR OG'!$J16,'Withdrawal Working'!$A$2:$A$78,0),FALSE)&gt;0,MIN(HLOOKUP(CONCATENATE("Balance",CT$3-1),'Withdrawal Working'!$A$2:$CD$78,MATCH('Yoy WAR OG'!$J16,'Withdrawal Working'!$A$2:$A$78,0),0),CP16),0)),IF($K16=VLOOKUP(CP$2,$B:$H,7,0),CP16,)),0)</f>
        <v>0</v>
      </c>
      <c r="CS16" s="58">
        <f t="shared" ca="1" si="13"/>
        <v>4714122.8558080904</v>
      </c>
      <c r="CV16" s="450">
        <f t="shared" ca="1" si="40"/>
        <v>0</v>
      </c>
      <c r="CW16" s="58"/>
      <c r="CX16" s="58">
        <f>IFERROR(IF($K16&lt;VLOOKUP(CV$2,$B:$H,7,0),IF(CZ$3=1,MIN($M16,CV16),IF(HLOOKUP(CONCATENATE("Balance",CZ$3-1),'Withdrawal Working'!$A$2:$CD$78,MATCH('Yoy WAR OG'!$J16,'Withdrawal Working'!$A$2:$A$78,0),FALSE)&gt;0,MIN(HLOOKUP(CONCATENATE("Balance",CZ$3-1),'Withdrawal Working'!$A$2:$CD$78,MATCH('Yoy WAR OG'!$J16,'Withdrawal Working'!$A$2:$A$78,0),0),CV16),0)),IF($K16=VLOOKUP(CV$2,$B:$H,7,0),CV16,)),0)</f>
        <v>0</v>
      </c>
      <c r="CY16" s="58">
        <f t="shared" ca="1" si="14"/>
        <v>0</v>
      </c>
      <c r="DB16" s="450">
        <f t="shared" ca="1" si="41"/>
        <v>0</v>
      </c>
      <c r="DC16" s="58">
        <f ca="1">(VLOOKUP(DB$2,$B$1:$F$32,5,0)*$L16)+(VLOOKUP($K16,'Withdrawal Working'!$AD:$AE,2,0)*(IFERROR(VLOOKUP(DB$2,$B$35:$C$42,2,0),0)))</f>
        <v>0</v>
      </c>
      <c r="DD16" s="58">
        <f>IFERROR(IF($K16&lt;VLOOKUP(DB$2,$B:$H,7,0),IF(DF$3=1,MIN($M16,DB16),IF(HLOOKUP(CONCATENATE("Balance",DF$3-1),'Withdrawal Working'!$A$2:$CD$78,MATCH('Yoy WAR OG'!$J16,'Withdrawal Working'!$A$2:$A$78,0),FALSE)&gt;0,MIN(HLOOKUP(CONCATENATE("Balance",DF$3-1),'Withdrawal Working'!$A$2:$CD$78,MATCH('Yoy WAR OG'!$J16,'Withdrawal Working'!$A$2:$A$78,0),0),DB16),0)),IF($K16=VLOOKUP(DB$2,$B:$H,7,0),DB16,)),0)</f>
        <v>0</v>
      </c>
      <c r="DE16" s="58">
        <f t="shared" ca="1" si="15"/>
        <v>0</v>
      </c>
      <c r="DH16" s="450">
        <f t="shared" ca="1" si="42"/>
        <v>0</v>
      </c>
      <c r="DI16" s="58">
        <f>IF(OR(J16&gt;'NWGC - SCENARIOS'!$D$7,J16='NWGC - SCENARIOS'!$D$7),0,DI15*(1+'NWGC - SCENARIOS'!$L$5))</f>
        <v>0</v>
      </c>
      <c r="DJ16" s="58">
        <f>IFERROR(IF($K16&lt;VLOOKUP(DH$2,$B:$H,7,0),IF(DL$3=1,MIN($M16,DH16),IF(HLOOKUP(CONCATENATE("Balance",DL$3-1),'Withdrawal Working'!$A$2:$CD$78,MATCH('Yoy WAR OG'!$J16,'Withdrawal Working'!$A$2:$A$78,0),FALSE)&gt;0,MIN(HLOOKUP(CONCATENATE("Balance",DL$3-1),'Withdrawal Working'!$A$2:$CD$78,MATCH('Yoy WAR OG'!$J16,'Withdrawal Working'!$A$2:$A$78,0),0),DH16),0)),IF($K16=VLOOKUP(DH$2,$B:$H,7,0),DH16,)),0)</f>
        <v>0</v>
      </c>
      <c r="DK16" s="58">
        <f t="shared" ca="1" si="16"/>
        <v>0</v>
      </c>
      <c r="DN16" s="450">
        <f t="shared" ca="1" si="43"/>
        <v>0</v>
      </c>
      <c r="DO16" s="58">
        <f ca="1">(VLOOKUP(DN$2,$B$1:$F$32,5,0)*$L16)+(VLOOKUP($K16,'Withdrawal Working'!$AD:$AE,2,0)*(IFERROR(VLOOKUP(DN$2,$B$35:$C$42,2,0),0)))</f>
        <v>0</v>
      </c>
      <c r="DP16" s="58">
        <f>IFERROR(IF($K16&lt;VLOOKUP(DN$2,$B:$H,7,0),IF(DR$3=1,MIN($M16,DN16),IF(HLOOKUP(CONCATENATE("Balance",DR$3-1),'Withdrawal Working'!$A$2:$CD$78,MATCH('Yoy WAR OG'!$J16,'Withdrawal Working'!$A$2:$A$78,0),FALSE)&gt;0,MIN(HLOOKUP(CONCATENATE("Balance",DR$3-1),'Withdrawal Working'!$A$2:$CD$78,MATCH('Yoy WAR OG'!$J16,'Withdrawal Working'!$A$2:$A$78,0),0),DN16),0)),IF($K16=VLOOKUP(DN$2,$B:$H,7,0),DN16,)),0)</f>
        <v>0</v>
      </c>
      <c r="DQ16" s="58">
        <f t="shared" ca="1" si="17"/>
        <v>0</v>
      </c>
      <c r="DT16" s="450">
        <f t="shared" ca="1" si="44"/>
        <v>0</v>
      </c>
      <c r="DU16" s="58">
        <f ca="1">(VLOOKUP(DT$2,$B$1:$F$32,5,0)*$L16)+(VLOOKUP($K16,'Withdrawal Working'!$AD:$AE,2,0)*(IFERROR(VLOOKUP(DT$2,$B$35:$C$42,2,0),0)))</f>
        <v>0</v>
      </c>
      <c r="DV16" s="58">
        <f>IFERROR(IF($K16&lt;VLOOKUP(DT$2,$B:$H,7,0),IF(DX$3=1,MIN($M16,DT16),IF(HLOOKUP(CONCATENATE("Balance",DX$3-1),'Withdrawal Working'!$A$2:$CD$78,MATCH('Yoy WAR OG'!$J16,'Withdrawal Working'!$A$2:$A$78,0),FALSE)&gt;0,MIN(HLOOKUP(CONCATENATE("Balance",DX$3-1),'Withdrawal Working'!$A$2:$CD$78,MATCH('Yoy WAR OG'!$J16,'Withdrawal Working'!$A$2:$A$78,0),0),DT16),0)),IF($K16=VLOOKUP(DT$2,$B:$H,7,0),DT16,)),0)</f>
        <v>0</v>
      </c>
      <c r="DW16" s="58">
        <f t="shared" ca="1" si="18"/>
        <v>0</v>
      </c>
      <c r="DZ16" s="450">
        <f t="shared" ca="1" si="45"/>
        <v>0</v>
      </c>
      <c r="EA16" s="58">
        <f ca="1">(VLOOKUP(DZ$2,$B$1:$F$32,5,0)*$L16)+(VLOOKUP($K16,'Withdrawal Working'!$AD:$AE,2,0)*(IFERROR(VLOOKUP(DZ$2,$B$35:$C$42,2,0),0)))</f>
        <v>0</v>
      </c>
      <c r="EB16" s="58">
        <f>IFERROR(IF($K16&lt;VLOOKUP(DZ$2,$B:$H,7,0),IF(ED$3=1,MIN($M16,DZ16),IF(HLOOKUP(CONCATENATE("Balance",ED$3-1),'Withdrawal Working'!$A$2:$CD$78,MATCH('Yoy WAR OG'!$J16,'Withdrawal Working'!$A$2:$A$78,0),FALSE)&gt;0,MIN(HLOOKUP(CONCATENATE("Balance",ED$3-1),'Withdrawal Working'!$A$2:$CD$78,MATCH('Yoy WAR OG'!$J16,'Withdrawal Working'!$A$2:$A$78,0),0),DZ16),0)),IF($K16=VLOOKUP(DZ$2,$B:$H,7,0),DZ16,)),0)</f>
        <v>0</v>
      </c>
      <c r="EC16" s="58">
        <f t="shared" ca="1" si="19"/>
        <v>0</v>
      </c>
      <c r="EF16" s="450">
        <f t="shared" ca="1" si="46"/>
        <v>0</v>
      </c>
      <c r="EG16" s="58">
        <f ca="1">(VLOOKUP(EF$2,$B$1:$F$32,5,0)*$L16)+(VLOOKUP($K16,'Withdrawal Working'!$AD:$AE,2,0)*(IFERROR(VLOOKUP(EF$2,$B$35:$C$42,2,0),0)))</f>
        <v>0</v>
      </c>
      <c r="EH16" s="58">
        <f>IFERROR(IF($K16&lt;VLOOKUP(EF$2,$B:$H,7,0),IF(EJ$3=1,MIN($M16,EF16),IF(HLOOKUP(CONCATENATE("Balance",EJ$3-1),'Withdrawal Working'!$A$2:$CD$78,MATCH('Yoy WAR OG'!$J16,'Withdrawal Working'!$A$2:$A$78,0),FALSE)&gt;0,MIN(HLOOKUP(CONCATENATE("Balance",EJ$3-1),'Withdrawal Working'!$A$2:$CD$78,MATCH('Yoy WAR OG'!$J16,'Withdrawal Working'!$A$2:$A$78,0),0),EF16),0)),IF($K16=VLOOKUP(EF$2,$B:$H,7,0),EF16,)),0)</f>
        <v>0</v>
      </c>
      <c r="EI16" s="58">
        <f t="shared" ca="1" si="20"/>
        <v>0</v>
      </c>
      <c r="EL16" s="450">
        <f t="shared" ca="1" si="47"/>
        <v>0</v>
      </c>
      <c r="EM16" s="58">
        <f>IF(OR($J16&gt;'NWGC - SCENARIOS'!$D$7,$J16='NWGC - SCENARIOS'!$D$7),0,EM15)</f>
        <v>0</v>
      </c>
      <c r="EN16" s="58">
        <f>IFERROR(IF($K16&lt;VLOOKUP(EL$2,$B:$H,7,0),IF(EP$3=1,MIN($M16,EL16),IF(HLOOKUP(CONCATENATE("Balance",EP$3-1),'Withdrawal Working'!$A$2:$CD$78,MATCH('Yoy WAR OG'!$J16,'Withdrawal Working'!$A$2:$A$78,0),FALSE)&gt;0,MIN(HLOOKUP(CONCATENATE("Balance",EP$3-1),'Withdrawal Working'!$A$2:$CD$78,MATCH('Yoy WAR OG'!$J16,'Withdrawal Working'!$A$2:$A$78,0),0),EL16),0)),IF($K16=VLOOKUP(EL$2,$B:$H,7,0),EL16,)),0)</f>
        <v>0</v>
      </c>
      <c r="EO16" s="58">
        <f t="shared" ca="1" si="21"/>
        <v>0</v>
      </c>
      <c r="ER16" s="450">
        <f t="shared" ca="1" si="48"/>
        <v>0</v>
      </c>
      <c r="ES16" s="58">
        <f>IF(OR(J16&gt;'NWGC - SCENARIOS'!$D$7,J16='NWGC - SCENARIOS'!$D$7),0,ES15*(1+'NWGC - SCENARIOS'!$L$5))</f>
        <v>0</v>
      </c>
      <c r="ET16" s="58">
        <f>IFERROR(IF($K16&lt;VLOOKUP(ER$2,$B:$H,7,0),IF(EV$3=1,MIN($M16,ER16),IF(HLOOKUP(CONCATENATE("Balance",EV$3-1),'Withdrawal Working'!$A$2:$CD$78,MATCH('Yoy WAR OG'!$J16,'Withdrawal Working'!$A$2:$A$78,0),FALSE)&gt;0,MIN(HLOOKUP(CONCATENATE("Balance",EV$3-1),'Withdrawal Working'!$A$2:$CD$78,MATCH('Yoy WAR OG'!$J16,'Withdrawal Working'!$A$2:$A$78,0),0),ER16),0)),IF($K16=VLOOKUP(ER$2,$B:$H,7,0),ER16,)),0)</f>
        <v>0</v>
      </c>
      <c r="EU16" s="58">
        <f t="shared" ca="1" si="22"/>
        <v>0</v>
      </c>
      <c r="EX16" s="450">
        <f t="shared" ca="1" si="49"/>
        <v>0</v>
      </c>
      <c r="EY16" s="58">
        <f>IF(OR(J16&gt;'NWGC - SCENARIOS'!$D$7,J16='NWGC - SCENARIOS'!$D$7),0,EY15)</f>
        <v>0</v>
      </c>
      <c r="EZ16" s="58">
        <f>IFERROR(IF($K16&lt;VLOOKUP(EX$2,$B:$H,7,0),IF(FB$3=1,MIN($M16,EX16),IF(HLOOKUP(CONCATENATE("Balance",FB$3-1),'Withdrawal Working'!$A$2:$CD$78,MATCH('Yoy WAR OG'!$J16,'Withdrawal Working'!$A$2:$A$78,0),FALSE)&gt;0,MIN(HLOOKUP(CONCATENATE("Balance",FB$3-1),'Withdrawal Working'!$A$2:$CD$78,MATCH('Yoy WAR OG'!$J16,'Withdrawal Working'!$A$2:$A$78,0),0),EX16),0)),IF($K16=VLOOKUP(EX$2,$B:$H,7,0),EX16,)),0)</f>
        <v>0</v>
      </c>
      <c r="FA16" s="58">
        <f t="shared" ca="1" si="23"/>
        <v>0</v>
      </c>
    </row>
    <row r="17" spans="1:157" x14ac:dyDescent="0.3">
      <c r="A17" t="s">
        <v>367</v>
      </c>
      <c r="B17" t="str">
        <f>Networth!B20</f>
        <v>Commercial Property</v>
      </c>
      <c r="C17" s="58">
        <f>VLOOKUP('Yoy WAR OG'!B17,'WAR - Rev'!$A$1:$B$29,2,0)</f>
        <v>0</v>
      </c>
      <c r="D17" s="313">
        <f>'WAR - Rev'!C15</f>
        <v>0.03</v>
      </c>
      <c r="H17" s="452">
        <f>VLOOKUP('NWGC - SCENARIOS'!$D$7,'NWGC - SCENARIOS'!$B$11:$C$67,2,0)</f>
        <v>2031</v>
      </c>
      <c r="J17">
        <f>IFERROR('NWGC - SCENARIOS'!B24,0)</f>
        <v>62</v>
      </c>
      <c r="K17">
        <f>IFERROR('NWGC - SCENARIOS'!C24,0)</f>
        <v>2038</v>
      </c>
      <c r="L17" s="449">
        <f ca="1">IF(('NWGC - SCENARIOS'!G24-working!G15)&gt;'NWGC - SCENARIOS'!H24,'NWGC - SCENARIOS'!G24-'NWGC - SCENARIOS'!H24-working!G15,0)</f>
        <v>3362553.6729249582</v>
      </c>
      <c r="M17" s="449">
        <f ca="1">IF(('NWGC - SCENARIOS'!G24-working!G15)&gt;'NWGC - SCENARIOS'!H24,0,'NWGC - SCENARIOS'!H24-'NWGC - SCENARIOS'!G24+working!G15)</f>
        <v>0</v>
      </c>
      <c r="N17" s="58">
        <f t="shared" ca="1" si="0"/>
        <v>312072928.97028512</v>
      </c>
      <c r="O17" s="58">
        <f t="shared" ca="1" si="1"/>
        <v>42806315.395187572</v>
      </c>
      <c r="P17" s="58">
        <f t="shared" ca="1" si="24"/>
        <v>0</v>
      </c>
      <c r="Q17" s="58">
        <f ca="1">(VLOOKUP(P$2,$B$1:$F$32,5,0)*$L17)+(VLOOKUP($K17,'Withdrawal Working'!$AD:$AE,2,0)*(IFERROR(VLOOKUP(P$2,$B$35:$C$42,2,0),0)))</f>
        <v>0</v>
      </c>
      <c r="R17" s="58">
        <f>IFERROR(IF($K17&lt;VLOOKUP(P$2,$B:$H,7,0),IF(T$3=1,MIN($M17,P17),IF(HLOOKUP(CONCATENATE("Balance",T$3-1),'Withdrawal Working'!$A$2:$CD$78,MATCH('Yoy WAR OG'!$J17,'Withdrawal Working'!$A$2:$A$78,0),FALSE)&gt;0,MIN(HLOOKUP(CONCATENATE("Balance",T$3-1),'Withdrawal Working'!$A$2:$CD$78,MATCH('Yoy WAR OG'!$J17,'Withdrawal Working'!$A$2:$A$78,0),0),P17),0)),IF($K17=VLOOKUP(P$2,$B:$H,7,0),P17,)),0)</f>
        <v>0</v>
      </c>
      <c r="S17" s="58">
        <f t="shared" ca="1" si="26"/>
        <v>0</v>
      </c>
      <c r="T17" s="58"/>
      <c r="V17" s="58">
        <f t="shared" ca="1" si="27"/>
        <v>0</v>
      </c>
      <c r="W17" s="58">
        <f ca="1">(VLOOKUP(V$2,$B$1:$F$32,5,0)*$L17)+(VLOOKUP($K17,'Withdrawal Working'!$AD:$AE,2,0)*(IFERROR(VLOOKUP(V$2,$B$35:$C$42,2,0),0)))</f>
        <v>0</v>
      </c>
      <c r="X17" s="58">
        <f>IFERROR(IF($K17&lt;VLOOKUP(V$2,$B:$H,7,0),IF(Z$3=1,MIN($M17,V17),IF(HLOOKUP(CONCATENATE("Balance",Z$3-1),'Withdrawal Working'!$A$2:$CD$78,MATCH('Yoy WAR OG'!$J17,'Withdrawal Working'!$A$2:$A$78,0),FALSE)&gt;0,MIN(HLOOKUP(CONCATENATE("Balance",Z$3-1),'Withdrawal Working'!$A$2:$CD$78,MATCH('Yoy WAR OG'!$J17,'Withdrawal Working'!$A$2:$A$78,0),0),V17),0)),IF($K17=VLOOKUP(V$2,$B:$H,7,0),V17,)),0)</f>
        <v>0</v>
      </c>
      <c r="Y17" s="58">
        <f t="shared" ca="1" si="2"/>
        <v>0</v>
      </c>
      <c r="AB17" s="58">
        <f t="shared" ca="1" si="28"/>
        <v>0</v>
      </c>
      <c r="AC17" s="58">
        <f ca="1">(VLOOKUP(AB$2,$B$1:$F$32,5,0)*$L17)+(VLOOKUP($K17,'Withdrawal Working'!$AD:$AE,2,0)*(IFERROR(VLOOKUP(AB$2,$B$35:$C$42,2,0),0)))</f>
        <v>0</v>
      </c>
      <c r="AD17" s="58">
        <f>IFERROR(IF($K17&lt;VLOOKUP(AB$2,$B:$H,7,0),IF(AF$3=1,MIN($M17,AB17),IF(HLOOKUP(CONCATENATE("Balance",AF$3-1),'Withdrawal Working'!$A$2:$CD$78,MATCH('Yoy WAR OG'!$J17,'Withdrawal Working'!$A$2:$A$78,0),FALSE)&gt;0,MIN(HLOOKUP(CONCATENATE("Balance",AF$3-1),'Withdrawal Working'!$A$2:$CD$78,MATCH('Yoy WAR OG'!$J17,'Withdrawal Working'!$A$2:$A$78,0),0),AB17),0)),IF($K17=VLOOKUP(AB$2,$B:$H,7,0),AB17,)),0)</f>
        <v>0</v>
      </c>
      <c r="AE17" s="58">
        <f t="shared" ca="1" si="3"/>
        <v>0</v>
      </c>
      <c r="AH17" s="58">
        <f t="shared" ca="1" si="29"/>
        <v>141339404.0560177</v>
      </c>
      <c r="AI17" s="58">
        <f ca="1">(VLOOKUP(AH$2,$B$1:$F$32,5,0)*$L17)+IF(J17&gt;'NWGC - SCENARIOS'!$D$7,0,(VLOOKUP($K17,'Withdrawal Working'!$AD:$AE,2,0)*(IFERROR(VLOOKUP(AH$2,$B$35:$C$42,2,0),0))))</f>
        <v>2017532.2037549748</v>
      </c>
      <c r="AJ17" s="58">
        <f ca="1">IFERROR(IF($J17&gt;'NWGC - SCENARIOS'!$D$7,MIN('Yoy WAR OG'!AH17,VLOOKUP('Yoy WAR OG'!$J17,'Withdrawal Working'!BC:BD,2,0)),IF(AL$3=1,$M17,IF(HLOOKUP(CONCATENATE("Balance",AL$3-1),'Withdrawal Working'!$A$2:$CD$78,MATCH('Yoy WAR OG'!$J17,'Withdrawal Working'!$A$2:$A$78,0),FALSE)&gt;0,MIN(HLOOKUP(CONCATENATE("Balance",AL$3-1),'Withdrawal Working'!$A$2:$CD$78,MATCH('Yoy WAR OG'!$J17,'Withdrawal Working'!$A$2:$A$78,0),0),AH17),0))),0)</f>
        <v>7089000.7939294428</v>
      </c>
      <c r="AK17" s="58">
        <f t="shared" ca="1" si="4"/>
        <v>151035479.82467291</v>
      </c>
      <c r="AN17" s="450">
        <f t="shared" ca="1" si="30"/>
        <v>144208109.62847614</v>
      </c>
      <c r="AO17" s="58">
        <f ca="1">IF(J17&gt;'NWGC - SCENARIOS'!$D$7,(IF(AJ17=0,0,'Yoy WAR OG'!AJ17)+(VLOOKUP(AN$2,$B$1:$F$32,5,0)*$L17)),(VLOOKUP(AN$2,$B$1:$F$32,5,0)*$L17)+(VLOOKUP($K17,'Withdrawal Working'!$AD:$AE,2,0)*(IFERROR(VLOOKUP(AN$2,$B$35:$C$42,2,0),0))))</f>
        <v>8434022.2630994264</v>
      </c>
      <c r="AP17" s="470">
        <f ca="1">IFERROR(IF($K17&lt;&gt;VLOOKUP(AN$2,$B:$H,7,0),IF(AR$3=1,MIN($M17,AN17),IF(HLOOKUP(CONCATENATE("Balance",AR$3-1),'Withdrawal Working'!$A$2:$CD$78,MATCH('Yoy WAR OG'!$J17,'Withdrawal Working'!$A$2:$A$78,0),FALSE)&gt;0,MIN(HLOOKUP(CONCATENATE("Balance",AR$3-1),'Withdrawal Working'!$A$2:$CD$78,MATCH('Yoy WAR OG'!$J17,'Withdrawal Working'!$A$2:$A$78,0),0),AN17),0)),IF($K17=VLOOKUP(AN$2,$B:$H,7,0),AN17,)),0)</f>
        <v>0</v>
      </c>
      <c r="AQ17" s="58">
        <f ca="1">IF(AO17&lt;0,0,IF(J17&gt;'NWGC - SCENARIOS'!$D$7,((AN17-AP17+AO17)*(1+(IFERROR(VLOOKUP(AN$2,$B:$D,3,0),0)))),((AN17-AP17)*(1+(IFERROR(VLOOKUP(AN$2,$B:$D,3,0),0))))+AO17))</f>
        <v>161037449.14561221</v>
      </c>
      <c r="AT17" s="450">
        <f t="shared" ca="1" si="31"/>
        <v>0</v>
      </c>
      <c r="AU17" s="58">
        <f ca="1">(VLOOKUP(AT$2,$B$1:$F$32,5,0)*$L17)+(VLOOKUP($K17,'Withdrawal Working'!$AD:$AE,2,0)*(IFERROR(VLOOKUP(AT$2,$B$35:$C$42,2,0),0)))</f>
        <v>0</v>
      </c>
      <c r="AV17" s="58">
        <f>IFERROR(IF($K17&lt;VLOOKUP(AT$2,$B:$H,7,0),IF(AX$3=1,MIN($M17,AT17),IF(HLOOKUP(CONCATENATE("Balance",AX$3-1),'Withdrawal Working'!$A$2:$CD$78,MATCH('Yoy WAR OG'!$J17,'Withdrawal Working'!$A$2:$A$78,0),FALSE)&gt;0,MIN(HLOOKUP(CONCATENATE("Balance",AX$3-1),'Withdrawal Working'!$A$2:$CD$78,MATCH('Yoy WAR OG'!$J17,'Withdrawal Working'!$A$2:$A$78,0),0),AT17),0)),IF($K17=VLOOKUP(AT$2,$B:$H,7,0),AT17,)),0)</f>
        <v>0</v>
      </c>
      <c r="AW17" s="58">
        <f t="shared" ca="1" si="5"/>
        <v>0</v>
      </c>
      <c r="AZ17" s="450">
        <f t="shared" ca="1" si="32"/>
        <v>9639380.000752328</v>
      </c>
      <c r="BA17" s="58">
        <f ca="1">(VLOOKUP(AZ$2,$B$1:$F$32,5,0)*$L17)+(VLOOKUP($K17,'Withdrawal Working'!$AD:$AE,2,0)*(IFERROR(VLOOKUP(AZ$2,$B$35:$C$42,2,0),0)))</f>
        <v>0</v>
      </c>
      <c r="BB17" s="58">
        <f>IFERROR(IF($K17&lt;VLOOKUP(AZ$2,$B:$H,7,0),IF(BD$3=1,MIN($M17,AZ17),IF(HLOOKUP(CONCATENATE("Balance",BD$3-1),'Withdrawal Working'!$A$2:$CD$78,MATCH('Yoy WAR OG'!$J17,'Withdrawal Working'!$A$2:$A$78,0),FALSE)&gt;0,MIN(HLOOKUP(CONCATENATE("Balance",BD$3-1),'Withdrawal Working'!$A$2:$CD$78,MATCH('Yoy WAR OG'!$J17,'Withdrawal Working'!$A$2:$A$78,0),0),AZ17),0)),IF($K17=VLOOKUP(AZ$2,$B:$H,7,0),AZ17,)),0)</f>
        <v>0</v>
      </c>
      <c r="BC17" s="58">
        <f t="shared" ca="1" si="6"/>
        <v>10314136.600804992</v>
      </c>
      <c r="BF17" s="450">
        <f t="shared" ca="1" si="33"/>
        <v>0</v>
      </c>
      <c r="BG17" s="58">
        <f ca="1">(VLOOKUP(BF$2,$B$1:$F$32,5,0)*$L17)+(VLOOKUP($K17,'Withdrawal Working'!$AD:$AE,2,0)*(IFERROR(VLOOKUP(BF$2,$B$35:$C$42,2,0),0)))</f>
        <v>0</v>
      </c>
      <c r="BH17" s="58">
        <f>IFERROR(IF($K17&lt;VLOOKUP(BF$2,$B:$H,7,0),IF(BJ$3=1,MIN($M17,BF17),IF(HLOOKUP(CONCATENATE("Balance",BJ$3-1),'Withdrawal Working'!$A$2:$CD$78,MATCH('Yoy WAR OG'!$J17,'Withdrawal Working'!$A$2:$A$78,0),FALSE)&gt;0,MIN(HLOOKUP(CONCATENATE("Balance",BJ$3-1),'Withdrawal Working'!$A$2:$CD$78,MATCH('Yoy WAR OG'!$J17,'Withdrawal Working'!$A$2:$A$78,0),0),BF17),0)),IF($K17=VLOOKUP(BF$2,$B:$H,7,0),BF17,)),0)</f>
        <v>0</v>
      </c>
      <c r="BI17" s="58">
        <f t="shared" ca="1" si="7"/>
        <v>0</v>
      </c>
      <c r="BL17" s="450">
        <f t="shared" ca="1" si="34"/>
        <v>0</v>
      </c>
      <c r="BM17" s="58">
        <f ca="1">(VLOOKUP(BL$2,$B$1:$F$32,5,0)*$L17)+(VLOOKUP($K17,'Withdrawal Working'!$AD:$AE,2,0)*(IFERROR(VLOOKUP(BL$2,$B$35:$C$42,2,0),0)))</f>
        <v>0</v>
      </c>
      <c r="BN17" s="58">
        <f>IFERROR(IF($K17&lt;VLOOKUP(BL$2,$B:$H,7,0),IF(BP$3=1,MIN($M17,BL17),IF(HLOOKUP(CONCATENATE("Balance",BP$3-1),'Withdrawal Working'!$A$2:$CD$78,MATCH('Yoy WAR OG'!$J17,'Withdrawal Working'!$A$2:$A$78,0),FALSE)&gt;0,MIN(HLOOKUP(CONCATENATE("Balance",BP$3-1),'Withdrawal Working'!$A$2:$CD$78,MATCH('Yoy WAR OG'!$J17,'Withdrawal Working'!$A$2:$A$78,0),0),BL17),0)),IF($K17=VLOOKUP(BL$2,$B:$H,7,0),BL17,)),0)</f>
        <v>0</v>
      </c>
      <c r="BO17" s="58">
        <f t="shared" ca="1" si="8"/>
        <v>0</v>
      </c>
      <c r="BR17" s="450">
        <f t="shared" ca="1" si="35"/>
        <v>0</v>
      </c>
      <c r="BS17" s="58">
        <f ca="1">(VLOOKUP(BR$2,$B$1:$F$32,5,0)*$L17)+(VLOOKUP($K17,'Withdrawal Working'!$AD:$AE,2,0)*(IFERROR(VLOOKUP(BR$2,$B$35:$C$42,2,0),0)))</f>
        <v>0</v>
      </c>
      <c r="BT17" s="58">
        <f>IFERROR(IF($K17&lt;VLOOKUP(BR$2,$B:$H,7,0),IF(BV$3=1,MIN($M17,BR17),IF(HLOOKUP(CONCATENATE("Balance",BV$3-1),'Withdrawal Working'!$A$2:$CD$78,MATCH('Yoy WAR OG'!$J17,'Withdrawal Working'!$A$2:$A$78,0),FALSE)&gt;0,MIN(HLOOKUP(CONCATENATE("Balance",BV$3-1),'Withdrawal Working'!$A$2:$CD$78,MATCH('Yoy WAR OG'!$J17,'Withdrawal Working'!$A$2:$A$78,0),0),BR17),0)),IF($K17=VLOOKUP(BR$2,$B:$H,7,0),BR17,)),0)</f>
        <v>0</v>
      </c>
      <c r="BU17" s="58">
        <f t="shared" ca="1" si="9"/>
        <v>0</v>
      </c>
      <c r="BX17" s="450">
        <f t="shared" ca="1" si="36"/>
        <v>0</v>
      </c>
      <c r="BY17" s="58">
        <f ca="1">(VLOOKUP(BX$2,$B$1:$F$32,5,0)*$L17)+(VLOOKUP($K17,'Withdrawal Working'!$AD:$AE,2,0)*(IFERROR(VLOOKUP(BX$2,$B$35:$C$42,2,0),0)))</f>
        <v>0</v>
      </c>
      <c r="BZ17" s="58">
        <f>IFERROR(IF($K17&lt;VLOOKUP(BX$2,$B:$H,7,0),IF(CB$3=1,MIN($M17,BX17),IF(HLOOKUP(CONCATENATE("Balance",CB$3-1),'Withdrawal Working'!$A$2:$CD$78,MATCH('Yoy WAR OG'!$J17,'Withdrawal Working'!$A$2:$A$78,0),FALSE)&gt;0,MIN(HLOOKUP(CONCATENATE("Balance",CB$3-1),'Withdrawal Working'!$A$2:$CD$78,MATCH('Yoy WAR OG'!$J17,'Withdrawal Working'!$A$2:$A$78,0),0),BX17),0)),IF($K17=VLOOKUP(BX$2,$B:$H,7,0),BX17,)),0)</f>
        <v>0</v>
      </c>
      <c r="CA17" s="58">
        <f t="shared" ca="1" si="10"/>
        <v>0</v>
      </c>
      <c r="CD17" s="450">
        <f t="shared" ca="1" si="37"/>
        <v>26740145.432800084</v>
      </c>
      <c r="CE17" s="58">
        <f ca="1">(VLOOKUP(CD$2,$B$1:$F$32,5,0)*$L17)+(VLOOKUP($K17,'Withdrawal Working'!$AD:$AE,2,0)*(IFERROR(VLOOKUP(CD$2,$B$35:$C$42,2,0),0)))+SUMIFS('Key Life Events'!$I$3:$I$28,'Key Life Events'!$H$3:$H$28,"House",'Key Life Events'!$E$3:$E$28,'Yoy WAR OG'!K17)</f>
        <v>0</v>
      </c>
      <c r="CF17" s="58">
        <f>IFERROR(IF($K17&lt;VLOOKUP(CD$2,$B:$H,7,0),IF(CH$3=1,MIN($M17,CD17),IF(HLOOKUP(CONCATENATE("Balance",CH$3-1),'Withdrawal Working'!$A$2:$CD$78,MATCH('Yoy WAR OG'!$J17,'Withdrawal Working'!$A$2:$A$78,0),FALSE)&gt;0,MIN(HLOOKUP(CONCATENATE("Balance",CH$3-1),'Withdrawal Working'!$A$2:$CD$78,MATCH('Yoy WAR OG'!$J17,'Withdrawal Working'!$A$2:$A$78,0),0),CD17),0)),IF($K17=VLOOKUP(CD$2,$B:$H,7,0),CD17,)),0)</f>
        <v>0</v>
      </c>
      <c r="CG17" s="58">
        <f t="shared" ca="1" si="11"/>
        <v>27542349.795784086</v>
      </c>
      <c r="CJ17" s="450">
        <f t="shared" ca="1" si="38"/>
        <v>0</v>
      </c>
      <c r="CK17" s="58">
        <f ca="1">(VLOOKUP(CJ$2,$B$1:$F$32,5,0)*$L17)+(VLOOKUP($K17,'Withdrawal Working'!$AD:$AE,2,0)*(IFERROR(VLOOKUP(CJ$2,$B$35:$C$42,2,0),0)))+SUMIFS('Key Life Events'!$I$3:$I$28,'Key Life Events'!$H$3:$H$28,"House2",'Key Life Events'!$E$3:$E$28,'Yoy WAR OG'!K17)</f>
        <v>0</v>
      </c>
      <c r="CL17" s="58">
        <f ca="1">IF(IFERROR(IF($K17&lt;&gt;VLOOKUP(CJ$2,$B:$H,7,0),IF(CN$3=1,MIN($M17,CJ17),IF(HLOOKUP(CONCATENATE("Balance",CN$3-1),'Withdrawal Working'!$A$2:$CD$78,MATCH('Yoy WAR OG'!$J17,'Withdrawal Working'!$A$2:$A$78,0),FALSE)&gt;0,MIN(HLOOKUP(CONCATENATE("Balance",CN$3-1),'Withdrawal Working'!$A$2:$CD$78,MATCH('Yoy WAR OG'!$J17,'Withdrawal Working'!$A$2:$A$78,0),0),CJ17),0)),IF($K17=VLOOKUP(CJ$2,$B:$H,7,0),CJ17,)),0)&gt;0,CJ17,0)</f>
        <v>0</v>
      </c>
      <c r="CM17" s="58">
        <f t="shared" ca="1" si="12"/>
        <v>0</v>
      </c>
      <c r="CP17" s="450">
        <f t="shared" ca="1" si="39"/>
        <v>4714122.8558080904</v>
      </c>
      <c r="CQ17" s="58">
        <f ca="1">(VLOOKUP(CP$2,$B$1:$F$32,5,0)*$L17)+(VLOOKUP($K17,'Withdrawal Working'!$AD:$AE,2,0)*(IFERROR(VLOOKUP(CP$2,$B$35:$C$42,2,0),0)))+SUMIFS('Key Life Events'!$I$3:$I$28,'Key Life Events'!$H$3:$H$28,"Land",'Key Life Events'!$E$3:$E$28,'Yoy WAR OG'!K17)</f>
        <v>0</v>
      </c>
      <c r="CR17" s="58">
        <f>IFERROR(IF($K17&lt;VLOOKUP(CP$2,$B:$H,7,0),IF(CT$3=1,MIN($M17,CP17),IF(HLOOKUP(CONCATENATE("Balance",CT$3-1),'Withdrawal Working'!$A$2:$CD$78,MATCH('Yoy WAR OG'!$J17,'Withdrawal Working'!$A$2:$A$78,0),FALSE)&gt;0,MIN(HLOOKUP(CONCATENATE("Balance",CT$3-1),'Withdrawal Working'!$A$2:$CD$78,MATCH('Yoy WAR OG'!$J17,'Withdrawal Working'!$A$2:$A$78,0),0),CP17),0)),IF($K17=VLOOKUP(CP$2,$B:$H,7,0),CP17,)),0)</f>
        <v>0</v>
      </c>
      <c r="CS17" s="58">
        <f t="shared" ca="1" si="13"/>
        <v>4949828.9985984955</v>
      </c>
      <c r="CV17" s="450">
        <f t="shared" ca="1" si="40"/>
        <v>0</v>
      </c>
      <c r="CW17" s="58"/>
      <c r="CX17" s="58">
        <f>IFERROR(IF($K17&lt;VLOOKUP(CV$2,$B:$H,7,0),IF(CZ$3=1,MIN($M17,CV17),IF(HLOOKUP(CONCATENATE("Balance",CZ$3-1),'Withdrawal Working'!$A$2:$CD$78,MATCH('Yoy WAR OG'!$J17,'Withdrawal Working'!$A$2:$A$78,0),FALSE)&gt;0,MIN(HLOOKUP(CONCATENATE("Balance",CZ$3-1),'Withdrawal Working'!$A$2:$CD$78,MATCH('Yoy WAR OG'!$J17,'Withdrawal Working'!$A$2:$A$78,0),0),CV17),0)),IF($K17=VLOOKUP(CV$2,$B:$H,7,0),CV17,)),0)</f>
        <v>0</v>
      </c>
      <c r="CY17" s="58">
        <f t="shared" ca="1" si="14"/>
        <v>0</v>
      </c>
      <c r="DB17" s="450">
        <f t="shared" ca="1" si="41"/>
        <v>0</v>
      </c>
      <c r="DC17" s="58">
        <f ca="1">(VLOOKUP(DB$2,$B$1:$F$32,5,0)*$L17)+(VLOOKUP($K17,'Withdrawal Working'!$AD:$AE,2,0)*(IFERROR(VLOOKUP(DB$2,$B$35:$C$42,2,0),0)))</f>
        <v>0</v>
      </c>
      <c r="DD17" s="58">
        <f>IFERROR(IF($K17&lt;VLOOKUP(DB$2,$B:$H,7,0),IF(DF$3=1,MIN($M17,DB17),IF(HLOOKUP(CONCATENATE("Balance",DF$3-1),'Withdrawal Working'!$A$2:$CD$78,MATCH('Yoy WAR OG'!$J17,'Withdrawal Working'!$A$2:$A$78,0),FALSE)&gt;0,MIN(HLOOKUP(CONCATENATE("Balance",DF$3-1),'Withdrawal Working'!$A$2:$CD$78,MATCH('Yoy WAR OG'!$J17,'Withdrawal Working'!$A$2:$A$78,0),0),DB17),0)),IF($K17=VLOOKUP(DB$2,$B:$H,7,0),DB17,)),0)</f>
        <v>0</v>
      </c>
      <c r="DE17" s="58">
        <f t="shared" ca="1" si="15"/>
        <v>0</v>
      </c>
      <c r="DH17" s="450">
        <f t="shared" ca="1" si="42"/>
        <v>0</v>
      </c>
      <c r="DI17" s="58">
        <f>IF(OR(J17&gt;'NWGC - SCENARIOS'!$D$7,J17='NWGC - SCENARIOS'!$D$7),0,DI16*(1+'NWGC - SCENARIOS'!$L$5))</f>
        <v>0</v>
      </c>
      <c r="DJ17" s="58">
        <f>IFERROR(IF($K17&lt;VLOOKUP(DH$2,$B:$H,7,0),IF(DL$3=1,MIN($M17,DH17),IF(HLOOKUP(CONCATENATE("Balance",DL$3-1),'Withdrawal Working'!$A$2:$CD$78,MATCH('Yoy WAR OG'!$J17,'Withdrawal Working'!$A$2:$A$78,0),FALSE)&gt;0,MIN(HLOOKUP(CONCATENATE("Balance",DL$3-1),'Withdrawal Working'!$A$2:$CD$78,MATCH('Yoy WAR OG'!$J17,'Withdrawal Working'!$A$2:$A$78,0),0),DH17),0)),IF($K17=VLOOKUP(DH$2,$B:$H,7,0),DH17,)),0)</f>
        <v>0</v>
      </c>
      <c r="DK17" s="58">
        <f t="shared" ca="1" si="16"/>
        <v>0</v>
      </c>
      <c r="DN17" s="450">
        <f t="shared" ca="1" si="43"/>
        <v>0</v>
      </c>
      <c r="DO17" s="58">
        <f ca="1">(VLOOKUP(DN$2,$B$1:$F$32,5,0)*$L17)+(VLOOKUP($K17,'Withdrawal Working'!$AD:$AE,2,0)*(IFERROR(VLOOKUP(DN$2,$B$35:$C$42,2,0),0)))</f>
        <v>0</v>
      </c>
      <c r="DP17" s="58">
        <f>IFERROR(IF($K17&lt;VLOOKUP(DN$2,$B:$H,7,0),IF(DR$3=1,MIN($M17,DN17),IF(HLOOKUP(CONCATENATE("Balance",DR$3-1),'Withdrawal Working'!$A$2:$CD$78,MATCH('Yoy WAR OG'!$J17,'Withdrawal Working'!$A$2:$A$78,0),FALSE)&gt;0,MIN(HLOOKUP(CONCATENATE("Balance",DR$3-1),'Withdrawal Working'!$A$2:$CD$78,MATCH('Yoy WAR OG'!$J17,'Withdrawal Working'!$A$2:$A$78,0),0),DN17),0)),IF($K17=VLOOKUP(DN$2,$B:$H,7,0),DN17,)),0)</f>
        <v>0</v>
      </c>
      <c r="DQ17" s="58">
        <f t="shared" ca="1" si="17"/>
        <v>0</v>
      </c>
      <c r="DT17" s="450">
        <f t="shared" ca="1" si="44"/>
        <v>0</v>
      </c>
      <c r="DU17" s="58">
        <f ca="1">(VLOOKUP(DT$2,$B$1:$F$32,5,0)*$L17)+(VLOOKUP($K17,'Withdrawal Working'!$AD:$AE,2,0)*(IFERROR(VLOOKUP(DT$2,$B$35:$C$42,2,0),0)))</f>
        <v>0</v>
      </c>
      <c r="DV17" s="58">
        <f>IFERROR(IF($K17&lt;VLOOKUP(DT$2,$B:$H,7,0),IF(DX$3=1,MIN($M17,DT17),IF(HLOOKUP(CONCATENATE("Balance",DX$3-1),'Withdrawal Working'!$A$2:$CD$78,MATCH('Yoy WAR OG'!$J17,'Withdrawal Working'!$A$2:$A$78,0),FALSE)&gt;0,MIN(HLOOKUP(CONCATENATE("Balance",DX$3-1),'Withdrawal Working'!$A$2:$CD$78,MATCH('Yoy WAR OG'!$J17,'Withdrawal Working'!$A$2:$A$78,0),0),DT17),0)),IF($K17=VLOOKUP(DT$2,$B:$H,7,0),DT17,)),0)</f>
        <v>0</v>
      </c>
      <c r="DW17" s="58">
        <f t="shared" ca="1" si="18"/>
        <v>0</v>
      </c>
      <c r="DZ17" s="450">
        <f t="shared" ca="1" si="45"/>
        <v>0</v>
      </c>
      <c r="EA17" s="58">
        <f ca="1">(VLOOKUP(DZ$2,$B$1:$F$32,5,0)*$L17)+(VLOOKUP($K17,'Withdrawal Working'!$AD:$AE,2,0)*(IFERROR(VLOOKUP(DZ$2,$B$35:$C$42,2,0),0)))</f>
        <v>0</v>
      </c>
      <c r="EB17" s="58">
        <f>IFERROR(IF($K17&lt;VLOOKUP(DZ$2,$B:$H,7,0),IF(ED$3=1,MIN($M17,DZ17),IF(HLOOKUP(CONCATENATE("Balance",ED$3-1),'Withdrawal Working'!$A$2:$CD$78,MATCH('Yoy WAR OG'!$J17,'Withdrawal Working'!$A$2:$A$78,0),FALSE)&gt;0,MIN(HLOOKUP(CONCATENATE("Balance",ED$3-1),'Withdrawal Working'!$A$2:$CD$78,MATCH('Yoy WAR OG'!$J17,'Withdrawal Working'!$A$2:$A$78,0),0),DZ17),0)),IF($K17=VLOOKUP(DZ$2,$B:$H,7,0),DZ17,)),0)</f>
        <v>0</v>
      </c>
      <c r="EC17" s="58">
        <f t="shared" ca="1" si="19"/>
        <v>0</v>
      </c>
      <c r="EF17" s="450">
        <f t="shared" ca="1" si="46"/>
        <v>0</v>
      </c>
      <c r="EG17" s="58">
        <f ca="1">(VLOOKUP(EF$2,$B$1:$F$32,5,0)*$L17)+(VLOOKUP($K17,'Withdrawal Working'!$AD:$AE,2,0)*(IFERROR(VLOOKUP(EF$2,$B$35:$C$42,2,0),0)))</f>
        <v>0</v>
      </c>
      <c r="EH17" s="58">
        <f>IFERROR(IF($K17&lt;VLOOKUP(EF$2,$B:$H,7,0),IF(EJ$3=1,MIN($M17,EF17),IF(HLOOKUP(CONCATENATE("Balance",EJ$3-1),'Withdrawal Working'!$A$2:$CD$78,MATCH('Yoy WAR OG'!$J17,'Withdrawal Working'!$A$2:$A$78,0),FALSE)&gt;0,MIN(HLOOKUP(CONCATENATE("Balance",EJ$3-1),'Withdrawal Working'!$A$2:$CD$78,MATCH('Yoy WAR OG'!$J17,'Withdrawal Working'!$A$2:$A$78,0),0),EF17),0)),IF($K17=VLOOKUP(EF$2,$B:$H,7,0),EF17,)),0)</f>
        <v>0</v>
      </c>
      <c r="EI17" s="58">
        <f t="shared" ca="1" si="20"/>
        <v>0</v>
      </c>
      <c r="EL17" s="450">
        <f t="shared" ca="1" si="47"/>
        <v>0</v>
      </c>
      <c r="EM17" s="58">
        <f>IF(OR($J17&gt;'NWGC - SCENARIOS'!$D$7,$J17='NWGC - SCENARIOS'!$D$7),0,EM16)</f>
        <v>0</v>
      </c>
      <c r="EN17" s="58">
        <f>IFERROR(IF($K17&lt;VLOOKUP(EL$2,$B:$H,7,0),IF(EP$3=1,MIN($M17,EL17),IF(HLOOKUP(CONCATENATE("Balance",EP$3-1),'Withdrawal Working'!$A$2:$CD$78,MATCH('Yoy WAR OG'!$J17,'Withdrawal Working'!$A$2:$A$78,0),FALSE)&gt;0,MIN(HLOOKUP(CONCATENATE("Balance",EP$3-1),'Withdrawal Working'!$A$2:$CD$78,MATCH('Yoy WAR OG'!$J17,'Withdrawal Working'!$A$2:$A$78,0),0),EL17),0)),IF($K17=VLOOKUP(EL$2,$B:$H,7,0),EL17,)),0)</f>
        <v>0</v>
      </c>
      <c r="EO17" s="58">
        <f t="shared" ca="1" si="21"/>
        <v>0</v>
      </c>
      <c r="ER17" s="450">
        <f t="shared" ca="1" si="48"/>
        <v>0</v>
      </c>
      <c r="ES17" s="58">
        <f>IF(OR(J17&gt;'NWGC - SCENARIOS'!$D$7,J17='NWGC - SCENARIOS'!$D$7),0,ES16*(1+'NWGC - SCENARIOS'!$L$5))</f>
        <v>0</v>
      </c>
      <c r="ET17" s="58">
        <f>IFERROR(IF($K17&lt;VLOOKUP(ER$2,$B:$H,7,0),IF(EV$3=1,MIN($M17,ER17),IF(HLOOKUP(CONCATENATE("Balance",EV$3-1),'Withdrawal Working'!$A$2:$CD$78,MATCH('Yoy WAR OG'!$J17,'Withdrawal Working'!$A$2:$A$78,0),FALSE)&gt;0,MIN(HLOOKUP(CONCATENATE("Balance",EV$3-1),'Withdrawal Working'!$A$2:$CD$78,MATCH('Yoy WAR OG'!$J17,'Withdrawal Working'!$A$2:$A$78,0),0),ER17),0)),IF($K17=VLOOKUP(ER$2,$B:$H,7,0),ER17,)),0)</f>
        <v>0</v>
      </c>
      <c r="EU17" s="58">
        <f t="shared" ca="1" si="22"/>
        <v>0</v>
      </c>
      <c r="EX17" s="450">
        <f t="shared" ca="1" si="49"/>
        <v>0</v>
      </c>
      <c r="EY17" s="58">
        <f>IF(OR(J17&gt;'NWGC - SCENARIOS'!$D$7,J17='NWGC - SCENARIOS'!$D$7),0,EY16)</f>
        <v>0</v>
      </c>
      <c r="EZ17" s="58">
        <f>IFERROR(IF($K17&lt;VLOOKUP(EX$2,$B:$H,7,0),IF(FB$3=1,MIN($M17,EX17),IF(HLOOKUP(CONCATENATE("Balance",FB$3-1),'Withdrawal Working'!$A$2:$CD$78,MATCH('Yoy WAR OG'!$J17,'Withdrawal Working'!$A$2:$A$78,0),FALSE)&gt;0,MIN(HLOOKUP(CONCATENATE("Balance",FB$3-1),'Withdrawal Working'!$A$2:$CD$78,MATCH('Yoy WAR OG'!$J17,'Withdrawal Working'!$A$2:$A$78,0),0),EX17),0)),IF($K17=VLOOKUP(EX$2,$B:$H,7,0),EX17,)),0)</f>
        <v>0</v>
      </c>
      <c r="FA17" s="58">
        <f t="shared" ca="1" si="23"/>
        <v>0</v>
      </c>
    </row>
    <row r="18" spans="1:157" x14ac:dyDescent="0.3">
      <c r="A18" t="s">
        <v>367</v>
      </c>
      <c r="B18" t="str">
        <f>Networth!B21</f>
        <v>Land- Chennai</v>
      </c>
      <c r="C18" s="58">
        <f>VLOOKUP('Yoy WAR OG'!B18,'WAR - Rev'!$A$1:$B$29,2,0)</f>
        <v>2500000</v>
      </c>
      <c r="D18" s="313">
        <f>'WAR - Rev'!C16</f>
        <v>0.05</v>
      </c>
      <c r="H18" s="452"/>
      <c r="J18">
        <f>IFERROR('NWGC - SCENARIOS'!B25,0)</f>
        <v>63</v>
      </c>
      <c r="K18">
        <f>IFERROR('NWGC - SCENARIOS'!C25,0)</f>
        <v>2039</v>
      </c>
      <c r="L18" s="449">
        <f ca="1">IF(('NWGC - SCENARIOS'!G25-working!G16)&gt;'NWGC - SCENARIOS'!H25,'NWGC - SCENARIOS'!G25-'NWGC - SCENARIOS'!H25-working!G16,0)</f>
        <v>0</v>
      </c>
      <c r="M18" s="449">
        <f ca="1">IF(('NWGC - SCENARIOS'!G25-working!G16)&gt;'NWGC - SCENARIOS'!H25,0,'NWGC - SCENARIOS'!H25-'NWGC - SCENARIOS'!G25+working!G16)</f>
        <v>6557667.4017865211</v>
      </c>
      <c r="N18" s="58">
        <f t="shared" ca="1" si="0"/>
        <v>330204096.09796357</v>
      </c>
      <c r="O18" s="58">
        <f t="shared" ca="1" si="1"/>
        <v>44602066.901047364</v>
      </c>
      <c r="P18" s="58">
        <f t="shared" ca="1" si="24"/>
        <v>0</v>
      </c>
      <c r="Q18" s="58">
        <f ca="1">(VLOOKUP(P$2,$B$1:$F$32,5,0)*$L18)+(VLOOKUP($K18,'Withdrawal Working'!$AD:$AE,2,0)*(IFERROR(VLOOKUP(P$2,$B$35:$C$42,2,0),0)))</f>
        <v>0</v>
      </c>
      <c r="R18" s="58">
        <f>IFERROR(IF($K18&lt;VLOOKUP(P$2,$B:$H,7,0),IF(T$3=1,MIN($M18,P18),IF(HLOOKUP(CONCATENATE("Balance",T$3-1),'Withdrawal Working'!$A$2:$CD$78,MATCH('Yoy WAR OG'!$J18,'Withdrawal Working'!$A$2:$A$78,0),FALSE)&gt;0,MIN(HLOOKUP(CONCATENATE("Balance",T$3-1),'Withdrawal Working'!$A$2:$CD$78,MATCH('Yoy WAR OG'!$J18,'Withdrawal Working'!$A$2:$A$78,0),0),P18),0)),IF($K18=VLOOKUP(P$2,$B:$H,7,0),P18,)),0)</f>
        <v>0</v>
      </c>
      <c r="S18" s="58">
        <f t="shared" ca="1" si="26"/>
        <v>0</v>
      </c>
      <c r="T18" s="58"/>
      <c r="V18" s="58">
        <f t="shared" ca="1" si="27"/>
        <v>0</v>
      </c>
      <c r="W18" s="58">
        <f ca="1">(VLOOKUP(V$2,$B$1:$F$32,5,0)*$L18)+(VLOOKUP($K18,'Withdrawal Working'!$AD:$AE,2,0)*(IFERROR(VLOOKUP(V$2,$B$35:$C$42,2,0),0)))</f>
        <v>0</v>
      </c>
      <c r="X18" s="58">
        <f>IFERROR(IF($K18&lt;VLOOKUP(V$2,$B:$H,7,0),IF(Z$3=1,MIN($M18,V18),IF(HLOOKUP(CONCATENATE("Balance",Z$3-1),'Withdrawal Working'!$A$2:$CD$78,MATCH('Yoy WAR OG'!$J18,'Withdrawal Working'!$A$2:$A$78,0),FALSE)&gt;0,MIN(HLOOKUP(CONCATENATE("Balance",Z$3-1),'Withdrawal Working'!$A$2:$CD$78,MATCH('Yoy WAR OG'!$J18,'Withdrawal Working'!$A$2:$A$78,0),0),V18),0)),IF($K18=VLOOKUP(V$2,$B:$H,7,0),V18,)),0)</f>
        <v>0</v>
      </c>
      <c r="Y18" s="58">
        <f t="shared" ca="1" si="2"/>
        <v>0</v>
      </c>
      <c r="AB18" s="58">
        <f t="shared" ca="1" si="28"/>
        <v>0</v>
      </c>
      <c r="AC18" s="58">
        <f ca="1">(VLOOKUP(AB$2,$B$1:$F$32,5,0)*$L18)+(VLOOKUP($K18,'Withdrawal Working'!$AD:$AE,2,0)*(IFERROR(VLOOKUP(AB$2,$B$35:$C$42,2,0),0)))</f>
        <v>0</v>
      </c>
      <c r="AD18" s="58">
        <f>IFERROR(IF($K18&lt;VLOOKUP(AB$2,$B:$H,7,0),IF(AF$3=1,MIN($M18,AB18),IF(HLOOKUP(CONCATENATE("Balance",AF$3-1),'Withdrawal Working'!$A$2:$CD$78,MATCH('Yoy WAR OG'!$J18,'Withdrawal Working'!$A$2:$A$78,0),FALSE)&gt;0,MIN(HLOOKUP(CONCATENATE("Balance",AF$3-1),'Withdrawal Working'!$A$2:$CD$78,MATCH('Yoy WAR OG'!$J18,'Withdrawal Working'!$A$2:$A$78,0),0),AB18),0)),IF($K18=VLOOKUP(AB$2,$B:$H,7,0),AB18,)),0)</f>
        <v>0</v>
      </c>
      <c r="AE18" s="58">
        <f t="shared" ca="1" si="3"/>
        <v>0</v>
      </c>
      <c r="AH18" s="58">
        <f t="shared" ca="1" si="29"/>
        <v>151035479.82467291</v>
      </c>
      <c r="AI18" s="58">
        <f ca="1">(VLOOKUP(AH$2,$B$1:$F$32,5,0)*$L18)+IF(J18&gt;'NWGC - SCENARIOS'!$D$7,0,(VLOOKUP($K18,'Withdrawal Working'!$AD:$AE,2,0)*(IFERROR(VLOOKUP(AH$2,$B$35:$C$42,2,0),0))))</f>
        <v>0</v>
      </c>
      <c r="AJ18" s="58">
        <f ca="1">IFERROR(IF($J18&gt;'NWGC - SCENARIOS'!$D$7,MIN('Yoy WAR OG'!AH18,VLOOKUP('Yoy WAR OG'!$J18,'Withdrawal Working'!BC:BD,2,0)),IF(AL$3=1,$M18,IF(HLOOKUP(CONCATENATE("Balance",AL$3-1),'Withdrawal Working'!$A$2:$CD$78,MATCH('Yoy WAR OG'!$J18,'Withdrawal Working'!$A$2:$A$78,0),FALSE)&gt;0,MIN(HLOOKUP(CONCATENATE("Balance",AL$3-1),'Withdrawal Working'!$A$2:$CD$78,MATCH('Yoy WAR OG'!$J18,'Withdrawal Working'!$A$2:$A$78,0),0),AH18),0))),0)</f>
        <v>7662840.8574437993</v>
      </c>
      <c r="AK18" s="58">
        <f t="shared" ca="1" si="4"/>
        <v>159143629.25362432</v>
      </c>
      <c r="AN18" s="450">
        <f t="shared" ca="1" si="30"/>
        <v>161037449.14561221</v>
      </c>
      <c r="AO18" s="58">
        <f ca="1">IF(J18&gt;'NWGC - SCENARIOS'!$D$7,(IF(AJ18=0,0,'Yoy WAR OG'!AJ18)+(VLOOKUP(AN$2,$B$1:$F$32,5,0)*$L18)),(VLOOKUP(AN$2,$B$1:$F$32,5,0)*$L18)+(VLOOKUP($K18,'Withdrawal Working'!$AD:$AE,2,0)*(IFERROR(VLOOKUP(AN$2,$B$35:$C$42,2,0),0))))</f>
        <v>7662840.8574437993</v>
      </c>
      <c r="AP18" s="470">
        <f ca="1">IFERROR(IF($K18&lt;&gt;VLOOKUP(AN$2,$B:$H,7,0),IF(AR$3=1,MIN($M18,AN18),IF(HLOOKUP(CONCATENATE("Balance",AR$3-1),'Withdrawal Working'!$A$2:$CD$78,MATCH('Yoy WAR OG'!$J18,'Withdrawal Working'!$A$2:$A$78,0),FALSE)&gt;0,MIN(HLOOKUP(CONCATENATE("Balance",AR$3-1),'Withdrawal Working'!$A$2:$CD$78,MATCH('Yoy WAR OG'!$J18,'Withdrawal Working'!$A$2:$A$78,0),0),AN18),0)),IF($K18=VLOOKUP(AN$2,$B:$H,7,0),AN18,)),0)</f>
        <v>6557667.4017865211</v>
      </c>
      <c r="AQ18" s="58">
        <f ca="1">IF(AO18&lt;0,0,IF(J18&gt;'NWGC - SCENARIOS'!$D$7,((AN18-AP18+AO18)*(1+(IFERROR(VLOOKUP(AN$2,$B:$D,3,0),0)))),((AN18-AP18)*(1+(IFERROR(VLOOKUP(AN$2,$B:$D,3,0),0))))+AO18))</f>
        <v>171060466.84433928</v>
      </c>
      <c r="AT18" s="450">
        <f t="shared" ca="1" si="31"/>
        <v>0</v>
      </c>
      <c r="AU18" s="58">
        <f ca="1">(VLOOKUP(AT$2,$B$1:$F$32,5,0)*$L18)+(VLOOKUP($K18,'Withdrawal Working'!$AD:$AE,2,0)*(IFERROR(VLOOKUP(AT$2,$B$35:$C$42,2,0),0)))</f>
        <v>0</v>
      </c>
      <c r="AV18" s="58">
        <f>IFERROR(IF($K18&lt;VLOOKUP(AT$2,$B:$H,7,0),IF(AX$3=1,MIN($M18,AT18),IF(HLOOKUP(CONCATENATE("Balance",AX$3-1),'Withdrawal Working'!$A$2:$CD$78,MATCH('Yoy WAR OG'!$J18,'Withdrawal Working'!$A$2:$A$78,0),FALSE)&gt;0,MIN(HLOOKUP(CONCATENATE("Balance",AX$3-1),'Withdrawal Working'!$A$2:$CD$78,MATCH('Yoy WAR OG'!$J18,'Withdrawal Working'!$A$2:$A$78,0),0),AT18),0)),IF($K18=VLOOKUP(AT$2,$B:$H,7,0),AT18,)),0)</f>
        <v>0</v>
      </c>
      <c r="AW18" s="58">
        <f t="shared" ca="1" si="5"/>
        <v>0</v>
      </c>
      <c r="AZ18" s="450">
        <f t="shared" ca="1" si="32"/>
        <v>10314136.600804992</v>
      </c>
      <c r="BA18" s="58">
        <f ca="1">(VLOOKUP(AZ$2,$B$1:$F$32,5,0)*$L18)+(VLOOKUP($K18,'Withdrawal Working'!$AD:$AE,2,0)*(IFERROR(VLOOKUP(AZ$2,$B$35:$C$42,2,0),0)))</f>
        <v>0</v>
      </c>
      <c r="BB18" s="58">
        <f>IFERROR(IF($K18&lt;VLOOKUP(AZ$2,$B:$H,7,0),IF(BD$3=1,MIN($M18,AZ18),IF(HLOOKUP(CONCATENATE("Balance",BD$3-1),'Withdrawal Working'!$A$2:$CD$78,MATCH('Yoy WAR OG'!$J18,'Withdrawal Working'!$A$2:$A$78,0),FALSE)&gt;0,MIN(HLOOKUP(CONCATENATE("Balance",BD$3-1),'Withdrawal Working'!$A$2:$CD$78,MATCH('Yoy WAR OG'!$J18,'Withdrawal Working'!$A$2:$A$78,0),0),AZ18),0)),IF($K18=VLOOKUP(AZ$2,$B:$H,7,0),AZ18,)),0)</f>
        <v>0</v>
      </c>
      <c r="BC18" s="58">
        <f t="shared" ca="1" si="6"/>
        <v>11036126.162861342</v>
      </c>
      <c r="BF18" s="450">
        <f t="shared" ca="1" si="33"/>
        <v>0</v>
      </c>
      <c r="BG18" s="58">
        <f ca="1">(VLOOKUP(BF$2,$B$1:$F$32,5,0)*$L18)+(VLOOKUP($K18,'Withdrawal Working'!$AD:$AE,2,0)*(IFERROR(VLOOKUP(BF$2,$B$35:$C$42,2,0),0)))</f>
        <v>0</v>
      </c>
      <c r="BH18" s="58">
        <f>IFERROR(IF($K18&lt;VLOOKUP(BF$2,$B:$H,7,0),IF(BJ$3=1,MIN($M18,BF18),IF(HLOOKUP(CONCATENATE("Balance",BJ$3-1),'Withdrawal Working'!$A$2:$CD$78,MATCH('Yoy WAR OG'!$J18,'Withdrawal Working'!$A$2:$A$78,0),FALSE)&gt;0,MIN(HLOOKUP(CONCATENATE("Balance",BJ$3-1),'Withdrawal Working'!$A$2:$CD$78,MATCH('Yoy WAR OG'!$J18,'Withdrawal Working'!$A$2:$A$78,0),0),BF18),0)),IF($K18=VLOOKUP(BF$2,$B:$H,7,0),BF18,)),0)</f>
        <v>0</v>
      </c>
      <c r="BI18" s="58">
        <f t="shared" ca="1" si="7"/>
        <v>0</v>
      </c>
      <c r="BL18" s="450">
        <f t="shared" ca="1" si="34"/>
        <v>0</v>
      </c>
      <c r="BM18" s="58">
        <f ca="1">(VLOOKUP(BL$2,$B$1:$F$32,5,0)*$L18)+(VLOOKUP($K18,'Withdrawal Working'!$AD:$AE,2,0)*(IFERROR(VLOOKUP(BL$2,$B$35:$C$42,2,0),0)))</f>
        <v>0</v>
      </c>
      <c r="BN18" s="58">
        <f>IFERROR(IF($K18&lt;VLOOKUP(BL$2,$B:$H,7,0),IF(BP$3=1,MIN($M18,BL18),IF(HLOOKUP(CONCATENATE("Balance",BP$3-1),'Withdrawal Working'!$A$2:$CD$78,MATCH('Yoy WAR OG'!$J18,'Withdrawal Working'!$A$2:$A$78,0),FALSE)&gt;0,MIN(HLOOKUP(CONCATENATE("Balance",BP$3-1),'Withdrawal Working'!$A$2:$CD$78,MATCH('Yoy WAR OG'!$J18,'Withdrawal Working'!$A$2:$A$78,0),0),BL18),0)),IF($K18=VLOOKUP(BL$2,$B:$H,7,0),BL18,)),0)</f>
        <v>0</v>
      </c>
      <c r="BO18" s="58">
        <f t="shared" ca="1" si="8"/>
        <v>0</v>
      </c>
      <c r="BR18" s="450">
        <f t="shared" ca="1" si="35"/>
        <v>0</v>
      </c>
      <c r="BS18" s="58">
        <f ca="1">(VLOOKUP(BR$2,$B$1:$F$32,5,0)*$L18)+(VLOOKUP($K18,'Withdrawal Working'!$AD:$AE,2,0)*(IFERROR(VLOOKUP(BR$2,$B$35:$C$42,2,0),0)))</f>
        <v>0</v>
      </c>
      <c r="BT18" s="58">
        <f>IFERROR(IF($K18&lt;VLOOKUP(BR$2,$B:$H,7,0),IF(BV$3=1,MIN($M18,BR18),IF(HLOOKUP(CONCATENATE("Balance",BV$3-1),'Withdrawal Working'!$A$2:$CD$78,MATCH('Yoy WAR OG'!$J18,'Withdrawal Working'!$A$2:$A$78,0),FALSE)&gt;0,MIN(HLOOKUP(CONCATENATE("Balance",BV$3-1),'Withdrawal Working'!$A$2:$CD$78,MATCH('Yoy WAR OG'!$J18,'Withdrawal Working'!$A$2:$A$78,0),0),BR18),0)),IF($K18=VLOOKUP(BR$2,$B:$H,7,0),BR18,)),0)</f>
        <v>0</v>
      </c>
      <c r="BU18" s="58">
        <f t="shared" ca="1" si="9"/>
        <v>0</v>
      </c>
      <c r="BX18" s="450">
        <f t="shared" ca="1" si="36"/>
        <v>0</v>
      </c>
      <c r="BY18" s="58">
        <f ca="1">(VLOOKUP(BX$2,$B$1:$F$32,5,0)*$L18)+(VLOOKUP($K18,'Withdrawal Working'!$AD:$AE,2,0)*(IFERROR(VLOOKUP(BX$2,$B$35:$C$42,2,0),0)))</f>
        <v>0</v>
      </c>
      <c r="BZ18" s="58">
        <f>IFERROR(IF($K18&lt;VLOOKUP(BX$2,$B:$H,7,0),IF(CB$3=1,MIN($M18,BX18),IF(HLOOKUP(CONCATENATE("Balance",CB$3-1),'Withdrawal Working'!$A$2:$CD$78,MATCH('Yoy WAR OG'!$J18,'Withdrawal Working'!$A$2:$A$78,0),FALSE)&gt;0,MIN(HLOOKUP(CONCATENATE("Balance",CB$3-1),'Withdrawal Working'!$A$2:$CD$78,MATCH('Yoy WAR OG'!$J18,'Withdrawal Working'!$A$2:$A$78,0),0),BX18),0)),IF($K18=VLOOKUP(BX$2,$B:$H,7,0),BX18,)),0)</f>
        <v>0</v>
      </c>
      <c r="CA18" s="58">
        <f t="shared" ca="1" si="10"/>
        <v>0</v>
      </c>
      <c r="CD18" s="450">
        <f t="shared" ca="1" si="37"/>
        <v>27542349.795784086</v>
      </c>
      <c r="CE18" s="58">
        <f ca="1">(VLOOKUP(CD$2,$B$1:$F$32,5,0)*$L18)+(VLOOKUP($K18,'Withdrawal Working'!$AD:$AE,2,0)*(IFERROR(VLOOKUP(CD$2,$B$35:$C$42,2,0),0)))+SUMIFS('Key Life Events'!$I$3:$I$28,'Key Life Events'!$H$3:$H$28,"House",'Key Life Events'!$E$3:$E$28,'Yoy WAR OG'!K18)</f>
        <v>0</v>
      </c>
      <c r="CF18" s="58">
        <f>IFERROR(IF($K18&lt;VLOOKUP(CD$2,$B:$H,7,0),IF(CH$3=1,MIN($M18,CD18),IF(HLOOKUP(CONCATENATE("Balance",CH$3-1),'Withdrawal Working'!$A$2:$CD$78,MATCH('Yoy WAR OG'!$J18,'Withdrawal Working'!$A$2:$A$78,0),FALSE)&gt;0,MIN(HLOOKUP(CONCATENATE("Balance",CH$3-1),'Withdrawal Working'!$A$2:$CD$78,MATCH('Yoy WAR OG'!$J18,'Withdrawal Working'!$A$2:$A$78,0),0),CD18),0)),IF($K18=VLOOKUP(CD$2,$B:$H,7,0),CD18,)),0)</f>
        <v>0</v>
      </c>
      <c r="CG18" s="58">
        <f t="shared" ca="1" si="11"/>
        <v>28368620.289657608</v>
      </c>
      <c r="CJ18" s="450">
        <f t="shared" ca="1" si="38"/>
        <v>0</v>
      </c>
      <c r="CK18" s="58">
        <f ca="1">(VLOOKUP(CJ$2,$B$1:$F$32,5,0)*$L18)+(VLOOKUP($K18,'Withdrawal Working'!$AD:$AE,2,0)*(IFERROR(VLOOKUP(CJ$2,$B$35:$C$42,2,0),0)))+SUMIFS('Key Life Events'!$I$3:$I$28,'Key Life Events'!$H$3:$H$28,"House2",'Key Life Events'!$E$3:$E$28,'Yoy WAR OG'!K18)</f>
        <v>0</v>
      </c>
      <c r="CL18" s="58">
        <f ca="1">IF(IFERROR(IF($K18&lt;&gt;VLOOKUP(CJ$2,$B:$H,7,0),IF(CN$3=1,MIN($M18,CJ18),IF(HLOOKUP(CONCATENATE("Balance",CN$3-1),'Withdrawal Working'!$A$2:$CD$78,MATCH('Yoy WAR OG'!$J18,'Withdrawal Working'!$A$2:$A$78,0),FALSE)&gt;0,MIN(HLOOKUP(CONCATENATE("Balance",CN$3-1),'Withdrawal Working'!$A$2:$CD$78,MATCH('Yoy WAR OG'!$J18,'Withdrawal Working'!$A$2:$A$78,0),0),CJ18),0)),IF($K18=VLOOKUP(CJ$2,$B:$H,7,0),CJ18,)),0)&gt;0,CJ18,0)</f>
        <v>0</v>
      </c>
      <c r="CM18" s="58">
        <f t="shared" ca="1" si="12"/>
        <v>0</v>
      </c>
      <c r="CP18" s="450">
        <f t="shared" ca="1" si="39"/>
        <v>4949828.9985984955</v>
      </c>
      <c r="CQ18" s="58">
        <f ca="1">(VLOOKUP(CP$2,$B$1:$F$32,5,0)*$L18)+(VLOOKUP($K18,'Withdrawal Working'!$AD:$AE,2,0)*(IFERROR(VLOOKUP(CP$2,$B$35:$C$42,2,0),0)))+SUMIFS('Key Life Events'!$I$3:$I$28,'Key Life Events'!$H$3:$H$28,"Land",'Key Life Events'!$E$3:$E$28,'Yoy WAR OG'!K18)</f>
        <v>0</v>
      </c>
      <c r="CR18" s="58">
        <f>IFERROR(IF($K18&lt;VLOOKUP(CP$2,$B:$H,7,0),IF(CT$3=1,MIN($M18,CP18),IF(HLOOKUP(CONCATENATE("Balance",CT$3-1),'Withdrawal Working'!$A$2:$CD$78,MATCH('Yoy WAR OG'!$J18,'Withdrawal Working'!$A$2:$A$78,0),FALSE)&gt;0,MIN(HLOOKUP(CONCATENATE("Balance",CT$3-1),'Withdrawal Working'!$A$2:$CD$78,MATCH('Yoy WAR OG'!$J18,'Withdrawal Working'!$A$2:$A$78,0),0),CP18),0)),IF($K18=VLOOKUP(CP$2,$B:$H,7,0),CP18,)),0)</f>
        <v>0</v>
      </c>
      <c r="CS18" s="58">
        <f t="shared" ca="1" si="13"/>
        <v>5197320.4485284202</v>
      </c>
      <c r="CV18" s="450">
        <f t="shared" ca="1" si="40"/>
        <v>0</v>
      </c>
      <c r="CW18" s="58"/>
      <c r="CX18" s="58">
        <f>IFERROR(IF($K18&lt;VLOOKUP(CV$2,$B:$H,7,0),IF(CZ$3=1,MIN($M18,CV18),IF(HLOOKUP(CONCATENATE("Balance",CZ$3-1),'Withdrawal Working'!$A$2:$CD$78,MATCH('Yoy WAR OG'!$J18,'Withdrawal Working'!$A$2:$A$78,0),FALSE)&gt;0,MIN(HLOOKUP(CONCATENATE("Balance",CZ$3-1),'Withdrawal Working'!$A$2:$CD$78,MATCH('Yoy WAR OG'!$J18,'Withdrawal Working'!$A$2:$A$78,0),0),CV18),0)),IF($K18=VLOOKUP(CV$2,$B:$H,7,0),CV18,)),0)</f>
        <v>0</v>
      </c>
      <c r="CY18" s="58">
        <f t="shared" ca="1" si="14"/>
        <v>0</v>
      </c>
      <c r="DB18" s="450">
        <f t="shared" ca="1" si="41"/>
        <v>0</v>
      </c>
      <c r="DC18" s="58">
        <f ca="1">(VLOOKUP(DB$2,$B$1:$F$32,5,0)*$L18)+(VLOOKUP($K18,'Withdrawal Working'!$AD:$AE,2,0)*(IFERROR(VLOOKUP(DB$2,$B$35:$C$42,2,0),0)))</f>
        <v>0</v>
      </c>
      <c r="DD18" s="58">
        <f>IFERROR(IF($K18&lt;VLOOKUP(DB$2,$B:$H,7,0),IF(DF$3=1,MIN($M18,DB18),IF(HLOOKUP(CONCATENATE("Balance",DF$3-1),'Withdrawal Working'!$A$2:$CD$78,MATCH('Yoy WAR OG'!$J18,'Withdrawal Working'!$A$2:$A$78,0),FALSE)&gt;0,MIN(HLOOKUP(CONCATENATE("Balance",DF$3-1),'Withdrawal Working'!$A$2:$CD$78,MATCH('Yoy WAR OG'!$J18,'Withdrawal Working'!$A$2:$A$78,0),0),DB18),0)),IF($K18=VLOOKUP(DB$2,$B:$H,7,0),DB18,)),0)</f>
        <v>0</v>
      </c>
      <c r="DE18" s="58">
        <f t="shared" ca="1" si="15"/>
        <v>0</v>
      </c>
      <c r="DH18" s="450">
        <f t="shared" ca="1" si="42"/>
        <v>0</v>
      </c>
      <c r="DI18" s="58">
        <f>IF(OR(J18&gt;'NWGC - SCENARIOS'!$D$7,J18='NWGC - SCENARIOS'!$D$7),0,DI17*(1+'NWGC - SCENARIOS'!$L$5))</f>
        <v>0</v>
      </c>
      <c r="DJ18" s="58">
        <f>IFERROR(IF($K18&lt;VLOOKUP(DH$2,$B:$H,7,0),IF(DL$3=1,MIN($M18,DH18),IF(HLOOKUP(CONCATENATE("Balance",DL$3-1),'Withdrawal Working'!$A$2:$CD$78,MATCH('Yoy WAR OG'!$J18,'Withdrawal Working'!$A$2:$A$78,0),FALSE)&gt;0,MIN(HLOOKUP(CONCATENATE("Balance",DL$3-1),'Withdrawal Working'!$A$2:$CD$78,MATCH('Yoy WAR OG'!$J18,'Withdrawal Working'!$A$2:$A$78,0),0),DH18),0)),IF($K18=VLOOKUP(DH$2,$B:$H,7,0),DH18,)),0)</f>
        <v>0</v>
      </c>
      <c r="DK18" s="58">
        <f t="shared" ca="1" si="16"/>
        <v>0</v>
      </c>
      <c r="DN18" s="450">
        <f t="shared" ca="1" si="43"/>
        <v>0</v>
      </c>
      <c r="DO18" s="58">
        <f ca="1">(VLOOKUP(DN$2,$B$1:$F$32,5,0)*$L18)+(VLOOKUP($K18,'Withdrawal Working'!$AD:$AE,2,0)*(IFERROR(VLOOKUP(DN$2,$B$35:$C$42,2,0),0)))</f>
        <v>0</v>
      </c>
      <c r="DP18" s="58">
        <f>IFERROR(IF($K18&lt;VLOOKUP(DN$2,$B:$H,7,0),IF(DR$3=1,MIN($M18,DN18),IF(HLOOKUP(CONCATENATE("Balance",DR$3-1),'Withdrawal Working'!$A$2:$CD$78,MATCH('Yoy WAR OG'!$J18,'Withdrawal Working'!$A$2:$A$78,0),FALSE)&gt;0,MIN(HLOOKUP(CONCATENATE("Balance",DR$3-1),'Withdrawal Working'!$A$2:$CD$78,MATCH('Yoy WAR OG'!$J18,'Withdrawal Working'!$A$2:$A$78,0),0),DN18),0)),IF($K18=VLOOKUP(DN$2,$B:$H,7,0),DN18,)),0)</f>
        <v>0</v>
      </c>
      <c r="DQ18" s="58">
        <f t="shared" ca="1" si="17"/>
        <v>0</v>
      </c>
      <c r="DT18" s="450">
        <f t="shared" ca="1" si="44"/>
        <v>0</v>
      </c>
      <c r="DU18" s="58">
        <f ca="1">(VLOOKUP(DT$2,$B$1:$F$32,5,0)*$L18)+(VLOOKUP($K18,'Withdrawal Working'!$AD:$AE,2,0)*(IFERROR(VLOOKUP(DT$2,$B$35:$C$42,2,0),0)))</f>
        <v>0</v>
      </c>
      <c r="DV18" s="58">
        <f>IFERROR(IF($K18&lt;VLOOKUP(DT$2,$B:$H,7,0),IF(DX$3=1,MIN($M18,DT18),IF(HLOOKUP(CONCATENATE("Balance",DX$3-1),'Withdrawal Working'!$A$2:$CD$78,MATCH('Yoy WAR OG'!$J18,'Withdrawal Working'!$A$2:$A$78,0),FALSE)&gt;0,MIN(HLOOKUP(CONCATENATE("Balance",DX$3-1),'Withdrawal Working'!$A$2:$CD$78,MATCH('Yoy WAR OG'!$J18,'Withdrawal Working'!$A$2:$A$78,0),0),DT18),0)),IF($K18=VLOOKUP(DT$2,$B:$H,7,0),DT18,)),0)</f>
        <v>0</v>
      </c>
      <c r="DW18" s="58">
        <f t="shared" ca="1" si="18"/>
        <v>0</v>
      </c>
      <c r="DZ18" s="450">
        <f t="shared" ca="1" si="45"/>
        <v>0</v>
      </c>
      <c r="EA18" s="58">
        <f ca="1">(VLOOKUP(DZ$2,$B$1:$F$32,5,0)*$L18)+(VLOOKUP($K18,'Withdrawal Working'!$AD:$AE,2,0)*(IFERROR(VLOOKUP(DZ$2,$B$35:$C$42,2,0),0)))</f>
        <v>0</v>
      </c>
      <c r="EB18" s="58">
        <f>IFERROR(IF($K18&lt;VLOOKUP(DZ$2,$B:$H,7,0),IF(ED$3=1,MIN($M18,DZ18),IF(HLOOKUP(CONCATENATE("Balance",ED$3-1),'Withdrawal Working'!$A$2:$CD$78,MATCH('Yoy WAR OG'!$J18,'Withdrawal Working'!$A$2:$A$78,0),FALSE)&gt;0,MIN(HLOOKUP(CONCATENATE("Balance",ED$3-1),'Withdrawal Working'!$A$2:$CD$78,MATCH('Yoy WAR OG'!$J18,'Withdrawal Working'!$A$2:$A$78,0),0),DZ18),0)),IF($K18=VLOOKUP(DZ$2,$B:$H,7,0),DZ18,)),0)</f>
        <v>0</v>
      </c>
      <c r="EC18" s="58">
        <f t="shared" ca="1" si="19"/>
        <v>0</v>
      </c>
      <c r="EF18" s="450">
        <f t="shared" ca="1" si="46"/>
        <v>0</v>
      </c>
      <c r="EG18" s="58">
        <f ca="1">(VLOOKUP(EF$2,$B$1:$F$32,5,0)*$L18)+(VLOOKUP($K18,'Withdrawal Working'!$AD:$AE,2,0)*(IFERROR(VLOOKUP(EF$2,$B$35:$C$42,2,0),0)))</f>
        <v>0</v>
      </c>
      <c r="EH18" s="58">
        <f>IFERROR(IF($K18&lt;VLOOKUP(EF$2,$B:$H,7,0),IF(EJ$3=1,MIN($M18,EF18),IF(HLOOKUP(CONCATENATE("Balance",EJ$3-1),'Withdrawal Working'!$A$2:$CD$78,MATCH('Yoy WAR OG'!$J18,'Withdrawal Working'!$A$2:$A$78,0),FALSE)&gt;0,MIN(HLOOKUP(CONCATENATE("Balance",EJ$3-1),'Withdrawal Working'!$A$2:$CD$78,MATCH('Yoy WAR OG'!$J18,'Withdrawal Working'!$A$2:$A$78,0),0),EF18),0)),IF($K18=VLOOKUP(EF$2,$B:$H,7,0),EF18,)),0)</f>
        <v>0</v>
      </c>
      <c r="EI18" s="58">
        <f t="shared" ca="1" si="20"/>
        <v>0</v>
      </c>
      <c r="EL18" s="450">
        <f t="shared" ca="1" si="47"/>
        <v>0</v>
      </c>
      <c r="EM18" s="58">
        <f>IF(OR($J18&gt;'NWGC - SCENARIOS'!$D$7,$J18='NWGC - SCENARIOS'!$D$7),0,EM17)</f>
        <v>0</v>
      </c>
      <c r="EN18" s="58">
        <f>IFERROR(IF($K18&lt;VLOOKUP(EL$2,$B:$H,7,0),IF(EP$3=1,MIN($M18,EL18),IF(HLOOKUP(CONCATENATE("Balance",EP$3-1),'Withdrawal Working'!$A$2:$CD$78,MATCH('Yoy WAR OG'!$J18,'Withdrawal Working'!$A$2:$A$78,0),FALSE)&gt;0,MIN(HLOOKUP(CONCATENATE("Balance",EP$3-1),'Withdrawal Working'!$A$2:$CD$78,MATCH('Yoy WAR OG'!$J18,'Withdrawal Working'!$A$2:$A$78,0),0),EL18),0)),IF($K18=VLOOKUP(EL$2,$B:$H,7,0),EL18,)),0)</f>
        <v>0</v>
      </c>
      <c r="EO18" s="58">
        <f t="shared" ca="1" si="21"/>
        <v>0</v>
      </c>
      <c r="ER18" s="450">
        <f t="shared" ca="1" si="48"/>
        <v>0</v>
      </c>
      <c r="ES18" s="58">
        <f>IF(OR(J18&gt;'NWGC - SCENARIOS'!$D$7,J18='NWGC - SCENARIOS'!$D$7),0,ES17*(1+'NWGC - SCENARIOS'!$L$5))</f>
        <v>0</v>
      </c>
      <c r="ET18" s="58">
        <f>IFERROR(IF($K18&lt;VLOOKUP(ER$2,$B:$H,7,0),IF(EV$3=1,MIN($M18,ER18),IF(HLOOKUP(CONCATENATE("Balance",EV$3-1),'Withdrawal Working'!$A$2:$CD$78,MATCH('Yoy WAR OG'!$J18,'Withdrawal Working'!$A$2:$A$78,0),FALSE)&gt;0,MIN(HLOOKUP(CONCATENATE("Balance",EV$3-1),'Withdrawal Working'!$A$2:$CD$78,MATCH('Yoy WAR OG'!$J18,'Withdrawal Working'!$A$2:$A$78,0),0),ER18),0)),IF($K18=VLOOKUP(ER$2,$B:$H,7,0),ER18,)),0)</f>
        <v>0</v>
      </c>
      <c r="EU18" s="58">
        <f t="shared" ca="1" si="22"/>
        <v>0</v>
      </c>
      <c r="EX18" s="450">
        <f t="shared" ca="1" si="49"/>
        <v>0</v>
      </c>
      <c r="EY18" s="58">
        <f>IF(OR(J18&gt;'NWGC - SCENARIOS'!$D$7,J18='NWGC - SCENARIOS'!$D$7),0,EY17)</f>
        <v>0</v>
      </c>
      <c r="EZ18" s="58">
        <f>IFERROR(IF($K18&lt;VLOOKUP(EX$2,$B:$H,7,0),IF(FB$3=1,MIN($M18,EX18),IF(HLOOKUP(CONCATENATE("Balance",FB$3-1),'Withdrawal Working'!$A$2:$CD$78,MATCH('Yoy WAR OG'!$J18,'Withdrawal Working'!$A$2:$A$78,0),FALSE)&gt;0,MIN(HLOOKUP(CONCATENATE("Balance",FB$3-1),'Withdrawal Working'!$A$2:$CD$78,MATCH('Yoy WAR OG'!$J18,'Withdrawal Working'!$A$2:$A$78,0),0),EX18),0)),IF($K18=VLOOKUP(EX$2,$B:$H,7,0),EX18,)),0)</f>
        <v>0</v>
      </c>
      <c r="FA18" s="58">
        <f t="shared" ca="1" si="23"/>
        <v>0</v>
      </c>
    </row>
    <row r="19" spans="1:157" x14ac:dyDescent="0.3">
      <c r="A19" t="s">
        <v>367</v>
      </c>
      <c r="B19" t="str">
        <f>Networth!B22</f>
        <v>Government Schemes- SSA</v>
      </c>
      <c r="C19" s="58">
        <f>VLOOKUP('Yoy WAR OG'!B19,'WAR - Rev'!$A$1:$B$29,2,0)</f>
        <v>1400000</v>
      </c>
      <c r="D19" s="313">
        <f>'WAR - Rev'!C17</f>
        <v>8.2000000000000003E-2</v>
      </c>
      <c r="E19">
        <v>150000</v>
      </c>
      <c r="H19" s="452">
        <f>VLOOKUP('NWGC - SCENARIOS'!$D$7,'NWGC - SCENARIOS'!$B$11:$C$67,2,0)</f>
        <v>2031</v>
      </c>
      <c r="J19">
        <f>IFERROR('NWGC - SCENARIOS'!B26,0)</f>
        <v>64</v>
      </c>
      <c r="K19">
        <f>IFERROR('NWGC - SCENARIOS'!C26,0)</f>
        <v>2040</v>
      </c>
      <c r="L19" s="449">
        <f ca="1">IF(('NWGC - SCENARIOS'!G26-working!G17)&gt;'NWGC - SCENARIOS'!H26,'NWGC - SCENARIOS'!G26-'NWGC - SCENARIOS'!H26-working!G17,0)</f>
        <v>0</v>
      </c>
      <c r="M19" s="449">
        <f ca="1">IF(('NWGC - SCENARIOS'!G26-working!G17)&gt;'NWGC - SCENARIOS'!H26,0,'NWGC - SCENARIOS'!H26-'NWGC - SCENARIOS'!G26+working!G17)</f>
        <v>7089000.7939294428</v>
      </c>
      <c r="N19" s="58">
        <f t="shared" ca="1" si="0"/>
        <v>349183782.80777323</v>
      </c>
      <c r="O19" s="58">
        <f t="shared" ca="1" si="1"/>
        <v>46485520.363563813</v>
      </c>
      <c r="P19" s="58">
        <f t="shared" ca="1" si="24"/>
        <v>0</v>
      </c>
      <c r="Q19" s="58">
        <f ca="1">(VLOOKUP(P$2,$B$1:$F$32,5,0)*$L19)+(VLOOKUP($K19,'Withdrawal Working'!$AD:$AE,2,0)*(IFERROR(VLOOKUP(P$2,$B$35:$C$42,2,0),0)))</f>
        <v>0</v>
      </c>
      <c r="R19" s="58">
        <f>IFERROR(IF($K19&lt;VLOOKUP(P$2,$B:$H,7,0),IF(T$3=1,MIN($M19,P19),IF(HLOOKUP(CONCATENATE("Balance",T$3-1),'Withdrawal Working'!$A$2:$CD$78,MATCH('Yoy WAR OG'!$J19,'Withdrawal Working'!$A$2:$A$78,0),FALSE)&gt;0,MIN(HLOOKUP(CONCATENATE("Balance",T$3-1),'Withdrawal Working'!$A$2:$CD$78,MATCH('Yoy WAR OG'!$J19,'Withdrawal Working'!$A$2:$A$78,0),0),P19),0)),IF($K19=VLOOKUP(P$2,$B:$H,7,0),P19,)),0)</f>
        <v>0</v>
      </c>
      <c r="S19" s="58">
        <f t="shared" ca="1" si="26"/>
        <v>0</v>
      </c>
      <c r="T19" s="58"/>
      <c r="V19" s="58">
        <f t="shared" ca="1" si="27"/>
        <v>0</v>
      </c>
      <c r="W19" s="58">
        <f ca="1">(VLOOKUP(V$2,$B$1:$F$32,5,0)*$L19)+(VLOOKUP($K19,'Withdrawal Working'!$AD:$AE,2,0)*(IFERROR(VLOOKUP(V$2,$B$35:$C$42,2,0),0)))</f>
        <v>0</v>
      </c>
      <c r="X19" s="58">
        <f>IFERROR(IF($K19&lt;VLOOKUP(V$2,$B:$H,7,0),IF(Z$3=1,MIN($M19,V19),IF(HLOOKUP(CONCATENATE("Balance",Z$3-1),'Withdrawal Working'!$A$2:$CD$78,MATCH('Yoy WAR OG'!$J19,'Withdrawal Working'!$A$2:$A$78,0),FALSE)&gt;0,MIN(HLOOKUP(CONCATENATE("Balance",Z$3-1),'Withdrawal Working'!$A$2:$CD$78,MATCH('Yoy WAR OG'!$J19,'Withdrawal Working'!$A$2:$A$78,0),0),V19),0)),IF($K19=VLOOKUP(V$2,$B:$H,7,0),V19,)),0)</f>
        <v>0</v>
      </c>
      <c r="Y19" s="58">
        <f t="shared" ca="1" si="2"/>
        <v>0</v>
      </c>
      <c r="AB19" s="58">
        <f t="shared" ca="1" si="28"/>
        <v>0</v>
      </c>
      <c r="AC19" s="58">
        <f ca="1">(VLOOKUP(AB$2,$B$1:$F$32,5,0)*$L19)+(VLOOKUP($K19,'Withdrawal Working'!$AD:$AE,2,0)*(IFERROR(VLOOKUP(AB$2,$B$35:$C$42,2,0),0)))</f>
        <v>0</v>
      </c>
      <c r="AD19" s="58">
        <f>IFERROR(IF($K19&lt;VLOOKUP(AB$2,$B:$H,7,0),IF(AF$3=1,MIN($M19,AB19),IF(HLOOKUP(CONCATENATE("Balance",AF$3-1),'Withdrawal Working'!$A$2:$CD$78,MATCH('Yoy WAR OG'!$J19,'Withdrawal Working'!$A$2:$A$78,0),FALSE)&gt;0,MIN(HLOOKUP(CONCATENATE("Balance",AF$3-1),'Withdrawal Working'!$A$2:$CD$78,MATCH('Yoy WAR OG'!$J19,'Withdrawal Working'!$A$2:$A$78,0),0),AB19),0)),IF($K19=VLOOKUP(AB$2,$B:$H,7,0),AB19,)),0)</f>
        <v>0</v>
      </c>
      <c r="AE19" s="58">
        <f t="shared" ca="1" si="3"/>
        <v>0</v>
      </c>
      <c r="AH19" s="58">
        <f t="shared" ca="1" si="29"/>
        <v>159143629.25362432</v>
      </c>
      <c r="AI19" s="58">
        <f ca="1">(VLOOKUP(AH$2,$B$1:$F$32,5,0)*$L19)+IF(J19&gt;'NWGC - SCENARIOS'!$D$7,0,(VLOOKUP($K19,'Withdrawal Working'!$AD:$AE,2,0)*(IFERROR(VLOOKUP(AH$2,$B$35:$C$42,2,0),0))))</f>
        <v>0</v>
      </c>
      <c r="AJ19" s="58">
        <f ca="1">IFERROR(IF($J19&gt;'NWGC - SCENARIOS'!$D$7,MIN('Yoy WAR OG'!AH19,VLOOKUP('Yoy WAR OG'!$J19,'Withdrawal Working'!BC:BD,2,0)),IF(AL$3=1,$M19,IF(HLOOKUP(CONCATENATE("Balance",AL$3-1),'Withdrawal Working'!$A$2:$CD$78,MATCH('Yoy WAR OG'!$J19,'Withdrawal Working'!$A$2:$A$78,0),FALSE)&gt;0,MIN(HLOOKUP(CONCATENATE("Balance",AL$3-1),'Withdrawal Working'!$A$2:$CD$78,MATCH('Yoy WAR OG'!$J19,'Withdrawal Working'!$A$2:$A$78,0),0),AH19),0))),0)</f>
        <v>8282588.126039302</v>
      </c>
      <c r="AK19" s="58">
        <f t="shared" ca="1" si="4"/>
        <v>167455755.6516194</v>
      </c>
      <c r="AN19" s="450">
        <f t="shared" ca="1" si="30"/>
        <v>171060466.84433928</v>
      </c>
      <c r="AO19" s="58">
        <f ca="1">IF(J19&gt;'NWGC - SCENARIOS'!$D$7,(IF(AJ19=0,0,'Yoy WAR OG'!AJ19)+(VLOOKUP(AN$2,$B$1:$F$32,5,0)*$L19)),(VLOOKUP(AN$2,$B$1:$F$32,5,0)*$L19)+(VLOOKUP($K19,'Withdrawal Working'!$AD:$AE,2,0)*(IFERROR(VLOOKUP(AN$2,$B$35:$C$42,2,0),0))))</f>
        <v>8282588.126039302</v>
      </c>
      <c r="AP19" s="470">
        <f ca="1">IFERROR(IF($K19&lt;&gt;VLOOKUP(AN$2,$B:$H,7,0),IF(AR$3=1,MIN($M19,AN19),IF(HLOOKUP(CONCATENATE("Balance",AR$3-1),'Withdrawal Working'!$A$2:$CD$78,MATCH('Yoy WAR OG'!$J19,'Withdrawal Working'!$A$2:$A$78,0),FALSE)&gt;0,MIN(HLOOKUP(CONCATENATE("Balance",AR$3-1),'Withdrawal Working'!$A$2:$CD$78,MATCH('Yoy WAR OG'!$J19,'Withdrawal Working'!$A$2:$A$78,0),0),AN19),0)),IF($K19=VLOOKUP(AN$2,$B:$H,7,0),AN19,)),0)</f>
        <v>7089000.7939294428</v>
      </c>
      <c r="AQ19" s="58">
        <f ca="1">IF(AO19&lt;0,0,IF(J19&gt;'NWGC - SCENARIOS'!$D$7,((AN19-AP19+AO19)*(1+(IFERROR(VLOOKUP(AN$2,$B:$D,3,0),0)))),((AN19-AP19)*(1+(IFERROR(VLOOKUP(AN$2,$B:$D,3,0),0))))+AO19))</f>
        <v>181728027.15615383</v>
      </c>
      <c r="AT19" s="450">
        <f t="shared" ca="1" si="31"/>
        <v>0</v>
      </c>
      <c r="AU19" s="58">
        <f ca="1">(VLOOKUP(AT$2,$B$1:$F$32,5,0)*$L19)+(VLOOKUP($K19,'Withdrawal Working'!$AD:$AE,2,0)*(IFERROR(VLOOKUP(AT$2,$B$35:$C$42,2,0),0)))</f>
        <v>0</v>
      </c>
      <c r="AV19" s="58">
        <f>IFERROR(IF($K19&lt;VLOOKUP(AT$2,$B:$H,7,0),IF(AX$3=1,MIN($M19,AT19),IF(HLOOKUP(CONCATENATE("Balance",AX$3-1),'Withdrawal Working'!$A$2:$CD$78,MATCH('Yoy WAR OG'!$J19,'Withdrawal Working'!$A$2:$A$78,0),FALSE)&gt;0,MIN(HLOOKUP(CONCATENATE("Balance",AX$3-1),'Withdrawal Working'!$A$2:$CD$78,MATCH('Yoy WAR OG'!$J19,'Withdrawal Working'!$A$2:$A$78,0),0),AT19),0)),IF($K19=VLOOKUP(AT$2,$B:$H,7,0),AT19,)),0)</f>
        <v>0</v>
      </c>
      <c r="AW19" s="58">
        <f t="shared" ca="1" si="5"/>
        <v>0</v>
      </c>
      <c r="AZ19" s="450">
        <f t="shared" ca="1" si="32"/>
        <v>11036126.162861342</v>
      </c>
      <c r="BA19" s="58">
        <f ca="1">(VLOOKUP(AZ$2,$B$1:$F$32,5,0)*$L19)+(VLOOKUP($K19,'Withdrawal Working'!$AD:$AE,2,0)*(IFERROR(VLOOKUP(AZ$2,$B$35:$C$42,2,0),0)))</f>
        <v>0</v>
      </c>
      <c r="BB19" s="58">
        <f>IFERROR(IF($K19&lt;VLOOKUP(AZ$2,$B:$H,7,0),IF(BD$3=1,MIN($M19,AZ19),IF(HLOOKUP(CONCATENATE("Balance",BD$3-1),'Withdrawal Working'!$A$2:$CD$78,MATCH('Yoy WAR OG'!$J19,'Withdrawal Working'!$A$2:$A$78,0),FALSE)&gt;0,MIN(HLOOKUP(CONCATENATE("Balance",BD$3-1),'Withdrawal Working'!$A$2:$CD$78,MATCH('Yoy WAR OG'!$J19,'Withdrawal Working'!$A$2:$A$78,0),0),AZ19),0)),IF($K19=VLOOKUP(AZ$2,$B:$H,7,0),AZ19,)),0)</f>
        <v>0</v>
      </c>
      <c r="BC19" s="58">
        <f t="shared" ca="1" si="6"/>
        <v>11808654.994261635</v>
      </c>
      <c r="BF19" s="450">
        <f t="shared" ca="1" si="33"/>
        <v>0</v>
      </c>
      <c r="BG19" s="58">
        <f ca="1">(VLOOKUP(BF$2,$B$1:$F$32,5,0)*$L19)+(VLOOKUP($K19,'Withdrawal Working'!$AD:$AE,2,0)*(IFERROR(VLOOKUP(BF$2,$B$35:$C$42,2,0),0)))</f>
        <v>0</v>
      </c>
      <c r="BH19" s="58">
        <f>IFERROR(IF($K19&lt;VLOOKUP(BF$2,$B:$H,7,0),IF(BJ$3=1,MIN($M19,BF19),IF(HLOOKUP(CONCATENATE("Balance",BJ$3-1),'Withdrawal Working'!$A$2:$CD$78,MATCH('Yoy WAR OG'!$J19,'Withdrawal Working'!$A$2:$A$78,0),FALSE)&gt;0,MIN(HLOOKUP(CONCATENATE("Balance",BJ$3-1),'Withdrawal Working'!$A$2:$CD$78,MATCH('Yoy WAR OG'!$J19,'Withdrawal Working'!$A$2:$A$78,0),0),BF19),0)),IF($K19=VLOOKUP(BF$2,$B:$H,7,0),BF19,)),0)</f>
        <v>0</v>
      </c>
      <c r="BI19" s="58">
        <f t="shared" ca="1" si="7"/>
        <v>0</v>
      </c>
      <c r="BL19" s="450">
        <f t="shared" ca="1" si="34"/>
        <v>0</v>
      </c>
      <c r="BM19" s="58">
        <f ca="1">(VLOOKUP(BL$2,$B$1:$F$32,5,0)*$L19)+(VLOOKUP($K19,'Withdrawal Working'!$AD:$AE,2,0)*(IFERROR(VLOOKUP(BL$2,$B$35:$C$42,2,0),0)))</f>
        <v>0</v>
      </c>
      <c r="BN19" s="58">
        <f>IFERROR(IF($K19&lt;VLOOKUP(BL$2,$B:$H,7,0),IF(BP$3=1,MIN($M19,BL19),IF(HLOOKUP(CONCATENATE("Balance",BP$3-1),'Withdrawal Working'!$A$2:$CD$78,MATCH('Yoy WAR OG'!$J19,'Withdrawal Working'!$A$2:$A$78,0),FALSE)&gt;0,MIN(HLOOKUP(CONCATENATE("Balance",BP$3-1),'Withdrawal Working'!$A$2:$CD$78,MATCH('Yoy WAR OG'!$J19,'Withdrawal Working'!$A$2:$A$78,0),0),BL19),0)),IF($K19=VLOOKUP(BL$2,$B:$H,7,0),BL19,)),0)</f>
        <v>0</v>
      </c>
      <c r="BO19" s="58">
        <f t="shared" ca="1" si="8"/>
        <v>0</v>
      </c>
      <c r="BR19" s="450">
        <f t="shared" ca="1" si="35"/>
        <v>0</v>
      </c>
      <c r="BS19" s="58">
        <f ca="1">(VLOOKUP(BR$2,$B$1:$F$32,5,0)*$L19)+(VLOOKUP($K19,'Withdrawal Working'!$AD:$AE,2,0)*(IFERROR(VLOOKUP(BR$2,$B$35:$C$42,2,0),0)))</f>
        <v>0</v>
      </c>
      <c r="BT19" s="58">
        <f>IFERROR(IF($K19&lt;VLOOKUP(BR$2,$B:$H,7,0),IF(BV$3=1,MIN($M19,BR19),IF(HLOOKUP(CONCATENATE("Balance",BV$3-1),'Withdrawal Working'!$A$2:$CD$78,MATCH('Yoy WAR OG'!$J19,'Withdrawal Working'!$A$2:$A$78,0),FALSE)&gt;0,MIN(HLOOKUP(CONCATENATE("Balance",BV$3-1),'Withdrawal Working'!$A$2:$CD$78,MATCH('Yoy WAR OG'!$J19,'Withdrawal Working'!$A$2:$A$78,0),0),BR19),0)),IF($K19=VLOOKUP(BR$2,$B:$H,7,0),BR19,)),0)</f>
        <v>0</v>
      </c>
      <c r="BU19" s="58">
        <f t="shared" ca="1" si="9"/>
        <v>0</v>
      </c>
      <c r="BX19" s="450">
        <f t="shared" ca="1" si="36"/>
        <v>0</v>
      </c>
      <c r="BY19" s="58">
        <f ca="1">(VLOOKUP(BX$2,$B$1:$F$32,5,0)*$L19)+(VLOOKUP($K19,'Withdrawal Working'!$AD:$AE,2,0)*(IFERROR(VLOOKUP(BX$2,$B$35:$C$42,2,0),0)))</f>
        <v>0</v>
      </c>
      <c r="BZ19" s="58">
        <f>IFERROR(IF($K19&lt;VLOOKUP(BX$2,$B:$H,7,0),IF(CB$3=1,MIN($M19,BX19),IF(HLOOKUP(CONCATENATE("Balance",CB$3-1),'Withdrawal Working'!$A$2:$CD$78,MATCH('Yoy WAR OG'!$J19,'Withdrawal Working'!$A$2:$A$78,0),FALSE)&gt;0,MIN(HLOOKUP(CONCATENATE("Balance",CB$3-1),'Withdrawal Working'!$A$2:$CD$78,MATCH('Yoy WAR OG'!$J19,'Withdrawal Working'!$A$2:$A$78,0),0),BX19),0)),IF($K19=VLOOKUP(BX$2,$B:$H,7,0),BX19,)),0)</f>
        <v>0</v>
      </c>
      <c r="CA19" s="58">
        <f t="shared" ca="1" si="10"/>
        <v>0</v>
      </c>
      <c r="CD19" s="450">
        <f t="shared" ca="1" si="37"/>
        <v>28368620.289657608</v>
      </c>
      <c r="CE19" s="58">
        <f ca="1">(VLOOKUP(CD$2,$B$1:$F$32,5,0)*$L19)+(VLOOKUP($K19,'Withdrawal Working'!$AD:$AE,2,0)*(IFERROR(VLOOKUP(CD$2,$B$35:$C$42,2,0),0)))+SUMIFS('Key Life Events'!$I$3:$I$28,'Key Life Events'!$H$3:$H$28,"House",'Key Life Events'!$E$3:$E$28,'Yoy WAR OG'!K19)</f>
        <v>0</v>
      </c>
      <c r="CF19" s="58">
        <f>IFERROR(IF($K19&lt;VLOOKUP(CD$2,$B:$H,7,0),IF(CH$3=1,MIN($M19,CD19),IF(HLOOKUP(CONCATENATE("Balance",CH$3-1),'Withdrawal Working'!$A$2:$CD$78,MATCH('Yoy WAR OG'!$J19,'Withdrawal Working'!$A$2:$A$78,0),FALSE)&gt;0,MIN(HLOOKUP(CONCATENATE("Balance",CH$3-1),'Withdrawal Working'!$A$2:$CD$78,MATCH('Yoy WAR OG'!$J19,'Withdrawal Working'!$A$2:$A$78,0),0),CD19),0)),IF($K19=VLOOKUP(CD$2,$B:$H,7,0),CD19,)),0)</f>
        <v>0</v>
      </c>
      <c r="CG19" s="58">
        <f t="shared" ca="1" si="11"/>
        <v>29219678.898347337</v>
      </c>
      <c r="CJ19" s="450">
        <f t="shared" ca="1" si="38"/>
        <v>0</v>
      </c>
      <c r="CK19" s="58">
        <f ca="1">(VLOOKUP(CJ$2,$B$1:$F$32,5,0)*$L19)+(VLOOKUP($K19,'Withdrawal Working'!$AD:$AE,2,0)*(IFERROR(VLOOKUP(CJ$2,$B$35:$C$42,2,0),0)))+SUMIFS('Key Life Events'!$I$3:$I$28,'Key Life Events'!$H$3:$H$28,"House2",'Key Life Events'!$E$3:$E$28,'Yoy WAR OG'!K19)</f>
        <v>0</v>
      </c>
      <c r="CL19" s="58">
        <f ca="1">IF(IFERROR(IF($K19&lt;&gt;VLOOKUP(CJ$2,$B:$H,7,0),IF(CN$3=1,MIN($M19,CJ19),IF(HLOOKUP(CONCATENATE("Balance",CN$3-1),'Withdrawal Working'!$A$2:$CD$78,MATCH('Yoy WAR OG'!$J19,'Withdrawal Working'!$A$2:$A$78,0),FALSE)&gt;0,MIN(HLOOKUP(CONCATENATE("Balance",CN$3-1),'Withdrawal Working'!$A$2:$CD$78,MATCH('Yoy WAR OG'!$J19,'Withdrawal Working'!$A$2:$A$78,0),0),CJ19),0)),IF($K19=VLOOKUP(CJ$2,$B:$H,7,0),CJ19,)),0)&gt;0,CJ19,0)</f>
        <v>0</v>
      </c>
      <c r="CM19" s="58">
        <f t="shared" ca="1" si="12"/>
        <v>0</v>
      </c>
      <c r="CP19" s="450">
        <f t="shared" ca="1" si="39"/>
        <v>5197320.4485284202</v>
      </c>
      <c r="CQ19" s="58">
        <f ca="1">(VLOOKUP(CP$2,$B$1:$F$32,5,0)*$L19)+(VLOOKUP($K19,'Withdrawal Working'!$AD:$AE,2,0)*(IFERROR(VLOOKUP(CP$2,$B$35:$C$42,2,0),0)))+SUMIFS('Key Life Events'!$I$3:$I$28,'Key Life Events'!$H$3:$H$28,"Land",'Key Life Events'!$E$3:$E$28,'Yoy WAR OG'!K19)</f>
        <v>0</v>
      </c>
      <c r="CR19" s="58">
        <f>IFERROR(IF($K19&lt;VLOOKUP(CP$2,$B:$H,7,0),IF(CT$3=1,MIN($M19,CP19),IF(HLOOKUP(CONCATENATE("Balance",CT$3-1),'Withdrawal Working'!$A$2:$CD$78,MATCH('Yoy WAR OG'!$J19,'Withdrawal Working'!$A$2:$A$78,0),FALSE)&gt;0,MIN(HLOOKUP(CONCATENATE("Balance",CT$3-1),'Withdrawal Working'!$A$2:$CD$78,MATCH('Yoy WAR OG'!$J19,'Withdrawal Working'!$A$2:$A$78,0),0),CP19),0)),IF($K19=VLOOKUP(CP$2,$B:$H,7,0),CP19,)),0)</f>
        <v>0</v>
      </c>
      <c r="CS19" s="58">
        <f t="shared" ca="1" si="13"/>
        <v>5457186.470954841</v>
      </c>
      <c r="CV19" s="450">
        <f t="shared" ca="1" si="40"/>
        <v>0</v>
      </c>
      <c r="CW19" s="58"/>
      <c r="CX19" s="58">
        <f>IFERROR(IF($K19&lt;VLOOKUP(CV$2,$B:$H,7,0),IF(CZ$3=1,MIN($M19,CV19),IF(HLOOKUP(CONCATENATE("Balance",CZ$3-1),'Withdrawal Working'!$A$2:$CD$78,MATCH('Yoy WAR OG'!$J19,'Withdrawal Working'!$A$2:$A$78,0),FALSE)&gt;0,MIN(HLOOKUP(CONCATENATE("Balance",CZ$3-1),'Withdrawal Working'!$A$2:$CD$78,MATCH('Yoy WAR OG'!$J19,'Withdrawal Working'!$A$2:$A$78,0),0),CV19),0)),IF($K19=VLOOKUP(CV$2,$B:$H,7,0),CV19,)),0)</f>
        <v>0</v>
      </c>
      <c r="CY19" s="58">
        <f t="shared" ca="1" si="14"/>
        <v>0</v>
      </c>
      <c r="DB19" s="450">
        <f t="shared" ca="1" si="41"/>
        <v>0</v>
      </c>
      <c r="DC19" s="58">
        <f ca="1">(VLOOKUP(DB$2,$B$1:$F$32,5,0)*$L19)+(VLOOKUP($K19,'Withdrawal Working'!$AD:$AE,2,0)*(IFERROR(VLOOKUP(DB$2,$B$35:$C$42,2,0),0)))</f>
        <v>0</v>
      </c>
      <c r="DD19" s="58">
        <f>IFERROR(IF($K19&lt;VLOOKUP(DB$2,$B:$H,7,0),IF(DF$3=1,MIN($M19,DB19),IF(HLOOKUP(CONCATENATE("Balance",DF$3-1),'Withdrawal Working'!$A$2:$CD$78,MATCH('Yoy WAR OG'!$J19,'Withdrawal Working'!$A$2:$A$78,0),FALSE)&gt;0,MIN(HLOOKUP(CONCATENATE("Balance",DF$3-1),'Withdrawal Working'!$A$2:$CD$78,MATCH('Yoy WAR OG'!$J19,'Withdrawal Working'!$A$2:$A$78,0),0),DB19),0)),IF($K19=VLOOKUP(DB$2,$B:$H,7,0),DB19,)),0)</f>
        <v>0</v>
      </c>
      <c r="DE19" s="58">
        <f t="shared" ca="1" si="15"/>
        <v>0</v>
      </c>
      <c r="DH19" s="450">
        <f t="shared" ca="1" si="42"/>
        <v>0</v>
      </c>
      <c r="DI19" s="58">
        <f>IF(OR(J19&gt;'NWGC - SCENARIOS'!$D$7,J19='NWGC - SCENARIOS'!$D$7),0,DI18*(1+'NWGC - SCENARIOS'!$L$5))</f>
        <v>0</v>
      </c>
      <c r="DJ19" s="58">
        <f>IFERROR(IF($K19&lt;VLOOKUP(DH$2,$B:$H,7,0),IF(DL$3=1,MIN($M19,DH19),IF(HLOOKUP(CONCATENATE("Balance",DL$3-1),'Withdrawal Working'!$A$2:$CD$78,MATCH('Yoy WAR OG'!$J19,'Withdrawal Working'!$A$2:$A$78,0),FALSE)&gt;0,MIN(HLOOKUP(CONCATENATE("Balance",DL$3-1),'Withdrawal Working'!$A$2:$CD$78,MATCH('Yoy WAR OG'!$J19,'Withdrawal Working'!$A$2:$A$78,0),0),DH19),0)),IF($K19=VLOOKUP(DH$2,$B:$H,7,0),DH19,)),0)</f>
        <v>0</v>
      </c>
      <c r="DK19" s="58">
        <f t="shared" ca="1" si="16"/>
        <v>0</v>
      </c>
      <c r="DN19" s="450">
        <f t="shared" ca="1" si="43"/>
        <v>0</v>
      </c>
      <c r="DO19" s="58">
        <f ca="1">(VLOOKUP(DN$2,$B$1:$F$32,5,0)*$L19)+(VLOOKUP($K19,'Withdrawal Working'!$AD:$AE,2,0)*(IFERROR(VLOOKUP(DN$2,$B$35:$C$42,2,0),0)))</f>
        <v>0</v>
      </c>
      <c r="DP19" s="58">
        <f>IFERROR(IF($K19&lt;VLOOKUP(DN$2,$B:$H,7,0),IF(DR$3=1,MIN($M19,DN19),IF(HLOOKUP(CONCATENATE("Balance",DR$3-1),'Withdrawal Working'!$A$2:$CD$78,MATCH('Yoy WAR OG'!$J19,'Withdrawal Working'!$A$2:$A$78,0),FALSE)&gt;0,MIN(HLOOKUP(CONCATENATE("Balance",DR$3-1),'Withdrawal Working'!$A$2:$CD$78,MATCH('Yoy WAR OG'!$J19,'Withdrawal Working'!$A$2:$A$78,0),0),DN19),0)),IF($K19=VLOOKUP(DN$2,$B:$H,7,0),DN19,)),0)</f>
        <v>0</v>
      </c>
      <c r="DQ19" s="58">
        <f t="shared" ca="1" si="17"/>
        <v>0</v>
      </c>
      <c r="DT19" s="450">
        <f t="shared" ca="1" si="44"/>
        <v>0</v>
      </c>
      <c r="DU19" s="58">
        <f ca="1">(VLOOKUP(DT$2,$B$1:$F$32,5,0)*$L19)+(VLOOKUP($K19,'Withdrawal Working'!$AD:$AE,2,0)*(IFERROR(VLOOKUP(DT$2,$B$35:$C$42,2,0),0)))</f>
        <v>0</v>
      </c>
      <c r="DV19" s="58">
        <f>IFERROR(IF($K19&lt;VLOOKUP(DT$2,$B:$H,7,0),IF(DX$3=1,MIN($M19,DT19),IF(HLOOKUP(CONCATENATE("Balance",DX$3-1),'Withdrawal Working'!$A$2:$CD$78,MATCH('Yoy WAR OG'!$J19,'Withdrawal Working'!$A$2:$A$78,0),FALSE)&gt;0,MIN(HLOOKUP(CONCATENATE("Balance",DX$3-1),'Withdrawal Working'!$A$2:$CD$78,MATCH('Yoy WAR OG'!$J19,'Withdrawal Working'!$A$2:$A$78,0),0),DT19),0)),IF($K19=VLOOKUP(DT$2,$B:$H,7,0),DT19,)),0)</f>
        <v>0</v>
      </c>
      <c r="DW19" s="58">
        <f t="shared" ca="1" si="18"/>
        <v>0</v>
      </c>
      <c r="DZ19" s="450">
        <f t="shared" ca="1" si="45"/>
        <v>0</v>
      </c>
      <c r="EA19" s="58">
        <f ca="1">(VLOOKUP(DZ$2,$B$1:$F$32,5,0)*$L19)+(VLOOKUP($K19,'Withdrawal Working'!$AD:$AE,2,0)*(IFERROR(VLOOKUP(DZ$2,$B$35:$C$42,2,0),0)))</f>
        <v>0</v>
      </c>
      <c r="EB19" s="58">
        <f>IFERROR(IF($K19&lt;VLOOKUP(DZ$2,$B:$H,7,0),IF(ED$3=1,MIN($M19,DZ19),IF(HLOOKUP(CONCATENATE("Balance",ED$3-1),'Withdrawal Working'!$A$2:$CD$78,MATCH('Yoy WAR OG'!$J19,'Withdrawal Working'!$A$2:$A$78,0),FALSE)&gt;0,MIN(HLOOKUP(CONCATENATE("Balance",ED$3-1),'Withdrawal Working'!$A$2:$CD$78,MATCH('Yoy WAR OG'!$J19,'Withdrawal Working'!$A$2:$A$78,0),0),DZ19),0)),IF($K19=VLOOKUP(DZ$2,$B:$H,7,0),DZ19,)),0)</f>
        <v>0</v>
      </c>
      <c r="EC19" s="58">
        <f t="shared" ca="1" si="19"/>
        <v>0</v>
      </c>
      <c r="EF19" s="450">
        <f t="shared" ca="1" si="46"/>
        <v>0</v>
      </c>
      <c r="EG19" s="58">
        <f ca="1">(VLOOKUP(EF$2,$B$1:$F$32,5,0)*$L19)+(VLOOKUP($K19,'Withdrawal Working'!$AD:$AE,2,0)*(IFERROR(VLOOKUP(EF$2,$B$35:$C$42,2,0),0)))</f>
        <v>0</v>
      </c>
      <c r="EH19" s="58">
        <f>IFERROR(IF($K19&lt;VLOOKUP(EF$2,$B:$H,7,0),IF(EJ$3=1,MIN($M19,EF19),IF(HLOOKUP(CONCATENATE("Balance",EJ$3-1),'Withdrawal Working'!$A$2:$CD$78,MATCH('Yoy WAR OG'!$J19,'Withdrawal Working'!$A$2:$A$78,0),FALSE)&gt;0,MIN(HLOOKUP(CONCATENATE("Balance",EJ$3-1),'Withdrawal Working'!$A$2:$CD$78,MATCH('Yoy WAR OG'!$J19,'Withdrawal Working'!$A$2:$A$78,0),0),EF19),0)),IF($K19=VLOOKUP(EF$2,$B:$H,7,0),EF19,)),0)</f>
        <v>0</v>
      </c>
      <c r="EI19" s="58">
        <f t="shared" ca="1" si="20"/>
        <v>0</v>
      </c>
      <c r="EL19" s="450">
        <f t="shared" ca="1" si="47"/>
        <v>0</v>
      </c>
      <c r="EM19" s="58">
        <f>IF(OR($J19&gt;'NWGC - SCENARIOS'!$D$7,$J19='NWGC - SCENARIOS'!$D$7),0,EM18)</f>
        <v>0</v>
      </c>
      <c r="EN19" s="58">
        <f>IFERROR(IF($K19&lt;VLOOKUP(EL$2,$B:$H,7,0),IF(EP$3=1,MIN($M19,EL19),IF(HLOOKUP(CONCATENATE("Balance",EP$3-1),'Withdrawal Working'!$A$2:$CD$78,MATCH('Yoy WAR OG'!$J19,'Withdrawal Working'!$A$2:$A$78,0),FALSE)&gt;0,MIN(HLOOKUP(CONCATENATE("Balance",EP$3-1),'Withdrawal Working'!$A$2:$CD$78,MATCH('Yoy WAR OG'!$J19,'Withdrawal Working'!$A$2:$A$78,0),0),EL19),0)),IF($K19=VLOOKUP(EL$2,$B:$H,7,0),EL19,)),0)</f>
        <v>0</v>
      </c>
      <c r="EO19" s="58">
        <f t="shared" ca="1" si="21"/>
        <v>0</v>
      </c>
      <c r="ER19" s="450">
        <f t="shared" ca="1" si="48"/>
        <v>0</v>
      </c>
      <c r="ES19" s="58">
        <f>IF(OR(J19&gt;'NWGC - SCENARIOS'!$D$7,J19='NWGC - SCENARIOS'!$D$7),0,ES18*(1+'NWGC - SCENARIOS'!$L$5))</f>
        <v>0</v>
      </c>
      <c r="ET19" s="58">
        <f>IFERROR(IF($K19&lt;VLOOKUP(ER$2,$B:$H,7,0),IF(EV$3=1,MIN($M19,ER19),IF(HLOOKUP(CONCATENATE("Balance",EV$3-1),'Withdrawal Working'!$A$2:$CD$78,MATCH('Yoy WAR OG'!$J19,'Withdrawal Working'!$A$2:$A$78,0),FALSE)&gt;0,MIN(HLOOKUP(CONCATENATE("Balance",EV$3-1),'Withdrawal Working'!$A$2:$CD$78,MATCH('Yoy WAR OG'!$J19,'Withdrawal Working'!$A$2:$A$78,0),0),ER19),0)),IF($K19=VLOOKUP(ER$2,$B:$H,7,0),ER19,)),0)</f>
        <v>0</v>
      </c>
      <c r="EU19" s="58">
        <f t="shared" ca="1" si="22"/>
        <v>0</v>
      </c>
      <c r="EX19" s="450">
        <f t="shared" ca="1" si="49"/>
        <v>0</v>
      </c>
      <c r="EY19" s="58">
        <f>IF(OR(J19&gt;'NWGC - SCENARIOS'!$D$7,J19='NWGC - SCENARIOS'!$D$7),0,EY18)</f>
        <v>0</v>
      </c>
      <c r="EZ19" s="58">
        <f>IFERROR(IF($K19&lt;VLOOKUP(EX$2,$B:$H,7,0),IF(FB$3=1,MIN($M19,EX19),IF(HLOOKUP(CONCATENATE("Balance",FB$3-1),'Withdrawal Working'!$A$2:$CD$78,MATCH('Yoy WAR OG'!$J19,'Withdrawal Working'!$A$2:$A$78,0),FALSE)&gt;0,MIN(HLOOKUP(CONCATENATE("Balance",FB$3-1),'Withdrawal Working'!$A$2:$CD$78,MATCH('Yoy WAR OG'!$J19,'Withdrawal Working'!$A$2:$A$78,0),0),EX19),0)),IF($K19=VLOOKUP(EX$2,$B:$H,7,0),EX19,)),0)</f>
        <v>0</v>
      </c>
      <c r="FA19" s="58">
        <f t="shared" ca="1" si="23"/>
        <v>0</v>
      </c>
    </row>
    <row r="20" spans="1:157" x14ac:dyDescent="0.3">
      <c r="A20" t="s">
        <v>367</v>
      </c>
      <c r="B20" t="str">
        <f>Networth!B23</f>
        <v>Structure Products</v>
      </c>
      <c r="C20" s="58">
        <f>VLOOKUP('Yoy WAR OG'!B20,'WAR - Rev'!$A$1:$B$29,2,0)</f>
        <v>0</v>
      </c>
      <c r="D20" s="313">
        <f>'WAR - Rev'!C18</f>
        <v>0.1</v>
      </c>
      <c r="H20" s="452">
        <f>VLOOKUP('NWGC - SCENARIOS'!$D$7,'NWGC - SCENARIOS'!$B$11:$C$67,2,0)</f>
        <v>2031</v>
      </c>
      <c r="J20">
        <f>IFERROR('NWGC - SCENARIOS'!B27,0)</f>
        <v>65</v>
      </c>
      <c r="K20">
        <f>IFERROR('NWGC - SCENARIOS'!C27,0)</f>
        <v>2041</v>
      </c>
      <c r="L20" s="449">
        <f ca="1">IF(('NWGC - SCENARIOS'!G27-working!G18)&gt;'NWGC - SCENARIOS'!H27,'NWGC - SCENARIOS'!G27-'NWGC - SCENARIOS'!H27-working!G18,0)</f>
        <v>0</v>
      </c>
      <c r="M20" s="449">
        <f ca="1">IF(('NWGC - SCENARIOS'!G27-working!G18)&gt;'NWGC - SCENARIOS'!H27,0,'NWGC - SCENARIOS'!H27-'NWGC - SCENARIOS'!G27+working!G18)</f>
        <v>7662840.8574437993</v>
      </c>
      <c r="N20" s="58">
        <f t="shared" ca="1" si="0"/>
        <v>369022304.98374987</v>
      </c>
      <c r="O20" s="58">
        <f t="shared" ca="1" si="1"/>
        <v>48461575.903660297</v>
      </c>
      <c r="P20" s="58">
        <f t="shared" ca="1" si="24"/>
        <v>0</v>
      </c>
      <c r="Q20" s="58">
        <f ca="1">(VLOOKUP(P$2,$B$1:$F$32,5,0)*$L20)+(VLOOKUP($K20,'Withdrawal Working'!$AD:$AE,2,0)*(IFERROR(VLOOKUP(P$2,$B$35:$C$42,2,0),0)))</f>
        <v>0</v>
      </c>
      <c r="R20" s="58">
        <f>IFERROR(IF($K20&lt;VLOOKUP(P$2,$B:$H,7,0),IF(T$3=1,MIN($M20,P20),IF(HLOOKUP(CONCATENATE("Balance",T$3-1),'Withdrawal Working'!$A$2:$CD$78,MATCH('Yoy WAR OG'!$J20,'Withdrawal Working'!$A$2:$A$78,0),FALSE)&gt;0,MIN(HLOOKUP(CONCATENATE("Balance",T$3-1),'Withdrawal Working'!$A$2:$CD$78,MATCH('Yoy WAR OG'!$J20,'Withdrawal Working'!$A$2:$A$78,0),0),P20),0)),IF($K20=VLOOKUP(P$2,$B:$H,7,0),P20,)),0)</f>
        <v>0</v>
      </c>
      <c r="S20" s="58">
        <f t="shared" ca="1" si="26"/>
        <v>0</v>
      </c>
      <c r="T20" s="58"/>
      <c r="V20" s="58">
        <f t="shared" ca="1" si="27"/>
        <v>0</v>
      </c>
      <c r="W20" s="58">
        <f ca="1">(VLOOKUP(V$2,$B$1:$F$32,5,0)*$L20)+(VLOOKUP($K20,'Withdrawal Working'!$AD:$AE,2,0)*(IFERROR(VLOOKUP(V$2,$B$35:$C$42,2,0),0)))</f>
        <v>0</v>
      </c>
      <c r="X20" s="58">
        <f>IFERROR(IF($K20&lt;VLOOKUP(V$2,$B:$H,7,0),IF(Z$3=1,MIN($M20,V20),IF(HLOOKUP(CONCATENATE("Balance",Z$3-1),'Withdrawal Working'!$A$2:$CD$78,MATCH('Yoy WAR OG'!$J20,'Withdrawal Working'!$A$2:$A$78,0),FALSE)&gt;0,MIN(HLOOKUP(CONCATENATE("Balance",Z$3-1),'Withdrawal Working'!$A$2:$CD$78,MATCH('Yoy WAR OG'!$J20,'Withdrawal Working'!$A$2:$A$78,0),0),V20),0)),IF($K20=VLOOKUP(V$2,$B:$H,7,0),V20,)),0)</f>
        <v>0</v>
      </c>
      <c r="Y20" s="58">
        <f t="shared" ca="1" si="2"/>
        <v>0</v>
      </c>
      <c r="AB20" s="58">
        <f t="shared" ca="1" si="28"/>
        <v>0</v>
      </c>
      <c r="AC20" s="58">
        <f ca="1">(VLOOKUP(AB$2,$B$1:$F$32,5,0)*$L20)+(VLOOKUP($K20,'Withdrawal Working'!$AD:$AE,2,0)*(IFERROR(VLOOKUP(AB$2,$B$35:$C$42,2,0),0)))</f>
        <v>0</v>
      </c>
      <c r="AD20" s="58">
        <f>IFERROR(IF($K20&lt;VLOOKUP(AB$2,$B:$H,7,0),IF(AF$3=1,MIN($M20,AB20),IF(HLOOKUP(CONCATENATE("Balance",AF$3-1),'Withdrawal Working'!$A$2:$CD$78,MATCH('Yoy WAR OG'!$J20,'Withdrawal Working'!$A$2:$A$78,0),FALSE)&gt;0,MIN(HLOOKUP(CONCATENATE("Balance",AF$3-1),'Withdrawal Working'!$A$2:$CD$78,MATCH('Yoy WAR OG'!$J20,'Withdrawal Working'!$A$2:$A$78,0),0),AB20),0)),IF($K20=VLOOKUP(AB$2,$B:$H,7,0),AB20,)),0)</f>
        <v>0</v>
      </c>
      <c r="AE20" s="58">
        <f t="shared" ca="1" si="3"/>
        <v>0</v>
      </c>
      <c r="AH20" s="58">
        <f t="shared" ca="1" si="29"/>
        <v>167455755.6516194</v>
      </c>
      <c r="AI20" s="58">
        <f ca="1">(VLOOKUP(AH$2,$B$1:$F$32,5,0)*$L20)+IF(J20&gt;'NWGC - SCENARIOS'!$D$7,0,(VLOOKUP($K20,'Withdrawal Working'!$AD:$AE,2,0)*(IFERROR(VLOOKUP(AH$2,$B$35:$C$42,2,0),0))))</f>
        <v>0</v>
      </c>
      <c r="AJ20" s="58">
        <f ca="1">IFERROR(IF($J20&gt;'NWGC - SCENARIOS'!$D$7,MIN('Yoy WAR OG'!AH20,VLOOKUP('Yoy WAR OG'!$J20,'Withdrawal Working'!BC:BD,2,0)),IF(AL$3=1,$M20,IF(HLOOKUP(CONCATENATE("Balance",AL$3-1),'Withdrawal Working'!$A$2:$CD$78,MATCH('Yoy WAR OG'!$J20,'Withdrawal Working'!$A$2:$A$78,0),FALSE)&gt;0,MIN(HLOOKUP(CONCATENATE("Balance",AL$3-1),'Withdrawal Working'!$A$2:$CD$78,MATCH('Yoy WAR OG'!$J20,'Withdrawal Working'!$A$2:$A$78,0),0),AH20),0))),0)</f>
        <v>8951915.1761224475</v>
      </c>
      <c r="AK20" s="58">
        <f t="shared" ca="1" si="4"/>
        <v>175939262.92780164</v>
      </c>
      <c r="AN20" s="450">
        <f t="shared" ca="1" si="30"/>
        <v>181728027.15615383</v>
      </c>
      <c r="AO20" s="58">
        <f ca="1">IF(J20&gt;'NWGC - SCENARIOS'!$D$7,(IF(AJ20=0,0,'Yoy WAR OG'!AJ20)+(VLOOKUP(AN$2,$B$1:$F$32,5,0)*$L20)),(VLOOKUP(AN$2,$B$1:$F$32,5,0)*$L20)+(VLOOKUP($K20,'Withdrawal Working'!$AD:$AE,2,0)*(IFERROR(VLOOKUP(AN$2,$B$35:$C$42,2,0),0))))</f>
        <v>8951915.1761224475</v>
      </c>
      <c r="AP20" s="470">
        <f ca="1">IFERROR(IF($K20&lt;&gt;VLOOKUP(AN$2,$B:$H,7,0),IF(AR$3=1,MIN($M20,AN20),IF(HLOOKUP(CONCATENATE("Balance",AR$3-1),'Withdrawal Working'!$A$2:$CD$78,MATCH('Yoy WAR OG'!$J20,'Withdrawal Working'!$A$2:$A$78,0),FALSE)&gt;0,MIN(HLOOKUP(CONCATENATE("Balance",AR$3-1),'Withdrawal Working'!$A$2:$CD$78,MATCH('Yoy WAR OG'!$J20,'Withdrawal Working'!$A$2:$A$78,0),0),AN20),0)),IF($K20=VLOOKUP(AN$2,$B:$H,7,0),AN20,)),0)</f>
        <v>7662840.8574437993</v>
      </c>
      <c r="AQ20" s="58">
        <f ca="1">IF(AO20&lt;0,0,IF(J20&gt;'NWGC - SCENARIOS'!$D$7,((AN20-AP20+AO20)*(1+(IFERROR(VLOOKUP(AN$2,$B:$D,3,0),0)))),((AN20-AP20)*(1+(IFERROR(VLOOKUP(AN$2,$B:$D,3,0),0))))+AO20))</f>
        <v>193083042.05594826</v>
      </c>
      <c r="AT20" s="450">
        <f t="shared" ca="1" si="31"/>
        <v>0</v>
      </c>
      <c r="AU20" s="58">
        <f ca="1">(VLOOKUP(AT$2,$B$1:$F$32,5,0)*$L20)+(VLOOKUP($K20,'Withdrawal Working'!$AD:$AE,2,0)*(IFERROR(VLOOKUP(AT$2,$B$35:$C$42,2,0),0)))</f>
        <v>0</v>
      </c>
      <c r="AV20" s="58">
        <f>IFERROR(IF($K20&lt;VLOOKUP(AT$2,$B:$H,7,0),IF(AX$3=1,MIN($M20,AT20),IF(HLOOKUP(CONCATENATE("Balance",AX$3-1),'Withdrawal Working'!$A$2:$CD$78,MATCH('Yoy WAR OG'!$J20,'Withdrawal Working'!$A$2:$A$78,0),FALSE)&gt;0,MIN(HLOOKUP(CONCATENATE("Balance",AX$3-1),'Withdrawal Working'!$A$2:$CD$78,MATCH('Yoy WAR OG'!$J20,'Withdrawal Working'!$A$2:$A$78,0),0),AT20),0)),IF($K20=VLOOKUP(AT$2,$B:$H,7,0),AT20,)),0)</f>
        <v>0</v>
      </c>
      <c r="AW20" s="58">
        <f t="shared" ca="1" si="5"/>
        <v>0</v>
      </c>
      <c r="AZ20" s="450">
        <f t="shared" ca="1" si="32"/>
        <v>11808654.994261635</v>
      </c>
      <c r="BA20" s="58">
        <f ca="1">(VLOOKUP(AZ$2,$B$1:$F$32,5,0)*$L20)+(VLOOKUP($K20,'Withdrawal Working'!$AD:$AE,2,0)*(IFERROR(VLOOKUP(AZ$2,$B$35:$C$42,2,0),0)))</f>
        <v>0</v>
      </c>
      <c r="BB20" s="58">
        <f>IFERROR(IF($K20&lt;VLOOKUP(AZ$2,$B:$H,7,0),IF(BD$3=1,MIN($M20,AZ20),IF(HLOOKUP(CONCATENATE("Balance",BD$3-1),'Withdrawal Working'!$A$2:$CD$78,MATCH('Yoy WAR OG'!$J20,'Withdrawal Working'!$A$2:$A$78,0),FALSE)&gt;0,MIN(HLOOKUP(CONCATENATE("Balance",BD$3-1),'Withdrawal Working'!$A$2:$CD$78,MATCH('Yoy WAR OG'!$J20,'Withdrawal Working'!$A$2:$A$78,0),0),AZ20),0)),IF($K20=VLOOKUP(AZ$2,$B:$H,7,0),AZ20,)),0)</f>
        <v>0</v>
      </c>
      <c r="BC20" s="58">
        <f t="shared" ca="1" si="6"/>
        <v>12635260.84385995</v>
      </c>
      <c r="BF20" s="450">
        <f t="shared" ca="1" si="33"/>
        <v>0</v>
      </c>
      <c r="BG20" s="58">
        <f ca="1">(VLOOKUP(BF$2,$B$1:$F$32,5,0)*$L20)+(VLOOKUP($K20,'Withdrawal Working'!$AD:$AE,2,0)*(IFERROR(VLOOKUP(BF$2,$B$35:$C$42,2,0),0)))</f>
        <v>0</v>
      </c>
      <c r="BH20" s="58">
        <f>IFERROR(IF($K20&lt;VLOOKUP(BF$2,$B:$H,7,0),IF(BJ$3=1,MIN($M20,BF20),IF(HLOOKUP(CONCATENATE("Balance",BJ$3-1),'Withdrawal Working'!$A$2:$CD$78,MATCH('Yoy WAR OG'!$J20,'Withdrawal Working'!$A$2:$A$78,0),FALSE)&gt;0,MIN(HLOOKUP(CONCATENATE("Balance",BJ$3-1),'Withdrawal Working'!$A$2:$CD$78,MATCH('Yoy WAR OG'!$J20,'Withdrawal Working'!$A$2:$A$78,0),0),BF20),0)),IF($K20=VLOOKUP(BF$2,$B:$H,7,0),BF20,)),0)</f>
        <v>0</v>
      </c>
      <c r="BI20" s="58">
        <f t="shared" ca="1" si="7"/>
        <v>0</v>
      </c>
      <c r="BL20" s="450">
        <f t="shared" ca="1" si="34"/>
        <v>0</v>
      </c>
      <c r="BM20" s="58">
        <f ca="1">(VLOOKUP(BL$2,$B$1:$F$32,5,0)*$L20)+(VLOOKUP($K20,'Withdrawal Working'!$AD:$AE,2,0)*(IFERROR(VLOOKUP(BL$2,$B$35:$C$42,2,0),0)))</f>
        <v>0</v>
      </c>
      <c r="BN20" s="58">
        <f>IFERROR(IF($K20&lt;VLOOKUP(BL$2,$B:$H,7,0),IF(BP$3=1,MIN($M20,BL20),IF(HLOOKUP(CONCATENATE("Balance",BP$3-1),'Withdrawal Working'!$A$2:$CD$78,MATCH('Yoy WAR OG'!$J20,'Withdrawal Working'!$A$2:$A$78,0),FALSE)&gt;0,MIN(HLOOKUP(CONCATENATE("Balance",BP$3-1),'Withdrawal Working'!$A$2:$CD$78,MATCH('Yoy WAR OG'!$J20,'Withdrawal Working'!$A$2:$A$78,0),0),BL20),0)),IF($K20=VLOOKUP(BL$2,$B:$H,7,0),BL20,)),0)</f>
        <v>0</v>
      </c>
      <c r="BO20" s="58">
        <f t="shared" ca="1" si="8"/>
        <v>0</v>
      </c>
      <c r="BR20" s="450">
        <f t="shared" ca="1" si="35"/>
        <v>0</v>
      </c>
      <c r="BS20" s="58">
        <f ca="1">(VLOOKUP(BR$2,$B$1:$F$32,5,0)*$L20)+(VLOOKUP($K20,'Withdrawal Working'!$AD:$AE,2,0)*(IFERROR(VLOOKUP(BR$2,$B$35:$C$42,2,0),0)))</f>
        <v>0</v>
      </c>
      <c r="BT20" s="58">
        <f>IFERROR(IF($K20&lt;VLOOKUP(BR$2,$B:$H,7,0),IF(BV$3=1,MIN($M20,BR20),IF(HLOOKUP(CONCATENATE("Balance",BV$3-1),'Withdrawal Working'!$A$2:$CD$78,MATCH('Yoy WAR OG'!$J20,'Withdrawal Working'!$A$2:$A$78,0),FALSE)&gt;0,MIN(HLOOKUP(CONCATENATE("Balance",BV$3-1),'Withdrawal Working'!$A$2:$CD$78,MATCH('Yoy WAR OG'!$J20,'Withdrawal Working'!$A$2:$A$78,0),0),BR20),0)),IF($K20=VLOOKUP(BR$2,$B:$H,7,0),BR20,)),0)</f>
        <v>0</v>
      </c>
      <c r="BU20" s="58">
        <f t="shared" ca="1" si="9"/>
        <v>0</v>
      </c>
      <c r="BX20" s="450">
        <f t="shared" ca="1" si="36"/>
        <v>0</v>
      </c>
      <c r="BY20" s="58">
        <f ca="1">(VLOOKUP(BX$2,$B$1:$F$32,5,0)*$L20)+(VLOOKUP($K20,'Withdrawal Working'!$AD:$AE,2,0)*(IFERROR(VLOOKUP(BX$2,$B$35:$C$42,2,0),0)))</f>
        <v>0</v>
      </c>
      <c r="BZ20" s="58">
        <f>IFERROR(IF($K20&lt;VLOOKUP(BX$2,$B:$H,7,0),IF(CB$3=1,MIN($M20,BX20),IF(HLOOKUP(CONCATENATE("Balance",CB$3-1),'Withdrawal Working'!$A$2:$CD$78,MATCH('Yoy WAR OG'!$J20,'Withdrawal Working'!$A$2:$A$78,0),FALSE)&gt;0,MIN(HLOOKUP(CONCATENATE("Balance",CB$3-1),'Withdrawal Working'!$A$2:$CD$78,MATCH('Yoy WAR OG'!$J20,'Withdrawal Working'!$A$2:$A$78,0),0),BX20),0)),IF($K20=VLOOKUP(BX$2,$B:$H,7,0),BX20,)),0)</f>
        <v>0</v>
      </c>
      <c r="CA20" s="58">
        <f t="shared" ca="1" si="10"/>
        <v>0</v>
      </c>
      <c r="CD20" s="450">
        <f t="shared" ca="1" si="37"/>
        <v>29219678.898347337</v>
      </c>
      <c r="CE20" s="58">
        <f ca="1">(VLOOKUP(CD$2,$B$1:$F$32,5,0)*$L20)+(VLOOKUP($K20,'Withdrawal Working'!$AD:$AE,2,0)*(IFERROR(VLOOKUP(CD$2,$B$35:$C$42,2,0),0)))+SUMIFS('Key Life Events'!$I$3:$I$28,'Key Life Events'!$H$3:$H$28,"House",'Key Life Events'!$E$3:$E$28,'Yoy WAR OG'!K20)</f>
        <v>0</v>
      </c>
      <c r="CF20" s="58">
        <f>IFERROR(IF($K20&lt;VLOOKUP(CD$2,$B:$H,7,0),IF(CH$3=1,MIN($M20,CD20),IF(HLOOKUP(CONCATENATE("Balance",CH$3-1),'Withdrawal Working'!$A$2:$CD$78,MATCH('Yoy WAR OG'!$J20,'Withdrawal Working'!$A$2:$A$78,0),FALSE)&gt;0,MIN(HLOOKUP(CONCATENATE("Balance",CH$3-1),'Withdrawal Working'!$A$2:$CD$78,MATCH('Yoy WAR OG'!$J20,'Withdrawal Working'!$A$2:$A$78,0),0),CD20),0)),IF($K20=VLOOKUP(CD$2,$B:$H,7,0),CD20,)),0)</f>
        <v>0</v>
      </c>
      <c r="CG20" s="58">
        <f t="shared" ca="1" si="11"/>
        <v>30096269.265297759</v>
      </c>
      <c r="CJ20" s="450">
        <f t="shared" ca="1" si="38"/>
        <v>0</v>
      </c>
      <c r="CK20" s="58">
        <f ca="1">(VLOOKUP(CJ$2,$B$1:$F$32,5,0)*$L20)+(VLOOKUP($K20,'Withdrawal Working'!$AD:$AE,2,0)*(IFERROR(VLOOKUP(CJ$2,$B$35:$C$42,2,0),0)))+SUMIFS('Key Life Events'!$I$3:$I$28,'Key Life Events'!$H$3:$H$28,"House2",'Key Life Events'!$E$3:$E$28,'Yoy WAR OG'!K20)</f>
        <v>0</v>
      </c>
      <c r="CL20" s="58">
        <f ca="1">IF(IFERROR(IF($K20&lt;&gt;VLOOKUP(CJ$2,$B:$H,7,0),IF(CN$3=1,MIN($M20,CJ20),IF(HLOOKUP(CONCATENATE("Balance",CN$3-1),'Withdrawal Working'!$A$2:$CD$78,MATCH('Yoy WAR OG'!$J20,'Withdrawal Working'!$A$2:$A$78,0),FALSE)&gt;0,MIN(HLOOKUP(CONCATENATE("Balance",CN$3-1),'Withdrawal Working'!$A$2:$CD$78,MATCH('Yoy WAR OG'!$J20,'Withdrawal Working'!$A$2:$A$78,0),0),CJ20),0)),IF($K20=VLOOKUP(CJ$2,$B:$H,7,0),CJ20,)),0)&gt;0,CJ20,0)</f>
        <v>0</v>
      </c>
      <c r="CM20" s="58">
        <f t="shared" ca="1" si="12"/>
        <v>0</v>
      </c>
      <c r="CP20" s="450">
        <f t="shared" ca="1" si="39"/>
        <v>5457186.470954841</v>
      </c>
      <c r="CQ20" s="58">
        <f ca="1">(VLOOKUP(CP$2,$B$1:$F$32,5,0)*$L20)+(VLOOKUP($K20,'Withdrawal Working'!$AD:$AE,2,0)*(IFERROR(VLOOKUP(CP$2,$B$35:$C$42,2,0),0)))+SUMIFS('Key Life Events'!$I$3:$I$28,'Key Life Events'!$H$3:$H$28,"Land",'Key Life Events'!$E$3:$E$28,'Yoy WAR OG'!K20)</f>
        <v>0</v>
      </c>
      <c r="CR20" s="58">
        <f>IFERROR(IF($K20&lt;VLOOKUP(CP$2,$B:$H,7,0),IF(CT$3=1,MIN($M20,CP20),IF(HLOOKUP(CONCATENATE("Balance",CT$3-1),'Withdrawal Working'!$A$2:$CD$78,MATCH('Yoy WAR OG'!$J20,'Withdrawal Working'!$A$2:$A$78,0),FALSE)&gt;0,MIN(HLOOKUP(CONCATENATE("Balance",CT$3-1),'Withdrawal Working'!$A$2:$CD$78,MATCH('Yoy WAR OG'!$J20,'Withdrawal Working'!$A$2:$A$78,0),0),CP20),0)),IF($K20=VLOOKUP(CP$2,$B:$H,7,0),CP20,)),0)</f>
        <v>0</v>
      </c>
      <c r="CS20" s="58">
        <f t="shared" ca="1" si="13"/>
        <v>5730045.7945025833</v>
      </c>
      <c r="CV20" s="450">
        <f t="shared" ca="1" si="40"/>
        <v>0</v>
      </c>
      <c r="CW20" s="58"/>
      <c r="CX20" s="58">
        <f>IFERROR(IF($K20&lt;VLOOKUP(CV$2,$B:$H,7,0),IF(CZ$3=1,MIN($M20,CV20),IF(HLOOKUP(CONCATENATE("Balance",CZ$3-1),'Withdrawal Working'!$A$2:$CD$78,MATCH('Yoy WAR OG'!$J20,'Withdrawal Working'!$A$2:$A$78,0),FALSE)&gt;0,MIN(HLOOKUP(CONCATENATE("Balance",CZ$3-1),'Withdrawal Working'!$A$2:$CD$78,MATCH('Yoy WAR OG'!$J20,'Withdrawal Working'!$A$2:$A$78,0),0),CV20),0)),IF($K20=VLOOKUP(CV$2,$B:$H,7,0),CV20,)),0)</f>
        <v>0</v>
      </c>
      <c r="CY20" s="58">
        <f t="shared" ca="1" si="14"/>
        <v>0</v>
      </c>
      <c r="DB20" s="450">
        <f t="shared" ca="1" si="41"/>
        <v>0</v>
      </c>
      <c r="DC20" s="58">
        <f ca="1">(VLOOKUP(DB$2,$B$1:$F$32,5,0)*$L20)+(VLOOKUP($K20,'Withdrawal Working'!$AD:$AE,2,0)*(IFERROR(VLOOKUP(DB$2,$B$35:$C$42,2,0),0)))</f>
        <v>0</v>
      </c>
      <c r="DD20" s="58">
        <f>IFERROR(IF($K20&lt;VLOOKUP(DB$2,$B:$H,7,0),IF(DF$3=1,MIN($M20,DB20),IF(HLOOKUP(CONCATENATE("Balance",DF$3-1),'Withdrawal Working'!$A$2:$CD$78,MATCH('Yoy WAR OG'!$J20,'Withdrawal Working'!$A$2:$A$78,0),FALSE)&gt;0,MIN(HLOOKUP(CONCATENATE("Balance",DF$3-1),'Withdrawal Working'!$A$2:$CD$78,MATCH('Yoy WAR OG'!$J20,'Withdrawal Working'!$A$2:$A$78,0),0),DB20),0)),IF($K20=VLOOKUP(DB$2,$B:$H,7,0),DB20,)),0)</f>
        <v>0</v>
      </c>
      <c r="DE20" s="58">
        <f t="shared" ca="1" si="15"/>
        <v>0</v>
      </c>
      <c r="DH20" s="450">
        <f t="shared" ca="1" si="42"/>
        <v>0</v>
      </c>
      <c r="DI20" s="58">
        <f>IF(OR(J20&gt;'NWGC - SCENARIOS'!$D$7,J20='NWGC - SCENARIOS'!$D$7),0,DI19*(1+'NWGC - SCENARIOS'!$L$5))</f>
        <v>0</v>
      </c>
      <c r="DJ20" s="58">
        <f>IFERROR(IF($K20&lt;VLOOKUP(DH$2,$B:$H,7,0),IF(DL$3=1,MIN($M20,DH20),IF(HLOOKUP(CONCATENATE("Balance",DL$3-1),'Withdrawal Working'!$A$2:$CD$78,MATCH('Yoy WAR OG'!$J20,'Withdrawal Working'!$A$2:$A$78,0),FALSE)&gt;0,MIN(HLOOKUP(CONCATENATE("Balance",DL$3-1),'Withdrawal Working'!$A$2:$CD$78,MATCH('Yoy WAR OG'!$J20,'Withdrawal Working'!$A$2:$A$78,0),0),DH20),0)),IF($K20=VLOOKUP(DH$2,$B:$H,7,0),DH20,)),0)</f>
        <v>0</v>
      </c>
      <c r="DK20" s="58">
        <f t="shared" ca="1" si="16"/>
        <v>0</v>
      </c>
      <c r="DN20" s="450">
        <f t="shared" ca="1" si="43"/>
        <v>0</v>
      </c>
      <c r="DO20" s="58">
        <f ca="1">(VLOOKUP(DN$2,$B$1:$F$32,5,0)*$L20)+(VLOOKUP($K20,'Withdrawal Working'!$AD:$AE,2,0)*(IFERROR(VLOOKUP(DN$2,$B$35:$C$42,2,0),0)))</f>
        <v>0</v>
      </c>
      <c r="DP20" s="58">
        <f>IFERROR(IF($K20&lt;VLOOKUP(DN$2,$B:$H,7,0),IF(DR$3=1,MIN($M20,DN20),IF(HLOOKUP(CONCATENATE("Balance",DR$3-1),'Withdrawal Working'!$A$2:$CD$78,MATCH('Yoy WAR OG'!$J20,'Withdrawal Working'!$A$2:$A$78,0),FALSE)&gt;0,MIN(HLOOKUP(CONCATENATE("Balance",DR$3-1),'Withdrawal Working'!$A$2:$CD$78,MATCH('Yoy WAR OG'!$J20,'Withdrawal Working'!$A$2:$A$78,0),0),DN20),0)),IF($K20=VLOOKUP(DN$2,$B:$H,7,0),DN20,)),0)</f>
        <v>0</v>
      </c>
      <c r="DQ20" s="58">
        <f t="shared" ca="1" si="17"/>
        <v>0</v>
      </c>
      <c r="DT20" s="450">
        <f t="shared" ca="1" si="44"/>
        <v>0</v>
      </c>
      <c r="DU20" s="58">
        <f ca="1">(VLOOKUP(DT$2,$B$1:$F$32,5,0)*$L20)+(VLOOKUP($K20,'Withdrawal Working'!$AD:$AE,2,0)*(IFERROR(VLOOKUP(DT$2,$B$35:$C$42,2,0),0)))</f>
        <v>0</v>
      </c>
      <c r="DV20" s="58">
        <f>IFERROR(IF($K20&lt;VLOOKUP(DT$2,$B:$H,7,0),IF(DX$3=1,MIN($M20,DT20),IF(HLOOKUP(CONCATENATE("Balance",DX$3-1),'Withdrawal Working'!$A$2:$CD$78,MATCH('Yoy WAR OG'!$J20,'Withdrawal Working'!$A$2:$A$78,0),FALSE)&gt;0,MIN(HLOOKUP(CONCATENATE("Balance",DX$3-1),'Withdrawal Working'!$A$2:$CD$78,MATCH('Yoy WAR OG'!$J20,'Withdrawal Working'!$A$2:$A$78,0),0),DT20),0)),IF($K20=VLOOKUP(DT$2,$B:$H,7,0),DT20,)),0)</f>
        <v>0</v>
      </c>
      <c r="DW20" s="58">
        <f t="shared" ca="1" si="18"/>
        <v>0</v>
      </c>
      <c r="DZ20" s="450">
        <f t="shared" ca="1" si="45"/>
        <v>0</v>
      </c>
      <c r="EA20" s="58">
        <f ca="1">(VLOOKUP(DZ$2,$B$1:$F$32,5,0)*$L20)+(VLOOKUP($K20,'Withdrawal Working'!$AD:$AE,2,0)*(IFERROR(VLOOKUP(DZ$2,$B$35:$C$42,2,0),0)))</f>
        <v>0</v>
      </c>
      <c r="EB20" s="58">
        <f>IFERROR(IF($K20&lt;VLOOKUP(DZ$2,$B:$H,7,0),IF(ED$3=1,MIN($M20,DZ20),IF(HLOOKUP(CONCATENATE("Balance",ED$3-1),'Withdrawal Working'!$A$2:$CD$78,MATCH('Yoy WAR OG'!$J20,'Withdrawal Working'!$A$2:$A$78,0),FALSE)&gt;0,MIN(HLOOKUP(CONCATENATE("Balance",ED$3-1),'Withdrawal Working'!$A$2:$CD$78,MATCH('Yoy WAR OG'!$J20,'Withdrawal Working'!$A$2:$A$78,0),0),DZ20),0)),IF($K20=VLOOKUP(DZ$2,$B:$H,7,0),DZ20,)),0)</f>
        <v>0</v>
      </c>
      <c r="EC20" s="58">
        <f t="shared" ca="1" si="19"/>
        <v>0</v>
      </c>
      <c r="EF20" s="450">
        <f t="shared" ca="1" si="46"/>
        <v>0</v>
      </c>
      <c r="EG20" s="58">
        <f ca="1">(VLOOKUP(EF$2,$B$1:$F$32,5,0)*$L20)+(VLOOKUP($K20,'Withdrawal Working'!$AD:$AE,2,0)*(IFERROR(VLOOKUP(EF$2,$B$35:$C$42,2,0),0)))</f>
        <v>0</v>
      </c>
      <c r="EH20" s="58">
        <f>IFERROR(IF($K20&lt;VLOOKUP(EF$2,$B:$H,7,0),IF(EJ$3=1,MIN($M20,EF20),IF(HLOOKUP(CONCATENATE("Balance",EJ$3-1),'Withdrawal Working'!$A$2:$CD$78,MATCH('Yoy WAR OG'!$J20,'Withdrawal Working'!$A$2:$A$78,0),FALSE)&gt;0,MIN(HLOOKUP(CONCATENATE("Balance",EJ$3-1),'Withdrawal Working'!$A$2:$CD$78,MATCH('Yoy WAR OG'!$J20,'Withdrawal Working'!$A$2:$A$78,0),0),EF20),0)),IF($K20=VLOOKUP(EF$2,$B:$H,7,0),EF20,)),0)</f>
        <v>0</v>
      </c>
      <c r="EI20" s="58">
        <f t="shared" ca="1" si="20"/>
        <v>0</v>
      </c>
      <c r="EL20" s="450">
        <f t="shared" ca="1" si="47"/>
        <v>0</v>
      </c>
      <c r="EM20" s="58">
        <f>IF(OR($J20&gt;'NWGC - SCENARIOS'!$D$7,$J20='NWGC - SCENARIOS'!$D$7),0,EM19)</f>
        <v>0</v>
      </c>
      <c r="EN20" s="58">
        <f>IFERROR(IF($K20&lt;VLOOKUP(EL$2,$B:$H,7,0),IF(EP$3=1,MIN($M20,EL20),IF(HLOOKUP(CONCATENATE("Balance",EP$3-1),'Withdrawal Working'!$A$2:$CD$78,MATCH('Yoy WAR OG'!$J20,'Withdrawal Working'!$A$2:$A$78,0),FALSE)&gt;0,MIN(HLOOKUP(CONCATENATE("Balance",EP$3-1),'Withdrawal Working'!$A$2:$CD$78,MATCH('Yoy WAR OG'!$J20,'Withdrawal Working'!$A$2:$A$78,0),0),EL20),0)),IF($K20=VLOOKUP(EL$2,$B:$H,7,0),EL20,)),0)</f>
        <v>0</v>
      </c>
      <c r="EO20" s="58">
        <f t="shared" ca="1" si="21"/>
        <v>0</v>
      </c>
      <c r="ER20" s="450">
        <f t="shared" ca="1" si="48"/>
        <v>0</v>
      </c>
      <c r="ES20" s="58">
        <f>IF(OR(J20&gt;'NWGC - SCENARIOS'!$D$7,J20='NWGC - SCENARIOS'!$D$7),0,ES19*(1+'NWGC - SCENARIOS'!$L$5))</f>
        <v>0</v>
      </c>
      <c r="ET20" s="58">
        <f>IFERROR(IF($K20&lt;VLOOKUP(ER$2,$B:$H,7,0),IF(EV$3=1,MIN($M20,ER20),IF(HLOOKUP(CONCATENATE("Balance",EV$3-1),'Withdrawal Working'!$A$2:$CD$78,MATCH('Yoy WAR OG'!$J20,'Withdrawal Working'!$A$2:$A$78,0),FALSE)&gt;0,MIN(HLOOKUP(CONCATENATE("Balance",EV$3-1),'Withdrawal Working'!$A$2:$CD$78,MATCH('Yoy WAR OG'!$J20,'Withdrawal Working'!$A$2:$A$78,0),0),ER20),0)),IF($K20=VLOOKUP(ER$2,$B:$H,7,0),ER20,)),0)</f>
        <v>0</v>
      </c>
      <c r="EU20" s="58">
        <f t="shared" ca="1" si="22"/>
        <v>0</v>
      </c>
      <c r="EX20" s="450">
        <f t="shared" ca="1" si="49"/>
        <v>0</v>
      </c>
      <c r="EY20" s="58">
        <f>IF(OR(J20&gt;'NWGC - SCENARIOS'!$D$7,J20='NWGC - SCENARIOS'!$D$7),0,EY19)</f>
        <v>0</v>
      </c>
      <c r="EZ20" s="58">
        <f>IFERROR(IF($K20&lt;VLOOKUP(EX$2,$B:$H,7,0),IF(FB$3=1,MIN($M20,EX20),IF(HLOOKUP(CONCATENATE("Balance",FB$3-1),'Withdrawal Working'!$A$2:$CD$78,MATCH('Yoy WAR OG'!$J20,'Withdrawal Working'!$A$2:$A$78,0),FALSE)&gt;0,MIN(HLOOKUP(CONCATENATE("Balance",FB$3-1),'Withdrawal Working'!$A$2:$CD$78,MATCH('Yoy WAR OG'!$J20,'Withdrawal Working'!$A$2:$A$78,0),0),EX20),0)),IF($K20=VLOOKUP(EX$2,$B:$H,7,0),EX20,)),0)</f>
        <v>0</v>
      </c>
      <c r="FA20" s="58">
        <f t="shared" ca="1" si="23"/>
        <v>0</v>
      </c>
    </row>
    <row r="21" spans="1:157" x14ac:dyDescent="0.3">
      <c r="A21" t="s">
        <v>367</v>
      </c>
      <c r="B21" t="str">
        <f>Networth!B24</f>
        <v>Start-Ups</v>
      </c>
      <c r="C21" s="58">
        <f>VLOOKUP('Yoy WAR OG'!B21,'WAR - Rev'!$A$1:$B$29,2,0)</f>
        <v>1500000</v>
      </c>
      <c r="D21" s="313">
        <f>'WAR - Rev'!C19</f>
        <v>0.12</v>
      </c>
      <c r="H21" s="452">
        <f>VLOOKUP('NWGC - SCENARIOS'!$D$7,'NWGC - SCENARIOS'!$B$11:$C$67,2,0)</f>
        <v>2031</v>
      </c>
      <c r="J21">
        <f>IFERROR('NWGC - SCENARIOS'!B28,0)</f>
        <v>66</v>
      </c>
      <c r="K21">
        <f>IFERROR('NWGC - SCENARIOS'!C28,0)</f>
        <v>2042</v>
      </c>
      <c r="L21" s="449">
        <f ca="1">IF(('NWGC - SCENARIOS'!G28-working!G19)&gt;'NWGC - SCENARIOS'!H28,'NWGC - SCENARIOS'!G28-'NWGC - SCENARIOS'!H28-working!G19,0)</f>
        <v>0</v>
      </c>
      <c r="M21" s="449">
        <f ca="1">IF(('NWGC - SCENARIOS'!G28-working!G19)&gt;'NWGC - SCENARIOS'!H28,0,'NWGC - SCENARIOS'!H28-'NWGC - SCENARIOS'!G28+working!G19)</f>
        <v>8282588.126039302</v>
      </c>
      <c r="N21" s="58">
        <f t="shared" ca="1" si="0"/>
        <v>389724947.3844521</v>
      </c>
      <c r="O21" s="58">
        <f t="shared" ca="1" si="1"/>
        <v>50535434.530414551</v>
      </c>
      <c r="P21" s="58">
        <f t="shared" ca="1" si="24"/>
        <v>0</v>
      </c>
      <c r="Q21" s="58">
        <f ca="1">(VLOOKUP(P$2,$B$1:$F$32,5,0)*$L21)+(VLOOKUP($K21,'Withdrawal Working'!$AD:$AE,2,0)*(IFERROR(VLOOKUP(P$2,$B$35:$C$42,2,0),0)))</f>
        <v>0</v>
      </c>
      <c r="R21" s="58">
        <f>IFERROR(IF($K21&lt;VLOOKUP(P$2,$B:$H,7,0),IF(T$3=1,MIN($M21,P21),IF(HLOOKUP(CONCATENATE("Balance",T$3-1),'Withdrawal Working'!$A$2:$CD$78,MATCH('Yoy WAR OG'!$J21,'Withdrawal Working'!$A$2:$A$78,0),FALSE)&gt;0,MIN(HLOOKUP(CONCATENATE("Balance",T$3-1),'Withdrawal Working'!$A$2:$CD$78,MATCH('Yoy WAR OG'!$J21,'Withdrawal Working'!$A$2:$A$78,0),0),P21),0)),IF($K21=VLOOKUP(P$2,$B:$H,7,0),P21,)),0)</f>
        <v>0</v>
      </c>
      <c r="S21" s="58">
        <f t="shared" ca="1" si="26"/>
        <v>0</v>
      </c>
      <c r="T21" s="58"/>
      <c r="V21" s="58">
        <f t="shared" ca="1" si="27"/>
        <v>0</v>
      </c>
      <c r="W21" s="58">
        <f ca="1">(VLOOKUP(V$2,$B$1:$F$32,5,0)*$L21)+(VLOOKUP($K21,'Withdrawal Working'!$AD:$AE,2,0)*(IFERROR(VLOOKUP(V$2,$B$35:$C$42,2,0),0)))</f>
        <v>0</v>
      </c>
      <c r="X21" s="58">
        <f>IFERROR(IF($K21&lt;VLOOKUP(V$2,$B:$H,7,0),IF(Z$3=1,MIN($M21,V21),IF(HLOOKUP(CONCATENATE("Balance",Z$3-1),'Withdrawal Working'!$A$2:$CD$78,MATCH('Yoy WAR OG'!$J21,'Withdrawal Working'!$A$2:$A$78,0),FALSE)&gt;0,MIN(HLOOKUP(CONCATENATE("Balance",Z$3-1),'Withdrawal Working'!$A$2:$CD$78,MATCH('Yoy WAR OG'!$J21,'Withdrawal Working'!$A$2:$A$78,0),0),V21),0)),IF($K21=VLOOKUP(V$2,$B:$H,7,0),V21,)),0)</f>
        <v>0</v>
      </c>
      <c r="Y21" s="58">
        <f t="shared" ca="1" si="2"/>
        <v>0</v>
      </c>
      <c r="AB21" s="58">
        <f t="shared" ca="1" si="28"/>
        <v>0</v>
      </c>
      <c r="AC21" s="58">
        <f ca="1">(VLOOKUP(AB$2,$B$1:$F$32,5,0)*$L21)+(VLOOKUP($K21,'Withdrawal Working'!$AD:$AE,2,0)*(IFERROR(VLOOKUP(AB$2,$B$35:$C$42,2,0),0)))</f>
        <v>0</v>
      </c>
      <c r="AD21" s="58">
        <f>IFERROR(IF($K21&lt;VLOOKUP(AB$2,$B:$H,7,0),IF(AF$3=1,MIN($M21,AB21),IF(HLOOKUP(CONCATENATE("Balance",AF$3-1),'Withdrawal Working'!$A$2:$CD$78,MATCH('Yoy WAR OG'!$J21,'Withdrawal Working'!$A$2:$A$78,0),FALSE)&gt;0,MIN(HLOOKUP(CONCATENATE("Balance",AF$3-1),'Withdrawal Working'!$A$2:$CD$78,MATCH('Yoy WAR OG'!$J21,'Withdrawal Working'!$A$2:$A$78,0),0),AB21),0)),IF($K21=VLOOKUP(AB$2,$B:$H,7,0),AB21,)),0)</f>
        <v>0</v>
      </c>
      <c r="AE21" s="58">
        <f t="shared" ca="1" si="3"/>
        <v>0</v>
      </c>
      <c r="AH21" s="58">
        <f t="shared" ca="1" si="29"/>
        <v>175939262.92780164</v>
      </c>
      <c r="AI21" s="58">
        <f ca="1">(VLOOKUP(AH$2,$B$1:$F$32,5,0)*$L21)+IF(J21&gt;'NWGC - SCENARIOS'!$D$7,0,(VLOOKUP($K21,'Withdrawal Working'!$AD:$AE,2,0)*(IFERROR(VLOOKUP(AH$2,$B$35:$C$42,2,0),0))))</f>
        <v>0</v>
      </c>
      <c r="AJ21" s="58">
        <f ca="1">IFERROR(IF($J21&gt;'NWGC - SCENARIOS'!$D$7,MIN('Yoy WAR OG'!AH21,VLOOKUP('Yoy WAR OG'!$J21,'Withdrawal Working'!BC:BD,2,0)),IF(AL$3=1,$M21,IF(HLOOKUP(CONCATENATE("Balance",AL$3-1),'Withdrawal Working'!$A$2:$CD$78,MATCH('Yoy WAR OG'!$J21,'Withdrawal Working'!$A$2:$A$78,0),FALSE)&gt;0,MIN(HLOOKUP(CONCATENATE("Balance",AL$3-1),'Withdrawal Working'!$A$2:$CD$78,MATCH('Yoy WAR OG'!$J21,'Withdrawal Working'!$A$2:$A$78,0),0),AH21),0))),0)</f>
        <v>9674788.3902122453</v>
      </c>
      <c r="AK21" s="58">
        <f t="shared" ca="1" si="4"/>
        <v>184553566.73672426</v>
      </c>
      <c r="AN21" s="450">
        <f t="shared" ca="1" si="30"/>
        <v>193083042.05594826</v>
      </c>
      <c r="AO21" s="58">
        <f ca="1">IF(J21&gt;'NWGC - SCENARIOS'!$D$7,(IF(AJ21=0,0,'Yoy WAR OG'!AJ21)+(VLOOKUP(AN$2,$B$1:$F$32,5,0)*$L21)),(VLOOKUP(AN$2,$B$1:$F$32,5,0)*$L21)+(VLOOKUP($K21,'Withdrawal Working'!$AD:$AE,2,0)*(IFERROR(VLOOKUP(AN$2,$B$35:$C$42,2,0),0))))</f>
        <v>9674788.3902122453</v>
      </c>
      <c r="AP21" s="470">
        <f ca="1">IFERROR(IF($K21&lt;&gt;VLOOKUP(AN$2,$B:$H,7,0),IF(AR$3=1,MIN($M21,AN21),IF(HLOOKUP(CONCATENATE("Balance",AR$3-1),'Withdrawal Working'!$A$2:$CD$78,MATCH('Yoy WAR OG'!$J21,'Withdrawal Working'!$A$2:$A$78,0),FALSE)&gt;0,MIN(HLOOKUP(CONCATENATE("Balance",AR$3-1),'Withdrawal Working'!$A$2:$CD$78,MATCH('Yoy WAR OG'!$J21,'Withdrawal Working'!$A$2:$A$78,0),0),AN21),0)),IF($K21=VLOOKUP(AN$2,$B:$H,7,0),AN21,)),0)</f>
        <v>8282588.126039302</v>
      </c>
      <c r="AQ21" s="58">
        <f ca="1">IF(AO21&lt;0,0,IF(J21&gt;'NWGC - SCENARIOS'!$D$7,((AN21-AP21+AO21)*(1+(IFERROR(VLOOKUP(AN$2,$B:$D,3,0),0)))),((AN21-AP21)*(1+(IFERROR(VLOOKUP(AN$2,$B:$D,3,0),0))))+AO21))</f>
        <v>205171380.64772785</v>
      </c>
      <c r="AT21" s="450">
        <f t="shared" ca="1" si="31"/>
        <v>0</v>
      </c>
      <c r="AU21" s="58">
        <f ca="1">(VLOOKUP(AT$2,$B$1:$F$32,5,0)*$L21)+(VLOOKUP($K21,'Withdrawal Working'!$AD:$AE,2,0)*(IFERROR(VLOOKUP(AT$2,$B$35:$C$42,2,0),0)))</f>
        <v>0</v>
      </c>
      <c r="AV21" s="58">
        <f>IFERROR(IF($K21&lt;VLOOKUP(AT$2,$B:$H,7,0),IF(AX$3=1,MIN($M21,AT21),IF(HLOOKUP(CONCATENATE("Balance",AX$3-1),'Withdrawal Working'!$A$2:$CD$78,MATCH('Yoy WAR OG'!$J21,'Withdrawal Working'!$A$2:$A$78,0),FALSE)&gt;0,MIN(HLOOKUP(CONCATENATE("Balance",AX$3-1),'Withdrawal Working'!$A$2:$CD$78,MATCH('Yoy WAR OG'!$J21,'Withdrawal Working'!$A$2:$A$78,0),0),AT21),0)),IF($K21=VLOOKUP(AT$2,$B:$H,7,0),AT21,)),0)</f>
        <v>0</v>
      </c>
      <c r="AW21" s="58">
        <f t="shared" ca="1" si="5"/>
        <v>0</v>
      </c>
      <c r="AZ21" s="450">
        <f t="shared" ca="1" si="32"/>
        <v>12635260.84385995</v>
      </c>
      <c r="BA21" s="58">
        <f ca="1">(VLOOKUP(AZ$2,$B$1:$F$32,5,0)*$L21)+(VLOOKUP($K21,'Withdrawal Working'!$AD:$AE,2,0)*(IFERROR(VLOOKUP(AZ$2,$B$35:$C$42,2,0),0)))</f>
        <v>0</v>
      </c>
      <c r="BB21" s="58">
        <f>IFERROR(IF($K21&lt;VLOOKUP(AZ$2,$B:$H,7,0),IF(BD$3=1,MIN($M21,AZ21),IF(HLOOKUP(CONCATENATE("Balance",BD$3-1),'Withdrawal Working'!$A$2:$CD$78,MATCH('Yoy WAR OG'!$J21,'Withdrawal Working'!$A$2:$A$78,0),FALSE)&gt;0,MIN(HLOOKUP(CONCATENATE("Balance",BD$3-1),'Withdrawal Working'!$A$2:$CD$78,MATCH('Yoy WAR OG'!$J21,'Withdrawal Working'!$A$2:$A$78,0),0),AZ21),0)),IF($K21=VLOOKUP(AZ$2,$B:$H,7,0),AZ21,)),0)</f>
        <v>0</v>
      </c>
      <c r="BC21" s="58">
        <f t="shared" ca="1" si="6"/>
        <v>13519729.102930147</v>
      </c>
      <c r="BF21" s="450">
        <f t="shared" ca="1" si="33"/>
        <v>0</v>
      </c>
      <c r="BG21" s="58">
        <f ca="1">(VLOOKUP(BF$2,$B$1:$F$32,5,0)*$L21)+(VLOOKUP($K21,'Withdrawal Working'!$AD:$AE,2,0)*(IFERROR(VLOOKUP(BF$2,$B$35:$C$42,2,0),0)))</f>
        <v>0</v>
      </c>
      <c r="BH21" s="58">
        <f>IFERROR(IF($K21&lt;VLOOKUP(BF$2,$B:$H,7,0),IF(BJ$3=1,MIN($M21,BF21),IF(HLOOKUP(CONCATENATE("Balance",BJ$3-1),'Withdrawal Working'!$A$2:$CD$78,MATCH('Yoy WAR OG'!$J21,'Withdrawal Working'!$A$2:$A$78,0),FALSE)&gt;0,MIN(HLOOKUP(CONCATENATE("Balance",BJ$3-1),'Withdrawal Working'!$A$2:$CD$78,MATCH('Yoy WAR OG'!$J21,'Withdrawal Working'!$A$2:$A$78,0),0),BF21),0)),IF($K21=VLOOKUP(BF$2,$B:$H,7,0),BF21,)),0)</f>
        <v>0</v>
      </c>
      <c r="BI21" s="58">
        <f t="shared" ca="1" si="7"/>
        <v>0</v>
      </c>
      <c r="BL21" s="450">
        <f t="shared" ca="1" si="34"/>
        <v>0</v>
      </c>
      <c r="BM21" s="58">
        <f ca="1">(VLOOKUP(BL$2,$B$1:$F$32,5,0)*$L21)+(VLOOKUP($K21,'Withdrawal Working'!$AD:$AE,2,0)*(IFERROR(VLOOKUP(BL$2,$B$35:$C$42,2,0),0)))</f>
        <v>0</v>
      </c>
      <c r="BN21" s="58">
        <f>IFERROR(IF($K21&lt;VLOOKUP(BL$2,$B:$H,7,0),IF(BP$3=1,MIN($M21,BL21),IF(HLOOKUP(CONCATENATE("Balance",BP$3-1),'Withdrawal Working'!$A$2:$CD$78,MATCH('Yoy WAR OG'!$J21,'Withdrawal Working'!$A$2:$A$78,0),FALSE)&gt;0,MIN(HLOOKUP(CONCATENATE("Balance",BP$3-1),'Withdrawal Working'!$A$2:$CD$78,MATCH('Yoy WAR OG'!$J21,'Withdrawal Working'!$A$2:$A$78,0),0),BL21),0)),IF($K21=VLOOKUP(BL$2,$B:$H,7,0),BL21,)),0)</f>
        <v>0</v>
      </c>
      <c r="BO21" s="58">
        <f t="shared" ca="1" si="8"/>
        <v>0</v>
      </c>
      <c r="BR21" s="450">
        <f t="shared" ca="1" si="35"/>
        <v>0</v>
      </c>
      <c r="BS21" s="58">
        <f ca="1">(VLOOKUP(BR$2,$B$1:$F$32,5,0)*$L21)+(VLOOKUP($K21,'Withdrawal Working'!$AD:$AE,2,0)*(IFERROR(VLOOKUP(BR$2,$B$35:$C$42,2,0),0)))</f>
        <v>0</v>
      </c>
      <c r="BT21" s="58">
        <f>IFERROR(IF($K21&lt;VLOOKUP(BR$2,$B:$H,7,0),IF(BV$3=1,MIN($M21,BR21),IF(HLOOKUP(CONCATENATE("Balance",BV$3-1),'Withdrawal Working'!$A$2:$CD$78,MATCH('Yoy WAR OG'!$J21,'Withdrawal Working'!$A$2:$A$78,0),FALSE)&gt;0,MIN(HLOOKUP(CONCATENATE("Balance",BV$3-1),'Withdrawal Working'!$A$2:$CD$78,MATCH('Yoy WAR OG'!$J21,'Withdrawal Working'!$A$2:$A$78,0),0),BR21),0)),IF($K21=VLOOKUP(BR$2,$B:$H,7,0),BR21,)),0)</f>
        <v>0</v>
      </c>
      <c r="BU21" s="58">
        <f t="shared" ca="1" si="9"/>
        <v>0</v>
      </c>
      <c r="BX21" s="450">
        <f t="shared" ca="1" si="36"/>
        <v>0</v>
      </c>
      <c r="BY21" s="58">
        <f ca="1">(VLOOKUP(BX$2,$B$1:$F$32,5,0)*$L21)+(VLOOKUP($K21,'Withdrawal Working'!$AD:$AE,2,0)*(IFERROR(VLOOKUP(BX$2,$B$35:$C$42,2,0),0)))</f>
        <v>0</v>
      </c>
      <c r="BZ21" s="58">
        <f>IFERROR(IF($K21&lt;VLOOKUP(BX$2,$B:$H,7,0),IF(CB$3=1,MIN($M21,BX21),IF(HLOOKUP(CONCATENATE("Balance",CB$3-1),'Withdrawal Working'!$A$2:$CD$78,MATCH('Yoy WAR OG'!$J21,'Withdrawal Working'!$A$2:$A$78,0),FALSE)&gt;0,MIN(HLOOKUP(CONCATENATE("Balance",CB$3-1),'Withdrawal Working'!$A$2:$CD$78,MATCH('Yoy WAR OG'!$J21,'Withdrawal Working'!$A$2:$A$78,0),0),BX21),0)),IF($K21=VLOOKUP(BX$2,$B:$H,7,0),BX21,)),0)</f>
        <v>0</v>
      </c>
      <c r="CA21" s="58">
        <f t="shared" ca="1" si="10"/>
        <v>0</v>
      </c>
      <c r="CD21" s="450">
        <f t="shared" ca="1" si="37"/>
        <v>30096269.265297759</v>
      </c>
      <c r="CE21" s="58">
        <f ca="1">(VLOOKUP(CD$2,$B$1:$F$32,5,0)*$L21)+(VLOOKUP($K21,'Withdrawal Working'!$AD:$AE,2,0)*(IFERROR(VLOOKUP(CD$2,$B$35:$C$42,2,0),0)))+SUMIFS('Key Life Events'!$I$3:$I$28,'Key Life Events'!$H$3:$H$28,"House",'Key Life Events'!$E$3:$E$28,'Yoy WAR OG'!K21)</f>
        <v>0</v>
      </c>
      <c r="CF21" s="58">
        <f>IFERROR(IF($K21&lt;VLOOKUP(CD$2,$B:$H,7,0),IF(CH$3=1,MIN($M21,CD21),IF(HLOOKUP(CONCATENATE("Balance",CH$3-1),'Withdrawal Working'!$A$2:$CD$78,MATCH('Yoy WAR OG'!$J21,'Withdrawal Working'!$A$2:$A$78,0),FALSE)&gt;0,MIN(HLOOKUP(CONCATENATE("Balance",CH$3-1),'Withdrawal Working'!$A$2:$CD$78,MATCH('Yoy WAR OG'!$J21,'Withdrawal Working'!$A$2:$A$78,0),0),CD21),0)),IF($K21=VLOOKUP(CD$2,$B:$H,7,0),CD21,)),0)</f>
        <v>0</v>
      </c>
      <c r="CG21" s="58">
        <f t="shared" ca="1" si="11"/>
        <v>30999157.343256693</v>
      </c>
      <c r="CJ21" s="450">
        <f t="shared" ca="1" si="38"/>
        <v>0</v>
      </c>
      <c r="CK21" s="58">
        <f ca="1">(VLOOKUP(CJ$2,$B$1:$F$32,5,0)*$L21)+(VLOOKUP($K21,'Withdrawal Working'!$AD:$AE,2,0)*(IFERROR(VLOOKUP(CJ$2,$B$35:$C$42,2,0),0)))+SUMIFS('Key Life Events'!$I$3:$I$28,'Key Life Events'!$H$3:$H$28,"House2",'Key Life Events'!$E$3:$E$28,'Yoy WAR OG'!K21)</f>
        <v>0</v>
      </c>
      <c r="CL21" s="58">
        <f ca="1">IF(IFERROR(IF($K21&lt;&gt;VLOOKUP(CJ$2,$B:$H,7,0),IF(CN$3=1,MIN($M21,CJ21),IF(HLOOKUP(CONCATENATE("Balance",CN$3-1),'Withdrawal Working'!$A$2:$CD$78,MATCH('Yoy WAR OG'!$J21,'Withdrawal Working'!$A$2:$A$78,0),FALSE)&gt;0,MIN(HLOOKUP(CONCATENATE("Balance",CN$3-1),'Withdrawal Working'!$A$2:$CD$78,MATCH('Yoy WAR OG'!$J21,'Withdrawal Working'!$A$2:$A$78,0),0),CJ21),0)),IF($K21=VLOOKUP(CJ$2,$B:$H,7,0),CJ21,)),0)&gt;0,CJ21,0)</f>
        <v>0</v>
      </c>
      <c r="CM21" s="58">
        <f t="shared" ca="1" si="12"/>
        <v>0</v>
      </c>
      <c r="CP21" s="450">
        <f t="shared" ca="1" si="39"/>
        <v>5730045.7945025833</v>
      </c>
      <c r="CQ21" s="58">
        <f ca="1">(VLOOKUP(CP$2,$B$1:$F$32,5,0)*$L21)+(VLOOKUP($K21,'Withdrawal Working'!$AD:$AE,2,0)*(IFERROR(VLOOKUP(CP$2,$B$35:$C$42,2,0),0)))+SUMIFS('Key Life Events'!$I$3:$I$28,'Key Life Events'!$H$3:$H$28,"Land",'Key Life Events'!$E$3:$E$28,'Yoy WAR OG'!K21)</f>
        <v>0</v>
      </c>
      <c r="CR21" s="58">
        <f>IFERROR(IF($K21&lt;VLOOKUP(CP$2,$B:$H,7,0),IF(CT$3=1,MIN($M21,CP21),IF(HLOOKUP(CONCATENATE("Balance",CT$3-1),'Withdrawal Working'!$A$2:$CD$78,MATCH('Yoy WAR OG'!$J21,'Withdrawal Working'!$A$2:$A$78,0),FALSE)&gt;0,MIN(HLOOKUP(CONCATENATE("Balance",CT$3-1),'Withdrawal Working'!$A$2:$CD$78,MATCH('Yoy WAR OG'!$J21,'Withdrawal Working'!$A$2:$A$78,0),0),CP21),0)),IF($K21=VLOOKUP(CP$2,$B:$H,7,0),CP21,)),0)</f>
        <v>0</v>
      </c>
      <c r="CS21" s="58">
        <f t="shared" ca="1" si="13"/>
        <v>6016548.0842277128</v>
      </c>
      <c r="CV21" s="450">
        <f t="shared" ca="1" si="40"/>
        <v>0</v>
      </c>
      <c r="CW21" s="58"/>
      <c r="CX21" s="58">
        <f>IFERROR(IF($K21&lt;VLOOKUP(CV$2,$B:$H,7,0),IF(CZ$3=1,MIN($M21,CV21),IF(HLOOKUP(CONCATENATE("Balance",CZ$3-1),'Withdrawal Working'!$A$2:$CD$78,MATCH('Yoy WAR OG'!$J21,'Withdrawal Working'!$A$2:$A$78,0),FALSE)&gt;0,MIN(HLOOKUP(CONCATENATE("Balance",CZ$3-1),'Withdrawal Working'!$A$2:$CD$78,MATCH('Yoy WAR OG'!$J21,'Withdrawal Working'!$A$2:$A$78,0),0),CV21),0)),IF($K21=VLOOKUP(CV$2,$B:$H,7,0),CV21,)),0)</f>
        <v>0</v>
      </c>
      <c r="CY21" s="58">
        <f t="shared" ca="1" si="14"/>
        <v>0</v>
      </c>
      <c r="DB21" s="450">
        <f t="shared" ca="1" si="41"/>
        <v>0</v>
      </c>
      <c r="DC21" s="58">
        <f ca="1">(VLOOKUP(DB$2,$B$1:$F$32,5,0)*$L21)+(VLOOKUP($K21,'Withdrawal Working'!$AD:$AE,2,0)*(IFERROR(VLOOKUP(DB$2,$B$35:$C$42,2,0),0)))</f>
        <v>0</v>
      </c>
      <c r="DD21" s="58">
        <f>IFERROR(IF($K21&lt;VLOOKUP(DB$2,$B:$H,7,0),IF(DF$3=1,MIN($M21,DB21),IF(HLOOKUP(CONCATENATE("Balance",DF$3-1),'Withdrawal Working'!$A$2:$CD$78,MATCH('Yoy WAR OG'!$J21,'Withdrawal Working'!$A$2:$A$78,0),FALSE)&gt;0,MIN(HLOOKUP(CONCATENATE("Balance",DF$3-1),'Withdrawal Working'!$A$2:$CD$78,MATCH('Yoy WAR OG'!$J21,'Withdrawal Working'!$A$2:$A$78,0),0),DB21),0)),IF($K21=VLOOKUP(DB$2,$B:$H,7,0),DB21,)),0)</f>
        <v>0</v>
      </c>
      <c r="DE21" s="58">
        <f t="shared" ca="1" si="15"/>
        <v>0</v>
      </c>
      <c r="DH21" s="450">
        <f t="shared" ca="1" si="42"/>
        <v>0</v>
      </c>
      <c r="DI21" s="58">
        <f>IF(OR(J21&gt;'NWGC - SCENARIOS'!$D$7,J21='NWGC - SCENARIOS'!$D$7),0,DI20*(1+'NWGC - SCENARIOS'!$L$5))</f>
        <v>0</v>
      </c>
      <c r="DJ21" s="58">
        <f>IFERROR(IF($K21&lt;VLOOKUP(DH$2,$B:$H,7,0),IF(DL$3=1,MIN($M21,DH21),IF(HLOOKUP(CONCATENATE("Balance",DL$3-1),'Withdrawal Working'!$A$2:$CD$78,MATCH('Yoy WAR OG'!$J21,'Withdrawal Working'!$A$2:$A$78,0),FALSE)&gt;0,MIN(HLOOKUP(CONCATENATE("Balance",DL$3-1),'Withdrawal Working'!$A$2:$CD$78,MATCH('Yoy WAR OG'!$J21,'Withdrawal Working'!$A$2:$A$78,0),0),DH21),0)),IF($K21=VLOOKUP(DH$2,$B:$H,7,0),DH21,)),0)</f>
        <v>0</v>
      </c>
      <c r="DK21" s="58">
        <f t="shared" ca="1" si="16"/>
        <v>0</v>
      </c>
      <c r="DN21" s="450">
        <f t="shared" ca="1" si="43"/>
        <v>0</v>
      </c>
      <c r="DO21" s="58">
        <f ca="1">(VLOOKUP(DN$2,$B$1:$F$32,5,0)*$L21)+(VLOOKUP($K21,'Withdrawal Working'!$AD:$AE,2,0)*(IFERROR(VLOOKUP(DN$2,$B$35:$C$42,2,0),0)))</f>
        <v>0</v>
      </c>
      <c r="DP21" s="58">
        <f>IFERROR(IF($K21&lt;VLOOKUP(DN$2,$B:$H,7,0),IF(DR$3=1,MIN($M21,DN21),IF(HLOOKUP(CONCATENATE("Balance",DR$3-1),'Withdrawal Working'!$A$2:$CD$78,MATCH('Yoy WAR OG'!$J21,'Withdrawal Working'!$A$2:$A$78,0),FALSE)&gt;0,MIN(HLOOKUP(CONCATENATE("Balance",DR$3-1),'Withdrawal Working'!$A$2:$CD$78,MATCH('Yoy WAR OG'!$J21,'Withdrawal Working'!$A$2:$A$78,0),0),DN21),0)),IF($K21=VLOOKUP(DN$2,$B:$H,7,0),DN21,)),0)</f>
        <v>0</v>
      </c>
      <c r="DQ21" s="58">
        <f t="shared" ca="1" si="17"/>
        <v>0</v>
      </c>
      <c r="DT21" s="450">
        <f t="shared" ca="1" si="44"/>
        <v>0</v>
      </c>
      <c r="DU21" s="58">
        <f ca="1">(VLOOKUP(DT$2,$B$1:$F$32,5,0)*$L21)+(VLOOKUP($K21,'Withdrawal Working'!$AD:$AE,2,0)*(IFERROR(VLOOKUP(DT$2,$B$35:$C$42,2,0),0)))</f>
        <v>0</v>
      </c>
      <c r="DV21" s="58">
        <f>IFERROR(IF($K21&lt;VLOOKUP(DT$2,$B:$H,7,0),IF(DX$3=1,MIN($M21,DT21),IF(HLOOKUP(CONCATENATE("Balance",DX$3-1),'Withdrawal Working'!$A$2:$CD$78,MATCH('Yoy WAR OG'!$J21,'Withdrawal Working'!$A$2:$A$78,0),FALSE)&gt;0,MIN(HLOOKUP(CONCATENATE("Balance",DX$3-1),'Withdrawal Working'!$A$2:$CD$78,MATCH('Yoy WAR OG'!$J21,'Withdrawal Working'!$A$2:$A$78,0),0),DT21),0)),IF($K21=VLOOKUP(DT$2,$B:$H,7,0),DT21,)),0)</f>
        <v>0</v>
      </c>
      <c r="DW21" s="58">
        <f t="shared" ca="1" si="18"/>
        <v>0</v>
      </c>
      <c r="DZ21" s="450">
        <f t="shared" ca="1" si="45"/>
        <v>0</v>
      </c>
      <c r="EA21" s="58">
        <f ca="1">(VLOOKUP(DZ$2,$B$1:$F$32,5,0)*$L21)+(VLOOKUP($K21,'Withdrawal Working'!$AD:$AE,2,0)*(IFERROR(VLOOKUP(DZ$2,$B$35:$C$42,2,0),0)))</f>
        <v>0</v>
      </c>
      <c r="EB21" s="58">
        <f>IFERROR(IF($K21&lt;VLOOKUP(DZ$2,$B:$H,7,0),IF(ED$3=1,MIN($M21,DZ21),IF(HLOOKUP(CONCATENATE("Balance",ED$3-1),'Withdrawal Working'!$A$2:$CD$78,MATCH('Yoy WAR OG'!$J21,'Withdrawal Working'!$A$2:$A$78,0),FALSE)&gt;0,MIN(HLOOKUP(CONCATENATE("Balance",ED$3-1),'Withdrawal Working'!$A$2:$CD$78,MATCH('Yoy WAR OG'!$J21,'Withdrawal Working'!$A$2:$A$78,0),0),DZ21),0)),IF($K21=VLOOKUP(DZ$2,$B:$H,7,0),DZ21,)),0)</f>
        <v>0</v>
      </c>
      <c r="EC21" s="58">
        <f t="shared" ca="1" si="19"/>
        <v>0</v>
      </c>
      <c r="EF21" s="450">
        <f t="shared" ca="1" si="46"/>
        <v>0</v>
      </c>
      <c r="EG21" s="58">
        <f ca="1">(VLOOKUP(EF$2,$B$1:$F$32,5,0)*$L21)+(VLOOKUP($K21,'Withdrawal Working'!$AD:$AE,2,0)*(IFERROR(VLOOKUP(EF$2,$B$35:$C$42,2,0),0)))</f>
        <v>0</v>
      </c>
      <c r="EH21" s="58">
        <f>IFERROR(IF($K21&lt;VLOOKUP(EF$2,$B:$H,7,0),IF(EJ$3=1,MIN($M21,EF21),IF(HLOOKUP(CONCATENATE("Balance",EJ$3-1),'Withdrawal Working'!$A$2:$CD$78,MATCH('Yoy WAR OG'!$J21,'Withdrawal Working'!$A$2:$A$78,0),FALSE)&gt;0,MIN(HLOOKUP(CONCATENATE("Balance",EJ$3-1),'Withdrawal Working'!$A$2:$CD$78,MATCH('Yoy WAR OG'!$J21,'Withdrawal Working'!$A$2:$A$78,0),0),EF21),0)),IF($K21=VLOOKUP(EF$2,$B:$H,7,0),EF21,)),0)</f>
        <v>0</v>
      </c>
      <c r="EI21" s="58">
        <f t="shared" ca="1" si="20"/>
        <v>0</v>
      </c>
      <c r="EL21" s="450">
        <f t="shared" ca="1" si="47"/>
        <v>0</v>
      </c>
      <c r="EM21" s="58">
        <f>IF(OR($J21&gt;'NWGC - SCENARIOS'!$D$7,$J21='NWGC - SCENARIOS'!$D$7),0,EM20)</f>
        <v>0</v>
      </c>
      <c r="EN21" s="58">
        <f>IFERROR(IF($K21&lt;VLOOKUP(EL$2,$B:$H,7,0),IF(EP$3=1,MIN($M21,EL21),IF(HLOOKUP(CONCATENATE("Balance",EP$3-1),'Withdrawal Working'!$A$2:$CD$78,MATCH('Yoy WAR OG'!$J21,'Withdrawal Working'!$A$2:$A$78,0),FALSE)&gt;0,MIN(HLOOKUP(CONCATENATE("Balance",EP$3-1),'Withdrawal Working'!$A$2:$CD$78,MATCH('Yoy WAR OG'!$J21,'Withdrawal Working'!$A$2:$A$78,0),0),EL21),0)),IF($K21=VLOOKUP(EL$2,$B:$H,7,0),EL21,)),0)</f>
        <v>0</v>
      </c>
      <c r="EO21" s="58">
        <f t="shared" ca="1" si="21"/>
        <v>0</v>
      </c>
      <c r="ER21" s="450">
        <f t="shared" ca="1" si="48"/>
        <v>0</v>
      </c>
      <c r="ES21" s="58">
        <f>IF(OR(J21&gt;'NWGC - SCENARIOS'!$D$7,J21='NWGC - SCENARIOS'!$D$7),0,ES20*(1+'NWGC - SCENARIOS'!$L$5))</f>
        <v>0</v>
      </c>
      <c r="ET21" s="58">
        <f>IFERROR(IF($K21&lt;VLOOKUP(ER$2,$B:$H,7,0),IF(EV$3=1,MIN($M21,ER21),IF(HLOOKUP(CONCATENATE("Balance",EV$3-1),'Withdrawal Working'!$A$2:$CD$78,MATCH('Yoy WAR OG'!$J21,'Withdrawal Working'!$A$2:$A$78,0),FALSE)&gt;0,MIN(HLOOKUP(CONCATENATE("Balance",EV$3-1),'Withdrawal Working'!$A$2:$CD$78,MATCH('Yoy WAR OG'!$J21,'Withdrawal Working'!$A$2:$A$78,0),0),ER21),0)),IF($K21=VLOOKUP(ER$2,$B:$H,7,0),ER21,)),0)</f>
        <v>0</v>
      </c>
      <c r="EU21" s="58">
        <f t="shared" ca="1" si="22"/>
        <v>0</v>
      </c>
      <c r="EX21" s="450">
        <f t="shared" ca="1" si="49"/>
        <v>0</v>
      </c>
      <c r="EY21" s="58">
        <f>IF(OR(J21&gt;'NWGC - SCENARIOS'!$D$7,J21='NWGC - SCENARIOS'!$D$7),0,EY20)</f>
        <v>0</v>
      </c>
      <c r="EZ21" s="58">
        <f>IFERROR(IF($K21&lt;VLOOKUP(EX$2,$B:$H,7,0),IF(FB$3=1,MIN($M21,EX21),IF(HLOOKUP(CONCATENATE("Balance",FB$3-1),'Withdrawal Working'!$A$2:$CD$78,MATCH('Yoy WAR OG'!$J21,'Withdrawal Working'!$A$2:$A$78,0),FALSE)&gt;0,MIN(HLOOKUP(CONCATENATE("Balance",FB$3-1),'Withdrawal Working'!$A$2:$CD$78,MATCH('Yoy WAR OG'!$J21,'Withdrawal Working'!$A$2:$A$78,0),0),EX21),0)),IF($K21=VLOOKUP(EX$2,$B:$H,7,0),EX21,)),0)</f>
        <v>0</v>
      </c>
      <c r="FA21" s="58">
        <f t="shared" ca="1" si="23"/>
        <v>0</v>
      </c>
    </row>
    <row r="22" spans="1:157" x14ac:dyDescent="0.3">
      <c r="A22" t="s">
        <v>367</v>
      </c>
      <c r="B22" t="str">
        <f>Networth!B25</f>
        <v>NSC</v>
      </c>
      <c r="C22" s="58">
        <f>VLOOKUP('Yoy WAR OG'!B22,'WAR - Rev'!$A$1:$B$29,2,0)</f>
        <v>0</v>
      </c>
      <c r="D22" s="313">
        <f>'WAR - Rev'!C20</f>
        <v>7.6999999999999999E-2</v>
      </c>
      <c r="H22" s="452">
        <f>VLOOKUP('NWGC - SCENARIOS'!$D$7,'NWGC - SCENARIOS'!$B$11:$C$67,2,0)</f>
        <v>2031</v>
      </c>
      <c r="J22">
        <f>IFERROR('NWGC - SCENARIOS'!B29,0)</f>
        <v>67</v>
      </c>
      <c r="K22">
        <f>IFERROR('NWGC - SCENARIOS'!C29,0)</f>
        <v>2043</v>
      </c>
      <c r="L22" s="449">
        <f ca="1">IF(('NWGC - SCENARIOS'!G29-working!G20)&gt;'NWGC - SCENARIOS'!H29,'NWGC - SCENARIOS'!G29-'NWGC - SCENARIOS'!H29-working!G20,0)</f>
        <v>0</v>
      </c>
      <c r="M22" s="449">
        <f ca="1">IF(('NWGC - SCENARIOS'!G29-working!G20)&gt;'NWGC - SCENARIOS'!H29,0,'NWGC - SCENARIOS'!H29-'NWGC - SCENARIOS'!G29+working!G20)</f>
        <v>8951915.1761224475</v>
      </c>
      <c r="N22" s="58">
        <f t="shared" ca="1" si="0"/>
        <v>411290943.11992896</v>
      </c>
      <c r="O22" s="58">
        <f t="shared" ca="1" si="1"/>
        <v>52712617.692128748</v>
      </c>
      <c r="P22" s="58">
        <f t="shared" ca="1" si="24"/>
        <v>0</v>
      </c>
      <c r="Q22" s="58">
        <f ca="1">(VLOOKUP(P$2,$B$1:$F$32,5,0)*$L22)+(VLOOKUP($K22,'Withdrawal Working'!$AD:$AE,2,0)*(IFERROR(VLOOKUP(P$2,$B$35:$C$42,2,0),0)))</f>
        <v>0</v>
      </c>
      <c r="R22" s="58">
        <f>IFERROR(IF($K22&lt;VLOOKUP(P$2,$B:$H,7,0),IF(T$3=1,MIN($M22,P22),IF(HLOOKUP(CONCATENATE("Balance",T$3-1),'Withdrawal Working'!$A$2:$CD$78,MATCH('Yoy WAR OG'!$J22,'Withdrawal Working'!$A$2:$A$78,0),FALSE)&gt;0,MIN(HLOOKUP(CONCATENATE("Balance",T$3-1),'Withdrawal Working'!$A$2:$CD$78,MATCH('Yoy WAR OG'!$J22,'Withdrawal Working'!$A$2:$A$78,0),0),P22),0)),IF($K22=VLOOKUP(P$2,$B:$H,7,0),P22,)),0)</f>
        <v>0</v>
      </c>
      <c r="S22" s="58">
        <f t="shared" ca="1" si="26"/>
        <v>0</v>
      </c>
      <c r="T22" s="58"/>
      <c r="V22" s="58">
        <f t="shared" ca="1" si="27"/>
        <v>0</v>
      </c>
      <c r="W22" s="58">
        <f ca="1">(VLOOKUP(V$2,$B$1:$F$32,5,0)*$L22)+(VLOOKUP($K22,'Withdrawal Working'!$AD:$AE,2,0)*(IFERROR(VLOOKUP(V$2,$B$35:$C$42,2,0),0)))</f>
        <v>0</v>
      </c>
      <c r="X22" s="58">
        <f>IFERROR(IF($K22&lt;VLOOKUP(V$2,$B:$H,7,0),IF(Z$3=1,MIN($M22,V22),IF(HLOOKUP(CONCATENATE("Balance",Z$3-1),'Withdrawal Working'!$A$2:$CD$78,MATCH('Yoy WAR OG'!$J22,'Withdrawal Working'!$A$2:$A$78,0),FALSE)&gt;0,MIN(HLOOKUP(CONCATENATE("Balance",Z$3-1),'Withdrawal Working'!$A$2:$CD$78,MATCH('Yoy WAR OG'!$J22,'Withdrawal Working'!$A$2:$A$78,0),0),V22),0)),IF($K22=VLOOKUP(V$2,$B:$H,7,0),V22,)),0)</f>
        <v>0</v>
      </c>
      <c r="Y22" s="58">
        <f t="shared" ca="1" si="2"/>
        <v>0</v>
      </c>
      <c r="AB22" s="58">
        <f t="shared" ca="1" si="28"/>
        <v>0</v>
      </c>
      <c r="AC22" s="58">
        <f ca="1">(VLOOKUP(AB$2,$B$1:$F$32,5,0)*$L22)+(VLOOKUP($K22,'Withdrawal Working'!$AD:$AE,2,0)*(IFERROR(VLOOKUP(AB$2,$B$35:$C$42,2,0),0)))</f>
        <v>0</v>
      </c>
      <c r="AD22" s="58">
        <f>IFERROR(IF($K22&lt;VLOOKUP(AB$2,$B:$H,7,0),IF(AF$3=1,MIN($M22,AB22),IF(HLOOKUP(CONCATENATE("Balance",AF$3-1),'Withdrawal Working'!$A$2:$CD$78,MATCH('Yoy WAR OG'!$J22,'Withdrawal Working'!$A$2:$A$78,0),FALSE)&gt;0,MIN(HLOOKUP(CONCATENATE("Balance",AF$3-1),'Withdrawal Working'!$A$2:$CD$78,MATCH('Yoy WAR OG'!$J22,'Withdrawal Working'!$A$2:$A$78,0),0),AB22),0)),IF($K22=VLOOKUP(AB$2,$B:$H,7,0),AB22,)),0)</f>
        <v>0</v>
      </c>
      <c r="AE22" s="58">
        <f t="shared" ca="1" si="3"/>
        <v>0</v>
      </c>
      <c r="AH22" s="58">
        <f t="shared" ca="1" si="29"/>
        <v>184553566.73672426</v>
      </c>
      <c r="AI22" s="58">
        <f ca="1">(VLOOKUP(AH$2,$B$1:$F$32,5,0)*$L22)+IF(J22&gt;'NWGC - SCENARIOS'!$D$7,0,(VLOOKUP($K22,'Withdrawal Working'!$AD:$AE,2,0)*(IFERROR(VLOOKUP(AH$2,$B$35:$C$42,2,0),0))))</f>
        <v>0</v>
      </c>
      <c r="AJ22" s="58">
        <f ca="1">IFERROR(IF($J22&gt;'NWGC - SCENARIOS'!$D$7,MIN('Yoy WAR OG'!AH22,VLOOKUP('Yoy WAR OG'!$J22,'Withdrawal Working'!BC:BD,2,0)),IF(AL$3=1,$M22,IF(HLOOKUP(CONCATENATE("Balance",AL$3-1),'Withdrawal Working'!$A$2:$CD$78,MATCH('Yoy WAR OG'!$J22,'Withdrawal Working'!$A$2:$A$78,0),FALSE)&gt;0,MIN(HLOOKUP(CONCATENATE("Balance",AL$3-1),'Withdrawal Working'!$A$2:$CD$78,MATCH('Yoy WAR OG'!$J22,'Withdrawal Working'!$A$2:$A$78,0),0),AH22),0))),0)</f>
        <v>10455491.461429223</v>
      </c>
      <c r="AK22" s="58">
        <f t="shared" ca="1" si="4"/>
        <v>193248863.55557749</v>
      </c>
      <c r="AN22" s="450">
        <f t="shared" ca="1" si="30"/>
        <v>205171380.64772785</v>
      </c>
      <c r="AO22" s="58">
        <f ca="1">IF(J22&gt;'NWGC - SCENARIOS'!$D$7,(IF(AJ22=0,0,'Yoy WAR OG'!AJ22)+(VLOOKUP(AN$2,$B$1:$F$32,5,0)*$L22)),(VLOOKUP(AN$2,$B$1:$F$32,5,0)*$L22)+(VLOOKUP($K22,'Withdrawal Working'!$AD:$AE,2,0)*(IFERROR(VLOOKUP(AN$2,$B$35:$C$42,2,0),0))))</f>
        <v>10455491.461429223</v>
      </c>
      <c r="AP22" s="470">
        <f ca="1">IFERROR(IF($K22&lt;&gt;VLOOKUP(AN$2,$B:$H,7,0),IF(AR$3=1,MIN($M22,AN22),IF(HLOOKUP(CONCATENATE("Balance",AR$3-1),'Withdrawal Working'!$A$2:$CD$78,MATCH('Yoy WAR OG'!$J22,'Withdrawal Working'!$A$2:$A$78,0),FALSE)&gt;0,MIN(HLOOKUP(CONCATENATE("Balance",AR$3-1),'Withdrawal Working'!$A$2:$CD$78,MATCH('Yoy WAR OG'!$J22,'Withdrawal Working'!$A$2:$A$78,0),0),AN22),0)),IF($K22=VLOOKUP(AN$2,$B:$H,7,0),AN22,)),0)</f>
        <v>8951915.1761224475</v>
      </c>
      <c r="AQ22" s="58">
        <f ca="1">IF(AO22&lt;0,0,IF(J22&gt;'NWGC - SCENARIOS'!$D$7,((AN22-AP22+AO22)*(1+(IFERROR(VLOOKUP(AN$2,$B:$D,3,0),0)))),((AN22-AP22)*(1+(IFERROR(VLOOKUP(AN$2,$B:$D,3,0),0))))+AO22))</f>
        <v>218042079.5643515</v>
      </c>
      <c r="AT22" s="450">
        <f t="shared" ca="1" si="31"/>
        <v>0</v>
      </c>
      <c r="AU22" s="58">
        <f ca="1">(VLOOKUP(AT$2,$B$1:$F$32,5,0)*$L22)+(VLOOKUP($K22,'Withdrawal Working'!$AD:$AE,2,0)*(IFERROR(VLOOKUP(AT$2,$B$35:$C$42,2,0),0)))</f>
        <v>0</v>
      </c>
      <c r="AV22" s="58">
        <f>IFERROR(IF($K22&lt;VLOOKUP(AT$2,$B:$H,7,0),IF(AX$3=1,MIN($M22,AT22),IF(HLOOKUP(CONCATENATE("Balance",AX$3-1),'Withdrawal Working'!$A$2:$CD$78,MATCH('Yoy WAR OG'!$J22,'Withdrawal Working'!$A$2:$A$78,0),FALSE)&gt;0,MIN(HLOOKUP(CONCATENATE("Balance",AX$3-1),'Withdrawal Working'!$A$2:$CD$78,MATCH('Yoy WAR OG'!$J22,'Withdrawal Working'!$A$2:$A$78,0),0),AT22),0)),IF($K22=VLOOKUP(AT$2,$B:$H,7,0),AT22,)),0)</f>
        <v>0</v>
      </c>
      <c r="AW22" s="58">
        <f t="shared" ca="1" si="5"/>
        <v>0</v>
      </c>
      <c r="AZ22" s="450">
        <f t="shared" ca="1" si="32"/>
        <v>13519729.102930147</v>
      </c>
      <c r="BA22" s="58">
        <f ca="1">(VLOOKUP(AZ$2,$B$1:$F$32,5,0)*$L22)+(VLOOKUP($K22,'Withdrawal Working'!$AD:$AE,2,0)*(IFERROR(VLOOKUP(AZ$2,$B$35:$C$42,2,0),0)))</f>
        <v>0</v>
      </c>
      <c r="BB22" s="58">
        <f>IFERROR(IF($K22&lt;VLOOKUP(AZ$2,$B:$H,7,0),IF(BD$3=1,MIN($M22,AZ22),IF(HLOOKUP(CONCATENATE("Balance",BD$3-1),'Withdrawal Working'!$A$2:$CD$78,MATCH('Yoy WAR OG'!$J22,'Withdrawal Working'!$A$2:$A$78,0),FALSE)&gt;0,MIN(HLOOKUP(CONCATENATE("Balance",BD$3-1),'Withdrawal Working'!$A$2:$CD$78,MATCH('Yoy WAR OG'!$J22,'Withdrawal Working'!$A$2:$A$78,0),0),AZ22),0)),IF($K22=VLOOKUP(AZ$2,$B:$H,7,0),AZ22,)),0)</f>
        <v>0</v>
      </c>
      <c r="BC22" s="58">
        <f t="shared" ca="1" si="6"/>
        <v>14466110.140135258</v>
      </c>
      <c r="BF22" s="450">
        <f t="shared" ca="1" si="33"/>
        <v>0</v>
      </c>
      <c r="BG22" s="58">
        <f ca="1">(VLOOKUP(BF$2,$B$1:$F$32,5,0)*$L22)+(VLOOKUP($K22,'Withdrawal Working'!$AD:$AE,2,0)*(IFERROR(VLOOKUP(BF$2,$B$35:$C$42,2,0),0)))</f>
        <v>0</v>
      </c>
      <c r="BH22" s="58">
        <f>IFERROR(IF($K22&lt;VLOOKUP(BF$2,$B:$H,7,0),IF(BJ$3=1,MIN($M22,BF22),IF(HLOOKUP(CONCATENATE("Balance",BJ$3-1),'Withdrawal Working'!$A$2:$CD$78,MATCH('Yoy WAR OG'!$J22,'Withdrawal Working'!$A$2:$A$78,0),FALSE)&gt;0,MIN(HLOOKUP(CONCATENATE("Balance",BJ$3-1),'Withdrawal Working'!$A$2:$CD$78,MATCH('Yoy WAR OG'!$J22,'Withdrawal Working'!$A$2:$A$78,0),0),BF22),0)),IF($K22=VLOOKUP(BF$2,$B:$H,7,0),BF22,)),0)</f>
        <v>0</v>
      </c>
      <c r="BI22" s="58">
        <f t="shared" ca="1" si="7"/>
        <v>0</v>
      </c>
      <c r="BL22" s="450">
        <f t="shared" ca="1" si="34"/>
        <v>0</v>
      </c>
      <c r="BM22" s="58">
        <f ca="1">(VLOOKUP(BL$2,$B$1:$F$32,5,0)*$L22)+(VLOOKUP($K22,'Withdrawal Working'!$AD:$AE,2,0)*(IFERROR(VLOOKUP(BL$2,$B$35:$C$42,2,0),0)))</f>
        <v>0</v>
      </c>
      <c r="BN22" s="58">
        <f>IFERROR(IF($K22&lt;VLOOKUP(BL$2,$B:$H,7,0),IF(BP$3=1,MIN($M22,BL22),IF(HLOOKUP(CONCATENATE("Balance",BP$3-1),'Withdrawal Working'!$A$2:$CD$78,MATCH('Yoy WAR OG'!$J22,'Withdrawal Working'!$A$2:$A$78,0),FALSE)&gt;0,MIN(HLOOKUP(CONCATENATE("Balance",BP$3-1),'Withdrawal Working'!$A$2:$CD$78,MATCH('Yoy WAR OG'!$J22,'Withdrawal Working'!$A$2:$A$78,0),0),BL22),0)),IF($K22=VLOOKUP(BL$2,$B:$H,7,0),BL22,)),0)</f>
        <v>0</v>
      </c>
      <c r="BO22" s="58">
        <f t="shared" ca="1" si="8"/>
        <v>0</v>
      </c>
      <c r="BR22" s="450">
        <f t="shared" ca="1" si="35"/>
        <v>0</v>
      </c>
      <c r="BS22" s="58">
        <f ca="1">(VLOOKUP(BR$2,$B$1:$F$32,5,0)*$L22)+(VLOOKUP($K22,'Withdrawal Working'!$AD:$AE,2,0)*(IFERROR(VLOOKUP(BR$2,$B$35:$C$42,2,0),0)))</f>
        <v>0</v>
      </c>
      <c r="BT22" s="58">
        <f>IFERROR(IF($K22&lt;VLOOKUP(BR$2,$B:$H,7,0),IF(BV$3=1,MIN($M22,BR22),IF(HLOOKUP(CONCATENATE("Balance",BV$3-1),'Withdrawal Working'!$A$2:$CD$78,MATCH('Yoy WAR OG'!$J22,'Withdrawal Working'!$A$2:$A$78,0),FALSE)&gt;0,MIN(HLOOKUP(CONCATENATE("Balance",BV$3-1),'Withdrawal Working'!$A$2:$CD$78,MATCH('Yoy WAR OG'!$J22,'Withdrawal Working'!$A$2:$A$78,0),0),BR22),0)),IF($K22=VLOOKUP(BR$2,$B:$H,7,0),BR22,)),0)</f>
        <v>0</v>
      </c>
      <c r="BU22" s="58">
        <f t="shared" ca="1" si="9"/>
        <v>0</v>
      </c>
      <c r="BX22" s="450">
        <f t="shared" ca="1" si="36"/>
        <v>0</v>
      </c>
      <c r="BY22" s="58">
        <f ca="1">(VLOOKUP(BX$2,$B$1:$F$32,5,0)*$L22)+(VLOOKUP($K22,'Withdrawal Working'!$AD:$AE,2,0)*(IFERROR(VLOOKUP(BX$2,$B$35:$C$42,2,0),0)))</f>
        <v>0</v>
      </c>
      <c r="BZ22" s="58">
        <f>IFERROR(IF($K22&lt;VLOOKUP(BX$2,$B:$H,7,0),IF(CB$3=1,MIN($M22,BX22),IF(HLOOKUP(CONCATENATE("Balance",CB$3-1),'Withdrawal Working'!$A$2:$CD$78,MATCH('Yoy WAR OG'!$J22,'Withdrawal Working'!$A$2:$A$78,0),FALSE)&gt;0,MIN(HLOOKUP(CONCATENATE("Balance",CB$3-1),'Withdrawal Working'!$A$2:$CD$78,MATCH('Yoy WAR OG'!$J22,'Withdrawal Working'!$A$2:$A$78,0),0),BX22),0)),IF($K22=VLOOKUP(BX$2,$B:$H,7,0),BX22,)),0)</f>
        <v>0</v>
      </c>
      <c r="CA22" s="58">
        <f t="shared" ca="1" si="10"/>
        <v>0</v>
      </c>
      <c r="CD22" s="450">
        <f t="shared" ca="1" si="37"/>
        <v>30999157.343256693</v>
      </c>
      <c r="CE22" s="58">
        <f ca="1">(VLOOKUP(CD$2,$B$1:$F$32,5,0)*$L22)+(VLOOKUP($K22,'Withdrawal Working'!$AD:$AE,2,0)*(IFERROR(VLOOKUP(CD$2,$B$35:$C$42,2,0),0)))+SUMIFS('Key Life Events'!$I$3:$I$28,'Key Life Events'!$H$3:$H$28,"House",'Key Life Events'!$E$3:$E$28,'Yoy WAR OG'!K22)</f>
        <v>0</v>
      </c>
      <c r="CF22" s="58">
        <f>IFERROR(IF($K22&lt;VLOOKUP(CD$2,$B:$H,7,0),IF(CH$3=1,MIN($M22,CD22),IF(HLOOKUP(CONCATENATE("Balance",CH$3-1),'Withdrawal Working'!$A$2:$CD$78,MATCH('Yoy WAR OG'!$J22,'Withdrawal Working'!$A$2:$A$78,0),FALSE)&gt;0,MIN(HLOOKUP(CONCATENATE("Balance",CH$3-1),'Withdrawal Working'!$A$2:$CD$78,MATCH('Yoy WAR OG'!$J22,'Withdrawal Working'!$A$2:$A$78,0),0),CD22),0)),IF($K22=VLOOKUP(CD$2,$B:$H,7,0),CD22,)),0)</f>
        <v>0</v>
      </c>
      <c r="CG22" s="58">
        <f t="shared" ca="1" si="11"/>
        <v>31929132.063554395</v>
      </c>
      <c r="CJ22" s="450">
        <f t="shared" ca="1" si="38"/>
        <v>0</v>
      </c>
      <c r="CK22" s="58">
        <f ca="1">(VLOOKUP(CJ$2,$B$1:$F$32,5,0)*$L22)+(VLOOKUP($K22,'Withdrawal Working'!$AD:$AE,2,0)*(IFERROR(VLOOKUP(CJ$2,$B$35:$C$42,2,0),0)))+SUMIFS('Key Life Events'!$I$3:$I$28,'Key Life Events'!$H$3:$H$28,"House2",'Key Life Events'!$E$3:$E$28,'Yoy WAR OG'!K22)</f>
        <v>0</v>
      </c>
      <c r="CL22" s="58">
        <f ca="1">IF(IFERROR(IF($K22&lt;&gt;VLOOKUP(CJ$2,$B:$H,7,0),IF(CN$3=1,MIN($M22,CJ22),IF(HLOOKUP(CONCATENATE("Balance",CN$3-1),'Withdrawal Working'!$A$2:$CD$78,MATCH('Yoy WAR OG'!$J22,'Withdrawal Working'!$A$2:$A$78,0),FALSE)&gt;0,MIN(HLOOKUP(CONCATENATE("Balance",CN$3-1),'Withdrawal Working'!$A$2:$CD$78,MATCH('Yoy WAR OG'!$J22,'Withdrawal Working'!$A$2:$A$78,0),0),CJ22),0)),IF($K22=VLOOKUP(CJ$2,$B:$H,7,0),CJ22,)),0)&gt;0,CJ22,0)</f>
        <v>0</v>
      </c>
      <c r="CM22" s="58">
        <f t="shared" ca="1" si="12"/>
        <v>0</v>
      </c>
      <c r="CP22" s="450">
        <f t="shared" ca="1" si="39"/>
        <v>6016548.0842277128</v>
      </c>
      <c r="CQ22" s="58">
        <f ca="1">(VLOOKUP(CP$2,$B$1:$F$32,5,0)*$L22)+(VLOOKUP($K22,'Withdrawal Working'!$AD:$AE,2,0)*(IFERROR(VLOOKUP(CP$2,$B$35:$C$42,2,0),0)))+SUMIFS('Key Life Events'!$I$3:$I$28,'Key Life Events'!$H$3:$H$28,"Land",'Key Life Events'!$E$3:$E$28,'Yoy WAR OG'!K22)</f>
        <v>0</v>
      </c>
      <c r="CR22" s="58">
        <f>IFERROR(IF($K22&lt;VLOOKUP(CP$2,$B:$H,7,0),IF(CT$3=1,MIN($M22,CP22),IF(HLOOKUP(CONCATENATE("Balance",CT$3-1),'Withdrawal Working'!$A$2:$CD$78,MATCH('Yoy WAR OG'!$J22,'Withdrawal Working'!$A$2:$A$78,0),FALSE)&gt;0,MIN(HLOOKUP(CONCATENATE("Balance",CT$3-1),'Withdrawal Working'!$A$2:$CD$78,MATCH('Yoy WAR OG'!$J22,'Withdrawal Working'!$A$2:$A$78,0),0),CP22),0)),IF($K22=VLOOKUP(CP$2,$B:$H,7,0),CP22,)),0)</f>
        <v>0</v>
      </c>
      <c r="CS22" s="58">
        <f t="shared" ca="1" si="13"/>
        <v>6317375.4884390989</v>
      </c>
      <c r="CV22" s="450">
        <f t="shared" ca="1" si="40"/>
        <v>0</v>
      </c>
      <c r="CW22" s="58"/>
      <c r="CX22" s="58">
        <f>IFERROR(IF($K22&lt;VLOOKUP(CV$2,$B:$H,7,0),IF(CZ$3=1,MIN($M22,CV22),IF(HLOOKUP(CONCATENATE("Balance",CZ$3-1),'Withdrawal Working'!$A$2:$CD$78,MATCH('Yoy WAR OG'!$J22,'Withdrawal Working'!$A$2:$A$78,0),FALSE)&gt;0,MIN(HLOOKUP(CONCATENATE("Balance",CZ$3-1),'Withdrawal Working'!$A$2:$CD$78,MATCH('Yoy WAR OG'!$J22,'Withdrawal Working'!$A$2:$A$78,0),0),CV22),0)),IF($K22=VLOOKUP(CV$2,$B:$H,7,0),CV22,)),0)</f>
        <v>0</v>
      </c>
      <c r="CY22" s="58">
        <f t="shared" ca="1" si="14"/>
        <v>0</v>
      </c>
      <c r="DB22" s="450">
        <f t="shared" ca="1" si="41"/>
        <v>0</v>
      </c>
      <c r="DC22" s="58">
        <f ca="1">(VLOOKUP(DB$2,$B$1:$F$32,5,0)*$L22)+(VLOOKUP($K22,'Withdrawal Working'!$AD:$AE,2,0)*(IFERROR(VLOOKUP(DB$2,$B$35:$C$42,2,0),0)))</f>
        <v>0</v>
      </c>
      <c r="DD22" s="58">
        <f>IFERROR(IF($K22&lt;VLOOKUP(DB$2,$B:$H,7,0),IF(DF$3=1,MIN($M22,DB22),IF(HLOOKUP(CONCATENATE("Balance",DF$3-1),'Withdrawal Working'!$A$2:$CD$78,MATCH('Yoy WAR OG'!$J22,'Withdrawal Working'!$A$2:$A$78,0),FALSE)&gt;0,MIN(HLOOKUP(CONCATENATE("Balance",DF$3-1),'Withdrawal Working'!$A$2:$CD$78,MATCH('Yoy WAR OG'!$J22,'Withdrawal Working'!$A$2:$A$78,0),0),DB22),0)),IF($K22=VLOOKUP(DB$2,$B:$H,7,0),DB22,)),0)</f>
        <v>0</v>
      </c>
      <c r="DE22" s="58">
        <f t="shared" ca="1" si="15"/>
        <v>0</v>
      </c>
      <c r="DH22" s="450">
        <f t="shared" ca="1" si="42"/>
        <v>0</v>
      </c>
      <c r="DI22" s="58">
        <f>IF(OR(J22&gt;'NWGC - SCENARIOS'!$D$7,J22='NWGC - SCENARIOS'!$D$7),0,DI21*(1+'NWGC - SCENARIOS'!$L$5))</f>
        <v>0</v>
      </c>
      <c r="DJ22" s="58">
        <f>IFERROR(IF($K22&lt;VLOOKUP(DH$2,$B:$H,7,0),IF(DL$3=1,MIN($M22,DH22),IF(HLOOKUP(CONCATENATE("Balance",DL$3-1),'Withdrawal Working'!$A$2:$CD$78,MATCH('Yoy WAR OG'!$J22,'Withdrawal Working'!$A$2:$A$78,0),FALSE)&gt;0,MIN(HLOOKUP(CONCATENATE("Balance",DL$3-1),'Withdrawal Working'!$A$2:$CD$78,MATCH('Yoy WAR OG'!$J22,'Withdrawal Working'!$A$2:$A$78,0),0),DH22),0)),IF($K22=VLOOKUP(DH$2,$B:$H,7,0),DH22,)),0)</f>
        <v>0</v>
      </c>
      <c r="DK22" s="58">
        <f t="shared" ca="1" si="16"/>
        <v>0</v>
      </c>
      <c r="DN22" s="450">
        <f t="shared" ca="1" si="43"/>
        <v>0</v>
      </c>
      <c r="DO22" s="58">
        <f ca="1">(VLOOKUP(DN$2,$B$1:$F$32,5,0)*$L22)+(VLOOKUP($K22,'Withdrawal Working'!$AD:$AE,2,0)*(IFERROR(VLOOKUP(DN$2,$B$35:$C$42,2,0),0)))</f>
        <v>0</v>
      </c>
      <c r="DP22" s="58">
        <f>IFERROR(IF($K22&lt;VLOOKUP(DN$2,$B:$H,7,0),IF(DR$3=1,MIN($M22,DN22),IF(HLOOKUP(CONCATENATE("Balance",DR$3-1),'Withdrawal Working'!$A$2:$CD$78,MATCH('Yoy WAR OG'!$J22,'Withdrawal Working'!$A$2:$A$78,0),FALSE)&gt;0,MIN(HLOOKUP(CONCATENATE("Balance",DR$3-1),'Withdrawal Working'!$A$2:$CD$78,MATCH('Yoy WAR OG'!$J22,'Withdrawal Working'!$A$2:$A$78,0),0),DN22),0)),IF($K22=VLOOKUP(DN$2,$B:$H,7,0),DN22,)),0)</f>
        <v>0</v>
      </c>
      <c r="DQ22" s="58">
        <f t="shared" ca="1" si="17"/>
        <v>0</v>
      </c>
      <c r="DT22" s="450">
        <f t="shared" ca="1" si="44"/>
        <v>0</v>
      </c>
      <c r="DU22" s="58">
        <f ca="1">(VLOOKUP(DT$2,$B$1:$F$32,5,0)*$L22)+(VLOOKUP($K22,'Withdrawal Working'!$AD:$AE,2,0)*(IFERROR(VLOOKUP(DT$2,$B$35:$C$42,2,0),0)))</f>
        <v>0</v>
      </c>
      <c r="DV22" s="58">
        <f>IFERROR(IF($K22&lt;VLOOKUP(DT$2,$B:$H,7,0),IF(DX$3=1,MIN($M22,DT22),IF(HLOOKUP(CONCATENATE("Balance",DX$3-1),'Withdrawal Working'!$A$2:$CD$78,MATCH('Yoy WAR OG'!$J22,'Withdrawal Working'!$A$2:$A$78,0),FALSE)&gt;0,MIN(HLOOKUP(CONCATENATE("Balance",DX$3-1),'Withdrawal Working'!$A$2:$CD$78,MATCH('Yoy WAR OG'!$J22,'Withdrawal Working'!$A$2:$A$78,0),0),DT22),0)),IF($K22=VLOOKUP(DT$2,$B:$H,7,0),DT22,)),0)</f>
        <v>0</v>
      </c>
      <c r="DW22" s="58">
        <f t="shared" ca="1" si="18"/>
        <v>0</v>
      </c>
      <c r="DZ22" s="450">
        <f t="shared" ca="1" si="45"/>
        <v>0</v>
      </c>
      <c r="EA22" s="58">
        <f ca="1">(VLOOKUP(DZ$2,$B$1:$F$32,5,0)*$L22)+(VLOOKUP($K22,'Withdrawal Working'!$AD:$AE,2,0)*(IFERROR(VLOOKUP(DZ$2,$B$35:$C$42,2,0),0)))</f>
        <v>0</v>
      </c>
      <c r="EB22" s="58">
        <f>IFERROR(IF($K22&lt;VLOOKUP(DZ$2,$B:$H,7,0),IF(ED$3=1,MIN($M22,DZ22),IF(HLOOKUP(CONCATENATE("Balance",ED$3-1),'Withdrawal Working'!$A$2:$CD$78,MATCH('Yoy WAR OG'!$J22,'Withdrawal Working'!$A$2:$A$78,0),FALSE)&gt;0,MIN(HLOOKUP(CONCATENATE("Balance",ED$3-1),'Withdrawal Working'!$A$2:$CD$78,MATCH('Yoy WAR OG'!$J22,'Withdrawal Working'!$A$2:$A$78,0),0),DZ22),0)),IF($K22=VLOOKUP(DZ$2,$B:$H,7,0),DZ22,)),0)</f>
        <v>0</v>
      </c>
      <c r="EC22" s="58">
        <f t="shared" ca="1" si="19"/>
        <v>0</v>
      </c>
      <c r="EF22" s="450">
        <f t="shared" ca="1" si="46"/>
        <v>0</v>
      </c>
      <c r="EG22" s="58">
        <f ca="1">(VLOOKUP(EF$2,$B$1:$F$32,5,0)*$L22)+(VLOOKUP($K22,'Withdrawal Working'!$AD:$AE,2,0)*(IFERROR(VLOOKUP(EF$2,$B$35:$C$42,2,0),0)))</f>
        <v>0</v>
      </c>
      <c r="EH22" s="58">
        <f>IFERROR(IF($K22&lt;VLOOKUP(EF$2,$B:$H,7,0),IF(EJ$3=1,MIN($M22,EF22),IF(HLOOKUP(CONCATENATE("Balance",EJ$3-1),'Withdrawal Working'!$A$2:$CD$78,MATCH('Yoy WAR OG'!$J22,'Withdrawal Working'!$A$2:$A$78,0),FALSE)&gt;0,MIN(HLOOKUP(CONCATENATE("Balance",EJ$3-1),'Withdrawal Working'!$A$2:$CD$78,MATCH('Yoy WAR OG'!$J22,'Withdrawal Working'!$A$2:$A$78,0),0),EF22),0)),IF($K22=VLOOKUP(EF$2,$B:$H,7,0),EF22,)),0)</f>
        <v>0</v>
      </c>
      <c r="EI22" s="58">
        <f t="shared" ca="1" si="20"/>
        <v>0</v>
      </c>
      <c r="EL22" s="450">
        <f t="shared" ca="1" si="47"/>
        <v>0</v>
      </c>
      <c r="EM22" s="58">
        <f>IF(OR($J22&gt;'NWGC - SCENARIOS'!$D$7,$J22='NWGC - SCENARIOS'!$D$7),0,EM21)</f>
        <v>0</v>
      </c>
      <c r="EN22" s="58">
        <f>IFERROR(IF($K22&lt;VLOOKUP(EL$2,$B:$H,7,0),IF(EP$3=1,MIN($M22,EL22),IF(HLOOKUP(CONCATENATE("Balance",EP$3-1),'Withdrawal Working'!$A$2:$CD$78,MATCH('Yoy WAR OG'!$J22,'Withdrawal Working'!$A$2:$A$78,0),FALSE)&gt;0,MIN(HLOOKUP(CONCATENATE("Balance",EP$3-1),'Withdrawal Working'!$A$2:$CD$78,MATCH('Yoy WAR OG'!$J22,'Withdrawal Working'!$A$2:$A$78,0),0),EL22),0)),IF($K22=VLOOKUP(EL$2,$B:$H,7,0),EL22,)),0)</f>
        <v>0</v>
      </c>
      <c r="EO22" s="58">
        <f t="shared" ca="1" si="21"/>
        <v>0</v>
      </c>
      <c r="ER22" s="450">
        <f t="shared" ca="1" si="48"/>
        <v>0</v>
      </c>
      <c r="ES22" s="58">
        <f>IF(OR(J22&gt;'NWGC - SCENARIOS'!$D$7,J22='NWGC - SCENARIOS'!$D$7),0,ES21*(1+'NWGC - SCENARIOS'!$L$5))</f>
        <v>0</v>
      </c>
      <c r="ET22" s="58">
        <f>IFERROR(IF($K22&lt;VLOOKUP(ER$2,$B:$H,7,0),IF(EV$3=1,MIN($M22,ER22),IF(HLOOKUP(CONCATENATE("Balance",EV$3-1),'Withdrawal Working'!$A$2:$CD$78,MATCH('Yoy WAR OG'!$J22,'Withdrawal Working'!$A$2:$A$78,0),FALSE)&gt;0,MIN(HLOOKUP(CONCATENATE("Balance",EV$3-1),'Withdrawal Working'!$A$2:$CD$78,MATCH('Yoy WAR OG'!$J22,'Withdrawal Working'!$A$2:$A$78,0),0),ER22),0)),IF($K22=VLOOKUP(ER$2,$B:$H,7,0),ER22,)),0)</f>
        <v>0</v>
      </c>
      <c r="EU22" s="58">
        <f t="shared" ca="1" si="22"/>
        <v>0</v>
      </c>
      <c r="EX22" s="450">
        <f t="shared" ca="1" si="49"/>
        <v>0</v>
      </c>
      <c r="EY22" s="58">
        <f>IF(OR(J22&gt;'NWGC - SCENARIOS'!$D$7,J22='NWGC - SCENARIOS'!$D$7),0,EY21)</f>
        <v>0</v>
      </c>
      <c r="EZ22" s="58">
        <f>IFERROR(IF($K22&lt;VLOOKUP(EX$2,$B:$H,7,0),IF(FB$3=1,MIN($M22,EX22),IF(HLOOKUP(CONCATENATE("Balance",FB$3-1),'Withdrawal Working'!$A$2:$CD$78,MATCH('Yoy WAR OG'!$J22,'Withdrawal Working'!$A$2:$A$78,0),FALSE)&gt;0,MIN(HLOOKUP(CONCATENATE("Balance",FB$3-1),'Withdrawal Working'!$A$2:$CD$78,MATCH('Yoy WAR OG'!$J22,'Withdrawal Working'!$A$2:$A$78,0),0),EX22),0)),IF($K22=VLOOKUP(EX$2,$B:$H,7,0),EX22,)),0)</f>
        <v>0</v>
      </c>
      <c r="FA22" s="58">
        <f t="shared" ca="1" si="23"/>
        <v>0</v>
      </c>
    </row>
    <row r="23" spans="1:157" x14ac:dyDescent="0.3">
      <c r="A23" t="s">
        <v>367</v>
      </c>
      <c r="B23" t="str">
        <f>Networth!B26</f>
        <v>Life Insurance / ULIPs</v>
      </c>
      <c r="C23" s="58">
        <f>VLOOKUP('Yoy WAR OG'!B23,'WAR - Rev'!$A$1:$B$29,2,0)</f>
        <v>0</v>
      </c>
      <c r="D23" s="313">
        <f>'WAR - Rev'!C21</f>
        <v>0.05</v>
      </c>
      <c r="H23" s="452">
        <f>VLOOKUP('NWGC - SCENARIOS'!$D$7,'NWGC - SCENARIOS'!$B$11:$C$67,2,0)</f>
        <v>2031</v>
      </c>
      <c r="J23">
        <f>IFERROR('NWGC - SCENARIOS'!B30,0)</f>
        <v>68</v>
      </c>
      <c r="K23">
        <f>IFERROR('NWGC - SCENARIOS'!C30,0)</f>
        <v>2044</v>
      </c>
      <c r="L23" s="449">
        <f ca="1">IF(('NWGC - SCENARIOS'!G30-working!G21)&gt;'NWGC - SCENARIOS'!H30,'NWGC - SCENARIOS'!G30-'NWGC - SCENARIOS'!H30-working!G21,0)</f>
        <v>0</v>
      </c>
      <c r="M23" s="449">
        <f ca="1">IF(('NWGC - SCENARIOS'!G30-working!G21)&gt;'NWGC - SCENARIOS'!H30,0,'NWGC - SCENARIOS'!H30-'NWGC - SCENARIOS'!G30+working!G21)</f>
        <v>9674788.3902122453</v>
      </c>
      <c r="N23" s="58">
        <f t="shared" ca="1" si="0"/>
        <v>433712304.94259906</v>
      </c>
      <c r="O23" s="58">
        <f t="shared" ca="1" si="1"/>
        <v>54998988.138266817</v>
      </c>
      <c r="P23" s="58">
        <f t="shared" ca="1" si="24"/>
        <v>0</v>
      </c>
      <c r="Q23" s="58">
        <f ca="1">(VLOOKUP(P$2,$B$1:$F$32,5,0)*$L23)+(VLOOKUP($K23,'Withdrawal Working'!$AD:$AE,2,0)*(IFERROR(VLOOKUP(P$2,$B$35:$C$42,2,0),0)))</f>
        <v>0</v>
      </c>
      <c r="R23" s="58">
        <f>IFERROR(IF($K23&lt;VLOOKUP(P$2,$B:$H,7,0),IF(T$3=1,MIN($M23,P23),IF(HLOOKUP(CONCATENATE("Balance",T$3-1),'Withdrawal Working'!$A$2:$CD$78,MATCH('Yoy WAR OG'!$J23,'Withdrawal Working'!$A$2:$A$78,0),FALSE)&gt;0,MIN(HLOOKUP(CONCATENATE("Balance",T$3-1),'Withdrawal Working'!$A$2:$CD$78,MATCH('Yoy WAR OG'!$J23,'Withdrawal Working'!$A$2:$A$78,0),0),P23),0)),IF($K23=VLOOKUP(P$2,$B:$H,7,0),P23,)),0)</f>
        <v>0</v>
      </c>
      <c r="S23" s="58">
        <f t="shared" ca="1" si="26"/>
        <v>0</v>
      </c>
      <c r="T23" s="58"/>
      <c r="V23" s="58">
        <f t="shared" ca="1" si="27"/>
        <v>0</v>
      </c>
      <c r="W23" s="58">
        <f ca="1">(VLOOKUP(V$2,$B$1:$F$32,5,0)*$L23)+(VLOOKUP($K23,'Withdrawal Working'!$AD:$AE,2,0)*(IFERROR(VLOOKUP(V$2,$B$35:$C$42,2,0),0)))</f>
        <v>0</v>
      </c>
      <c r="X23" s="58">
        <f>IFERROR(IF($K23&lt;VLOOKUP(V$2,$B:$H,7,0),IF(Z$3=1,MIN($M23,V23),IF(HLOOKUP(CONCATENATE("Balance",Z$3-1),'Withdrawal Working'!$A$2:$CD$78,MATCH('Yoy WAR OG'!$J23,'Withdrawal Working'!$A$2:$A$78,0),FALSE)&gt;0,MIN(HLOOKUP(CONCATENATE("Balance",Z$3-1),'Withdrawal Working'!$A$2:$CD$78,MATCH('Yoy WAR OG'!$J23,'Withdrawal Working'!$A$2:$A$78,0),0),V23),0)),IF($K23=VLOOKUP(V$2,$B:$H,7,0),V23,)),0)</f>
        <v>0</v>
      </c>
      <c r="Y23" s="58">
        <f t="shared" ca="1" si="2"/>
        <v>0</v>
      </c>
      <c r="AB23" s="58">
        <f t="shared" ca="1" si="28"/>
        <v>0</v>
      </c>
      <c r="AC23" s="58">
        <f ca="1">(VLOOKUP(AB$2,$B$1:$F$32,5,0)*$L23)+(VLOOKUP($K23,'Withdrawal Working'!$AD:$AE,2,0)*(IFERROR(VLOOKUP(AB$2,$B$35:$C$42,2,0),0)))</f>
        <v>0</v>
      </c>
      <c r="AD23" s="58">
        <f>IFERROR(IF($K23&lt;VLOOKUP(AB$2,$B:$H,7,0),IF(AF$3=1,MIN($M23,AB23),IF(HLOOKUP(CONCATENATE("Balance",AF$3-1),'Withdrawal Working'!$A$2:$CD$78,MATCH('Yoy WAR OG'!$J23,'Withdrawal Working'!$A$2:$A$78,0),FALSE)&gt;0,MIN(HLOOKUP(CONCATENATE("Balance",AF$3-1),'Withdrawal Working'!$A$2:$CD$78,MATCH('Yoy WAR OG'!$J23,'Withdrawal Working'!$A$2:$A$78,0),0),AB23),0)),IF($K23=VLOOKUP(AB$2,$B:$H,7,0),AB23,)),0)</f>
        <v>0</v>
      </c>
      <c r="AE23" s="58">
        <f t="shared" ca="1" si="3"/>
        <v>0</v>
      </c>
      <c r="AH23" s="58">
        <f t="shared" ca="1" si="29"/>
        <v>193248863.55557749</v>
      </c>
      <c r="AI23" s="58">
        <f ca="1">(VLOOKUP(AH$2,$B$1:$F$32,5,0)*$L23)+IF(J23&gt;'NWGC - SCENARIOS'!$D$7,0,(VLOOKUP($K23,'Withdrawal Working'!$AD:$AE,2,0)*(IFERROR(VLOOKUP(AH$2,$B$35:$C$42,2,0),0))))</f>
        <v>0</v>
      </c>
      <c r="AJ23" s="58">
        <f ca="1">IFERROR(IF($J23&gt;'NWGC - SCENARIOS'!$D$7,MIN('Yoy WAR OG'!AH23,VLOOKUP('Yoy WAR OG'!$J23,'Withdrawal Working'!BC:BD,2,0)),IF(AL$3=1,$M23,IF(HLOOKUP(CONCATENATE("Balance",AL$3-1),'Withdrawal Working'!$A$2:$CD$78,MATCH('Yoy WAR OG'!$J23,'Withdrawal Working'!$A$2:$A$78,0),FALSE)&gt;0,MIN(HLOOKUP(CONCATENATE("Balance",AL$3-1),'Withdrawal Working'!$A$2:$CD$78,MATCH('Yoy WAR OG'!$J23,'Withdrawal Working'!$A$2:$A$78,0),0),AH23),0))),0)</f>
        <v>11298650.778343562</v>
      </c>
      <c r="AK23" s="58">
        <f t="shared" ca="1" si="4"/>
        <v>201964736.18272969</v>
      </c>
      <c r="AN23" s="450">
        <f t="shared" ca="1" si="30"/>
        <v>218042079.5643515</v>
      </c>
      <c r="AO23" s="58">
        <f ca="1">IF(J23&gt;'NWGC - SCENARIOS'!$D$7,(IF(AJ23=0,0,'Yoy WAR OG'!AJ23)+(VLOOKUP(AN$2,$B$1:$F$32,5,0)*$L23)),(VLOOKUP(AN$2,$B$1:$F$32,5,0)*$L23)+(VLOOKUP($K23,'Withdrawal Working'!$AD:$AE,2,0)*(IFERROR(VLOOKUP(AN$2,$B$35:$C$42,2,0),0))))</f>
        <v>11298650.778343562</v>
      </c>
      <c r="AP23" s="470">
        <f ca="1">IFERROR(IF($K23&lt;&gt;VLOOKUP(AN$2,$B:$H,7,0),IF(AR$3=1,MIN($M23,AN23),IF(HLOOKUP(CONCATENATE("Balance",AR$3-1),'Withdrawal Working'!$A$2:$CD$78,MATCH('Yoy WAR OG'!$J23,'Withdrawal Working'!$A$2:$A$78,0),FALSE)&gt;0,MIN(HLOOKUP(CONCATENATE("Balance",AR$3-1),'Withdrawal Working'!$A$2:$CD$78,MATCH('Yoy WAR OG'!$J23,'Withdrawal Working'!$A$2:$A$78,0),0),AN23),0)),IF($K23=VLOOKUP(AN$2,$B:$H,7,0),AN23,)),0)</f>
        <v>9674788.3902122453</v>
      </c>
      <c r="AQ23" s="58">
        <f ca="1">IF(AO23&lt;0,0,IF(J23&gt;'NWGC - SCENARIOS'!$D$7,((AN23-AP23+AO23)*(1+(IFERROR(VLOOKUP(AN$2,$B:$D,3,0),0)))),((AN23-AP23)*(1+(IFERROR(VLOOKUP(AN$2,$B:$D,3,0),0))))+AO23))</f>
        <v>231747568.75986937</v>
      </c>
      <c r="AT23" s="450">
        <f t="shared" ca="1" si="31"/>
        <v>0</v>
      </c>
      <c r="AU23" s="58">
        <f ca="1">(VLOOKUP(AT$2,$B$1:$F$32,5,0)*$L23)+(VLOOKUP($K23,'Withdrawal Working'!$AD:$AE,2,0)*(IFERROR(VLOOKUP(AT$2,$B$35:$C$42,2,0),0)))</f>
        <v>0</v>
      </c>
      <c r="AV23" s="58">
        <f>IFERROR(IF($K23&lt;VLOOKUP(AT$2,$B:$H,7,0),IF(AX$3=1,MIN($M23,AT23),IF(HLOOKUP(CONCATENATE("Balance",AX$3-1),'Withdrawal Working'!$A$2:$CD$78,MATCH('Yoy WAR OG'!$J23,'Withdrawal Working'!$A$2:$A$78,0),FALSE)&gt;0,MIN(HLOOKUP(CONCATENATE("Balance",AX$3-1),'Withdrawal Working'!$A$2:$CD$78,MATCH('Yoy WAR OG'!$J23,'Withdrawal Working'!$A$2:$A$78,0),0),AT23),0)),IF($K23=VLOOKUP(AT$2,$B:$H,7,0),AT23,)),0)</f>
        <v>0</v>
      </c>
      <c r="AW23" s="58">
        <f t="shared" ca="1" si="5"/>
        <v>0</v>
      </c>
      <c r="AZ23" s="450">
        <f t="shared" ca="1" si="32"/>
        <v>14466110.140135258</v>
      </c>
      <c r="BA23" s="58">
        <f ca="1">(VLOOKUP(AZ$2,$B$1:$F$32,5,0)*$L23)+(VLOOKUP($K23,'Withdrawal Working'!$AD:$AE,2,0)*(IFERROR(VLOOKUP(AZ$2,$B$35:$C$42,2,0),0)))</f>
        <v>0</v>
      </c>
      <c r="BB23" s="58">
        <f>IFERROR(IF($K23&lt;VLOOKUP(AZ$2,$B:$H,7,0),IF(BD$3=1,MIN($M23,AZ23),IF(HLOOKUP(CONCATENATE("Balance",BD$3-1),'Withdrawal Working'!$A$2:$CD$78,MATCH('Yoy WAR OG'!$J23,'Withdrawal Working'!$A$2:$A$78,0),FALSE)&gt;0,MIN(HLOOKUP(CONCATENATE("Balance",BD$3-1),'Withdrawal Working'!$A$2:$CD$78,MATCH('Yoy WAR OG'!$J23,'Withdrawal Working'!$A$2:$A$78,0),0),AZ23),0)),IF($K23=VLOOKUP(AZ$2,$B:$H,7,0),AZ23,)),0)</f>
        <v>0</v>
      </c>
      <c r="BC23" s="58">
        <f t="shared" ca="1" si="6"/>
        <v>15478737.849944727</v>
      </c>
      <c r="BF23" s="450">
        <f t="shared" ca="1" si="33"/>
        <v>0</v>
      </c>
      <c r="BG23" s="58">
        <f ca="1">(VLOOKUP(BF$2,$B$1:$F$32,5,0)*$L23)+(VLOOKUP($K23,'Withdrawal Working'!$AD:$AE,2,0)*(IFERROR(VLOOKUP(BF$2,$B$35:$C$42,2,0),0)))</f>
        <v>0</v>
      </c>
      <c r="BH23" s="58">
        <f>IFERROR(IF($K23&lt;VLOOKUP(BF$2,$B:$H,7,0),IF(BJ$3=1,MIN($M23,BF23),IF(HLOOKUP(CONCATENATE("Balance",BJ$3-1),'Withdrawal Working'!$A$2:$CD$78,MATCH('Yoy WAR OG'!$J23,'Withdrawal Working'!$A$2:$A$78,0),FALSE)&gt;0,MIN(HLOOKUP(CONCATENATE("Balance",BJ$3-1),'Withdrawal Working'!$A$2:$CD$78,MATCH('Yoy WAR OG'!$J23,'Withdrawal Working'!$A$2:$A$78,0),0),BF23),0)),IF($K23=VLOOKUP(BF$2,$B:$H,7,0),BF23,)),0)</f>
        <v>0</v>
      </c>
      <c r="BI23" s="58">
        <f t="shared" ca="1" si="7"/>
        <v>0</v>
      </c>
      <c r="BL23" s="450">
        <f t="shared" ca="1" si="34"/>
        <v>0</v>
      </c>
      <c r="BM23" s="58">
        <f ca="1">(VLOOKUP(BL$2,$B$1:$F$32,5,0)*$L23)+(VLOOKUP($K23,'Withdrawal Working'!$AD:$AE,2,0)*(IFERROR(VLOOKUP(BL$2,$B$35:$C$42,2,0),0)))</f>
        <v>0</v>
      </c>
      <c r="BN23" s="58">
        <f>IFERROR(IF($K23&lt;VLOOKUP(BL$2,$B:$H,7,0),IF(BP$3=1,MIN($M23,BL23),IF(HLOOKUP(CONCATENATE("Balance",BP$3-1),'Withdrawal Working'!$A$2:$CD$78,MATCH('Yoy WAR OG'!$J23,'Withdrawal Working'!$A$2:$A$78,0),FALSE)&gt;0,MIN(HLOOKUP(CONCATENATE("Balance",BP$3-1),'Withdrawal Working'!$A$2:$CD$78,MATCH('Yoy WAR OG'!$J23,'Withdrawal Working'!$A$2:$A$78,0),0),BL23),0)),IF($K23=VLOOKUP(BL$2,$B:$H,7,0),BL23,)),0)</f>
        <v>0</v>
      </c>
      <c r="BO23" s="58">
        <f t="shared" ca="1" si="8"/>
        <v>0</v>
      </c>
      <c r="BR23" s="450">
        <f t="shared" ca="1" si="35"/>
        <v>0</v>
      </c>
      <c r="BS23" s="58">
        <f ca="1">(VLOOKUP(BR$2,$B$1:$F$32,5,0)*$L23)+(VLOOKUP($K23,'Withdrawal Working'!$AD:$AE,2,0)*(IFERROR(VLOOKUP(BR$2,$B$35:$C$42,2,0),0)))</f>
        <v>0</v>
      </c>
      <c r="BT23" s="58">
        <f>IFERROR(IF($K23&lt;VLOOKUP(BR$2,$B:$H,7,0),IF(BV$3=1,MIN($M23,BR23),IF(HLOOKUP(CONCATENATE("Balance",BV$3-1),'Withdrawal Working'!$A$2:$CD$78,MATCH('Yoy WAR OG'!$J23,'Withdrawal Working'!$A$2:$A$78,0),FALSE)&gt;0,MIN(HLOOKUP(CONCATENATE("Balance",BV$3-1),'Withdrawal Working'!$A$2:$CD$78,MATCH('Yoy WAR OG'!$J23,'Withdrawal Working'!$A$2:$A$78,0),0),BR23),0)),IF($K23=VLOOKUP(BR$2,$B:$H,7,0),BR23,)),0)</f>
        <v>0</v>
      </c>
      <c r="BU23" s="58">
        <f t="shared" ca="1" si="9"/>
        <v>0</v>
      </c>
      <c r="BX23" s="450">
        <f t="shared" ca="1" si="36"/>
        <v>0</v>
      </c>
      <c r="BY23" s="58">
        <f ca="1">(VLOOKUP(BX$2,$B$1:$F$32,5,0)*$L23)+(VLOOKUP($K23,'Withdrawal Working'!$AD:$AE,2,0)*(IFERROR(VLOOKUP(BX$2,$B$35:$C$42,2,0),0)))</f>
        <v>0</v>
      </c>
      <c r="BZ23" s="58">
        <f>IFERROR(IF($K23&lt;VLOOKUP(BX$2,$B:$H,7,0),IF(CB$3=1,MIN($M23,BX23),IF(HLOOKUP(CONCATENATE("Balance",CB$3-1),'Withdrawal Working'!$A$2:$CD$78,MATCH('Yoy WAR OG'!$J23,'Withdrawal Working'!$A$2:$A$78,0),FALSE)&gt;0,MIN(HLOOKUP(CONCATENATE("Balance",CB$3-1),'Withdrawal Working'!$A$2:$CD$78,MATCH('Yoy WAR OG'!$J23,'Withdrawal Working'!$A$2:$A$78,0),0),BX23),0)),IF($K23=VLOOKUP(BX$2,$B:$H,7,0),BX23,)),0)</f>
        <v>0</v>
      </c>
      <c r="CA23" s="58">
        <f t="shared" ca="1" si="10"/>
        <v>0</v>
      </c>
      <c r="CD23" s="450">
        <f t="shared" ca="1" si="37"/>
        <v>31929132.063554395</v>
      </c>
      <c r="CE23" s="58">
        <f ca="1">(VLOOKUP(CD$2,$B$1:$F$32,5,0)*$L23)+(VLOOKUP($K23,'Withdrawal Working'!$AD:$AE,2,0)*(IFERROR(VLOOKUP(CD$2,$B$35:$C$42,2,0),0)))+SUMIFS('Key Life Events'!$I$3:$I$28,'Key Life Events'!$H$3:$H$28,"House",'Key Life Events'!$E$3:$E$28,'Yoy WAR OG'!K23)</f>
        <v>0</v>
      </c>
      <c r="CF23" s="58">
        <f>IFERROR(IF($K23&lt;VLOOKUP(CD$2,$B:$H,7,0),IF(CH$3=1,MIN($M23,CD23),IF(HLOOKUP(CONCATENATE("Balance",CH$3-1),'Withdrawal Working'!$A$2:$CD$78,MATCH('Yoy WAR OG'!$J23,'Withdrawal Working'!$A$2:$A$78,0),FALSE)&gt;0,MIN(HLOOKUP(CONCATENATE("Balance",CH$3-1),'Withdrawal Working'!$A$2:$CD$78,MATCH('Yoy WAR OG'!$J23,'Withdrawal Working'!$A$2:$A$78,0),0),CD23),0)),IF($K23=VLOOKUP(CD$2,$B:$H,7,0),CD23,)),0)</f>
        <v>0</v>
      </c>
      <c r="CG23" s="58">
        <f t="shared" ca="1" si="11"/>
        <v>32887006.025461029</v>
      </c>
      <c r="CJ23" s="450">
        <f t="shared" ca="1" si="38"/>
        <v>0</v>
      </c>
      <c r="CK23" s="58">
        <f ca="1">(VLOOKUP(CJ$2,$B$1:$F$32,5,0)*$L23)+(VLOOKUP($K23,'Withdrawal Working'!$AD:$AE,2,0)*(IFERROR(VLOOKUP(CJ$2,$B$35:$C$42,2,0),0)))+SUMIFS('Key Life Events'!$I$3:$I$28,'Key Life Events'!$H$3:$H$28,"House2",'Key Life Events'!$E$3:$E$28,'Yoy WAR OG'!K23)</f>
        <v>0</v>
      </c>
      <c r="CL23" s="58">
        <f ca="1">IF(IFERROR(IF($K23&lt;&gt;VLOOKUP(CJ$2,$B:$H,7,0),IF(CN$3=1,MIN($M23,CJ23),IF(HLOOKUP(CONCATENATE("Balance",CN$3-1),'Withdrawal Working'!$A$2:$CD$78,MATCH('Yoy WAR OG'!$J23,'Withdrawal Working'!$A$2:$A$78,0),FALSE)&gt;0,MIN(HLOOKUP(CONCATENATE("Balance",CN$3-1),'Withdrawal Working'!$A$2:$CD$78,MATCH('Yoy WAR OG'!$J23,'Withdrawal Working'!$A$2:$A$78,0),0),CJ23),0)),IF($K23=VLOOKUP(CJ$2,$B:$H,7,0),CJ23,)),0)&gt;0,CJ23,0)</f>
        <v>0</v>
      </c>
      <c r="CM23" s="58">
        <f t="shared" ca="1" si="12"/>
        <v>0</v>
      </c>
      <c r="CP23" s="450">
        <f t="shared" ca="1" si="39"/>
        <v>6317375.4884390989</v>
      </c>
      <c r="CQ23" s="58">
        <f ca="1">(VLOOKUP(CP$2,$B$1:$F$32,5,0)*$L23)+(VLOOKUP($K23,'Withdrawal Working'!$AD:$AE,2,0)*(IFERROR(VLOOKUP(CP$2,$B$35:$C$42,2,0),0)))+SUMIFS('Key Life Events'!$I$3:$I$28,'Key Life Events'!$H$3:$H$28,"Land",'Key Life Events'!$E$3:$E$28,'Yoy WAR OG'!K23)</f>
        <v>0</v>
      </c>
      <c r="CR23" s="58">
        <f>IFERROR(IF($K23&lt;VLOOKUP(CP$2,$B:$H,7,0),IF(CT$3=1,MIN($M23,CP23),IF(HLOOKUP(CONCATENATE("Balance",CT$3-1),'Withdrawal Working'!$A$2:$CD$78,MATCH('Yoy WAR OG'!$J23,'Withdrawal Working'!$A$2:$A$78,0),FALSE)&gt;0,MIN(HLOOKUP(CONCATENATE("Balance",CT$3-1),'Withdrawal Working'!$A$2:$CD$78,MATCH('Yoy WAR OG'!$J23,'Withdrawal Working'!$A$2:$A$78,0),0),CP23),0)),IF($K23=VLOOKUP(CP$2,$B:$H,7,0),CP23,)),0)</f>
        <v>0</v>
      </c>
      <c r="CS23" s="58">
        <f t="shared" ca="1" si="13"/>
        <v>6633244.2628610544</v>
      </c>
      <c r="CV23" s="450">
        <f t="shared" ca="1" si="40"/>
        <v>0</v>
      </c>
      <c r="CW23" s="58"/>
      <c r="CX23" s="58">
        <f>IFERROR(IF($K23&lt;VLOOKUP(CV$2,$B:$H,7,0),IF(CZ$3=1,MIN($M23,CV23),IF(HLOOKUP(CONCATENATE("Balance",CZ$3-1),'Withdrawal Working'!$A$2:$CD$78,MATCH('Yoy WAR OG'!$J23,'Withdrawal Working'!$A$2:$A$78,0),FALSE)&gt;0,MIN(HLOOKUP(CONCATENATE("Balance",CZ$3-1),'Withdrawal Working'!$A$2:$CD$78,MATCH('Yoy WAR OG'!$J23,'Withdrawal Working'!$A$2:$A$78,0),0),CV23),0)),IF($K23=VLOOKUP(CV$2,$B:$H,7,0),CV23,)),0)</f>
        <v>0</v>
      </c>
      <c r="CY23" s="58">
        <f t="shared" ca="1" si="14"/>
        <v>0</v>
      </c>
      <c r="DB23" s="450">
        <f t="shared" ca="1" si="41"/>
        <v>0</v>
      </c>
      <c r="DC23" s="58">
        <f ca="1">(VLOOKUP(DB$2,$B$1:$F$32,5,0)*$L23)+(VLOOKUP($K23,'Withdrawal Working'!$AD:$AE,2,0)*(IFERROR(VLOOKUP(DB$2,$B$35:$C$42,2,0),0)))</f>
        <v>0</v>
      </c>
      <c r="DD23" s="58">
        <f>IFERROR(IF($K23&lt;VLOOKUP(DB$2,$B:$H,7,0),IF(DF$3=1,MIN($M23,DB23),IF(HLOOKUP(CONCATENATE("Balance",DF$3-1),'Withdrawal Working'!$A$2:$CD$78,MATCH('Yoy WAR OG'!$J23,'Withdrawal Working'!$A$2:$A$78,0),FALSE)&gt;0,MIN(HLOOKUP(CONCATENATE("Balance",DF$3-1),'Withdrawal Working'!$A$2:$CD$78,MATCH('Yoy WAR OG'!$J23,'Withdrawal Working'!$A$2:$A$78,0),0),DB23),0)),IF($K23=VLOOKUP(DB$2,$B:$H,7,0),DB23,)),0)</f>
        <v>0</v>
      </c>
      <c r="DE23" s="58">
        <f t="shared" ca="1" si="15"/>
        <v>0</v>
      </c>
      <c r="DH23" s="450">
        <f t="shared" ca="1" si="42"/>
        <v>0</v>
      </c>
      <c r="DI23" s="58">
        <f>IF(OR(J23&gt;'NWGC - SCENARIOS'!$D$7,J23='NWGC - SCENARIOS'!$D$7),0,DI22*(1+'NWGC - SCENARIOS'!$L$5))</f>
        <v>0</v>
      </c>
      <c r="DJ23" s="58">
        <f>IFERROR(IF($K23&lt;VLOOKUP(DH$2,$B:$H,7,0),IF(DL$3=1,MIN($M23,DH23),IF(HLOOKUP(CONCATENATE("Balance",DL$3-1),'Withdrawal Working'!$A$2:$CD$78,MATCH('Yoy WAR OG'!$J23,'Withdrawal Working'!$A$2:$A$78,0),FALSE)&gt;0,MIN(HLOOKUP(CONCATENATE("Balance",DL$3-1),'Withdrawal Working'!$A$2:$CD$78,MATCH('Yoy WAR OG'!$J23,'Withdrawal Working'!$A$2:$A$78,0),0),DH23),0)),IF($K23=VLOOKUP(DH$2,$B:$H,7,0),DH23,)),0)</f>
        <v>0</v>
      </c>
      <c r="DK23" s="58">
        <f t="shared" ca="1" si="16"/>
        <v>0</v>
      </c>
      <c r="DN23" s="450">
        <f t="shared" ca="1" si="43"/>
        <v>0</v>
      </c>
      <c r="DO23" s="58">
        <f ca="1">(VLOOKUP(DN$2,$B$1:$F$32,5,0)*$L23)+(VLOOKUP($K23,'Withdrawal Working'!$AD:$AE,2,0)*(IFERROR(VLOOKUP(DN$2,$B$35:$C$42,2,0),0)))</f>
        <v>0</v>
      </c>
      <c r="DP23" s="58">
        <f>IFERROR(IF($K23&lt;VLOOKUP(DN$2,$B:$H,7,0),IF(DR$3=1,MIN($M23,DN23),IF(HLOOKUP(CONCATENATE("Balance",DR$3-1),'Withdrawal Working'!$A$2:$CD$78,MATCH('Yoy WAR OG'!$J23,'Withdrawal Working'!$A$2:$A$78,0),FALSE)&gt;0,MIN(HLOOKUP(CONCATENATE("Balance",DR$3-1),'Withdrawal Working'!$A$2:$CD$78,MATCH('Yoy WAR OG'!$J23,'Withdrawal Working'!$A$2:$A$78,0),0),DN23),0)),IF($K23=VLOOKUP(DN$2,$B:$H,7,0),DN23,)),0)</f>
        <v>0</v>
      </c>
      <c r="DQ23" s="58">
        <f t="shared" ca="1" si="17"/>
        <v>0</v>
      </c>
      <c r="DT23" s="450">
        <f t="shared" ca="1" si="44"/>
        <v>0</v>
      </c>
      <c r="DU23" s="58">
        <f ca="1">(VLOOKUP(DT$2,$B$1:$F$32,5,0)*$L23)+(VLOOKUP($K23,'Withdrawal Working'!$AD:$AE,2,0)*(IFERROR(VLOOKUP(DT$2,$B$35:$C$42,2,0),0)))</f>
        <v>0</v>
      </c>
      <c r="DV23" s="58">
        <f>IFERROR(IF($K23&lt;VLOOKUP(DT$2,$B:$H,7,0),IF(DX$3=1,MIN($M23,DT23),IF(HLOOKUP(CONCATENATE("Balance",DX$3-1),'Withdrawal Working'!$A$2:$CD$78,MATCH('Yoy WAR OG'!$J23,'Withdrawal Working'!$A$2:$A$78,0),FALSE)&gt;0,MIN(HLOOKUP(CONCATENATE("Balance",DX$3-1),'Withdrawal Working'!$A$2:$CD$78,MATCH('Yoy WAR OG'!$J23,'Withdrawal Working'!$A$2:$A$78,0),0),DT23),0)),IF($K23=VLOOKUP(DT$2,$B:$H,7,0),DT23,)),0)</f>
        <v>0</v>
      </c>
      <c r="DW23" s="58">
        <f t="shared" ca="1" si="18"/>
        <v>0</v>
      </c>
      <c r="DZ23" s="450">
        <f t="shared" ca="1" si="45"/>
        <v>0</v>
      </c>
      <c r="EA23" s="58">
        <f ca="1">(VLOOKUP(DZ$2,$B$1:$F$32,5,0)*$L23)+(VLOOKUP($K23,'Withdrawal Working'!$AD:$AE,2,0)*(IFERROR(VLOOKUP(DZ$2,$B$35:$C$42,2,0),0)))</f>
        <v>0</v>
      </c>
      <c r="EB23" s="58">
        <f>IFERROR(IF($K23&lt;VLOOKUP(DZ$2,$B:$H,7,0),IF(ED$3=1,MIN($M23,DZ23),IF(HLOOKUP(CONCATENATE("Balance",ED$3-1),'Withdrawal Working'!$A$2:$CD$78,MATCH('Yoy WAR OG'!$J23,'Withdrawal Working'!$A$2:$A$78,0),FALSE)&gt;0,MIN(HLOOKUP(CONCATENATE("Balance",ED$3-1),'Withdrawal Working'!$A$2:$CD$78,MATCH('Yoy WAR OG'!$J23,'Withdrawal Working'!$A$2:$A$78,0),0),DZ23),0)),IF($K23=VLOOKUP(DZ$2,$B:$H,7,0),DZ23,)),0)</f>
        <v>0</v>
      </c>
      <c r="EC23" s="58">
        <f t="shared" ca="1" si="19"/>
        <v>0</v>
      </c>
      <c r="EF23" s="450">
        <f t="shared" ca="1" si="46"/>
        <v>0</v>
      </c>
      <c r="EG23" s="58">
        <f ca="1">(VLOOKUP(EF$2,$B$1:$F$32,5,0)*$L23)+(VLOOKUP($K23,'Withdrawal Working'!$AD:$AE,2,0)*(IFERROR(VLOOKUP(EF$2,$B$35:$C$42,2,0),0)))</f>
        <v>0</v>
      </c>
      <c r="EH23" s="58">
        <f>IFERROR(IF($K23&lt;VLOOKUP(EF$2,$B:$H,7,0),IF(EJ$3=1,MIN($M23,EF23),IF(HLOOKUP(CONCATENATE("Balance",EJ$3-1),'Withdrawal Working'!$A$2:$CD$78,MATCH('Yoy WAR OG'!$J23,'Withdrawal Working'!$A$2:$A$78,0),FALSE)&gt;0,MIN(HLOOKUP(CONCATENATE("Balance",EJ$3-1),'Withdrawal Working'!$A$2:$CD$78,MATCH('Yoy WAR OG'!$J23,'Withdrawal Working'!$A$2:$A$78,0),0),EF23),0)),IF($K23=VLOOKUP(EF$2,$B:$H,7,0),EF23,)),0)</f>
        <v>0</v>
      </c>
      <c r="EI23" s="58">
        <f t="shared" ca="1" si="20"/>
        <v>0</v>
      </c>
      <c r="EL23" s="450">
        <f t="shared" ca="1" si="47"/>
        <v>0</v>
      </c>
      <c r="EM23" s="58">
        <f>IF(OR($J23&gt;'NWGC - SCENARIOS'!$D$7,$J23='NWGC - SCENARIOS'!$D$7),0,EM22)</f>
        <v>0</v>
      </c>
      <c r="EN23" s="58">
        <f>IFERROR(IF($K23&lt;VLOOKUP(EL$2,$B:$H,7,0),IF(EP$3=1,MIN($M23,EL23),IF(HLOOKUP(CONCATENATE("Balance",EP$3-1),'Withdrawal Working'!$A$2:$CD$78,MATCH('Yoy WAR OG'!$J23,'Withdrawal Working'!$A$2:$A$78,0),FALSE)&gt;0,MIN(HLOOKUP(CONCATENATE("Balance",EP$3-1),'Withdrawal Working'!$A$2:$CD$78,MATCH('Yoy WAR OG'!$J23,'Withdrawal Working'!$A$2:$A$78,0),0),EL23),0)),IF($K23=VLOOKUP(EL$2,$B:$H,7,0),EL23,)),0)</f>
        <v>0</v>
      </c>
      <c r="EO23" s="58">
        <f t="shared" ca="1" si="21"/>
        <v>0</v>
      </c>
      <c r="ER23" s="450">
        <f t="shared" ca="1" si="48"/>
        <v>0</v>
      </c>
      <c r="ES23" s="58">
        <f>IF(OR(J23&gt;'NWGC - SCENARIOS'!$D$7,J23='NWGC - SCENARIOS'!$D$7),0,ES22*(1+'NWGC - SCENARIOS'!$L$5))</f>
        <v>0</v>
      </c>
      <c r="ET23" s="58">
        <f>IFERROR(IF($K23&lt;VLOOKUP(ER$2,$B:$H,7,0),IF(EV$3=1,MIN($M23,ER23),IF(HLOOKUP(CONCATENATE("Balance",EV$3-1),'Withdrawal Working'!$A$2:$CD$78,MATCH('Yoy WAR OG'!$J23,'Withdrawal Working'!$A$2:$A$78,0),FALSE)&gt;0,MIN(HLOOKUP(CONCATENATE("Balance",EV$3-1),'Withdrawal Working'!$A$2:$CD$78,MATCH('Yoy WAR OG'!$J23,'Withdrawal Working'!$A$2:$A$78,0),0),ER23),0)),IF($K23=VLOOKUP(ER$2,$B:$H,7,0),ER23,)),0)</f>
        <v>0</v>
      </c>
      <c r="EU23" s="58">
        <f t="shared" ca="1" si="22"/>
        <v>0</v>
      </c>
      <c r="EX23" s="450">
        <f t="shared" ca="1" si="49"/>
        <v>0</v>
      </c>
      <c r="EY23" s="58">
        <f>IF(OR(J23&gt;'NWGC - SCENARIOS'!$D$7,J23='NWGC - SCENARIOS'!$D$7),0,EY22)</f>
        <v>0</v>
      </c>
      <c r="EZ23" s="58">
        <f>IFERROR(IF($K23&lt;VLOOKUP(EX$2,$B:$H,7,0),IF(FB$3=1,MIN($M23,EX23),IF(HLOOKUP(CONCATENATE("Balance",FB$3-1),'Withdrawal Working'!$A$2:$CD$78,MATCH('Yoy WAR OG'!$J23,'Withdrawal Working'!$A$2:$A$78,0),FALSE)&gt;0,MIN(HLOOKUP(CONCATENATE("Balance",FB$3-1),'Withdrawal Working'!$A$2:$CD$78,MATCH('Yoy WAR OG'!$J23,'Withdrawal Working'!$A$2:$A$78,0),0),EX23),0)),IF($K23=VLOOKUP(EX$2,$B:$H,7,0),EX23,)),0)</f>
        <v>0</v>
      </c>
      <c r="FA23" s="58">
        <f t="shared" ca="1" si="23"/>
        <v>0</v>
      </c>
    </row>
    <row r="24" spans="1:157" x14ac:dyDescent="0.3">
      <c r="A24" t="s">
        <v>367</v>
      </c>
      <c r="B24" t="str">
        <f>Networth!B27</f>
        <v>ESOPs (to be vested)</v>
      </c>
      <c r="C24" s="58">
        <f>VLOOKUP('Yoy WAR OG'!B24,'WAR - Rev'!$A$1:$B$29,2,0)</f>
        <v>0</v>
      </c>
      <c r="D24" s="313">
        <f>'WAR - Rev'!C22</f>
        <v>0.1</v>
      </c>
      <c r="H24" s="452">
        <f>VLOOKUP('NWGC - SCENARIOS'!$D$7,'NWGC - SCENARIOS'!$B$11:$C$67,2,0)</f>
        <v>2031</v>
      </c>
      <c r="J24">
        <f>IFERROR('NWGC - SCENARIOS'!B31,0)</f>
        <v>69</v>
      </c>
      <c r="K24">
        <f>IFERROR('NWGC - SCENARIOS'!C31,0)</f>
        <v>2045</v>
      </c>
      <c r="L24" s="449">
        <f ca="1">IF(('NWGC - SCENARIOS'!G31-working!G22)&gt;'NWGC - SCENARIOS'!H31,'NWGC - SCENARIOS'!G31-'NWGC - SCENARIOS'!H31-working!G22,0)</f>
        <v>0</v>
      </c>
      <c r="M24" s="449">
        <f ca="1">IF(('NWGC - SCENARIOS'!G31-working!G22)&gt;'NWGC - SCENARIOS'!H31,0,'NWGC - SCENARIOS'!H31-'NWGC - SCENARIOS'!G31+working!G22)</f>
        <v>10455491.461429223</v>
      </c>
      <c r="N24" s="58">
        <f t="shared" ca="1" si="0"/>
        <v>456972489.25645071</v>
      </c>
      <c r="O24" s="58">
        <f t="shared" ca="1" si="1"/>
        <v>57400772.181669831</v>
      </c>
      <c r="P24" s="58">
        <f t="shared" ca="1" si="24"/>
        <v>0</v>
      </c>
      <c r="Q24" s="58">
        <f ca="1">(VLOOKUP(P$2,$B$1:$F$32,5,0)*$L24)+(VLOOKUP($K24,'Withdrawal Working'!$AD:$AE,2,0)*(IFERROR(VLOOKUP(P$2,$B$35:$C$42,2,0),0)))</f>
        <v>0</v>
      </c>
      <c r="R24" s="58">
        <f>IFERROR(IF($K24&lt;VLOOKUP(P$2,$B:$H,7,0),IF(T$3=1,MIN($M24,P24),IF(HLOOKUP(CONCATENATE("Balance",T$3-1),'Withdrawal Working'!$A$2:$CD$78,MATCH('Yoy WAR OG'!$J24,'Withdrawal Working'!$A$2:$A$78,0),FALSE)&gt;0,MIN(HLOOKUP(CONCATENATE("Balance",T$3-1),'Withdrawal Working'!$A$2:$CD$78,MATCH('Yoy WAR OG'!$J24,'Withdrawal Working'!$A$2:$A$78,0),0),P24),0)),IF($K24=VLOOKUP(P$2,$B:$H,7,0),P24,)),0)</f>
        <v>0</v>
      </c>
      <c r="S24" s="58">
        <f t="shared" ca="1" si="26"/>
        <v>0</v>
      </c>
      <c r="T24" s="58"/>
      <c r="V24" s="58">
        <f t="shared" ca="1" si="27"/>
        <v>0</v>
      </c>
      <c r="W24" s="58">
        <f ca="1">(VLOOKUP(V$2,$B$1:$F$32,5,0)*$L24)+(VLOOKUP($K24,'Withdrawal Working'!$AD:$AE,2,0)*(IFERROR(VLOOKUP(V$2,$B$35:$C$42,2,0),0)))</f>
        <v>0</v>
      </c>
      <c r="X24" s="58">
        <f>IFERROR(IF($K24&lt;VLOOKUP(V$2,$B:$H,7,0),IF(Z$3=1,MIN($M24,V24),IF(HLOOKUP(CONCATENATE("Balance",Z$3-1),'Withdrawal Working'!$A$2:$CD$78,MATCH('Yoy WAR OG'!$J24,'Withdrawal Working'!$A$2:$A$78,0),FALSE)&gt;0,MIN(HLOOKUP(CONCATENATE("Balance",Z$3-1),'Withdrawal Working'!$A$2:$CD$78,MATCH('Yoy WAR OG'!$J24,'Withdrawal Working'!$A$2:$A$78,0),0),V24),0)),IF($K24=VLOOKUP(V$2,$B:$H,7,0),V24,)),0)</f>
        <v>0</v>
      </c>
      <c r="Y24" s="58">
        <f t="shared" ca="1" si="2"/>
        <v>0</v>
      </c>
      <c r="AB24" s="58">
        <f t="shared" ca="1" si="28"/>
        <v>0</v>
      </c>
      <c r="AC24" s="58">
        <f ca="1">(VLOOKUP(AB$2,$B$1:$F$32,5,0)*$L24)+(VLOOKUP($K24,'Withdrawal Working'!$AD:$AE,2,0)*(IFERROR(VLOOKUP(AB$2,$B$35:$C$42,2,0),0)))</f>
        <v>0</v>
      </c>
      <c r="AD24" s="58">
        <f>IFERROR(IF($K24&lt;VLOOKUP(AB$2,$B:$H,7,0),IF(AF$3=1,MIN($M24,AB24),IF(HLOOKUP(CONCATENATE("Balance",AF$3-1),'Withdrawal Working'!$A$2:$CD$78,MATCH('Yoy WAR OG'!$J24,'Withdrawal Working'!$A$2:$A$78,0),FALSE)&gt;0,MIN(HLOOKUP(CONCATENATE("Balance",AF$3-1),'Withdrawal Working'!$A$2:$CD$78,MATCH('Yoy WAR OG'!$J24,'Withdrawal Working'!$A$2:$A$78,0),0),AB24),0)),IF($K24=VLOOKUP(AB$2,$B:$H,7,0),AB24,)),0)</f>
        <v>0</v>
      </c>
      <c r="AE24" s="58">
        <f t="shared" ca="1" si="3"/>
        <v>0</v>
      </c>
      <c r="AH24" s="58">
        <f t="shared" ca="1" si="29"/>
        <v>201964736.18272969</v>
      </c>
      <c r="AI24" s="58">
        <f ca="1">(VLOOKUP(AH$2,$B$1:$F$32,5,0)*$L24)+IF(J24&gt;'NWGC - SCENARIOS'!$D$7,0,(VLOOKUP($K24,'Withdrawal Working'!$AD:$AE,2,0)*(IFERROR(VLOOKUP(AH$2,$B$35:$C$42,2,0),0))))</f>
        <v>0</v>
      </c>
      <c r="AJ24" s="58">
        <f ca="1">IFERROR(IF($J24&gt;'NWGC - SCENARIOS'!$D$7,MIN('Yoy WAR OG'!AH24,VLOOKUP('Yoy WAR OG'!$J24,'Withdrawal Working'!BC:BD,2,0)),IF(AL$3=1,$M24,IF(HLOOKUP(CONCATENATE("Balance",AL$3-1),'Withdrawal Working'!$A$2:$CD$78,MATCH('Yoy WAR OG'!$J24,'Withdrawal Working'!$A$2:$A$78,0),FALSE)&gt;0,MIN(HLOOKUP(CONCATENATE("Balance",AL$3-1),'Withdrawal Working'!$A$2:$CD$78,MATCH('Yoy WAR OG'!$J24,'Withdrawal Working'!$A$2:$A$78,0),0),AH24),0))),0)</f>
        <v>12209262.840611048</v>
      </c>
      <c r="AK24" s="58">
        <f t="shared" ca="1" si="4"/>
        <v>210628575.40975171</v>
      </c>
      <c r="AN24" s="450">
        <f t="shared" ca="1" si="30"/>
        <v>231747568.75986937</v>
      </c>
      <c r="AO24" s="58">
        <f ca="1">IF(J24&gt;'NWGC - SCENARIOS'!$D$7,(IF(AJ24=0,0,'Yoy WAR OG'!AJ24)+(VLOOKUP(AN$2,$B$1:$F$32,5,0)*$L24)),(VLOOKUP(AN$2,$B$1:$F$32,5,0)*$L24)+(VLOOKUP($K24,'Withdrawal Working'!$AD:$AE,2,0)*(IFERROR(VLOOKUP(AN$2,$B$35:$C$42,2,0),0))))</f>
        <v>12209262.840611048</v>
      </c>
      <c r="AP24" s="470">
        <f ca="1">IFERROR(IF($K24&lt;&gt;VLOOKUP(AN$2,$B:$H,7,0),IF(AR$3=1,MIN($M24,AN24),IF(HLOOKUP(CONCATENATE("Balance",AR$3-1),'Withdrawal Working'!$A$2:$CD$78,MATCH('Yoy WAR OG'!$J24,'Withdrawal Working'!$A$2:$A$78,0),FALSE)&gt;0,MIN(HLOOKUP(CONCATENATE("Balance",AR$3-1),'Withdrawal Working'!$A$2:$CD$78,MATCH('Yoy WAR OG'!$J24,'Withdrawal Working'!$A$2:$A$78,0),0),AN24),0)),IF($K24=VLOOKUP(AN$2,$B:$H,7,0),AN24,)),0)</f>
        <v>10455491.461429223</v>
      </c>
      <c r="AQ24" s="58">
        <f ca="1">IF(AO24&lt;0,0,IF(J24&gt;'NWGC - SCENARIOS'!$D$7,((AN24-AP24+AO24)*(1+(IFERROR(VLOOKUP(AN$2,$B:$D,3,0),0)))),((AN24-AP24)*(1+(IFERROR(VLOOKUP(AN$2,$B:$D,3,0),0))))+AO24))</f>
        <v>246343913.846699</v>
      </c>
      <c r="AT24" s="450">
        <f t="shared" ca="1" si="31"/>
        <v>0</v>
      </c>
      <c r="AU24" s="58">
        <f ca="1">(VLOOKUP(AT$2,$B$1:$F$32,5,0)*$L24)+(VLOOKUP($K24,'Withdrawal Working'!$AD:$AE,2,0)*(IFERROR(VLOOKUP(AT$2,$B$35:$C$42,2,0),0)))</f>
        <v>0</v>
      </c>
      <c r="AV24" s="58">
        <f>IFERROR(IF($K24&lt;VLOOKUP(AT$2,$B:$H,7,0),IF(AX$3=1,MIN($M24,AT24),IF(HLOOKUP(CONCATENATE("Balance",AX$3-1),'Withdrawal Working'!$A$2:$CD$78,MATCH('Yoy WAR OG'!$J24,'Withdrawal Working'!$A$2:$A$78,0),FALSE)&gt;0,MIN(HLOOKUP(CONCATENATE("Balance",AX$3-1),'Withdrawal Working'!$A$2:$CD$78,MATCH('Yoy WAR OG'!$J24,'Withdrawal Working'!$A$2:$A$78,0),0),AT24),0)),IF($K24=VLOOKUP(AT$2,$B:$H,7,0),AT24,)),0)</f>
        <v>0</v>
      </c>
      <c r="AW24" s="58">
        <f t="shared" ca="1" si="5"/>
        <v>0</v>
      </c>
      <c r="AZ24" s="450">
        <f t="shared" ca="1" si="32"/>
        <v>15478737.849944727</v>
      </c>
      <c r="BA24" s="58">
        <f ca="1">(VLOOKUP(AZ$2,$B$1:$F$32,5,0)*$L24)+(VLOOKUP($K24,'Withdrawal Working'!$AD:$AE,2,0)*(IFERROR(VLOOKUP(AZ$2,$B$35:$C$42,2,0),0)))</f>
        <v>0</v>
      </c>
      <c r="BB24" s="58">
        <f>IFERROR(IF($K24&lt;VLOOKUP(AZ$2,$B:$H,7,0),IF(BD$3=1,MIN($M24,AZ24),IF(HLOOKUP(CONCATENATE("Balance",BD$3-1),'Withdrawal Working'!$A$2:$CD$78,MATCH('Yoy WAR OG'!$J24,'Withdrawal Working'!$A$2:$A$78,0),FALSE)&gt;0,MIN(HLOOKUP(CONCATENATE("Balance",BD$3-1),'Withdrawal Working'!$A$2:$CD$78,MATCH('Yoy WAR OG'!$J24,'Withdrawal Working'!$A$2:$A$78,0),0),AZ24),0)),IF($K24=VLOOKUP(AZ$2,$B:$H,7,0),AZ24,)),0)</f>
        <v>0</v>
      </c>
      <c r="BC24" s="58">
        <f t="shared" ca="1" si="6"/>
        <v>16562249.49944086</v>
      </c>
      <c r="BF24" s="450">
        <f t="shared" ca="1" si="33"/>
        <v>0</v>
      </c>
      <c r="BG24" s="58">
        <f ca="1">(VLOOKUP(BF$2,$B$1:$F$32,5,0)*$L24)+(VLOOKUP($K24,'Withdrawal Working'!$AD:$AE,2,0)*(IFERROR(VLOOKUP(BF$2,$B$35:$C$42,2,0),0)))</f>
        <v>0</v>
      </c>
      <c r="BH24" s="58">
        <f>IFERROR(IF($K24&lt;VLOOKUP(BF$2,$B:$H,7,0),IF(BJ$3=1,MIN($M24,BF24),IF(HLOOKUP(CONCATENATE("Balance",BJ$3-1),'Withdrawal Working'!$A$2:$CD$78,MATCH('Yoy WAR OG'!$J24,'Withdrawal Working'!$A$2:$A$78,0),FALSE)&gt;0,MIN(HLOOKUP(CONCATENATE("Balance",BJ$3-1),'Withdrawal Working'!$A$2:$CD$78,MATCH('Yoy WAR OG'!$J24,'Withdrawal Working'!$A$2:$A$78,0),0),BF24),0)),IF($K24=VLOOKUP(BF$2,$B:$H,7,0),BF24,)),0)</f>
        <v>0</v>
      </c>
      <c r="BI24" s="58">
        <f t="shared" ca="1" si="7"/>
        <v>0</v>
      </c>
      <c r="BL24" s="450">
        <f t="shared" ca="1" si="34"/>
        <v>0</v>
      </c>
      <c r="BM24" s="58">
        <f ca="1">(VLOOKUP(BL$2,$B$1:$F$32,5,0)*$L24)+(VLOOKUP($K24,'Withdrawal Working'!$AD:$AE,2,0)*(IFERROR(VLOOKUP(BL$2,$B$35:$C$42,2,0),0)))</f>
        <v>0</v>
      </c>
      <c r="BN24" s="58">
        <f>IFERROR(IF($K24&lt;VLOOKUP(BL$2,$B:$H,7,0),IF(BP$3=1,MIN($M24,BL24),IF(HLOOKUP(CONCATENATE("Balance",BP$3-1),'Withdrawal Working'!$A$2:$CD$78,MATCH('Yoy WAR OG'!$J24,'Withdrawal Working'!$A$2:$A$78,0),FALSE)&gt;0,MIN(HLOOKUP(CONCATENATE("Balance",BP$3-1),'Withdrawal Working'!$A$2:$CD$78,MATCH('Yoy WAR OG'!$J24,'Withdrawal Working'!$A$2:$A$78,0),0),BL24),0)),IF($K24=VLOOKUP(BL$2,$B:$H,7,0),BL24,)),0)</f>
        <v>0</v>
      </c>
      <c r="BO24" s="58">
        <f t="shared" ca="1" si="8"/>
        <v>0</v>
      </c>
      <c r="BR24" s="450">
        <f t="shared" ca="1" si="35"/>
        <v>0</v>
      </c>
      <c r="BS24" s="58">
        <f ca="1">(VLOOKUP(BR$2,$B$1:$F$32,5,0)*$L24)+(VLOOKUP($K24,'Withdrawal Working'!$AD:$AE,2,0)*(IFERROR(VLOOKUP(BR$2,$B$35:$C$42,2,0),0)))</f>
        <v>0</v>
      </c>
      <c r="BT24" s="58">
        <f>IFERROR(IF($K24&lt;VLOOKUP(BR$2,$B:$H,7,0),IF(BV$3=1,MIN($M24,BR24),IF(HLOOKUP(CONCATENATE("Balance",BV$3-1),'Withdrawal Working'!$A$2:$CD$78,MATCH('Yoy WAR OG'!$J24,'Withdrawal Working'!$A$2:$A$78,0),FALSE)&gt;0,MIN(HLOOKUP(CONCATENATE("Balance",BV$3-1),'Withdrawal Working'!$A$2:$CD$78,MATCH('Yoy WAR OG'!$J24,'Withdrawal Working'!$A$2:$A$78,0),0),BR24),0)),IF($K24=VLOOKUP(BR$2,$B:$H,7,0),BR24,)),0)</f>
        <v>0</v>
      </c>
      <c r="BU24" s="58">
        <f t="shared" ca="1" si="9"/>
        <v>0</v>
      </c>
      <c r="BX24" s="450">
        <f t="shared" ca="1" si="36"/>
        <v>0</v>
      </c>
      <c r="BY24" s="58">
        <f ca="1">(VLOOKUP(BX$2,$B$1:$F$32,5,0)*$L24)+(VLOOKUP($K24,'Withdrawal Working'!$AD:$AE,2,0)*(IFERROR(VLOOKUP(BX$2,$B$35:$C$42,2,0),0)))</f>
        <v>0</v>
      </c>
      <c r="BZ24" s="58">
        <f>IFERROR(IF($K24&lt;VLOOKUP(BX$2,$B:$H,7,0),IF(CB$3=1,MIN($M24,BX24),IF(HLOOKUP(CONCATENATE("Balance",CB$3-1),'Withdrawal Working'!$A$2:$CD$78,MATCH('Yoy WAR OG'!$J24,'Withdrawal Working'!$A$2:$A$78,0),FALSE)&gt;0,MIN(HLOOKUP(CONCATENATE("Balance",CB$3-1),'Withdrawal Working'!$A$2:$CD$78,MATCH('Yoy WAR OG'!$J24,'Withdrawal Working'!$A$2:$A$78,0),0),BX24),0)),IF($K24=VLOOKUP(BX$2,$B:$H,7,0),BX24,)),0)</f>
        <v>0</v>
      </c>
      <c r="CA24" s="58">
        <f t="shared" ca="1" si="10"/>
        <v>0</v>
      </c>
      <c r="CD24" s="450">
        <f t="shared" ca="1" si="37"/>
        <v>32887006.025461029</v>
      </c>
      <c r="CE24" s="58">
        <f ca="1">(VLOOKUP(CD$2,$B$1:$F$32,5,0)*$L24)+(VLOOKUP($K24,'Withdrawal Working'!$AD:$AE,2,0)*(IFERROR(VLOOKUP(CD$2,$B$35:$C$42,2,0),0)))+SUMIFS('Key Life Events'!$I$3:$I$28,'Key Life Events'!$H$3:$H$28,"House",'Key Life Events'!$E$3:$E$28,'Yoy WAR OG'!K24)</f>
        <v>0</v>
      </c>
      <c r="CF24" s="58">
        <f>IFERROR(IF($K24&lt;VLOOKUP(CD$2,$B:$H,7,0),IF(CH$3=1,MIN($M24,CD24),IF(HLOOKUP(CONCATENATE("Balance",CH$3-1),'Withdrawal Working'!$A$2:$CD$78,MATCH('Yoy WAR OG'!$J24,'Withdrawal Working'!$A$2:$A$78,0),FALSE)&gt;0,MIN(HLOOKUP(CONCATENATE("Balance",CH$3-1),'Withdrawal Working'!$A$2:$CD$78,MATCH('Yoy WAR OG'!$J24,'Withdrawal Working'!$A$2:$A$78,0),0),CD24),0)),IF($K24=VLOOKUP(CD$2,$B:$H,7,0),CD24,)),0)</f>
        <v>0</v>
      </c>
      <c r="CG24" s="58">
        <f t="shared" ca="1" si="11"/>
        <v>33873616.206224859</v>
      </c>
      <c r="CJ24" s="450">
        <f t="shared" ca="1" si="38"/>
        <v>0</v>
      </c>
      <c r="CK24" s="58">
        <f ca="1">(VLOOKUP(CJ$2,$B$1:$F$32,5,0)*$L24)+(VLOOKUP($K24,'Withdrawal Working'!$AD:$AE,2,0)*(IFERROR(VLOOKUP(CJ$2,$B$35:$C$42,2,0),0)))+SUMIFS('Key Life Events'!$I$3:$I$28,'Key Life Events'!$H$3:$H$28,"House2",'Key Life Events'!$E$3:$E$28,'Yoy WAR OG'!K24)</f>
        <v>0</v>
      </c>
      <c r="CL24" s="58">
        <f ca="1">IF(IFERROR(IF($K24&lt;&gt;VLOOKUP(CJ$2,$B:$H,7,0),IF(CN$3=1,MIN($M24,CJ24),IF(HLOOKUP(CONCATENATE("Balance",CN$3-1),'Withdrawal Working'!$A$2:$CD$78,MATCH('Yoy WAR OG'!$J24,'Withdrawal Working'!$A$2:$A$78,0),FALSE)&gt;0,MIN(HLOOKUP(CONCATENATE("Balance",CN$3-1),'Withdrawal Working'!$A$2:$CD$78,MATCH('Yoy WAR OG'!$J24,'Withdrawal Working'!$A$2:$A$78,0),0),CJ24),0)),IF($K24=VLOOKUP(CJ$2,$B:$H,7,0),CJ24,)),0)&gt;0,CJ24,0)</f>
        <v>0</v>
      </c>
      <c r="CM24" s="58">
        <f t="shared" ca="1" si="12"/>
        <v>0</v>
      </c>
      <c r="CP24" s="450">
        <f t="shared" ca="1" si="39"/>
        <v>6633244.2628610544</v>
      </c>
      <c r="CQ24" s="58">
        <f ca="1">(VLOOKUP(CP$2,$B$1:$F$32,5,0)*$L24)+(VLOOKUP($K24,'Withdrawal Working'!$AD:$AE,2,0)*(IFERROR(VLOOKUP(CP$2,$B$35:$C$42,2,0),0)))+SUMIFS('Key Life Events'!$I$3:$I$28,'Key Life Events'!$H$3:$H$28,"Land",'Key Life Events'!$E$3:$E$28,'Yoy WAR OG'!K24)</f>
        <v>0</v>
      </c>
      <c r="CR24" s="58">
        <f>IFERROR(IF($K24&lt;VLOOKUP(CP$2,$B:$H,7,0),IF(CT$3=1,MIN($M24,CP24),IF(HLOOKUP(CONCATENATE("Balance",CT$3-1),'Withdrawal Working'!$A$2:$CD$78,MATCH('Yoy WAR OG'!$J24,'Withdrawal Working'!$A$2:$A$78,0),FALSE)&gt;0,MIN(HLOOKUP(CONCATENATE("Balance",CT$3-1),'Withdrawal Working'!$A$2:$CD$78,MATCH('Yoy WAR OG'!$J24,'Withdrawal Working'!$A$2:$A$78,0),0),CP24),0)),IF($K24=VLOOKUP(CP$2,$B:$H,7,0),CP24,)),0)</f>
        <v>0</v>
      </c>
      <c r="CS24" s="58">
        <f t="shared" ca="1" si="13"/>
        <v>6964906.4760041079</v>
      </c>
      <c r="CV24" s="450">
        <f t="shared" ca="1" si="40"/>
        <v>0</v>
      </c>
      <c r="CW24" s="58"/>
      <c r="CX24" s="58">
        <f>IFERROR(IF($K24&lt;VLOOKUP(CV$2,$B:$H,7,0),IF(CZ$3=1,MIN($M24,CV24),IF(HLOOKUP(CONCATENATE("Balance",CZ$3-1),'Withdrawal Working'!$A$2:$CD$78,MATCH('Yoy WAR OG'!$J24,'Withdrawal Working'!$A$2:$A$78,0),FALSE)&gt;0,MIN(HLOOKUP(CONCATENATE("Balance",CZ$3-1),'Withdrawal Working'!$A$2:$CD$78,MATCH('Yoy WAR OG'!$J24,'Withdrawal Working'!$A$2:$A$78,0),0),CV24),0)),IF($K24=VLOOKUP(CV$2,$B:$H,7,0),CV24,)),0)</f>
        <v>0</v>
      </c>
      <c r="CY24" s="58">
        <f t="shared" ca="1" si="14"/>
        <v>0</v>
      </c>
      <c r="DB24" s="450">
        <f t="shared" ca="1" si="41"/>
        <v>0</v>
      </c>
      <c r="DC24" s="58">
        <f ca="1">(VLOOKUP(DB$2,$B$1:$F$32,5,0)*$L24)+(VLOOKUP($K24,'Withdrawal Working'!$AD:$AE,2,0)*(IFERROR(VLOOKUP(DB$2,$B$35:$C$42,2,0),0)))</f>
        <v>0</v>
      </c>
      <c r="DD24" s="58">
        <f>IFERROR(IF($K24&lt;VLOOKUP(DB$2,$B:$H,7,0),IF(DF$3=1,MIN($M24,DB24),IF(HLOOKUP(CONCATENATE("Balance",DF$3-1),'Withdrawal Working'!$A$2:$CD$78,MATCH('Yoy WAR OG'!$J24,'Withdrawal Working'!$A$2:$A$78,0),FALSE)&gt;0,MIN(HLOOKUP(CONCATENATE("Balance",DF$3-1),'Withdrawal Working'!$A$2:$CD$78,MATCH('Yoy WAR OG'!$J24,'Withdrawal Working'!$A$2:$A$78,0),0),DB24),0)),IF($K24=VLOOKUP(DB$2,$B:$H,7,0),DB24,)),0)</f>
        <v>0</v>
      </c>
      <c r="DE24" s="58">
        <f t="shared" ca="1" si="15"/>
        <v>0</v>
      </c>
      <c r="DH24" s="450">
        <f t="shared" ca="1" si="42"/>
        <v>0</v>
      </c>
      <c r="DI24" s="58">
        <f>IF(OR(J24&gt;'NWGC - SCENARIOS'!$D$7,J24='NWGC - SCENARIOS'!$D$7),0,DI23*(1+'NWGC - SCENARIOS'!$L$5))</f>
        <v>0</v>
      </c>
      <c r="DJ24" s="58">
        <f>IFERROR(IF($K24&lt;VLOOKUP(DH$2,$B:$H,7,0),IF(DL$3=1,MIN($M24,DH24),IF(HLOOKUP(CONCATENATE("Balance",DL$3-1),'Withdrawal Working'!$A$2:$CD$78,MATCH('Yoy WAR OG'!$J24,'Withdrawal Working'!$A$2:$A$78,0),FALSE)&gt;0,MIN(HLOOKUP(CONCATENATE("Balance",DL$3-1),'Withdrawal Working'!$A$2:$CD$78,MATCH('Yoy WAR OG'!$J24,'Withdrawal Working'!$A$2:$A$78,0),0),DH24),0)),IF($K24=VLOOKUP(DH$2,$B:$H,7,0),DH24,)),0)</f>
        <v>0</v>
      </c>
      <c r="DK24" s="58">
        <f t="shared" ca="1" si="16"/>
        <v>0</v>
      </c>
      <c r="DN24" s="450">
        <f t="shared" ca="1" si="43"/>
        <v>0</v>
      </c>
      <c r="DO24" s="58">
        <f ca="1">(VLOOKUP(DN$2,$B$1:$F$32,5,0)*$L24)+(VLOOKUP($K24,'Withdrawal Working'!$AD:$AE,2,0)*(IFERROR(VLOOKUP(DN$2,$B$35:$C$42,2,0),0)))</f>
        <v>0</v>
      </c>
      <c r="DP24" s="58">
        <f>IFERROR(IF($K24&lt;VLOOKUP(DN$2,$B:$H,7,0),IF(DR$3=1,MIN($M24,DN24),IF(HLOOKUP(CONCATENATE("Balance",DR$3-1),'Withdrawal Working'!$A$2:$CD$78,MATCH('Yoy WAR OG'!$J24,'Withdrawal Working'!$A$2:$A$78,0),FALSE)&gt;0,MIN(HLOOKUP(CONCATENATE("Balance",DR$3-1),'Withdrawal Working'!$A$2:$CD$78,MATCH('Yoy WAR OG'!$J24,'Withdrawal Working'!$A$2:$A$78,0),0),DN24),0)),IF($K24=VLOOKUP(DN$2,$B:$H,7,0),DN24,)),0)</f>
        <v>0</v>
      </c>
      <c r="DQ24" s="58">
        <f t="shared" ca="1" si="17"/>
        <v>0</v>
      </c>
      <c r="DT24" s="450">
        <f t="shared" ca="1" si="44"/>
        <v>0</v>
      </c>
      <c r="DU24" s="58">
        <f ca="1">(VLOOKUP(DT$2,$B$1:$F$32,5,0)*$L24)+(VLOOKUP($K24,'Withdrawal Working'!$AD:$AE,2,0)*(IFERROR(VLOOKUP(DT$2,$B$35:$C$42,2,0),0)))</f>
        <v>0</v>
      </c>
      <c r="DV24" s="58">
        <f>IFERROR(IF($K24&lt;VLOOKUP(DT$2,$B:$H,7,0),IF(DX$3=1,MIN($M24,DT24),IF(HLOOKUP(CONCATENATE("Balance",DX$3-1),'Withdrawal Working'!$A$2:$CD$78,MATCH('Yoy WAR OG'!$J24,'Withdrawal Working'!$A$2:$A$78,0),FALSE)&gt;0,MIN(HLOOKUP(CONCATENATE("Balance",DX$3-1),'Withdrawal Working'!$A$2:$CD$78,MATCH('Yoy WAR OG'!$J24,'Withdrawal Working'!$A$2:$A$78,0),0),DT24),0)),IF($K24=VLOOKUP(DT$2,$B:$H,7,0),DT24,)),0)</f>
        <v>0</v>
      </c>
      <c r="DW24" s="58">
        <f t="shared" ca="1" si="18"/>
        <v>0</v>
      </c>
      <c r="DZ24" s="450">
        <f t="shared" ca="1" si="45"/>
        <v>0</v>
      </c>
      <c r="EA24" s="58">
        <f ca="1">(VLOOKUP(DZ$2,$B$1:$F$32,5,0)*$L24)+(VLOOKUP($K24,'Withdrawal Working'!$AD:$AE,2,0)*(IFERROR(VLOOKUP(DZ$2,$B$35:$C$42,2,0),0)))</f>
        <v>0</v>
      </c>
      <c r="EB24" s="58">
        <f>IFERROR(IF($K24&lt;VLOOKUP(DZ$2,$B:$H,7,0),IF(ED$3=1,MIN($M24,DZ24),IF(HLOOKUP(CONCATENATE("Balance",ED$3-1),'Withdrawal Working'!$A$2:$CD$78,MATCH('Yoy WAR OG'!$J24,'Withdrawal Working'!$A$2:$A$78,0),FALSE)&gt;0,MIN(HLOOKUP(CONCATENATE("Balance",ED$3-1),'Withdrawal Working'!$A$2:$CD$78,MATCH('Yoy WAR OG'!$J24,'Withdrawal Working'!$A$2:$A$78,0),0),DZ24),0)),IF($K24=VLOOKUP(DZ$2,$B:$H,7,0),DZ24,)),0)</f>
        <v>0</v>
      </c>
      <c r="EC24" s="58">
        <f t="shared" ca="1" si="19"/>
        <v>0</v>
      </c>
      <c r="EF24" s="450">
        <f t="shared" ca="1" si="46"/>
        <v>0</v>
      </c>
      <c r="EG24" s="58">
        <f ca="1">(VLOOKUP(EF$2,$B$1:$F$32,5,0)*$L24)+(VLOOKUP($K24,'Withdrawal Working'!$AD:$AE,2,0)*(IFERROR(VLOOKUP(EF$2,$B$35:$C$42,2,0),0)))</f>
        <v>0</v>
      </c>
      <c r="EH24" s="58">
        <f>IFERROR(IF($K24&lt;VLOOKUP(EF$2,$B:$H,7,0),IF(EJ$3=1,MIN($M24,EF24),IF(HLOOKUP(CONCATENATE("Balance",EJ$3-1),'Withdrawal Working'!$A$2:$CD$78,MATCH('Yoy WAR OG'!$J24,'Withdrawal Working'!$A$2:$A$78,0),FALSE)&gt;0,MIN(HLOOKUP(CONCATENATE("Balance",EJ$3-1),'Withdrawal Working'!$A$2:$CD$78,MATCH('Yoy WAR OG'!$J24,'Withdrawal Working'!$A$2:$A$78,0),0),EF24),0)),IF($K24=VLOOKUP(EF$2,$B:$H,7,0),EF24,)),0)</f>
        <v>0</v>
      </c>
      <c r="EI24" s="58">
        <f t="shared" ca="1" si="20"/>
        <v>0</v>
      </c>
      <c r="EL24" s="450">
        <f t="shared" ca="1" si="47"/>
        <v>0</v>
      </c>
      <c r="EM24" s="58">
        <f>IF(OR($J24&gt;'NWGC - SCENARIOS'!$D$7,$J24='NWGC - SCENARIOS'!$D$7),0,EM23)</f>
        <v>0</v>
      </c>
      <c r="EN24" s="58">
        <f>IFERROR(IF($K24&lt;VLOOKUP(EL$2,$B:$H,7,0),IF(EP$3=1,MIN($M24,EL24),IF(HLOOKUP(CONCATENATE("Balance",EP$3-1),'Withdrawal Working'!$A$2:$CD$78,MATCH('Yoy WAR OG'!$J24,'Withdrawal Working'!$A$2:$A$78,0),FALSE)&gt;0,MIN(HLOOKUP(CONCATENATE("Balance",EP$3-1),'Withdrawal Working'!$A$2:$CD$78,MATCH('Yoy WAR OG'!$J24,'Withdrawal Working'!$A$2:$A$78,0),0),EL24),0)),IF($K24=VLOOKUP(EL$2,$B:$H,7,0),EL24,)),0)</f>
        <v>0</v>
      </c>
      <c r="EO24" s="58">
        <f t="shared" ca="1" si="21"/>
        <v>0</v>
      </c>
      <c r="ER24" s="450">
        <f t="shared" ca="1" si="48"/>
        <v>0</v>
      </c>
      <c r="ES24" s="58">
        <f>IF(OR(J24&gt;'NWGC - SCENARIOS'!$D$7,J24='NWGC - SCENARIOS'!$D$7),0,ES23*(1+'NWGC - SCENARIOS'!$L$5))</f>
        <v>0</v>
      </c>
      <c r="ET24" s="58">
        <f>IFERROR(IF($K24&lt;VLOOKUP(ER$2,$B:$H,7,0),IF(EV$3=1,MIN($M24,ER24),IF(HLOOKUP(CONCATENATE("Balance",EV$3-1),'Withdrawal Working'!$A$2:$CD$78,MATCH('Yoy WAR OG'!$J24,'Withdrawal Working'!$A$2:$A$78,0),FALSE)&gt;0,MIN(HLOOKUP(CONCATENATE("Balance",EV$3-1),'Withdrawal Working'!$A$2:$CD$78,MATCH('Yoy WAR OG'!$J24,'Withdrawal Working'!$A$2:$A$78,0),0),ER24),0)),IF($K24=VLOOKUP(ER$2,$B:$H,7,0),ER24,)),0)</f>
        <v>0</v>
      </c>
      <c r="EU24" s="58">
        <f t="shared" ca="1" si="22"/>
        <v>0</v>
      </c>
      <c r="EX24" s="450">
        <f t="shared" ca="1" si="49"/>
        <v>0</v>
      </c>
      <c r="EY24" s="58">
        <f>IF(OR(J24&gt;'NWGC - SCENARIOS'!$D$7,J24='NWGC - SCENARIOS'!$D$7),0,EY23)</f>
        <v>0</v>
      </c>
      <c r="EZ24" s="58">
        <f>IFERROR(IF($K24&lt;VLOOKUP(EX$2,$B:$H,7,0),IF(FB$3=1,MIN($M24,EX24),IF(HLOOKUP(CONCATENATE("Balance",FB$3-1),'Withdrawal Working'!$A$2:$CD$78,MATCH('Yoy WAR OG'!$J24,'Withdrawal Working'!$A$2:$A$78,0),FALSE)&gt;0,MIN(HLOOKUP(CONCATENATE("Balance",FB$3-1),'Withdrawal Working'!$A$2:$CD$78,MATCH('Yoy WAR OG'!$J24,'Withdrawal Working'!$A$2:$A$78,0),0),EX24),0)),IF($K24=VLOOKUP(EX$2,$B:$H,7,0),EX24,)),0)</f>
        <v>0</v>
      </c>
      <c r="FA24" s="58">
        <f t="shared" ca="1" si="23"/>
        <v>0</v>
      </c>
    </row>
    <row r="25" spans="1:157" x14ac:dyDescent="0.3">
      <c r="A25" t="s">
        <v>367</v>
      </c>
      <c r="B25" s="448" t="str">
        <f>Networth!B28</f>
        <v>PPF</v>
      </c>
      <c r="C25" s="58">
        <f>VLOOKUP('Yoy WAR OG'!B25,'WAR - Rev'!$A$1:$B$29,2,0)</f>
        <v>3400000</v>
      </c>
      <c r="D25" s="313">
        <f>'WAR - Rev'!C23</f>
        <v>7.0999999999999994E-2</v>
      </c>
      <c r="E25" s="449">
        <f>Budget!D144</f>
        <v>150000</v>
      </c>
      <c r="H25" s="452">
        <f>VLOOKUP('NWGC - SCENARIOS'!$D$7,'NWGC - SCENARIOS'!$B$11:$C$67,2,0)</f>
        <v>2031</v>
      </c>
      <c r="J25">
        <f>IFERROR('NWGC - SCENARIOS'!B32,0)</f>
        <v>70</v>
      </c>
      <c r="K25">
        <f>IFERROR('NWGC - SCENARIOS'!C32,0)</f>
        <v>2046</v>
      </c>
      <c r="L25" s="449">
        <f ca="1">IF(('NWGC - SCENARIOS'!G32-working!G23)&gt;'NWGC - SCENARIOS'!H32,'NWGC - SCENARIOS'!G32-'NWGC - SCENARIOS'!H32-working!G23,0)</f>
        <v>0</v>
      </c>
      <c r="M25" s="449">
        <f ca="1">IF(('NWGC - SCENARIOS'!G32-working!G23)&gt;'NWGC - SCENARIOS'!H32,0,'NWGC - SCENARIOS'!H32-'NWGC - SCENARIOS'!G32+working!G23)</f>
        <v>11298650.778343562</v>
      </c>
      <c r="N25" s="58">
        <f t="shared" ca="1" si="0"/>
        <v>481044871.42920709</v>
      </c>
      <c r="O25" s="58">
        <f t="shared" ca="1" si="1"/>
        <v>59924583.456617646</v>
      </c>
      <c r="P25" s="58">
        <f t="shared" ca="1" si="24"/>
        <v>0</v>
      </c>
      <c r="Q25" s="58">
        <f ca="1">(VLOOKUP(P$2,$B$1:$F$32,5,0)*$L25)+(VLOOKUP($K25,'Withdrawal Working'!$AD:$AE,2,0)*(IFERROR(VLOOKUP(P$2,$B$35:$C$42,2,0),0)))</f>
        <v>0</v>
      </c>
      <c r="R25" s="58">
        <f>IFERROR(IF($K25&lt;VLOOKUP(P$2,$B:$H,7,0),IF(T$3=1,MIN($M25,P25),IF(HLOOKUP(CONCATENATE("Balance",T$3-1),'Withdrawal Working'!$A$2:$CD$78,MATCH('Yoy WAR OG'!$J25,'Withdrawal Working'!$A$2:$A$78,0),FALSE)&gt;0,MIN(HLOOKUP(CONCATENATE("Balance",T$3-1),'Withdrawal Working'!$A$2:$CD$78,MATCH('Yoy WAR OG'!$J25,'Withdrawal Working'!$A$2:$A$78,0),0),P25),0)),IF($K25=VLOOKUP(P$2,$B:$H,7,0),P25,)),0)</f>
        <v>0</v>
      </c>
      <c r="S25" s="58">
        <f t="shared" ca="1" si="26"/>
        <v>0</v>
      </c>
      <c r="T25" s="58"/>
      <c r="V25" s="58">
        <f t="shared" ca="1" si="27"/>
        <v>0</v>
      </c>
      <c r="W25" s="58">
        <f ca="1">(VLOOKUP(V$2,$B$1:$F$32,5,0)*$L25)+(VLOOKUP($K25,'Withdrawal Working'!$AD:$AE,2,0)*(IFERROR(VLOOKUP(V$2,$B$35:$C$42,2,0),0)))</f>
        <v>0</v>
      </c>
      <c r="X25" s="58">
        <f>IFERROR(IF($K25&lt;VLOOKUP(V$2,$B:$H,7,0),IF(Z$3=1,MIN($M25,V25),IF(HLOOKUP(CONCATENATE("Balance",Z$3-1),'Withdrawal Working'!$A$2:$CD$78,MATCH('Yoy WAR OG'!$J25,'Withdrawal Working'!$A$2:$A$78,0),FALSE)&gt;0,MIN(HLOOKUP(CONCATENATE("Balance",Z$3-1),'Withdrawal Working'!$A$2:$CD$78,MATCH('Yoy WAR OG'!$J25,'Withdrawal Working'!$A$2:$A$78,0),0),V25),0)),IF($K25=VLOOKUP(V$2,$B:$H,7,0),V25,)),0)</f>
        <v>0</v>
      </c>
      <c r="Y25" s="58">
        <f t="shared" ca="1" si="2"/>
        <v>0</v>
      </c>
      <c r="AB25" s="58">
        <f t="shared" ca="1" si="28"/>
        <v>0</v>
      </c>
      <c r="AC25" s="58">
        <f ca="1">(VLOOKUP(AB$2,$B$1:$F$32,5,0)*$L25)+(VLOOKUP($K25,'Withdrawal Working'!$AD:$AE,2,0)*(IFERROR(VLOOKUP(AB$2,$B$35:$C$42,2,0),0)))</f>
        <v>0</v>
      </c>
      <c r="AD25" s="58">
        <f>IFERROR(IF($K25&lt;VLOOKUP(AB$2,$B:$H,7,0),IF(AF$3=1,MIN($M25,AB25),IF(HLOOKUP(CONCATENATE("Balance",AF$3-1),'Withdrawal Working'!$A$2:$CD$78,MATCH('Yoy WAR OG'!$J25,'Withdrawal Working'!$A$2:$A$78,0),FALSE)&gt;0,MIN(HLOOKUP(CONCATENATE("Balance",AF$3-1),'Withdrawal Working'!$A$2:$CD$78,MATCH('Yoy WAR OG'!$J25,'Withdrawal Working'!$A$2:$A$78,0),0),AB25),0)),IF($K25=VLOOKUP(AB$2,$B:$H,7,0),AB25,)),0)</f>
        <v>0</v>
      </c>
      <c r="AE25" s="58">
        <f t="shared" ca="1" si="3"/>
        <v>0</v>
      </c>
      <c r="AH25" s="58">
        <f t="shared" ca="1" si="29"/>
        <v>210628575.40975171</v>
      </c>
      <c r="AI25" s="58">
        <f ca="1">(VLOOKUP(AH$2,$B$1:$F$32,5,0)*$L25)+IF(J25&gt;'NWGC - SCENARIOS'!$D$7,0,(VLOOKUP($K25,'Withdrawal Working'!$AD:$AE,2,0)*(IFERROR(VLOOKUP(AH$2,$B$35:$C$42,2,0),0))))</f>
        <v>0</v>
      </c>
      <c r="AJ25" s="58">
        <f ca="1">IFERROR(IF($J25&gt;'NWGC - SCENARIOS'!$D$7,MIN('Yoy WAR OG'!AH25,VLOOKUP('Yoy WAR OG'!$J25,'Withdrawal Working'!BC:BD,2,0)),IF(AL$3=1,$M25,IF(HLOOKUP(CONCATENATE("Balance",AL$3-1),'Withdrawal Working'!$A$2:$CD$78,MATCH('Yoy WAR OG'!$J25,'Withdrawal Working'!$A$2:$A$78,0),FALSE)&gt;0,MIN(HLOOKUP(CONCATENATE("Balance",AL$3-1),'Withdrawal Working'!$A$2:$CD$78,MATCH('Yoy WAR OG'!$J25,'Withdrawal Working'!$A$2:$A$78,0),0),AH25),0))),0)</f>
        <v>13192723.867859932</v>
      </c>
      <c r="AK25" s="58">
        <f t="shared" ca="1" si="4"/>
        <v>219153795.2114999</v>
      </c>
      <c r="AN25" s="450">
        <f t="shared" ca="1" si="30"/>
        <v>246343913.846699</v>
      </c>
      <c r="AO25" s="58">
        <f ca="1">IF(J25&gt;'NWGC - SCENARIOS'!$D$7,(IF(AJ25=0,0,'Yoy WAR OG'!AJ25)+(VLOOKUP(AN$2,$B$1:$F$32,5,0)*$L25)),(VLOOKUP(AN$2,$B$1:$F$32,5,0)*$L25)+(VLOOKUP($K25,'Withdrawal Working'!$AD:$AE,2,0)*(IFERROR(VLOOKUP(AN$2,$B$35:$C$42,2,0),0))))</f>
        <v>13192723.867859932</v>
      </c>
      <c r="AP25" s="470">
        <f ca="1">IFERROR(IF($K25&lt;&gt;VLOOKUP(AN$2,$B:$H,7,0),IF(AR$3=1,MIN($M25,AN25),IF(HLOOKUP(CONCATENATE("Balance",AR$3-1),'Withdrawal Working'!$A$2:$CD$78,MATCH('Yoy WAR OG'!$J25,'Withdrawal Working'!$A$2:$A$78,0),FALSE)&gt;0,MIN(HLOOKUP(CONCATENATE("Balance",AR$3-1),'Withdrawal Working'!$A$2:$CD$78,MATCH('Yoy WAR OG'!$J25,'Withdrawal Working'!$A$2:$A$78,0),0),AN25),0)),IF($K25=VLOOKUP(AN$2,$B:$H,7,0),AN25,)),0)</f>
        <v>11298650.778343562</v>
      </c>
      <c r="AQ25" s="58">
        <f ca="1">IF(AO25&lt;0,0,IF(J25&gt;'NWGC - SCENARIOS'!$D$7,((AN25-AP25+AO25)*(1+(IFERROR(VLOOKUP(AN$2,$B:$D,3,0),0)))),((AN25-AP25)*(1+(IFERROR(VLOOKUP(AN$2,$B:$D,3,0),0))))+AO25))</f>
        <v>261891076.21770719</v>
      </c>
      <c r="AT25" s="450">
        <f t="shared" ca="1" si="31"/>
        <v>0</v>
      </c>
      <c r="AU25" s="58">
        <f ca="1">(VLOOKUP(AT$2,$B$1:$F$32,5,0)*$L25)+(VLOOKUP($K25,'Withdrawal Working'!$AD:$AE,2,0)*(IFERROR(VLOOKUP(AT$2,$B$35:$C$42,2,0),0)))</f>
        <v>0</v>
      </c>
      <c r="AV25" s="58">
        <f>IFERROR(IF($K25&lt;VLOOKUP(AT$2,$B:$H,7,0),IF(AX$3=1,MIN($M25,AT25),IF(HLOOKUP(CONCATENATE("Balance",AX$3-1),'Withdrawal Working'!$A$2:$CD$78,MATCH('Yoy WAR OG'!$J25,'Withdrawal Working'!$A$2:$A$78,0),FALSE)&gt;0,MIN(HLOOKUP(CONCATENATE("Balance",AX$3-1),'Withdrawal Working'!$A$2:$CD$78,MATCH('Yoy WAR OG'!$J25,'Withdrawal Working'!$A$2:$A$78,0),0),AT25),0)),IF($K25=VLOOKUP(AT$2,$B:$H,7,0),AT25,)),0)</f>
        <v>0</v>
      </c>
      <c r="AW25" s="58">
        <f t="shared" ca="1" si="5"/>
        <v>0</v>
      </c>
      <c r="AZ25" s="450">
        <f t="shared" ca="1" si="32"/>
        <v>16562249.49944086</v>
      </c>
      <c r="BA25" s="58">
        <f ca="1">(VLOOKUP(AZ$2,$B$1:$F$32,5,0)*$L25)+(VLOOKUP($K25,'Withdrawal Working'!$AD:$AE,2,0)*(IFERROR(VLOOKUP(AZ$2,$B$35:$C$42,2,0),0)))</f>
        <v>0</v>
      </c>
      <c r="BB25" s="58">
        <f>IFERROR(IF($K25&lt;VLOOKUP(AZ$2,$B:$H,7,0),IF(BD$3=1,MIN($M25,AZ25),IF(HLOOKUP(CONCATENATE("Balance",BD$3-1),'Withdrawal Working'!$A$2:$CD$78,MATCH('Yoy WAR OG'!$J25,'Withdrawal Working'!$A$2:$A$78,0),FALSE)&gt;0,MIN(HLOOKUP(CONCATENATE("Balance",BD$3-1),'Withdrawal Working'!$A$2:$CD$78,MATCH('Yoy WAR OG'!$J25,'Withdrawal Working'!$A$2:$A$78,0),0),AZ25),0)),IF($K25=VLOOKUP(AZ$2,$B:$H,7,0),AZ25,)),0)</f>
        <v>0</v>
      </c>
      <c r="BC25" s="58">
        <f t="shared" ca="1" si="6"/>
        <v>17721606.964401722</v>
      </c>
      <c r="BF25" s="450">
        <f t="shared" ca="1" si="33"/>
        <v>0</v>
      </c>
      <c r="BG25" s="58">
        <f ca="1">(VLOOKUP(BF$2,$B$1:$F$32,5,0)*$L25)+(VLOOKUP($K25,'Withdrawal Working'!$AD:$AE,2,0)*(IFERROR(VLOOKUP(BF$2,$B$35:$C$42,2,0),0)))</f>
        <v>0</v>
      </c>
      <c r="BH25" s="58">
        <f>IFERROR(IF($K25&lt;VLOOKUP(BF$2,$B:$H,7,0),IF(BJ$3=1,MIN($M25,BF25),IF(HLOOKUP(CONCATENATE("Balance",BJ$3-1),'Withdrawal Working'!$A$2:$CD$78,MATCH('Yoy WAR OG'!$J25,'Withdrawal Working'!$A$2:$A$78,0),FALSE)&gt;0,MIN(HLOOKUP(CONCATENATE("Balance",BJ$3-1),'Withdrawal Working'!$A$2:$CD$78,MATCH('Yoy WAR OG'!$J25,'Withdrawal Working'!$A$2:$A$78,0),0),BF25),0)),IF($K25=VLOOKUP(BF$2,$B:$H,7,0),BF25,)),0)</f>
        <v>0</v>
      </c>
      <c r="BI25" s="58">
        <f t="shared" ca="1" si="7"/>
        <v>0</v>
      </c>
      <c r="BL25" s="450">
        <f t="shared" ca="1" si="34"/>
        <v>0</v>
      </c>
      <c r="BM25" s="58">
        <f ca="1">(VLOOKUP(BL$2,$B$1:$F$32,5,0)*$L25)+(VLOOKUP($K25,'Withdrawal Working'!$AD:$AE,2,0)*(IFERROR(VLOOKUP(BL$2,$B$35:$C$42,2,0),0)))</f>
        <v>0</v>
      </c>
      <c r="BN25" s="58">
        <f>IFERROR(IF($K25&lt;VLOOKUP(BL$2,$B:$H,7,0),IF(BP$3=1,MIN($M25,BL25),IF(HLOOKUP(CONCATENATE("Balance",BP$3-1),'Withdrawal Working'!$A$2:$CD$78,MATCH('Yoy WAR OG'!$J25,'Withdrawal Working'!$A$2:$A$78,0),FALSE)&gt;0,MIN(HLOOKUP(CONCATENATE("Balance",BP$3-1),'Withdrawal Working'!$A$2:$CD$78,MATCH('Yoy WAR OG'!$J25,'Withdrawal Working'!$A$2:$A$78,0),0),BL25),0)),IF($K25=VLOOKUP(BL$2,$B:$H,7,0),BL25,)),0)</f>
        <v>0</v>
      </c>
      <c r="BO25" s="58">
        <f t="shared" ca="1" si="8"/>
        <v>0</v>
      </c>
      <c r="BR25" s="450">
        <f t="shared" ca="1" si="35"/>
        <v>0</v>
      </c>
      <c r="BS25" s="58">
        <f ca="1">(VLOOKUP(BR$2,$B$1:$F$32,5,0)*$L25)+(VLOOKUP($K25,'Withdrawal Working'!$AD:$AE,2,0)*(IFERROR(VLOOKUP(BR$2,$B$35:$C$42,2,0),0)))</f>
        <v>0</v>
      </c>
      <c r="BT25" s="58">
        <f>IFERROR(IF($K25&lt;VLOOKUP(BR$2,$B:$H,7,0),IF(BV$3=1,MIN($M25,BR25),IF(HLOOKUP(CONCATENATE("Balance",BV$3-1),'Withdrawal Working'!$A$2:$CD$78,MATCH('Yoy WAR OG'!$J25,'Withdrawal Working'!$A$2:$A$78,0),FALSE)&gt;0,MIN(HLOOKUP(CONCATENATE("Balance",BV$3-1),'Withdrawal Working'!$A$2:$CD$78,MATCH('Yoy WAR OG'!$J25,'Withdrawal Working'!$A$2:$A$78,0),0),BR25),0)),IF($K25=VLOOKUP(BR$2,$B:$H,7,0),BR25,)),0)</f>
        <v>0</v>
      </c>
      <c r="BU25" s="58">
        <f t="shared" ca="1" si="9"/>
        <v>0</v>
      </c>
      <c r="BX25" s="450">
        <f t="shared" ca="1" si="36"/>
        <v>0</v>
      </c>
      <c r="BY25" s="58">
        <f ca="1">(VLOOKUP(BX$2,$B$1:$F$32,5,0)*$L25)+(VLOOKUP($K25,'Withdrawal Working'!$AD:$AE,2,0)*(IFERROR(VLOOKUP(BX$2,$B$35:$C$42,2,0),0)))</f>
        <v>0</v>
      </c>
      <c r="BZ25" s="58">
        <f>IFERROR(IF($K25&lt;VLOOKUP(BX$2,$B:$H,7,0),IF(CB$3=1,MIN($M25,BX25),IF(HLOOKUP(CONCATENATE("Balance",CB$3-1),'Withdrawal Working'!$A$2:$CD$78,MATCH('Yoy WAR OG'!$J25,'Withdrawal Working'!$A$2:$A$78,0),FALSE)&gt;0,MIN(HLOOKUP(CONCATENATE("Balance",CB$3-1),'Withdrawal Working'!$A$2:$CD$78,MATCH('Yoy WAR OG'!$J25,'Withdrawal Working'!$A$2:$A$78,0),0),BX25),0)),IF($K25=VLOOKUP(BX$2,$B:$H,7,0),BX25,)),0)</f>
        <v>0</v>
      </c>
      <c r="CA25" s="58">
        <f t="shared" ca="1" si="10"/>
        <v>0</v>
      </c>
      <c r="CD25" s="450">
        <f t="shared" ca="1" si="37"/>
        <v>33873616.206224859</v>
      </c>
      <c r="CE25" s="58">
        <f ca="1">(VLOOKUP(CD$2,$B$1:$F$32,5,0)*$L25)+(VLOOKUP($K25,'Withdrawal Working'!$AD:$AE,2,0)*(IFERROR(VLOOKUP(CD$2,$B$35:$C$42,2,0),0)))+SUMIFS('Key Life Events'!$I$3:$I$28,'Key Life Events'!$H$3:$H$28,"House",'Key Life Events'!$E$3:$E$28,'Yoy WAR OG'!K25)</f>
        <v>0</v>
      </c>
      <c r="CF25" s="58">
        <f>IFERROR(IF($K25&lt;VLOOKUP(CD$2,$B:$H,7,0),IF(CH$3=1,MIN($M25,CD25),IF(HLOOKUP(CONCATENATE("Balance",CH$3-1),'Withdrawal Working'!$A$2:$CD$78,MATCH('Yoy WAR OG'!$J25,'Withdrawal Working'!$A$2:$A$78,0),FALSE)&gt;0,MIN(HLOOKUP(CONCATENATE("Balance",CH$3-1),'Withdrawal Working'!$A$2:$CD$78,MATCH('Yoy WAR OG'!$J25,'Withdrawal Working'!$A$2:$A$78,0),0),CD25),0)),IF($K25=VLOOKUP(CD$2,$B:$H,7,0),CD25,)),0)</f>
        <v>0</v>
      </c>
      <c r="CG25" s="58">
        <f t="shared" ca="1" si="11"/>
        <v>34889824.692411609</v>
      </c>
      <c r="CJ25" s="450">
        <f t="shared" ca="1" si="38"/>
        <v>0</v>
      </c>
      <c r="CK25" s="58">
        <f ca="1">(VLOOKUP(CJ$2,$B$1:$F$32,5,0)*$L25)+(VLOOKUP($K25,'Withdrawal Working'!$AD:$AE,2,0)*(IFERROR(VLOOKUP(CJ$2,$B$35:$C$42,2,0),0)))+SUMIFS('Key Life Events'!$I$3:$I$28,'Key Life Events'!$H$3:$H$28,"House2",'Key Life Events'!$E$3:$E$28,'Yoy WAR OG'!K25)</f>
        <v>0</v>
      </c>
      <c r="CL25" s="58">
        <f ca="1">IF(IFERROR(IF($K25&lt;&gt;VLOOKUP(CJ$2,$B:$H,7,0),IF(CN$3=1,MIN($M25,CJ25),IF(HLOOKUP(CONCATENATE("Balance",CN$3-1),'Withdrawal Working'!$A$2:$CD$78,MATCH('Yoy WAR OG'!$J25,'Withdrawal Working'!$A$2:$A$78,0),FALSE)&gt;0,MIN(HLOOKUP(CONCATENATE("Balance",CN$3-1),'Withdrawal Working'!$A$2:$CD$78,MATCH('Yoy WAR OG'!$J25,'Withdrawal Working'!$A$2:$A$78,0),0),CJ25),0)),IF($K25=VLOOKUP(CJ$2,$B:$H,7,0),CJ25,)),0)&gt;0,CJ25,0)</f>
        <v>0</v>
      </c>
      <c r="CM25" s="58">
        <f t="shared" ca="1" si="12"/>
        <v>0</v>
      </c>
      <c r="CP25" s="450">
        <f t="shared" ca="1" si="39"/>
        <v>6964906.4760041079</v>
      </c>
      <c r="CQ25" s="58">
        <f ca="1">(VLOOKUP(CP$2,$B$1:$F$32,5,0)*$L25)+(VLOOKUP($K25,'Withdrawal Working'!$AD:$AE,2,0)*(IFERROR(VLOOKUP(CP$2,$B$35:$C$42,2,0),0)))+SUMIFS('Key Life Events'!$I$3:$I$28,'Key Life Events'!$H$3:$H$28,"Land",'Key Life Events'!$E$3:$E$28,'Yoy WAR OG'!K25)</f>
        <v>0</v>
      </c>
      <c r="CR25" s="58">
        <f>IFERROR(IF($K25&lt;VLOOKUP(CP$2,$B:$H,7,0),IF(CT$3=1,MIN($M25,CP25),IF(HLOOKUP(CONCATENATE("Balance",CT$3-1),'Withdrawal Working'!$A$2:$CD$78,MATCH('Yoy WAR OG'!$J25,'Withdrawal Working'!$A$2:$A$78,0),FALSE)&gt;0,MIN(HLOOKUP(CONCATENATE("Balance",CT$3-1),'Withdrawal Working'!$A$2:$CD$78,MATCH('Yoy WAR OG'!$J25,'Withdrawal Working'!$A$2:$A$78,0),0),CP25),0)),IF($K25=VLOOKUP(CP$2,$B:$H,7,0),CP25,)),0)</f>
        <v>0</v>
      </c>
      <c r="CS25" s="58">
        <f t="shared" ca="1" si="13"/>
        <v>7313151.7998043131</v>
      </c>
      <c r="CV25" s="450">
        <f t="shared" ca="1" si="40"/>
        <v>0</v>
      </c>
      <c r="CW25" s="58"/>
      <c r="CX25" s="58">
        <f>IFERROR(IF($K25&lt;VLOOKUP(CV$2,$B:$H,7,0),IF(CZ$3=1,MIN($M25,CV25),IF(HLOOKUP(CONCATENATE("Balance",CZ$3-1),'Withdrawal Working'!$A$2:$CD$78,MATCH('Yoy WAR OG'!$J25,'Withdrawal Working'!$A$2:$A$78,0),FALSE)&gt;0,MIN(HLOOKUP(CONCATENATE("Balance",CZ$3-1),'Withdrawal Working'!$A$2:$CD$78,MATCH('Yoy WAR OG'!$J25,'Withdrawal Working'!$A$2:$A$78,0),0),CV25),0)),IF($K25=VLOOKUP(CV$2,$B:$H,7,0),CV25,)),0)</f>
        <v>0</v>
      </c>
      <c r="CY25" s="58">
        <f t="shared" ca="1" si="14"/>
        <v>0</v>
      </c>
      <c r="DB25" s="450">
        <f t="shared" ca="1" si="41"/>
        <v>0</v>
      </c>
      <c r="DC25" s="58">
        <f ca="1">(VLOOKUP(DB$2,$B$1:$F$32,5,0)*$L25)+(VLOOKUP($K25,'Withdrawal Working'!$AD:$AE,2,0)*(IFERROR(VLOOKUP(DB$2,$B$35:$C$42,2,0),0)))</f>
        <v>0</v>
      </c>
      <c r="DD25" s="58">
        <f>IFERROR(IF($K25&lt;VLOOKUP(DB$2,$B:$H,7,0),IF(DF$3=1,MIN($M25,DB25),IF(HLOOKUP(CONCATENATE("Balance",DF$3-1),'Withdrawal Working'!$A$2:$CD$78,MATCH('Yoy WAR OG'!$J25,'Withdrawal Working'!$A$2:$A$78,0),FALSE)&gt;0,MIN(HLOOKUP(CONCATENATE("Balance",DF$3-1),'Withdrawal Working'!$A$2:$CD$78,MATCH('Yoy WAR OG'!$J25,'Withdrawal Working'!$A$2:$A$78,0),0),DB25),0)),IF($K25=VLOOKUP(DB$2,$B:$H,7,0),DB25,)),0)</f>
        <v>0</v>
      </c>
      <c r="DE25" s="58">
        <f t="shared" ca="1" si="15"/>
        <v>0</v>
      </c>
      <c r="DH25" s="450">
        <f t="shared" ca="1" si="42"/>
        <v>0</v>
      </c>
      <c r="DI25" s="58">
        <f>IF(OR(J25&gt;'NWGC - SCENARIOS'!$D$7,J25='NWGC - SCENARIOS'!$D$7),0,DI24*(1+'NWGC - SCENARIOS'!$L$5))</f>
        <v>0</v>
      </c>
      <c r="DJ25" s="58">
        <f>IFERROR(IF($K25&lt;VLOOKUP(DH$2,$B:$H,7,0),IF(DL$3=1,MIN($M25,DH25),IF(HLOOKUP(CONCATENATE("Balance",DL$3-1),'Withdrawal Working'!$A$2:$CD$78,MATCH('Yoy WAR OG'!$J25,'Withdrawal Working'!$A$2:$A$78,0),FALSE)&gt;0,MIN(HLOOKUP(CONCATENATE("Balance",DL$3-1),'Withdrawal Working'!$A$2:$CD$78,MATCH('Yoy WAR OG'!$J25,'Withdrawal Working'!$A$2:$A$78,0),0),DH25),0)),IF($K25=VLOOKUP(DH$2,$B:$H,7,0),DH25,)),0)</f>
        <v>0</v>
      </c>
      <c r="DK25" s="58">
        <f t="shared" ca="1" si="16"/>
        <v>0</v>
      </c>
      <c r="DN25" s="450">
        <f t="shared" ca="1" si="43"/>
        <v>0</v>
      </c>
      <c r="DO25" s="58">
        <f ca="1">(VLOOKUP(DN$2,$B$1:$F$32,5,0)*$L25)+(VLOOKUP($K25,'Withdrawal Working'!$AD:$AE,2,0)*(IFERROR(VLOOKUP(DN$2,$B$35:$C$42,2,0),0)))</f>
        <v>0</v>
      </c>
      <c r="DP25" s="58">
        <f>IFERROR(IF($K25&lt;VLOOKUP(DN$2,$B:$H,7,0),IF(DR$3=1,MIN($M25,DN25),IF(HLOOKUP(CONCATENATE("Balance",DR$3-1),'Withdrawal Working'!$A$2:$CD$78,MATCH('Yoy WAR OG'!$J25,'Withdrawal Working'!$A$2:$A$78,0),FALSE)&gt;0,MIN(HLOOKUP(CONCATENATE("Balance",DR$3-1),'Withdrawal Working'!$A$2:$CD$78,MATCH('Yoy WAR OG'!$J25,'Withdrawal Working'!$A$2:$A$78,0),0),DN25),0)),IF($K25=VLOOKUP(DN$2,$B:$H,7,0),DN25,)),0)</f>
        <v>0</v>
      </c>
      <c r="DQ25" s="58">
        <f t="shared" ca="1" si="17"/>
        <v>0</v>
      </c>
      <c r="DT25" s="450">
        <f t="shared" ca="1" si="44"/>
        <v>0</v>
      </c>
      <c r="DU25" s="58">
        <f ca="1">(VLOOKUP(DT$2,$B$1:$F$32,5,0)*$L25)+(VLOOKUP($K25,'Withdrawal Working'!$AD:$AE,2,0)*(IFERROR(VLOOKUP(DT$2,$B$35:$C$42,2,0),0)))</f>
        <v>0</v>
      </c>
      <c r="DV25" s="58">
        <f>IFERROR(IF($K25&lt;VLOOKUP(DT$2,$B:$H,7,0),IF(DX$3=1,MIN($M25,DT25),IF(HLOOKUP(CONCATENATE("Balance",DX$3-1),'Withdrawal Working'!$A$2:$CD$78,MATCH('Yoy WAR OG'!$J25,'Withdrawal Working'!$A$2:$A$78,0),FALSE)&gt;0,MIN(HLOOKUP(CONCATENATE("Balance",DX$3-1),'Withdrawal Working'!$A$2:$CD$78,MATCH('Yoy WAR OG'!$J25,'Withdrawal Working'!$A$2:$A$78,0),0),DT25),0)),IF($K25=VLOOKUP(DT$2,$B:$H,7,0),DT25,)),0)</f>
        <v>0</v>
      </c>
      <c r="DW25" s="58">
        <f t="shared" ca="1" si="18"/>
        <v>0</v>
      </c>
      <c r="DZ25" s="450">
        <f t="shared" ca="1" si="45"/>
        <v>0</v>
      </c>
      <c r="EA25" s="58">
        <f ca="1">(VLOOKUP(DZ$2,$B$1:$F$32,5,0)*$L25)+(VLOOKUP($K25,'Withdrawal Working'!$AD:$AE,2,0)*(IFERROR(VLOOKUP(DZ$2,$B$35:$C$42,2,0),0)))</f>
        <v>0</v>
      </c>
      <c r="EB25" s="58">
        <f>IFERROR(IF($K25&lt;VLOOKUP(DZ$2,$B:$H,7,0),IF(ED$3=1,MIN($M25,DZ25),IF(HLOOKUP(CONCATENATE("Balance",ED$3-1),'Withdrawal Working'!$A$2:$CD$78,MATCH('Yoy WAR OG'!$J25,'Withdrawal Working'!$A$2:$A$78,0),FALSE)&gt;0,MIN(HLOOKUP(CONCATENATE("Balance",ED$3-1),'Withdrawal Working'!$A$2:$CD$78,MATCH('Yoy WAR OG'!$J25,'Withdrawal Working'!$A$2:$A$78,0),0),DZ25),0)),IF($K25=VLOOKUP(DZ$2,$B:$H,7,0),DZ25,)),0)</f>
        <v>0</v>
      </c>
      <c r="EC25" s="58">
        <f t="shared" ca="1" si="19"/>
        <v>0</v>
      </c>
      <c r="EF25" s="450">
        <f t="shared" ca="1" si="46"/>
        <v>0</v>
      </c>
      <c r="EG25" s="58">
        <f ca="1">(VLOOKUP(EF$2,$B$1:$F$32,5,0)*$L25)+(VLOOKUP($K25,'Withdrawal Working'!$AD:$AE,2,0)*(IFERROR(VLOOKUP(EF$2,$B$35:$C$42,2,0),0)))</f>
        <v>0</v>
      </c>
      <c r="EH25" s="58">
        <f>IFERROR(IF($K25&lt;VLOOKUP(EF$2,$B:$H,7,0),IF(EJ$3=1,MIN($M25,EF25),IF(HLOOKUP(CONCATENATE("Balance",EJ$3-1),'Withdrawal Working'!$A$2:$CD$78,MATCH('Yoy WAR OG'!$J25,'Withdrawal Working'!$A$2:$A$78,0),FALSE)&gt;0,MIN(HLOOKUP(CONCATENATE("Balance",EJ$3-1),'Withdrawal Working'!$A$2:$CD$78,MATCH('Yoy WAR OG'!$J25,'Withdrawal Working'!$A$2:$A$78,0),0),EF25),0)),IF($K25=VLOOKUP(EF$2,$B:$H,7,0),EF25,)),0)</f>
        <v>0</v>
      </c>
      <c r="EI25" s="58">
        <f t="shared" ca="1" si="20"/>
        <v>0</v>
      </c>
      <c r="EL25" s="450">
        <f t="shared" ca="1" si="47"/>
        <v>0</v>
      </c>
      <c r="EM25" s="58">
        <f>IF(OR($J25&gt;'NWGC - SCENARIOS'!$D$7,$J25='NWGC - SCENARIOS'!$D$7),0,EM24)</f>
        <v>0</v>
      </c>
      <c r="EN25" s="58">
        <f>IFERROR(IF($K25&lt;VLOOKUP(EL$2,$B:$H,7,0),IF(EP$3=1,MIN($M25,EL25),IF(HLOOKUP(CONCATENATE("Balance",EP$3-1),'Withdrawal Working'!$A$2:$CD$78,MATCH('Yoy WAR OG'!$J25,'Withdrawal Working'!$A$2:$A$78,0),FALSE)&gt;0,MIN(HLOOKUP(CONCATENATE("Balance",EP$3-1),'Withdrawal Working'!$A$2:$CD$78,MATCH('Yoy WAR OG'!$J25,'Withdrawal Working'!$A$2:$A$78,0),0),EL25),0)),IF($K25=VLOOKUP(EL$2,$B:$H,7,0),EL25,)),0)</f>
        <v>0</v>
      </c>
      <c r="EO25" s="58">
        <f t="shared" ca="1" si="21"/>
        <v>0</v>
      </c>
      <c r="ER25" s="450">
        <f t="shared" ca="1" si="48"/>
        <v>0</v>
      </c>
      <c r="ES25" s="58">
        <f>IF(OR(J25&gt;'NWGC - SCENARIOS'!$D$7,J25='NWGC - SCENARIOS'!$D$7),0,ES24*(1+'NWGC - SCENARIOS'!$L$5))</f>
        <v>0</v>
      </c>
      <c r="ET25" s="58">
        <f>IFERROR(IF($K25&lt;VLOOKUP(ER$2,$B:$H,7,0),IF(EV$3=1,MIN($M25,ER25),IF(HLOOKUP(CONCATENATE("Balance",EV$3-1),'Withdrawal Working'!$A$2:$CD$78,MATCH('Yoy WAR OG'!$J25,'Withdrawal Working'!$A$2:$A$78,0),FALSE)&gt;0,MIN(HLOOKUP(CONCATENATE("Balance",EV$3-1),'Withdrawal Working'!$A$2:$CD$78,MATCH('Yoy WAR OG'!$J25,'Withdrawal Working'!$A$2:$A$78,0),0),ER25),0)),IF($K25=VLOOKUP(ER$2,$B:$H,7,0),ER25,)),0)</f>
        <v>0</v>
      </c>
      <c r="EU25" s="58">
        <f t="shared" ca="1" si="22"/>
        <v>0</v>
      </c>
      <c r="EX25" s="450">
        <f t="shared" ca="1" si="49"/>
        <v>0</v>
      </c>
      <c r="EY25" s="58">
        <f>IF(OR(J25&gt;'NWGC - SCENARIOS'!$D$7,J25='NWGC - SCENARIOS'!$D$7),0,EY24)</f>
        <v>0</v>
      </c>
      <c r="EZ25" s="58">
        <f>IFERROR(IF($K25&lt;VLOOKUP(EX$2,$B:$H,7,0),IF(FB$3=1,MIN($M25,EX25),IF(HLOOKUP(CONCATENATE("Balance",FB$3-1),'Withdrawal Working'!$A$2:$CD$78,MATCH('Yoy WAR OG'!$J25,'Withdrawal Working'!$A$2:$A$78,0),FALSE)&gt;0,MIN(HLOOKUP(CONCATENATE("Balance",FB$3-1),'Withdrawal Working'!$A$2:$CD$78,MATCH('Yoy WAR OG'!$J25,'Withdrawal Working'!$A$2:$A$78,0),0),EX25),0)),IF($K25=VLOOKUP(EX$2,$B:$H,7,0),EX25,)),0)</f>
        <v>0</v>
      </c>
      <c r="FA25" s="58">
        <f t="shared" ca="1" si="23"/>
        <v>0</v>
      </c>
    </row>
    <row r="26" spans="1:157" x14ac:dyDescent="0.3">
      <c r="A26" t="s">
        <v>367</v>
      </c>
      <c r="B26" s="448" t="str">
        <f>Networth!B29</f>
        <v>EPF</v>
      </c>
      <c r="C26" s="58">
        <f>VLOOKUP('Yoy WAR OG'!B26,'WAR - Rev'!$A$1:$B$29,2,0)</f>
        <v>27500000</v>
      </c>
      <c r="D26" s="313">
        <f>'WAR - Rev'!C24</f>
        <v>8.1000000000000003E-2</v>
      </c>
      <c r="E26" s="449">
        <f>Budget!D145</f>
        <v>1333332</v>
      </c>
      <c r="H26" s="452">
        <f>VLOOKUP('NWGC - SCENARIOS'!$D$7,'NWGC - SCENARIOS'!$B$11:$C$67,2,0)</f>
        <v>2031</v>
      </c>
      <c r="J26">
        <f>IFERROR('NWGC - SCENARIOS'!B33,0)</f>
        <v>71</v>
      </c>
      <c r="K26">
        <f>IFERROR('NWGC - SCENARIOS'!C33,0)</f>
        <v>2047</v>
      </c>
      <c r="L26" s="449">
        <f ca="1">IF(('NWGC - SCENARIOS'!G33-working!G24)&gt;'NWGC - SCENARIOS'!H33,'NWGC - SCENARIOS'!G33-'NWGC - SCENARIOS'!H33-working!G24,0)</f>
        <v>0</v>
      </c>
      <c r="M26" s="449">
        <f ca="1">IF(('NWGC - SCENARIOS'!G33-working!G24)&gt;'NWGC - SCENARIOS'!H33,0,'NWGC - SCENARIOS'!H33-'NWGC - SCENARIOS'!G33+working!G24)</f>
        <v>12209262.840611048</v>
      </c>
      <c r="N26" s="58">
        <f t="shared" ca="1" si="0"/>
        <v>505891008.39985043</v>
      </c>
      <c r="O26" s="58">
        <f t="shared" ca="1" si="1"/>
        <v>62577448.274888337</v>
      </c>
      <c r="P26" s="58">
        <f t="shared" ca="1" si="24"/>
        <v>0</v>
      </c>
      <c r="Q26" s="58">
        <f ca="1">(VLOOKUP(P$2,$B$1:$F$32,5,0)*$L26)+(VLOOKUP($K26,'Withdrawal Working'!$AD:$AE,2,0)*(IFERROR(VLOOKUP(P$2,$B$35:$C$42,2,0),0)))</f>
        <v>0</v>
      </c>
      <c r="R26" s="58">
        <f>IFERROR(IF($K26&lt;VLOOKUP(P$2,$B:$H,7,0),IF(T$3=1,MIN($M26,P26),IF(HLOOKUP(CONCATENATE("Balance",T$3-1),'Withdrawal Working'!$A$2:$CD$78,MATCH('Yoy WAR OG'!$J26,'Withdrawal Working'!$A$2:$A$78,0),FALSE)&gt;0,MIN(HLOOKUP(CONCATENATE("Balance",T$3-1),'Withdrawal Working'!$A$2:$CD$78,MATCH('Yoy WAR OG'!$J26,'Withdrawal Working'!$A$2:$A$78,0),0),P26),0)),IF($K26=VLOOKUP(P$2,$B:$H,7,0),P26,)),0)</f>
        <v>0</v>
      </c>
      <c r="S26" s="58">
        <f t="shared" ca="1" si="26"/>
        <v>0</v>
      </c>
      <c r="T26" s="58"/>
      <c r="V26" s="58">
        <f t="shared" ca="1" si="27"/>
        <v>0</v>
      </c>
      <c r="W26" s="58">
        <f ca="1">(VLOOKUP(V$2,$B$1:$F$32,5,0)*$L26)+(VLOOKUP($K26,'Withdrawal Working'!$AD:$AE,2,0)*(IFERROR(VLOOKUP(V$2,$B$35:$C$42,2,0),0)))</f>
        <v>0</v>
      </c>
      <c r="X26" s="58">
        <f>IFERROR(IF($K26&lt;VLOOKUP(V$2,$B:$H,7,0),IF(Z$3=1,MIN($M26,V26),IF(HLOOKUP(CONCATENATE("Balance",Z$3-1),'Withdrawal Working'!$A$2:$CD$78,MATCH('Yoy WAR OG'!$J26,'Withdrawal Working'!$A$2:$A$78,0),FALSE)&gt;0,MIN(HLOOKUP(CONCATENATE("Balance",Z$3-1),'Withdrawal Working'!$A$2:$CD$78,MATCH('Yoy WAR OG'!$J26,'Withdrawal Working'!$A$2:$A$78,0),0),V26),0)),IF($K26=VLOOKUP(V$2,$B:$H,7,0),V26,)),0)</f>
        <v>0</v>
      </c>
      <c r="Y26" s="58">
        <f t="shared" ca="1" si="2"/>
        <v>0</v>
      </c>
      <c r="AB26" s="58">
        <f t="shared" ca="1" si="28"/>
        <v>0</v>
      </c>
      <c r="AC26" s="58">
        <f ca="1">(VLOOKUP(AB$2,$B$1:$F$32,5,0)*$L26)+(VLOOKUP($K26,'Withdrawal Working'!$AD:$AE,2,0)*(IFERROR(VLOOKUP(AB$2,$B$35:$C$42,2,0),0)))</f>
        <v>0</v>
      </c>
      <c r="AD26" s="58">
        <f>IFERROR(IF($K26&lt;VLOOKUP(AB$2,$B:$H,7,0),IF(AF$3=1,MIN($M26,AB26),IF(HLOOKUP(CONCATENATE("Balance",AF$3-1),'Withdrawal Working'!$A$2:$CD$78,MATCH('Yoy WAR OG'!$J26,'Withdrawal Working'!$A$2:$A$78,0),FALSE)&gt;0,MIN(HLOOKUP(CONCATENATE("Balance",AF$3-1),'Withdrawal Working'!$A$2:$CD$78,MATCH('Yoy WAR OG'!$J26,'Withdrawal Working'!$A$2:$A$78,0),0),AB26),0)),IF($K26=VLOOKUP(AB$2,$B:$H,7,0),AB26,)),0)</f>
        <v>0</v>
      </c>
      <c r="AE26" s="58">
        <f t="shared" ca="1" si="3"/>
        <v>0</v>
      </c>
      <c r="AH26" s="58">
        <f t="shared" ca="1" si="29"/>
        <v>219153795.2114999</v>
      </c>
      <c r="AI26" s="58">
        <f ca="1">(VLOOKUP(AH$2,$B$1:$F$32,5,0)*$L26)+IF(J26&gt;'NWGC - SCENARIOS'!$D$7,0,(VLOOKUP($K26,'Withdrawal Working'!$AD:$AE,2,0)*(IFERROR(VLOOKUP(AH$2,$B$35:$C$42,2,0),0))))</f>
        <v>0</v>
      </c>
      <c r="AJ26" s="58">
        <f ca="1">IFERROR(IF($J26&gt;'NWGC - SCENARIOS'!$D$7,MIN('Yoy WAR OG'!AH26,VLOOKUP('Yoy WAR OG'!$J26,'Withdrawal Working'!BC:BD,2,0)),IF(AL$3=1,$M26,IF(HLOOKUP(CONCATENATE("Balance",AL$3-1),'Withdrawal Working'!$A$2:$CD$78,MATCH('Yoy WAR OG'!$J26,'Withdrawal Working'!$A$2:$A$78,0),FALSE)&gt;0,MIN(HLOOKUP(CONCATENATE("Balance",AL$3-1),'Withdrawal Working'!$A$2:$CD$78,MATCH('Yoy WAR OG'!$J26,'Withdrawal Working'!$A$2:$A$78,0),0),AH26),0))),0)</f>
        <v>14254861.777288727</v>
      </c>
      <c r="AK26" s="58">
        <f t="shared" ca="1" si="4"/>
        <v>227437816.11197442</v>
      </c>
      <c r="AN26" s="450">
        <f t="shared" ca="1" si="30"/>
        <v>261891076.21770719</v>
      </c>
      <c r="AO26" s="58">
        <f ca="1">IF(J26&gt;'NWGC - SCENARIOS'!$D$7,(IF(AJ26=0,0,'Yoy WAR OG'!AJ26)+(VLOOKUP(AN$2,$B$1:$F$32,5,0)*$L26)),(VLOOKUP(AN$2,$B$1:$F$32,5,0)*$L26)+(VLOOKUP($K26,'Withdrawal Working'!$AD:$AE,2,0)*(IFERROR(VLOOKUP(AN$2,$B$35:$C$42,2,0),0))))</f>
        <v>14254861.777288727</v>
      </c>
      <c r="AP26" s="470">
        <f ca="1">IFERROR(IF($K26&lt;&gt;VLOOKUP(AN$2,$B:$H,7,0),IF(AR$3=1,MIN($M26,AN26),IF(HLOOKUP(CONCATENATE("Balance",AR$3-1),'Withdrawal Working'!$A$2:$CD$78,MATCH('Yoy WAR OG'!$J26,'Withdrawal Working'!$A$2:$A$78,0),FALSE)&gt;0,MIN(HLOOKUP(CONCATENATE("Balance",AR$3-1),'Withdrawal Working'!$A$2:$CD$78,MATCH('Yoy WAR OG'!$J26,'Withdrawal Working'!$A$2:$A$78,0),0),AN26),0)),IF($K26=VLOOKUP(AN$2,$B:$H,7,0),AN26,)),0)</f>
        <v>12209262.840611048</v>
      </c>
      <c r="AQ26" s="58">
        <f ca="1">IF(AO26&lt;0,0,IF(J26&gt;'NWGC - SCENARIOS'!$D$7,((AN26-AP26+AO26)*(1+(IFERROR(VLOOKUP(AN$2,$B:$D,3,0),0)))),((AN26-AP26)*(1+(IFERROR(VLOOKUP(AN$2,$B:$D,3,0),0))))+AO26))</f>
        <v>278453192.28787601</v>
      </c>
      <c r="AT26" s="450">
        <f t="shared" ca="1" si="31"/>
        <v>0</v>
      </c>
      <c r="AU26" s="58">
        <f ca="1">(VLOOKUP(AT$2,$B$1:$F$32,5,0)*$L26)+(VLOOKUP($K26,'Withdrawal Working'!$AD:$AE,2,0)*(IFERROR(VLOOKUP(AT$2,$B$35:$C$42,2,0),0)))</f>
        <v>0</v>
      </c>
      <c r="AV26" s="58">
        <f>IFERROR(IF($K26&lt;VLOOKUP(AT$2,$B:$H,7,0),IF(AX$3=1,MIN($M26,AT26),IF(HLOOKUP(CONCATENATE("Balance",AX$3-1),'Withdrawal Working'!$A$2:$CD$78,MATCH('Yoy WAR OG'!$J26,'Withdrawal Working'!$A$2:$A$78,0),FALSE)&gt;0,MIN(HLOOKUP(CONCATENATE("Balance",AX$3-1),'Withdrawal Working'!$A$2:$CD$78,MATCH('Yoy WAR OG'!$J26,'Withdrawal Working'!$A$2:$A$78,0),0),AT26),0)),IF($K26=VLOOKUP(AT$2,$B:$H,7,0),AT26,)),0)</f>
        <v>0</v>
      </c>
      <c r="AW26" s="58">
        <f t="shared" ca="1" si="5"/>
        <v>0</v>
      </c>
      <c r="AZ26" s="450">
        <f t="shared" ca="1" si="32"/>
        <v>17721606.964401722</v>
      </c>
      <c r="BA26" s="58">
        <f ca="1">(VLOOKUP(AZ$2,$B$1:$F$32,5,0)*$L26)+(VLOOKUP($K26,'Withdrawal Working'!$AD:$AE,2,0)*(IFERROR(VLOOKUP(AZ$2,$B$35:$C$42,2,0),0)))</f>
        <v>0</v>
      </c>
      <c r="BB26" s="58">
        <f>IFERROR(IF($K26&lt;VLOOKUP(AZ$2,$B:$H,7,0),IF(BD$3=1,MIN($M26,AZ26),IF(HLOOKUP(CONCATENATE("Balance",BD$3-1),'Withdrawal Working'!$A$2:$CD$78,MATCH('Yoy WAR OG'!$J26,'Withdrawal Working'!$A$2:$A$78,0),FALSE)&gt;0,MIN(HLOOKUP(CONCATENATE("Balance",BD$3-1),'Withdrawal Working'!$A$2:$CD$78,MATCH('Yoy WAR OG'!$J26,'Withdrawal Working'!$A$2:$A$78,0),0),AZ26),0)),IF($K26=VLOOKUP(AZ$2,$B:$H,7,0),AZ26,)),0)</f>
        <v>0</v>
      </c>
      <c r="BC26" s="58">
        <f t="shared" ca="1" si="6"/>
        <v>18962119.451909844</v>
      </c>
      <c r="BF26" s="450">
        <f t="shared" ca="1" si="33"/>
        <v>0</v>
      </c>
      <c r="BG26" s="58">
        <f ca="1">(VLOOKUP(BF$2,$B$1:$F$32,5,0)*$L26)+(VLOOKUP($K26,'Withdrawal Working'!$AD:$AE,2,0)*(IFERROR(VLOOKUP(BF$2,$B$35:$C$42,2,0),0)))</f>
        <v>0</v>
      </c>
      <c r="BH26" s="58">
        <f>IFERROR(IF($K26&lt;VLOOKUP(BF$2,$B:$H,7,0),IF(BJ$3=1,MIN($M26,BF26),IF(HLOOKUP(CONCATENATE("Balance",BJ$3-1),'Withdrawal Working'!$A$2:$CD$78,MATCH('Yoy WAR OG'!$J26,'Withdrawal Working'!$A$2:$A$78,0),FALSE)&gt;0,MIN(HLOOKUP(CONCATENATE("Balance",BJ$3-1),'Withdrawal Working'!$A$2:$CD$78,MATCH('Yoy WAR OG'!$J26,'Withdrawal Working'!$A$2:$A$78,0),0),BF26),0)),IF($K26=VLOOKUP(BF$2,$B:$H,7,0),BF26,)),0)</f>
        <v>0</v>
      </c>
      <c r="BI26" s="58">
        <f t="shared" ca="1" si="7"/>
        <v>0</v>
      </c>
      <c r="BL26" s="450">
        <f t="shared" ca="1" si="34"/>
        <v>0</v>
      </c>
      <c r="BM26" s="58">
        <f ca="1">(VLOOKUP(BL$2,$B$1:$F$32,5,0)*$L26)+(VLOOKUP($K26,'Withdrawal Working'!$AD:$AE,2,0)*(IFERROR(VLOOKUP(BL$2,$B$35:$C$42,2,0),0)))</f>
        <v>0</v>
      </c>
      <c r="BN26" s="58">
        <f>IFERROR(IF($K26&lt;VLOOKUP(BL$2,$B:$H,7,0),IF(BP$3=1,MIN($M26,BL26),IF(HLOOKUP(CONCATENATE("Balance",BP$3-1),'Withdrawal Working'!$A$2:$CD$78,MATCH('Yoy WAR OG'!$J26,'Withdrawal Working'!$A$2:$A$78,0),FALSE)&gt;0,MIN(HLOOKUP(CONCATENATE("Balance",BP$3-1),'Withdrawal Working'!$A$2:$CD$78,MATCH('Yoy WAR OG'!$J26,'Withdrawal Working'!$A$2:$A$78,0),0),BL26),0)),IF($K26=VLOOKUP(BL$2,$B:$H,7,0),BL26,)),0)</f>
        <v>0</v>
      </c>
      <c r="BO26" s="58">
        <f t="shared" ca="1" si="8"/>
        <v>0</v>
      </c>
      <c r="BR26" s="450">
        <f t="shared" ca="1" si="35"/>
        <v>0</v>
      </c>
      <c r="BS26" s="58">
        <f ca="1">(VLOOKUP(BR$2,$B$1:$F$32,5,0)*$L26)+(VLOOKUP($K26,'Withdrawal Working'!$AD:$AE,2,0)*(IFERROR(VLOOKUP(BR$2,$B$35:$C$42,2,0),0)))</f>
        <v>0</v>
      </c>
      <c r="BT26" s="58">
        <f>IFERROR(IF($K26&lt;VLOOKUP(BR$2,$B:$H,7,0),IF(BV$3=1,MIN($M26,BR26),IF(HLOOKUP(CONCATENATE("Balance",BV$3-1),'Withdrawal Working'!$A$2:$CD$78,MATCH('Yoy WAR OG'!$J26,'Withdrawal Working'!$A$2:$A$78,0),FALSE)&gt;0,MIN(HLOOKUP(CONCATENATE("Balance",BV$3-1),'Withdrawal Working'!$A$2:$CD$78,MATCH('Yoy WAR OG'!$J26,'Withdrawal Working'!$A$2:$A$78,0),0),BR26),0)),IF($K26=VLOOKUP(BR$2,$B:$H,7,0),BR26,)),0)</f>
        <v>0</v>
      </c>
      <c r="BU26" s="58">
        <f t="shared" ca="1" si="9"/>
        <v>0</v>
      </c>
      <c r="BX26" s="450">
        <f t="shared" ca="1" si="36"/>
        <v>0</v>
      </c>
      <c r="BY26" s="58">
        <f ca="1">(VLOOKUP(BX$2,$B$1:$F$32,5,0)*$L26)+(VLOOKUP($K26,'Withdrawal Working'!$AD:$AE,2,0)*(IFERROR(VLOOKUP(BX$2,$B$35:$C$42,2,0),0)))</f>
        <v>0</v>
      </c>
      <c r="BZ26" s="58">
        <f>IFERROR(IF($K26&lt;VLOOKUP(BX$2,$B:$H,7,0),IF(CB$3=1,MIN($M26,BX26),IF(HLOOKUP(CONCATENATE("Balance",CB$3-1),'Withdrawal Working'!$A$2:$CD$78,MATCH('Yoy WAR OG'!$J26,'Withdrawal Working'!$A$2:$A$78,0),FALSE)&gt;0,MIN(HLOOKUP(CONCATENATE("Balance",CB$3-1),'Withdrawal Working'!$A$2:$CD$78,MATCH('Yoy WAR OG'!$J26,'Withdrawal Working'!$A$2:$A$78,0),0),BX26),0)),IF($K26=VLOOKUP(BX$2,$B:$H,7,0),BX26,)),0)</f>
        <v>0</v>
      </c>
      <c r="CA26" s="58">
        <f t="shared" ca="1" si="10"/>
        <v>0</v>
      </c>
      <c r="CD26" s="450">
        <f t="shared" ca="1" si="37"/>
        <v>34889824.692411609</v>
      </c>
      <c r="CE26" s="58">
        <f ca="1">(VLOOKUP(CD$2,$B$1:$F$32,5,0)*$L26)+(VLOOKUP($K26,'Withdrawal Working'!$AD:$AE,2,0)*(IFERROR(VLOOKUP(CD$2,$B$35:$C$42,2,0),0)))+SUMIFS('Key Life Events'!$I$3:$I$28,'Key Life Events'!$H$3:$H$28,"House",'Key Life Events'!$E$3:$E$28,'Yoy WAR OG'!K26)</f>
        <v>0</v>
      </c>
      <c r="CF26" s="58">
        <f>IFERROR(IF($K26&lt;VLOOKUP(CD$2,$B:$H,7,0),IF(CH$3=1,MIN($M26,CD26),IF(HLOOKUP(CONCATENATE("Balance",CH$3-1),'Withdrawal Working'!$A$2:$CD$78,MATCH('Yoy WAR OG'!$J26,'Withdrawal Working'!$A$2:$A$78,0),FALSE)&gt;0,MIN(HLOOKUP(CONCATENATE("Balance",CH$3-1),'Withdrawal Working'!$A$2:$CD$78,MATCH('Yoy WAR OG'!$J26,'Withdrawal Working'!$A$2:$A$78,0),0),CD26),0)),IF($K26=VLOOKUP(CD$2,$B:$H,7,0),CD26,)),0)</f>
        <v>0</v>
      </c>
      <c r="CG26" s="58">
        <f t="shared" ca="1" si="11"/>
        <v>35936519.433183961</v>
      </c>
      <c r="CJ26" s="450">
        <f t="shared" ca="1" si="38"/>
        <v>0</v>
      </c>
      <c r="CK26" s="58">
        <f ca="1">(VLOOKUP(CJ$2,$B$1:$F$32,5,0)*$L26)+(VLOOKUP($K26,'Withdrawal Working'!$AD:$AE,2,0)*(IFERROR(VLOOKUP(CJ$2,$B$35:$C$42,2,0),0)))+SUMIFS('Key Life Events'!$I$3:$I$28,'Key Life Events'!$H$3:$H$28,"House2",'Key Life Events'!$E$3:$E$28,'Yoy WAR OG'!K26)</f>
        <v>0</v>
      </c>
      <c r="CL26" s="58">
        <f ca="1">IF(IFERROR(IF($K26&lt;&gt;VLOOKUP(CJ$2,$B:$H,7,0),IF(CN$3=1,MIN($M26,CJ26),IF(HLOOKUP(CONCATENATE("Balance",CN$3-1),'Withdrawal Working'!$A$2:$CD$78,MATCH('Yoy WAR OG'!$J26,'Withdrawal Working'!$A$2:$A$78,0),FALSE)&gt;0,MIN(HLOOKUP(CONCATENATE("Balance",CN$3-1),'Withdrawal Working'!$A$2:$CD$78,MATCH('Yoy WAR OG'!$J26,'Withdrawal Working'!$A$2:$A$78,0),0),CJ26),0)),IF($K26=VLOOKUP(CJ$2,$B:$H,7,0),CJ26,)),0)&gt;0,CJ26,0)</f>
        <v>0</v>
      </c>
      <c r="CM26" s="58">
        <f t="shared" ca="1" si="12"/>
        <v>0</v>
      </c>
      <c r="CP26" s="450">
        <f t="shared" ca="1" si="39"/>
        <v>7313151.7998043131</v>
      </c>
      <c r="CQ26" s="58">
        <f ca="1">(VLOOKUP(CP$2,$B$1:$F$32,5,0)*$L26)+(VLOOKUP($K26,'Withdrawal Working'!$AD:$AE,2,0)*(IFERROR(VLOOKUP(CP$2,$B$35:$C$42,2,0),0)))+SUMIFS('Key Life Events'!$I$3:$I$28,'Key Life Events'!$H$3:$H$28,"Land",'Key Life Events'!$E$3:$E$28,'Yoy WAR OG'!K26)</f>
        <v>0</v>
      </c>
      <c r="CR26" s="58">
        <f>IFERROR(IF($K26&lt;VLOOKUP(CP$2,$B:$H,7,0),IF(CT$3=1,MIN($M26,CP26),IF(HLOOKUP(CONCATENATE("Balance",CT$3-1),'Withdrawal Working'!$A$2:$CD$78,MATCH('Yoy WAR OG'!$J26,'Withdrawal Working'!$A$2:$A$78,0),FALSE)&gt;0,MIN(HLOOKUP(CONCATENATE("Balance",CT$3-1),'Withdrawal Working'!$A$2:$CD$78,MATCH('Yoy WAR OG'!$J26,'Withdrawal Working'!$A$2:$A$78,0),0),CP26),0)),IF($K26=VLOOKUP(CP$2,$B:$H,7,0),CP26,)),0)</f>
        <v>0</v>
      </c>
      <c r="CS26" s="58">
        <f t="shared" ca="1" si="13"/>
        <v>7678809.3897945294</v>
      </c>
      <c r="CV26" s="450">
        <f t="shared" ca="1" si="40"/>
        <v>0</v>
      </c>
      <c r="CW26" s="58"/>
      <c r="CX26" s="58">
        <f>IFERROR(IF($K26&lt;VLOOKUP(CV$2,$B:$H,7,0),IF(CZ$3=1,MIN($M26,CV26),IF(HLOOKUP(CONCATENATE("Balance",CZ$3-1),'Withdrawal Working'!$A$2:$CD$78,MATCH('Yoy WAR OG'!$J26,'Withdrawal Working'!$A$2:$A$78,0),FALSE)&gt;0,MIN(HLOOKUP(CONCATENATE("Balance",CZ$3-1),'Withdrawal Working'!$A$2:$CD$78,MATCH('Yoy WAR OG'!$J26,'Withdrawal Working'!$A$2:$A$78,0),0),CV26),0)),IF($K26=VLOOKUP(CV$2,$B:$H,7,0),CV26,)),0)</f>
        <v>0</v>
      </c>
      <c r="CY26" s="58">
        <f t="shared" ca="1" si="14"/>
        <v>0</v>
      </c>
      <c r="DB26" s="450">
        <f t="shared" ca="1" si="41"/>
        <v>0</v>
      </c>
      <c r="DC26" s="58">
        <f ca="1">(VLOOKUP(DB$2,$B$1:$F$32,5,0)*$L26)+(VLOOKUP($K26,'Withdrawal Working'!$AD:$AE,2,0)*(IFERROR(VLOOKUP(DB$2,$B$35:$C$42,2,0),0)))</f>
        <v>0</v>
      </c>
      <c r="DD26" s="58">
        <f>IFERROR(IF($K26&lt;VLOOKUP(DB$2,$B:$H,7,0),IF(DF$3=1,MIN($M26,DB26),IF(HLOOKUP(CONCATENATE("Balance",DF$3-1),'Withdrawal Working'!$A$2:$CD$78,MATCH('Yoy WAR OG'!$J26,'Withdrawal Working'!$A$2:$A$78,0),FALSE)&gt;0,MIN(HLOOKUP(CONCATENATE("Balance",DF$3-1),'Withdrawal Working'!$A$2:$CD$78,MATCH('Yoy WAR OG'!$J26,'Withdrawal Working'!$A$2:$A$78,0),0),DB26),0)),IF($K26=VLOOKUP(DB$2,$B:$H,7,0),DB26,)),0)</f>
        <v>0</v>
      </c>
      <c r="DE26" s="58">
        <f t="shared" ca="1" si="15"/>
        <v>0</v>
      </c>
      <c r="DH26" s="450">
        <f t="shared" ca="1" si="42"/>
        <v>0</v>
      </c>
      <c r="DI26" s="58">
        <f>IF(OR(J26&gt;'NWGC - SCENARIOS'!$D$7,J26='NWGC - SCENARIOS'!$D$7),0,DI25*(1+'NWGC - SCENARIOS'!$L$5))</f>
        <v>0</v>
      </c>
      <c r="DJ26" s="58">
        <f>IFERROR(IF($K26&lt;VLOOKUP(DH$2,$B:$H,7,0),IF(DL$3=1,MIN($M26,DH26),IF(HLOOKUP(CONCATENATE("Balance",DL$3-1),'Withdrawal Working'!$A$2:$CD$78,MATCH('Yoy WAR OG'!$J26,'Withdrawal Working'!$A$2:$A$78,0),FALSE)&gt;0,MIN(HLOOKUP(CONCATENATE("Balance",DL$3-1),'Withdrawal Working'!$A$2:$CD$78,MATCH('Yoy WAR OG'!$J26,'Withdrawal Working'!$A$2:$A$78,0),0),DH26),0)),IF($K26=VLOOKUP(DH$2,$B:$H,7,0),DH26,)),0)</f>
        <v>0</v>
      </c>
      <c r="DK26" s="58">
        <f t="shared" ca="1" si="16"/>
        <v>0</v>
      </c>
      <c r="DN26" s="450">
        <f t="shared" ca="1" si="43"/>
        <v>0</v>
      </c>
      <c r="DO26" s="58">
        <f ca="1">(VLOOKUP(DN$2,$B$1:$F$32,5,0)*$L26)+(VLOOKUP($K26,'Withdrawal Working'!$AD:$AE,2,0)*(IFERROR(VLOOKUP(DN$2,$B$35:$C$42,2,0),0)))</f>
        <v>0</v>
      </c>
      <c r="DP26" s="58">
        <f>IFERROR(IF($K26&lt;VLOOKUP(DN$2,$B:$H,7,0),IF(DR$3=1,MIN($M26,DN26),IF(HLOOKUP(CONCATENATE("Balance",DR$3-1),'Withdrawal Working'!$A$2:$CD$78,MATCH('Yoy WAR OG'!$J26,'Withdrawal Working'!$A$2:$A$78,0),FALSE)&gt;0,MIN(HLOOKUP(CONCATENATE("Balance",DR$3-1),'Withdrawal Working'!$A$2:$CD$78,MATCH('Yoy WAR OG'!$J26,'Withdrawal Working'!$A$2:$A$78,0),0),DN26),0)),IF($K26=VLOOKUP(DN$2,$B:$H,7,0),DN26,)),0)</f>
        <v>0</v>
      </c>
      <c r="DQ26" s="58">
        <f t="shared" ca="1" si="17"/>
        <v>0</v>
      </c>
      <c r="DT26" s="450">
        <f t="shared" ca="1" si="44"/>
        <v>0</v>
      </c>
      <c r="DU26" s="58">
        <f ca="1">(VLOOKUP(DT$2,$B$1:$F$32,5,0)*$L26)+(VLOOKUP($K26,'Withdrawal Working'!$AD:$AE,2,0)*(IFERROR(VLOOKUP(DT$2,$B$35:$C$42,2,0),0)))</f>
        <v>0</v>
      </c>
      <c r="DV26" s="58">
        <f>IFERROR(IF($K26&lt;VLOOKUP(DT$2,$B:$H,7,0),IF(DX$3=1,MIN($M26,DT26),IF(HLOOKUP(CONCATENATE("Balance",DX$3-1),'Withdrawal Working'!$A$2:$CD$78,MATCH('Yoy WAR OG'!$J26,'Withdrawal Working'!$A$2:$A$78,0),FALSE)&gt;0,MIN(HLOOKUP(CONCATENATE("Balance",DX$3-1),'Withdrawal Working'!$A$2:$CD$78,MATCH('Yoy WAR OG'!$J26,'Withdrawal Working'!$A$2:$A$78,0),0),DT26),0)),IF($K26=VLOOKUP(DT$2,$B:$H,7,0),DT26,)),0)</f>
        <v>0</v>
      </c>
      <c r="DW26" s="58">
        <f t="shared" ca="1" si="18"/>
        <v>0</v>
      </c>
      <c r="DZ26" s="450">
        <f t="shared" ca="1" si="45"/>
        <v>0</v>
      </c>
      <c r="EA26" s="58">
        <f ca="1">(VLOOKUP(DZ$2,$B$1:$F$32,5,0)*$L26)+(VLOOKUP($K26,'Withdrawal Working'!$AD:$AE,2,0)*(IFERROR(VLOOKUP(DZ$2,$B$35:$C$42,2,0),0)))</f>
        <v>0</v>
      </c>
      <c r="EB26" s="58">
        <f>IFERROR(IF($K26&lt;VLOOKUP(DZ$2,$B:$H,7,0),IF(ED$3=1,MIN($M26,DZ26),IF(HLOOKUP(CONCATENATE("Balance",ED$3-1),'Withdrawal Working'!$A$2:$CD$78,MATCH('Yoy WAR OG'!$J26,'Withdrawal Working'!$A$2:$A$78,0),FALSE)&gt;0,MIN(HLOOKUP(CONCATENATE("Balance",ED$3-1),'Withdrawal Working'!$A$2:$CD$78,MATCH('Yoy WAR OG'!$J26,'Withdrawal Working'!$A$2:$A$78,0),0),DZ26),0)),IF($K26=VLOOKUP(DZ$2,$B:$H,7,0),DZ26,)),0)</f>
        <v>0</v>
      </c>
      <c r="EC26" s="58">
        <f t="shared" ca="1" si="19"/>
        <v>0</v>
      </c>
      <c r="EF26" s="450">
        <f t="shared" ca="1" si="46"/>
        <v>0</v>
      </c>
      <c r="EG26" s="58">
        <f ca="1">(VLOOKUP(EF$2,$B$1:$F$32,5,0)*$L26)+(VLOOKUP($K26,'Withdrawal Working'!$AD:$AE,2,0)*(IFERROR(VLOOKUP(EF$2,$B$35:$C$42,2,0),0)))</f>
        <v>0</v>
      </c>
      <c r="EH26" s="58">
        <f>IFERROR(IF($K26&lt;VLOOKUP(EF$2,$B:$H,7,0),IF(EJ$3=1,MIN($M26,EF26),IF(HLOOKUP(CONCATENATE("Balance",EJ$3-1),'Withdrawal Working'!$A$2:$CD$78,MATCH('Yoy WAR OG'!$J26,'Withdrawal Working'!$A$2:$A$78,0),FALSE)&gt;0,MIN(HLOOKUP(CONCATENATE("Balance",EJ$3-1),'Withdrawal Working'!$A$2:$CD$78,MATCH('Yoy WAR OG'!$J26,'Withdrawal Working'!$A$2:$A$78,0),0),EF26),0)),IF($K26=VLOOKUP(EF$2,$B:$H,7,0),EF26,)),0)</f>
        <v>0</v>
      </c>
      <c r="EI26" s="58">
        <f t="shared" ca="1" si="20"/>
        <v>0</v>
      </c>
      <c r="EL26" s="450">
        <f t="shared" ca="1" si="47"/>
        <v>0</v>
      </c>
      <c r="EM26" s="58">
        <f>IF(OR($J26&gt;'NWGC - SCENARIOS'!$D$7,$J26='NWGC - SCENARIOS'!$D$7),0,EM25)</f>
        <v>0</v>
      </c>
      <c r="EN26" s="58">
        <f>IFERROR(IF($K26&lt;VLOOKUP(EL$2,$B:$H,7,0),IF(EP$3=1,MIN($M26,EL26),IF(HLOOKUP(CONCATENATE("Balance",EP$3-1),'Withdrawal Working'!$A$2:$CD$78,MATCH('Yoy WAR OG'!$J26,'Withdrawal Working'!$A$2:$A$78,0),FALSE)&gt;0,MIN(HLOOKUP(CONCATENATE("Balance",EP$3-1),'Withdrawal Working'!$A$2:$CD$78,MATCH('Yoy WAR OG'!$J26,'Withdrawal Working'!$A$2:$A$78,0),0),EL26),0)),IF($K26=VLOOKUP(EL$2,$B:$H,7,0),EL26,)),0)</f>
        <v>0</v>
      </c>
      <c r="EO26" s="58">
        <f t="shared" ca="1" si="21"/>
        <v>0</v>
      </c>
      <c r="ER26" s="450">
        <f t="shared" ca="1" si="48"/>
        <v>0</v>
      </c>
      <c r="ES26" s="58">
        <f>IF(OR(J26&gt;'NWGC - SCENARIOS'!$D$7,J26='NWGC - SCENARIOS'!$D$7),0,ES25*(1+'NWGC - SCENARIOS'!$L$5))</f>
        <v>0</v>
      </c>
      <c r="ET26" s="58">
        <f>IFERROR(IF($K26&lt;VLOOKUP(ER$2,$B:$H,7,0),IF(EV$3=1,MIN($M26,ER26),IF(HLOOKUP(CONCATENATE("Balance",EV$3-1),'Withdrawal Working'!$A$2:$CD$78,MATCH('Yoy WAR OG'!$J26,'Withdrawal Working'!$A$2:$A$78,0),FALSE)&gt;0,MIN(HLOOKUP(CONCATENATE("Balance",EV$3-1),'Withdrawal Working'!$A$2:$CD$78,MATCH('Yoy WAR OG'!$J26,'Withdrawal Working'!$A$2:$A$78,0),0),ER26),0)),IF($K26=VLOOKUP(ER$2,$B:$H,7,0),ER26,)),0)</f>
        <v>0</v>
      </c>
      <c r="EU26" s="58">
        <f t="shared" ca="1" si="22"/>
        <v>0</v>
      </c>
      <c r="EX26" s="450">
        <f t="shared" ca="1" si="49"/>
        <v>0</v>
      </c>
      <c r="EY26" s="58">
        <f>IF(OR(J26&gt;'NWGC - SCENARIOS'!$D$7,J26='NWGC - SCENARIOS'!$D$7),0,EY25)</f>
        <v>0</v>
      </c>
      <c r="EZ26" s="58">
        <f>IFERROR(IF($K26&lt;VLOOKUP(EX$2,$B:$H,7,0),IF(FB$3=1,MIN($M26,EX26),IF(HLOOKUP(CONCATENATE("Balance",FB$3-1),'Withdrawal Working'!$A$2:$CD$78,MATCH('Yoy WAR OG'!$J26,'Withdrawal Working'!$A$2:$A$78,0),FALSE)&gt;0,MIN(HLOOKUP(CONCATENATE("Balance",FB$3-1),'Withdrawal Working'!$A$2:$CD$78,MATCH('Yoy WAR OG'!$J26,'Withdrawal Working'!$A$2:$A$78,0),0),EX26),0)),IF($K26=VLOOKUP(EX$2,$B:$H,7,0),EX26,)),0)</f>
        <v>0</v>
      </c>
      <c r="FA26" s="58">
        <f t="shared" ca="1" si="23"/>
        <v>0</v>
      </c>
    </row>
    <row r="27" spans="1:157" x14ac:dyDescent="0.3">
      <c r="A27" t="s">
        <v>367</v>
      </c>
      <c r="B27" s="448" t="str">
        <f>Networth!B30</f>
        <v>NPS</v>
      </c>
      <c r="C27" s="58">
        <f>VLOOKUP('Yoy WAR OG'!B27,'WAR - Rev'!$A$1:$B$29,2,0)</f>
        <v>5400000</v>
      </c>
      <c r="D27" s="313">
        <f>'WAR - Rev'!C25</f>
        <v>8.5000000000000006E-2</v>
      </c>
      <c r="E27" s="449">
        <f>Budget!D146</f>
        <v>1044000</v>
      </c>
      <c r="H27" s="452">
        <f>VLOOKUP('NWGC - SCENARIOS'!$D$7,'NWGC - SCENARIOS'!$B$11:$C$67,2,0)</f>
        <v>2031</v>
      </c>
      <c r="J27">
        <f>IFERROR('NWGC - SCENARIOS'!B34,0)</f>
        <v>72</v>
      </c>
      <c r="K27">
        <f>IFERROR('NWGC - SCENARIOS'!C34,0)</f>
        <v>2048</v>
      </c>
      <c r="L27" s="449">
        <f ca="1">IF(('NWGC - SCENARIOS'!G34-working!G25)&gt;'NWGC - SCENARIOS'!H34,'NWGC - SCENARIOS'!G34-'NWGC - SCENARIOS'!H34-working!G25,0)</f>
        <v>0</v>
      </c>
      <c r="M27" s="449">
        <f ca="1">IF(('NWGC - SCENARIOS'!G34-working!G25)&gt;'NWGC - SCENARIOS'!H34,0,'NWGC - SCENARIOS'!H34-'NWGC - SCENARIOS'!G34+working!G25)</f>
        <v>13192723.867859932</v>
      </c>
      <c r="N27" s="58">
        <f t="shared" ca="1" si="0"/>
        <v>531458661.67783761</v>
      </c>
      <c r="O27" s="58">
        <f t="shared" ca="1" si="1"/>
        <v>65366832.689007275</v>
      </c>
      <c r="P27" s="58">
        <f t="shared" ca="1" si="24"/>
        <v>0</v>
      </c>
      <c r="Q27" s="58">
        <f ca="1">(VLOOKUP(P$2,$B$1:$F$32,5,0)*$L27)+(VLOOKUP($K27,'Withdrawal Working'!$AD:$AE,2,0)*(IFERROR(VLOOKUP(P$2,$B$35:$C$42,2,0),0)))</f>
        <v>0</v>
      </c>
      <c r="R27" s="58">
        <f>IFERROR(IF($K27&lt;VLOOKUP(P$2,$B:$H,7,0),IF(T$3=1,MIN($M27,P27),IF(HLOOKUP(CONCATENATE("Balance",T$3-1),'Withdrawal Working'!$A$2:$CD$78,MATCH('Yoy WAR OG'!$J27,'Withdrawal Working'!$A$2:$A$78,0),FALSE)&gt;0,MIN(HLOOKUP(CONCATENATE("Balance",T$3-1),'Withdrawal Working'!$A$2:$CD$78,MATCH('Yoy WAR OG'!$J27,'Withdrawal Working'!$A$2:$A$78,0),0),P27),0)),IF($K27=VLOOKUP(P$2,$B:$H,7,0),P27,)),0)</f>
        <v>0</v>
      </c>
      <c r="S27" s="58">
        <f t="shared" ca="1" si="26"/>
        <v>0</v>
      </c>
      <c r="T27" s="58"/>
      <c r="V27" s="58">
        <f t="shared" ca="1" si="27"/>
        <v>0</v>
      </c>
      <c r="W27" s="58">
        <f ca="1">(VLOOKUP(V$2,$B$1:$F$32,5,0)*$L27)+(VLOOKUP($K27,'Withdrawal Working'!$AD:$AE,2,0)*(IFERROR(VLOOKUP(V$2,$B$35:$C$42,2,0),0)))</f>
        <v>0</v>
      </c>
      <c r="X27" s="58">
        <f>IFERROR(IF($K27&lt;VLOOKUP(V$2,$B:$H,7,0),IF(Z$3=1,MIN($M27,V27),IF(HLOOKUP(CONCATENATE("Balance",Z$3-1),'Withdrawal Working'!$A$2:$CD$78,MATCH('Yoy WAR OG'!$J27,'Withdrawal Working'!$A$2:$A$78,0),FALSE)&gt;0,MIN(HLOOKUP(CONCATENATE("Balance",Z$3-1),'Withdrawal Working'!$A$2:$CD$78,MATCH('Yoy WAR OG'!$J27,'Withdrawal Working'!$A$2:$A$78,0),0),V27),0)),IF($K27=VLOOKUP(V$2,$B:$H,7,0),V27,)),0)</f>
        <v>0</v>
      </c>
      <c r="Y27" s="58">
        <f t="shared" ca="1" si="2"/>
        <v>0</v>
      </c>
      <c r="AB27" s="58">
        <f t="shared" ca="1" si="28"/>
        <v>0</v>
      </c>
      <c r="AC27" s="58">
        <f ca="1">(VLOOKUP(AB$2,$B$1:$F$32,5,0)*$L27)+(VLOOKUP($K27,'Withdrawal Working'!$AD:$AE,2,0)*(IFERROR(VLOOKUP(AB$2,$B$35:$C$42,2,0),0)))</f>
        <v>0</v>
      </c>
      <c r="AD27" s="58">
        <f>IFERROR(IF($K27&lt;VLOOKUP(AB$2,$B:$H,7,0),IF(AF$3=1,MIN($M27,AB27),IF(HLOOKUP(CONCATENATE("Balance",AF$3-1),'Withdrawal Working'!$A$2:$CD$78,MATCH('Yoy WAR OG'!$J27,'Withdrawal Working'!$A$2:$A$78,0),FALSE)&gt;0,MIN(HLOOKUP(CONCATENATE("Balance",AF$3-1),'Withdrawal Working'!$A$2:$CD$78,MATCH('Yoy WAR OG'!$J27,'Withdrawal Working'!$A$2:$A$78,0),0),AB27),0)),IF($K27=VLOOKUP(AB$2,$B:$H,7,0),AB27,)),0)</f>
        <v>0</v>
      </c>
      <c r="AE27" s="58">
        <f t="shared" ca="1" si="3"/>
        <v>0</v>
      </c>
      <c r="AH27" s="58">
        <f t="shared" ca="1" si="29"/>
        <v>227437816.11197442</v>
      </c>
      <c r="AI27" s="58">
        <f ca="1">(VLOOKUP(AH$2,$B$1:$F$32,5,0)*$L27)+IF(J27&gt;'NWGC - SCENARIOS'!$D$7,0,(VLOOKUP($K27,'Withdrawal Working'!$AD:$AE,2,0)*(IFERROR(VLOOKUP(AH$2,$B$35:$C$42,2,0),0))))</f>
        <v>0</v>
      </c>
      <c r="AJ27" s="58">
        <f ca="1">IFERROR(IF($J27&gt;'NWGC - SCENARIOS'!$D$7,MIN('Yoy WAR OG'!AH27,VLOOKUP('Yoy WAR OG'!$J27,'Withdrawal Working'!BC:BD,2,0)),IF(AL$3=1,$M27,IF(HLOOKUP(CONCATENATE("Balance",AL$3-1),'Withdrawal Working'!$A$2:$CD$78,MATCH('Yoy WAR OG'!$J27,'Withdrawal Working'!$A$2:$A$78,0),FALSE)&gt;0,MIN(HLOOKUP(CONCATENATE("Balance",AL$3-1),'Withdrawal Working'!$A$2:$CD$78,MATCH('Yoy WAR OG'!$J27,'Withdrawal Working'!$A$2:$A$78,0),0),AH27),0))),0)</f>
        <v>15401970.719471829</v>
      </c>
      <c r="AK27" s="58">
        <f t="shared" ca="1" si="4"/>
        <v>235359788.38567787</v>
      </c>
      <c r="AN27" s="450">
        <f t="shared" ca="1" si="30"/>
        <v>278453192.28787601</v>
      </c>
      <c r="AO27" s="58">
        <f ca="1">IF(J27&gt;'NWGC - SCENARIOS'!$D$7,(IF(AJ27=0,0,'Yoy WAR OG'!AJ27)+(VLOOKUP(AN$2,$B$1:$F$32,5,0)*$L27)),(VLOOKUP(AN$2,$B$1:$F$32,5,0)*$L27)+(VLOOKUP($K27,'Withdrawal Working'!$AD:$AE,2,0)*(IFERROR(VLOOKUP(AN$2,$B$35:$C$42,2,0),0))))</f>
        <v>15401970.719471829</v>
      </c>
      <c r="AP27" s="470">
        <f ca="1">IFERROR(IF($K27&lt;&gt;VLOOKUP(AN$2,$B:$H,7,0),IF(AR$3=1,MIN($M27,AN27),IF(HLOOKUP(CONCATENATE("Balance",AR$3-1),'Withdrawal Working'!$A$2:$CD$78,MATCH('Yoy WAR OG'!$J27,'Withdrawal Working'!$A$2:$A$78,0),FALSE)&gt;0,MIN(HLOOKUP(CONCATENATE("Balance",AR$3-1),'Withdrawal Working'!$A$2:$CD$78,MATCH('Yoy WAR OG'!$J27,'Withdrawal Working'!$A$2:$A$78,0),0),AN27),0)),IF($K27=VLOOKUP(AN$2,$B:$H,7,0),AN27,)),0)</f>
        <v>13192723.867859932</v>
      </c>
      <c r="AQ27" s="58">
        <f ca="1">IF(AO27&lt;0,0,IF(J27&gt;'NWGC - SCENARIOS'!$D$7,((AN27-AP27+AO27)*(1+(IFERROR(VLOOKUP(AN$2,$B:$D,3,0),0)))),((AN27-AP27)*(1+(IFERROR(VLOOKUP(AN$2,$B:$D,3,0),0))))+AO27))</f>
        <v>296098873.29215974</v>
      </c>
      <c r="AT27" s="450">
        <f t="shared" ca="1" si="31"/>
        <v>0</v>
      </c>
      <c r="AU27" s="58">
        <f ca="1">(VLOOKUP(AT$2,$B$1:$F$32,5,0)*$L27)+(VLOOKUP($K27,'Withdrawal Working'!$AD:$AE,2,0)*(IFERROR(VLOOKUP(AT$2,$B$35:$C$42,2,0),0)))</f>
        <v>0</v>
      </c>
      <c r="AV27" s="58">
        <f>IFERROR(IF($K27&lt;VLOOKUP(AT$2,$B:$H,7,0),IF(AX$3=1,MIN($M27,AT27),IF(HLOOKUP(CONCATENATE("Balance",AX$3-1),'Withdrawal Working'!$A$2:$CD$78,MATCH('Yoy WAR OG'!$J27,'Withdrawal Working'!$A$2:$A$78,0),FALSE)&gt;0,MIN(HLOOKUP(CONCATENATE("Balance",AX$3-1),'Withdrawal Working'!$A$2:$CD$78,MATCH('Yoy WAR OG'!$J27,'Withdrawal Working'!$A$2:$A$78,0),0),AT27),0)),IF($K27=VLOOKUP(AT$2,$B:$H,7,0),AT27,)),0)</f>
        <v>0</v>
      </c>
      <c r="AW27" s="58">
        <f t="shared" ca="1" si="5"/>
        <v>0</v>
      </c>
      <c r="AZ27" s="450">
        <f t="shared" ca="1" si="32"/>
        <v>18962119.451909844</v>
      </c>
      <c r="BA27" s="58">
        <f ca="1">(VLOOKUP(AZ$2,$B$1:$F$32,5,0)*$L27)+(VLOOKUP($K27,'Withdrawal Working'!$AD:$AE,2,0)*(IFERROR(VLOOKUP(AZ$2,$B$35:$C$42,2,0),0)))</f>
        <v>0</v>
      </c>
      <c r="BB27" s="58">
        <f>IFERROR(IF($K27&lt;VLOOKUP(AZ$2,$B:$H,7,0),IF(BD$3=1,MIN($M27,AZ27),IF(HLOOKUP(CONCATENATE("Balance",BD$3-1),'Withdrawal Working'!$A$2:$CD$78,MATCH('Yoy WAR OG'!$J27,'Withdrawal Working'!$A$2:$A$78,0),FALSE)&gt;0,MIN(HLOOKUP(CONCATENATE("Balance",BD$3-1),'Withdrawal Working'!$A$2:$CD$78,MATCH('Yoy WAR OG'!$J27,'Withdrawal Working'!$A$2:$A$78,0),0),AZ27),0)),IF($K27=VLOOKUP(AZ$2,$B:$H,7,0),AZ27,)),0)</f>
        <v>0</v>
      </c>
      <c r="BC27" s="58">
        <f t="shared" ca="1" si="6"/>
        <v>20289467.813543536</v>
      </c>
      <c r="BF27" s="450">
        <f t="shared" ca="1" si="33"/>
        <v>0</v>
      </c>
      <c r="BG27" s="58">
        <f ca="1">(VLOOKUP(BF$2,$B$1:$F$32,5,0)*$L27)+(VLOOKUP($K27,'Withdrawal Working'!$AD:$AE,2,0)*(IFERROR(VLOOKUP(BF$2,$B$35:$C$42,2,0),0)))</f>
        <v>0</v>
      </c>
      <c r="BH27" s="58">
        <f>IFERROR(IF($K27&lt;VLOOKUP(BF$2,$B:$H,7,0),IF(BJ$3=1,MIN($M27,BF27),IF(HLOOKUP(CONCATENATE("Balance",BJ$3-1),'Withdrawal Working'!$A$2:$CD$78,MATCH('Yoy WAR OG'!$J27,'Withdrawal Working'!$A$2:$A$78,0),FALSE)&gt;0,MIN(HLOOKUP(CONCATENATE("Balance",BJ$3-1),'Withdrawal Working'!$A$2:$CD$78,MATCH('Yoy WAR OG'!$J27,'Withdrawal Working'!$A$2:$A$78,0),0),BF27),0)),IF($K27=VLOOKUP(BF$2,$B:$H,7,0),BF27,)),0)</f>
        <v>0</v>
      </c>
      <c r="BI27" s="58">
        <f t="shared" ca="1" si="7"/>
        <v>0</v>
      </c>
      <c r="BL27" s="450">
        <f t="shared" ca="1" si="34"/>
        <v>0</v>
      </c>
      <c r="BM27" s="58">
        <f ca="1">(VLOOKUP(BL$2,$B$1:$F$32,5,0)*$L27)+(VLOOKUP($K27,'Withdrawal Working'!$AD:$AE,2,0)*(IFERROR(VLOOKUP(BL$2,$B$35:$C$42,2,0),0)))</f>
        <v>0</v>
      </c>
      <c r="BN27" s="58">
        <f>IFERROR(IF($K27&lt;VLOOKUP(BL$2,$B:$H,7,0),IF(BP$3=1,MIN($M27,BL27),IF(HLOOKUP(CONCATENATE("Balance",BP$3-1),'Withdrawal Working'!$A$2:$CD$78,MATCH('Yoy WAR OG'!$J27,'Withdrawal Working'!$A$2:$A$78,0),FALSE)&gt;0,MIN(HLOOKUP(CONCATENATE("Balance",BP$3-1),'Withdrawal Working'!$A$2:$CD$78,MATCH('Yoy WAR OG'!$J27,'Withdrawal Working'!$A$2:$A$78,0),0),BL27),0)),IF($K27=VLOOKUP(BL$2,$B:$H,7,0),BL27,)),0)</f>
        <v>0</v>
      </c>
      <c r="BO27" s="58">
        <f t="shared" ca="1" si="8"/>
        <v>0</v>
      </c>
      <c r="BR27" s="450">
        <f t="shared" ca="1" si="35"/>
        <v>0</v>
      </c>
      <c r="BS27" s="58">
        <f ca="1">(VLOOKUP(BR$2,$B$1:$F$32,5,0)*$L27)+(VLOOKUP($K27,'Withdrawal Working'!$AD:$AE,2,0)*(IFERROR(VLOOKUP(BR$2,$B$35:$C$42,2,0),0)))</f>
        <v>0</v>
      </c>
      <c r="BT27" s="58">
        <f>IFERROR(IF($K27&lt;VLOOKUP(BR$2,$B:$H,7,0),IF(BV$3=1,MIN($M27,BR27),IF(HLOOKUP(CONCATENATE("Balance",BV$3-1),'Withdrawal Working'!$A$2:$CD$78,MATCH('Yoy WAR OG'!$J27,'Withdrawal Working'!$A$2:$A$78,0),FALSE)&gt;0,MIN(HLOOKUP(CONCATENATE("Balance",BV$3-1),'Withdrawal Working'!$A$2:$CD$78,MATCH('Yoy WAR OG'!$J27,'Withdrawal Working'!$A$2:$A$78,0),0),BR27),0)),IF($K27=VLOOKUP(BR$2,$B:$H,7,0),BR27,)),0)</f>
        <v>0</v>
      </c>
      <c r="BU27" s="58">
        <f t="shared" ca="1" si="9"/>
        <v>0</v>
      </c>
      <c r="BX27" s="450">
        <f t="shared" ca="1" si="36"/>
        <v>0</v>
      </c>
      <c r="BY27" s="58">
        <f ca="1">(VLOOKUP(BX$2,$B$1:$F$32,5,0)*$L27)+(VLOOKUP($K27,'Withdrawal Working'!$AD:$AE,2,0)*(IFERROR(VLOOKUP(BX$2,$B$35:$C$42,2,0),0)))</f>
        <v>0</v>
      </c>
      <c r="BZ27" s="58">
        <f>IFERROR(IF($K27&lt;VLOOKUP(BX$2,$B:$H,7,0),IF(CB$3=1,MIN($M27,BX27),IF(HLOOKUP(CONCATENATE("Balance",CB$3-1),'Withdrawal Working'!$A$2:$CD$78,MATCH('Yoy WAR OG'!$J27,'Withdrawal Working'!$A$2:$A$78,0),FALSE)&gt;0,MIN(HLOOKUP(CONCATENATE("Balance",CB$3-1),'Withdrawal Working'!$A$2:$CD$78,MATCH('Yoy WAR OG'!$J27,'Withdrawal Working'!$A$2:$A$78,0),0),BX27),0)),IF($K27=VLOOKUP(BX$2,$B:$H,7,0),BX27,)),0)</f>
        <v>0</v>
      </c>
      <c r="CA27" s="58">
        <f t="shared" ca="1" si="10"/>
        <v>0</v>
      </c>
      <c r="CD27" s="450">
        <f t="shared" ca="1" si="37"/>
        <v>35936519.433183961</v>
      </c>
      <c r="CE27" s="58">
        <f ca="1">(VLOOKUP(CD$2,$B$1:$F$32,5,0)*$L27)+(VLOOKUP($K27,'Withdrawal Working'!$AD:$AE,2,0)*(IFERROR(VLOOKUP(CD$2,$B$35:$C$42,2,0),0)))+SUMIFS('Key Life Events'!$I$3:$I$28,'Key Life Events'!$H$3:$H$28,"House",'Key Life Events'!$E$3:$E$28,'Yoy WAR OG'!K27)</f>
        <v>0</v>
      </c>
      <c r="CF27" s="58">
        <f>IFERROR(IF($K27&lt;VLOOKUP(CD$2,$B:$H,7,0),IF(CH$3=1,MIN($M27,CD27),IF(HLOOKUP(CONCATENATE("Balance",CH$3-1),'Withdrawal Working'!$A$2:$CD$78,MATCH('Yoy WAR OG'!$J27,'Withdrawal Working'!$A$2:$A$78,0),FALSE)&gt;0,MIN(HLOOKUP(CONCATENATE("Balance",CH$3-1),'Withdrawal Working'!$A$2:$CD$78,MATCH('Yoy WAR OG'!$J27,'Withdrawal Working'!$A$2:$A$78,0),0),CD27),0)),IF($K27=VLOOKUP(CD$2,$B:$H,7,0),CD27,)),0)</f>
        <v>0</v>
      </c>
      <c r="CG27" s="58">
        <f t="shared" ca="1" si="11"/>
        <v>37014615.01617948</v>
      </c>
      <c r="CJ27" s="450">
        <f t="shared" ca="1" si="38"/>
        <v>0</v>
      </c>
      <c r="CK27" s="58">
        <f ca="1">(VLOOKUP(CJ$2,$B$1:$F$32,5,0)*$L27)+(VLOOKUP($K27,'Withdrawal Working'!$AD:$AE,2,0)*(IFERROR(VLOOKUP(CJ$2,$B$35:$C$42,2,0),0)))+SUMIFS('Key Life Events'!$I$3:$I$28,'Key Life Events'!$H$3:$H$28,"House2",'Key Life Events'!$E$3:$E$28,'Yoy WAR OG'!K27)</f>
        <v>0</v>
      </c>
      <c r="CL27" s="58">
        <f ca="1">IF(IFERROR(IF($K27&lt;&gt;VLOOKUP(CJ$2,$B:$H,7,0),IF(CN$3=1,MIN($M27,CJ27),IF(HLOOKUP(CONCATENATE("Balance",CN$3-1),'Withdrawal Working'!$A$2:$CD$78,MATCH('Yoy WAR OG'!$J27,'Withdrawal Working'!$A$2:$A$78,0),FALSE)&gt;0,MIN(HLOOKUP(CONCATENATE("Balance",CN$3-1),'Withdrawal Working'!$A$2:$CD$78,MATCH('Yoy WAR OG'!$J27,'Withdrawal Working'!$A$2:$A$78,0),0),CJ27),0)),IF($K27=VLOOKUP(CJ$2,$B:$H,7,0),CJ27,)),0)&gt;0,CJ27,0)</f>
        <v>0</v>
      </c>
      <c r="CM27" s="58">
        <f t="shared" ca="1" si="12"/>
        <v>0</v>
      </c>
      <c r="CP27" s="450">
        <f t="shared" ca="1" si="39"/>
        <v>7678809.3897945294</v>
      </c>
      <c r="CQ27" s="58">
        <f ca="1">(VLOOKUP(CP$2,$B$1:$F$32,5,0)*$L27)+(VLOOKUP($K27,'Withdrawal Working'!$AD:$AE,2,0)*(IFERROR(VLOOKUP(CP$2,$B$35:$C$42,2,0),0)))+SUMIFS('Key Life Events'!$I$3:$I$28,'Key Life Events'!$H$3:$H$28,"Land",'Key Life Events'!$E$3:$E$28,'Yoy WAR OG'!K27)</f>
        <v>0</v>
      </c>
      <c r="CR27" s="58">
        <f>IFERROR(IF($K27&lt;VLOOKUP(CP$2,$B:$H,7,0),IF(CT$3=1,MIN($M27,CP27),IF(HLOOKUP(CONCATENATE("Balance",CT$3-1),'Withdrawal Working'!$A$2:$CD$78,MATCH('Yoy WAR OG'!$J27,'Withdrawal Working'!$A$2:$A$78,0),FALSE)&gt;0,MIN(HLOOKUP(CONCATENATE("Balance",CT$3-1),'Withdrawal Working'!$A$2:$CD$78,MATCH('Yoy WAR OG'!$J27,'Withdrawal Working'!$A$2:$A$78,0),0),CP27),0)),IF($K27=VLOOKUP(CP$2,$B:$H,7,0),CP27,)),0)</f>
        <v>0</v>
      </c>
      <c r="CS27" s="58">
        <f t="shared" ca="1" si="13"/>
        <v>8062749.8592842566</v>
      </c>
      <c r="CV27" s="450">
        <f t="shared" ca="1" si="40"/>
        <v>0</v>
      </c>
      <c r="CW27" s="58"/>
      <c r="CX27" s="58">
        <f>IFERROR(IF($K27&lt;VLOOKUP(CV$2,$B:$H,7,0),IF(CZ$3=1,MIN($M27,CV27),IF(HLOOKUP(CONCATENATE("Balance",CZ$3-1),'Withdrawal Working'!$A$2:$CD$78,MATCH('Yoy WAR OG'!$J27,'Withdrawal Working'!$A$2:$A$78,0),FALSE)&gt;0,MIN(HLOOKUP(CONCATENATE("Balance",CZ$3-1),'Withdrawal Working'!$A$2:$CD$78,MATCH('Yoy WAR OG'!$J27,'Withdrawal Working'!$A$2:$A$78,0),0),CV27),0)),IF($K27=VLOOKUP(CV$2,$B:$H,7,0),CV27,)),0)</f>
        <v>0</v>
      </c>
      <c r="CY27" s="58">
        <f t="shared" ca="1" si="14"/>
        <v>0</v>
      </c>
      <c r="DB27" s="450">
        <f t="shared" ca="1" si="41"/>
        <v>0</v>
      </c>
      <c r="DC27" s="58">
        <f ca="1">(VLOOKUP(DB$2,$B$1:$F$32,5,0)*$L27)+(VLOOKUP($K27,'Withdrawal Working'!$AD:$AE,2,0)*(IFERROR(VLOOKUP(DB$2,$B$35:$C$42,2,0),0)))</f>
        <v>0</v>
      </c>
      <c r="DD27" s="58">
        <f>IFERROR(IF($K27&lt;VLOOKUP(DB$2,$B:$H,7,0),IF(DF$3=1,MIN($M27,DB27),IF(HLOOKUP(CONCATENATE("Balance",DF$3-1),'Withdrawal Working'!$A$2:$CD$78,MATCH('Yoy WAR OG'!$J27,'Withdrawal Working'!$A$2:$A$78,0),FALSE)&gt;0,MIN(HLOOKUP(CONCATENATE("Balance",DF$3-1),'Withdrawal Working'!$A$2:$CD$78,MATCH('Yoy WAR OG'!$J27,'Withdrawal Working'!$A$2:$A$78,0),0),DB27),0)),IF($K27=VLOOKUP(DB$2,$B:$H,7,0),DB27,)),0)</f>
        <v>0</v>
      </c>
      <c r="DE27" s="58">
        <f t="shared" ca="1" si="15"/>
        <v>0</v>
      </c>
      <c r="DH27" s="450">
        <f t="shared" ca="1" si="42"/>
        <v>0</v>
      </c>
      <c r="DI27" s="58">
        <f>IF(OR(J27&gt;'NWGC - SCENARIOS'!$D$7,J27='NWGC - SCENARIOS'!$D$7),0,DI26*(1+'NWGC - SCENARIOS'!$L$5))</f>
        <v>0</v>
      </c>
      <c r="DJ27" s="58">
        <f>IFERROR(IF($K27&lt;VLOOKUP(DH$2,$B:$H,7,0),IF(DL$3=1,MIN($M27,DH27),IF(HLOOKUP(CONCATENATE("Balance",DL$3-1),'Withdrawal Working'!$A$2:$CD$78,MATCH('Yoy WAR OG'!$J27,'Withdrawal Working'!$A$2:$A$78,0),FALSE)&gt;0,MIN(HLOOKUP(CONCATENATE("Balance",DL$3-1),'Withdrawal Working'!$A$2:$CD$78,MATCH('Yoy WAR OG'!$J27,'Withdrawal Working'!$A$2:$A$78,0),0),DH27),0)),IF($K27=VLOOKUP(DH$2,$B:$H,7,0),DH27,)),0)</f>
        <v>0</v>
      </c>
      <c r="DK27" s="58">
        <f t="shared" ca="1" si="16"/>
        <v>0</v>
      </c>
      <c r="DN27" s="450">
        <f t="shared" ca="1" si="43"/>
        <v>0</v>
      </c>
      <c r="DO27" s="58">
        <f ca="1">(VLOOKUP(DN$2,$B$1:$F$32,5,0)*$L27)+(VLOOKUP($K27,'Withdrawal Working'!$AD:$AE,2,0)*(IFERROR(VLOOKUP(DN$2,$B$35:$C$42,2,0),0)))</f>
        <v>0</v>
      </c>
      <c r="DP27" s="58">
        <f>IFERROR(IF($K27&lt;VLOOKUP(DN$2,$B:$H,7,0),IF(DR$3=1,MIN($M27,DN27),IF(HLOOKUP(CONCATENATE("Balance",DR$3-1),'Withdrawal Working'!$A$2:$CD$78,MATCH('Yoy WAR OG'!$J27,'Withdrawal Working'!$A$2:$A$78,0),FALSE)&gt;0,MIN(HLOOKUP(CONCATENATE("Balance",DR$3-1),'Withdrawal Working'!$A$2:$CD$78,MATCH('Yoy WAR OG'!$J27,'Withdrawal Working'!$A$2:$A$78,0),0),DN27),0)),IF($K27=VLOOKUP(DN$2,$B:$H,7,0),DN27,)),0)</f>
        <v>0</v>
      </c>
      <c r="DQ27" s="58">
        <f t="shared" ca="1" si="17"/>
        <v>0</v>
      </c>
      <c r="DT27" s="450">
        <f t="shared" ca="1" si="44"/>
        <v>0</v>
      </c>
      <c r="DU27" s="58">
        <f ca="1">(VLOOKUP(DT$2,$B$1:$F$32,5,0)*$L27)+(VLOOKUP($K27,'Withdrawal Working'!$AD:$AE,2,0)*(IFERROR(VLOOKUP(DT$2,$B$35:$C$42,2,0),0)))</f>
        <v>0</v>
      </c>
      <c r="DV27" s="58">
        <f>IFERROR(IF($K27&lt;VLOOKUP(DT$2,$B:$H,7,0),IF(DX$3=1,MIN($M27,DT27),IF(HLOOKUP(CONCATENATE("Balance",DX$3-1),'Withdrawal Working'!$A$2:$CD$78,MATCH('Yoy WAR OG'!$J27,'Withdrawal Working'!$A$2:$A$78,0),FALSE)&gt;0,MIN(HLOOKUP(CONCATENATE("Balance",DX$3-1),'Withdrawal Working'!$A$2:$CD$78,MATCH('Yoy WAR OG'!$J27,'Withdrawal Working'!$A$2:$A$78,0),0),DT27),0)),IF($K27=VLOOKUP(DT$2,$B:$H,7,0),DT27,)),0)</f>
        <v>0</v>
      </c>
      <c r="DW27" s="58">
        <f t="shared" ca="1" si="18"/>
        <v>0</v>
      </c>
      <c r="DZ27" s="450">
        <f t="shared" ca="1" si="45"/>
        <v>0</v>
      </c>
      <c r="EA27" s="58">
        <f ca="1">(VLOOKUP(DZ$2,$B$1:$F$32,5,0)*$L27)+(VLOOKUP($K27,'Withdrawal Working'!$AD:$AE,2,0)*(IFERROR(VLOOKUP(DZ$2,$B$35:$C$42,2,0),0)))</f>
        <v>0</v>
      </c>
      <c r="EB27" s="58">
        <f>IFERROR(IF($K27&lt;VLOOKUP(DZ$2,$B:$H,7,0),IF(ED$3=1,MIN($M27,DZ27),IF(HLOOKUP(CONCATENATE("Balance",ED$3-1),'Withdrawal Working'!$A$2:$CD$78,MATCH('Yoy WAR OG'!$J27,'Withdrawal Working'!$A$2:$A$78,0),FALSE)&gt;0,MIN(HLOOKUP(CONCATENATE("Balance",ED$3-1),'Withdrawal Working'!$A$2:$CD$78,MATCH('Yoy WAR OG'!$J27,'Withdrawal Working'!$A$2:$A$78,0),0),DZ27),0)),IF($K27=VLOOKUP(DZ$2,$B:$H,7,0),DZ27,)),0)</f>
        <v>0</v>
      </c>
      <c r="EC27" s="58">
        <f t="shared" ca="1" si="19"/>
        <v>0</v>
      </c>
      <c r="EF27" s="450">
        <f t="shared" ca="1" si="46"/>
        <v>0</v>
      </c>
      <c r="EG27" s="58">
        <f ca="1">(VLOOKUP(EF$2,$B$1:$F$32,5,0)*$L27)+(VLOOKUP($K27,'Withdrawal Working'!$AD:$AE,2,0)*(IFERROR(VLOOKUP(EF$2,$B$35:$C$42,2,0),0)))</f>
        <v>0</v>
      </c>
      <c r="EH27" s="58">
        <f>IFERROR(IF($K27&lt;VLOOKUP(EF$2,$B:$H,7,0),IF(EJ$3=1,MIN($M27,EF27),IF(HLOOKUP(CONCATENATE("Balance",EJ$3-1),'Withdrawal Working'!$A$2:$CD$78,MATCH('Yoy WAR OG'!$J27,'Withdrawal Working'!$A$2:$A$78,0),FALSE)&gt;0,MIN(HLOOKUP(CONCATENATE("Balance",EJ$3-1),'Withdrawal Working'!$A$2:$CD$78,MATCH('Yoy WAR OG'!$J27,'Withdrawal Working'!$A$2:$A$78,0),0),EF27),0)),IF($K27=VLOOKUP(EF$2,$B:$H,7,0),EF27,)),0)</f>
        <v>0</v>
      </c>
      <c r="EI27" s="58">
        <f t="shared" ca="1" si="20"/>
        <v>0</v>
      </c>
      <c r="EL27" s="450">
        <f t="shared" ca="1" si="47"/>
        <v>0</v>
      </c>
      <c r="EM27" s="58">
        <f>IF(OR($J27&gt;'NWGC - SCENARIOS'!$D$7,$J27='NWGC - SCENARIOS'!$D$7),0,EM26)</f>
        <v>0</v>
      </c>
      <c r="EN27" s="58">
        <f>IFERROR(IF($K27&lt;VLOOKUP(EL$2,$B:$H,7,0),IF(EP$3=1,MIN($M27,EL27),IF(HLOOKUP(CONCATENATE("Balance",EP$3-1),'Withdrawal Working'!$A$2:$CD$78,MATCH('Yoy WAR OG'!$J27,'Withdrawal Working'!$A$2:$A$78,0),FALSE)&gt;0,MIN(HLOOKUP(CONCATENATE("Balance",EP$3-1),'Withdrawal Working'!$A$2:$CD$78,MATCH('Yoy WAR OG'!$J27,'Withdrawal Working'!$A$2:$A$78,0),0),EL27),0)),IF($K27=VLOOKUP(EL$2,$B:$H,7,0),EL27,)),0)</f>
        <v>0</v>
      </c>
      <c r="EO27" s="58">
        <f t="shared" ca="1" si="21"/>
        <v>0</v>
      </c>
      <c r="ER27" s="450">
        <f t="shared" ca="1" si="48"/>
        <v>0</v>
      </c>
      <c r="ES27" s="58">
        <f>IF(OR(J27&gt;'NWGC - SCENARIOS'!$D$7,J27='NWGC - SCENARIOS'!$D$7),0,ES26*(1+'NWGC - SCENARIOS'!$L$5))</f>
        <v>0</v>
      </c>
      <c r="ET27" s="58">
        <f>IFERROR(IF($K27&lt;VLOOKUP(ER$2,$B:$H,7,0),IF(EV$3=1,MIN($M27,ER27),IF(HLOOKUP(CONCATENATE("Balance",EV$3-1),'Withdrawal Working'!$A$2:$CD$78,MATCH('Yoy WAR OG'!$J27,'Withdrawal Working'!$A$2:$A$78,0),FALSE)&gt;0,MIN(HLOOKUP(CONCATENATE("Balance",EV$3-1),'Withdrawal Working'!$A$2:$CD$78,MATCH('Yoy WAR OG'!$J27,'Withdrawal Working'!$A$2:$A$78,0),0),ER27),0)),IF($K27=VLOOKUP(ER$2,$B:$H,7,0),ER27,)),0)</f>
        <v>0</v>
      </c>
      <c r="EU27" s="58">
        <f t="shared" ca="1" si="22"/>
        <v>0</v>
      </c>
      <c r="EX27" s="450">
        <f t="shared" ca="1" si="49"/>
        <v>0</v>
      </c>
      <c r="EY27" s="58">
        <f>IF(OR(J27&gt;'NWGC - SCENARIOS'!$D$7,J27='NWGC - SCENARIOS'!$D$7),0,EY26)</f>
        <v>0</v>
      </c>
      <c r="EZ27" s="58">
        <f>IFERROR(IF($K27&lt;VLOOKUP(EX$2,$B:$H,7,0),IF(FB$3=1,MIN($M27,EX27),IF(HLOOKUP(CONCATENATE("Balance",FB$3-1),'Withdrawal Working'!$A$2:$CD$78,MATCH('Yoy WAR OG'!$J27,'Withdrawal Working'!$A$2:$A$78,0),FALSE)&gt;0,MIN(HLOOKUP(CONCATENATE("Balance",FB$3-1),'Withdrawal Working'!$A$2:$CD$78,MATCH('Yoy WAR OG'!$J27,'Withdrawal Working'!$A$2:$A$78,0),0),EX27),0)),IF($K27=VLOOKUP(EX$2,$B:$H,7,0),EX27,)),0)</f>
        <v>0</v>
      </c>
      <c r="FA27" s="58">
        <f t="shared" ca="1" si="23"/>
        <v>0</v>
      </c>
    </row>
    <row r="28" spans="1:157" x14ac:dyDescent="0.3">
      <c r="J28">
        <f>IFERROR('NWGC - SCENARIOS'!B35,0)</f>
        <v>73</v>
      </c>
      <c r="K28">
        <f>IFERROR('NWGC - SCENARIOS'!C35,0)</f>
        <v>2049</v>
      </c>
      <c r="L28" s="449">
        <f ca="1">IF(('NWGC - SCENARIOS'!G35-working!G26)&gt;'NWGC - SCENARIOS'!H35,'NWGC - SCENARIOS'!G35-'NWGC - SCENARIOS'!H35-working!G26,0)</f>
        <v>0</v>
      </c>
      <c r="M28" s="449">
        <f ca="1">IF(('NWGC - SCENARIOS'!G35-working!G26)&gt;'NWGC - SCENARIOS'!H35,0,'NWGC - SCENARIOS'!H35-'NWGC - SCENARIOS'!G35+working!G26)</f>
        <v>14254861.777288727</v>
      </c>
      <c r="N28" s="58">
        <f t="shared" ca="1" si="0"/>
        <v>557679550.59555471</v>
      </c>
      <c r="O28" s="58">
        <f t="shared" ca="1" si="1"/>
        <v>68300671.379404917</v>
      </c>
      <c r="P28" s="58">
        <f t="shared" ca="1" si="24"/>
        <v>0</v>
      </c>
      <c r="Q28" s="58">
        <f ca="1">(VLOOKUP(P$2,$B$1:$F$32,5,0)*$L28)+(VLOOKUP($K28,'Withdrawal Working'!$AD:$AE,2,0)*(IFERROR(VLOOKUP(P$2,$B$35:$C$42,2,0),0)))</f>
        <v>0</v>
      </c>
      <c r="R28" s="58">
        <f>IFERROR(IF($K28&lt;VLOOKUP(P$2,$B:$H,7,0),IF(T$3=1,MIN($M28,P28),IF(HLOOKUP(CONCATENATE("Balance",T$3-1),'Withdrawal Working'!$A$2:$CD$78,MATCH('Yoy WAR OG'!$J28,'Withdrawal Working'!$A$2:$A$78,0),FALSE)&gt;0,MIN(HLOOKUP(CONCATENATE("Balance",T$3-1),'Withdrawal Working'!$A$2:$CD$78,MATCH('Yoy WAR OG'!$J28,'Withdrawal Working'!$A$2:$A$78,0),0),P28),0)),IF($K28=VLOOKUP(P$2,$B:$H,7,0),P28,)),0)</f>
        <v>0</v>
      </c>
      <c r="S28" s="58">
        <f t="shared" ca="1" si="26"/>
        <v>0</v>
      </c>
      <c r="T28" s="58"/>
      <c r="V28" s="58">
        <f t="shared" ca="1" si="27"/>
        <v>0</v>
      </c>
      <c r="W28" s="58">
        <f ca="1">(VLOOKUP(V$2,$B$1:$F$32,5,0)*$L28)+(VLOOKUP($K28,'Withdrawal Working'!$AD:$AE,2,0)*(IFERROR(VLOOKUP(V$2,$B$35:$C$42,2,0),0)))</f>
        <v>0</v>
      </c>
      <c r="X28" s="58">
        <f>IFERROR(IF($K28&lt;VLOOKUP(V$2,$B:$H,7,0),IF(Z$3=1,MIN($M28,V28),IF(HLOOKUP(CONCATENATE("Balance",Z$3-1),'Withdrawal Working'!$A$2:$CD$78,MATCH('Yoy WAR OG'!$J28,'Withdrawal Working'!$A$2:$A$78,0),FALSE)&gt;0,MIN(HLOOKUP(CONCATENATE("Balance",Z$3-1),'Withdrawal Working'!$A$2:$CD$78,MATCH('Yoy WAR OG'!$J28,'Withdrawal Working'!$A$2:$A$78,0),0),V28),0)),IF($K28=VLOOKUP(V$2,$B:$H,7,0),V28,)),0)</f>
        <v>0</v>
      </c>
      <c r="Y28" s="58">
        <f t="shared" ca="1" si="2"/>
        <v>0</v>
      </c>
      <c r="AB28" s="58">
        <f t="shared" ca="1" si="28"/>
        <v>0</v>
      </c>
      <c r="AC28" s="58">
        <f ca="1">(VLOOKUP(AB$2,$B$1:$F$32,5,0)*$L28)+(VLOOKUP($K28,'Withdrawal Working'!$AD:$AE,2,0)*(IFERROR(VLOOKUP(AB$2,$B$35:$C$42,2,0),0)))</f>
        <v>0</v>
      </c>
      <c r="AD28" s="58">
        <f>IFERROR(IF($K28&lt;VLOOKUP(AB$2,$B:$H,7,0),IF(AF$3=1,MIN($M28,AB28),IF(HLOOKUP(CONCATENATE("Balance",AF$3-1),'Withdrawal Working'!$A$2:$CD$78,MATCH('Yoy WAR OG'!$J28,'Withdrawal Working'!$A$2:$A$78,0),FALSE)&gt;0,MIN(HLOOKUP(CONCATENATE("Balance",AF$3-1),'Withdrawal Working'!$A$2:$CD$78,MATCH('Yoy WAR OG'!$J28,'Withdrawal Working'!$A$2:$A$78,0),0),AB28),0)),IF($K28=VLOOKUP(AB$2,$B:$H,7,0),AB28,)),0)</f>
        <v>0</v>
      </c>
      <c r="AE28" s="58">
        <f t="shared" ca="1" si="3"/>
        <v>0</v>
      </c>
      <c r="AH28" s="58">
        <f t="shared" ca="1" si="29"/>
        <v>235359788.38567787</v>
      </c>
      <c r="AI28" s="58">
        <f ca="1">(VLOOKUP(AH$2,$B$1:$F$32,5,0)*$L28)+IF(J28&gt;'NWGC - SCENARIOS'!$D$7,0,(VLOOKUP($K28,'Withdrawal Working'!$AD:$AE,2,0)*(IFERROR(VLOOKUP(AH$2,$B$35:$C$42,2,0),0))))</f>
        <v>0</v>
      </c>
      <c r="AJ28" s="58">
        <f ca="1">IFERROR(IF($J28&gt;'NWGC - SCENARIOS'!$D$7,MIN('Yoy WAR OG'!AH28,VLOOKUP('Yoy WAR OG'!$J28,'Withdrawal Working'!BC:BD,2,0)),IF(AL$3=1,$M28,IF(HLOOKUP(CONCATENATE("Balance",AL$3-1),'Withdrawal Working'!$A$2:$CD$78,MATCH('Yoy WAR OG'!$J28,'Withdrawal Working'!$A$2:$A$78,0),FALSE)&gt;0,MIN(HLOOKUP(CONCATENATE("Balance",AL$3-1),'Withdrawal Working'!$A$2:$CD$78,MATCH('Yoy WAR OG'!$J28,'Withdrawal Working'!$A$2:$A$78,0),0),AH28),0))),0)</f>
        <v>16640848.377029575</v>
      </c>
      <c r="AK28" s="58">
        <f t="shared" ca="1" si="4"/>
        <v>242778023.40959963</v>
      </c>
      <c r="AN28" s="450">
        <f t="shared" ca="1" si="30"/>
        <v>296098873.29215974</v>
      </c>
      <c r="AO28" s="58">
        <f ca="1">IF(J28&gt;'NWGC - SCENARIOS'!$D$7,(IF(AJ28=0,0,'Yoy WAR OG'!AJ28)+(VLOOKUP(AN$2,$B$1:$F$32,5,0)*$L28)),(VLOOKUP(AN$2,$B$1:$F$32,5,0)*$L28)+(VLOOKUP($K28,'Withdrawal Working'!$AD:$AE,2,0)*(IFERROR(VLOOKUP(AN$2,$B$35:$C$42,2,0),0))))</f>
        <v>16640848.377029575</v>
      </c>
      <c r="AP28" s="470">
        <f ca="1">IFERROR(IF($K28&lt;&gt;VLOOKUP(AN$2,$B:$H,7,0),IF(AR$3=1,MIN($M28,AN28),IF(HLOOKUP(CONCATENATE("Balance",AR$3-1),'Withdrawal Working'!$A$2:$CD$78,MATCH('Yoy WAR OG'!$J28,'Withdrawal Working'!$A$2:$A$78,0),FALSE)&gt;0,MIN(HLOOKUP(CONCATENATE("Balance",AR$3-1),'Withdrawal Working'!$A$2:$CD$78,MATCH('Yoy WAR OG'!$J28,'Withdrawal Working'!$A$2:$A$78,0),0),AN28),0)),IF($K28=VLOOKUP(AN$2,$B:$H,7,0),AN28,)),0)</f>
        <v>14254861.777288727</v>
      </c>
      <c r="AQ28" s="58">
        <f ca="1">IF(AO28&lt;0,0,IF(J28&gt;'NWGC - SCENARIOS'!$D$7,((AN28-AP28+AO28)*(1+(IFERROR(VLOOKUP(AN$2,$B:$D,3,0),0)))),((AN28-AP28)*(1+(IFERROR(VLOOKUP(AN$2,$B:$D,3,0),0))))+AO28))</f>
        <v>314901527.18595511</v>
      </c>
      <c r="AT28" s="450">
        <f t="shared" ca="1" si="31"/>
        <v>0</v>
      </c>
      <c r="AU28" s="58">
        <f ca="1">(VLOOKUP(AT$2,$B$1:$F$32,5,0)*$L28)+(VLOOKUP($K28,'Withdrawal Working'!$AD:$AE,2,0)*(IFERROR(VLOOKUP(AT$2,$B$35:$C$42,2,0),0)))</f>
        <v>0</v>
      </c>
      <c r="AV28" s="58">
        <f>IFERROR(IF($K28&lt;VLOOKUP(AT$2,$B:$H,7,0),IF(AX$3=1,MIN($M28,AT28),IF(HLOOKUP(CONCATENATE("Balance",AX$3-1),'Withdrawal Working'!$A$2:$CD$78,MATCH('Yoy WAR OG'!$J28,'Withdrawal Working'!$A$2:$A$78,0),FALSE)&gt;0,MIN(HLOOKUP(CONCATENATE("Balance",AX$3-1),'Withdrawal Working'!$A$2:$CD$78,MATCH('Yoy WAR OG'!$J28,'Withdrawal Working'!$A$2:$A$78,0),0),AT28),0)),IF($K28=VLOOKUP(AT$2,$B:$H,7,0),AT28,)),0)</f>
        <v>0</v>
      </c>
      <c r="AW28" s="58">
        <f t="shared" ca="1" si="5"/>
        <v>0</v>
      </c>
      <c r="AZ28" s="450">
        <f t="shared" ca="1" si="32"/>
        <v>20289467.813543536</v>
      </c>
      <c r="BA28" s="58">
        <f ca="1">(VLOOKUP(AZ$2,$B$1:$F$32,5,0)*$L28)+(VLOOKUP($K28,'Withdrawal Working'!$AD:$AE,2,0)*(IFERROR(VLOOKUP(AZ$2,$B$35:$C$42,2,0),0)))</f>
        <v>0</v>
      </c>
      <c r="BB28" s="58">
        <f>IFERROR(IF($K28&lt;VLOOKUP(AZ$2,$B:$H,7,0),IF(BD$3=1,MIN($M28,AZ28),IF(HLOOKUP(CONCATENATE("Balance",BD$3-1),'Withdrawal Working'!$A$2:$CD$78,MATCH('Yoy WAR OG'!$J28,'Withdrawal Working'!$A$2:$A$78,0),FALSE)&gt;0,MIN(HLOOKUP(CONCATENATE("Balance",BD$3-1),'Withdrawal Working'!$A$2:$CD$78,MATCH('Yoy WAR OG'!$J28,'Withdrawal Working'!$A$2:$A$78,0),0),AZ28),0)),IF($K28=VLOOKUP(AZ$2,$B:$H,7,0),AZ28,)),0)</f>
        <v>0</v>
      </c>
      <c r="BC28" s="58">
        <f t="shared" ca="1" si="6"/>
        <v>21709730.560491584</v>
      </c>
      <c r="BF28" s="450">
        <f t="shared" ca="1" si="33"/>
        <v>0</v>
      </c>
      <c r="BG28" s="58">
        <f ca="1">(VLOOKUP(BF$2,$B$1:$F$32,5,0)*$L28)+(VLOOKUP($K28,'Withdrawal Working'!$AD:$AE,2,0)*(IFERROR(VLOOKUP(BF$2,$B$35:$C$42,2,0),0)))</f>
        <v>0</v>
      </c>
      <c r="BH28" s="58">
        <f>IFERROR(IF($K28&lt;VLOOKUP(BF$2,$B:$H,7,0),IF(BJ$3=1,MIN($M28,BF28),IF(HLOOKUP(CONCATENATE("Balance",BJ$3-1),'Withdrawal Working'!$A$2:$CD$78,MATCH('Yoy WAR OG'!$J28,'Withdrawal Working'!$A$2:$A$78,0),FALSE)&gt;0,MIN(HLOOKUP(CONCATENATE("Balance",BJ$3-1),'Withdrawal Working'!$A$2:$CD$78,MATCH('Yoy WAR OG'!$J28,'Withdrawal Working'!$A$2:$A$78,0),0),BF28),0)),IF($K28=VLOOKUP(BF$2,$B:$H,7,0),BF28,)),0)</f>
        <v>0</v>
      </c>
      <c r="BI28" s="58">
        <f t="shared" ca="1" si="7"/>
        <v>0</v>
      </c>
      <c r="BL28" s="450">
        <f t="shared" ca="1" si="34"/>
        <v>0</v>
      </c>
      <c r="BM28" s="58">
        <f ca="1">(VLOOKUP(BL$2,$B$1:$F$32,5,0)*$L28)+(VLOOKUP($K28,'Withdrawal Working'!$AD:$AE,2,0)*(IFERROR(VLOOKUP(BL$2,$B$35:$C$42,2,0),0)))</f>
        <v>0</v>
      </c>
      <c r="BN28" s="58">
        <f>IFERROR(IF($K28&lt;VLOOKUP(BL$2,$B:$H,7,0),IF(BP$3=1,MIN($M28,BL28),IF(HLOOKUP(CONCATENATE("Balance",BP$3-1),'Withdrawal Working'!$A$2:$CD$78,MATCH('Yoy WAR OG'!$J28,'Withdrawal Working'!$A$2:$A$78,0),FALSE)&gt;0,MIN(HLOOKUP(CONCATENATE("Balance",BP$3-1),'Withdrawal Working'!$A$2:$CD$78,MATCH('Yoy WAR OG'!$J28,'Withdrawal Working'!$A$2:$A$78,0),0),BL28),0)),IF($K28=VLOOKUP(BL$2,$B:$H,7,0),BL28,)),0)</f>
        <v>0</v>
      </c>
      <c r="BO28" s="58">
        <f t="shared" ca="1" si="8"/>
        <v>0</v>
      </c>
      <c r="BR28" s="450">
        <f t="shared" ca="1" si="35"/>
        <v>0</v>
      </c>
      <c r="BS28" s="58">
        <f ca="1">(VLOOKUP(BR$2,$B$1:$F$32,5,0)*$L28)+(VLOOKUP($K28,'Withdrawal Working'!$AD:$AE,2,0)*(IFERROR(VLOOKUP(BR$2,$B$35:$C$42,2,0),0)))</f>
        <v>0</v>
      </c>
      <c r="BT28" s="58">
        <f>IFERROR(IF($K28&lt;VLOOKUP(BR$2,$B:$H,7,0),IF(BV$3=1,MIN($M28,BR28),IF(HLOOKUP(CONCATENATE("Balance",BV$3-1),'Withdrawal Working'!$A$2:$CD$78,MATCH('Yoy WAR OG'!$J28,'Withdrawal Working'!$A$2:$A$78,0),FALSE)&gt;0,MIN(HLOOKUP(CONCATENATE("Balance",BV$3-1),'Withdrawal Working'!$A$2:$CD$78,MATCH('Yoy WAR OG'!$J28,'Withdrawal Working'!$A$2:$A$78,0),0),BR28),0)),IF($K28=VLOOKUP(BR$2,$B:$H,7,0),BR28,)),0)</f>
        <v>0</v>
      </c>
      <c r="BU28" s="58">
        <f t="shared" ca="1" si="9"/>
        <v>0</v>
      </c>
      <c r="BX28" s="450">
        <f t="shared" ca="1" si="36"/>
        <v>0</v>
      </c>
      <c r="BY28" s="58">
        <f ca="1">(VLOOKUP(BX$2,$B$1:$F$32,5,0)*$L28)+(VLOOKUP($K28,'Withdrawal Working'!$AD:$AE,2,0)*(IFERROR(VLOOKUP(BX$2,$B$35:$C$42,2,0),0)))</f>
        <v>0</v>
      </c>
      <c r="BZ28" s="58">
        <f>IFERROR(IF($K28&lt;VLOOKUP(BX$2,$B:$H,7,0),IF(CB$3=1,MIN($M28,BX28),IF(HLOOKUP(CONCATENATE("Balance",CB$3-1),'Withdrawal Working'!$A$2:$CD$78,MATCH('Yoy WAR OG'!$J28,'Withdrawal Working'!$A$2:$A$78,0),FALSE)&gt;0,MIN(HLOOKUP(CONCATENATE("Balance",CB$3-1),'Withdrawal Working'!$A$2:$CD$78,MATCH('Yoy WAR OG'!$J28,'Withdrawal Working'!$A$2:$A$78,0),0),BX28),0)),IF($K28=VLOOKUP(BX$2,$B:$H,7,0),BX28,)),0)</f>
        <v>0</v>
      </c>
      <c r="CA28" s="58">
        <f t="shared" ca="1" si="10"/>
        <v>0</v>
      </c>
      <c r="CD28" s="450">
        <f t="shared" ca="1" si="37"/>
        <v>37014615.01617948</v>
      </c>
      <c r="CE28" s="58">
        <f ca="1">(VLOOKUP(CD$2,$B$1:$F$32,5,0)*$L28)+(VLOOKUP($K28,'Withdrawal Working'!$AD:$AE,2,0)*(IFERROR(VLOOKUP(CD$2,$B$35:$C$42,2,0),0)))+SUMIFS('Key Life Events'!$I$3:$I$28,'Key Life Events'!$H$3:$H$28,"House",'Key Life Events'!$E$3:$E$28,'Yoy WAR OG'!K28)</f>
        <v>0</v>
      </c>
      <c r="CF28" s="58">
        <f>IFERROR(IF($K28&lt;VLOOKUP(CD$2,$B:$H,7,0),IF(CH$3=1,MIN($M28,CD28),IF(HLOOKUP(CONCATENATE("Balance",CH$3-1),'Withdrawal Working'!$A$2:$CD$78,MATCH('Yoy WAR OG'!$J28,'Withdrawal Working'!$A$2:$A$78,0),FALSE)&gt;0,MIN(HLOOKUP(CONCATENATE("Balance",CH$3-1),'Withdrawal Working'!$A$2:$CD$78,MATCH('Yoy WAR OG'!$J28,'Withdrawal Working'!$A$2:$A$78,0),0),CD28),0)),IF($K28=VLOOKUP(CD$2,$B:$H,7,0),CD28,)),0)</f>
        <v>0</v>
      </c>
      <c r="CG28" s="58">
        <f t="shared" ca="1" si="11"/>
        <v>38125053.466664866</v>
      </c>
      <c r="CJ28" s="450">
        <f t="shared" ca="1" si="38"/>
        <v>0</v>
      </c>
      <c r="CK28" s="58">
        <f ca="1">(VLOOKUP(CJ$2,$B$1:$F$32,5,0)*$L28)+(VLOOKUP($K28,'Withdrawal Working'!$AD:$AE,2,0)*(IFERROR(VLOOKUP(CJ$2,$B$35:$C$42,2,0),0)))+SUMIFS('Key Life Events'!$I$3:$I$28,'Key Life Events'!$H$3:$H$28,"House2",'Key Life Events'!$E$3:$E$28,'Yoy WAR OG'!K28)</f>
        <v>0</v>
      </c>
      <c r="CL28" s="58">
        <f ca="1">IF(IFERROR(IF($K28&lt;&gt;VLOOKUP(CJ$2,$B:$H,7,0),IF(CN$3=1,MIN($M28,CJ28),IF(HLOOKUP(CONCATENATE("Balance",CN$3-1),'Withdrawal Working'!$A$2:$CD$78,MATCH('Yoy WAR OG'!$J28,'Withdrawal Working'!$A$2:$A$78,0),FALSE)&gt;0,MIN(HLOOKUP(CONCATENATE("Balance",CN$3-1),'Withdrawal Working'!$A$2:$CD$78,MATCH('Yoy WAR OG'!$J28,'Withdrawal Working'!$A$2:$A$78,0),0),CJ28),0)),IF($K28=VLOOKUP(CJ$2,$B:$H,7,0),CJ28,)),0)&gt;0,CJ28,0)</f>
        <v>0</v>
      </c>
      <c r="CM28" s="58">
        <f t="shared" ca="1" si="12"/>
        <v>0</v>
      </c>
      <c r="CP28" s="450">
        <f t="shared" ca="1" si="39"/>
        <v>8062749.8592842566</v>
      </c>
      <c r="CQ28" s="58">
        <f ca="1">(VLOOKUP(CP$2,$B$1:$F$32,5,0)*$L28)+(VLOOKUP($K28,'Withdrawal Working'!$AD:$AE,2,0)*(IFERROR(VLOOKUP(CP$2,$B$35:$C$42,2,0),0)))+SUMIFS('Key Life Events'!$I$3:$I$28,'Key Life Events'!$H$3:$H$28,"Land",'Key Life Events'!$E$3:$E$28,'Yoy WAR OG'!K28)</f>
        <v>0</v>
      </c>
      <c r="CR28" s="58">
        <f>IFERROR(IF($K28&lt;VLOOKUP(CP$2,$B:$H,7,0),IF(CT$3=1,MIN($M28,CP28),IF(HLOOKUP(CONCATENATE("Balance",CT$3-1),'Withdrawal Working'!$A$2:$CD$78,MATCH('Yoy WAR OG'!$J28,'Withdrawal Working'!$A$2:$A$78,0),FALSE)&gt;0,MIN(HLOOKUP(CONCATENATE("Balance",CT$3-1),'Withdrawal Working'!$A$2:$CD$78,MATCH('Yoy WAR OG'!$J28,'Withdrawal Working'!$A$2:$A$78,0),0),CP28),0)),IF($K28=VLOOKUP(CP$2,$B:$H,7,0),CP28,)),0)</f>
        <v>0</v>
      </c>
      <c r="CS28" s="58">
        <f t="shared" ca="1" si="13"/>
        <v>8465887.3522484694</v>
      </c>
      <c r="CV28" s="450">
        <f t="shared" ca="1" si="40"/>
        <v>0</v>
      </c>
      <c r="CW28" s="58"/>
      <c r="CX28" s="58">
        <f>IFERROR(IF($K28&lt;VLOOKUP(CV$2,$B:$H,7,0),IF(CZ$3=1,MIN($M28,CV28),IF(HLOOKUP(CONCATENATE("Balance",CZ$3-1),'Withdrawal Working'!$A$2:$CD$78,MATCH('Yoy WAR OG'!$J28,'Withdrawal Working'!$A$2:$A$78,0),FALSE)&gt;0,MIN(HLOOKUP(CONCATENATE("Balance",CZ$3-1),'Withdrawal Working'!$A$2:$CD$78,MATCH('Yoy WAR OG'!$J28,'Withdrawal Working'!$A$2:$A$78,0),0),CV28),0)),IF($K28=VLOOKUP(CV$2,$B:$H,7,0),CV28,)),0)</f>
        <v>0</v>
      </c>
      <c r="CY28" s="58">
        <f t="shared" ca="1" si="14"/>
        <v>0</v>
      </c>
      <c r="DB28" s="450">
        <f t="shared" ca="1" si="41"/>
        <v>0</v>
      </c>
      <c r="DC28" s="58">
        <f ca="1">(VLOOKUP(DB$2,$B$1:$F$32,5,0)*$L28)+(VLOOKUP($K28,'Withdrawal Working'!$AD:$AE,2,0)*(IFERROR(VLOOKUP(DB$2,$B$35:$C$42,2,0),0)))</f>
        <v>0</v>
      </c>
      <c r="DD28" s="58">
        <f>IFERROR(IF($K28&lt;VLOOKUP(DB$2,$B:$H,7,0),IF(DF$3=1,MIN($M28,DB28),IF(HLOOKUP(CONCATENATE("Balance",DF$3-1),'Withdrawal Working'!$A$2:$CD$78,MATCH('Yoy WAR OG'!$J28,'Withdrawal Working'!$A$2:$A$78,0),FALSE)&gt;0,MIN(HLOOKUP(CONCATENATE("Balance",DF$3-1),'Withdrawal Working'!$A$2:$CD$78,MATCH('Yoy WAR OG'!$J28,'Withdrawal Working'!$A$2:$A$78,0),0),DB28),0)),IF($K28=VLOOKUP(DB$2,$B:$H,7,0),DB28,)),0)</f>
        <v>0</v>
      </c>
      <c r="DE28" s="58">
        <f t="shared" ca="1" si="15"/>
        <v>0</v>
      </c>
      <c r="DH28" s="450">
        <f t="shared" ca="1" si="42"/>
        <v>0</v>
      </c>
      <c r="DI28" s="58">
        <f>IF(OR(J28&gt;'NWGC - SCENARIOS'!$D$7,J28='NWGC - SCENARIOS'!$D$7),0,DI27*(1+'NWGC - SCENARIOS'!$L$5))</f>
        <v>0</v>
      </c>
      <c r="DJ28" s="58">
        <f>IFERROR(IF($K28&lt;VLOOKUP(DH$2,$B:$H,7,0),IF(DL$3=1,MIN($M28,DH28),IF(HLOOKUP(CONCATENATE("Balance",DL$3-1),'Withdrawal Working'!$A$2:$CD$78,MATCH('Yoy WAR OG'!$J28,'Withdrawal Working'!$A$2:$A$78,0),FALSE)&gt;0,MIN(HLOOKUP(CONCATENATE("Balance",DL$3-1),'Withdrawal Working'!$A$2:$CD$78,MATCH('Yoy WAR OG'!$J28,'Withdrawal Working'!$A$2:$A$78,0),0),DH28),0)),IF($K28=VLOOKUP(DH$2,$B:$H,7,0),DH28,)),0)</f>
        <v>0</v>
      </c>
      <c r="DK28" s="58">
        <f t="shared" ca="1" si="16"/>
        <v>0</v>
      </c>
      <c r="DN28" s="450">
        <f t="shared" ca="1" si="43"/>
        <v>0</v>
      </c>
      <c r="DO28" s="58">
        <f ca="1">(VLOOKUP(DN$2,$B$1:$F$32,5,0)*$L28)+(VLOOKUP($K28,'Withdrawal Working'!$AD:$AE,2,0)*(IFERROR(VLOOKUP(DN$2,$B$35:$C$42,2,0),0)))</f>
        <v>0</v>
      </c>
      <c r="DP28" s="58">
        <f>IFERROR(IF($K28&lt;VLOOKUP(DN$2,$B:$H,7,0),IF(DR$3=1,MIN($M28,DN28),IF(HLOOKUP(CONCATENATE("Balance",DR$3-1),'Withdrawal Working'!$A$2:$CD$78,MATCH('Yoy WAR OG'!$J28,'Withdrawal Working'!$A$2:$A$78,0),FALSE)&gt;0,MIN(HLOOKUP(CONCATENATE("Balance",DR$3-1),'Withdrawal Working'!$A$2:$CD$78,MATCH('Yoy WAR OG'!$J28,'Withdrawal Working'!$A$2:$A$78,0),0),DN28),0)),IF($K28=VLOOKUP(DN$2,$B:$H,7,0),DN28,)),0)</f>
        <v>0</v>
      </c>
      <c r="DQ28" s="58">
        <f t="shared" ca="1" si="17"/>
        <v>0</v>
      </c>
      <c r="DT28" s="450">
        <f t="shared" ca="1" si="44"/>
        <v>0</v>
      </c>
      <c r="DU28" s="58">
        <f ca="1">(VLOOKUP(DT$2,$B$1:$F$32,5,0)*$L28)+(VLOOKUP($K28,'Withdrawal Working'!$AD:$AE,2,0)*(IFERROR(VLOOKUP(DT$2,$B$35:$C$42,2,0),0)))</f>
        <v>0</v>
      </c>
      <c r="DV28" s="58">
        <f>IFERROR(IF($K28&lt;VLOOKUP(DT$2,$B:$H,7,0),IF(DX$3=1,MIN($M28,DT28),IF(HLOOKUP(CONCATENATE("Balance",DX$3-1),'Withdrawal Working'!$A$2:$CD$78,MATCH('Yoy WAR OG'!$J28,'Withdrawal Working'!$A$2:$A$78,0),FALSE)&gt;0,MIN(HLOOKUP(CONCATENATE("Balance",DX$3-1),'Withdrawal Working'!$A$2:$CD$78,MATCH('Yoy WAR OG'!$J28,'Withdrawal Working'!$A$2:$A$78,0),0),DT28),0)),IF($K28=VLOOKUP(DT$2,$B:$H,7,0),DT28,)),0)</f>
        <v>0</v>
      </c>
      <c r="DW28" s="58">
        <f t="shared" ca="1" si="18"/>
        <v>0</v>
      </c>
      <c r="DZ28" s="450">
        <f t="shared" ca="1" si="45"/>
        <v>0</v>
      </c>
      <c r="EA28" s="58">
        <f ca="1">(VLOOKUP(DZ$2,$B$1:$F$32,5,0)*$L28)+(VLOOKUP($K28,'Withdrawal Working'!$AD:$AE,2,0)*(IFERROR(VLOOKUP(DZ$2,$B$35:$C$42,2,0),0)))</f>
        <v>0</v>
      </c>
      <c r="EB28" s="58">
        <f>IFERROR(IF($K28&lt;VLOOKUP(DZ$2,$B:$H,7,0),IF(ED$3=1,MIN($M28,DZ28),IF(HLOOKUP(CONCATENATE("Balance",ED$3-1),'Withdrawal Working'!$A$2:$CD$78,MATCH('Yoy WAR OG'!$J28,'Withdrawal Working'!$A$2:$A$78,0),FALSE)&gt;0,MIN(HLOOKUP(CONCATENATE("Balance",ED$3-1),'Withdrawal Working'!$A$2:$CD$78,MATCH('Yoy WAR OG'!$J28,'Withdrawal Working'!$A$2:$A$78,0),0),DZ28),0)),IF($K28=VLOOKUP(DZ$2,$B:$H,7,0),DZ28,)),0)</f>
        <v>0</v>
      </c>
      <c r="EC28" s="58">
        <f t="shared" ca="1" si="19"/>
        <v>0</v>
      </c>
      <c r="EF28" s="450">
        <f t="shared" ca="1" si="46"/>
        <v>0</v>
      </c>
      <c r="EG28" s="58">
        <f ca="1">(VLOOKUP(EF$2,$B$1:$F$32,5,0)*$L28)+(VLOOKUP($K28,'Withdrawal Working'!$AD:$AE,2,0)*(IFERROR(VLOOKUP(EF$2,$B$35:$C$42,2,0),0)))</f>
        <v>0</v>
      </c>
      <c r="EH28" s="58">
        <f>IFERROR(IF($K28&lt;VLOOKUP(EF$2,$B:$H,7,0),IF(EJ$3=1,MIN($M28,EF28),IF(HLOOKUP(CONCATENATE("Balance",EJ$3-1),'Withdrawal Working'!$A$2:$CD$78,MATCH('Yoy WAR OG'!$J28,'Withdrawal Working'!$A$2:$A$78,0),FALSE)&gt;0,MIN(HLOOKUP(CONCATENATE("Balance",EJ$3-1),'Withdrawal Working'!$A$2:$CD$78,MATCH('Yoy WAR OG'!$J28,'Withdrawal Working'!$A$2:$A$78,0),0),EF28),0)),IF($K28=VLOOKUP(EF$2,$B:$H,7,0),EF28,)),0)</f>
        <v>0</v>
      </c>
      <c r="EI28" s="58">
        <f t="shared" ca="1" si="20"/>
        <v>0</v>
      </c>
      <c r="EL28" s="450">
        <f t="shared" ca="1" si="47"/>
        <v>0</v>
      </c>
      <c r="EM28" s="58">
        <f>IF(OR($J28&gt;'NWGC - SCENARIOS'!$D$7,$J28='NWGC - SCENARIOS'!$D$7),0,EM27)</f>
        <v>0</v>
      </c>
      <c r="EN28" s="58">
        <f>IFERROR(IF($K28&lt;VLOOKUP(EL$2,$B:$H,7,0),IF(EP$3=1,MIN($M28,EL28),IF(HLOOKUP(CONCATENATE("Balance",EP$3-1),'Withdrawal Working'!$A$2:$CD$78,MATCH('Yoy WAR OG'!$J28,'Withdrawal Working'!$A$2:$A$78,0),FALSE)&gt;0,MIN(HLOOKUP(CONCATENATE("Balance",EP$3-1),'Withdrawal Working'!$A$2:$CD$78,MATCH('Yoy WAR OG'!$J28,'Withdrawal Working'!$A$2:$A$78,0),0),EL28),0)),IF($K28=VLOOKUP(EL$2,$B:$H,7,0),EL28,)),0)</f>
        <v>0</v>
      </c>
      <c r="EO28" s="58">
        <f t="shared" ca="1" si="21"/>
        <v>0</v>
      </c>
      <c r="ER28" s="450">
        <f t="shared" ca="1" si="48"/>
        <v>0</v>
      </c>
      <c r="ES28" s="58">
        <f>IF(OR(J28&gt;'NWGC - SCENARIOS'!$D$7,J28='NWGC - SCENARIOS'!$D$7),0,ES27*(1+'NWGC - SCENARIOS'!$L$5))</f>
        <v>0</v>
      </c>
      <c r="ET28" s="58">
        <f>IFERROR(IF($K28&lt;VLOOKUP(ER$2,$B:$H,7,0),IF(EV$3=1,MIN($M28,ER28),IF(HLOOKUP(CONCATENATE("Balance",EV$3-1),'Withdrawal Working'!$A$2:$CD$78,MATCH('Yoy WAR OG'!$J28,'Withdrawal Working'!$A$2:$A$78,0),FALSE)&gt;0,MIN(HLOOKUP(CONCATENATE("Balance",EV$3-1),'Withdrawal Working'!$A$2:$CD$78,MATCH('Yoy WAR OG'!$J28,'Withdrawal Working'!$A$2:$A$78,0),0),ER28),0)),IF($K28=VLOOKUP(ER$2,$B:$H,7,0),ER28,)),0)</f>
        <v>0</v>
      </c>
      <c r="EU28" s="58">
        <f t="shared" ca="1" si="22"/>
        <v>0</v>
      </c>
      <c r="EX28" s="450">
        <f t="shared" ca="1" si="49"/>
        <v>0</v>
      </c>
      <c r="EY28" s="58">
        <f>IF(OR(J28&gt;'NWGC - SCENARIOS'!$D$7,J28='NWGC - SCENARIOS'!$D$7),0,EY27)</f>
        <v>0</v>
      </c>
      <c r="EZ28" s="58">
        <f>IFERROR(IF($K28&lt;VLOOKUP(EX$2,$B:$H,7,0),IF(FB$3=1,MIN($M28,EX28),IF(HLOOKUP(CONCATENATE("Balance",FB$3-1),'Withdrawal Working'!$A$2:$CD$78,MATCH('Yoy WAR OG'!$J28,'Withdrawal Working'!$A$2:$A$78,0),FALSE)&gt;0,MIN(HLOOKUP(CONCATENATE("Balance",FB$3-1),'Withdrawal Working'!$A$2:$CD$78,MATCH('Yoy WAR OG'!$J28,'Withdrawal Working'!$A$2:$A$78,0),0),EX28),0)),IF($K28=VLOOKUP(EX$2,$B:$H,7,0),EX28,)),0)</f>
        <v>0</v>
      </c>
      <c r="FA28" s="58">
        <f t="shared" ca="1" si="23"/>
        <v>0</v>
      </c>
    </row>
    <row r="29" spans="1:157" x14ac:dyDescent="0.3">
      <c r="J29">
        <f>IFERROR('NWGC - SCENARIOS'!B36,0)</f>
        <v>74</v>
      </c>
      <c r="K29">
        <f>IFERROR('NWGC - SCENARIOS'!C36,0)</f>
        <v>2050</v>
      </c>
      <c r="L29" s="449">
        <f ca="1">IF(('NWGC - SCENARIOS'!G36-working!G27)&gt;'NWGC - SCENARIOS'!H36,'NWGC - SCENARIOS'!G36-'NWGC - SCENARIOS'!H36-working!G27,0)</f>
        <v>0</v>
      </c>
      <c r="M29" s="449">
        <f ca="1">IF(('NWGC - SCENARIOS'!G36-working!G27)&gt;'NWGC - SCENARIOS'!H36,0,'NWGC - SCENARIOS'!H36-'NWGC - SCENARIOS'!G36+working!G27)</f>
        <v>15401970.719471829</v>
      </c>
      <c r="N29" s="58">
        <f t="shared" ca="1" si="0"/>
        <v>584466802.0632</v>
      </c>
      <c r="O29" s="58">
        <f t="shared" ca="1" si="1"/>
        <v>71387398.490251705</v>
      </c>
      <c r="P29" s="58">
        <f t="shared" ca="1" si="24"/>
        <v>0</v>
      </c>
      <c r="Q29" s="58">
        <f ca="1">(VLOOKUP(P$2,$B$1:$F$32,5,0)*$L29)+(VLOOKUP($K29,'Withdrawal Working'!$AD:$AE,2,0)*(IFERROR(VLOOKUP(P$2,$B$35:$C$42,2,0),0)))</f>
        <v>0</v>
      </c>
      <c r="R29" s="58">
        <f>IFERROR(IF($K29&lt;VLOOKUP(P$2,$B:$H,7,0),IF(T$3=1,MIN($M29,P29),IF(HLOOKUP(CONCATENATE("Balance",T$3-1),'Withdrawal Working'!$A$2:$CD$78,MATCH('Yoy WAR OG'!$J29,'Withdrawal Working'!$A$2:$A$78,0),FALSE)&gt;0,MIN(HLOOKUP(CONCATENATE("Balance",T$3-1),'Withdrawal Working'!$A$2:$CD$78,MATCH('Yoy WAR OG'!$J29,'Withdrawal Working'!$A$2:$A$78,0),0),P29),0)),IF($K29=VLOOKUP(P$2,$B:$H,7,0),P29,)),0)</f>
        <v>0</v>
      </c>
      <c r="S29" s="58">
        <f t="shared" ca="1" si="26"/>
        <v>0</v>
      </c>
      <c r="T29" s="58"/>
      <c r="V29" s="58">
        <f t="shared" ca="1" si="27"/>
        <v>0</v>
      </c>
      <c r="W29" s="58">
        <f ca="1">(VLOOKUP(V$2,$B$1:$F$32,5,0)*$L29)+(VLOOKUP($K29,'Withdrawal Working'!$AD:$AE,2,0)*(IFERROR(VLOOKUP(V$2,$B$35:$C$42,2,0),0)))</f>
        <v>0</v>
      </c>
      <c r="X29" s="58">
        <f>IFERROR(IF($K29&lt;VLOOKUP(V$2,$B:$H,7,0),IF(Z$3=1,MIN($M29,V29),IF(HLOOKUP(CONCATENATE("Balance",Z$3-1),'Withdrawal Working'!$A$2:$CD$78,MATCH('Yoy WAR OG'!$J29,'Withdrawal Working'!$A$2:$A$78,0),FALSE)&gt;0,MIN(HLOOKUP(CONCATENATE("Balance",Z$3-1),'Withdrawal Working'!$A$2:$CD$78,MATCH('Yoy WAR OG'!$J29,'Withdrawal Working'!$A$2:$A$78,0),0),V29),0)),IF($K29=VLOOKUP(V$2,$B:$H,7,0),V29,)),0)</f>
        <v>0</v>
      </c>
      <c r="Y29" s="58">
        <f t="shared" ca="1" si="2"/>
        <v>0</v>
      </c>
      <c r="AB29" s="58">
        <f t="shared" ca="1" si="28"/>
        <v>0</v>
      </c>
      <c r="AC29" s="58">
        <f ca="1">(VLOOKUP(AB$2,$B$1:$F$32,5,0)*$L29)+(VLOOKUP($K29,'Withdrawal Working'!$AD:$AE,2,0)*(IFERROR(VLOOKUP(AB$2,$B$35:$C$42,2,0),0)))</f>
        <v>0</v>
      </c>
      <c r="AD29" s="58">
        <f>IFERROR(IF($K29&lt;VLOOKUP(AB$2,$B:$H,7,0),IF(AF$3=1,MIN($M29,AB29),IF(HLOOKUP(CONCATENATE("Balance",AF$3-1),'Withdrawal Working'!$A$2:$CD$78,MATCH('Yoy WAR OG'!$J29,'Withdrawal Working'!$A$2:$A$78,0),FALSE)&gt;0,MIN(HLOOKUP(CONCATENATE("Balance",AF$3-1),'Withdrawal Working'!$A$2:$CD$78,MATCH('Yoy WAR OG'!$J29,'Withdrawal Working'!$A$2:$A$78,0),0),AB29),0)),IF($K29=VLOOKUP(AB$2,$B:$H,7,0),AB29,)),0)</f>
        <v>0</v>
      </c>
      <c r="AE29" s="58">
        <f t="shared" ca="1" si="3"/>
        <v>0</v>
      </c>
      <c r="AH29" s="58">
        <f t="shared" ca="1" si="29"/>
        <v>242778023.40959963</v>
      </c>
      <c r="AI29" s="58">
        <f ca="1">(VLOOKUP(AH$2,$B$1:$F$32,5,0)*$L29)+IF(J29&gt;'NWGC - SCENARIOS'!$D$7,0,(VLOOKUP($K29,'Withdrawal Working'!$AD:$AE,2,0)*(IFERROR(VLOOKUP(AH$2,$B$35:$C$42,2,0),0))))</f>
        <v>0</v>
      </c>
      <c r="AJ29" s="58">
        <f ca="1">IFERROR(IF($J29&gt;'NWGC - SCENARIOS'!$D$7,MIN('Yoy WAR OG'!AH29,VLOOKUP('Yoy WAR OG'!$J29,'Withdrawal Working'!BC:BD,2,0)),IF(AL$3=1,$M29,IF(HLOOKUP(CONCATENATE("Balance",AL$3-1),'Withdrawal Working'!$A$2:$CD$78,MATCH('Yoy WAR OG'!$J29,'Withdrawal Working'!$A$2:$A$78,0),FALSE)&gt;0,MIN(HLOOKUP(CONCATENATE("Balance",AL$3-1),'Withdrawal Working'!$A$2:$CD$78,MATCH('Yoy WAR OG'!$J29,'Withdrawal Working'!$A$2:$A$78,0),0),AH29),0))),0)</f>
        <v>17978836.247191936</v>
      </c>
      <c r="AK29" s="58">
        <f t="shared" ca="1" si="4"/>
        <v>249527097.75027257</v>
      </c>
      <c r="AN29" s="450">
        <f t="shared" ca="1" si="30"/>
        <v>314901527.18595511</v>
      </c>
      <c r="AO29" s="58">
        <f ca="1">IF(J29&gt;'NWGC - SCENARIOS'!$D$7,(IF(AJ29=0,0,'Yoy WAR OG'!AJ29)+(VLOOKUP(AN$2,$B$1:$F$32,5,0)*$L29)),(VLOOKUP(AN$2,$B$1:$F$32,5,0)*$L29)+(VLOOKUP($K29,'Withdrawal Working'!$AD:$AE,2,0)*(IFERROR(VLOOKUP(AN$2,$B$35:$C$42,2,0),0))))</f>
        <v>17978836.247191936</v>
      </c>
      <c r="AP29" s="470">
        <f ca="1">IFERROR(IF($K29&lt;&gt;VLOOKUP(AN$2,$B:$H,7,0),IF(AR$3=1,MIN($M29,AN29),IF(HLOOKUP(CONCATENATE("Balance",AR$3-1),'Withdrawal Working'!$A$2:$CD$78,MATCH('Yoy WAR OG'!$J29,'Withdrawal Working'!$A$2:$A$78,0),FALSE)&gt;0,MIN(HLOOKUP(CONCATENATE("Balance",AR$3-1),'Withdrawal Working'!$A$2:$CD$78,MATCH('Yoy WAR OG'!$J29,'Withdrawal Working'!$A$2:$A$78,0),0),AN29),0)),IF($K29=VLOOKUP(AN$2,$B:$H,7,0),AN29,)),0)</f>
        <v>15401970.719471829</v>
      </c>
      <c r="AQ29" s="58">
        <f ca="1">IF(AO29&lt;0,0,IF(J29&gt;'NWGC - SCENARIOS'!$D$7,((AN29-AP29+AO29)*(1+(IFERROR(VLOOKUP(AN$2,$B:$D,3,0),0)))),((AN29-AP29)*(1+(IFERROR(VLOOKUP(AN$2,$B:$D,3,0),0))))+AO29))</f>
        <v>334939704.31292737</v>
      </c>
      <c r="AT29" s="450">
        <f t="shared" ca="1" si="31"/>
        <v>0</v>
      </c>
      <c r="AU29" s="58">
        <f ca="1">(VLOOKUP(AT$2,$B$1:$F$32,5,0)*$L29)+(VLOOKUP($K29,'Withdrawal Working'!$AD:$AE,2,0)*(IFERROR(VLOOKUP(AT$2,$B$35:$C$42,2,0),0)))</f>
        <v>0</v>
      </c>
      <c r="AV29" s="58">
        <f>IFERROR(IF($K29&lt;VLOOKUP(AT$2,$B:$H,7,0),IF(AX$3=1,MIN($M29,AT29),IF(HLOOKUP(CONCATENATE("Balance",AX$3-1),'Withdrawal Working'!$A$2:$CD$78,MATCH('Yoy WAR OG'!$J29,'Withdrawal Working'!$A$2:$A$78,0),FALSE)&gt;0,MIN(HLOOKUP(CONCATENATE("Balance",AX$3-1),'Withdrawal Working'!$A$2:$CD$78,MATCH('Yoy WAR OG'!$J29,'Withdrawal Working'!$A$2:$A$78,0),0),AT29),0)),IF($K29=VLOOKUP(AT$2,$B:$H,7,0),AT29,)),0)</f>
        <v>0</v>
      </c>
      <c r="AW29" s="58">
        <f t="shared" ca="1" si="5"/>
        <v>0</v>
      </c>
      <c r="AZ29" s="450">
        <f t="shared" ca="1" si="32"/>
        <v>21709730.560491584</v>
      </c>
      <c r="BA29" s="58">
        <f ca="1">(VLOOKUP(AZ$2,$B$1:$F$32,5,0)*$L29)+(VLOOKUP($K29,'Withdrawal Working'!$AD:$AE,2,0)*(IFERROR(VLOOKUP(AZ$2,$B$35:$C$42,2,0),0)))</f>
        <v>0</v>
      </c>
      <c r="BB29" s="58">
        <f>IFERROR(IF($K29&lt;VLOOKUP(AZ$2,$B:$H,7,0),IF(BD$3=1,MIN($M29,AZ29),IF(HLOOKUP(CONCATENATE("Balance",BD$3-1),'Withdrawal Working'!$A$2:$CD$78,MATCH('Yoy WAR OG'!$J29,'Withdrawal Working'!$A$2:$A$78,0),FALSE)&gt;0,MIN(HLOOKUP(CONCATENATE("Balance",BD$3-1),'Withdrawal Working'!$A$2:$CD$78,MATCH('Yoy WAR OG'!$J29,'Withdrawal Working'!$A$2:$A$78,0),0),AZ29),0)),IF($K29=VLOOKUP(AZ$2,$B:$H,7,0),AZ29,)),0)</f>
        <v>0</v>
      </c>
      <c r="BC29" s="58">
        <f t="shared" ca="1" si="6"/>
        <v>23229411.699725997</v>
      </c>
      <c r="BF29" s="450">
        <f t="shared" ca="1" si="33"/>
        <v>0</v>
      </c>
      <c r="BG29" s="58">
        <f ca="1">(VLOOKUP(BF$2,$B$1:$F$32,5,0)*$L29)+(VLOOKUP($K29,'Withdrawal Working'!$AD:$AE,2,0)*(IFERROR(VLOOKUP(BF$2,$B$35:$C$42,2,0),0)))</f>
        <v>0</v>
      </c>
      <c r="BH29" s="58">
        <f>IFERROR(IF($K29&lt;VLOOKUP(BF$2,$B:$H,7,0),IF(BJ$3=1,MIN($M29,BF29),IF(HLOOKUP(CONCATENATE("Balance",BJ$3-1),'Withdrawal Working'!$A$2:$CD$78,MATCH('Yoy WAR OG'!$J29,'Withdrawal Working'!$A$2:$A$78,0),FALSE)&gt;0,MIN(HLOOKUP(CONCATENATE("Balance",BJ$3-1),'Withdrawal Working'!$A$2:$CD$78,MATCH('Yoy WAR OG'!$J29,'Withdrawal Working'!$A$2:$A$78,0),0),BF29),0)),IF($K29=VLOOKUP(BF$2,$B:$H,7,0),BF29,)),0)</f>
        <v>0</v>
      </c>
      <c r="BI29" s="58">
        <f t="shared" ca="1" si="7"/>
        <v>0</v>
      </c>
      <c r="BL29" s="450">
        <f t="shared" ca="1" si="34"/>
        <v>0</v>
      </c>
      <c r="BM29" s="58">
        <f ca="1">(VLOOKUP(BL$2,$B$1:$F$32,5,0)*$L29)+(VLOOKUP($K29,'Withdrawal Working'!$AD:$AE,2,0)*(IFERROR(VLOOKUP(BL$2,$B$35:$C$42,2,0),0)))</f>
        <v>0</v>
      </c>
      <c r="BN29" s="58">
        <f>IFERROR(IF($K29&lt;VLOOKUP(BL$2,$B:$H,7,0),IF(BP$3=1,MIN($M29,BL29),IF(HLOOKUP(CONCATENATE("Balance",BP$3-1),'Withdrawal Working'!$A$2:$CD$78,MATCH('Yoy WAR OG'!$J29,'Withdrawal Working'!$A$2:$A$78,0),FALSE)&gt;0,MIN(HLOOKUP(CONCATENATE("Balance",BP$3-1),'Withdrawal Working'!$A$2:$CD$78,MATCH('Yoy WAR OG'!$J29,'Withdrawal Working'!$A$2:$A$78,0),0),BL29),0)),IF($K29=VLOOKUP(BL$2,$B:$H,7,0),BL29,)),0)</f>
        <v>0</v>
      </c>
      <c r="BO29" s="58">
        <f t="shared" ca="1" si="8"/>
        <v>0</v>
      </c>
      <c r="BR29" s="450">
        <f t="shared" ca="1" si="35"/>
        <v>0</v>
      </c>
      <c r="BS29" s="58">
        <f ca="1">(VLOOKUP(BR$2,$B$1:$F$32,5,0)*$L29)+(VLOOKUP($K29,'Withdrawal Working'!$AD:$AE,2,0)*(IFERROR(VLOOKUP(BR$2,$B$35:$C$42,2,0),0)))</f>
        <v>0</v>
      </c>
      <c r="BT29" s="58">
        <f>IFERROR(IF($K29&lt;VLOOKUP(BR$2,$B:$H,7,0),IF(BV$3=1,MIN($M29,BR29),IF(HLOOKUP(CONCATENATE("Balance",BV$3-1),'Withdrawal Working'!$A$2:$CD$78,MATCH('Yoy WAR OG'!$J29,'Withdrawal Working'!$A$2:$A$78,0),FALSE)&gt;0,MIN(HLOOKUP(CONCATENATE("Balance",BV$3-1),'Withdrawal Working'!$A$2:$CD$78,MATCH('Yoy WAR OG'!$J29,'Withdrawal Working'!$A$2:$A$78,0),0),BR29),0)),IF($K29=VLOOKUP(BR$2,$B:$H,7,0),BR29,)),0)</f>
        <v>0</v>
      </c>
      <c r="BU29" s="58">
        <f t="shared" ca="1" si="9"/>
        <v>0</v>
      </c>
      <c r="BX29" s="450">
        <f t="shared" ca="1" si="36"/>
        <v>0</v>
      </c>
      <c r="BY29" s="58">
        <f ca="1">(VLOOKUP(BX$2,$B$1:$F$32,5,0)*$L29)+(VLOOKUP($K29,'Withdrawal Working'!$AD:$AE,2,0)*(IFERROR(VLOOKUP(BX$2,$B$35:$C$42,2,0),0)))</f>
        <v>0</v>
      </c>
      <c r="BZ29" s="58">
        <f>IFERROR(IF($K29&lt;VLOOKUP(BX$2,$B:$H,7,0),IF(CB$3=1,MIN($M29,BX29),IF(HLOOKUP(CONCATENATE("Balance",CB$3-1),'Withdrawal Working'!$A$2:$CD$78,MATCH('Yoy WAR OG'!$J29,'Withdrawal Working'!$A$2:$A$78,0),FALSE)&gt;0,MIN(HLOOKUP(CONCATENATE("Balance",CB$3-1),'Withdrawal Working'!$A$2:$CD$78,MATCH('Yoy WAR OG'!$J29,'Withdrawal Working'!$A$2:$A$78,0),0),BX29),0)),IF($K29=VLOOKUP(BX$2,$B:$H,7,0),BX29,)),0)</f>
        <v>0</v>
      </c>
      <c r="CA29" s="58">
        <f t="shared" ca="1" si="10"/>
        <v>0</v>
      </c>
      <c r="CD29" s="450">
        <f t="shared" ca="1" si="37"/>
        <v>38125053.466664866</v>
      </c>
      <c r="CE29" s="58">
        <f ca="1">(VLOOKUP(CD$2,$B$1:$F$32,5,0)*$L29)+(VLOOKUP($K29,'Withdrawal Working'!$AD:$AE,2,0)*(IFERROR(VLOOKUP(CD$2,$B$35:$C$42,2,0),0)))+SUMIFS('Key Life Events'!$I$3:$I$28,'Key Life Events'!$H$3:$H$28,"House",'Key Life Events'!$E$3:$E$28,'Yoy WAR OG'!K29)</f>
        <v>0</v>
      </c>
      <c r="CF29" s="58">
        <f>IFERROR(IF($K29&lt;VLOOKUP(CD$2,$B:$H,7,0),IF(CH$3=1,MIN($M29,CD29),IF(HLOOKUP(CONCATENATE("Balance",CH$3-1),'Withdrawal Working'!$A$2:$CD$78,MATCH('Yoy WAR OG'!$J29,'Withdrawal Working'!$A$2:$A$78,0),FALSE)&gt;0,MIN(HLOOKUP(CONCATENATE("Balance",CH$3-1),'Withdrawal Working'!$A$2:$CD$78,MATCH('Yoy WAR OG'!$J29,'Withdrawal Working'!$A$2:$A$78,0),0),CD29),0)),IF($K29=VLOOKUP(CD$2,$B:$H,7,0),CD29,)),0)</f>
        <v>0</v>
      </c>
      <c r="CG29" s="58">
        <f t="shared" ca="1" si="11"/>
        <v>39268805.070664816</v>
      </c>
      <c r="CJ29" s="450">
        <f t="shared" ca="1" si="38"/>
        <v>0</v>
      </c>
      <c r="CK29" s="58">
        <f ca="1">(VLOOKUP(CJ$2,$B$1:$F$32,5,0)*$L29)+(VLOOKUP($K29,'Withdrawal Working'!$AD:$AE,2,0)*(IFERROR(VLOOKUP(CJ$2,$B$35:$C$42,2,0),0)))+SUMIFS('Key Life Events'!$I$3:$I$28,'Key Life Events'!$H$3:$H$28,"House2",'Key Life Events'!$E$3:$E$28,'Yoy WAR OG'!K29)</f>
        <v>0</v>
      </c>
      <c r="CL29" s="58">
        <f ca="1">IF(IFERROR(IF($K29&lt;&gt;VLOOKUP(CJ$2,$B:$H,7,0),IF(CN$3=1,MIN($M29,CJ29),IF(HLOOKUP(CONCATENATE("Balance",CN$3-1),'Withdrawal Working'!$A$2:$CD$78,MATCH('Yoy WAR OG'!$J29,'Withdrawal Working'!$A$2:$A$78,0),FALSE)&gt;0,MIN(HLOOKUP(CONCATENATE("Balance",CN$3-1),'Withdrawal Working'!$A$2:$CD$78,MATCH('Yoy WAR OG'!$J29,'Withdrawal Working'!$A$2:$A$78,0),0),CJ29),0)),IF($K29=VLOOKUP(CJ$2,$B:$H,7,0),CJ29,)),0)&gt;0,CJ29,0)</f>
        <v>0</v>
      </c>
      <c r="CM29" s="58">
        <f t="shared" ca="1" si="12"/>
        <v>0</v>
      </c>
      <c r="CP29" s="450">
        <f t="shared" ca="1" si="39"/>
        <v>8465887.3522484694</v>
      </c>
      <c r="CQ29" s="58">
        <f ca="1">(VLOOKUP(CP$2,$B$1:$F$32,5,0)*$L29)+(VLOOKUP($K29,'Withdrawal Working'!$AD:$AE,2,0)*(IFERROR(VLOOKUP(CP$2,$B$35:$C$42,2,0),0)))+SUMIFS('Key Life Events'!$I$3:$I$28,'Key Life Events'!$H$3:$H$28,"Land",'Key Life Events'!$E$3:$E$28,'Yoy WAR OG'!K29)</f>
        <v>0</v>
      </c>
      <c r="CR29" s="58">
        <f>IFERROR(IF($K29&lt;VLOOKUP(CP$2,$B:$H,7,0),IF(CT$3=1,MIN($M29,CP29),IF(HLOOKUP(CONCATENATE("Balance",CT$3-1),'Withdrawal Working'!$A$2:$CD$78,MATCH('Yoy WAR OG'!$J29,'Withdrawal Working'!$A$2:$A$78,0),FALSE)&gt;0,MIN(HLOOKUP(CONCATENATE("Balance",CT$3-1),'Withdrawal Working'!$A$2:$CD$78,MATCH('Yoy WAR OG'!$J29,'Withdrawal Working'!$A$2:$A$78,0),0),CP29),0)),IF($K29=VLOOKUP(CP$2,$B:$H,7,0),CP29,)),0)</f>
        <v>0</v>
      </c>
      <c r="CS29" s="58">
        <f t="shared" ca="1" si="13"/>
        <v>8889181.7198608927</v>
      </c>
      <c r="CV29" s="450">
        <f t="shared" ca="1" si="40"/>
        <v>0</v>
      </c>
      <c r="CW29" s="58"/>
      <c r="CX29" s="58">
        <f>IFERROR(IF($K29&lt;VLOOKUP(CV$2,$B:$H,7,0),IF(CZ$3=1,MIN($M29,CV29),IF(HLOOKUP(CONCATENATE("Balance",CZ$3-1),'Withdrawal Working'!$A$2:$CD$78,MATCH('Yoy WAR OG'!$J29,'Withdrawal Working'!$A$2:$A$78,0),FALSE)&gt;0,MIN(HLOOKUP(CONCATENATE("Balance",CZ$3-1),'Withdrawal Working'!$A$2:$CD$78,MATCH('Yoy WAR OG'!$J29,'Withdrawal Working'!$A$2:$A$78,0),0),CV29),0)),IF($K29=VLOOKUP(CV$2,$B:$H,7,0),CV29,)),0)</f>
        <v>0</v>
      </c>
      <c r="CY29" s="58">
        <f t="shared" ca="1" si="14"/>
        <v>0</v>
      </c>
      <c r="DB29" s="450">
        <f t="shared" ca="1" si="41"/>
        <v>0</v>
      </c>
      <c r="DC29" s="58">
        <f ca="1">(VLOOKUP(DB$2,$B$1:$F$32,5,0)*$L29)+(VLOOKUP($K29,'Withdrawal Working'!$AD:$AE,2,0)*(IFERROR(VLOOKUP(DB$2,$B$35:$C$42,2,0),0)))</f>
        <v>0</v>
      </c>
      <c r="DD29" s="58">
        <f>IFERROR(IF($K29&lt;VLOOKUP(DB$2,$B:$H,7,0),IF(DF$3=1,MIN($M29,DB29),IF(HLOOKUP(CONCATENATE("Balance",DF$3-1),'Withdrawal Working'!$A$2:$CD$78,MATCH('Yoy WAR OG'!$J29,'Withdrawal Working'!$A$2:$A$78,0),FALSE)&gt;0,MIN(HLOOKUP(CONCATENATE("Balance",DF$3-1),'Withdrawal Working'!$A$2:$CD$78,MATCH('Yoy WAR OG'!$J29,'Withdrawal Working'!$A$2:$A$78,0),0),DB29),0)),IF($K29=VLOOKUP(DB$2,$B:$H,7,0),DB29,)),0)</f>
        <v>0</v>
      </c>
      <c r="DE29" s="58">
        <f t="shared" ca="1" si="15"/>
        <v>0</v>
      </c>
      <c r="DH29" s="450">
        <f t="shared" ca="1" si="42"/>
        <v>0</v>
      </c>
      <c r="DI29" s="58">
        <f>IF(OR(J29&gt;'NWGC - SCENARIOS'!$D$7,J29='NWGC - SCENARIOS'!$D$7),0,DI28*(1+'NWGC - SCENARIOS'!$L$5))</f>
        <v>0</v>
      </c>
      <c r="DJ29" s="58">
        <f>IFERROR(IF($K29&lt;VLOOKUP(DH$2,$B:$H,7,0),IF(DL$3=1,MIN($M29,DH29),IF(HLOOKUP(CONCATENATE("Balance",DL$3-1),'Withdrawal Working'!$A$2:$CD$78,MATCH('Yoy WAR OG'!$J29,'Withdrawal Working'!$A$2:$A$78,0),FALSE)&gt;0,MIN(HLOOKUP(CONCATENATE("Balance",DL$3-1),'Withdrawal Working'!$A$2:$CD$78,MATCH('Yoy WAR OG'!$J29,'Withdrawal Working'!$A$2:$A$78,0),0),DH29),0)),IF($K29=VLOOKUP(DH$2,$B:$H,7,0),DH29,)),0)</f>
        <v>0</v>
      </c>
      <c r="DK29" s="58">
        <f t="shared" ca="1" si="16"/>
        <v>0</v>
      </c>
      <c r="DN29" s="450">
        <f t="shared" ca="1" si="43"/>
        <v>0</v>
      </c>
      <c r="DO29" s="58">
        <f ca="1">(VLOOKUP(DN$2,$B$1:$F$32,5,0)*$L29)+(VLOOKUP($K29,'Withdrawal Working'!$AD:$AE,2,0)*(IFERROR(VLOOKUP(DN$2,$B$35:$C$42,2,0),0)))</f>
        <v>0</v>
      </c>
      <c r="DP29" s="58">
        <f>IFERROR(IF($K29&lt;VLOOKUP(DN$2,$B:$H,7,0),IF(DR$3=1,MIN($M29,DN29),IF(HLOOKUP(CONCATENATE("Balance",DR$3-1),'Withdrawal Working'!$A$2:$CD$78,MATCH('Yoy WAR OG'!$J29,'Withdrawal Working'!$A$2:$A$78,0),FALSE)&gt;0,MIN(HLOOKUP(CONCATENATE("Balance",DR$3-1),'Withdrawal Working'!$A$2:$CD$78,MATCH('Yoy WAR OG'!$J29,'Withdrawal Working'!$A$2:$A$78,0),0),DN29),0)),IF($K29=VLOOKUP(DN$2,$B:$H,7,0),DN29,)),0)</f>
        <v>0</v>
      </c>
      <c r="DQ29" s="58">
        <f t="shared" ca="1" si="17"/>
        <v>0</v>
      </c>
      <c r="DT29" s="450">
        <f t="shared" ca="1" si="44"/>
        <v>0</v>
      </c>
      <c r="DU29" s="58">
        <f ca="1">(VLOOKUP(DT$2,$B$1:$F$32,5,0)*$L29)+(VLOOKUP($K29,'Withdrawal Working'!$AD:$AE,2,0)*(IFERROR(VLOOKUP(DT$2,$B$35:$C$42,2,0),0)))</f>
        <v>0</v>
      </c>
      <c r="DV29" s="58">
        <f>IFERROR(IF($K29&lt;VLOOKUP(DT$2,$B:$H,7,0),IF(DX$3=1,MIN($M29,DT29),IF(HLOOKUP(CONCATENATE("Balance",DX$3-1),'Withdrawal Working'!$A$2:$CD$78,MATCH('Yoy WAR OG'!$J29,'Withdrawal Working'!$A$2:$A$78,0),FALSE)&gt;0,MIN(HLOOKUP(CONCATENATE("Balance",DX$3-1),'Withdrawal Working'!$A$2:$CD$78,MATCH('Yoy WAR OG'!$J29,'Withdrawal Working'!$A$2:$A$78,0),0),DT29),0)),IF($K29=VLOOKUP(DT$2,$B:$H,7,0),DT29,)),0)</f>
        <v>0</v>
      </c>
      <c r="DW29" s="58">
        <f t="shared" ca="1" si="18"/>
        <v>0</v>
      </c>
      <c r="DZ29" s="450">
        <f t="shared" ca="1" si="45"/>
        <v>0</v>
      </c>
      <c r="EA29" s="58">
        <f ca="1">(VLOOKUP(DZ$2,$B$1:$F$32,5,0)*$L29)+(VLOOKUP($K29,'Withdrawal Working'!$AD:$AE,2,0)*(IFERROR(VLOOKUP(DZ$2,$B$35:$C$42,2,0),0)))</f>
        <v>0</v>
      </c>
      <c r="EB29" s="58">
        <f>IFERROR(IF($K29&lt;VLOOKUP(DZ$2,$B:$H,7,0),IF(ED$3=1,MIN($M29,DZ29),IF(HLOOKUP(CONCATENATE("Balance",ED$3-1),'Withdrawal Working'!$A$2:$CD$78,MATCH('Yoy WAR OG'!$J29,'Withdrawal Working'!$A$2:$A$78,0),FALSE)&gt;0,MIN(HLOOKUP(CONCATENATE("Balance",ED$3-1),'Withdrawal Working'!$A$2:$CD$78,MATCH('Yoy WAR OG'!$J29,'Withdrawal Working'!$A$2:$A$78,0),0),DZ29),0)),IF($K29=VLOOKUP(DZ$2,$B:$H,7,0),DZ29,)),0)</f>
        <v>0</v>
      </c>
      <c r="EC29" s="58">
        <f t="shared" ca="1" si="19"/>
        <v>0</v>
      </c>
      <c r="EF29" s="450">
        <f t="shared" ca="1" si="46"/>
        <v>0</v>
      </c>
      <c r="EG29" s="58">
        <f ca="1">(VLOOKUP(EF$2,$B$1:$F$32,5,0)*$L29)+(VLOOKUP($K29,'Withdrawal Working'!$AD:$AE,2,0)*(IFERROR(VLOOKUP(EF$2,$B$35:$C$42,2,0),0)))</f>
        <v>0</v>
      </c>
      <c r="EH29" s="58">
        <f>IFERROR(IF($K29&lt;VLOOKUP(EF$2,$B:$H,7,0),IF(EJ$3=1,MIN($M29,EF29),IF(HLOOKUP(CONCATENATE("Balance",EJ$3-1),'Withdrawal Working'!$A$2:$CD$78,MATCH('Yoy WAR OG'!$J29,'Withdrawal Working'!$A$2:$A$78,0),FALSE)&gt;0,MIN(HLOOKUP(CONCATENATE("Balance",EJ$3-1),'Withdrawal Working'!$A$2:$CD$78,MATCH('Yoy WAR OG'!$J29,'Withdrawal Working'!$A$2:$A$78,0),0),EF29),0)),IF($K29=VLOOKUP(EF$2,$B:$H,7,0),EF29,)),0)</f>
        <v>0</v>
      </c>
      <c r="EI29" s="58">
        <f t="shared" ca="1" si="20"/>
        <v>0</v>
      </c>
      <c r="EL29" s="450">
        <f t="shared" ca="1" si="47"/>
        <v>0</v>
      </c>
      <c r="EM29" s="58">
        <f>IF(OR($J29&gt;'NWGC - SCENARIOS'!$D$7,$J29='NWGC - SCENARIOS'!$D$7),0,EM28)</f>
        <v>0</v>
      </c>
      <c r="EN29" s="58">
        <f>IFERROR(IF($K29&lt;VLOOKUP(EL$2,$B:$H,7,0),IF(EP$3=1,MIN($M29,EL29),IF(HLOOKUP(CONCATENATE("Balance",EP$3-1),'Withdrawal Working'!$A$2:$CD$78,MATCH('Yoy WAR OG'!$J29,'Withdrawal Working'!$A$2:$A$78,0),FALSE)&gt;0,MIN(HLOOKUP(CONCATENATE("Balance",EP$3-1),'Withdrawal Working'!$A$2:$CD$78,MATCH('Yoy WAR OG'!$J29,'Withdrawal Working'!$A$2:$A$78,0),0),EL29),0)),IF($K29=VLOOKUP(EL$2,$B:$H,7,0),EL29,)),0)</f>
        <v>0</v>
      </c>
      <c r="EO29" s="58">
        <f t="shared" ca="1" si="21"/>
        <v>0</v>
      </c>
      <c r="ER29" s="450">
        <f t="shared" ca="1" si="48"/>
        <v>0</v>
      </c>
      <c r="ES29" s="58">
        <f>IF(OR(J29&gt;'NWGC - SCENARIOS'!$D$7,J29='NWGC - SCENARIOS'!$D$7),0,ES28*(1+'NWGC - SCENARIOS'!$L$5))</f>
        <v>0</v>
      </c>
      <c r="ET29" s="58">
        <f>IFERROR(IF($K29&lt;VLOOKUP(ER$2,$B:$H,7,0),IF(EV$3=1,MIN($M29,ER29),IF(HLOOKUP(CONCATENATE("Balance",EV$3-1),'Withdrawal Working'!$A$2:$CD$78,MATCH('Yoy WAR OG'!$J29,'Withdrawal Working'!$A$2:$A$78,0),FALSE)&gt;0,MIN(HLOOKUP(CONCATENATE("Balance",EV$3-1),'Withdrawal Working'!$A$2:$CD$78,MATCH('Yoy WAR OG'!$J29,'Withdrawal Working'!$A$2:$A$78,0),0),ER29),0)),IF($K29=VLOOKUP(ER$2,$B:$H,7,0),ER29,)),0)</f>
        <v>0</v>
      </c>
      <c r="EU29" s="58">
        <f t="shared" ca="1" si="22"/>
        <v>0</v>
      </c>
      <c r="EX29" s="450">
        <f t="shared" ca="1" si="49"/>
        <v>0</v>
      </c>
      <c r="EY29" s="58">
        <f>IF(OR(J29&gt;'NWGC - SCENARIOS'!$D$7,J29='NWGC - SCENARIOS'!$D$7),0,EY28)</f>
        <v>0</v>
      </c>
      <c r="EZ29" s="58">
        <f>IFERROR(IF($K29&lt;VLOOKUP(EX$2,$B:$H,7,0),IF(FB$3=1,MIN($M29,EX29),IF(HLOOKUP(CONCATENATE("Balance",FB$3-1),'Withdrawal Working'!$A$2:$CD$78,MATCH('Yoy WAR OG'!$J29,'Withdrawal Working'!$A$2:$A$78,0),FALSE)&gt;0,MIN(HLOOKUP(CONCATENATE("Balance",FB$3-1),'Withdrawal Working'!$A$2:$CD$78,MATCH('Yoy WAR OG'!$J29,'Withdrawal Working'!$A$2:$A$78,0),0),EX29),0)),IF($K29=VLOOKUP(EX$2,$B:$H,7,0),EX29,)),0)</f>
        <v>0</v>
      </c>
      <c r="FA29" s="58">
        <f t="shared" ca="1" si="23"/>
        <v>0</v>
      </c>
    </row>
    <row r="30" spans="1:157" x14ac:dyDescent="0.3">
      <c r="J30">
        <f>IFERROR('NWGC - SCENARIOS'!B37,0)</f>
        <v>75</v>
      </c>
      <c r="K30">
        <f>IFERROR('NWGC - SCENARIOS'!C37,0)</f>
        <v>2051</v>
      </c>
      <c r="L30" s="449">
        <f ca="1">IF(('NWGC - SCENARIOS'!G37-working!G28)&gt;'NWGC - SCENARIOS'!H37,'NWGC - SCENARIOS'!G37-'NWGC - SCENARIOS'!H37-working!G28,0)</f>
        <v>0</v>
      </c>
      <c r="M30" s="449">
        <f ca="1">IF(('NWGC - SCENARIOS'!G37-working!G28)&gt;'NWGC - SCENARIOS'!H37,0,'NWGC - SCENARIOS'!H37-'NWGC - SCENARIOS'!G37+working!G28)</f>
        <v>16640848.377029575</v>
      </c>
      <c r="N30" s="58">
        <f t="shared" ca="1" si="0"/>
        <v>611712059.04209149</v>
      </c>
      <c r="O30" s="58">
        <f t="shared" ca="1" si="1"/>
        <v>74635980.547345504</v>
      </c>
      <c r="P30" s="58">
        <f t="shared" ca="1" si="24"/>
        <v>0</v>
      </c>
      <c r="Q30" s="58">
        <f ca="1">(VLOOKUP(P$2,$B$1:$F$32,5,0)*$L30)+(VLOOKUP($K30,'Withdrawal Working'!$AD:$AE,2,0)*(IFERROR(VLOOKUP(P$2,$B$35:$C$42,2,0),0)))</f>
        <v>0</v>
      </c>
      <c r="R30" s="58">
        <f>IFERROR(IF($K30&lt;VLOOKUP(P$2,$B:$H,7,0),IF(T$3=1,MIN($M30,P30),IF(HLOOKUP(CONCATENATE("Balance",T$3-1),'Withdrawal Working'!$A$2:$CD$78,MATCH('Yoy WAR OG'!$J30,'Withdrawal Working'!$A$2:$A$78,0),FALSE)&gt;0,MIN(HLOOKUP(CONCATENATE("Balance",T$3-1),'Withdrawal Working'!$A$2:$CD$78,MATCH('Yoy WAR OG'!$J30,'Withdrawal Working'!$A$2:$A$78,0),0),P30),0)),IF($K30=VLOOKUP(P$2,$B:$H,7,0),P30,)),0)</f>
        <v>0</v>
      </c>
      <c r="S30" s="58">
        <f t="shared" ca="1" si="26"/>
        <v>0</v>
      </c>
      <c r="T30" s="58"/>
      <c r="V30" s="58">
        <f t="shared" ca="1" si="27"/>
        <v>0</v>
      </c>
      <c r="W30" s="58">
        <f ca="1">(VLOOKUP(V$2,$B$1:$F$32,5,0)*$L30)+(VLOOKUP($K30,'Withdrawal Working'!$AD:$AE,2,0)*(IFERROR(VLOOKUP(V$2,$B$35:$C$42,2,0),0)))</f>
        <v>0</v>
      </c>
      <c r="X30" s="58">
        <f>IFERROR(IF($K30&lt;VLOOKUP(V$2,$B:$H,7,0),IF(Z$3=1,MIN($M30,V30),IF(HLOOKUP(CONCATENATE("Balance",Z$3-1),'Withdrawal Working'!$A$2:$CD$78,MATCH('Yoy WAR OG'!$J30,'Withdrawal Working'!$A$2:$A$78,0),FALSE)&gt;0,MIN(HLOOKUP(CONCATENATE("Balance",Z$3-1),'Withdrawal Working'!$A$2:$CD$78,MATCH('Yoy WAR OG'!$J30,'Withdrawal Working'!$A$2:$A$78,0),0),V30),0)),IF($K30=VLOOKUP(V$2,$B:$H,7,0),V30,)),0)</f>
        <v>0</v>
      </c>
      <c r="Y30" s="58">
        <f t="shared" ca="1" si="2"/>
        <v>0</v>
      </c>
      <c r="AB30" s="58">
        <f t="shared" ca="1" si="28"/>
        <v>0</v>
      </c>
      <c r="AC30" s="58">
        <f ca="1">(VLOOKUP(AB$2,$B$1:$F$32,5,0)*$L30)+(VLOOKUP($K30,'Withdrawal Working'!$AD:$AE,2,0)*(IFERROR(VLOOKUP(AB$2,$B$35:$C$42,2,0),0)))</f>
        <v>0</v>
      </c>
      <c r="AD30" s="58">
        <f>IFERROR(IF($K30&lt;VLOOKUP(AB$2,$B:$H,7,0),IF(AF$3=1,MIN($M30,AB30),IF(HLOOKUP(CONCATENATE("Balance",AF$3-1),'Withdrawal Working'!$A$2:$CD$78,MATCH('Yoy WAR OG'!$J30,'Withdrawal Working'!$A$2:$A$78,0),FALSE)&gt;0,MIN(HLOOKUP(CONCATENATE("Balance",AF$3-1),'Withdrawal Working'!$A$2:$CD$78,MATCH('Yoy WAR OG'!$J30,'Withdrawal Working'!$A$2:$A$78,0),0),AB30),0)),IF($K30=VLOOKUP(AB$2,$B:$H,7,0),AB30,)),0)</f>
        <v>0</v>
      </c>
      <c r="AE30" s="58">
        <f t="shared" ca="1" si="3"/>
        <v>0</v>
      </c>
      <c r="AH30" s="58">
        <f t="shared" ca="1" si="29"/>
        <v>249527097.75027257</v>
      </c>
      <c r="AI30" s="58">
        <f ca="1">(VLOOKUP(AH$2,$B$1:$F$32,5,0)*$L30)+IF(J30&gt;'NWGC - SCENARIOS'!$D$7,0,(VLOOKUP($K30,'Withdrawal Working'!$AD:$AE,2,0)*(IFERROR(VLOOKUP(AH$2,$B$35:$C$42,2,0),0))))</f>
        <v>0</v>
      </c>
      <c r="AJ30" s="58">
        <f ca="1">IFERROR(IF($J30&gt;'NWGC - SCENARIOS'!$D$7,MIN('Yoy WAR OG'!AH30,VLOOKUP('Yoy WAR OG'!$J30,'Withdrawal Working'!BC:BD,2,0)),IF(AL$3=1,$M30,IF(HLOOKUP(CONCATENATE("Balance",AL$3-1),'Withdrawal Working'!$A$2:$CD$78,MATCH('Yoy WAR OG'!$J30,'Withdrawal Working'!$A$2:$A$78,0),FALSE)&gt;0,MIN(HLOOKUP(CONCATENATE("Balance",AL$3-1),'Withdrawal Working'!$A$2:$CD$78,MATCH('Yoy WAR OG'!$J30,'Withdrawal Working'!$A$2:$A$78,0),0),AH30),0))),0)</f>
        <v>19423863.146967296</v>
      </c>
      <c r="AK30" s="58">
        <f t="shared" ca="1" si="4"/>
        <v>255414590.40966889</v>
      </c>
      <c r="AN30" s="450">
        <f t="shared" ca="1" si="30"/>
        <v>334939704.31292737</v>
      </c>
      <c r="AO30" s="58">
        <f ca="1">IF(J30&gt;'NWGC - SCENARIOS'!$D$7,(IF(AJ30=0,0,'Yoy WAR OG'!AJ30)+(VLOOKUP(AN$2,$B$1:$F$32,5,0)*$L30)),(VLOOKUP(AN$2,$B$1:$F$32,5,0)*$L30)+(VLOOKUP($K30,'Withdrawal Working'!$AD:$AE,2,0)*(IFERROR(VLOOKUP(AN$2,$B$35:$C$42,2,0),0))))</f>
        <v>19423863.146967296</v>
      </c>
      <c r="AP30" s="470">
        <f ca="1">IFERROR(IF($K30&lt;&gt;VLOOKUP(AN$2,$B:$H,7,0),IF(AR$3=1,MIN($M30,AN30),IF(HLOOKUP(CONCATENATE("Balance",AR$3-1),'Withdrawal Working'!$A$2:$CD$78,MATCH('Yoy WAR OG'!$J30,'Withdrawal Working'!$A$2:$A$78,0),FALSE)&gt;0,MIN(HLOOKUP(CONCATENATE("Balance",AR$3-1),'Withdrawal Working'!$A$2:$CD$78,MATCH('Yoy WAR OG'!$J30,'Withdrawal Working'!$A$2:$A$78,0),0),AN30),0)),IF($K30=VLOOKUP(AN$2,$B:$H,7,0),AN30,)),0)</f>
        <v>16640848.377029575</v>
      </c>
      <c r="AQ30" s="58">
        <f ca="1">IF(AO30&lt;0,0,IF(J30&gt;'NWGC - SCENARIOS'!$D$7,((AN30-AP30+AO30)*(1+(IFERROR(VLOOKUP(AN$2,$B:$D,3,0),0)))),((AN30-AP30)*(1+(IFERROR(VLOOKUP(AN$2,$B:$D,3,0),0))))+AO30))</f>
        <v>356297468.63242263</v>
      </c>
      <c r="AT30" s="450">
        <f t="shared" ca="1" si="31"/>
        <v>0</v>
      </c>
      <c r="AU30" s="58">
        <f ca="1">(VLOOKUP(AT$2,$B$1:$F$32,5,0)*$L30)+(VLOOKUP($K30,'Withdrawal Working'!$AD:$AE,2,0)*(IFERROR(VLOOKUP(AT$2,$B$35:$C$42,2,0),0)))</f>
        <v>0</v>
      </c>
      <c r="AV30" s="58">
        <f>IFERROR(IF($K30&lt;VLOOKUP(AT$2,$B:$H,7,0),IF(AX$3=1,MIN($M30,AT30),IF(HLOOKUP(CONCATENATE("Balance",AX$3-1),'Withdrawal Working'!$A$2:$CD$78,MATCH('Yoy WAR OG'!$J30,'Withdrawal Working'!$A$2:$A$78,0),FALSE)&gt;0,MIN(HLOOKUP(CONCATENATE("Balance",AX$3-1),'Withdrawal Working'!$A$2:$CD$78,MATCH('Yoy WAR OG'!$J30,'Withdrawal Working'!$A$2:$A$78,0),0),AT30),0)),IF($K30=VLOOKUP(AT$2,$B:$H,7,0),AT30,)),0)</f>
        <v>0</v>
      </c>
      <c r="AW30" s="58">
        <f t="shared" ca="1" si="5"/>
        <v>0</v>
      </c>
      <c r="AZ30" s="450">
        <f t="shared" ca="1" si="32"/>
        <v>23229411.699725997</v>
      </c>
      <c r="BA30" s="58">
        <f ca="1">(VLOOKUP(AZ$2,$B$1:$F$32,5,0)*$L30)+(VLOOKUP($K30,'Withdrawal Working'!$AD:$AE,2,0)*(IFERROR(VLOOKUP(AZ$2,$B$35:$C$42,2,0),0)))</f>
        <v>0</v>
      </c>
      <c r="BB30" s="58">
        <f>IFERROR(IF($K30&lt;VLOOKUP(AZ$2,$B:$H,7,0),IF(BD$3=1,MIN($M30,AZ30),IF(HLOOKUP(CONCATENATE("Balance",BD$3-1),'Withdrawal Working'!$A$2:$CD$78,MATCH('Yoy WAR OG'!$J30,'Withdrawal Working'!$A$2:$A$78,0),FALSE)&gt;0,MIN(HLOOKUP(CONCATENATE("Balance",BD$3-1),'Withdrawal Working'!$A$2:$CD$78,MATCH('Yoy WAR OG'!$J30,'Withdrawal Working'!$A$2:$A$78,0),0),AZ30),0)),IF($K30=VLOOKUP(AZ$2,$B:$H,7,0),AZ30,)),0)</f>
        <v>0</v>
      </c>
      <c r="BC30" s="58">
        <f t="shared" ca="1" si="6"/>
        <v>24855470.518706817</v>
      </c>
      <c r="BF30" s="450">
        <f t="shared" ca="1" si="33"/>
        <v>0</v>
      </c>
      <c r="BG30" s="58">
        <f ca="1">(VLOOKUP(BF$2,$B$1:$F$32,5,0)*$L30)+(VLOOKUP($K30,'Withdrawal Working'!$AD:$AE,2,0)*(IFERROR(VLOOKUP(BF$2,$B$35:$C$42,2,0),0)))</f>
        <v>0</v>
      </c>
      <c r="BH30" s="58">
        <f>IFERROR(IF($K30&lt;VLOOKUP(BF$2,$B:$H,7,0),IF(BJ$3=1,MIN($M30,BF30),IF(HLOOKUP(CONCATENATE("Balance",BJ$3-1),'Withdrawal Working'!$A$2:$CD$78,MATCH('Yoy WAR OG'!$J30,'Withdrawal Working'!$A$2:$A$78,0),FALSE)&gt;0,MIN(HLOOKUP(CONCATENATE("Balance",BJ$3-1),'Withdrawal Working'!$A$2:$CD$78,MATCH('Yoy WAR OG'!$J30,'Withdrawal Working'!$A$2:$A$78,0),0),BF30),0)),IF($K30=VLOOKUP(BF$2,$B:$H,7,0),BF30,)),0)</f>
        <v>0</v>
      </c>
      <c r="BI30" s="58">
        <f t="shared" ca="1" si="7"/>
        <v>0</v>
      </c>
      <c r="BL30" s="450">
        <f t="shared" ca="1" si="34"/>
        <v>0</v>
      </c>
      <c r="BM30" s="58">
        <f ca="1">(VLOOKUP(BL$2,$B$1:$F$32,5,0)*$L30)+(VLOOKUP($K30,'Withdrawal Working'!$AD:$AE,2,0)*(IFERROR(VLOOKUP(BL$2,$B$35:$C$42,2,0),0)))</f>
        <v>0</v>
      </c>
      <c r="BN30" s="58">
        <f>IFERROR(IF($K30&lt;VLOOKUP(BL$2,$B:$H,7,0),IF(BP$3=1,MIN($M30,BL30),IF(HLOOKUP(CONCATENATE("Balance",BP$3-1),'Withdrawal Working'!$A$2:$CD$78,MATCH('Yoy WAR OG'!$J30,'Withdrawal Working'!$A$2:$A$78,0),FALSE)&gt;0,MIN(HLOOKUP(CONCATENATE("Balance",BP$3-1),'Withdrawal Working'!$A$2:$CD$78,MATCH('Yoy WAR OG'!$J30,'Withdrawal Working'!$A$2:$A$78,0),0),BL30),0)),IF($K30=VLOOKUP(BL$2,$B:$H,7,0),BL30,)),0)</f>
        <v>0</v>
      </c>
      <c r="BO30" s="58">
        <f t="shared" ca="1" si="8"/>
        <v>0</v>
      </c>
      <c r="BR30" s="450">
        <f t="shared" ca="1" si="35"/>
        <v>0</v>
      </c>
      <c r="BS30" s="58">
        <f ca="1">(VLOOKUP(BR$2,$B$1:$F$32,5,0)*$L30)+(VLOOKUP($K30,'Withdrawal Working'!$AD:$AE,2,0)*(IFERROR(VLOOKUP(BR$2,$B$35:$C$42,2,0),0)))</f>
        <v>0</v>
      </c>
      <c r="BT30" s="58">
        <f>IFERROR(IF($K30&lt;VLOOKUP(BR$2,$B:$H,7,0),IF(BV$3=1,MIN($M30,BR30),IF(HLOOKUP(CONCATENATE("Balance",BV$3-1),'Withdrawal Working'!$A$2:$CD$78,MATCH('Yoy WAR OG'!$J30,'Withdrawal Working'!$A$2:$A$78,0),FALSE)&gt;0,MIN(HLOOKUP(CONCATENATE("Balance",BV$3-1),'Withdrawal Working'!$A$2:$CD$78,MATCH('Yoy WAR OG'!$J30,'Withdrawal Working'!$A$2:$A$78,0),0),BR30),0)),IF($K30=VLOOKUP(BR$2,$B:$H,7,0),BR30,)),0)</f>
        <v>0</v>
      </c>
      <c r="BU30" s="58">
        <f t="shared" ca="1" si="9"/>
        <v>0</v>
      </c>
      <c r="BX30" s="450">
        <f t="shared" ca="1" si="36"/>
        <v>0</v>
      </c>
      <c r="BY30" s="58">
        <f ca="1">(VLOOKUP(BX$2,$B$1:$F$32,5,0)*$L30)+(VLOOKUP($K30,'Withdrawal Working'!$AD:$AE,2,0)*(IFERROR(VLOOKUP(BX$2,$B$35:$C$42,2,0),0)))</f>
        <v>0</v>
      </c>
      <c r="BZ30" s="58">
        <f>IFERROR(IF($K30&lt;VLOOKUP(BX$2,$B:$H,7,0),IF(CB$3=1,MIN($M30,BX30),IF(HLOOKUP(CONCATENATE("Balance",CB$3-1),'Withdrawal Working'!$A$2:$CD$78,MATCH('Yoy WAR OG'!$J30,'Withdrawal Working'!$A$2:$A$78,0),FALSE)&gt;0,MIN(HLOOKUP(CONCATENATE("Balance",CB$3-1),'Withdrawal Working'!$A$2:$CD$78,MATCH('Yoy WAR OG'!$J30,'Withdrawal Working'!$A$2:$A$78,0),0),BX30),0)),IF($K30=VLOOKUP(BX$2,$B:$H,7,0),BX30,)),0)</f>
        <v>0</v>
      </c>
      <c r="CA30" s="58">
        <f t="shared" ca="1" si="10"/>
        <v>0</v>
      </c>
      <c r="CD30" s="450">
        <f t="shared" ca="1" si="37"/>
        <v>39268805.070664816</v>
      </c>
      <c r="CE30" s="58">
        <f ca="1">(VLOOKUP(CD$2,$B$1:$F$32,5,0)*$L30)+(VLOOKUP($K30,'Withdrawal Working'!$AD:$AE,2,0)*(IFERROR(VLOOKUP(CD$2,$B$35:$C$42,2,0),0)))+SUMIFS('Key Life Events'!$I$3:$I$28,'Key Life Events'!$H$3:$H$28,"House",'Key Life Events'!$E$3:$E$28,'Yoy WAR OG'!K30)</f>
        <v>0</v>
      </c>
      <c r="CF30" s="58">
        <f>IFERROR(IF($K30&lt;VLOOKUP(CD$2,$B:$H,7,0),IF(CH$3=1,MIN($M30,CD30),IF(HLOOKUP(CONCATENATE("Balance",CH$3-1),'Withdrawal Working'!$A$2:$CD$78,MATCH('Yoy WAR OG'!$J30,'Withdrawal Working'!$A$2:$A$78,0),FALSE)&gt;0,MIN(HLOOKUP(CONCATENATE("Balance",CH$3-1),'Withdrawal Working'!$A$2:$CD$78,MATCH('Yoy WAR OG'!$J30,'Withdrawal Working'!$A$2:$A$78,0),0),CD30),0)),IF($K30=VLOOKUP(CD$2,$B:$H,7,0),CD30,)),0)</f>
        <v>0</v>
      </c>
      <c r="CG30" s="58">
        <f t="shared" ca="1" si="11"/>
        <v>40446869.222784758</v>
      </c>
      <c r="CJ30" s="450">
        <f t="shared" ca="1" si="38"/>
        <v>0</v>
      </c>
      <c r="CK30" s="58">
        <f ca="1">(VLOOKUP(CJ$2,$B$1:$F$32,5,0)*$L30)+(VLOOKUP($K30,'Withdrawal Working'!$AD:$AE,2,0)*(IFERROR(VLOOKUP(CJ$2,$B$35:$C$42,2,0),0)))+SUMIFS('Key Life Events'!$I$3:$I$28,'Key Life Events'!$H$3:$H$28,"House2",'Key Life Events'!$E$3:$E$28,'Yoy WAR OG'!K30)</f>
        <v>0</v>
      </c>
      <c r="CL30" s="58">
        <f ca="1">IF(IFERROR(IF($K30&lt;&gt;VLOOKUP(CJ$2,$B:$H,7,0),IF(CN$3=1,MIN($M30,CJ30),IF(HLOOKUP(CONCATENATE("Balance",CN$3-1),'Withdrawal Working'!$A$2:$CD$78,MATCH('Yoy WAR OG'!$J30,'Withdrawal Working'!$A$2:$A$78,0),FALSE)&gt;0,MIN(HLOOKUP(CONCATENATE("Balance",CN$3-1),'Withdrawal Working'!$A$2:$CD$78,MATCH('Yoy WAR OG'!$J30,'Withdrawal Working'!$A$2:$A$78,0),0),CJ30),0)),IF($K30=VLOOKUP(CJ$2,$B:$H,7,0),CJ30,)),0)&gt;0,CJ30,0)</f>
        <v>0</v>
      </c>
      <c r="CM30" s="58">
        <f t="shared" ca="1" si="12"/>
        <v>0</v>
      </c>
      <c r="CP30" s="450">
        <f t="shared" ca="1" si="39"/>
        <v>8889181.7198608927</v>
      </c>
      <c r="CQ30" s="58">
        <f ca="1">(VLOOKUP(CP$2,$B$1:$F$32,5,0)*$L30)+(VLOOKUP($K30,'Withdrawal Working'!$AD:$AE,2,0)*(IFERROR(VLOOKUP(CP$2,$B$35:$C$42,2,0),0)))+SUMIFS('Key Life Events'!$I$3:$I$28,'Key Life Events'!$H$3:$H$28,"Land",'Key Life Events'!$E$3:$E$28,'Yoy WAR OG'!K30)</f>
        <v>0</v>
      </c>
      <c r="CR30" s="58">
        <f>IFERROR(IF($K30&lt;VLOOKUP(CP$2,$B:$H,7,0),IF(CT$3=1,MIN($M30,CP30),IF(HLOOKUP(CONCATENATE("Balance",CT$3-1),'Withdrawal Working'!$A$2:$CD$78,MATCH('Yoy WAR OG'!$J30,'Withdrawal Working'!$A$2:$A$78,0),FALSE)&gt;0,MIN(HLOOKUP(CONCATENATE("Balance",CT$3-1),'Withdrawal Working'!$A$2:$CD$78,MATCH('Yoy WAR OG'!$J30,'Withdrawal Working'!$A$2:$A$78,0),0),CP30),0)),IF($K30=VLOOKUP(CP$2,$B:$H,7,0),CP30,)),0)</f>
        <v>0</v>
      </c>
      <c r="CS30" s="58">
        <f t="shared" ca="1" si="13"/>
        <v>9333640.8058539387</v>
      </c>
      <c r="CV30" s="450">
        <f t="shared" ca="1" si="40"/>
        <v>0</v>
      </c>
      <c r="CW30" s="58"/>
      <c r="CX30" s="58">
        <f>IFERROR(IF($K30&lt;VLOOKUP(CV$2,$B:$H,7,0),IF(CZ$3=1,MIN($M30,CV30),IF(HLOOKUP(CONCATENATE("Balance",CZ$3-1),'Withdrawal Working'!$A$2:$CD$78,MATCH('Yoy WAR OG'!$J30,'Withdrawal Working'!$A$2:$A$78,0),FALSE)&gt;0,MIN(HLOOKUP(CONCATENATE("Balance",CZ$3-1),'Withdrawal Working'!$A$2:$CD$78,MATCH('Yoy WAR OG'!$J30,'Withdrawal Working'!$A$2:$A$78,0),0),CV30),0)),IF($K30=VLOOKUP(CV$2,$B:$H,7,0),CV30,)),0)</f>
        <v>0</v>
      </c>
      <c r="CY30" s="58">
        <f t="shared" ca="1" si="14"/>
        <v>0</v>
      </c>
      <c r="DB30" s="450">
        <f t="shared" ca="1" si="41"/>
        <v>0</v>
      </c>
      <c r="DC30" s="58">
        <f ca="1">(VLOOKUP(DB$2,$B$1:$F$32,5,0)*$L30)+(VLOOKUP($K30,'Withdrawal Working'!$AD:$AE,2,0)*(IFERROR(VLOOKUP(DB$2,$B$35:$C$42,2,0),0)))</f>
        <v>0</v>
      </c>
      <c r="DD30" s="58">
        <f>IFERROR(IF($K30&lt;VLOOKUP(DB$2,$B:$H,7,0),IF(DF$3=1,MIN($M30,DB30),IF(HLOOKUP(CONCATENATE("Balance",DF$3-1),'Withdrawal Working'!$A$2:$CD$78,MATCH('Yoy WAR OG'!$J30,'Withdrawal Working'!$A$2:$A$78,0),FALSE)&gt;0,MIN(HLOOKUP(CONCATENATE("Balance",DF$3-1),'Withdrawal Working'!$A$2:$CD$78,MATCH('Yoy WAR OG'!$J30,'Withdrawal Working'!$A$2:$A$78,0),0),DB30),0)),IF($K30=VLOOKUP(DB$2,$B:$H,7,0),DB30,)),0)</f>
        <v>0</v>
      </c>
      <c r="DE30" s="58">
        <f t="shared" ca="1" si="15"/>
        <v>0</v>
      </c>
      <c r="DH30" s="450">
        <f t="shared" ca="1" si="42"/>
        <v>0</v>
      </c>
      <c r="DI30" s="58">
        <f>IF(OR(J30&gt;'NWGC - SCENARIOS'!$D$7,J30='NWGC - SCENARIOS'!$D$7),0,DI29*(1+'NWGC - SCENARIOS'!$L$5))</f>
        <v>0</v>
      </c>
      <c r="DJ30" s="58">
        <f>IFERROR(IF($K30&lt;VLOOKUP(DH$2,$B:$H,7,0),IF(DL$3=1,MIN($M30,DH30),IF(HLOOKUP(CONCATENATE("Balance",DL$3-1),'Withdrawal Working'!$A$2:$CD$78,MATCH('Yoy WAR OG'!$J30,'Withdrawal Working'!$A$2:$A$78,0),FALSE)&gt;0,MIN(HLOOKUP(CONCATENATE("Balance",DL$3-1),'Withdrawal Working'!$A$2:$CD$78,MATCH('Yoy WAR OG'!$J30,'Withdrawal Working'!$A$2:$A$78,0),0),DH30),0)),IF($K30=VLOOKUP(DH$2,$B:$H,7,0),DH30,)),0)</f>
        <v>0</v>
      </c>
      <c r="DK30" s="58">
        <f t="shared" ca="1" si="16"/>
        <v>0</v>
      </c>
      <c r="DN30" s="450">
        <f t="shared" ca="1" si="43"/>
        <v>0</v>
      </c>
      <c r="DO30" s="58">
        <f ca="1">(VLOOKUP(DN$2,$B$1:$F$32,5,0)*$L30)+(VLOOKUP($K30,'Withdrawal Working'!$AD:$AE,2,0)*(IFERROR(VLOOKUP(DN$2,$B$35:$C$42,2,0),0)))</f>
        <v>0</v>
      </c>
      <c r="DP30" s="58">
        <f>IFERROR(IF($K30&lt;VLOOKUP(DN$2,$B:$H,7,0),IF(DR$3=1,MIN($M30,DN30),IF(HLOOKUP(CONCATENATE("Balance",DR$3-1),'Withdrawal Working'!$A$2:$CD$78,MATCH('Yoy WAR OG'!$J30,'Withdrawal Working'!$A$2:$A$78,0),FALSE)&gt;0,MIN(HLOOKUP(CONCATENATE("Balance",DR$3-1),'Withdrawal Working'!$A$2:$CD$78,MATCH('Yoy WAR OG'!$J30,'Withdrawal Working'!$A$2:$A$78,0),0),DN30),0)),IF($K30=VLOOKUP(DN$2,$B:$H,7,0),DN30,)),0)</f>
        <v>0</v>
      </c>
      <c r="DQ30" s="58">
        <f t="shared" ca="1" si="17"/>
        <v>0</v>
      </c>
      <c r="DT30" s="450">
        <f t="shared" ca="1" si="44"/>
        <v>0</v>
      </c>
      <c r="DU30" s="58">
        <f ca="1">(VLOOKUP(DT$2,$B$1:$F$32,5,0)*$L30)+(VLOOKUP($K30,'Withdrawal Working'!$AD:$AE,2,0)*(IFERROR(VLOOKUP(DT$2,$B$35:$C$42,2,0),0)))</f>
        <v>0</v>
      </c>
      <c r="DV30" s="58">
        <f>IFERROR(IF($K30&lt;VLOOKUP(DT$2,$B:$H,7,0),IF(DX$3=1,MIN($M30,DT30),IF(HLOOKUP(CONCATENATE("Balance",DX$3-1),'Withdrawal Working'!$A$2:$CD$78,MATCH('Yoy WAR OG'!$J30,'Withdrawal Working'!$A$2:$A$78,0),FALSE)&gt;0,MIN(HLOOKUP(CONCATENATE("Balance",DX$3-1),'Withdrawal Working'!$A$2:$CD$78,MATCH('Yoy WAR OG'!$J30,'Withdrawal Working'!$A$2:$A$78,0),0),DT30),0)),IF($K30=VLOOKUP(DT$2,$B:$H,7,0),DT30,)),0)</f>
        <v>0</v>
      </c>
      <c r="DW30" s="58">
        <f t="shared" ca="1" si="18"/>
        <v>0</v>
      </c>
      <c r="DZ30" s="450">
        <f t="shared" ca="1" si="45"/>
        <v>0</v>
      </c>
      <c r="EA30" s="58">
        <f ca="1">(VLOOKUP(DZ$2,$B$1:$F$32,5,0)*$L30)+(VLOOKUP($K30,'Withdrawal Working'!$AD:$AE,2,0)*(IFERROR(VLOOKUP(DZ$2,$B$35:$C$42,2,0),0)))</f>
        <v>0</v>
      </c>
      <c r="EB30" s="58">
        <f>IFERROR(IF($K30&lt;VLOOKUP(DZ$2,$B:$H,7,0),IF(ED$3=1,MIN($M30,DZ30),IF(HLOOKUP(CONCATENATE("Balance",ED$3-1),'Withdrawal Working'!$A$2:$CD$78,MATCH('Yoy WAR OG'!$J30,'Withdrawal Working'!$A$2:$A$78,0),FALSE)&gt;0,MIN(HLOOKUP(CONCATENATE("Balance",ED$3-1),'Withdrawal Working'!$A$2:$CD$78,MATCH('Yoy WAR OG'!$J30,'Withdrawal Working'!$A$2:$A$78,0),0),DZ30),0)),IF($K30=VLOOKUP(DZ$2,$B:$H,7,0),DZ30,)),0)</f>
        <v>0</v>
      </c>
      <c r="EC30" s="58">
        <f t="shared" ca="1" si="19"/>
        <v>0</v>
      </c>
      <c r="EF30" s="450">
        <f t="shared" ca="1" si="46"/>
        <v>0</v>
      </c>
      <c r="EG30" s="58">
        <f ca="1">(VLOOKUP(EF$2,$B$1:$F$32,5,0)*$L30)+(VLOOKUP($K30,'Withdrawal Working'!$AD:$AE,2,0)*(IFERROR(VLOOKUP(EF$2,$B$35:$C$42,2,0),0)))</f>
        <v>0</v>
      </c>
      <c r="EH30" s="58">
        <f>IFERROR(IF($K30&lt;VLOOKUP(EF$2,$B:$H,7,0),IF(EJ$3=1,MIN($M30,EF30),IF(HLOOKUP(CONCATENATE("Balance",EJ$3-1),'Withdrawal Working'!$A$2:$CD$78,MATCH('Yoy WAR OG'!$J30,'Withdrawal Working'!$A$2:$A$78,0),FALSE)&gt;0,MIN(HLOOKUP(CONCATENATE("Balance",EJ$3-1),'Withdrawal Working'!$A$2:$CD$78,MATCH('Yoy WAR OG'!$J30,'Withdrawal Working'!$A$2:$A$78,0),0),EF30),0)),IF($K30=VLOOKUP(EF$2,$B:$H,7,0),EF30,)),0)</f>
        <v>0</v>
      </c>
      <c r="EI30" s="58">
        <f t="shared" ca="1" si="20"/>
        <v>0</v>
      </c>
      <c r="EL30" s="450">
        <f t="shared" ca="1" si="47"/>
        <v>0</v>
      </c>
      <c r="EM30" s="58">
        <f>IF(OR($J30&gt;'NWGC - SCENARIOS'!$D$7,$J30='NWGC - SCENARIOS'!$D$7),0,EM29)</f>
        <v>0</v>
      </c>
      <c r="EN30" s="58">
        <f>IFERROR(IF($K30&lt;VLOOKUP(EL$2,$B:$H,7,0),IF(EP$3=1,MIN($M30,EL30),IF(HLOOKUP(CONCATENATE("Balance",EP$3-1),'Withdrawal Working'!$A$2:$CD$78,MATCH('Yoy WAR OG'!$J30,'Withdrawal Working'!$A$2:$A$78,0),FALSE)&gt;0,MIN(HLOOKUP(CONCATENATE("Balance",EP$3-1),'Withdrawal Working'!$A$2:$CD$78,MATCH('Yoy WAR OG'!$J30,'Withdrawal Working'!$A$2:$A$78,0),0),EL30),0)),IF($K30=VLOOKUP(EL$2,$B:$H,7,0),EL30,)),0)</f>
        <v>0</v>
      </c>
      <c r="EO30" s="58">
        <f t="shared" ca="1" si="21"/>
        <v>0</v>
      </c>
      <c r="ER30" s="450">
        <f t="shared" ca="1" si="48"/>
        <v>0</v>
      </c>
      <c r="ES30" s="58">
        <f>IF(OR(J30&gt;'NWGC - SCENARIOS'!$D$7,J30='NWGC - SCENARIOS'!$D$7),0,ES29*(1+'NWGC - SCENARIOS'!$L$5))</f>
        <v>0</v>
      </c>
      <c r="ET30" s="58">
        <f>IFERROR(IF($K30&lt;VLOOKUP(ER$2,$B:$H,7,0),IF(EV$3=1,MIN($M30,ER30),IF(HLOOKUP(CONCATENATE("Balance",EV$3-1),'Withdrawal Working'!$A$2:$CD$78,MATCH('Yoy WAR OG'!$J30,'Withdrawal Working'!$A$2:$A$78,0),FALSE)&gt;0,MIN(HLOOKUP(CONCATENATE("Balance",EV$3-1),'Withdrawal Working'!$A$2:$CD$78,MATCH('Yoy WAR OG'!$J30,'Withdrawal Working'!$A$2:$A$78,0),0),ER30),0)),IF($K30=VLOOKUP(ER$2,$B:$H,7,0),ER30,)),0)</f>
        <v>0</v>
      </c>
      <c r="EU30" s="58">
        <f t="shared" ca="1" si="22"/>
        <v>0</v>
      </c>
      <c r="EX30" s="450">
        <f t="shared" ca="1" si="49"/>
        <v>0</v>
      </c>
      <c r="EY30" s="58">
        <f>IF(OR(J30&gt;'NWGC - SCENARIOS'!$D$7,J30='NWGC - SCENARIOS'!$D$7),0,EY29)</f>
        <v>0</v>
      </c>
      <c r="EZ30" s="58">
        <f>IFERROR(IF($K30&lt;VLOOKUP(EX$2,$B:$H,7,0),IF(FB$3=1,MIN($M30,EX30),IF(HLOOKUP(CONCATENATE("Balance",FB$3-1),'Withdrawal Working'!$A$2:$CD$78,MATCH('Yoy WAR OG'!$J30,'Withdrawal Working'!$A$2:$A$78,0),FALSE)&gt;0,MIN(HLOOKUP(CONCATENATE("Balance",FB$3-1),'Withdrawal Working'!$A$2:$CD$78,MATCH('Yoy WAR OG'!$J30,'Withdrawal Working'!$A$2:$A$78,0),0),EX30),0)),IF($K30=VLOOKUP(EX$2,$B:$H,7,0),EX30,)),0)</f>
        <v>0</v>
      </c>
      <c r="FA30" s="58">
        <f t="shared" ca="1" si="23"/>
        <v>0</v>
      </c>
    </row>
    <row r="31" spans="1:157" x14ac:dyDescent="0.3">
      <c r="J31">
        <f>IFERROR('NWGC - SCENARIOS'!B38,0)</f>
        <v>76</v>
      </c>
      <c r="K31">
        <f>IFERROR('NWGC - SCENARIOS'!C38,0)</f>
        <v>2052</v>
      </c>
      <c r="L31" s="449">
        <f ca="1">IF(('NWGC - SCENARIOS'!G38-working!G29)&gt;'NWGC - SCENARIOS'!H38,'NWGC - SCENARIOS'!G38-'NWGC - SCENARIOS'!H38-working!G29,0)</f>
        <v>0</v>
      </c>
      <c r="M31" s="449">
        <f ca="1">IF(('NWGC - SCENARIOS'!G38-working!G29)&gt;'NWGC - SCENARIOS'!H38,0,'NWGC - SCENARIOS'!H38-'NWGC - SCENARIOS'!G38+working!G29)</f>
        <v>17978836.247191936</v>
      </c>
      <c r="N31" s="58">
        <f t="shared" ca="1" si="0"/>
        <v>639282205.45022094</v>
      </c>
      <c r="O31" s="58">
        <f t="shared" ca="1" si="1"/>
        <v>78055951.600631237</v>
      </c>
      <c r="P31" s="58">
        <f t="shared" ca="1" si="24"/>
        <v>0</v>
      </c>
      <c r="Q31" s="58">
        <f ca="1">(VLOOKUP(P$2,$B$1:$F$32,5,0)*$L31)+(VLOOKUP($K31,'Withdrawal Working'!$AD:$AE,2,0)*(IFERROR(VLOOKUP(P$2,$B$35:$C$42,2,0),0)))</f>
        <v>0</v>
      </c>
      <c r="R31" s="58">
        <f>IFERROR(IF($K31&lt;VLOOKUP(P$2,$B:$H,7,0),IF(T$3=1,MIN($M31,P31),IF(HLOOKUP(CONCATENATE("Balance",T$3-1),'Withdrawal Working'!$A$2:$CD$78,MATCH('Yoy WAR OG'!$J31,'Withdrawal Working'!$A$2:$A$78,0),FALSE)&gt;0,MIN(HLOOKUP(CONCATENATE("Balance",T$3-1),'Withdrawal Working'!$A$2:$CD$78,MATCH('Yoy WAR OG'!$J31,'Withdrawal Working'!$A$2:$A$78,0),0),P31),0)),IF($K31=VLOOKUP(P$2,$B:$H,7,0),P31,)),0)</f>
        <v>0</v>
      </c>
      <c r="S31" s="58">
        <f t="shared" ca="1" si="26"/>
        <v>0</v>
      </c>
      <c r="T31" s="58"/>
      <c r="V31" s="58">
        <f t="shared" ca="1" si="27"/>
        <v>0</v>
      </c>
      <c r="W31" s="58">
        <f ca="1">(VLOOKUP(V$2,$B$1:$F$32,5,0)*$L31)+(VLOOKUP($K31,'Withdrawal Working'!$AD:$AE,2,0)*(IFERROR(VLOOKUP(V$2,$B$35:$C$42,2,0),0)))</f>
        <v>0</v>
      </c>
      <c r="X31" s="58">
        <f>IFERROR(IF($K31&lt;VLOOKUP(V$2,$B:$H,7,0),IF(Z$3=1,MIN($M31,V31),IF(HLOOKUP(CONCATENATE("Balance",Z$3-1),'Withdrawal Working'!$A$2:$CD$78,MATCH('Yoy WAR OG'!$J31,'Withdrawal Working'!$A$2:$A$78,0),FALSE)&gt;0,MIN(HLOOKUP(CONCATENATE("Balance",Z$3-1),'Withdrawal Working'!$A$2:$CD$78,MATCH('Yoy WAR OG'!$J31,'Withdrawal Working'!$A$2:$A$78,0),0),V31),0)),IF($K31=VLOOKUP(V$2,$B:$H,7,0),V31,)),0)</f>
        <v>0</v>
      </c>
      <c r="Y31" s="58">
        <f t="shared" ca="1" si="2"/>
        <v>0</v>
      </c>
      <c r="AB31" s="58">
        <f t="shared" ca="1" si="28"/>
        <v>0</v>
      </c>
      <c r="AC31" s="58">
        <f ca="1">(VLOOKUP(AB$2,$B$1:$F$32,5,0)*$L31)+(VLOOKUP($K31,'Withdrawal Working'!$AD:$AE,2,0)*(IFERROR(VLOOKUP(AB$2,$B$35:$C$42,2,0),0)))</f>
        <v>0</v>
      </c>
      <c r="AD31" s="58">
        <f>IFERROR(IF($K31&lt;VLOOKUP(AB$2,$B:$H,7,0),IF(AF$3=1,MIN($M31,AB31),IF(HLOOKUP(CONCATENATE("Balance",AF$3-1),'Withdrawal Working'!$A$2:$CD$78,MATCH('Yoy WAR OG'!$J31,'Withdrawal Working'!$A$2:$A$78,0),FALSE)&gt;0,MIN(HLOOKUP(CONCATENATE("Balance",AF$3-1),'Withdrawal Working'!$A$2:$CD$78,MATCH('Yoy WAR OG'!$J31,'Withdrawal Working'!$A$2:$A$78,0),0),AB31),0)),IF($K31=VLOOKUP(AB$2,$B:$H,7,0),AB31,)),0)</f>
        <v>0</v>
      </c>
      <c r="AE31" s="58">
        <f t="shared" ca="1" si="3"/>
        <v>0</v>
      </c>
      <c r="AH31" s="58">
        <f t="shared" ca="1" si="29"/>
        <v>255414590.40966889</v>
      </c>
      <c r="AI31" s="58">
        <f ca="1">(VLOOKUP(AH$2,$B$1:$F$32,5,0)*$L31)+IF(J31&gt;'NWGC - SCENARIOS'!$D$7,0,(VLOOKUP($K31,'Withdrawal Working'!$AD:$AE,2,0)*(IFERROR(VLOOKUP(AH$2,$B$35:$C$42,2,0),0))))</f>
        <v>0</v>
      </c>
      <c r="AJ31" s="58">
        <f ca="1">IFERROR(IF($J31&gt;'NWGC - SCENARIOS'!$D$7,MIN('Yoy WAR OG'!AH31,VLOOKUP('Yoy WAR OG'!$J31,'Withdrawal Working'!BC:BD,2,0)),IF(AL$3=1,$M31,IF(HLOOKUP(CONCATENATE("Balance",AL$3-1),'Withdrawal Working'!$A$2:$CD$78,MATCH('Yoy WAR OG'!$J31,'Withdrawal Working'!$A$2:$A$78,0),FALSE)&gt;0,MIN(HLOOKUP(CONCATENATE("Balance",AL$3-1),'Withdrawal Working'!$A$2:$CD$78,MATCH('Yoy WAR OG'!$J31,'Withdrawal Working'!$A$2:$A$78,0),0),AH31),0))),0)</f>
        <v>20984492.19872468</v>
      </c>
      <c r="AK31" s="58">
        <f t="shared" ca="1" si="4"/>
        <v>260217409.01414809</v>
      </c>
      <c r="AN31" s="450">
        <f t="shared" ca="1" si="30"/>
        <v>356297468.63242263</v>
      </c>
      <c r="AO31" s="58">
        <f ca="1">IF(J31&gt;'NWGC - SCENARIOS'!$D$7,(IF(AJ31=0,0,'Yoy WAR OG'!AJ31)+(VLOOKUP(AN$2,$B$1:$F$32,5,0)*$L31)),(VLOOKUP(AN$2,$B$1:$F$32,5,0)*$L31)+(VLOOKUP($K31,'Withdrawal Working'!$AD:$AE,2,0)*(IFERROR(VLOOKUP(AN$2,$B$35:$C$42,2,0),0))))</f>
        <v>20984492.19872468</v>
      </c>
      <c r="AP31" s="470">
        <f ca="1">IFERROR(IF($K31&lt;&gt;VLOOKUP(AN$2,$B:$H,7,0),IF(AR$3=1,MIN($M31,AN31),IF(HLOOKUP(CONCATENATE("Balance",AR$3-1),'Withdrawal Working'!$A$2:$CD$78,MATCH('Yoy WAR OG'!$J31,'Withdrawal Working'!$A$2:$A$78,0),FALSE)&gt;0,MIN(HLOOKUP(CONCATENATE("Balance",AR$3-1),'Withdrawal Working'!$A$2:$CD$78,MATCH('Yoy WAR OG'!$J31,'Withdrawal Working'!$A$2:$A$78,0),0),AN31),0)),IF($K31=VLOOKUP(AN$2,$B:$H,7,0),AN31,)),0)</f>
        <v>17978836.247191936</v>
      </c>
      <c r="AQ31" s="58">
        <f ca="1">IF(AO31&lt;0,0,IF(J31&gt;'NWGC - SCENARIOS'!$D$7,((AN31-AP31+AO31)*(1+(IFERROR(VLOOKUP(AN$2,$B:$D,3,0),0)))),((AN31-AP31)*(1+(IFERROR(VLOOKUP(AN$2,$B:$D,3,0),0))))+AO31))</f>
        <v>379064796.43607289</v>
      </c>
      <c r="AT31" s="450">
        <f t="shared" ca="1" si="31"/>
        <v>0</v>
      </c>
      <c r="AU31" s="58">
        <f ca="1">(VLOOKUP(AT$2,$B$1:$F$32,5,0)*$L31)+(VLOOKUP($K31,'Withdrawal Working'!$AD:$AE,2,0)*(IFERROR(VLOOKUP(AT$2,$B$35:$C$42,2,0),0)))</f>
        <v>0</v>
      </c>
      <c r="AV31" s="58">
        <f>IFERROR(IF($K31&lt;VLOOKUP(AT$2,$B:$H,7,0),IF(AX$3=1,MIN($M31,AT31),IF(HLOOKUP(CONCATENATE("Balance",AX$3-1),'Withdrawal Working'!$A$2:$CD$78,MATCH('Yoy WAR OG'!$J31,'Withdrawal Working'!$A$2:$A$78,0),FALSE)&gt;0,MIN(HLOOKUP(CONCATENATE("Balance",AX$3-1),'Withdrawal Working'!$A$2:$CD$78,MATCH('Yoy WAR OG'!$J31,'Withdrawal Working'!$A$2:$A$78,0),0),AT31),0)),IF($K31=VLOOKUP(AT$2,$B:$H,7,0),AT31,)),0)</f>
        <v>0</v>
      </c>
      <c r="AW31" s="58">
        <f t="shared" ca="1" si="5"/>
        <v>0</v>
      </c>
      <c r="AZ31" s="450">
        <f t="shared" ca="1" si="32"/>
        <v>24855470.518706817</v>
      </c>
      <c r="BA31" s="58">
        <f ca="1">(VLOOKUP(AZ$2,$B$1:$F$32,5,0)*$L31)+(VLOOKUP($K31,'Withdrawal Working'!$AD:$AE,2,0)*(IFERROR(VLOOKUP(AZ$2,$B$35:$C$42,2,0),0)))</f>
        <v>0</v>
      </c>
      <c r="BB31" s="58">
        <f>IFERROR(IF($K31&lt;VLOOKUP(AZ$2,$B:$H,7,0),IF(BD$3=1,MIN($M31,AZ31),IF(HLOOKUP(CONCATENATE("Balance",BD$3-1),'Withdrawal Working'!$A$2:$CD$78,MATCH('Yoy WAR OG'!$J31,'Withdrawal Working'!$A$2:$A$78,0),FALSE)&gt;0,MIN(HLOOKUP(CONCATENATE("Balance",BD$3-1),'Withdrawal Working'!$A$2:$CD$78,MATCH('Yoy WAR OG'!$J31,'Withdrawal Working'!$A$2:$A$78,0),0),AZ31),0)),IF($K31=VLOOKUP(AZ$2,$B:$H,7,0),AZ31,)),0)</f>
        <v>0</v>
      </c>
      <c r="BC31" s="58">
        <f t="shared" ca="1" si="6"/>
        <v>26595353.455016296</v>
      </c>
      <c r="BF31" s="450">
        <f t="shared" ca="1" si="33"/>
        <v>0</v>
      </c>
      <c r="BG31" s="58">
        <f ca="1">(VLOOKUP(BF$2,$B$1:$F$32,5,0)*$L31)+(VLOOKUP($K31,'Withdrawal Working'!$AD:$AE,2,0)*(IFERROR(VLOOKUP(BF$2,$B$35:$C$42,2,0),0)))</f>
        <v>0</v>
      </c>
      <c r="BH31" s="58">
        <f>IFERROR(IF($K31&lt;VLOOKUP(BF$2,$B:$H,7,0),IF(BJ$3=1,MIN($M31,BF31),IF(HLOOKUP(CONCATENATE("Balance",BJ$3-1),'Withdrawal Working'!$A$2:$CD$78,MATCH('Yoy WAR OG'!$J31,'Withdrawal Working'!$A$2:$A$78,0),FALSE)&gt;0,MIN(HLOOKUP(CONCATENATE("Balance",BJ$3-1),'Withdrawal Working'!$A$2:$CD$78,MATCH('Yoy WAR OG'!$J31,'Withdrawal Working'!$A$2:$A$78,0),0),BF31),0)),IF($K31=VLOOKUP(BF$2,$B:$H,7,0),BF31,)),0)</f>
        <v>0</v>
      </c>
      <c r="BI31" s="58">
        <f t="shared" ca="1" si="7"/>
        <v>0</v>
      </c>
      <c r="BL31" s="450">
        <f t="shared" ca="1" si="34"/>
        <v>0</v>
      </c>
      <c r="BM31" s="58">
        <f ca="1">(VLOOKUP(BL$2,$B$1:$F$32,5,0)*$L31)+(VLOOKUP($K31,'Withdrawal Working'!$AD:$AE,2,0)*(IFERROR(VLOOKUP(BL$2,$B$35:$C$42,2,0),0)))</f>
        <v>0</v>
      </c>
      <c r="BN31" s="58">
        <f>IFERROR(IF($K31&lt;VLOOKUP(BL$2,$B:$H,7,0),IF(BP$3=1,MIN($M31,BL31),IF(HLOOKUP(CONCATENATE("Balance",BP$3-1),'Withdrawal Working'!$A$2:$CD$78,MATCH('Yoy WAR OG'!$J31,'Withdrawal Working'!$A$2:$A$78,0),FALSE)&gt;0,MIN(HLOOKUP(CONCATENATE("Balance",BP$3-1),'Withdrawal Working'!$A$2:$CD$78,MATCH('Yoy WAR OG'!$J31,'Withdrawal Working'!$A$2:$A$78,0),0),BL31),0)),IF($K31=VLOOKUP(BL$2,$B:$H,7,0),BL31,)),0)</f>
        <v>0</v>
      </c>
      <c r="BO31" s="58">
        <f t="shared" ca="1" si="8"/>
        <v>0</v>
      </c>
      <c r="BR31" s="450">
        <f t="shared" ca="1" si="35"/>
        <v>0</v>
      </c>
      <c r="BS31" s="58">
        <f ca="1">(VLOOKUP(BR$2,$B$1:$F$32,5,0)*$L31)+(VLOOKUP($K31,'Withdrawal Working'!$AD:$AE,2,0)*(IFERROR(VLOOKUP(BR$2,$B$35:$C$42,2,0),0)))</f>
        <v>0</v>
      </c>
      <c r="BT31" s="58">
        <f>IFERROR(IF($K31&lt;VLOOKUP(BR$2,$B:$H,7,0),IF(BV$3=1,MIN($M31,BR31),IF(HLOOKUP(CONCATENATE("Balance",BV$3-1),'Withdrawal Working'!$A$2:$CD$78,MATCH('Yoy WAR OG'!$J31,'Withdrawal Working'!$A$2:$A$78,0),FALSE)&gt;0,MIN(HLOOKUP(CONCATENATE("Balance",BV$3-1),'Withdrawal Working'!$A$2:$CD$78,MATCH('Yoy WAR OG'!$J31,'Withdrawal Working'!$A$2:$A$78,0),0),BR31),0)),IF($K31=VLOOKUP(BR$2,$B:$H,7,0),BR31,)),0)</f>
        <v>0</v>
      </c>
      <c r="BU31" s="58">
        <f t="shared" ca="1" si="9"/>
        <v>0</v>
      </c>
      <c r="BX31" s="450">
        <f t="shared" ca="1" si="36"/>
        <v>0</v>
      </c>
      <c r="BY31" s="58">
        <f ca="1">(VLOOKUP(BX$2,$B$1:$F$32,5,0)*$L31)+(VLOOKUP($K31,'Withdrawal Working'!$AD:$AE,2,0)*(IFERROR(VLOOKUP(BX$2,$B$35:$C$42,2,0),0)))</f>
        <v>0</v>
      </c>
      <c r="BZ31" s="58">
        <f>IFERROR(IF($K31&lt;VLOOKUP(BX$2,$B:$H,7,0),IF(CB$3=1,MIN($M31,BX31),IF(HLOOKUP(CONCATENATE("Balance",CB$3-1),'Withdrawal Working'!$A$2:$CD$78,MATCH('Yoy WAR OG'!$J31,'Withdrawal Working'!$A$2:$A$78,0),FALSE)&gt;0,MIN(HLOOKUP(CONCATENATE("Balance",CB$3-1),'Withdrawal Working'!$A$2:$CD$78,MATCH('Yoy WAR OG'!$J31,'Withdrawal Working'!$A$2:$A$78,0),0),BX31),0)),IF($K31=VLOOKUP(BX$2,$B:$H,7,0),BX31,)),0)</f>
        <v>0</v>
      </c>
      <c r="CA31" s="58">
        <f t="shared" ca="1" si="10"/>
        <v>0</v>
      </c>
      <c r="CD31" s="450">
        <f t="shared" ca="1" si="37"/>
        <v>40446869.222784758</v>
      </c>
      <c r="CE31" s="58">
        <f ca="1">(VLOOKUP(CD$2,$B$1:$F$32,5,0)*$L31)+(VLOOKUP($K31,'Withdrawal Working'!$AD:$AE,2,0)*(IFERROR(VLOOKUP(CD$2,$B$35:$C$42,2,0),0)))+SUMIFS('Key Life Events'!$I$3:$I$28,'Key Life Events'!$H$3:$H$28,"House",'Key Life Events'!$E$3:$E$28,'Yoy WAR OG'!K31)</f>
        <v>0</v>
      </c>
      <c r="CF31" s="58">
        <f>IFERROR(IF($K31&lt;VLOOKUP(CD$2,$B:$H,7,0),IF(CH$3=1,MIN($M31,CD31),IF(HLOOKUP(CONCATENATE("Balance",CH$3-1),'Withdrawal Working'!$A$2:$CD$78,MATCH('Yoy WAR OG'!$J31,'Withdrawal Working'!$A$2:$A$78,0),FALSE)&gt;0,MIN(HLOOKUP(CONCATENATE("Balance",CH$3-1),'Withdrawal Working'!$A$2:$CD$78,MATCH('Yoy WAR OG'!$J31,'Withdrawal Working'!$A$2:$A$78,0),0),CD31),0)),IF($K31=VLOOKUP(CD$2,$B:$H,7,0),CD31,)),0)</f>
        <v>0</v>
      </c>
      <c r="CG31" s="58">
        <f t="shared" ca="1" si="11"/>
        <v>41660275.299468301</v>
      </c>
      <c r="CJ31" s="450">
        <f t="shared" ca="1" si="38"/>
        <v>0</v>
      </c>
      <c r="CK31" s="58">
        <f ca="1">(VLOOKUP(CJ$2,$B$1:$F$32,5,0)*$L31)+(VLOOKUP($K31,'Withdrawal Working'!$AD:$AE,2,0)*(IFERROR(VLOOKUP(CJ$2,$B$35:$C$42,2,0),0)))+SUMIFS('Key Life Events'!$I$3:$I$28,'Key Life Events'!$H$3:$H$28,"House2",'Key Life Events'!$E$3:$E$28,'Yoy WAR OG'!K31)</f>
        <v>0</v>
      </c>
      <c r="CL31" s="58">
        <f ca="1">IF(IFERROR(IF($K31&lt;&gt;VLOOKUP(CJ$2,$B:$H,7,0),IF(CN$3=1,MIN($M31,CJ31),IF(HLOOKUP(CONCATENATE("Balance",CN$3-1),'Withdrawal Working'!$A$2:$CD$78,MATCH('Yoy WAR OG'!$J31,'Withdrawal Working'!$A$2:$A$78,0),FALSE)&gt;0,MIN(HLOOKUP(CONCATENATE("Balance",CN$3-1),'Withdrawal Working'!$A$2:$CD$78,MATCH('Yoy WAR OG'!$J31,'Withdrawal Working'!$A$2:$A$78,0),0),CJ31),0)),IF($K31=VLOOKUP(CJ$2,$B:$H,7,0),CJ31,)),0)&gt;0,CJ31,0)</f>
        <v>0</v>
      </c>
      <c r="CM31" s="58">
        <f t="shared" ca="1" si="12"/>
        <v>0</v>
      </c>
      <c r="CP31" s="450">
        <f t="shared" ca="1" si="39"/>
        <v>9333640.8058539387</v>
      </c>
      <c r="CQ31" s="58">
        <f ca="1">(VLOOKUP(CP$2,$B$1:$F$32,5,0)*$L31)+(VLOOKUP($K31,'Withdrawal Working'!$AD:$AE,2,0)*(IFERROR(VLOOKUP(CP$2,$B$35:$C$42,2,0),0)))+SUMIFS('Key Life Events'!$I$3:$I$28,'Key Life Events'!$H$3:$H$28,"Land",'Key Life Events'!$E$3:$E$28,'Yoy WAR OG'!K31)</f>
        <v>0</v>
      </c>
      <c r="CR31" s="58">
        <f>IFERROR(IF($K31&lt;VLOOKUP(CP$2,$B:$H,7,0),IF(CT$3=1,MIN($M31,CP31),IF(HLOOKUP(CONCATENATE("Balance",CT$3-1),'Withdrawal Working'!$A$2:$CD$78,MATCH('Yoy WAR OG'!$J31,'Withdrawal Working'!$A$2:$A$78,0),FALSE)&gt;0,MIN(HLOOKUP(CONCATENATE("Balance",CT$3-1),'Withdrawal Working'!$A$2:$CD$78,MATCH('Yoy WAR OG'!$J31,'Withdrawal Working'!$A$2:$A$78,0),0),CP31),0)),IF($K31=VLOOKUP(CP$2,$B:$H,7,0),CP31,)),0)</f>
        <v>0</v>
      </c>
      <c r="CS31" s="58">
        <f t="shared" ca="1" si="13"/>
        <v>9800322.8461466357</v>
      </c>
      <c r="CV31" s="450">
        <f t="shared" ca="1" si="40"/>
        <v>0</v>
      </c>
      <c r="CW31" s="58"/>
      <c r="CX31" s="58">
        <f>IFERROR(IF($K31&lt;VLOOKUP(CV$2,$B:$H,7,0),IF(CZ$3=1,MIN($M31,CV31),IF(HLOOKUP(CONCATENATE("Balance",CZ$3-1),'Withdrawal Working'!$A$2:$CD$78,MATCH('Yoy WAR OG'!$J31,'Withdrawal Working'!$A$2:$A$78,0),FALSE)&gt;0,MIN(HLOOKUP(CONCATENATE("Balance",CZ$3-1),'Withdrawal Working'!$A$2:$CD$78,MATCH('Yoy WAR OG'!$J31,'Withdrawal Working'!$A$2:$A$78,0),0),CV31),0)),IF($K31=VLOOKUP(CV$2,$B:$H,7,0),CV31,)),0)</f>
        <v>0</v>
      </c>
      <c r="CY31" s="58">
        <f t="shared" ca="1" si="14"/>
        <v>0</v>
      </c>
      <c r="DB31" s="450">
        <f t="shared" ca="1" si="41"/>
        <v>0</v>
      </c>
      <c r="DC31" s="58">
        <f ca="1">(VLOOKUP(DB$2,$B$1:$F$32,5,0)*$L31)+(VLOOKUP($K31,'Withdrawal Working'!$AD:$AE,2,0)*(IFERROR(VLOOKUP(DB$2,$B$35:$C$42,2,0),0)))</f>
        <v>0</v>
      </c>
      <c r="DD31" s="58">
        <f>IFERROR(IF($K31&lt;VLOOKUP(DB$2,$B:$H,7,0),IF(DF$3=1,MIN($M31,DB31),IF(HLOOKUP(CONCATENATE("Balance",DF$3-1),'Withdrawal Working'!$A$2:$CD$78,MATCH('Yoy WAR OG'!$J31,'Withdrawal Working'!$A$2:$A$78,0),FALSE)&gt;0,MIN(HLOOKUP(CONCATENATE("Balance",DF$3-1),'Withdrawal Working'!$A$2:$CD$78,MATCH('Yoy WAR OG'!$J31,'Withdrawal Working'!$A$2:$A$78,0),0),DB31),0)),IF($K31=VLOOKUP(DB$2,$B:$H,7,0),DB31,)),0)</f>
        <v>0</v>
      </c>
      <c r="DE31" s="58">
        <f t="shared" ca="1" si="15"/>
        <v>0</v>
      </c>
      <c r="DH31" s="450">
        <f t="shared" ca="1" si="42"/>
        <v>0</v>
      </c>
      <c r="DI31" s="58">
        <f>IF(OR(J31&gt;'NWGC - SCENARIOS'!$D$7,J31='NWGC - SCENARIOS'!$D$7),0,DI30*(1+'NWGC - SCENARIOS'!$L$5))</f>
        <v>0</v>
      </c>
      <c r="DJ31" s="58">
        <f>IFERROR(IF($K31&lt;VLOOKUP(DH$2,$B:$H,7,0),IF(DL$3=1,MIN($M31,DH31),IF(HLOOKUP(CONCATENATE("Balance",DL$3-1),'Withdrawal Working'!$A$2:$CD$78,MATCH('Yoy WAR OG'!$J31,'Withdrawal Working'!$A$2:$A$78,0),FALSE)&gt;0,MIN(HLOOKUP(CONCATENATE("Balance",DL$3-1),'Withdrawal Working'!$A$2:$CD$78,MATCH('Yoy WAR OG'!$J31,'Withdrawal Working'!$A$2:$A$78,0),0),DH31),0)),IF($K31=VLOOKUP(DH$2,$B:$H,7,0),DH31,)),0)</f>
        <v>0</v>
      </c>
      <c r="DK31" s="58">
        <f t="shared" ca="1" si="16"/>
        <v>0</v>
      </c>
      <c r="DN31" s="450">
        <f t="shared" ca="1" si="43"/>
        <v>0</v>
      </c>
      <c r="DO31" s="58">
        <f ca="1">(VLOOKUP(DN$2,$B$1:$F$32,5,0)*$L31)+(VLOOKUP($K31,'Withdrawal Working'!$AD:$AE,2,0)*(IFERROR(VLOOKUP(DN$2,$B$35:$C$42,2,0),0)))</f>
        <v>0</v>
      </c>
      <c r="DP31" s="58">
        <f>IFERROR(IF($K31&lt;VLOOKUP(DN$2,$B:$H,7,0),IF(DR$3=1,MIN($M31,DN31),IF(HLOOKUP(CONCATENATE("Balance",DR$3-1),'Withdrawal Working'!$A$2:$CD$78,MATCH('Yoy WAR OG'!$J31,'Withdrawal Working'!$A$2:$A$78,0),FALSE)&gt;0,MIN(HLOOKUP(CONCATENATE("Balance",DR$3-1),'Withdrawal Working'!$A$2:$CD$78,MATCH('Yoy WAR OG'!$J31,'Withdrawal Working'!$A$2:$A$78,0),0),DN31),0)),IF($K31=VLOOKUP(DN$2,$B:$H,7,0),DN31,)),0)</f>
        <v>0</v>
      </c>
      <c r="DQ31" s="58">
        <f t="shared" ca="1" si="17"/>
        <v>0</v>
      </c>
      <c r="DT31" s="450">
        <f t="shared" ca="1" si="44"/>
        <v>0</v>
      </c>
      <c r="DU31" s="58">
        <f ca="1">(VLOOKUP(DT$2,$B$1:$F$32,5,0)*$L31)+(VLOOKUP($K31,'Withdrawal Working'!$AD:$AE,2,0)*(IFERROR(VLOOKUP(DT$2,$B$35:$C$42,2,0),0)))</f>
        <v>0</v>
      </c>
      <c r="DV31" s="58">
        <f>IFERROR(IF($K31&lt;VLOOKUP(DT$2,$B:$H,7,0),IF(DX$3=1,MIN($M31,DT31),IF(HLOOKUP(CONCATENATE("Balance",DX$3-1),'Withdrawal Working'!$A$2:$CD$78,MATCH('Yoy WAR OG'!$J31,'Withdrawal Working'!$A$2:$A$78,0),FALSE)&gt;0,MIN(HLOOKUP(CONCATENATE("Balance",DX$3-1),'Withdrawal Working'!$A$2:$CD$78,MATCH('Yoy WAR OG'!$J31,'Withdrawal Working'!$A$2:$A$78,0),0),DT31),0)),IF($K31=VLOOKUP(DT$2,$B:$H,7,0),DT31,)),0)</f>
        <v>0</v>
      </c>
      <c r="DW31" s="58">
        <f t="shared" ca="1" si="18"/>
        <v>0</v>
      </c>
      <c r="DZ31" s="450">
        <f t="shared" ca="1" si="45"/>
        <v>0</v>
      </c>
      <c r="EA31" s="58">
        <f ca="1">(VLOOKUP(DZ$2,$B$1:$F$32,5,0)*$L31)+(VLOOKUP($K31,'Withdrawal Working'!$AD:$AE,2,0)*(IFERROR(VLOOKUP(DZ$2,$B$35:$C$42,2,0),0)))</f>
        <v>0</v>
      </c>
      <c r="EB31" s="58">
        <f>IFERROR(IF($K31&lt;VLOOKUP(DZ$2,$B:$H,7,0),IF(ED$3=1,MIN($M31,DZ31),IF(HLOOKUP(CONCATENATE("Balance",ED$3-1),'Withdrawal Working'!$A$2:$CD$78,MATCH('Yoy WAR OG'!$J31,'Withdrawal Working'!$A$2:$A$78,0),FALSE)&gt;0,MIN(HLOOKUP(CONCATENATE("Balance",ED$3-1),'Withdrawal Working'!$A$2:$CD$78,MATCH('Yoy WAR OG'!$J31,'Withdrawal Working'!$A$2:$A$78,0),0),DZ31),0)),IF($K31=VLOOKUP(DZ$2,$B:$H,7,0),DZ31,)),0)</f>
        <v>0</v>
      </c>
      <c r="EC31" s="58">
        <f t="shared" ca="1" si="19"/>
        <v>0</v>
      </c>
      <c r="EF31" s="450">
        <f t="shared" ca="1" si="46"/>
        <v>0</v>
      </c>
      <c r="EG31" s="58">
        <f ca="1">(VLOOKUP(EF$2,$B$1:$F$32,5,0)*$L31)+(VLOOKUP($K31,'Withdrawal Working'!$AD:$AE,2,0)*(IFERROR(VLOOKUP(EF$2,$B$35:$C$42,2,0),0)))</f>
        <v>0</v>
      </c>
      <c r="EH31" s="58">
        <f>IFERROR(IF($K31&lt;VLOOKUP(EF$2,$B:$H,7,0),IF(EJ$3=1,MIN($M31,EF31),IF(HLOOKUP(CONCATENATE("Balance",EJ$3-1),'Withdrawal Working'!$A$2:$CD$78,MATCH('Yoy WAR OG'!$J31,'Withdrawal Working'!$A$2:$A$78,0),FALSE)&gt;0,MIN(HLOOKUP(CONCATENATE("Balance",EJ$3-1),'Withdrawal Working'!$A$2:$CD$78,MATCH('Yoy WAR OG'!$J31,'Withdrawal Working'!$A$2:$A$78,0),0),EF31),0)),IF($K31=VLOOKUP(EF$2,$B:$H,7,0),EF31,)),0)</f>
        <v>0</v>
      </c>
      <c r="EI31" s="58">
        <f t="shared" ca="1" si="20"/>
        <v>0</v>
      </c>
      <c r="EL31" s="450">
        <f t="shared" ca="1" si="47"/>
        <v>0</v>
      </c>
      <c r="EM31" s="58">
        <f>IF(OR($J31&gt;'NWGC - SCENARIOS'!$D$7,$J31='NWGC - SCENARIOS'!$D$7),0,EM30)</f>
        <v>0</v>
      </c>
      <c r="EN31" s="58">
        <f>IFERROR(IF($K31&lt;VLOOKUP(EL$2,$B:$H,7,0),IF(EP$3=1,MIN($M31,EL31),IF(HLOOKUP(CONCATENATE("Balance",EP$3-1),'Withdrawal Working'!$A$2:$CD$78,MATCH('Yoy WAR OG'!$J31,'Withdrawal Working'!$A$2:$A$78,0),FALSE)&gt;0,MIN(HLOOKUP(CONCATENATE("Balance",EP$3-1),'Withdrawal Working'!$A$2:$CD$78,MATCH('Yoy WAR OG'!$J31,'Withdrawal Working'!$A$2:$A$78,0),0),EL31),0)),IF($K31=VLOOKUP(EL$2,$B:$H,7,0),EL31,)),0)</f>
        <v>0</v>
      </c>
      <c r="EO31" s="58">
        <f t="shared" ca="1" si="21"/>
        <v>0</v>
      </c>
      <c r="ER31" s="450">
        <f t="shared" ca="1" si="48"/>
        <v>0</v>
      </c>
      <c r="ES31" s="58">
        <f>IF(OR(J31&gt;'NWGC - SCENARIOS'!$D$7,J31='NWGC - SCENARIOS'!$D$7),0,ES30*(1+'NWGC - SCENARIOS'!$L$5))</f>
        <v>0</v>
      </c>
      <c r="ET31" s="58">
        <f>IFERROR(IF($K31&lt;VLOOKUP(ER$2,$B:$H,7,0),IF(EV$3=1,MIN($M31,ER31),IF(HLOOKUP(CONCATENATE("Balance",EV$3-1),'Withdrawal Working'!$A$2:$CD$78,MATCH('Yoy WAR OG'!$J31,'Withdrawal Working'!$A$2:$A$78,0),FALSE)&gt;0,MIN(HLOOKUP(CONCATENATE("Balance",EV$3-1),'Withdrawal Working'!$A$2:$CD$78,MATCH('Yoy WAR OG'!$J31,'Withdrawal Working'!$A$2:$A$78,0),0),ER31),0)),IF($K31=VLOOKUP(ER$2,$B:$H,7,0),ER31,)),0)</f>
        <v>0</v>
      </c>
      <c r="EU31" s="58">
        <f t="shared" ca="1" si="22"/>
        <v>0</v>
      </c>
      <c r="EX31" s="450">
        <f t="shared" ca="1" si="49"/>
        <v>0</v>
      </c>
      <c r="EY31" s="58">
        <f>IF(OR(J31&gt;'NWGC - SCENARIOS'!$D$7,J31='NWGC - SCENARIOS'!$D$7),0,EY30)</f>
        <v>0</v>
      </c>
      <c r="EZ31" s="58">
        <f>IFERROR(IF($K31&lt;VLOOKUP(EX$2,$B:$H,7,0),IF(FB$3=1,MIN($M31,EX31),IF(HLOOKUP(CONCATENATE("Balance",FB$3-1),'Withdrawal Working'!$A$2:$CD$78,MATCH('Yoy WAR OG'!$J31,'Withdrawal Working'!$A$2:$A$78,0),FALSE)&gt;0,MIN(HLOOKUP(CONCATENATE("Balance",FB$3-1),'Withdrawal Working'!$A$2:$CD$78,MATCH('Yoy WAR OG'!$J31,'Withdrawal Working'!$A$2:$A$78,0),0),EX31),0)),IF($K31=VLOOKUP(EX$2,$B:$H,7,0),EX31,)),0)</f>
        <v>0</v>
      </c>
      <c r="FA31" s="58">
        <f t="shared" ca="1" si="23"/>
        <v>0</v>
      </c>
    </row>
    <row r="32" spans="1:157" x14ac:dyDescent="0.3">
      <c r="J32">
        <f>IFERROR('NWGC - SCENARIOS'!B39,0)</f>
        <v>77</v>
      </c>
      <c r="K32">
        <f>IFERROR('NWGC - SCENARIOS'!C39,0)</f>
        <v>2053</v>
      </c>
      <c r="L32" s="449">
        <f ca="1">IF(('NWGC - SCENARIOS'!G39-working!G30)&gt;'NWGC - SCENARIOS'!H39,'NWGC - SCENARIOS'!G39-'NWGC - SCENARIOS'!H39-working!G30,0)</f>
        <v>0</v>
      </c>
      <c r="M32" s="449">
        <f ca="1">IF(('NWGC - SCENARIOS'!G39-working!G30)&gt;'NWGC - SCENARIOS'!H39,0,'NWGC - SCENARIOS'!H39-'NWGC - SCENARIOS'!G39+working!G30)</f>
        <v>19423863.146967296</v>
      </c>
      <c r="N32" s="58">
        <f t="shared" ca="1" si="0"/>
        <v>667015660.18910646</v>
      </c>
      <c r="O32" s="58">
        <f t="shared" ca="1" si="1"/>
        <v>81657450.743773758</v>
      </c>
      <c r="P32" s="58">
        <f t="shared" ca="1" si="24"/>
        <v>0</v>
      </c>
      <c r="Q32" s="58">
        <f ca="1">(VLOOKUP(P$2,$B$1:$F$32,5,0)*$L32)+(VLOOKUP($K32,'Withdrawal Working'!$AD:$AE,2,0)*(IFERROR(VLOOKUP(P$2,$B$35:$C$42,2,0),0)))</f>
        <v>0</v>
      </c>
      <c r="R32" s="58">
        <f>IFERROR(IF($K32&lt;VLOOKUP(P$2,$B:$H,7,0),IF(T$3=1,MIN($M32,P32),IF(HLOOKUP(CONCATENATE("Balance",T$3-1),'Withdrawal Working'!$A$2:$CD$78,MATCH('Yoy WAR OG'!$J32,'Withdrawal Working'!$A$2:$A$78,0),FALSE)&gt;0,MIN(HLOOKUP(CONCATENATE("Balance",T$3-1),'Withdrawal Working'!$A$2:$CD$78,MATCH('Yoy WAR OG'!$J32,'Withdrawal Working'!$A$2:$A$78,0),0),P32),0)),IF($K32=VLOOKUP(P$2,$B:$H,7,0),P32,)),0)</f>
        <v>0</v>
      </c>
      <c r="S32" s="58">
        <f t="shared" ca="1" si="26"/>
        <v>0</v>
      </c>
      <c r="T32" s="58"/>
      <c r="V32" s="58">
        <f t="shared" ca="1" si="27"/>
        <v>0</v>
      </c>
      <c r="W32" s="58">
        <f ca="1">(VLOOKUP(V$2,$B$1:$F$32,5,0)*$L32)+(VLOOKUP($K32,'Withdrawal Working'!$AD:$AE,2,0)*(IFERROR(VLOOKUP(V$2,$B$35:$C$42,2,0),0)))</f>
        <v>0</v>
      </c>
      <c r="X32" s="58">
        <f>IFERROR(IF($K32&lt;VLOOKUP(V$2,$B:$H,7,0),IF(Z$3=1,MIN($M32,V32),IF(HLOOKUP(CONCATENATE("Balance",Z$3-1),'Withdrawal Working'!$A$2:$CD$78,MATCH('Yoy WAR OG'!$J32,'Withdrawal Working'!$A$2:$A$78,0),FALSE)&gt;0,MIN(HLOOKUP(CONCATENATE("Balance",Z$3-1),'Withdrawal Working'!$A$2:$CD$78,MATCH('Yoy WAR OG'!$J32,'Withdrawal Working'!$A$2:$A$78,0),0),V32),0)),IF($K32=VLOOKUP(V$2,$B:$H,7,0),V32,)),0)</f>
        <v>0</v>
      </c>
      <c r="Y32" s="58">
        <f t="shared" ca="1" si="2"/>
        <v>0</v>
      </c>
      <c r="AB32" s="58">
        <f t="shared" ca="1" si="28"/>
        <v>0</v>
      </c>
      <c r="AC32" s="58">
        <f ca="1">(VLOOKUP(AB$2,$B$1:$F$32,5,0)*$L32)+(VLOOKUP($K32,'Withdrawal Working'!$AD:$AE,2,0)*(IFERROR(VLOOKUP(AB$2,$B$35:$C$42,2,0),0)))</f>
        <v>0</v>
      </c>
      <c r="AD32" s="58">
        <f>IFERROR(IF($K32&lt;VLOOKUP(AB$2,$B:$H,7,0),IF(AF$3=1,MIN($M32,AB32),IF(HLOOKUP(CONCATENATE("Balance",AF$3-1),'Withdrawal Working'!$A$2:$CD$78,MATCH('Yoy WAR OG'!$J32,'Withdrawal Working'!$A$2:$A$78,0),FALSE)&gt;0,MIN(HLOOKUP(CONCATENATE("Balance",AF$3-1),'Withdrawal Working'!$A$2:$CD$78,MATCH('Yoy WAR OG'!$J32,'Withdrawal Working'!$A$2:$A$78,0),0),AB32),0)),IF($K32=VLOOKUP(AB$2,$B:$H,7,0),AB32,)),0)</f>
        <v>0</v>
      </c>
      <c r="AE32" s="58">
        <f t="shared" ca="1" si="3"/>
        <v>0</v>
      </c>
      <c r="AH32" s="58">
        <f t="shared" ca="1" si="29"/>
        <v>260217409.01414809</v>
      </c>
      <c r="AI32" s="58">
        <f ca="1">(VLOOKUP(AH$2,$B$1:$F$32,5,0)*$L32)+IF(J32&gt;'NWGC - SCENARIOS'!$D$7,0,(VLOOKUP($K32,'Withdrawal Working'!$AD:$AE,2,0)*(IFERROR(VLOOKUP(AH$2,$B$35:$C$42,2,0),0))))</f>
        <v>0</v>
      </c>
      <c r="AJ32" s="58">
        <f ca="1">IFERROR(IF($J32&gt;'NWGC - SCENARIOS'!$D$7,MIN('Yoy WAR OG'!AH32,VLOOKUP('Yoy WAR OG'!$J32,'Withdrawal Working'!BC:BD,2,0)),IF(AL$3=1,$M32,IF(HLOOKUP(CONCATENATE("Balance",AL$3-1),'Withdrawal Working'!$A$2:$CD$78,MATCH('Yoy WAR OG'!$J32,'Withdrawal Working'!$A$2:$A$78,0),FALSE)&gt;0,MIN(HLOOKUP(CONCATENATE("Balance",AL$3-1),'Withdrawal Working'!$A$2:$CD$78,MATCH('Yoy WAR OG'!$J32,'Withdrawal Working'!$A$2:$A$78,0),0),AH32),0))),0)</f>
        <v>22669971.574622657</v>
      </c>
      <c r="AK32" s="58">
        <f t="shared" ca="1" si="4"/>
        <v>263677655.55787325</v>
      </c>
      <c r="AN32" s="450">
        <f t="shared" ca="1" si="30"/>
        <v>379064796.43607289</v>
      </c>
      <c r="AO32" s="58">
        <f ca="1">IF(J32&gt;'NWGC - SCENARIOS'!$D$7,(IF(AJ32=0,0,'Yoy WAR OG'!AJ32)+(VLOOKUP(AN$2,$B$1:$F$32,5,0)*$L32)),(VLOOKUP(AN$2,$B$1:$F$32,5,0)*$L32)+(VLOOKUP($K32,'Withdrawal Working'!$AD:$AE,2,0)*(IFERROR(VLOOKUP(AN$2,$B$35:$C$42,2,0),0))))</f>
        <v>22669971.574622657</v>
      </c>
      <c r="AP32" s="470">
        <f ca="1">IFERROR(IF($K32&lt;&gt;VLOOKUP(AN$2,$B:$H,7,0),IF(AR$3=1,MIN($M32,AN32),IF(HLOOKUP(CONCATENATE("Balance",AR$3-1),'Withdrawal Working'!$A$2:$CD$78,MATCH('Yoy WAR OG'!$J32,'Withdrawal Working'!$A$2:$A$78,0),FALSE)&gt;0,MIN(HLOOKUP(CONCATENATE("Balance",AR$3-1),'Withdrawal Working'!$A$2:$CD$78,MATCH('Yoy WAR OG'!$J32,'Withdrawal Working'!$A$2:$A$78,0),0),AN32),0)),IF($K32=VLOOKUP(AN$2,$B:$H,7,0),AN32,)),0)</f>
        <v>19423863.146967296</v>
      </c>
      <c r="AQ32" s="58">
        <f ca="1">IF(AO32&lt;0,0,IF(J32&gt;'NWGC - SCENARIOS'!$D$7,((AN32-AP32+AO32)*(1+(IFERROR(VLOOKUP(AN$2,$B:$D,3,0),0)))),((AN32-AP32)*(1+(IFERROR(VLOOKUP(AN$2,$B:$D,3,0),0))))+AO32))</f>
        <v>403338004.63123327</v>
      </c>
      <c r="AT32" s="450">
        <f t="shared" ca="1" si="31"/>
        <v>0</v>
      </c>
      <c r="AU32" s="58">
        <f ca="1">(VLOOKUP(AT$2,$B$1:$F$32,5,0)*$L32)+(VLOOKUP($K32,'Withdrawal Working'!$AD:$AE,2,0)*(IFERROR(VLOOKUP(AT$2,$B$35:$C$42,2,0),0)))</f>
        <v>0</v>
      </c>
      <c r="AV32" s="58">
        <f>IFERROR(IF($K32&lt;VLOOKUP(AT$2,$B:$H,7,0),IF(AX$3=1,MIN($M32,AT32),IF(HLOOKUP(CONCATENATE("Balance",AX$3-1),'Withdrawal Working'!$A$2:$CD$78,MATCH('Yoy WAR OG'!$J32,'Withdrawal Working'!$A$2:$A$78,0),FALSE)&gt;0,MIN(HLOOKUP(CONCATENATE("Balance",AX$3-1),'Withdrawal Working'!$A$2:$CD$78,MATCH('Yoy WAR OG'!$J32,'Withdrawal Working'!$A$2:$A$78,0),0),AT32),0)),IF($K32=VLOOKUP(AT$2,$B:$H,7,0),AT32,)),0)</f>
        <v>0</v>
      </c>
      <c r="AW32" s="58">
        <f t="shared" ca="1" si="5"/>
        <v>0</v>
      </c>
      <c r="AZ32" s="450">
        <f t="shared" ca="1" si="32"/>
        <v>26595353.455016296</v>
      </c>
      <c r="BA32" s="58">
        <f ca="1">(VLOOKUP(AZ$2,$B$1:$F$32,5,0)*$L32)+(VLOOKUP($K32,'Withdrawal Working'!$AD:$AE,2,0)*(IFERROR(VLOOKUP(AZ$2,$B$35:$C$42,2,0),0)))</f>
        <v>0</v>
      </c>
      <c r="BB32" s="58">
        <f>IFERROR(IF($K32&lt;VLOOKUP(AZ$2,$B:$H,7,0),IF(BD$3=1,MIN($M32,AZ32),IF(HLOOKUP(CONCATENATE("Balance",BD$3-1),'Withdrawal Working'!$A$2:$CD$78,MATCH('Yoy WAR OG'!$J32,'Withdrawal Working'!$A$2:$A$78,0),FALSE)&gt;0,MIN(HLOOKUP(CONCATENATE("Balance",BD$3-1),'Withdrawal Working'!$A$2:$CD$78,MATCH('Yoy WAR OG'!$J32,'Withdrawal Working'!$A$2:$A$78,0),0),AZ32),0)),IF($K32=VLOOKUP(AZ$2,$B:$H,7,0),AZ32,)),0)</f>
        <v>0</v>
      </c>
      <c r="BC32" s="58">
        <f t="shared" ca="1" si="6"/>
        <v>28457028.19686744</v>
      </c>
      <c r="BF32" s="450">
        <f t="shared" ca="1" si="33"/>
        <v>0</v>
      </c>
      <c r="BG32" s="58">
        <f ca="1">(VLOOKUP(BF$2,$B$1:$F$32,5,0)*$L32)+(VLOOKUP($K32,'Withdrawal Working'!$AD:$AE,2,0)*(IFERROR(VLOOKUP(BF$2,$B$35:$C$42,2,0),0)))</f>
        <v>0</v>
      </c>
      <c r="BH32" s="58">
        <f>IFERROR(IF($K32&lt;VLOOKUP(BF$2,$B:$H,7,0),IF(BJ$3=1,MIN($M32,BF32),IF(HLOOKUP(CONCATENATE("Balance",BJ$3-1),'Withdrawal Working'!$A$2:$CD$78,MATCH('Yoy WAR OG'!$J32,'Withdrawal Working'!$A$2:$A$78,0),FALSE)&gt;0,MIN(HLOOKUP(CONCATENATE("Balance",BJ$3-1),'Withdrawal Working'!$A$2:$CD$78,MATCH('Yoy WAR OG'!$J32,'Withdrawal Working'!$A$2:$A$78,0),0),BF32),0)),IF($K32=VLOOKUP(BF$2,$B:$H,7,0),BF32,)),0)</f>
        <v>0</v>
      </c>
      <c r="BI32" s="58">
        <f t="shared" ca="1" si="7"/>
        <v>0</v>
      </c>
      <c r="BL32" s="450">
        <f t="shared" ca="1" si="34"/>
        <v>0</v>
      </c>
      <c r="BM32" s="58">
        <f ca="1">(VLOOKUP(BL$2,$B$1:$F$32,5,0)*$L32)+(VLOOKUP($K32,'Withdrawal Working'!$AD:$AE,2,0)*(IFERROR(VLOOKUP(BL$2,$B$35:$C$42,2,0),0)))</f>
        <v>0</v>
      </c>
      <c r="BN32" s="58">
        <f>IFERROR(IF($K32&lt;VLOOKUP(BL$2,$B:$H,7,0),IF(BP$3=1,MIN($M32,BL32),IF(HLOOKUP(CONCATENATE("Balance",BP$3-1),'Withdrawal Working'!$A$2:$CD$78,MATCH('Yoy WAR OG'!$J32,'Withdrawal Working'!$A$2:$A$78,0),FALSE)&gt;0,MIN(HLOOKUP(CONCATENATE("Balance",BP$3-1),'Withdrawal Working'!$A$2:$CD$78,MATCH('Yoy WAR OG'!$J32,'Withdrawal Working'!$A$2:$A$78,0),0),BL32),0)),IF($K32=VLOOKUP(BL$2,$B:$H,7,0),BL32,)),0)</f>
        <v>0</v>
      </c>
      <c r="BO32" s="58">
        <f t="shared" ca="1" si="8"/>
        <v>0</v>
      </c>
      <c r="BR32" s="450">
        <f t="shared" ca="1" si="35"/>
        <v>0</v>
      </c>
      <c r="BS32" s="58">
        <f ca="1">(VLOOKUP(BR$2,$B$1:$F$32,5,0)*$L32)+(VLOOKUP($K32,'Withdrawal Working'!$AD:$AE,2,0)*(IFERROR(VLOOKUP(BR$2,$B$35:$C$42,2,0),0)))</f>
        <v>0</v>
      </c>
      <c r="BT32" s="58">
        <f>IFERROR(IF($K32&lt;VLOOKUP(BR$2,$B:$H,7,0),IF(BV$3=1,MIN($M32,BR32),IF(HLOOKUP(CONCATENATE("Balance",BV$3-1),'Withdrawal Working'!$A$2:$CD$78,MATCH('Yoy WAR OG'!$J32,'Withdrawal Working'!$A$2:$A$78,0),FALSE)&gt;0,MIN(HLOOKUP(CONCATENATE("Balance",BV$3-1),'Withdrawal Working'!$A$2:$CD$78,MATCH('Yoy WAR OG'!$J32,'Withdrawal Working'!$A$2:$A$78,0),0),BR32),0)),IF($K32=VLOOKUP(BR$2,$B:$H,7,0),BR32,)),0)</f>
        <v>0</v>
      </c>
      <c r="BU32" s="58">
        <f t="shared" ca="1" si="9"/>
        <v>0</v>
      </c>
      <c r="BX32" s="450">
        <f t="shared" ca="1" si="36"/>
        <v>0</v>
      </c>
      <c r="BY32" s="58">
        <f ca="1">(VLOOKUP(BX$2,$B$1:$F$32,5,0)*$L32)+(VLOOKUP($K32,'Withdrawal Working'!$AD:$AE,2,0)*(IFERROR(VLOOKUP(BX$2,$B$35:$C$42,2,0),0)))</f>
        <v>0</v>
      </c>
      <c r="BZ32" s="58">
        <f>IFERROR(IF($K32&lt;VLOOKUP(BX$2,$B:$H,7,0),IF(CB$3=1,MIN($M32,BX32),IF(HLOOKUP(CONCATENATE("Balance",CB$3-1),'Withdrawal Working'!$A$2:$CD$78,MATCH('Yoy WAR OG'!$J32,'Withdrawal Working'!$A$2:$A$78,0),FALSE)&gt;0,MIN(HLOOKUP(CONCATENATE("Balance",CB$3-1),'Withdrawal Working'!$A$2:$CD$78,MATCH('Yoy WAR OG'!$J32,'Withdrawal Working'!$A$2:$A$78,0),0),BX32),0)),IF($K32=VLOOKUP(BX$2,$B:$H,7,0),BX32,)),0)</f>
        <v>0</v>
      </c>
      <c r="CA32" s="58">
        <f t="shared" ca="1" si="10"/>
        <v>0</v>
      </c>
      <c r="CD32" s="450">
        <f t="shared" ca="1" si="37"/>
        <v>41660275.299468301</v>
      </c>
      <c r="CE32" s="58">
        <f ca="1">(VLOOKUP(CD$2,$B$1:$F$32,5,0)*$L32)+(VLOOKUP($K32,'Withdrawal Working'!$AD:$AE,2,0)*(IFERROR(VLOOKUP(CD$2,$B$35:$C$42,2,0),0)))+SUMIFS('Key Life Events'!$I$3:$I$28,'Key Life Events'!$H$3:$H$28,"House",'Key Life Events'!$E$3:$E$28,'Yoy WAR OG'!K32)</f>
        <v>0</v>
      </c>
      <c r="CF32" s="58">
        <f>IFERROR(IF($K32&lt;VLOOKUP(CD$2,$B:$H,7,0),IF(CH$3=1,MIN($M32,CD32),IF(HLOOKUP(CONCATENATE("Balance",CH$3-1),'Withdrawal Working'!$A$2:$CD$78,MATCH('Yoy WAR OG'!$J32,'Withdrawal Working'!$A$2:$A$78,0),FALSE)&gt;0,MIN(HLOOKUP(CONCATENATE("Balance",CH$3-1),'Withdrawal Working'!$A$2:$CD$78,MATCH('Yoy WAR OG'!$J32,'Withdrawal Working'!$A$2:$A$78,0),0),CD32),0)),IF($K32=VLOOKUP(CD$2,$B:$H,7,0),CD32,)),0)</f>
        <v>0</v>
      </c>
      <c r="CG32" s="58">
        <f t="shared" ca="1" si="11"/>
        <v>42910083.558452353</v>
      </c>
      <c r="CJ32" s="450">
        <f t="shared" ca="1" si="38"/>
        <v>0</v>
      </c>
      <c r="CK32" s="58">
        <f ca="1">(VLOOKUP(CJ$2,$B$1:$F$32,5,0)*$L32)+(VLOOKUP($K32,'Withdrawal Working'!$AD:$AE,2,0)*(IFERROR(VLOOKUP(CJ$2,$B$35:$C$42,2,0),0)))+SUMIFS('Key Life Events'!$I$3:$I$28,'Key Life Events'!$H$3:$H$28,"House2",'Key Life Events'!$E$3:$E$28,'Yoy WAR OG'!K32)</f>
        <v>0</v>
      </c>
      <c r="CL32" s="58">
        <f ca="1">IF(IFERROR(IF($K32&lt;&gt;VLOOKUP(CJ$2,$B:$H,7,0),IF(CN$3=1,MIN($M32,CJ32),IF(HLOOKUP(CONCATENATE("Balance",CN$3-1),'Withdrawal Working'!$A$2:$CD$78,MATCH('Yoy WAR OG'!$J32,'Withdrawal Working'!$A$2:$A$78,0),FALSE)&gt;0,MIN(HLOOKUP(CONCATENATE("Balance",CN$3-1),'Withdrawal Working'!$A$2:$CD$78,MATCH('Yoy WAR OG'!$J32,'Withdrawal Working'!$A$2:$A$78,0),0),CJ32),0)),IF($K32=VLOOKUP(CJ$2,$B:$H,7,0),CJ32,)),0)&gt;0,CJ32,0)</f>
        <v>0</v>
      </c>
      <c r="CM32" s="58">
        <f t="shared" ca="1" si="12"/>
        <v>0</v>
      </c>
      <c r="CP32" s="450">
        <f t="shared" ca="1" si="39"/>
        <v>9800322.8461466357</v>
      </c>
      <c r="CQ32" s="58">
        <f ca="1">(VLOOKUP(CP$2,$B$1:$F$32,5,0)*$L32)+(VLOOKUP($K32,'Withdrawal Working'!$AD:$AE,2,0)*(IFERROR(VLOOKUP(CP$2,$B$35:$C$42,2,0),0)))+SUMIFS('Key Life Events'!$I$3:$I$28,'Key Life Events'!$H$3:$H$28,"Land",'Key Life Events'!$E$3:$E$28,'Yoy WAR OG'!K32)</f>
        <v>0</v>
      </c>
      <c r="CR32" s="58">
        <f>IFERROR(IF($K32&lt;VLOOKUP(CP$2,$B:$H,7,0),IF(CT$3=1,MIN($M32,CP32),IF(HLOOKUP(CONCATENATE("Balance",CT$3-1),'Withdrawal Working'!$A$2:$CD$78,MATCH('Yoy WAR OG'!$J32,'Withdrawal Working'!$A$2:$A$78,0),FALSE)&gt;0,MIN(HLOOKUP(CONCATENATE("Balance",CT$3-1),'Withdrawal Working'!$A$2:$CD$78,MATCH('Yoy WAR OG'!$J32,'Withdrawal Working'!$A$2:$A$78,0),0),CP32),0)),IF($K32=VLOOKUP(CP$2,$B:$H,7,0),CP32,)),0)</f>
        <v>0</v>
      </c>
      <c r="CS32" s="58">
        <f t="shared" ca="1" si="13"/>
        <v>10290338.988453967</v>
      </c>
      <c r="CV32" s="450">
        <f t="shared" ca="1" si="40"/>
        <v>0</v>
      </c>
      <c r="CW32" s="58"/>
      <c r="CX32" s="58">
        <f>IFERROR(IF($K32&lt;VLOOKUP(CV$2,$B:$H,7,0),IF(CZ$3=1,MIN($M32,CV32),IF(HLOOKUP(CONCATENATE("Balance",CZ$3-1),'Withdrawal Working'!$A$2:$CD$78,MATCH('Yoy WAR OG'!$J32,'Withdrawal Working'!$A$2:$A$78,0),FALSE)&gt;0,MIN(HLOOKUP(CONCATENATE("Balance",CZ$3-1),'Withdrawal Working'!$A$2:$CD$78,MATCH('Yoy WAR OG'!$J32,'Withdrawal Working'!$A$2:$A$78,0),0),CV32),0)),IF($K32=VLOOKUP(CV$2,$B:$H,7,0),CV32,)),0)</f>
        <v>0</v>
      </c>
      <c r="CY32" s="58">
        <f t="shared" ca="1" si="14"/>
        <v>0</v>
      </c>
      <c r="DB32" s="450">
        <f t="shared" ca="1" si="41"/>
        <v>0</v>
      </c>
      <c r="DC32" s="58">
        <f ca="1">(VLOOKUP(DB$2,$B$1:$F$32,5,0)*$L32)+(VLOOKUP($K32,'Withdrawal Working'!$AD:$AE,2,0)*(IFERROR(VLOOKUP(DB$2,$B$35:$C$42,2,0),0)))</f>
        <v>0</v>
      </c>
      <c r="DD32" s="58">
        <f>IFERROR(IF($K32&lt;VLOOKUP(DB$2,$B:$H,7,0),IF(DF$3=1,MIN($M32,DB32),IF(HLOOKUP(CONCATENATE("Balance",DF$3-1),'Withdrawal Working'!$A$2:$CD$78,MATCH('Yoy WAR OG'!$J32,'Withdrawal Working'!$A$2:$A$78,0),FALSE)&gt;0,MIN(HLOOKUP(CONCATENATE("Balance",DF$3-1),'Withdrawal Working'!$A$2:$CD$78,MATCH('Yoy WAR OG'!$J32,'Withdrawal Working'!$A$2:$A$78,0),0),DB32),0)),IF($K32=VLOOKUP(DB$2,$B:$H,7,0),DB32,)),0)</f>
        <v>0</v>
      </c>
      <c r="DE32" s="58">
        <f t="shared" ca="1" si="15"/>
        <v>0</v>
      </c>
      <c r="DH32" s="450">
        <f t="shared" ca="1" si="42"/>
        <v>0</v>
      </c>
      <c r="DI32" s="58">
        <f>IF(OR(J32&gt;'NWGC - SCENARIOS'!$D$7,J32='NWGC - SCENARIOS'!$D$7),0,DI31*(1+'NWGC - SCENARIOS'!$L$5))</f>
        <v>0</v>
      </c>
      <c r="DJ32" s="58">
        <f>IFERROR(IF($K32&lt;VLOOKUP(DH$2,$B:$H,7,0),IF(DL$3=1,MIN($M32,DH32),IF(HLOOKUP(CONCATENATE("Balance",DL$3-1),'Withdrawal Working'!$A$2:$CD$78,MATCH('Yoy WAR OG'!$J32,'Withdrawal Working'!$A$2:$A$78,0),FALSE)&gt;0,MIN(HLOOKUP(CONCATENATE("Balance",DL$3-1),'Withdrawal Working'!$A$2:$CD$78,MATCH('Yoy WAR OG'!$J32,'Withdrawal Working'!$A$2:$A$78,0),0),DH32),0)),IF($K32=VLOOKUP(DH$2,$B:$H,7,0),DH32,)),0)</f>
        <v>0</v>
      </c>
      <c r="DK32" s="58">
        <f t="shared" ca="1" si="16"/>
        <v>0</v>
      </c>
      <c r="DN32" s="450">
        <f t="shared" ca="1" si="43"/>
        <v>0</v>
      </c>
      <c r="DO32" s="58">
        <f ca="1">(VLOOKUP(DN$2,$B$1:$F$32,5,0)*$L32)+(VLOOKUP($K32,'Withdrawal Working'!$AD:$AE,2,0)*(IFERROR(VLOOKUP(DN$2,$B$35:$C$42,2,0),0)))</f>
        <v>0</v>
      </c>
      <c r="DP32" s="58">
        <f>IFERROR(IF($K32&lt;VLOOKUP(DN$2,$B:$H,7,0),IF(DR$3=1,MIN($M32,DN32),IF(HLOOKUP(CONCATENATE("Balance",DR$3-1),'Withdrawal Working'!$A$2:$CD$78,MATCH('Yoy WAR OG'!$J32,'Withdrawal Working'!$A$2:$A$78,0),FALSE)&gt;0,MIN(HLOOKUP(CONCATENATE("Balance",DR$3-1),'Withdrawal Working'!$A$2:$CD$78,MATCH('Yoy WAR OG'!$J32,'Withdrawal Working'!$A$2:$A$78,0),0),DN32),0)),IF($K32=VLOOKUP(DN$2,$B:$H,7,0),DN32,)),0)</f>
        <v>0</v>
      </c>
      <c r="DQ32" s="58">
        <f t="shared" ca="1" si="17"/>
        <v>0</v>
      </c>
      <c r="DT32" s="450">
        <f t="shared" ca="1" si="44"/>
        <v>0</v>
      </c>
      <c r="DU32" s="58">
        <f ca="1">(VLOOKUP(DT$2,$B$1:$F$32,5,0)*$L32)+(VLOOKUP($K32,'Withdrawal Working'!$AD:$AE,2,0)*(IFERROR(VLOOKUP(DT$2,$B$35:$C$42,2,0),0)))</f>
        <v>0</v>
      </c>
      <c r="DV32" s="58">
        <f>IFERROR(IF($K32&lt;VLOOKUP(DT$2,$B:$H,7,0),IF(DX$3=1,MIN($M32,DT32),IF(HLOOKUP(CONCATENATE("Balance",DX$3-1),'Withdrawal Working'!$A$2:$CD$78,MATCH('Yoy WAR OG'!$J32,'Withdrawal Working'!$A$2:$A$78,0),FALSE)&gt;0,MIN(HLOOKUP(CONCATENATE("Balance",DX$3-1),'Withdrawal Working'!$A$2:$CD$78,MATCH('Yoy WAR OG'!$J32,'Withdrawal Working'!$A$2:$A$78,0),0),DT32),0)),IF($K32=VLOOKUP(DT$2,$B:$H,7,0),DT32,)),0)</f>
        <v>0</v>
      </c>
      <c r="DW32" s="58">
        <f t="shared" ca="1" si="18"/>
        <v>0</v>
      </c>
      <c r="DZ32" s="450">
        <f t="shared" ca="1" si="45"/>
        <v>0</v>
      </c>
      <c r="EA32" s="58">
        <f ca="1">(VLOOKUP(DZ$2,$B$1:$F$32,5,0)*$L32)+(VLOOKUP($K32,'Withdrawal Working'!$AD:$AE,2,0)*(IFERROR(VLOOKUP(DZ$2,$B$35:$C$42,2,0),0)))</f>
        <v>0</v>
      </c>
      <c r="EB32" s="58">
        <f>IFERROR(IF($K32&lt;VLOOKUP(DZ$2,$B:$H,7,0),IF(ED$3=1,MIN($M32,DZ32),IF(HLOOKUP(CONCATENATE("Balance",ED$3-1),'Withdrawal Working'!$A$2:$CD$78,MATCH('Yoy WAR OG'!$J32,'Withdrawal Working'!$A$2:$A$78,0),FALSE)&gt;0,MIN(HLOOKUP(CONCATENATE("Balance",ED$3-1),'Withdrawal Working'!$A$2:$CD$78,MATCH('Yoy WAR OG'!$J32,'Withdrawal Working'!$A$2:$A$78,0),0),DZ32),0)),IF($K32=VLOOKUP(DZ$2,$B:$H,7,0),DZ32,)),0)</f>
        <v>0</v>
      </c>
      <c r="EC32" s="58">
        <f t="shared" ca="1" si="19"/>
        <v>0</v>
      </c>
      <c r="EF32" s="450">
        <f t="shared" ca="1" si="46"/>
        <v>0</v>
      </c>
      <c r="EG32" s="58">
        <f ca="1">(VLOOKUP(EF$2,$B$1:$F$32,5,0)*$L32)+(VLOOKUP($K32,'Withdrawal Working'!$AD:$AE,2,0)*(IFERROR(VLOOKUP(EF$2,$B$35:$C$42,2,0),0)))</f>
        <v>0</v>
      </c>
      <c r="EH32" s="58">
        <f>IFERROR(IF($K32&lt;VLOOKUP(EF$2,$B:$H,7,0),IF(EJ$3=1,MIN($M32,EF32),IF(HLOOKUP(CONCATENATE("Balance",EJ$3-1),'Withdrawal Working'!$A$2:$CD$78,MATCH('Yoy WAR OG'!$J32,'Withdrawal Working'!$A$2:$A$78,0),FALSE)&gt;0,MIN(HLOOKUP(CONCATENATE("Balance",EJ$3-1),'Withdrawal Working'!$A$2:$CD$78,MATCH('Yoy WAR OG'!$J32,'Withdrawal Working'!$A$2:$A$78,0),0),EF32),0)),IF($K32=VLOOKUP(EF$2,$B:$H,7,0),EF32,)),0)</f>
        <v>0</v>
      </c>
      <c r="EI32" s="58">
        <f t="shared" ca="1" si="20"/>
        <v>0</v>
      </c>
      <c r="EL32" s="450">
        <f t="shared" ca="1" si="47"/>
        <v>0</v>
      </c>
      <c r="EM32" s="58">
        <f>IF(OR($J32&gt;'NWGC - SCENARIOS'!$D$7,$J32='NWGC - SCENARIOS'!$D$7),0,EM31)</f>
        <v>0</v>
      </c>
      <c r="EN32" s="58">
        <f>IFERROR(IF($K32&lt;VLOOKUP(EL$2,$B:$H,7,0),IF(EP$3=1,MIN($M32,EL32),IF(HLOOKUP(CONCATENATE("Balance",EP$3-1),'Withdrawal Working'!$A$2:$CD$78,MATCH('Yoy WAR OG'!$J32,'Withdrawal Working'!$A$2:$A$78,0),FALSE)&gt;0,MIN(HLOOKUP(CONCATENATE("Balance",EP$3-1),'Withdrawal Working'!$A$2:$CD$78,MATCH('Yoy WAR OG'!$J32,'Withdrawal Working'!$A$2:$A$78,0),0),EL32),0)),IF($K32=VLOOKUP(EL$2,$B:$H,7,0),EL32,)),0)</f>
        <v>0</v>
      </c>
      <c r="EO32" s="58">
        <f t="shared" ca="1" si="21"/>
        <v>0</v>
      </c>
      <c r="ER32" s="450">
        <f t="shared" ca="1" si="48"/>
        <v>0</v>
      </c>
      <c r="ES32" s="58">
        <f>IF(OR(J32&gt;'NWGC - SCENARIOS'!$D$7,J32='NWGC - SCENARIOS'!$D$7),0,ES31*(1+'NWGC - SCENARIOS'!$L$5))</f>
        <v>0</v>
      </c>
      <c r="ET32" s="58">
        <f>IFERROR(IF($K32&lt;VLOOKUP(ER$2,$B:$H,7,0),IF(EV$3=1,MIN($M32,ER32),IF(HLOOKUP(CONCATENATE("Balance",EV$3-1),'Withdrawal Working'!$A$2:$CD$78,MATCH('Yoy WAR OG'!$J32,'Withdrawal Working'!$A$2:$A$78,0),FALSE)&gt;0,MIN(HLOOKUP(CONCATENATE("Balance",EV$3-1),'Withdrawal Working'!$A$2:$CD$78,MATCH('Yoy WAR OG'!$J32,'Withdrawal Working'!$A$2:$A$78,0),0),ER32),0)),IF($K32=VLOOKUP(ER$2,$B:$H,7,0),ER32,)),0)</f>
        <v>0</v>
      </c>
      <c r="EU32" s="58">
        <f t="shared" ca="1" si="22"/>
        <v>0</v>
      </c>
      <c r="EX32" s="450">
        <f t="shared" ca="1" si="49"/>
        <v>0</v>
      </c>
      <c r="EY32" s="58">
        <f>IF(OR(J32&gt;'NWGC - SCENARIOS'!$D$7,J32='NWGC - SCENARIOS'!$D$7),0,EY31)</f>
        <v>0</v>
      </c>
      <c r="EZ32" s="58">
        <f>IFERROR(IF($K32&lt;VLOOKUP(EX$2,$B:$H,7,0),IF(FB$3=1,MIN($M32,EX32),IF(HLOOKUP(CONCATENATE("Balance",FB$3-1),'Withdrawal Working'!$A$2:$CD$78,MATCH('Yoy WAR OG'!$J32,'Withdrawal Working'!$A$2:$A$78,0),FALSE)&gt;0,MIN(HLOOKUP(CONCATENATE("Balance",FB$3-1),'Withdrawal Working'!$A$2:$CD$78,MATCH('Yoy WAR OG'!$J32,'Withdrawal Working'!$A$2:$A$78,0),0),EX32),0)),IF($K32=VLOOKUP(EX$2,$B:$H,7,0),EX32,)),0)</f>
        <v>0</v>
      </c>
      <c r="FA32" s="58">
        <f t="shared" ca="1" si="23"/>
        <v>0</v>
      </c>
    </row>
    <row r="33" spans="2:157" x14ac:dyDescent="0.3">
      <c r="J33">
        <f>IFERROR('NWGC - SCENARIOS'!B40,0)</f>
        <v>78</v>
      </c>
      <c r="K33">
        <f>IFERROR('NWGC - SCENARIOS'!C40,0)</f>
        <v>2054</v>
      </c>
      <c r="L33" s="449">
        <f ca="1">IF(('NWGC - SCENARIOS'!G40-working!G31)&gt;'NWGC - SCENARIOS'!H40,'NWGC - SCENARIOS'!G40-'NWGC - SCENARIOS'!H40-working!G31,0)</f>
        <v>0</v>
      </c>
      <c r="M33" s="449">
        <f ca="1">IF(('NWGC - SCENARIOS'!G40-working!G31)&gt;'NWGC - SCENARIOS'!H40,0,'NWGC - SCENARIOS'!H40-'NWGC - SCENARIOS'!G40+working!G31)</f>
        <v>20984492.19872468</v>
      </c>
      <c r="N33" s="58">
        <f t="shared" ca="1" si="0"/>
        <v>694718187.37400329</v>
      </c>
      <c r="O33" s="58">
        <f t="shared" ca="1" si="1"/>
        <v>85451262.173730761</v>
      </c>
      <c r="P33" s="58">
        <f t="shared" ca="1" si="24"/>
        <v>0</v>
      </c>
      <c r="Q33" s="58">
        <f ca="1">(VLOOKUP(P$2,$B$1:$F$32,5,0)*$L33)+(VLOOKUP($K33,'Withdrawal Working'!$AD:$AE,2,0)*(IFERROR(VLOOKUP(P$2,$B$35:$C$42,2,0),0)))</f>
        <v>0</v>
      </c>
      <c r="R33" s="58">
        <f>IFERROR(IF($K33&lt;VLOOKUP(P$2,$B:$H,7,0),IF(T$3=1,MIN($M33,P33),IF(HLOOKUP(CONCATENATE("Balance",T$3-1),'Withdrawal Working'!$A$2:$CD$78,MATCH('Yoy WAR OG'!$J33,'Withdrawal Working'!$A$2:$A$78,0),FALSE)&gt;0,MIN(HLOOKUP(CONCATENATE("Balance",T$3-1),'Withdrawal Working'!$A$2:$CD$78,MATCH('Yoy WAR OG'!$J33,'Withdrawal Working'!$A$2:$A$78,0),0),P33),0)),IF($K33=VLOOKUP(P$2,$B:$H,7,0),P33,)),0)</f>
        <v>0</v>
      </c>
      <c r="S33" s="58">
        <f t="shared" ca="1" si="26"/>
        <v>0</v>
      </c>
      <c r="T33" s="58"/>
      <c r="V33" s="58">
        <f t="shared" ca="1" si="27"/>
        <v>0</v>
      </c>
      <c r="W33" s="58">
        <f ca="1">(VLOOKUP(V$2,$B$1:$F$32,5,0)*$L33)+(VLOOKUP($K33,'Withdrawal Working'!$AD:$AE,2,0)*(IFERROR(VLOOKUP(V$2,$B$35:$C$42,2,0),0)))</f>
        <v>0</v>
      </c>
      <c r="X33" s="58">
        <f>IFERROR(IF($K33&lt;VLOOKUP(V$2,$B:$H,7,0),IF(Z$3=1,MIN($M33,V33),IF(HLOOKUP(CONCATENATE("Balance",Z$3-1),'Withdrawal Working'!$A$2:$CD$78,MATCH('Yoy WAR OG'!$J33,'Withdrawal Working'!$A$2:$A$78,0),FALSE)&gt;0,MIN(HLOOKUP(CONCATENATE("Balance",Z$3-1),'Withdrawal Working'!$A$2:$CD$78,MATCH('Yoy WAR OG'!$J33,'Withdrawal Working'!$A$2:$A$78,0),0),V33),0)),IF($K33=VLOOKUP(V$2,$B:$H,7,0),V33,)),0)</f>
        <v>0</v>
      </c>
      <c r="Y33" s="58">
        <f t="shared" ca="1" si="2"/>
        <v>0</v>
      </c>
      <c r="AB33" s="58">
        <f t="shared" ca="1" si="28"/>
        <v>0</v>
      </c>
      <c r="AC33" s="58">
        <f ca="1">(VLOOKUP(AB$2,$B$1:$F$32,5,0)*$L33)+(VLOOKUP($K33,'Withdrawal Working'!$AD:$AE,2,0)*(IFERROR(VLOOKUP(AB$2,$B$35:$C$42,2,0),0)))</f>
        <v>0</v>
      </c>
      <c r="AD33" s="58">
        <f>IFERROR(IF($K33&lt;VLOOKUP(AB$2,$B:$H,7,0),IF(AF$3=1,MIN($M33,AB33),IF(HLOOKUP(CONCATENATE("Balance",AF$3-1),'Withdrawal Working'!$A$2:$CD$78,MATCH('Yoy WAR OG'!$J33,'Withdrawal Working'!$A$2:$A$78,0),FALSE)&gt;0,MIN(HLOOKUP(CONCATENATE("Balance",AF$3-1),'Withdrawal Working'!$A$2:$CD$78,MATCH('Yoy WAR OG'!$J33,'Withdrawal Working'!$A$2:$A$78,0),0),AB33),0)),IF($K33=VLOOKUP(AB$2,$B:$H,7,0),AB33,)),0)</f>
        <v>0</v>
      </c>
      <c r="AE33" s="58">
        <f t="shared" ca="1" si="3"/>
        <v>0</v>
      </c>
      <c r="AH33" s="58">
        <f t="shared" ca="1" si="29"/>
        <v>263677655.55787325</v>
      </c>
      <c r="AI33" s="58">
        <f ca="1">(VLOOKUP(AH$2,$B$1:$F$32,5,0)*$L33)+IF(J33&gt;'NWGC - SCENARIOS'!$D$7,0,(VLOOKUP($K33,'Withdrawal Working'!$AD:$AE,2,0)*(IFERROR(VLOOKUP(AH$2,$B$35:$C$42,2,0),0))))</f>
        <v>0</v>
      </c>
      <c r="AJ33" s="58">
        <f ca="1">IFERROR(IF($J33&gt;'NWGC - SCENARIOS'!$D$7,MIN('Yoy WAR OG'!AH33,VLOOKUP('Yoy WAR OG'!$J33,'Withdrawal Working'!BC:BD,2,0)),IF(AL$3=1,$M33,IF(HLOOKUP(CONCATENATE("Balance",AL$3-1),'Withdrawal Working'!$A$2:$CD$78,MATCH('Yoy WAR OG'!$J33,'Withdrawal Working'!$A$2:$A$78,0),FALSE)&gt;0,MIN(HLOOKUP(CONCATENATE("Balance",AL$3-1),'Withdrawal Working'!$A$2:$CD$78,MATCH('Yoy WAR OG'!$J33,'Withdrawal Working'!$A$2:$A$78,0),0),AH33),0))),0)</f>
        <v>24490289.300592475</v>
      </c>
      <c r="AK33" s="58">
        <f t="shared" ca="1" si="4"/>
        <v>265497976.54558167</v>
      </c>
      <c r="AN33" s="450">
        <f t="shared" ca="1" si="30"/>
        <v>403338004.63123327</v>
      </c>
      <c r="AO33" s="58">
        <f ca="1">IF(J33&gt;'NWGC - SCENARIOS'!$D$7,(IF(AJ33=0,0,'Yoy WAR OG'!AJ33)+(VLOOKUP(AN$2,$B$1:$F$32,5,0)*$L33)),(VLOOKUP(AN$2,$B$1:$F$32,5,0)*$L33)+(VLOOKUP($K33,'Withdrawal Working'!$AD:$AE,2,0)*(IFERROR(VLOOKUP(AN$2,$B$35:$C$42,2,0),0))))</f>
        <v>24490289.300592475</v>
      </c>
      <c r="AP33" s="470">
        <f ca="1">IFERROR(IF($K33&lt;&gt;VLOOKUP(AN$2,$B:$H,7,0),IF(AR$3=1,MIN($M33,AN33),IF(HLOOKUP(CONCATENATE("Balance",AR$3-1),'Withdrawal Working'!$A$2:$CD$78,MATCH('Yoy WAR OG'!$J33,'Withdrawal Working'!$A$2:$A$78,0),FALSE)&gt;0,MIN(HLOOKUP(CONCATENATE("Balance",AR$3-1),'Withdrawal Working'!$A$2:$CD$78,MATCH('Yoy WAR OG'!$J33,'Withdrawal Working'!$A$2:$A$78,0),0),AN33),0)),IF($K33=VLOOKUP(AN$2,$B:$H,7,0),AN33,)),0)</f>
        <v>20984492.19872468</v>
      </c>
      <c r="AQ33" s="58">
        <f ca="1">IF(AO33&lt;0,0,IF(J33&gt;'NWGC - SCENARIOS'!$D$7,((AN33-AP33+AO33)*(1+(IFERROR(VLOOKUP(AN$2,$B:$D,3,0),0)))),((AN33-AP33)*(1+(IFERROR(VLOOKUP(AN$2,$B:$D,3,0),0))))+AO33))</f>
        <v>429220210.82842159</v>
      </c>
      <c r="AT33" s="450">
        <f t="shared" ca="1" si="31"/>
        <v>0</v>
      </c>
      <c r="AU33" s="58">
        <f ca="1">(VLOOKUP(AT$2,$B$1:$F$32,5,0)*$L33)+(VLOOKUP($K33,'Withdrawal Working'!$AD:$AE,2,0)*(IFERROR(VLOOKUP(AT$2,$B$35:$C$42,2,0),0)))</f>
        <v>0</v>
      </c>
      <c r="AV33" s="58">
        <f>IFERROR(IF($K33&lt;VLOOKUP(AT$2,$B:$H,7,0),IF(AX$3=1,MIN($M33,AT33),IF(HLOOKUP(CONCATENATE("Balance",AX$3-1),'Withdrawal Working'!$A$2:$CD$78,MATCH('Yoy WAR OG'!$J33,'Withdrawal Working'!$A$2:$A$78,0),FALSE)&gt;0,MIN(HLOOKUP(CONCATENATE("Balance",AX$3-1),'Withdrawal Working'!$A$2:$CD$78,MATCH('Yoy WAR OG'!$J33,'Withdrawal Working'!$A$2:$A$78,0),0),AT33),0)),IF($K33=VLOOKUP(AT$2,$B:$H,7,0),AT33,)),0)</f>
        <v>0</v>
      </c>
      <c r="AW33" s="58">
        <f t="shared" ca="1" si="5"/>
        <v>0</v>
      </c>
      <c r="AZ33" s="450">
        <f t="shared" ca="1" si="32"/>
        <v>28457028.19686744</v>
      </c>
      <c r="BA33" s="58">
        <f ca="1">(VLOOKUP(AZ$2,$B$1:$F$32,5,0)*$L33)+(VLOOKUP($K33,'Withdrawal Working'!$AD:$AE,2,0)*(IFERROR(VLOOKUP(AZ$2,$B$35:$C$42,2,0),0)))</f>
        <v>0</v>
      </c>
      <c r="BB33" s="58">
        <f>IFERROR(IF($K33&lt;VLOOKUP(AZ$2,$B:$H,7,0),IF(BD$3=1,MIN($M33,AZ33),IF(HLOOKUP(CONCATENATE("Balance",BD$3-1),'Withdrawal Working'!$A$2:$CD$78,MATCH('Yoy WAR OG'!$J33,'Withdrawal Working'!$A$2:$A$78,0),FALSE)&gt;0,MIN(HLOOKUP(CONCATENATE("Balance",BD$3-1),'Withdrawal Working'!$A$2:$CD$78,MATCH('Yoy WAR OG'!$J33,'Withdrawal Working'!$A$2:$A$78,0),0),AZ33),0)),IF($K33=VLOOKUP(AZ$2,$B:$H,7,0),AZ33,)),0)</f>
        <v>0</v>
      </c>
      <c r="BC33" s="58">
        <f t="shared" ca="1" si="6"/>
        <v>30449020.170648161</v>
      </c>
      <c r="BF33" s="450">
        <f t="shared" ca="1" si="33"/>
        <v>0</v>
      </c>
      <c r="BG33" s="58">
        <f ca="1">(VLOOKUP(BF$2,$B$1:$F$32,5,0)*$L33)+(VLOOKUP($K33,'Withdrawal Working'!$AD:$AE,2,0)*(IFERROR(VLOOKUP(BF$2,$B$35:$C$42,2,0),0)))</f>
        <v>0</v>
      </c>
      <c r="BH33" s="58">
        <f>IFERROR(IF($K33&lt;VLOOKUP(BF$2,$B:$H,7,0),IF(BJ$3=1,MIN($M33,BF33),IF(HLOOKUP(CONCATENATE("Balance",BJ$3-1),'Withdrawal Working'!$A$2:$CD$78,MATCH('Yoy WAR OG'!$J33,'Withdrawal Working'!$A$2:$A$78,0),FALSE)&gt;0,MIN(HLOOKUP(CONCATENATE("Balance",BJ$3-1),'Withdrawal Working'!$A$2:$CD$78,MATCH('Yoy WAR OG'!$J33,'Withdrawal Working'!$A$2:$A$78,0),0),BF33),0)),IF($K33=VLOOKUP(BF$2,$B:$H,7,0),BF33,)),0)</f>
        <v>0</v>
      </c>
      <c r="BI33" s="58">
        <f t="shared" ca="1" si="7"/>
        <v>0</v>
      </c>
      <c r="BL33" s="450">
        <f t="shared" ca="1" si="34"/>
        <v>0</v>
      </c>
      <c r="BM33" s="58">
        <f ca="1">(VLOOKUP(BL$2,$B$1:$F$32,5,0)*$L33)+(VLOOKUP($K33,'Withdrawal Working'!$AD:$AE,2,0)*(IFERROR(VLOOKUP(BL$2,$B$35:$C$42,2,0),0)))</f>
        <v>0</v>
      </c>
      <c r="BN33" s="58">
        <f>IFERROR(IF($K33&lt;VLOOKUP(BL$2,$B:$H,7,0),IF(BP$3=1,MIN($M33,BL33),IF(HLOOKUP(CONCATENATE("Balance",BP$3-1),'Withdrawal Working'!$A$2:$CD$78,MATCH('Yoy WAR OG'!$J33,'Withdrawal Working'!$A$2:$A$78,0),FALSE)&gt;0,MIN(HLOOKUP(CONCATENATE("Balance",BP$3-1),'Withdrawal Working'!$A$2:$CD$78,MATCH('Yoy WAR OG'!$J33,'Withdrawal Working'!$A$2:$A$78,0),0),BL33),0)),IF($K33=VLOOKUP(BL$2,$B:$H,7,0),BL33,)),0)</f>
        <v>0</v>
      </c>
      <c r="BO33" s="58">
        <f t="shared" ca="1" si="8"/>
        <v>0</v>
      </c>
      <c r="BR33" s="450">
        <f t="shared" ca="1" si="35"/>
        <v>0</v>
      </c>
      <c r="BS33" s="58">
        <f ca="1">(VLOOKUP(BR$2,$B$1:$F$32,5,0)*$L33)+(VLOOKUP($K33,'Withdrawal Working'!$AD:$AE,2,0)*(IFERROR(VLOOKUP(BR$2,$B$35:$C$42,2,0),0)))</f>
        <v>0</v>
      </c>
      <c r="BT33" s="58">
        <f>IFERROR(IF($K33&lt;VLOOKUP(BR$2,$B:$H,7,0),IF(BV$3=1,MIN($M33,BR33),IF(HLOOKUP(CONCATENATE("Balance",BV$3-1),'Withdrawal Working'!$A$2:$CD$78,MATCH('Yoy WAR OG'!$J33,'Withdrawal Working'!$A$2:$A$78,0),FALSE)&gt;0,MIN(HLOOKUP(CONCATENATE("Balance",BV$3-1),'Withdrawal Working'!$A$2:$CD$78,MATCH('Yoy WAR OG'!$J33,'Withdrawal Working'!$A$2:$A$78,0),0),BR33),0)),IF($K33=VLOOKUP(BR$2,$B:$H,7,0),BR33,)),0)</f>
        <v>0</v>
      </c>
      <c r="BU33" s="58">
        <f t="shared" ca="1" si="9"/>
        <v>0</v>
      </c>
      <c r="BX33" s="450">
        <f t="shared" ca="1" si="36"/>
        <v>0</v>
      </c>
      <c r="BY33" s="58">
        <f ca="1">(VLOOKUP(BX$2,$B$1:$F$32,5,0)*$L33)+(VLOOKUP($K33,'Withdrawal Working'!$AD:$AE,2,0)*(IFERROR(VLOOKUP(BX$2,$B$35:$C$42,2,0),0)))</f>
        <v>0</v>
      </c>
      <c r="BZ33" s="58">
        <f>IFERROR(IF($K33&lt;VLOOKUP(BX$2,$B:$H,7,0),IF(CB$3=1,MIN($M33,BX33),IF(HLOOKUP(CONCATENATE("Balance",CB$3-1),'Withdrawal Working'!$A$2:$CD$78,MATCH('Yoy WAR OG'!$J33,'Withdrawal Working'!$A$2:$A$78,0),FALSE)&gt;0,MIN(HLOOKUP(CONCATENATE("Balance",CB$3-1),'Withdrawal Working'!$A$2:$CD$78,MATCH('Yoy WAR OG'!$J33,'Withdrawal Working'!$A$2:$A$78,0),0),BX33),0)),IF($K33=VLOOKUP(BX$2,$B:$H,7,0),BX33,)),0)</f>
        <v>0</v>
      </c>
      <c r="CA33" s="58">
        <f t="shared" ca="1" si="10"/>
        <v>0</v>
      </c>
      <c r="CD33" s="450">
        <f t="shared" ca="1" si="37"/>
        <v>42910083.558452353</v>
      </c>
      <c r="CE33" s="58">
        <f ca="1">(VLOOKUP(CD$2,$B$1:$F$32,5,0)*$L33)+(VLOOKUP($K33,'Withdrawal Working'!$AD:$AE,2,0)*(IFERROR(VLOOKUP(CD$2,$B$35:$C$42,2,0),0)))+SUMIFS('Key Life Events'!$I$3:$I$28,'Key Life Events'!$H$3:$H$28,"House",'Key Life Events'!$E$3:$E$28,'Yoy WAR OG'!K33)</f>
        <v>0</v>
      </c>
      <c r="CF33" s="58">
        <f>IFERROR(IF($K33&lt;VLOOKUP(CD$2,$B:$H,7,0),IF(CH$3=1,MIN($M33,CD33),IF(HLOOKUP(CONCATENATE("Balance",CH$3-1),'Withdrawal Working'!$A$2:$CD$78,MATCH('Yoy WAR OG'!$J33,'Withdrawal Working'!$A$2:$A$78,0),FALSE)&gt;0,MIN(HLOOKUP(CONCATENATE("Balance",CH$3-1),'Withdrawal Working'!$A$2:$CD$78,MATCH('Yoy WAR OG'!$J33,'Withdrawal Working'!$A$2:$A$78,0),0),CD33),0)),IF($K33=VLOOKUP(CD$2,$B:$H,7,0),CD33,)),0)</f>
        <v>0</v>
      </c>
      <c r="CG33" s="58">
        <f t="shared" ca="1" si="11"/>
        <v>44197386.065205924</v>
      </c>
      <c r="CJ33" s="450">
        <f t="shared" ca="1" si="38"/>
        <v>0</v>
      </c>
      <c r="CK33" s="58">
        <f ca="1">(VLOOKUP(CJ$2,$B$1:$F$32,5,0)*$L33)+(VLOOKUP($K33,'Withdrawal Working'!$AD:$AE,2,0)*(IFERROR(VLOOKUP(CJ$2,$B$35:$C$42,2,0),0)))+SUMIFS('Key Life Events'!$I$3:$I$28,'Key Life Events'!$H$3:$H$28,"House2",'Key Life Events'!$E$3:$E$28,'Yoy WAR OG'!K33)</f>
        <v>0</v>
      </c>
      <c r="CL33" s="58">
        <f ca="1">IF(IFERROR(IF($K33&lt;&gt;VLOOKUP(CJ$2,$B:$H,7,0),IF(CN$3=1,MIN($M33,CJ33),IF(HLOOKUP(CONCATENATE("Balance",CN$3-1),'Withdrawal Working'!$A$2:$CD$78,MATCH('Yoy WAR OG'!$J33,'Withdrawal Working'!$A$2:$A$78,0),FALSE)&gt;0,MIN(HLOOKUP(CONCATENATE("Balance",CN$3-1),'Withdrawal Working'!$A$2:$CD$78,MATCH('Yoy WAR OG'!$J33,'Withdrawal Working'!$A$2:$A$78,0),0),CJ33),0)),IF($K33=VLOOKUP(CJ$2,$B:$H,7,0),CJ33,)),0)&gt;0,CJ33,0)</f>
        <v>0</v>
      </c>
      <c r="CM33" s="58">
        <f t="shared" ca="1" si="12"/>
        <v>0</v>
      </c>
      <c r="CP33" s="450">
        <f t="shared" ca="1" si="39"/>
        <v>10290338.988453967</v>
      </c>
      <c r="CQ33" s="58">
        <f ca="1">(VLOOKUP(CP$2,$B$1:$F$32,5,0)*$L33)+(VLOOKUP($K33,'Withdrawal Working'!$AD:$AE,2,0)*(IFERROR(VLOOKUP(CP$2,$B$35:$C$42,2,0),0)))+SUMIFS('Key Life Events'!$I$3:$I$28,'Key Life Events'!$H$3:$H$28,"Land",'Key Life Events'!$E$3:$E$28,'Yoy WAR OG'!K33)</f>
        <v>0</v>
      </c>
      <c r="CR33" s="58">
        <f>IFERROR(IF($K33&lt;VLOOKUP(CP$2,$B:$H,7,0),IF(CT$3=1,MIN($M33,CP33),IF(HLOOKUP(CONCATENATE("Balance",CT$3-1),'Withdrawal Working'!$A$2:$CD$78,MATCH('Yoy WAR OG'!$J33,'Withdrawal Working'!$A$2:$A$78,0),FALSE)&gt;0,MIN(HLOOKUP(CONCATENATE("Balance",CT$3-1),'Withdrawal Working'!$A$2:$CD$78,MATCH('Yoy WAR OG'!$J33,'Withdrawal Working'!$A$2:$A$78,0),0),CP33),0)),IF($K33=VLOOKUP(CP$2,$B:$H,7,0),CP33,)),0)</f>
        <v>0</v>
      </c>
      <c r="CS33" s="58">
        <f t="shared" ca="1" si="13"/>
        <v>10804855.937876666</v>
      </c>
      <c r="CV33" s="450">
        <f t="shared" ca="1" si="40"/>
        <v>0</v>
      </c>
      <c r="CW33" s="58"/>
      <c r="CX33" s="58">
        <f>IFERROR(IF($K33&lt;VLOOKUP(CV$2,$B:$H,7,0),IF(CZ$3=1,MIN($M33,CV33),IF(HLOOKUP(CONCATENATE("Balance",CZ$3-1),'Withdrawal Working'!$A$2:$CD$78,MATCH('Yoy WAR OG'!$J33,'Withdrawal Working'!$A$2:$A$78,0),FALSE)&gt;0,MIN(HLOOKUP(CONCATENATE("Balance",CZ$3-1),'Withdrawal Working'!$A$2:$CD$78,MATCH('Yoy WAR OG'!$J33,'Withdrawal Working'!$A$2:$A$78,0),0),CV33),0)),IF($K33=VLOOKUP(CV$2,$B:$H,7,0),CV33,)),0)</f>
        <v>0</v>
      </c>
      <c r="CY33" s="58">
        <f t="shared" ca="1" si="14"/>
        <v>0</v>
      </c>
      <c r="DB33" s="450">
        <f t="shared" ca="1" si="41"/>
        <v>0</v>
      </c>
      <c r="DC33" s="58">
        <f ca="1">(VLOOKUP(DB$2,$B$1:$F$32,5,0)*$L33)+(VLOOKUP($K33,'Withdrawal Working'!$AD:$AE,2,0)*(IFERROR(VLOOKUP(DB$2,$B$35:$C$42,2,0),0)))</f>
        <v>0</v>
      </c>
      <c r="DD33" s="58">
        <f>IFERROR(IF($K33&lt;VLOOKUP(DB$2,$B:$H,7,0),IF(DF$3=1,MIN($M33,DB33),IF(HLOOKUP(CONCATENATE("Balance",DF$3-1),'Withdrawal Working'!$A$2:$CD$78,MATCH('Yoy WAR OG'!$J33,'Withdrawal Working'!$A$2:$A$78,0),FALSE)&gt;0,MIN(HLOOKUP(CONCATENATE("Balance",DF$3-1),'Withdrawal Working'!$A$2:$CD$78,MATCH('Yoy WAR OG'!$J33,'Withdrawal Working'!$A$2:$A$78,0),0),DB33),0)),IF($K33=VLOOKUP(DB$2,$B:$H,7,0),DB33,)),0)</f>
        <v>0</v>
      </c>
      <c r="DE33" s="58">
        <f t="shared" ca="1" si="15"/>
        <v>0</v>
      </c>
      <c r="DH33" s="450">
        <f t="shared" ca="1" si="42"/>
        <v>0</v>
      </c>
      <c r="DI33" s="58">
        <f>IF(OR(J33&gt;'NWGC - SCENARIOS'!$D$7,J33='NWGC - SCENARIOS'!$D$7),0,DI32*(1+'NWGC - SCENARIOS'!$L$5))</f>
        <v>0</v>
      </c>
      <c r="DJ33" s="58">
        <f>IFERROR(IF($K33&lt;VLOOKUP(DH$2,$B:$H,7,0),IF(DL$3=1,MIN($M33,DH33),IF(HLOOKUP(CONCATENATE("Balance",DL$3-1),'Withdrawal Working'!$A$2:$CD$78,MATCH('Yoy WAR OG'!$J33,'Withdrawal Working'!$A$2:$A$78,0),FALSE)&gt;0,MIN(HLOOKUP(CONCATENATE("Balance",DL$3-1),'Withdrawal Working'!$A$2:$CD$78,MATCH('Yoy WAR OG'!$J33,'Withdrawal Working'!$A$2:$A$78,0),0),DH33),0)),IF($K33=VLOOKUP(DH$2,$B:$H,7,0),DH33,)),0)</f>
        <v>0</v>
      </c>
      <c r="DK33" s="58">
        <f t="shared" ca="1" si="16"/>
        <v>0</v>
      </c>
      <c r="DN33" s="450">
        <f t="shared" ca="1" si="43"/>
        <v>0</v>
      </c>
      <c r="DO33" s="58">
        <f ca="1">(VLOOKUP(DN$2,$B$1:$F$32,5,0)*$L33)+(VLOOKUP($K33,'Withdrawal Working'!$AD:$AE,2,0)*(IFERROR(VLOOKUP(DN$2,$B$35:$C$42,2,0),0)))</f>
        <v>0</v>
      </c>
      <c r="DP33" s="58">
        <f>IFERROR(IF($K33&lt;VLOOKUP(DN$2,$B:$H,7,0),IF(DR$3=1,MIN($M33,DN33),IF(HLOOKUP(CONCATENATE("Balance",DR$3-1),'Withdrawal Working'!$A$2:$CD$78,MATCH('Yoy WAR OG'!$J33,'Withdrawal Working'!$A$2:$A$78,0),FALSE)&gt;0,MIN(HLOOKUP(CONCATENATE("Balance",DR$3-1),'Withdrawal Working'!$A$2:$CD$78,MATCH('Yoy WAR OG'!$J33,'Withdrawal Working'!$A$2:$A$78,0),0),DN33),0)),IF($K33=VLOOKUP(DN$2,$B:$H,7,0),DN33,)),0)</f>
        <v>0</v>
      </c>
      <c r="DQ33" s="58">
        <f t="shared" ca="1" si="17"/>
        <v>0</v>
      </c>
      <c r="DT33" s="450">
        <f t="shared" ca="1" si="44"/>
        <v>0</v>
      </c>
      <c r="DU33" s="58">
        <f ca="1">(VLOOKUP(DT$2,$B$1:$F$32,5,0)*$L33)+(VLOOKUP($K33,'Withdrawal Working'!$AD:$AE,2,0)*(IFERROR(VLOOKUP(DT$2,$B$35:$C$42,2,0),0)))</f>
        <v>0</v>
      </c>
      <c r="DV33" s="58">
        <f>IFERROR(IF($K33&lt;VLOOKUP(DT$2,$B:$H,7,0),IF(DX$3=1,MIN($M33,DT33),IF(HLOOKUP(CONCATENATE("Balance",DX$3-1),'Withdrawal Working'!$A$2:$CD$78,MATCH('Yoy WAR OG'!$J33,'Withdrawal Working'!$A$2:$A$78,0),FALSE)&gt;0,MIN(HLOOKUP(CONCATENATE("Balance",DX$3-1),'Withdrawal Working'!$A$2:$CD$78,MATCH('Yoy WAR OG'!$J33,'Withdrawal Working'!$A$2:$A$78,0),0),DT33),0)),IF($K33=VLOOKUP(DT$2,$B:$H,7,0),DT33,)),0)</f>
        <v>0</v>
      </c>
      <c r="DW33" s="58">
        <f t="shared" ca="1" si="18"/>
        <v>0</v>
      </c>
      <c r="DZ33" s="450">
        <f t="shared" ca="1" si="45"/>
        <v>0</v>
      </c>
      <c r="EA33" s="58">
        <f ca="1">(VLOOKUP(DZ$2,$B$1:$F$32,5,0)*$L33)+(VLOOKUP($K33,'Withdrawal Working'!$AD:$AE,2,0)*(IFERROR(VLOOKUP(DZ$2,$B$35:$C$42,2,0),0)))</f>
        <v>0</v>
      </c>
      <c r="EB33" s="58">
        <f>IFERROR(IF($K33&lt;VLOOKUP(DZ$2,$B:$H,7,0),IF(ED$3=1,MIN($M33,DZ33),IF(HLOOKUP(CONCATENATE("Balance",ED$3-1),'Withdrawal Working'!$A$2:$CD$78,MATCH('Yoy WAR OG'!$J33,'Withdrawal Working'!$A$2:$A$78,0),FALSE)&gt;0,MIN(HLOOKUP(CONCATENATE("Balance",ED$3-1),'Withdrawal Working'!$A$2:$CD$78,MATCH('Yoy WAR OG'!$J33,'Withdrawal Working'!$A$2:$A$78,0),0),DZ33),0)),IF($K33=VLOOKUP(DZ$2,$B:$H,7,0),DZ33,)),0)</f>
        <v>0</v>
      </c>
      <c r="EC33" s="58">
        <f t="shared" ca="1" si="19"/>
        <v>0</v>
      </c>
      <c r="EF33" s="450">
        <f t="shared" ca="1" si="46"/>
        <v>0</v>
      </c>
      <c r="EG33" s="58">
        <f ca="1">(VLOOKUP(EF$2,$B$1:$F$32,5,0)*$L33)+(VLOOKUP($K33,'Withdrawal Working'!$AD:$AE,2,0)*(IFERROR(VLOOKUP(EF$2,$B$35:$C$42,2,0),0)))</f>
        <v>0</v>
      </c>
      <c r="EH33" s="58">
        <f>IFERROR(IF($K33&lt;VLOOKUP(EF$2,$B:$H,7,0),IF(EJ$3=1,MIN($M33,EF33),IF(HLOOKUP(CONCATENATE("Balance",EJ$3-1),'Withdrawal Working'!$A$2:$CD$78,MATCH('Yoy WAR OG'!$J33,'Withdrawal Working'!$A$2:$A$78,0),FALSE)&gt;0,MIN(HLOOKUP(CONCATENATE("Balance",EJ$3-1),'Withdrawal Working'!$A$2:$CD$78,MATCH('Yoy WAR OG'!$J33,'Withdrawal Working'!$A$2:$A$78,0),0),EF33),0)),IF($K33=VLOOKUP(EF$2,$B:$H,7,0),EF33,)),0)</f>
        <v>0</v>
      </c>
      <c r="EI33" s="58">
        <f t="shared" ca="1" si="20"/>
        <v>0</v>
      </c>
      <c r="EL33" s="450">
        <f t="shared" ca="1" si="47"/>
        <v>0</v>
      </c>
      <c r="EM33" s="58">
        <f>IF(OR($J33&gt;'NWGC - SCENARIOS'!$D$7,$J33='NWGC - SCENARIOS'!$D$7),0,EM32)</f>
        <v>0</v>
      </c>
      <c r="EN33" s="58">
        <f>IFERROR(IF($K33&lt;VLOOKUP(EL$2,$B:$H,7,0),IF(EP$3=1,MIN($M33,EL33),IF(HLOOKUP(CONCATENATE("Balance",EP$3-1),'Withdrawal Working'!$A$2:$CD$78,MATCH('Yoy WAR OG'!$J33,'Withdrawal Working'!$A$2:$A$78,0),FALSE)&gt;0,MIN(HLOOKUP(CONCATENATE("Balance",EP$3-1),'Withdrawal Working'!$A$2:$CD$78,MATCH('Yoy WAR OG'!$J33,'Withdrawal Working'!$A$2:$A$78,0),0),EL33),0)),IF($K33=VLOOKUP(EL$2,$B:$H,7,0),EL33,)),0)</f>
        <v>0</v>
      </c>
      <c r="EO33" s="58">
        <f t="shared" ca="1" si="21"/>
        <v>0</v>
      </c>
      <c r="ER33" s="450">
        <f t="shared" ca="1" si="48"/>
        <v>0</v>
      </c>
      <c r="ES33" s="58">
        <f>IF(OR(J33&gt;'NWGC - SCENARIOS'!$D$7,J33='NWGC - SCENARIOS'!$D$7),0,ES32*(1+'NWGC - SCENARIOS'!$L$5))</f>
        <v>0</v>
      </c>
      <c r="ET33" s="58">
        <f>IFERROR(IF($K33&lt;VLOOKUP(ER$2,$B:$H,7,0),IF(EV$3=1,MIN($M33,ER33),IF(HLOOKUP(CONCATENATE("Balance",EV$3-1),'Withdrawal Working'!$A$2:$CD$78,MATCH('Yoy WAR OG'!$J33,'Withdrawal Working'!$A$2:$A$78,0),FALSE)&gt;0,MIN(HLOOKUP(CONCATENATE("Balance",EV$3-1),'Withdrawal Working'!$A$2:$CD$78,MATCH('Yoy WAR OG'!$J33,'Withdrawal Working'!$A$2:$A$78,0),0),ER33),0)),IF($K33=VLOOKUP(ER$2,$B:$H,7,0),ER33,)),0)</f>
        <v>0</v>
      </c>
      <c r="EU33" s="58">
        <f t="shared" ca="1" si="22"/>
        <v>0</v>
      </c>
      <c r="EX33" s="450">
        <f t="shared" ca="1" si="49"/>
        <v>0</v>
      </c>
      <c r="EY33" s="58">
        <f>IF(OR(J33&gt;'NWGC - SCENARIOS'!$D$7,J33='NWGC - SCENARIOS'!$D$7),0,EY32)</f>
        <v>0</v>
      </c>
      <c r="EZ33" s="58">
        <f>IFERROR(IF($K33&lt;VLOOKUP(EX$2,$B:$H,7,0),IF(FB$3=1,MIN($M33,EX33),IF(HLOOKUP(CONCATENATE("Balance",FB$3-1),'Withdrawal Working'!$A$2:$CD$78,MATCH('Yoy WAR OG'!$J33,'Withdrawal Working'!$A$2:$A$78,0),FALSE)&gt;0,MIN(HLOOKUP(CONCATENATE("Balance",FB$3-1),'Withdrawal Working'!$A$2:$CD$78,MATCH('Yoy WAR OG'!$J33,'Withdrawal Working'!$A$2:$A$78,0),0),EX33),0)),IF($K33=VLOOKUP(EX$2,$B:$H,7,0),EX33,)),0)</f>
        <v>0</v>
      </c>
      <c r="FA33" s="58">
        <f t="shared" ca="1" si="23"/>
        <v>0</v>
      </c>
    </row>
    <row r="34" spans="2:157" x14ac:dyDescent="0.3">
      <c r="B34" s="319" t="s">
        <v>368</v>
      </c>
      <c r="J34">
        <f>IFERROR('NWGC - SCENARIOS'!B41,0)</f>
        <v>79</v>
      </c>
      <c r="K34">
        <f>IFERROR('NWGC - SCENARIOS'!C41,0)</f>
        <v>2055</v>
      </c>
      <c r="L34" s="449">
        <f ca="1">IF(('NWGC - SCENARIOS'!G41-working!G32)&gt;'NWGC - SCENARIOS'!H41,'NWGC - SCENARIOS'!G41-'NWGC - SCENARIOS'!H41-working!G32,0)</f>
        <v>0</v>
      </c>
      <c r="M34" s="449">
        <f ca="1">IF(('NWGC - SCENARIOS'!G41-working!G32)&gt;'NWGC - SCENARIOS'!H41,0,'NWGC - SCENARIOS'!H41-'NWGC - SCENARIOS'!G41+working!G32)</f>
        <v>22669971.574622657</v>
      </c>
      <c r="N34" s="58">
        <f t="shared" ca="1" si="0"/>
        <v>722190440.57213581</v>
      </c>
      <c r="O34" s="58">
        <f t="shared" ca="1" si="1"/>
        <v>89448857.964526147</v>
      </c>
      <c r="P34" s="58">
        <f t="shared" ca="1" si="24"/>
        <v>0</v>
      </c>
      <c r="Q34" s="58">
        <f ca="1">(VLOOKUP(P$2,$B$1:$F$32,5,0)*$L34)+(VLOOKUP($K34,'Withdrawal Working'!$AD:$AE,2,0)*(IFERROR(VLOOKUP(P$2,$B$35:$C$42,2,0),0)))</f>
        <v>0</v>
      </c>
      <c r="R34" s="58">
        <f>IFERROR(IF($K34&lt;VLOOKUP(P$2,$B:$H,7,0),IF(T$3=1,MIN($M34,P34),IF(HLOOKUP(CONCATENATE("Balance",T$3-1),'Withdrawal Working'!$A$2:$CD$78,MATCH('Yoy WAR OG'!$J34,'Withdrawal Working'!$A$2:$A$78,0),FALSE)&gt;0,MIN(HLOOKUP(CONCATENATE("Balance",T$3-1),'Withdrawal Working'!$A$2:$CD$78,MATCH('Yoy WAR OG'!$J34,'Withdrawal Working'!$A$2:$A$78,0),0),P34),0)),IF($K34=VLOOKUP(P$2,$B:$H,7,0),P34,)),0)</f>
        <v>0</v>
      </c>
      <c r="S34" s="58">
        <f t="shared" ca="1" si="26"/>
        <v>0</v>
      </c>
      <c r="T34" s="58"/>
      <c r="V34" s="58">
        <f t="shared" ca="1" si="27"/>
        <v>0</v>
      </c>
      <c r="W34" s="58">
        <f ca="1">(VLOOKUP(V$2,$B$1:$F$32,5,0)*$L34)+(VLOOKUP($K34,'Withdrawal Working'!$AD:$AE,2,0)*(IFERROR(VLOOKUP(V$2,$B$35:$C$42,2,0),0)))</f>
        <v>0</v>
      </c>
      <c r="X34" s="58">
        <f>IFERROR(IF($K34&lt;VLOOKUP(V$2,$B:$H,7,0),IF(Z$3=1,MIN($M34,V34),IF(HLOOKUP(CONCATENATE("Balance",Z$3-1),'Withdrawal Working'!$A$2:$CD$78,MATCH('Yoy WAR OG'!$J34,'Withdrawal Working'!$A$2:$A$78,0),FALSE)&gt;0,MIN(HLOOKUP(CONCATENATE("Balance",Z$3-1),'Withdrawal Working'!$A$2:$CD$78,MATCH('Yoy WAR OG'!$J34,'Withdrawal Working'!$A$2:$A$78,0),0),V34),0)),IF($K34=VLOOKUP(V$2,$B:$H,7,0),V34,)),0)</f>
        <v>0</v>
      </c>
      <c r="Y34" s="58">
        <f t="shared" ca="1" si="2"/>
        <v>0</v>
      </c>
      <c r="AB34" s="58">
        <f t="shared" ca="1" si="28"/>
        <v>0</v>
      </c>
      <c r="AC34" s="58">
        <f ca="1">(VLOOKUP(AB$2,$B$1:$F$32,5,0)*$L34)+(VLOOKUP($K34,'Withdrawal Working'!$AD:$AE,2,0)*(IFERROR(VLOOKUP(AB$2,$B$35:$C$42,2,0),0)))</f>
        <v>0</v>
      </c>
      <c r="AD34" s="58">
        <f>IFERROR(IF($K34&lt;VLOOKUP(AB$2,$B:$H,7,0),IF(AF$3=1,MIN($M34,AB34),IF(HLOOKUP(CONCATENATE("Balance",AF$3-1),'Withdrawal Working'!$A$2:$CD$78,MATCH('Yoy WAR OG'!$J34,'Withdrawal Working'!$A$2:$A$78,0),FALSE)&gt;0,MIN(HLOOKUP(CONCATENATE("Balance",AF$3-1),'Withdrawal Working'!$A$2:$CD$78,MATCH('Yoy WAR OG'!$J34,'Withdrawal Working'!$A$2:$A$78,0),0),AB34),0)),IF($K34=VLOOKUP(AB$2,$B:$H,7,0),AB34,)),0)</f>
        <v>0</v>
      </c>
      <c r="AE34" s="58">
        <f t="shared" ca="1" si="3"/>
        <v>0</v>
      </c>
      <c r="AH34" s="58">
        <f t="shared" ca="1" si="29"/>
        <v>265497976.54558167</v>
      </c>
      <c r="AI34" s="58">
        <f ca="1">(VLOOKUP(AH$2,$B$1:$F$32,5,0)*$L34)+IF(J34&gt;'NWGC - SCENARIOS'!$D$7,0,(VLOOKUP($K34,'Withdrawal Working'!$AD:$AE,2,0)*(IFERROR(VLOOKUP(AH$2,$B$35:$C$42,2,0),0))))</f>
        <v>0</v>
      </c>
      <c r="AJ34" s="58">
        <f ca="1">IFERROR(IF($J34&gt;'NWGC - SCENARIOS'!$D$7,MIN('Yoy WAR OG'!AH34,VLOOKUP('Yoy WAR OG'!$J34,'Withdrawal Working'!BC:BD,2,0)),IF(AL$3=1,$M34,IF(HLOOKUP(CONCATENATE("Balance",AL$3-1),'Withdrawal Working'!$A$2:$CD$78,MATCH('Yoy WAR OG'!$J34,'Withdrawal Working'!$A$2:$A$78,0),FALSE)&gt;0,MIN(HLOOKUP(CONCATENATE("Balance",AL$3-1),'Withdrawal Working'!$A$2:$CD$78,MATCH('Yoy WAR OG'!$J34,'Withdrawal Working'!$A$2:$A$78,0),0),AH34),0))),0)</f>
        <v>25869378.294869103</v>
      </c>
      <c r="AK34" s="58">
        <f t="shared" ca="1" si="4"/>
        <v>265987744.05829099</v>
      </c>
      <c r="AN34" s="450">
        <f t="shared" ca="1" si="30"/>
        <v>429220210.82842159</v>
      </c>
      <c r="AO34" s="58">
        <f ca="1">IF(J34&gt;'NWGC - SCENARIOS'!$D$7,(IF(AJ34=0,0,'Yoy WAR OG'!AJ34)+(VLOOKUP(AN$2,$B$1:$F$32,5,0)*$L34)),(VLOOKUP(AN$2,$B$1:$F$32,5,0)*$L34)+(VLOOKUP($K34,'Withdrawal Working'!$AD:$AE,2,0)*(IFERROR(VLOOKUP(AN$2,$B$35:$C$42,2,0),0))))</f>
        <v>25869378.294869103</v>
      </c>
      <c r="AP34" s="470">
        <f ca="1">IFERROR(IF($K34&lt;&gt;VLOOKUP(AN$2,$B:$H,7,0),IF(AR$3=1,MIN($M34,AN34),IF(HLOOKUP(CONCATENATE("Balance",AR$3-1),'Withdrawal Working'!$A$2:$CD$78,MATCH('Yoy WAR OG'!$J34,'Withdrawal Working'!$A$2:$A$78,0),FALSE)&gt;0,MIN(HLOOKUP(CONCATENATE("Balance",AR$3-1),'Withdrawal Working'!$A$2:$CD$78,MATCH('Yoy WAR OG'!$J34,'Withdrawal Working'!$A$2:$A$78,0),0),AN34),0)),IF($K34=VLOOKUP(AN$2,$B:$H,7,0),AN34,)),0)</f>
        <v>22669971.574622657</v>
      </c>
      <c r="AQ34" s="58">
        <f ca="1">IF(AO34&lt;0,0,IF(J34&gt;'NWGC - SCENARIOS'!$D$7,((AN34-AP34+AO34)*(1+(IFERROR(VLOOKUP(AN$2,$B:$D,3,0),0)))),((AN34-AP34)*(1+(IFERROR(VLOOKUP(AN$2,$B:$D,3,0),0))))+AO34))</f>
        <v>456202696.51384479</v>
      </c>
      <c r="AT34" s="450">
        <f t="shared" ca="1" si="31"/>
        <v>0</v>
      </c>
      <c r="AU34" s="58">
        <f ca="1">(VLOOKUP(AT$2,$B$1:$F$32,5,0)*$L34)+(VLOOKUP($K34,'Withdrawal Working'!$AD:$AE,2,0)*(IFERROR(VLOOKUP(AT$2,$B$35:$C$42,2,0),0)))</f>
        <v>0</v>
      </c>
      <c r="AV34" s="58">
        <f>IFERROR(IF($K34&lt;VLOOKUP(AT$2,$B:$H,7,0),IF(AX$3=1,MIN($M34,AT34),IF(HLOOKUP(CONCATENATE("Balance",AX$3-1),'Withdrawal Working'!$A$2:$CD$78,MATCH('Yoy WAR OG'!$J34,'Withdrawal Working'!$A$2:$A$78,0),FALSE)&gt;0,MIN(HLOOKUP(CONCATENATE("Balance",AX$3-1),'Withdrawal Working'!$A$2:$CD$78,MATCH('Yoy WAR OG'!$J34,'Withdrawal Working'!$A$2:$A$78,0),0),AT34),0)),IF($K34=VLOOKUP(AT$2,$B:$H,7,0),AT34,)),0)</f>
        <v>0</v>
      </c>
      <c r="AW34" s="58">
        <f t="shared" ca="1" si="5"/>
        <v>0</v>
      </c>
      <c r="AZ34" s="450">
        <f t="shared" ca="1" si="32"/>
        <v>30449020.170648161</v>
      </c>
      <c r="BA34" s="58">
        <f ca="1">(VLOOKUP(AZ$2,$B$1:$F$32,5,0)*$L34)+(VLOOKUP($K34,'Withdrawal Working'!$AD:$AE,2,0)*(IFERROR(VLOOKUP(AZ$2,$B$35:$C$42,2,0),0)))</f>
        <v>0</v>
      </c>
      <c r="BB34" s="58">
        <f>IFERROR(IF($K34&lt;VLOOKUP(AZ$2,$B:$H,7,0),IF(BD$3=1,MIN($M34,AZ34),IF(HLOOKUP(CONCATENATE("Balance",BD$3-1),'Withdrawal Working'!$A$2:$CD$78,MATCH('Yoy WAR OG'!$J34,'Withdrawal Working'!$A$2:$A$78,0),FALSE)&gt;0,MIN(HLOOKUP(CONCATENATE("Balance",BD$3-1),'Withdrawal Working'!$A$2:$CD$78,MATCH('Yoy WAR OG'!$J34,'Withdrawal Working'!$A$2:$A$78,0),0),AZ34),0)),IF($K34=VLOOKUP(AZ$2,$B:$H,7,0),AZ34,)),0)</f>
        <v>0</v>
      </c>
      <c r="BC34" s="58">
        <f t="shared" ca="1" si="6"/>
        <v>32580451.582593534</v>
      </c>
      <c r="BF34" s="450">
        <f t="shared" ca="1" si="33"/>
        <v>0</v>
      </c>
      <c r="BG34" s="58">
        <f ca="1">(VLOOKUP(BF$2,$B$1:$F$32,5,0)*$L34)+(VLOOKUP($K34,'Withdrawal Working'!$AD:$AE,2,0)*(IFERROR(VLOOKUP(BF$2,$B$35:$C$42,2,0),0)))</f>
        <v>0</v>
      </c>
      <c r="BH34" s="58">
        <f>IFERROR(IF($K34&lt;VLOOKUP(BF$2,$B:$H,7,0),IF(BJ$3=1,MIN($M34,BF34),IF(HLOOKUP(CONCATENATE("Balance",BJ$3-1),'Withdrawal Working'!$A$2:$CD$78,MATCH('Yoy WAR OG'!$J34,'Withdrawal Working'!$A$2:$A$78,0),FALSE)&gt;0,MIN(HLOOKUP(CONCATENATE("Balance",BJ$3-1),'Withdrawal Working'!$A$2:$CD$78,MATCH('Yoy WAR OG'!$J34,'Withdrawal Working'!$A$2:$A$78,0),0),BF34),0)),IF($K34=VLOOKUP(BF$2,$B:$H,7,0),BF34,)),0)</f>
        <v>0</v>
      </c>
      <c r="BI34" s="58">
        <f t="shared" ca="1" si="7"/>
        <v>0</v>
      </c>
      <c r="BL34" s="450">
        <f t="shared" ca="1" si="34"/>
        <v>0</v>
      </c>
      <c r="BM34" s="58">
        <f ca="1">(VLOOKUP(BL$2,$B$1:$F$32,5,0)*$L34)+(VLOOKUP($K34,'Withdrawal Working'!$AD:$AE,2,0)*(IFERROR(VLOOKUP(BL$2,$B$35:$C$42,2,0),0)))</f>
        <v>0</v>
      </c>
      <c r="BN34" s="58">
        <f>IFERROR(IF($K34&lt;VLOOKUP(BL$2,$B:$H,7,0),IF(BP$3=1,MIN($M34,BL34),IF(HLOOKUP(CONCATENATE("Balance",BP$3-1),'Withdrawal Working'!$A$2:$CD$78,MATCH('Yoy WAR OG'!$J34,'Withdrawal Working'!$A$2:$A$78,0),FALSE)&gt;0,MIN(HLOOKUP(CONCATENATE("Balance",BP$3-1),'Withdrawal Working'!$A$2:$CD$78,MATCH('Yoy WAR OG'!$J34,'Withdrawal Working'!$A$2:$A$78,0),0),BL34),0)),IF($K34=VLOOKUP(BL$2,$B:$H,7,0),BL34,)),0)</f>
        <v>0</v>
      </c>
      <c r="BO34" s="58">
        <f t="shared" ca="1" si="8"/>
        <v>0</v>
      </c>
      <c r="BR34" s="450">
        <f t="shared" ca="1" si="35"/>
        <v>0</v>
      </c>
      <c r="BS34" s="58">
        <f ca="1">(VLOOKUP(BR$2,$B$1:$F$32,5,0)*$L34)+(VLOOKUP($K34,'Withdrawal Working'!$AD:$AE,2,0)*(IFERROR(VLOOKUP(BR$2,$B$35:$C$42,2,0),0)))</f>
        <v>0</v>
      </c>
      <c r="BT34" s="58">
        <f>IFERROR(IF($K34&lt;VLOOKUP(BR$2,$B:$H,7,0),IF(BV$3=1,MIN($M34,BR34),IF(HLOOKUP(CONCATENATE("Balance",BV$3-1),'Withdrawal Working'!$A$2:$CD$78,MATCH('Yoy WAR OG'!$J34,'Withdrawal Working'!$A$2:$A$78,0),FALSE)&gt;0,MIN(HLOOKUP(CONCATENATE("Balance",BV$3-1),'Withdrawal Working'!$A$2:$CD$78,MATCH('Yoy WAR OG'!$J34,'Withdrawal Working'!$A$2:$A$78,0),0),BR34),0)),IF($K34=VLOOKUP(BR$2,$B:$H,7,0),BR34,)),0)</f>
        <v>0</v>
      </c>
      <c r="BU34" s="58">
        <f t="shared" ca="1" si="9"/>
        <v>0</v>
      </c>
      <c r="BX34" s="450">
        <f t="shared" ca="1" si="36"/>
        <v>0</v>
      </c>
      <c r="BY34" s="58">
        <f ca="1">(VLOOKUP(BX$2,$B$1:$F$32,5,0)*$L34)+(VLOOKUP($K34,'Withdrawal Working'!$AD:$AE,2,0)*(IFERROR(VLOOKUP(BX$2,$B$35:$C$42,2,0),0)))</f>
        <v>0</v>
      </c>
      <c r="BZ34" s="58">
        <f>IFERROR(IF($K34&lt;VLOOKUP(BX$2,$B:$H,7,0),IF(CB$3=1,MIN($M34,BX34),IF(HLOOKUP(CONCATENATE("Balance",CB$3-1),'Withdrawal Working'!$A$2:$CD$78,MATCH('Yoy WAR OG'!$J34,'Withdrawal Working'!$A$2:$A$78,0),FALSE)&gt;0,MIN(HLOOKUP(CONCATENATE("Balance",CB$3-1),'Withdrawal Working'!$A$2:$CD$78,MATCH('Yoy WAR OG'!$J34,'Withdrawal Working'!$A$2:$A$78,0),0),BX34),0)),IF($K34=VLOOKUP(BX$2,$B:$H,7,0),BX34,)),0)</f>
        <v>0</v>
      </c>
      <c r="CA34" s="58">
        <f t="shared" ca="1" si="10"/>
        <v>0</v>
      </c>
      <c r="CD34" s="450">
        <f t="shared" ca="1" si="37"/>
        <v>44197386.065205924</v>
      </c>
      <c r="CE34" s="58">
        <f ca="1">(VLOOKUP(CD$2,$B$1:$F$32,5,0)*$L34)+(VLOOKUP($K34,'Withdrawal Working'!$AD:$AE,2,0)*(IFERROR(VLOOKUP(CD$2,$B$35:$C$42,2,0),0)))+SUMIFS('Key Life Events'!$I$3:$I$28,'Key Life Events'!$H$3:$H$28,"House",'Key Life Events'!$E$3:$E$28,'Yoy WAR OG'!K34)</f>
        <v>0</v>
      </c>
      <c r="CF34" s="58">
        <f>IFERROR(IF($K34&lt;VLOOKUP(CD$2,$B:$H,7,0),IF(CH$3=1,MIN($M34,CD34),IF(HLOOKUP(CONCATENATE("Balance",CH$3-1),'Withdrawal Working'!$A$2:$CD$78,MATCH('Yoy WAR OG'!$J34,'Withdrawal Working'!$A$2:$A$78,0),FALSE)&gt;0,MIN(HLOOKUP(CONCATENATE("Balance",CH$3-1),'Withdrawal Working'!$A$2:$CD$78,MATCH('Yoy WAR OG'!$J34,'Withdrawal Working'!$A$2:$A$78,0),0),CD34),0)),IF($K34=VLOOKUP(CD$2,$B:$H,7,0),CD34,)),0)</f>
        <v>0</v>
      </c>
      <c r="CG34" s="58">
        <f t="shared" ca="1" si="11"/>
        <v>45523307.647162102</v>
      </c>
      <c r="CJ34" s="450">
        <f t="shared" ca="1" si="38"/>
        <v>0</v>
      </c>
      <c r="CK34" s="58">
        <f ca="1">(VLOOKUP(CJ$2,$B$1:$F$32,5,0)*$L34)+(VLOOKUP($K34,'Withdrawal Working'!$AD:$AE,2,0)*(IFERROR(VLOOKUP(CJ$2,$B$35:$C$42,2,0),0)))+SUMIFS('Key Life Events'!$I$3:$I$28,'Key Life Events'!$H$3:$H$28,"House2",'Key Life Events'!$E$3:$E$28,'Yoy WAR OG'!K34)</f>
        <v>0</v>
      </c>
      <c r="CL34" s="58">
        <f ca="1">IF(IFERROR(IF($K34&lt;&gt;VLOOKUP(CJ$2,$B:$H,7,0),IF(CN$3=1,MIN($M34,CJ34),IF(HLOOKUP(CONCATENATE("Balance",CN$3-1),'Withdrawal Working'!$A$2:$CD$78,MATCH('Yoy WAR OG'!$J34,'Withdrawal Working'!$A$2:$A$78,0),FALSE)&gt;0,MIN(HLOOKUP(CONCATENATE("Balance",CN$3-1),'Withdrawal Working'!$A$2:$CD$78,MATCH('Yoy WAR OG'!$J34,'Withdrawal Working'!$A$2:$A$78,0),0),CJ34),0)),IF($K34=VLOOKUP(CJ$2,$B:$H,7,0),CJ34,)),0)&gt;0,CJ34,0)</f>
        <v>0</v>
      </c>
      <c r="CM34" s="58">
        <f t="shared" ca="1" si="12"/>
        <v>0</v>
      </c>
      <c r="CP34" s="450">
        <f t="shared" ca="1" si="39"/>
        <v>10804855.937876666</v>
      </c>
      <c r="CQ34" s="58">
        <f ca="1">(VLOOKUP(CP$2,$B$1:$F$32,5,0)*$L34)+(VLOOKUP($K34,'Withdrawal Working'!$AD:$AE,2,0)*(IFERROR(VLOOKUP(CP$2,$B$35:$C$42,2,0),0)))+SUMIFS('Key Life Events'!$I$3:$I$28,'Key Life Events'!$H$3:$H$28,"Land",'Key Life Events'!$E$3:$E$28,'Yoy WAR OG'!K34)</f>
        <v>0</v>
      </c>
      <c r="CR34" s="58">
        <f>IFERROR(IF($K34&lt;VLOOKUP(CP$2,$B:$H,7,0),IF(CT$3=1,MIN($M34,CP34),IF(HLOOKUP(CONCATENATE("Balance",CT$3-1),'Withdrawal Working'!$A$2:$CD$78,MATCH('Yoy WAR OG'!$J34,'Withdrawal Working'!$A$2:$A$78,0),FALSE)&gt;0,MIN(HLOOKUP(CONCATENATE("Balance",CT$3-1),'Withdrawal Working'!$A$2:$CD$78,MATCH('Yoy WAR OG'!$J34,'Withdrawal Working'!$A$2:$A$78,0),0),CP34),0)),IF($K34=VLOOKUP(CP$2,$B:$H,7,0),CP34,)),0)</f>
        <v>0</v>
      </c>
      <c r="CS34" s="58">
        <f t="shared" ca="1" si="13"/>
        <v>11345098.734770499</v>
      </c>
      <c r="CV34" s="450">
        <f t="shared" ca="1" si="40"/>
        <v>0</v>
      </c>
      <c r="CW34" s="58"/>
      <c r="CX34" s="58">
        <f>IFERROR(IF($K34&lt;VLOOKUP(CV$2,$B:$H,7,0),IF(CZ$3=1,MIN($M34,CV34),IF(HLOOKUP(CONCATENATE("Balance",CZ$3-1),'Withdrawal Working'!$A$2:$CD$78,MATCH('Yoy WAR OG'!$J34,'Withdrawal Working'!$A$2:$A$78,0),FALSE)&gt;0,MIN(HLOOKUP(CONCATENATE("Balance",CZ$3-1),'Withdrawal Working'!$A$2:$CD$78,MATCH('Yoy WAR OG'!$J34,'Withdrawal Working'!$A$2:$A$78,0),0),CV34),0)),IF($K34=VLOOKUP(CV$2,$B:$H,7,0),CV34,)),0)</f>
        <v>0</v>
      </c>
      <c r="CY34" s="58">
        <f t="shared" ca="1" si="14"/>
        <v>0</v>
      </c>
      <c r="DB34" s="450">
        <f t="shared" ca="1" si="41"/>
        <v>0</v>
      </c>
      <c r="DC34" s="58">
        <f ca="1">(VLOOKUP(DB$2,$B$1:$F$32,5,0)*$L34)+(VLOOKUP($K34,'Withdrawal Working'!$AD:$AE,2,0)*(IFERROR(VLOOKUP(DB$2,$B$35:$C$42,2,0),0)))</f>
        <v>0</v>
      </c>
      <c r="DD34" s="58">
        <f>IFERROR(IF($K34&lt;VLOOKUP(DB$2,$B:$H,7,0),IF(DF$3=1,MIN($M34,DB34),IF(HLOOKUP(CONCATENATE("Balance",DF$3-1),'Withdrawal Working'!$A$2:$CD$78,MATCH('Yoy WAR OG'!$J34,'Withdrawal Working'!$A$2:$A$78,0),FALSE)&gt;0,MIN(HLOOKUP(CONCATENATE("Balance",DF$3-1),'Withdrawal Working'!$A$2:$CD$78,MATCH('Yoy WAR OG'!$J34,'Withdrawal Working'!$A$2:$A$78,0),0),DB34),0)),IF($K34=VLOOKUP(DB$2,$B:$H,7,0),DB34,)),0)</f>
        <v>0</v>
      </c>
      <c r="DE34" s="58">
        <f t="shared" ca="1" si="15"/>
        <v>0</v>
      </c>
      <c r="DH34" s="450">
        <f t="shared" ca="1" si="42"/>
        <v>0</v>
      </c>
      <c r="DI34" s="58">
        <f>IF(OR(J34&gt;'NWGC - SCENARIOS'!$D$7,J34='NWGC - SCENARIOS'!$D$7),0,DI33*(1+'NWGC - SCENARIOS'!$L$5))</f>
        <v>0</v>
      </c>
      <c r="DJ34" s="58">
        <f>IFERROR(IF($K34&lt;VLOOKUP(DH$2,$B:$H,7,0),IF(DL$3=1,MIN($M34,DH34),IF(HLOOKUP(CONCATENATE("Balance",DL$3-1),'Withdrawal Working'!$A$2:$CD$78,MATCH('Yoy WAR OG'!$J34,'Withdrawal Working'!$A$2:$A$78,0),FALSE)&gt;0,MIN(HLOOKUP(CONCATENATE("Balance",DL$3-1),'Withdrawal Working'!$A$2:$CD$78,MATCH('Yoy WAR OG'!$J34,'Withdrawal Working'!$A$2:$A$78,0),0),DH34),0)),IF($K34=VLOOKUP(DH$2,$B:$H,7,0),DH34,)),0)</f>
        <v>0</v>
      </c>
      <c r="DK34" s="58">
        <f t="shared" ca="1" si="16"/>
        <v>0</v>
      </c>
      <c r="DN34" s="450">
        <f t="shared" ca="1" si="43"/>
        <v>0</v>
      </c>
      <c r="DO34" s="58">
        <f ca="1">(VLOOKUP(DN$2,$B$1:$F$32,5,0)*$L34)+(VLOOKUP($K34,'Withdrawal Working'!$AD:$AE,2,0)*(IFERROR(VLOOKUP(DN$2,$B$35:$C$42,2,0),0)))</f>
        <v>0</v>
      </c>
      <c r="DP34" s="58">
        <f>IFERROR(IF($K34&lt;VLOOKUP(DN$2,$B:$H,7,0),IF(DR$3=1,MIN($M34,DN34),IF(HLOOKUP(CONCATENATE("Balance",DR$3-1),'Withdrawal Working'!$A$2:$CD$78,MATCH('Yoy WAR OG'!$J34,'Withdrawal Working'!$A$2:$A$78,0),FALSE)&gt;0,MIN(HLOOKUP(CONCATENATE("Balance",DR$3-1),'Withdrawal Working'!$A$2:$CD$78,MATCH('Yoy WAR OG'!$J34,'Withdrawal Working'!$A$2:$A$78,0),0),DN34),0)),IF($K34=VLOOKUP(DN$2,$B:$H,7,0),DN34,)),0)</f>
        <v>0</v>
      </c>
      <c r="DQ34" s="58">
        <f t="shared" ca="1" si="17"/>
        <v>0</v>
      </c>
      <c r="DT34" s="450">
        <f t="shared" ca="1" si="44"/>
        <v>0</v>
      </c>
      <c r="DU34" s="58">
        <f ca="1">(VLOOKUP(DT$2,$B$1:$F$32,5,0)*$L34)+(VLOOKUP($K34,'Withdrawal Working'!$AD:$AE,2,0)*(IFERROR(VLOOKUP(DT$2,$B$35:$C$42,2,0),0)))</f>
        <v>0</v>
      </c>
      <c r="DV34" s="58">
        <f>IFERROR(IF($K34&lt;VLOOKUP(DT$2,$B:$H,7,0),IF(DX$3=1,MIN($M34,DT34),IF(HLOOKUP(CONCATENATE("Balance",DX$3-1),'Withdrawal Working'!$A$2:$CD$78,MATCH('Yoy WAR OG'!$J34,'Withdrawal Working'!$A$2:$A$78,0),FALSE)&gt;0,MIN(HLOOKUP(CONCATENATE("Balance",DX$3-1),'Withdrawal Working'!$A$2:$CD$78,MATCH('Yoy WAR OG'!$J34,'Withdrawal Working'!$A$2:$A$78,0),0),DT34),0)),IF($K34=VLOOKUP(DT$2,$B:$H,7,0),DT34,)),0)</f>
        <v>0</v>
      </c>
      <c r="DW34" s="58">
        <f t="shared" ca="1" si="18"/>
        <v>0</v>
      </c>
      <c r="DZ34" s="450">
        <f t="shared" ca="1" si="45"/>
        <v>0</v>
      </c>
      <c r="EA34" s="58">
        <f ca="1">(VLOOKUP(DZ$2,$B$1:$F$32,5,0)*$L34)+(VLOOKUP($K34,'Withdrawal Working'!$AD:$AE,2,0)*(IFERROR(VLOOKUP(DZ$2,$B$35:$C$42,2,0),0)))</f>
        <v>0</v>
      </c>
      <c r="EB34" s="58">
        <f>IFERROR(IF($K34&lt;VLOOKUP(DZ$2,$B:$H,7,0),IF(ED$3=1,MIN($M34,DZ34),IF(HLOOKUP(CONCATENATE("Balance",ED$3-1),'Withdrawal Working'!$A$2:$CD$78,MATCH('Yoy WAR OG'!$J34,'Withdrawal Working'!$A$2:$A$78,0),FALSE)&gt;0,MIN(HLOOKUP(CONCATENATE("Balance",ED$3-1),'Withdrawal Working'!$A$2:$CD$78,MATCH('Yoy WAR OG'!$J34,'Withdrawal Working'!$A$2:$A$78,0),0),DZ34),0)),IF($K34=VLOOKUP(DZ$2,$B:$H,7,0),DZ34,)),0)</f>
        <v>0</v>
      </c>
      <c r="EC34" s="58">
        <f t="shared" ca="1" si="19"/>
        <v>0</v>
      </c>
      <c r="EF34" s="450">
        <f t="shared" ca="1" si="46"/>
        <v>0</v>
      </c>
      <c r="EG34" s="58">
        <f ca="1">(VLOOKUP(EF$2,$B$1:$F$32,5,0)*$L34)+(VLOOKUP($K34,'Withdrawal Working'!$AD:$AE,2,0)*(IFERROR(VLOOKUP(EF$2,$B$35:$C$42,2,0),0)))</f>
        <v>0</v>
      </c>
      <c r="EH34" s="58">
        <f>IFERROR(IF($K34&lt;VLOOKUP(EF$2,$B:$H,7,0),IF(EJ$3=1,MIN($M34,EF34),IF(HLOOKUP(CONCATENATE("Balance",EJ$3-1),'Withdrawal Working'!$A$2:$CD$78,MATCH('Yoy WAR OG'!$J34,'Withdrawal Working'!$A$2:$A$78,0),FALSE)&gt;0,MIN(HLOOKUP(CONCATENATE("Balance",EJ$3-1),'Withdrawal Working'!$A$2:$CD$78,MATCH('Yoy WAR OG'!$J34,'Withdrawal Working'!$A$2:$A$78,0),0),EF34),0)),IF($K34=VLOOKUP(EF$2,$B:$H,7,0),EF34,)),0)</f>
        <v>0</v>
      </c>
      <c r="EI34" s="58">
        <f t="shared" ca="1" si="20"/>
        <v>0</v>
      </c>
      <c r="EL34" s="450">
        <f t="shared" ca="1" si="47"/>
        <v>0</v>
      </c>
      <c r="EM34" s="58">
        <f>IF(OR($J34&gt;'NWGC - SCENARIOS'!$D$7,$J34='NWGC - SCENARIOS'!$D$7),0,EM33)</f>
        <v>0</v>
      </c>
      <c r="EN34" s="58">
        <f>IFERROR(IF($K34&lt;VLOOKUP(EL$2,$B:$H,7,0),IF(EP$3=1,MIN($M34,EL34),IF(HLOOKUP(CONCATENATE("Balance",EP$3-1),'Withdrawal Working'!$A$2:$CD$78,MATCH('Yoy WAR OG'!$J34,'Withdrawal Working'!$A$2:$A$78,0),FALSE)&gt;0,MIN(HLOOKUP(CONCATENATE("Balance",EP$3-1),'Withdrawal Working'!$A$2:$CD$78,MATCH('Yoy WAR OG'!$J34,'Withdrawal Working'!$A$2:$A$78,0),0),EL34),0)),IF($K34=VLOOKUP(EL$2,$B:$H,7,0),EL34,)),0)</f>
        <v>0</v>
      </c>
      <c r="EO34" s="58">
        <f t="shared" ca="1" si="21"/>
        <v>0</v>
      </c>
      <c r="ER34" s="450">
        <f t="shared" ca="1" si="48"/>
        <v>0</v>
      </c>
      <c r="ES34" s="58">
        <f>IF(OR(J34&gt;'NWGC - SCENARIOS'!$D$7,J34='NWGC - SCENARIOS'!$D$7),0,ES33*(1+'NWGC - SCENARIOS'!$L$5))</f>
        <v>0</v>
      </c>
      <c r="ET34" s="58">
        <f>IFERROR(IF($K34&lt;VLOOKUP(ER$2,$B:$H,7,0),IF(EV$3=1,MIN($M34,ER34),IF(HLOOKUP(CONCATENATE("Balance",EV$3-1),'Withdrawal Working'!$A$2:$CD$78,MATCH('Yoy WAR OG'!$J34,'Withdrawal Working'!$A$2:$A$78,0),FALSE)&gt;0,MIN(HLOOKUP(CONCATENATE("Balance",EV$3-1),'Withdrawal Working'!$A$2:$CD$78,MATCH('Yoy WAR OG'!$J34,'Withdrawal Working'!$A$2:$A$78,0),0),ER34),0)),IF($K34=VLOOKUP(ER$2,$B:$H,7,0),ER34,)),0)</f>
        <v>0</v>
      </c>
      <c r="EU34" s="58">
        <f t="shared" ca="1" si="22"/>
        <v>0</v>
      </c>
      <c r="EX34" s="450">
        <f t="shared" ca="1" si="49"/>
        <v>0</v>
      </c>
      <c r="EY34" s="58">
        <f>IF(OR(J34&gt;'NWGC - SCENARIOS'!$D$7,J34='NWGC - SCENARIOS'!$D$7),0,EY33)</f>
        <v>0</v>
      </c>
      <c r="EZ34" s="58">
        <f>IFERROR(IF($K34&lt;VLOOKUP(EX$2,$B:$H,7,0),IF(FB$3=1,MIN($M34,EX34),IF(HLOOKUP(CONCATENATE("Balance",FB$3-1),'Withdrawal Working'!$A$2:$CD$78,MATCH('Yoy WAR OG'!$J34,'Withdrawal Working'!$A$2:$A$78,0),FALSE)&gt;0,MIN(HLOOKUP(CONCATENATE("Balance",FB$3-1),'Withdrawal Working'!$A$2:$CD$78,MATCH('Yoy WAR OG'!$J34,'Withdrawal Working'!$A$2:$A$78,0),0),EX34),0)),IF($K34=VLOOKUP(EX$2,$B:$H,7,0),EX34,)),0)</f>
        <v>0</v>
      </c>
      <c r="FA34" s="58">
        <f t="shared" ca="1" si="23"/>
        <v>0</v>
      </c>
    </row>
    <row r="35" spans="2:157" x14ac:dyDescent="0.3">
      <c r="B35" t="s">
        <v>58</v>
      </c>
      <c r="C35">
        <f>WAR!M4/(WAR!M4+WAR!M5)</f>
        <v>0.31637157722136111</v>
      </c>
      <c r="J35">
        <f>IFERROR('NWGC - SCENARIOS'!B42,0)</f>
        <v>80</v>
      </c>
      <c r="K35">
        <f>IFERROR('NWGC - SCENARIOS'!C42,0)</f>
        <v>2056</v>
      </c>
      <c r="L35" s="449">
        <f ca="1">IF(('NWGC - SCENARIOS'!G42-working!G33)&gt;'NWGC - SCENARIOS'!H42,'NWGC - SCENARIOS'!G42-'NWGC - SCENARIOS'!H42-working!G33,0)</f>
        <v>0</v>
      </c>
      <c r="M35" s="449">
        <f ca="1">IF(('NWGC - SCENARIOS'!G42-working!G33)&gt;'NWGC - SCENARIOS'!H42,0,'NWGC - SCENARIOS'!H42-'NWGC - SCENARIOS'!G42+working!G33)</f>
        <v>24490289.300592475</v>
      </c>
      <c r="N35" s="58">
        <f t="shared" ca="1" si="0"/>
        <v>749165974.84396899</v>
      </c>
      <c r="O35" s="58">
        <f t="shared" ca="1" si="1"/>
        <v>93662443.741461068</v>
      </c>
      <c r="P35" s="58">
        <f t="shared" ca="1" si="24"/>
        <v>0</v>
      </c>
      <c r="Q35" s="58">
        <f ca="1">(VLOOKUP(P$2,$B$1:$F$32,5,0)*$L35)+(VLOOKUP($K35,'Withdrawal Working'!$AD:$AE,2,0)*(IFERROR(VLOOKUP(P$2,$B$35:$C$42,2,0),0)))</f>
        <v>0</v>
      </c>
      <c r="R35" s="58">
        <f>IFERROR(IF($K35&lt;VLOOKUP(P$2,$B:$H,7,0),IF(T$3=1,MIN($M35,P35),IF(HLOOKUP(CONCATENATE("Balance",T$3-1),'Withdrawal Working'!$A$2:$CD$78,MATCH('Yoy WAR OG'!$J35,'Withdrawal Working'!$A$2:$A$78,0),FALSE)&gt;0,MIN(HLOOKUP(CONCATENATE("Balance",T$3-1),'Withdrawal Working'!$A$2:$CD$78,MATCH('Yoy WAR OG'!$J35,'Withdrawal Working'!$A$2:$A$78,0),0),P35),0)),IF($K35=VLOOKUP(P$2,$B:$H,7,0),P35,)),0)</f>
        <v>0</v>
      </c>
      <c r="S35" s="58">
        <f t="shared" ca="1" si="26"/>
        <v>0</v>
      </c>
      <c r="T35" s="58"/>
      <c r="V35" s="58">
        <f t="shared" ca="1" si="27"/>
        <v>0</v>
      </c>
      <c r="W35" s="58">
        <f ca="1">(VLOOKUP(V$2,$B$1:$F$32,5,0)*$L35)+(VLOOKUP($K35,'Withdrawal Working'!$AD:$AE,2,0)*(IFERROR(VLOOKUP(V$2,$B$35:$C$42,2,0),0)))</f>
        <v>0</v>
      </c>
      <c r="X35" s="58">
        <f>IFERROR(IF($K35&lt;VLOOKUP(V$2,$B:$H,7,0),IF(Z$3=1,MIN($M35,V35),IF(HLOOKUP(CONCATENATE("Balance",Z$3-1),'Withdrawal Working'!$A$2:$CD$78,MATCH('Yoy WAR OG'!$J35,'Withdrawal Working'!$A$2:$A$78,0),FALSE)&gt;0,MIN(HLOOKUP(CONCATENATE("Balance",Z$3-1),'Withdrawal Working'!$A$2:$CD$78,MATCH('Yoy WAR OG'!$J35,'Withdrawal Working'!$A$2:$A$78,0),0),V35),0)),IF($K35=VLOOKUP(V$2,$B:$H,7,0),V35,)),0)</f>
        <v>0</v>
      </c>
      <c r="Y35" s="58">
        <f t="shared" ca="1" si="2"/>
        <v>0</v>
      </c>
      <c r="AB35" s="58">
        <f t="shared" ca="1" si="28"/>
        <v>0</v>
      </c>
      <c r="AC35" s="58">
        <f ca="1">(VLOOKUP(AB$2,$B$1:$F$32,5,0)*$L35)+(VLOOKUP($K35,'Withdrawal Working'!$AD:$AE,2,0)*(IFERROR(VLOOKUP(AB$2,$B$35:$C$42,2,0),0)))</f>
        <v>0</v>
      </c>
      <c r="AD35" s="58">
        <f>IFERROR(IF($K35&lt;VLOOKUP(AB$2,$B:$H,7,0),IF(AF$3=1,MIN($M35,AB35),IF(HLOOKUP(CONCATENATE("Balance",AF$3-1),'Withdrawal Working'!$A$2:$CD$78,MATCH('Yoy WAR OG'!$J35,'Withdrawal Working'!$A$2:$A$78,0),FALSE)&gt;0,MIN(HLOOKUP(CONCATENATE("Balance",AF$3-1),'Withdrawal Working'!$A$2:$CD$78,MATCH('Yoy WAR OG'!$J35,'Withdrawal Working'!$A$2:$A$78,0),0),AB35),0)),IF($K35=VLOOKUP(AB$2,$B:$H,7,0),AB35,)),0)</f>
        <v>0</v>
      </c>
      <c r="AE35" s="58">
        <f t="shared" ca="1" si="3"/>
        <v>0</v>
      </c>
      <c r="AH35" s="58">
        <f t="shared" ca="1" si="29"/>
        <v>265987744.05829099</v>
      </c>
      <c r="AI35" s="58">
        <f ca="1">(VLOOKUP(AH$2,$B$1:$F$32,5,0)*$L35)+IF(J35&gt;'NWGC - SCENARIOS'!$D$7,0,(VLOOKUP($K35,'Withdrawal Working'!$AD:$AE,2,0)*(IFERROR(VLOOKUP(AH$2,$B$35:$C$42,2,0),0))))</f>
        <v>0</v>
      </c>
      <c r="AJ35" s="58">
        <f ca="1">IFERROR(IF($J35&gt;'NWGC - SCENARIOS'!$D$7,MIN('Yoy WAR OG'!AH35,VLOOKUP('Yoy WAR OG'!$J35,'Withdrawal Working'!BC:BD,2,0)),IF(AL$3=1,$M35,IF(HLOOKUP(CONCATENATE("Balance",AL$3-1),'Withdrawal Working'!$A$2:$CD$78,MATCH('Yoy WAR OG'!$J35,'Withdrawal Working'!$A$2:$A$78,0),FALSE)&gt;0,MIN(HLOOKUP(CONCATENATE("Balance",AL$3-1),'Withdrawal Working'!$A$2:$CD$78,MATCH('Yoy WAR OG'!$J35,'Withdrawal Working'!$A$2:$A$78,0),0),AH35),0))),0)</f>
        <v>27945648.558458634</v>
      </c>
      <c r="AK35" s="58">
        <f t="shared" ca="1" si="4"/>
        <v>264226726.00481394</v>
      </c>
      <c r="AN35" s="450">
        <f t="shared" ca="1" si="30"/>
        <v>456202696.51384479</v>
      </c>
      <c r="AO35" s="58">
        <f ca="1">IF(J35&gt;'NWGC - SCENARIOS'!$D$7,(IF(AJ35=0,0,'Yoy WAR OG'!AJ35)+(VLOOKUP(AN$2,$B$1:$F$32,5,0)*$L35)),(VLOOKUP(AN$2,$B$1:$F$32,5,0)*$L35)+(VLOOKUP($K35,'Withdrawal Working'!$AD:$AE,2,0)*(IFERROR(VLOOKUP(AN$2,$B$35:$C$42,2,0),0))))</f>
        <v>27945648.558458634</v>
      </c>
      <c r="AP35" s="470">
        <f ca="1">IFERROR(IF($K35&lt;&gt;VLOOKUP(AN$2,$B:$H,7,0),IF(AR$3=1,MIN($M35,AN35),IF(HLOOKUP(CONCATENATE("Balance",AR$3-1),'Withdrawal Working'!$A$2:$CD$78,MATCH('Yoy WAR OG'!$J35,'Withdrawal Working'!$A$2:$A$78,0),FALSE)&gt;0,MIN(HLOOKUP(CONCATENATE("Balance",AR$3-1),'Withdrawal Working'!$A$2:$CD$78,MATCH('Yoy WAR OG'!$J35,'Withdrawal Working'!$A$2:$A$78,0),0),AN35),0)),IF($K35=VLOOKUP(AN$2,$B:$H,7,0),AN35,)),0)</f>
        <v>24490289.300592475</v>
      </c>
      <c r="AQ35" s="58">
        <f ca="1">IF(AO35&lt;0,0,IF(J35&gt;'NWGC - SCENARIOS'!$D$7,((AN35-AP35+AO35)*(1+(IFERROR(VLOOKUP(AN$2,$B:$D,3,0),0)))),((AN35-AP35)*(1+(IFERROR(VLOOKUP(AN$2,$B:$D,3,0),0))))+AO35))</f>
        <v>484939248.83915502</v>
      </c>
      <c r="AT35" s="450">
        <f t="shared" ca="1" si="31"/>
        <v>0</v>
      </c>
      <c r="AU35" s="58">
        <f ca="1">(VLOOKUP(AT$2,$B$1:$F$32,5,0)*$L35)+(VLOOKUP($K35,'Withdrawal Working'!$AD:$AE,2,0)*(IFERROR(VLOOKUP(AT$2,$B$35:$C$42,2,0),0)))</f>
        <v>0</v>
      </c>
      <c r="AV35" s="58">
        <f>IFERROR(IF($K35&lt;VLOOKUP(AT$2,$B:$H,7,0),IF(AX$3=1,MIN($M35,AT35),IF(HLOOKUP(CONCATENATE("Balance",AX$3-1),'Withdrawal Working'!$A$2:$CD$78,MATCH('Yoy WAR OG'!$J35,'Withdrawal Working'!$A$2:$A$78,0),FALSE)&gt;0,MIN(HLOOKUP(CONCATENATE("Balance",AX$3-1),'Withdrawal Working'!$A$2:$CD$78,MATCH('Yoy WAR OG'!$J35,'Withdrawal Working'!$A$2:$A$78,0),0),AT35),0)),IF($K35=VLOOKUP(AT$2,$B:$H,7,0),AT35,)),0)</f>
        <v>0</v>
      </c>
      <c r="AW35" s="58">
        <f t="shared" ca="1" si="5"/>
        <v>0</v>
      </c>
      <c r="AZ35" s="450">
        <f t="shared" ca="1" si="32"/>
        <v>32580451.582593534</v>
      </c>
      <c r="BA35" s="58">
        <f ca="1">(VLOOKUP(AZ$2,$B$1:$F$32,5,0)*$L35)+(VLOOKUP($K35,'Withdrawal Working'!$AD:$AE,2,0)*(IFERROR(VLOOKUP(AZ$2,$B$35:$C$42,2,0),0)))</f>
        <v>0</v>
      </c>
      <c r="BB35" s="58">
        <f>IFERROR(IF($K35&lt;VLOOKUP(AZ$2,$B:$H,7,0),IF(BD$3=1,MIN($M35,AZ35),IF(HLOOKUP(CONCATENATE("Balance",BD$3-1),'Withdrawal Working'!$A$2:$CD$78,MATCH('Yoy WAR OG'!$J35,'Withdrawal Working'!$A$2:$A$78,0),FALSE)&gt;0,MIN(HLOOKUP(CONCATENATE("Balance",BD$3-1),'Withdrawal Working'!$A$2:$CD$78,MATCH('Yoy WAR OG'!$J35,'Withdrawal Working'!$A$2:$A$78,0),0),AZ35),0)),IF($K35=VLOOKUP(AZ$2,$B:$H,7,0),AZ35,)),0)</f>
        <v>0</v>
      </c>
      <c r="BC35" s="58">
        <f t="shared" ca="1" si="6"/>
        <v>34861083.193375081</v>
      </c>
      <c r="BF35" s="450">
        <f t="shared" ca="1" si="33"/>
        <v>0</v>
      </c>
      <c r="BG35" s="58">
        <f ca="1">(VLOOKUP(BF$2,$B$1:$F$32,5,0)*$L35)+(VLOOKUP($K35,'Withdrawal Working'!$AD:$AE,2,0)*(IFERROR(VLOOKUP(BF$2,$B$35:$C$42,2,0),0)))</f>
        <v>0</v>
      </c>
      <c r="BH35" s="58">
        <f>IFERROR(IF($K35&lt;VLOOKUP(BF$2,$B:$H,7,0),IF(BJ$3=1,MIN($M35,BF35),IF(HLOOKUP(CONCATENATE("Balance",BJ$3-1),'Withdrawal Working'!$A$2:$CD$78,MATCH('Yoy WAR OG'!$J35,'Withdrawal Working'!$A$2:$A$78,0),FALSE)&gt;0,MIN(HLOOKUP(CONCATENATE("Balance",BJ$3-1),'Withdrawal Working'!$A$2:$CD$78,MATCH('Yoy WAR OG'!$J35,'Withdrawal Working'!$A$2:$A$78,0),0),BF35),0)),IF($K35=VLOOKUP(BF$2,$B:$H,7,0),BF35,)),0)</f>
        <v>0</v>
      </c>
      <c r="BI35" s="58">
        <f t="shared" ca="1" si="7"/>
        <v>0</v>
      </c>
      <c r="BL35" s="450">
        <f t="shared" ca="1" si="34"/>
        <v>0</v>
      </c>
      <c r="BM35" s="58">
        <f ca="1">(VLOOKUP(BL$2,$B$1:$F$32,5,0)*$L35)+(VLOOKUP($K35,'Withdrawal Working'!$AD:$AE,2,0)*(IFERROR(VLOOKUP(BL$2,$B$35:$C$42,2,0),0)))</f>
        <v>0</v>
      </c>
      <c r="BN35" s="58">
        <f>IFERROR(IF($K35&lt;VLOOKUP(BL$2,$B:$H,7,0),IF(BP$3=1,MIN($M35,BL35),IF(HLOOKUP(CONCATENATE("Balance",BP$3-1),'Withdrawal Working'!$A$2:$CD$78,MATCH('Yoy WAR OG'!$J35,'Withdrawal Working'!$A$2:$A$78,0),FALSE)&gt;0,MIN(HLOOKUP(CONCATENATE("Balance",BP$3-1),'Withdrawal Working'!$A$2:$CD$78,MATCH('Yoy WAR OG'!$J35,'Withdrawal Working'!$A$2:$A$78,0),0),BL35),0)),IF($K35=VLOOKUP(BL$2,$B:$H,7,0),BL35,)),0)</f>
        <v>0</v>
      </c>
      <c r="BO35" s="58">
        <f t="shared" ca="1" si="8"/>
        <v>0</v>
      </c>
      <c r="BR35" s="450">
        <f t="shared" ca="1" si="35"/>
        <v>0</v>
      </c>
      <c r="BS35" s="58">
        <f ca="1">(VLOOKUP(BR$2,$B$1:$F$32,5,0)*$L35)+(VLOOKUP($K35,'Withdrawal Working'!$AD:$AE,2,0)*(IFERROR(VLOOKUP(BR$2,$B$35:$C$42,2,0),0)))</f>
        <v>0</v>
      </c>
      <c r="BT35" s="58">
        <f>IFERROR(IF($K35&lt;VLOOKUP(BR$2,$B:$H,7,0),IF(BV$3=1,MIN($M35,BR35),IF(HLOOKUP(CONCATENATE("Balance",BV$3-1),'Withdrawal Working'!$A$2:$CD$78,MATCH('Yoy WAR OG'!$J35,'Withdrawal Working'!$A$2:$A$78,0),FALSE)&gt;0,MIN(HLOOKUP(CONCATENATE("Balance",BV$3-1),'Withdrawal Working'!$A$2:$CD$78,MATCH('Yoy WAR OG'!$J35,'Withdrawal Working'!$A$2:$A$78,0),0),BR35),0)),IF($K35=VLOOKUP(BR$2,$B:$H,7,0),BR35,)),0)</f>
        <v>0</v>
      </c>
      <c r="BU35" s="58">
        <f t="shared" ca="1" si="9"/>
        <v>0</v>
      </c>
      <c r="BX35" s="450">
        <f t="shared" ca="1" si="36"/>
        <v>0</v>
      </c>
      <c r="BY35" s="58">
        <f ca="1">(VLOOKUP(BX$2,$B$1:$F$32,5,0)*$L35)+(VLOOKUP($K35,'Withdrawal Working'!$AD:$AE,2,0)*(IFERROR(VLOOKUP(BX$2,$B$35:$C$42,2,0),0)))</f>
        <v>0</v>
      </c>
      <c r="BZ35" s="58">
        <f>IFERROR(IF($K35&lt;VLOOKUP(BX$2,$B:$H,7,0),IF(CB$3=1,MIN($M35,BX35),IF(HLOOKUP(CONCATENATE("Balance",CB$3-1),'Withdrawal Working'!$A$2:$CD$78,MATCH('Yoy WAR OG'!$J35,'Withdrawal Working'!$A$2:$A$78,0),FALSE)&gt;0,MIN(HLOOKUP(CONCATENATE("Balance",CB$3-1),'Withdrawal Working'!$A$2:$CD$78,MATCH('Yoy WAR OG'!$J35,'Withdrawal Working'!$A$2:$A$78,0),0),BX35),0)),IF($K35=VLOOKUP(BX$2,$B:$H,7,0),BX35,)),0)</f>
        <v>0</v>
      </c>
      <c r="CA35" s="58">
        <f t="shared" ca="1" si="10"/>
        <v>0</v>
      </c>
      <c r="CD35" s="450">
        <f t="shared" ca="1" si="37"/>
        <v>45523307.647162102</v>
      </c>
      <c r="CE35" s="58">
        <f ca="1">(VLOOKUP(CD$2,$B$1:$F$32,5,0)*$L35)+(VLOOKUP($K35,'Withdrawal Working'!$AD:$AE,2,0)*(IFERROR(VLOOKUP(CD$2,$B$35:$C$42,2,0),0)))+SUMIFS('Key Life Events'!$I$3:$I$28,'Key Life Events'!$H$3:$H$28,"House",'Key Life Events'!$E$3:$E$28,'Yoy WAR OG'!K35)</f>
        <v>0</v>
      </c>
      <c r="CF35" s="58">
        <f>IFERROR(IF($K35&lt;VLOOKUP(CD$2,$B:$H,7,0),IF(CH$3=1,MIN($M35,CD35),IF(HLOOKUP(CONCATENATE("Balance",CH$3-1),'Withdrawal Working'!$A$2:$CD$78,MATCH('Yoy WAR OG'!$J35,'Withdrawal Working'!$A$2:$A$78,0),FALSE)&gt;0,MIN(HLOOKUP(CONCATENATE("Balance",CH$3-1),'Withdrawal Working'!$A$2:$CD$78,MATCH('Yoy WAR OG'!$J35,'Withdrawal Working'!$A$2:$A$78,0),0),CD35),0)),IF($K35=VLOOKUP(CD$2,$B:$H,7,0),CD35,)),0)</f>
        <v>0</v>
      </c>
      <c r="CG35" s="58">
        <f t="shared" ca="1" si="11"/>
        <v>46889006.876576968</v>
      </c>
      <c r="CJ35" s="450">
        <f t="shared" ca="1" si="38"/>
        <v>0</v>
      </c>
      <c r="CK35" s="58">
        <f ca="1">(VLOOKUP(CJ$2,$B$1:$F$32,5,0)*$L35)+(VLOOKUP($K35,'Withdrawal Working'!$AD:$AE,2,0)*(IFERROR(VLOOKUP(CJ$2,$B$35:$C$42,2,0),0)))+SUMIFS('Key Life Events'!$I$3:$I$28,'Key Life Events'!$H$3:$H$28,"House2",'Key Life Events'!$E$3:$E$28,'Yoy WAR OG'!K35)</f>
        <v>0</v>
      </c>
      <c r="CL35" s="58">
        <f ca="1">IF(IFERROR(IF($K35&lt;&gt;VLOOKUP(CJ$2,$B:$H,7,0),IF(CN$3=1,MIN($M35,CJ35),IF(HLOOKUP(CONCATENATE("Balance",CN$3-1),'Withdrawal Working'!$A$2:$CD$78,MATCH('Yoy WAR OG'!$J35,'Withdrawal Working'!$A$2:$A$78,0),FALSE)&gt;0,MIN(HLOOKUP(CONCATENATE("Balance",CN$3-1),'Withdrawal Working'!$A$2:$CD$78,MATCH('Yoy WAR OG'!$J35,'Withdrawal Working'!$A$2:$A$78,0),0),CJ35),0)),IF($K35=VLOOKUP(CJ$2,$B:$H,7,0),CJ35,)),0)&gt;0,CJ35,0)</f>
        <v>0</v>
      </c>
      <c r="CM35" s="58">
        <f t="shared" ca="1" si="12"/>
        <v>0</v>
      </c>
      <c r="CP35" s="450">
        <f t="shared" ca="1" si="39"/>
        <v>11345098.734770499</v>
      </c>
      <c r="CQ35" s="58">
        <f ca="1">(VLOOKUP(CP$2,$B$1:$F$32,5,0)*$L35)+(VLOOKUP($K35,'Withdrawal Working'!$AD:$AE,2,0)*(IFERROR(VLOOKUP(CP$2,$B$35:$C$42,2,0),0)))+SUMIFS('Key Life Events'!$I$3:$I$28,'Key Life Events'!$H$3:$H$28,"Land",'Key Life Events'!$E$3:$E$28,'Yoy WAR OG'!K35)</f>
        <v>0</v>
      </c>
      <c r="CR35" s="58">
        <f>IFERROR(IF($K35&lt;VLOOKUP(CP$2,$B:$H,7,0),IF(CT$3=1,MIN($M35,CP35),IF(HLOOKUP(CONCATENATE("Balance",CT$3-1),'Withdrawal Working'!$A$2:$CD$78,MATCH('Yoy WAR OG'!$J35,'Withdrawal Working'!$A$2:$A$78,0),FALSE)&gt;0,MIN(HLOOKUP(CONCATENATE("Balance",CT$3-1),'Withdrawal Working'!$A$2:$CD$78,MATCH('Yoy WAR OG'!$J35,'Withdrawal Working'!$A$2:$A$78,0),0),CP35),0)),IF($K35=VLOOKUP(CP$2,$B:$H,7,0),CP35,)),0)</f>
        <v>0</v>
      </c>
      <c r="CS35" s="58">
        <f t="shared" ca="1" si="13"/>
        <v>11912353.671509024</v>
      </c>
      <c r="CV35" s="450">
        <f t="shared" ca="1" si="40"/>
        <v>0</v>
      </c>
      <c r="CW35" s="58"/>
      <c r="CX35" s="58">
        <f>IFERROR(IF($K35&lt;VLOOKUP(CV$2,$B:$H,7,0),IF(CZ$3=1,MIN($M35,CV35),IF(HLOOKUP(CONCATENATE("Balance",CZ$3-1),'Withdrawal Working'!$A$2:$CD$78,MATCH('Yoy WAR OG'!$J35,'Withdrawal Working'!$A$2:$A$78,0),FALSE)&gt;0,MIN(HLOOKUP(CONCATENATE("Balance",CZ$3-1),'Withdrawal Working'!$A$2:$CD$78,MATCH('Yoy WAR OG'!$J35,'Withdrawal Working'!$A$2:$A$78,0),0),CV35),0)),IF($K35=VLOOKUP(CV$2,$B:$H,7,0),CV35,)),0)</f>
        <v>0</v>
      </c>
      <c r="CY35" s="58">
        <f t="shared" ca="1" si="14"/>
        <v>0</v>
      </c>
      <c r="DB35" s="450">
        <f t="shared" ca="1" si="41"/>
        <v>0</v>
      </c>
      <c r="DC35" s="58">
        <f ca="1">(VLOOKUP(DB$2,$B$1:$F$32,5,0)*$L35)+(VLOOKUP($K35,'Withdrawal Working'!$AD:$AE,2,0)*(IFERROR(VLOOKUP(DB$2,$B$35:$C$42,2,0),0)))</f>
        <v>0</v>
      </c>
      <c r="DD35" s="58">
        <f>IFERROR(IF($K35&lt;VLOOKUP(DB$2,$B:$H,7,0),IF(DF$3=1,MIN($M35,DB35),IF(HLOOKUP(CONCATENATE("Balance",DF$3-1),'Withdrawal Working'!$A$2:$CD$78,MATCH('Yoy WAR OG'!$J35,'Withdrawal Working'!$A$2:$A$78,0),FALSE)&gt;0,MIN(HLOOKUP(CONCATENATE("Balance",DF$3-1),'Withdrawal Working'!$A$2:$CD$78,MATCH('Yoy WAR OG'!$J35,'Withdrawal Working'!$A$2:$A$78,0),0),DB35),0)),IF($K35=VLOOKUP(DB$2,$B:$H,7,0),DB35,)),0)</f>
        <v>0</v>
      </c>
      <c r="DE35" s="58">
        <f t="shared" ca="1" si="15"/>
        <v>0</v>
      </c>
      <c r="DH35" s="450">
        <f t="shared" ca="1" si="42"/>
        <v>0</v>
      </c>
      <c r="DI35" s="58">
        <f>IF(OR(J35&gt;'NWGC - SCENARIOS'!$D$7,J35='NWGC - SCENARIOS'!$D$7),0,DI34*(1+'NWGC - SCENARIOS'!$L$5))</f>
        <v>0</v>
      </c>
      <c r="DJ35" s="58">
        <f>IFERROR(IF($K35&lt;VLOOKUP(DH$2,$B:$H,7,0),IF(DL$3=1,MIN($M35,DH35),IF(HLOOKUP(CONCATENATE("Balance",DL$3-1),'Withdrawal Working'!$A$2:$CD$78,MATCH('Yoy WAR OG'!$J35,'Withdrawal Working'!$A$2:$A$78,0),FALSE)&gt;0,MIN(HLOOKUP(CONCATENATE("Balance",DL$3-1),'Withdrawal Working'!$A$2:$CD$78,MATCH('Yoy WAR OG'!$J35,'Withdrawal Working'!$A$2:$A$78,0),0),DH35),0)),IF($K35=VLOOKUP(DH$2,$B:$H,7,0),DH35,)),0)</f>
        <v>0</v>
      </c>
      <c r="DK35" s="58">
        <f t="shared" ca="1" si="16"/>
        <v>0</v>
      </c>
      <c r="DN35" s="450">
        <f t="shared" ca="1" si="43"/>
        <v>0</v>
      </c>
      <c r="DO35" s="58">
        <f ca="1">(VLOOKUP(DN$2,$B$1:$F$32,5,0)*$L35)+(VLOOKUP($K35,'Withdrawal Working'!$AD:$AE,2,0)*(IFERROR(VLOOKUP(DN$2,$B$35:$C$42,2,0),0)))</f>
        <v>0</v>
      </c>
      <c r="DP35" s="58">
        <f>IFERROR(IF($K35&lt;VLOOKUP(DN$2,$B:$H,7,0),IF(DR$3=1,MIN($M35,DN35),IF(HLOOKUP(CONCATENATE("Balance",DR$3-1),'Withdrawal Working'!$A$2:$CD$78,MATCH('Yoy WAR OG'!$J35,'Withdrawal Working'!$A$2:$A$78,0),FALSE)&gt;0,MIN(HLOOKUP(CONCATENATE("Balance",DR$3-1),'Withdrawal Working'!$A$2:$CD$78,MATCH('Yoy WAR OG'!$J35,'Withdrawal Working'!$A$2:$A$78,0),0),DN35),0)),IF($K35=VLOOKUP(DN$2,$B:$H,7,0),DN35,)),0)</f>
        <v>0</v>
      </c>
      <c r="DQ35" s="58">
        <f t="shared" ca="1" si="17"/>
        <v>0</v>
      </c>
      <c r="DT35" s="450">
        <f t="shared" ca="1" si="44"/>
        <v>0</v>
      </c>
      <c r="DU35" s="58">
        <f ca="1">(VLOOKUP(DT$2,$B$1:$F$32,5,0)*$L35)+(VLOOKUP($K35,'Withdrawal Working'!$AD:$AE,2,0)*(IFERROR(VLOOKUP(DT$2,$B$35:$C$42,2,0),0)))</f>
        <v>0</v>
      </c>
      <c r="DV35" s="58">
        <f>IFERROR(IF($K35&lt;VLOOKUP(DT$2,$B:$H,7,0),IF(DX$3=1,MIN($M35,DT35),IF(HLOOKUP(CONCATENATE("Balance",DX$3-1),'Withdrawal Working'!$A$2:$CD$78,MATCH('Yoy WAR OG'!$J35,'Withdrawal Working'!$A$2:$A$78,0),FALSE)&gt;0,MIN(HLOOKUP(CONCATENATE("Balance",DX$3-1),'Withdrawal Working'!$A$2:$CD$78,MATCH('Yoy WAR OG'!$J35,'Withdrawal Working'!$A$2:$A$78,0),0),DT35),0)),IF($K35=VLOOKUP(DT$2,$B:$H,7,0),DT35,)),0)</f>
        <v>0</v>
      </c>
      <c r="DW35" s="58">
        <f t="shared" ca="1" si="18"/>
        <v>0</v>
      </c>
      <c r="DZ35" s="450">
        <f t="shared" ca="1" si="45"/>
        <v>0</v>
      </c>
      <c r="EA35" s="58">
        <f ca="1">(VLOOKUP(DZ$2,$B$1:$F$32,5,0)*$L35)+(VLOOKUP($K35,'Withdrawal Working'!$AD:$AE,2,0)*(IFERROR(VLOOKUP(DZ$2,$B$35:$C$42,2,0),0)))</f>
        <v>0</v>
      </c>
      <c r="EB35" s="58">
        <f>IFERROR(IF($K35&lt;VLOOKUP(DZ$2,$B:$H,7,0),IF(ED$3=1,MIN($M35,DZ35),IF(HLOOKUP(CONCATENATE("Balance",ED$3-1),'Withdrawal Working'!$A$2:$CD$78,MATCH('Yoy WAR OG'!$J35,'Withdrawal Working'!$A$2:$A$78,0),FALSE)&gt;0,MIN(HLOOKUP(CONCATENATE("Balance",ED$3-1),'Withdrawal Working'!$A$2:$CD$78,MATCH('Yoy WAR OG'!$J35,'Withdrawal Working'!$A$2:$A$78,0),0),DZ35),0)),IF($K35=VLOOKUP(DZ$2,$B:$H,7,0),DZ35,)),0)</f>
        <v>0</v>
      </c>
      <c r="EC35" s="58">
        <f t="shared" ca="1" si="19"/>
        <v>0</v>
      </c>
      <c r="EF35" s="450">
        <f t="shared" ca="1" si="46"/>
        <v>0</v>
      </c>
      <c r="EG35" s="58">
        <f ca="1">(VLOOKUP(EF$2,$B$1:$F$32,5,0)*$L35)+(VLOOKUP($K35,'Withdrawal Working'!$AD:$AE,2,0)*(IFERROR(VLOOKUP(EF$2,$B$35:$C$42,2,0),0)))</f>
        <v>0</v>
      </c>
      <c r="EH35" s="58">
        <f>IFERROR(IF($K35&lt;VLOOKUP(EF$2,$B:$H,7,0),IF(EJ$3=1,MIN($M35,EF35),IF(HLOOKUP(CONCATENATE("Balance",EJ$3-1),'Withdrawal Working'!$A$2:$CD$78,MATCH('Yoy WAR OG'!$J35,'Withdrawal Working'!$A$2:$A$78,0),FALSE)&gt;0,MIN(HLOOKUP(CONCATENATE("Balance",EJ$3-1),'Withdrawal Working'!$A$2:$CD$78,MATCH('Yoy WAR OG'!$J35,'Withdrawal Working'!$A$2:$A$78,0),0),EF35),0)),IF($K35=VLOOKUP(EF$2,$B:$H,7,0),EF35,)),0)</f>
        <v>0</v>
      </c>
      <c r="EI35" s="58">
        <f t="shared" ca="1" si="20"/>
        <v>0</v>
      </c>
      <c r="EL35" s="450">
        <f t="shared" ca="1" si="47"/>
        <v>0</v>
      </c>
      <c r="EM35" s="58">
        <f>IF(OR($J35&gt;'NWGC - SCENARIOS'!$D$7,$J35='NWGC - SCENARIOS'!$D$7),0,EM34)</f>
        <v>0</v>
      </c>
      <c r="EN35" s="58">
        <f>IFERROR(IF($K35&lt;VLOOKUP(EL$2,$B:$H,7,0),IF(EP$3=1,MIN($M35,EL35),IF(HLOOKUP(CONCATENATE("Balance",EP$3-1),'Withdrawal Working'!$A$2:$CD$78,MATCH('Yoy WAR OG'!$J35,'Withdrawal Working'!$A$2:$A$78,0),FALSE)&gt;0,MIN(HLOOKUP(CONCATENATE("Balance",EP$3-1),'Withdrawal Working'!$A$2:$CD$78,MATCH('Yoy WAR OG'!$J35,'Withdrawal Working'!$A$2:$A$78,0),0),EL35),0)),IF($K35=VLOOKUP(EL$2,$B:$H,7,0),EL35,)),0)</f>
        <v>0</v>
      </c>
      <c r="EO35" s="58">
        <f t="shared" ca="1" si="21"/>
        <v>0</v>
      </c>
      <c r="ER35" s="450">
        <f t="shared" ca="1" si="48"/>
        <v>0</v>
      </c>
      <c r="ES35" s="58">
        <f>IF(OR(J35&gt;'NWGC - SCENARIOS'!$D$7,J35='NWGC - SCENARIOS'!$D$7),0,ES34*(1+'NWGC - SCENARIOS'!$L$5))</f>
        <v>0</v>
      </c>
      <c r="ET35" s="58">
        <f>IFERROR(IF($K35&lt;VLOOKUP(ER$2,$B:$H,7,0),IF(EV$3=1,MIN($M35,ER35),IF(HLOOKUP(CONCATENATE("Balance",EV$3-1),'Withdrawal Working'!$A$2:$CD$78,MATCH('Yoy WAR OG'!$J35,'Withdrawal Working'!$A$2:$A$78,0),FALSE)&gt;0,MIN(HLOOKUP(CONCATENATE("Balance",EV$3-1),'Withdrawal Working'!$A$2:$CD$78,MATCH('Yoy WAR OG'!$J35,'Withdrawal Working'!$A$2:$A$78,0),0),ER35),0)),IF($K35=VLOOKUP(ER$2,$B:$H,7,0),ER35,)),0)</f>
        <v>0</v>
      </c>
      <c r="EU35" s="58">
        <f t="shared" ca="1" si="22"/>
        <v>0</v>
      </c>
      <c r="EX35" s="450">
        <f t="shared" ca="1" si="49"/>
        <v>0</v>
      </c>
      <c r="EY35" s="58">
        <f>IF(OR(J35&gt;'NWGC - SCENARIOS'!$D$7,J35='NWGC - SCENARIOS'!$D$7),0,EY34)</f>
        <v>0</v>
      </c>
      <c r="EZ35" s="58">
        <f>IFERROR(IF($K35&lt;VLOOKUP(EX$2,$B:$H,7,0),IF(FB$3=1,MIN($M35,EX35),IF(HLOOKUP(CONCATENATE("Balance",FB$3-1),'Withdrawal Working'!$A$2:$CD$78,MATCH('Yoy WAR OG'!$J35,'Withdrawal Working'!$A$2:$A$78,0),FALSE)&gt;0,MIN(HLOOKUP(CONCATENATE("Balance",FB$3-1),'Withdrawal Working'!$A$2:$CD$78,MATCH('Yoy WAR OG'!$J35,'Withdrawal Working'!$A$2:$A$78,0),0),EX35),0)),IF($K35=VLOOKUP(EX$2,$B:$H,7,0),EX35,)),0)</f>
        <v>0</v>
      </c>
      <c r="FA35" s="58">
        <f t="shared" ca="1" si="23"/>
        <v>0</v>
      </c>
    </row>
    <row r="36" spans="2:157" x14ac:dyDescent="0.3">
      <c r="B36" t="s">
        <v>60</v>
      </c>
      <c r="C36" s="201">
        <f>100%-C35</f>
        <v>0.68362842277863889</v>
      </c>
      <c r="J36">
        <f>IFERROR('NWGC - SCENARIOS'!B43,0)</f>
        <v>81</v>
      </c>
      <c r="K36">
        <f>IFERROR('NWGC - SCENARIOS'!C43,0)</f>
        <v>2057</v>
      </c>
      <c r="L36" s="449">
        <f ca="1">IF(('NWGC - SCENARIOS'!G43-working!G34)&gt;'NWGC - SCENARIOS'!H43,'NWGC - SCENARIOS'!G43-'NWGC - SCENARIOS'!H43-working!G34,0)</f>
        <v>0</v>
      </c>
      <c r="M36" s="449">
        <f ca="1">IF(('NWGC - SCENARIOS'!G43-working!G34)&gt;'NWGC - SCENARIOS'!H43,0,'NWGC - SCENARIOS'!H43-'NWGC - SCENARIOS'!G43+working!G34)</f>
        <v>25869378.294869103</v>
      </c>
      <c r="N36" s="58">
        <f t="shared" ref="N36:N80" ca="1" si="50">SUMIFS($P36:$XFD36,$P$1:$XFD$1,"Realisable",$P$3:$XFD$3,"End Value")</f>
        <v>775950038.1651926</v>
      </c>
      <c r="O36" s="58">
        <f t="shared" ref="O36:O80" ca="1" si="51">SUMIFS($P36:$XFD36,$P$1:$XFD$1,"Unrealisable",$P$3:$XFD$3,"End Value")</f>
        <v>98105007.45487009</v>
      </c>
      <c r="P36" s="58">
        <f t="shared" ca="1" si="24"/>
        <v>0</v>
      </c>
      <c r="Q36" s="58">
        <f ca="1">(VLOOKUP(P$2,$B$1:$F$32,5,0)*$L36)+(VLOOKUP($K36,'Withdrawal Working'!$AD:$AE,2,0)*(IFERROR(VLOOKUP(P$2,$B$35:$C$42,2,0),0)))</f>
        <v>0</v>
      </c>
      <c r="R36" s="58">
        <f>IFERROR(IF($K36&lt;VLOOKUP(P$2,$B:$H,7,0),IF(T$3=1,MIN($M36,P36),IF(HLOOKUP(CONCATENATE("Balance",T$3-1),'Withdrawal Working'!$A$2:$CD$78,MATCH('Yoy WAR OG'!$J36,'Withdrawal Working'!$A$2:$A$78,0),FALSE)&gt;0,MIN(HLOOKUP(CONCATENATE("Balance",T$3-1),'Withdrawal Working'!$A$2:$CD$78,MATCH('Yoy WAR OG'!$J36,'Withdrawal Working'!$A$2:$A$78,0),0),P36),0)),IF($K36=VLOOKUP(P$2,$B:$H,7,0),P36,)),0)</f>
        <v>0</v>
      </c>
      <c r="S36" s="58">
        <f t="shared" ca="1" si="26"/>
        <v>0</v>
      </c>
      <c r="T36" s="58"/>
      <c r="V36" s="58">
        <f t="shared" ca="1" si="27"/>
        <v>0</v>
      </c>
      <c r="W36" s="58">
        <f ca="1">(VLOOKUP(V$2,$B$1:$F$32,5,0)*$L36)+(VLOOKUP($K36,'Withdrawal Working'!$AD:$AE,2,0)*(IFERROR(VLOOKUP(V$2,$B$35:$C$42,2,0),0)))</f>
        <v>0</v>
      </c>
      <c r="X36" s="58">
        <f>IFERROR(IF($K36&lt;VLOOKUP(V$2,$B:$H,7,0),IF(Z$3=1,MIN($M36,V36),IF(HLOOKUP(CONCATENATE("Balance",Z$3-1),'Withdrawal Working'!$A$2:$CD$78,MATCH('Yoy WAR OG'!$J36,'Withdrawal Working'!$A$2:$A$78,0),FALSE)&gt;0,MIN(HLOOKUP(CONCATENATE("Balance",Z$3-1),'Withdrawal Working'!$A$2:$CD$78,MATCH('Yoy WAR OG'!$J36,'Withdrawal Working'!$A$2:$A$78,0),0),V36),0)),IF($K36=VLOOKUP(V$2,$B:$H,7,0),V36,)),0)</f>
        <v>0</v>
      </c>
      <c r="Y36" s="58">
        <f t="shared" ref="Y36:Y67" ca="1" si="52">((V36-X36)*(1+(IFERROR(VLOOKUP(V$2,$B:$D,3,0),0))))+W36</f>
        <v>0</v>
      </c>
      <c r="AB36" s="58">
        <f t="shared" ca="1" si="28"/>
        <v>0</v>
      </c>
      <c r="AC36" s="58">
        <f ca="1">(VLOOKUP(AB$2,$B$1:$F$32,5,0)*$L36)+(VLOOKUP($K36,'Withdrawal Working'!$AD:$AE,2,0)*(IFERROR(VLOOKUP(AB$2,$B$35:$C$42,2,0),0)))</f>
        <v>0</v>
      </c>
      <c r="AD36" s="58">
        <f>IFERROR(IF($K36&lt;VLOOKUP(AB$2,$B:$H,7,0),IF(AF$3=1,MIN($M36,AB36),IF(HLOOKUP(CONCATENATE("Balance",AF$3-1),'Withdrawal Working'!$A$2:$CD$78,MATCH('Yoy WAR OG'!$J36,'Withdrawal Working'!$A$2:$A$78,0),FALSE)&gt;0,MIN(HLOOKUP(CONCATENATE("Balance",AF$3-1),'Withdrawal Working'!$A$2:$CD$78,MATCH('Yoy WAR OG'!$J36,'Withdrawal Working'!$A$2:$A$78,0),0),AB36),0)),IF($K36=VLOOKUP(AB$2,$B:$H,7,0),AB36,)),0)</f>
        <v>0</v>
      </c>
      <c r="AE36" s="58">
        <f t="shared" ref="AE36:AE67" ca="1" si="53">((AB36-AD36)*(1+(IFERROR(VLOOKUP(AB$2,$B:$D,3,0),0))))+AC36</f>
        <v>0</v>
      </c>
      <c r="AH36" s="58">
        <f t="shared" ca="1" si="29"/>
        <v>264226726.00481394</v>
      </c>
      <c r="AI36" s="58">
        <f ca="1">(VLOOKUP(AH$2,$B$1:$F$32,5,0)*$L36)+IF(J36&gt;'NWGC - SCENARIOS'!$D$7,0,(VLOOKUP($K36,'Withdrawal Working'!$AD:$AE,2,0)*(IFERROR(VLOOKUP(AH$2,$B$35:$C$42,2,0),0))))</f>
        <v>0</v>
      </c>
      <c r="AJ36" s="58">
        <f ca="1">IFERROR(IF($J36&gt;'NWGC - SCENARIOS'!$D$7,MIN('Yoy WAR OG'!AH36,VLOOKUP('Yoy WAR OG'!$J36,'Withdrawal Working'!BC:BD,2,0)),IF(AL$3=1,$M36,IF(HLOOKUP(CONCATENATE("Balance",AL$3-1),'Withdrawal Working'!$A$2:$CD$78,MATCH('Yoy WAR OG'!$J36,'Withdrawal Working'!$A$2:$A$78,0),FALSE)&gt;0,MIN(HLOOKUP(CONCATENATE("Balance",AL$3-1),'Withdrawal Working'!$A$2:$CD$78,MATCH('Yoy WAR OG'!$J36,'Withdrawal Working'!$A$2:$A$78,0),0),AH36),0))),0)</f>
        <v>30188020.443135325</v>
      </c>
      <c r="AK36" s="58">
        <f t="shared" ref="AK36:AK67" ca="1" si="54">((AH36-AJ36)*(1+(IFERROR(VLOOKUP(AH$2,$B:$D,3,0),0))))+AI36</f>
        <v>259782963.17346328</v>
      </c>
      <c r="AN36" s="450">
        <f t="shared" ca="1" si="30"/>
        <v>484939248.83915502</v>
      </c>
      <c r="AO36" s="58">
        <f ca="1">IF(J36&gt;'NWGC - SCENARIOS'!$D$7,(IF(AJ36=0,0,'Yoy WAR OG'!AJ36)+(VLOOKUP(AN$2,$B$1:$F$32,5,0)*$L36)),(VLOOKUP(AN$2,$B$1:$F$32,5,0)*$L36)+(VLOOKUP($K36,'Withdrawal Working'!$AD:$AE,2,0)*(IFERROR(VLOOKUP(AN$2,$B$35:$C$42,2,0),0))))</f>
        <v>30188020.443135325</v>
      </c>
      <c r="AP36" s="470">
        <f ca="1">IFERROR(IF($K36&lt;&gt;VLOOKUP(AN$2,$B:$H,7,0),IF(AR$3=1,MIN($M36,AN36),IF(HLOOKUP(CONCATENATE("Balance",AR$3-1),'Withdrawal Working'!$A$2:$CD$78,MATCH('Yoy WAR OG'!$J36,'Withdrawal Working'!$A$2:$A$78,0),FALSE)&gt;0,MIN(HLOOKUP(CONCATENATE("Balance",AR$3-1),'Withdrawal Working'!$A$2:$CD$78,MATCH('Yoy WAR OG'!$J36,'Withdrawal Working'!$A$2:$A$78,0),0),AN36),0)),IF($K36=VLOOKUP(AN$2,$B:$H,7,0),AN36,)),0)</f>
        <v>25869378.294869103</v>
      </c>
      <c r="AQ36" s="58">
        <f ca="1">IF(AO36&lt;0,0,IF(J36&gt;'NWGC - SCENARIOS'!$D$7,((AN36-AP36+AO36)*(1+(IFERROR(VLOOKUP(AN$2,$B:$D,3,0),0)))),((AN36-AP36)*(1+(IFERROR(VLOOKUP(AN$2,$B:$D,3,0),0))))+AO36))</f>
        <v>516167074.99172938</v>
      </c>
      <c r="AT36" s="450">
        <f t="shared" ca="1" si="31"/>
        <v>0</v>
      </c>
      <c r="AU36" s="58">
        <f ca="1">(VLOOKUP(AT$2,$B$1:$F$32,5,0)*$L36)+(VLOOKUP($K36,'Withdrawal Working'!$AD:$AE,2,0)*(IFERROR(VLOOKUP(AT$2,$B$35:$C$42,2,0),0)))</f>
        <v>0</v>
      </c>
      <c r="AV36" s="58">
        <f>IFERROR(IF($K36&lt;VLOOKUP(AT$2,$B:$H,7,0),IF(AX$3=1,MIN($M36,AT36),IF(HLOOKUP(CONCATENATE("Balance",AX$3-1),'Withdrawal Working'!$A$2:$CD$78,MATCH('Yoy WAR OG'!$J36,'Withdrawal Working'!$A$2:$A$78,0),FALSE)&gt;0,MIN(HLOOKUP(CONCATENATE("Balance",AX$3-1),'Withdrawal Working'!$A$2:$CD$78,MATCH('Yoy WAR OG'!$J36,'Withdrawal Working'!$A$2:$A$78,0),0),AT36),0)),IF($K36=VLOOKUP(AT$2,$B:$H,7,0),AT36,)),0)</f>
        <v>0</v>
      </c>
      <c r="AW36" s="58">
        <f t="shared" ref="AW36:AW67" ca="1" si="55">((AT36-AV36)*(1+(IFERROR(VLOOKUP(AT$2,$B:$D,3,0),0))))+AU36</f>
        <v>0</v>
      </c>
      <c r="AZ36" s="450">
        <f t="shared" ca="1" si="32"/>
        <v>34861083.193375081</v>
      </c>
      <c r="BA36" s="58">
        <f ca="1">(VLOOKUP(AZ$2,$B$1:$F$32,5,0)*$L36)+(VLOOKUP($K36,'Withdrawal Working'!$AD:$AE,2,0)*(IFERROR(VLOOKUP(AZ$2,$B$35:$C$42,2,0),0)))</f>
        <v>0</v>
      </c>
      <c r="BB36" s="58">
        <f>IFERROR(IF($K36&lt;VLOOKUP(AZ$2,$B:$H,7,0),IF(BD$3=1,MIN($M36,AZ36),IF(HLOOKUP(CONCATENATE("Balance",BD$3-1),'Withdrawal Working'!$A$2:$CD$78,MATCH('Yoy WAR OG'!$J36,'Withdrawal Working'!$A$2:$A$78,0),FALSE)&gt;0,MIN(HLOOKUP(CONCATENATE("Balance",BD$3-1),'Withdrawal Working'!$A$2:$CD$78,MATCH('Yoy WAR OG'!$J36,'Withdrawal Working'!$A$2:$A$78,0),0),AZ36),0)),IF($K36=VLOOKUP(AZ$2,$B:$H,7,0),AZ36,)),0)</f>
        <v>0</v>
      </c>
      <c r="BC36" s="58">
        <f t="shared" ref="BC36:BC67" ca="1" si="56">((AZ36-BB36)*(1+(IFERROR(VLOOKUP(AZ$2,$B:$D,3,0),0))))+BA36</f>
        <v>37301359.016911335</v>
      </c>
      <c r="BF36" s="450">
        <f t="shared" ca="1" si="33"/>
        <v>0</v>
      </c>
      <c r="BG36" s="58">
        <f ca="1">(VLOOKUP(BF$2,$B$1:$F$32,5,0)*$L36)+(VLOOKUP($K36,'Withdrawal Working'!$AD:$AE,2,0)*(IFERROR(VLOOKUP(BF$2,$B$35:$C$42,2,0),0)))</f>
        <v>0</v>
      </c>
      <c r="BH36" s="58">
        <f>IFERROR(IF($K36&lt;VLOOKUP(BF$2,$B:$H,7,0),IF(BJ$3=1,MIN($M36,BF36),IF(HLOOKUP(CONCATENATE("Balance",BJ$3-1),'Withdrawal Working'!$A$2:$CD$78,MATCH('Yoy WAR OG'!$J36,'Withdrawal Working'!$A$2:$A$78,0),FALSE)&gt;0,MIN(HLOOKUP(CONCATENATE("Balance",BJ$3-1),'Withdrawal Working'!$A$2:$CD$78,MATCH('Yoy WAR OG'!$J36,'Withdrawal Working'!$A$2:$A$78,0),0),BF36),0)),IF($K36=VLOOKUP(BF$2,$B:$H,7,0),BF36,)),0)</f>
        <v>0</v>
      </c>
      <c r="BI36" s="58">
        <f t="shared" ref="BI36:BI67" ca="1" si="57">((BF36-BH36)*(1+(IFERROR(VLOOKUP(BF$2,$B:$D,3,0),0))))+BG36</f>
        <v>0</v>
      </c>
      <c r="BL36" s="450">
        <f t="shared" ca="1" si="34"/>
        <v>0</v>
      </c>
      <c r="BM36" s="58">
        <f ca="1">(VLOOKUP(BL$2,$B$1:$F$32,5,0)*$L36)+(VLOOKUP($K36,'Withdrawal Working'!$AD:$AE,2,0)*(IFERROR(VLOOKUP(BL$2,$B$35:$C$42,2,0),0)))</f>
        <v>0</v>
      </c>
      <c r="BN36" s="58">
        <f>IFERROR(IF($K36&lt;VLOOKUP(BL$2,$B:$H,7,0),IF(BP$3=1,MIN($M36,BL36),IF(HLOOKUP(CONCATENATE("Balance",BP$3-1),'Withdrawal Working'!$A$2:$CD$78,MATCH('Yoy WAR OG'!$J36,'Withdrawal Working'!$A$2:$A$78,0),FALSE)&gt;0,MIN(HLOOKUP(CONCATENATE("Balance",BP$3-1),'Withdrawal Working'!$A$2:$CD$78,MATCH('Yoy WAR OG'!$J36,'Withdrawal Working'!$A$2:$A$78,0),0),BL36),0)),IF($K36=VLOOKUP(BL$2,$B:$H,7,0),BL36,)),0)</f>
        <v>0</v>
      </c>
      <c r="BO36" s="58">
        <f t="shared" ref="BO36:BO67" ca="1" si="58">((BL36-BN36)*(1+(IFERROR(VLOOKUP(BL$2,$B:$D,3,0),0))))+BM36</f>
        <v>0</v>
      </c>
      <c r="BR36" s="450">
        <f t="shared" ca="1" si="35"/>
        <v>0</v>
      </c>
      <c r="BS36" s="58">
        <f ca="1">(VLOOKUP(BR$2,$B$1:$F$32,5,0)*$L36)+(VLOOKUP($K36,'Withdrawal Working'!$AD:$AE,2,0)*(IFERROR(VLOOKUP(BR$2,$B$35:$C$42,2,0),0)))</f>
        <v>0</v>
      </c>
      <c r="BT36" s="58">
        <f>IFERROR(IF($K36&lt;VLOOKUP(BR$2,$B:$H,7,0),IF(BV$3=1,MIN($M36,BR36),IF(HLOOKUP(CONCATENATE("Balance",BV$3-1),'Withdrawal Working'!$A$2:$CD$78,MATCH('Yoy WAR OG'!$J36,'Withdrawal Working'!$A$2:$A$78,0),FALSE)&gt;0,MIN(HLOOKUP(CONCATENATE("Balance",BV$3-1),'Withdrawal Working'!$A$2:$CD$78,MATCH('Yoy WAR OG'!$J36,'Withdrawal Working'!$A$2:$A$78,0),0),BR36),0)),IF($K36=VLOOKUP(BR$2,$B:$H,7,0),BR36,)),0)</f>
        <v>0</v>
      </c>
      <c r="BU36" s="58">
        <f t="shared" ref="BU36:BU67" ca="1" si="59">((BR36-BT36)*(1+(IFERROR(VLOOKUP(BR$2,$B:$D,3,0),0))))+BS36</f>
        <v>0</v>
      </c>
      <c r="BX36" s="450">
        <f t="shared" ca="1" si="36"/>
        <v>0</v>
      </c>
      <c r="BY36" s="58">
        <f ca="1">(VLOOKUP(BX$2,$B$1:$F$32,5,0)*$L36)+(VLOOKUP($K36,'Withdrawal Working'!$AD:$AE,2,0)*(IFERROR(VLOOKUP(BX$2,$B$35:$C$42,2,0),0)))</f>
        <v>0</v>
      </c>
      <c r="BZ36" s="58">
        <f>IFERROR(IF($K36&lt;VLOOKUP(BX$2,$B:$H,7,0),IF(CB$3=1,MIN($M36,BX36),IF(HLOOKUP(CONCATENATE("Balance",CB$3-1),'Withdrawal Working'!$A$2:$CD$78,MATCH('Yoy WAR OG'!$J36,'Withdrawal Working'!$A$2:$A$78,0),FALSE)&gt;0,MIN(HLOOKUP(CONCATENATE("Balance",CB$3-1),'Withdrawal Working'!$A$2:$CD$78,MATCH('Yoy WAR OG'!$J36,'Withdrawal Working'!$A$2:$A$78,0),0),BX36),0)),IF($K36=VLOOKUP(BX$2,$B:$H,7,0),BX36,)),0)</f>
        <v>0</v>
      </c>
      <c r="CA36" s="58">
        <f t="shared" ref="CA36:CA67" ca="1" si="60">((BX36-BZ36)*(1+(IFERROR(VLOOKUP(BX$2,$B:$D,3,0),0))))+BY36</f>
        <v>0</v>
      </c>
      <c r="CD36" s="450">
        <f t="shared" ca="1" si="37"/>
        <v>46889006.876576968</v>
      </c>
      <c r="CE36" s="58">
        <f ca="1">(VLOOKUP(CD$2,$B$1:$F$32,5,0)*$L36)+(VLOOKUP($K36,'Withdrawal Working'!$AD:$AE,2,0)*(IFERROR(VLOOKUP(CD$2,$B$35:$C$42,2,0),0)))+SUMIFS('Key Life Events'!$I$3:$I$28,'Key Life Events'!$H$3:$H$28,"House",'Key Life Events'!$E$3:$E$28,'Yoy WAR OG'!K36)</f>
        <v>0</v>
      </c>
      <c r="CF36" s="58">
        <f>IFERROR(IF($K36&lt;VLOOKUP(CD$2,$B:$H,7,0),IF(CH$3=1,MIN($M36,CD36),IF(HLOOKUP(CONCATENATE("Balance",CH$3-1),'Withdrawal Working'!$A$2:$CD$78,MATCH('Yoy WAR OG'!$J36,'Withdrawal Working'!$A$2:$A$78,0),FALSE)&gt;0,MIN(HLOOKUP(CONCATENATE("Balance",CH$3-1),'Withdrawal Working'!$A$2:$CD$78,MATCH('Yoy WAR OG'!$J36,'Withdrawal Working'!$A$2:$A$78,0),0),CD36),0)),IF($K36=VLOOKUP(CD$2,$B:$H,7,0),CD36,)),0)</f>
        <v>0</v>
      </c>
      <c r="CG36" s="58">
        <f t="shared" ref="CG36:CG67" ca="1" si="61">((CD36-CF36)*(1+(IFERROR(VLOOKUP(CD$2,$B:$D,3,0),0))))+CE36</f>
        <v>48295677.082874276</v>
      </c>
      <c r="CJ36" s="450">
        <f t="shared" ca="1" si="38"/>
        <v>0</v>
      </c>
      <c r="CK36" s="58">
        <f ca="1">(VLOOKUP(CJ$2,$B$1:$F$32,5,0)*$L36)+(VLOOKUP($K36,'Withdrawal Working'!$AD:$AE,2,0)*(IFERROR(VLOOKUP(CJ$2,$B$35:$C$42,2,0),0)))+SUMIFS('Key Life Events'!$I$3:$I$28,'Key Life Events'!$H$3:$H$28,"House2",'Key Life Events'!$E$3:$E$28,'Yoy WAR OG'!K36)</f>
        <v>0</v>
      </c>
      <c r="CL36" s="58">
        <f ca="1">IF(IFERROR(IF($K36&lt;&gt;VLOOKUP(CJ$2,$B:$H,7,0),IF(CN$3=1,MIN($M36,CJ36),IF(HLOOKUP(CONCATENATE("Balance",CN$3-1),'Withdrawal Working'!$A$2:$CD$78,MATCH('Yoy WAR OG'!$J36,'Withdrawal Working'!$A$2:$A$78,0),FALSE)&gt;0,MIN(HLOOKUP(CONCATENATE("Balance",CN$3-1),'Withdrawal Working'!$A$2:$CD$78,MATCH('Yoy WAR OG'!$J36,'Withdrawal Working'!$A$2:$A$78,0),0),CJ36),0)),IF($K36=VLOOKUP(CJ$2,$B:$H,7,0),CJ36,)),0)&gt;0,CJ36,0)</f>
        <v>0</v>
      </c>
      <c r="CM36" s="58">
        <f t="shared" ref="CM36:CM67" ca="1" si="62">((CJ36-CL36)*(1+(IFERROR(VLOOKUP(CJ$2,$B:$D,3,0),0))))+CK36</f>
        <v>0</v>
      </c>
      <c r="CP36" s="450">
        <f t="shared" ca="1" si="39"/>
        <v>11912353.671509024</v>
      </c>
      <c r="CQ36" s="58">
        <f ca="1">(VLOOKUP(CP$2,$B$1:$F$32,5,0)*$L36)+(VLOOKUP($K36,'Withdrawal Working'!$AD:$AE,2,0)*(IFERROR(VLOOKUP(CP$2,$B$35:$C$42,2,0),0)))+SUMIFS('Key Life Events'!$I$3:$I$28,'Key Life Events'!$H$3:$H$28,"Land",'Key Life Events'!$E$3:$E$28,'Yoy WAR OG'!K36)</f>
        <v>0</v>
      </c>
      <c r="CR36" s="58">
        <f>IFERROR(IF($K36&lt;VLOOKUP(CP$2,$B:$H,7,0),IF(CT$3=1,MIN($M36,CP36),IF(HLOOKUP(CONCATENATE("Balance",CT$3-1),'Withdrawal Working'!$A$2:$CD$78,MATCH('Yoy WAR OG'!$J36,'Withdrawal Working'!$A$2:$A$78,0),FALSE)&gt;0,MIN(HLOOKUP(CONCATENATE("Balance",CT$3-1),'Withdrawal Working'!$A$2:$CD$78,MATCH('Yoy WAR OG'!$J36,'Withdrawal Working'!$A$2:$A$78,0),0),CP36),0)),IF($K36=VLOOKUP(CP$2,$B:$H,7,0),CP36,)),0)</f>
        <v>0</v>
      </c>
      <c r="CS36" s="58">
        <f t="shared" ref="CS36:CS67" ca="1" si="63">((CP36-CR36)*(1+(IFERROR(VLOOKUP(CP$2,$B:$D,3,0),0))))+CQ36</f>
        <v>12507971.355084475</v>
      </c>
      <c r="CV36" s="450">
        <f t="shared" ca="1" si="40"/>
        <v>0</v>
      </c>
      <c r="CW36" s="58"/>
      <c r="CX36" s="58">
        <f>IFERROR(IF($K36&lt;VLOOKUP(CV$2,$B:$H,7,0),IF(CZ$3=1,MIN($M36,CV36),IF(HLOOKUP(CONCATENATE("Balance",CZ$3-1),'Withdrawal Working'!$A$2:$CD$78,MATCH('Yoy WAR OG'!$J36,'Withdrawal Working'!$A$2:$A$78,0),FALSE)&gt;0,MIN(HLOOKUP(CONCATENATE("Balance",CZ$3-1),'Withdrawal Working'!$A$2:$CD$78,MATCH('Yoy WAR OG'!$J36,'Withdrawal Working'!$A$2:$A$78,0),0),CV36),0)),IF($K36=VLOOKUP(CV$2,$B:$H,7,0),CV36,)),0)</f>
        <v>0</v>
      </c>
      <c r="CY36" s="58">
        <f t="shared" ref="CY36:CY67" ca="1" si="64">((CV36-CX36)*(1+(IFERROR(VLOOKUP(CV$2,$B:$D,3,0),0))))+CW36</f>
        <v>0</v>
      </c>
      <c r="DB36" s="450">
        <f t="shared" ca="1" si="41"/>
        <v>0</v>
      </c>
      <c r="DC36" s="58">
        <f ca="1">(VLOOKUP(DB$2,$B$1:$F$32,5,0)*$L36)+(VLOOKUP($K36,'Withdrawal Working'!$AD:$AE,2,0)*(IFERROR(VLOOKUP(DB$2,$B$35:$C$42,2,0),0)))</f>
        <v>0</v>
      </c>
      <c r="DD36" s="58">
        <f>IFERROR(IF($K36&lt;VLOOKUP(DB$2,$B:$H,7,0),IF(DF$3=1,MIN($M36,DB36),IF(HLOOKUP(CONCATENATE("Balance",DF$3-1),'Withdrawal Working'!$A$2:$CD$78,MATCH('Yoy WAR OG'!$J36,'Withdrawal Working'!$A$2:$A$78,0),FALSE)&gt;0,MIN(HLOOKUP(CONCATENATE("Balance",DF$3-1),'Withdrawal Working'!$A$2:$CD$78,MATCH('Yoy WAR OG'!$J36,'Withdrawal Working'!$A$2:$A$78,0),0),DB36),0)),IF($K36=VLOOKUP(DB$2,$B:$H,7,0),DB36,)),0)</f>
        <v>0</v>
      </c>
      <c r="DE36" s="58">
        <f t="shared" ref="DE36:DE67" ca="1" si="65">((DB36-DD36)*(1+(IFERROR(VLOOKUP(DB$2,$B:$D,3,0),0))))+DC36</f>
        <v>0</v>
      </c>
      <c r="DH36" s="450">
        <f t="shared" ca="1" si="42"/>
        <v>0</v>
      </c>
      <c r="DI36" s="58">
        <f>IF(OR(J36&gt;'NWGC - SCENARIOS'!$D$7,J36='NWGC - SCENARIOS'!$D$7),0,DI35*(1+'NWGC - SCENARIOS'!$L$5))</f>
        <v>0</v>
      </c>
      <c r="DJ36" s="58">
        <f>IFERROR(IF($K36&lt;VLOOKUP(DH$2,$B:$H,7,0),IF(DL$3=1,MIN($M36,DH36),IF(HLOOKUP(CONCATENATE("Balance",DL$3-1),'Withdrawal Working'!$A$2:$CD$78,MATCH('Yoy WAR OG'!$J36,'Withdrawal Working'!$A$2:$A$78,0),FALSE)&gt;0,MIN(HLOOKUP(CONCATENATE("Balance",DL$3-1),'Withdrawal Working'!$A$2:$CD$78,MATCH('Yoy WAR OG'!$J36,'Withdrawal Working'!$A$2:$A$78,0),0),DH36),0)),IF($K36=VLOOKUP(DH$2,$B:$H,7,0),DH36,)),0)</f>
        <v>0</v>
      </c>
      <c r="DK36" s="58">
        <f t="shared" ref="DK36:DK67" ca="1" si="66">((DH36-DJ36)*(1+(IFERROR(VLOOKUP(DH$2,$B:$D,3,0),0))))+DI36</f>
        <v>0</v>
      </c>
      <c r="DN36" s="450">
        <f t="shared" ca="1" si="43"/>
        <v>0</v>
      </c>
      <c r="DO36" s="58">
        <f ca="1">(VLOOKUP(DN$2,$B$1:$F$32,5,0)*$L36)+(VLOOKUP($K36,'Withdrawal Working'!$AD:$AE,2,0)*(IFERROR(VLOOKUP(DN$2,$B$35:$C$42,2,0),0)))</f>
        <v>0</v>
      </c>
      <c r="DP36" s="58">
        <f>IFERROR(IF($K36&lt;VLOOKUP(DN$2,$B:$H,7,0),IF(DR$3=1,MIN($M36,DN36),IF(HLOOKUP(CONCATENATE("Balance",DR$3-1),'Withdrawal Working'!$A$2:$CD$78,MATCH('Yoy WAR OG'!$J36,'Withdrawal Working'!$A$2:$A$78,0),FALSE)&gt;0,MIN(HLOOKUP(CONCATENATE("Balance",DR$3-1),'Withdrawal Working'!$A$2:$CD$78,MATCH('Yoy WAR OG'!$J36,'Withdrawal Working'!$A$2:$A$78,0),0),DN36),0)),IF($K36=VLOOKUP(DN$2,$B:$H,7,0),DN36,)),0)</f>
        <v>0</v>
      </c>
      <c r="DQ36" s="58">
        <f t="shared" ref="DQ36:DQ67" ca="1" si="67">((DN36-DP36)*(1+(IFERROR(VLOOKUP(DN$2,$B:$D,3,0),0))))+DO36</f>
        <v>0</v>
      </c>
      <c r="DT36" s="450">
        <f t="shared" ca="1" si="44"/>
        <v>0</v>
      </c>
      <c r="DU36" s="58">
        <f ca="1">(VLOOKUP(DT$2,$B$1:$F$32,5,0)*$L36)+(VLOOKUP($K36,'Withdrawal Working'!$AD:$AE,2,0)*(IFERROR(VLOOKUP(DT$2,$B$35:$C$42,2,0),0)))</f>
        <v>0</v>
      </c>
      <c r="DV36" s="58">
        <f>IFERROR(IF($K36&lt;VLOOKUP(DT$2,$B:$H,7,0),IF(DX$3=1,MIN($M36,DT36),IF(HLOOKUP(CONCATENATE("Balance",DX$3-1),'Withdrawal Working'!$A$2:$CD$78,MATCH('Yoy WAR OG'!$J36,'Withdrawal Working'!$A$2:$A$78,0),FALSE)&gt;0,MIN(HLOOKUP(CONCATENATE("Balance",DX$3-1),'Withdrawal Working'!$A$2:$CD$78,MATCH('Yoy WAR OG'!$J36,'Withdrawal Working'!$A$2:$A$78,0),0),DT36),0)),IF($K36=VLOOKUP(DT$2,$B:$H,7,0),DT36,)),0)</f>
        <v>0</v>
      </c>
      <c r="DW36" s="58">
        <f t="shared" ref="DW36:DW67" ca="1" si="68">((DT36-DV36)*(1+(IFERROR(VLOOKUP(DT$2,$B:$D,3,0),0))))+DU36</f>
        <v>0</v>
      </c>
      <c r="DZ36" s="450">
        <f t="shared" ca="1" si="45"/>
        <v>0</v>
      </c>
      <c r="EA36" s="58">
        <f ca="1">(VLOOKUP(DZ$2,$B$1:$F$32,5,0)*$L36)+(VLOOKUP($K36,'Withdrawal Working'!$AD:$AE,2,0)*(IFERROR(VLOOKUP(DZ$2,$B$35:$C$42,2,0),0)))</f>
        <v>0</v>
      </c>
      <c r="EB36" s="58">
        <f>IFERROR(IF($K36&lt;VLOOKUP(DZ$2,$B:$H,7,0),IF(ED$3=1,MIN($M36,DZ36),IF(HLOOKUP(CONCATENATE("Balance",ED$3-1),'Withdrawal Working'!$A$2:$CD$78,MATCH('Yoy WAR OG'!$J36,'Withdrawal Working'!$A$2:$A$78,0),FALSE)&gt;0,MIN(HLOOKUP(CONCATENATE("Balance",ED$3-1),'Withdrawal Working'!$A$2:$CD$78,MATCH('Yoy WAR OG'!$J36,'Withdrawal Working'!$A$2:$A$78,0),0),DZ36),0)),IF($K36=VLOOKUP(DZ$2,$B:$H,7,0),DZ36,)),0)</f>
        <v>0</v>
      </c>
      <c r="EC36" s="58">
        <f t="shared" ref="EC36:EC67" ca="1" si="69">((DZ36-EB36)*(1+(IFERROR(VLOOKUP(DZ$2,$B:$D,3,0),0))))+EA36</f>
        <v>0</v>
      </c>
      <c r="EF36" s="450">
        <f t="shared" ca="1" si="46"/>
        <v>0</v>
      </c>
      <c r="EG36" s="58">
        <f ca="1">(VLOOKUP(EF$2,$B$1:$F$32,5,0)*$L36)+(VLOOKUP($K36,'Withdrawal Working'!$AD:$AE,2,0)*(IFERROR(VLOOKUP(EF$2,$B$35:$C$42,2,0),0)))</f>
        <v>0</v>
      </c>
      <c r="EH36" s="58">
        <f>IFERROR(IF($K36&lt;VLOOKUP(EF$2,$B:$H,7,0),IF(EJ$3=1,MIN($M36,EF36),IF(HLOOKUP(CONCATENATE("Balance",EJ$3-1),'Withdrawal Working'!$A$2:$CD$78,MATCH('Yoy WAR OG'!$J36,'Withdrawal Working'!$A$2:$A$78,0),FALSE)&gt;0,MIN(HLOOKUP(CONCATENATE("Balance",EJ$3-1),'Withdrawal Working'!$A$2:$CD$78,MATCH('Yoy WAR OG'!$J36,'Withdrawal Working'!$A$2:$A$78,0),0),EF36),0)),IF($K36=VLOOKUP(EF$2,$B:$H,7,0),EF36,)),0)</f>
        <v>0</v>
      </c>
      <c r="EI36" s="58">
        <f t="shared" ref="EI36:EI67" ca="1" si="70">((EF36-EH36)*(1+(IFERROR(VLOOKUP(EF$2,$B:$D,3,0),0))))+EG36</f>
        <v>0</v>
      </c>
      <c r="EL36" s="450">
        <f t="shared" ca="1" si="47"/>
        <v>0</v>
      </c>
      <c r="EM36" s="58">
        <f>IF(OR($J36&gt;'NWGC - SCENARIOS'!$D$7,$J36='NWGC - SCENARIOS'!$D$7),0,EM35)</f>
        <v>0</v>
      </c>
      <c r="EN36" s="58">
        <f>IFERROR(IF($K36&lt;VLOOKUP(EL$2,$B:$H,7,0),IF(EP$3=1,MIN($M36,EL36),IF(HLOOKUP(CONCATENATE("Balance",EP$3-1),'Withdrawal Working'!$A$2:$CD$78,MATCH('Yoy WAR OG'!$J36,'Withdrawal Working'!$A$2:$A$78,0),FALSE)&gt;0,MIN(HLOOKUP(CONCATENATE("Balance",EP$3-1),'Withdrawal Working'!$A$2:$CD$78,MATCH('Yoy WAR OG'!$J36,'Withdrawal Working'!$A$2:$A$78,0),0),EL36),0)),IF($K36=VLOOKUP(EL$2,$B:$H,7,0),EL36,)),0)</f>
        <v>0</v>
      </c>
      <c r="EO36" s="58">
        <f t="shared" ref="EO36:EO67" ca="1" si="71">((EL36-EN36)*(1+(IFERROR(VLOOKUP(EL$2,$B:$D,3,0),0))))+EM36</f>
        <v>0</v>
      </c>
      <c r="ER36" s="450">
        <f t="shared" ca="1" si="48"/>
        <v>0</v>
      </c>
      <c r="ES36" s="58">
        <f>IF(OR(J36&gt;'NWGC - SCENARIOS'!$D$7,J36='NWGC - SCENARIOS'!$D$7),0,ES35*(1+'NWGC - SCENARIOS'!$L$5))</f>
        <v>0</v>
      </c>
      <c r="ET36" s="58">
        <f>IFERROR(IF($K36&lt;VLOOKUP(ER$2,$B:$H,7,0),IF(EV$3=1,MIN($M36,ER36),IF(HLOOKUP(CONCATENATE("Balance",EV$3-1),'Withdrawal Working'!$A$2:$CD$78,MATCH('Yoy WAR OG'!$J36,'Withdrawal Working'!$A$2:$A$78,0),FALSE)&gt;0,MIN(HLOOKUP(CONCATENATE("Balance",EV$3-1),'Withdrawal Working'!$A$2:$CD$78,MATCH('Yoy WAR OG'!$J36,'Withdrawal Working'!$A$2:$A$78,0),0),ER36),0)),IF($K36=VLOOKUP(ER$2,$B:$H,7,0),ER36,)),0)</f>
        <v>0</v>
      </c>
      <c r="EU36" s="58">
        <f t="shared" ref="EU36:EU67" ca="1" si="72">((ER36-ET36)*(1+(IFERROR(VLOOKUP(ER$2,$B:$D,3,0),0))))+ES36</f>
        <v>0</v>
      </c>
      <c r="EX36" s="450">
        <f t="shared" ca="1" si="49"/>
        <v>0</v>
      </c>
      <c r="EY36" s="58">
        <f>IF(OR(J36&gt;'NWGC - SCENARIOS'!$D$7,J36='NWGC - SCENARIOS'!$D$7),0,EY35)</f>
        <v>0</v>
      </c>
      <c r="EZ36" s="58">
        <f>IFERROR(IF($K36&lt;VLOOKUP(EX$2,$B:$H,7,0),IF(FB$3=1,MIN($M36,EX36),IF(HLOOKUP(CONCATENATE("Balance",FB$3-1),'Withdrawal Working'!$A$2:$CD$78,MATCH('Yoy WAR OG'!$J36,'Withdrawal Working'!$A$2:$A$78,0),FALSE)&gt;0,MIN(HLOOKUP(CONCATENATE("Balance",FB$3-1),'Withdrawal Working'!$A$2:$CD$78,MATCH('Yoy WAR OG'!$J36,'Withdrawal Working'!$A$2:$A$78,0),0),EX36),0)),IF($K36=VLOOKUP(EX$2,$B:$H,7,0),EX36,)),0)</f>
        <v>0</v>
      </c>
      <c r="FA36" s="58">
        <f t="shared" ref="FA36:FA67" ca="1" si="73">((EX36-EZ36)*(1+(IFERROR(VLOOKUP(EX$2,$B:$D,3,0),0))))+EY36</f>
        <v>0</v>
      </c>
    </row>
    <row r="37" spans="2:157" x14ac:dyDescent="0.3">
      <c r="J37">
        <f>IFERROR('NWGC - SCENARIOS'!B44,0)</f>
        <v>82</v>
      </c>
      <c r="K37">
        <f>IFERROR('NWGC - SCENARIOS'!C44,0)</f>
        <v>2058</v>
      </c>
      <c r="L37" s="449">
        <f ca="1">IF(('NWGC - SCENARIOS'!G44-working!G35)&gt;'NWGC - SCENARIOS'!H44,'NWGC - SCENARIOS'!G44-'NWGC - SCENARIOS'!H44-working!G35,0)</f>
        <v>0</v>
      </c>
      <c r="M37" s="449">
        <f ca="1">IF(('NWGC - SCENARIOS'!G44-working!G35)&gt;'NWGC - SCENARIOS'!H44,0,'NWGC - SCENARIOS'!H44-'NWGC - SCENARIOS'!G44+working!G35)</f>
        <v>27945648.558458634</v>
      </c>
      <c r="N37" s="58">
        <f t="shared" ca="1" si="50"/>
        <v>801639155.99532259</v>
      </c>
      <c r="O37" s="58">
        <f t="shared" ca="1" si="51"/>
        <v>102790371.46629433</v>
      </c>
      <c r="P37" s="58">
        <f t="shared" ref="P37:P65" ca="1" si="74">S36</f>
        <v>0</v>
      </c>
      <c r="Q37" s="58">
        <f ca="1">(VLOOKUP(P$2,$B$1:$F$32,5,0)*$L37)+(VLOOKUP($K37,'Withdrawal Working'!$AD:$AE,2,0)*(IFERROR(VLOOKUP(P$2,$B$35:$C$42,2,0),0)))</f>
        <v>0</v>
      </c>
      <c r="R37" s="58">
        <f>IFERROR(IF($K37&lt;VLOOKUP(P$2,$B:$H,7,0),IF(T$3=1,MIN($M37,P37),IF(HLOOKUP(CONCATENATE("Balance",T$3-1),'Withdrawal Working'!$A$2:$CD$78,MATCH('Yoy WAR OG'!$J37,'Withdrawal Working'!$A$2:$A$78,0),FALSE)&gt;0,MIN(HLOOKUP(CONCATENATE("Balance",T$3-1),'Withdrawal Working'!$A$2:$CD$78,MATCH('Yoy WAR OG'!$J37,'Withdrawal Working'!$A$2:$A$78,0),0),P37),0)),IF($K37=VLOOKUP(P$2,$B:$H,7,0),P37,)),0)</f>
        <v>0</v>
      </c>
      <c r="S37" s="58">
        <f t="shared" ca="1" si="26"/>
        <v>0</v>
      </c>
      <c r="T37" s="58"/>
      <c r="V37" s="58">
        <f t="shared" ca="1" si="27"/>
        <v>0</v>
      </c>
      <c r="W37" s="58">
        <f ca="1">(VLOOKUP(V$2,$B$1:$F$32,5,0)*$L37)+(VLOOKUP($K37,'Withdrawal Working'!$AD:$AE,2,0)*(IFERROR(VLOOKUP(V$2,$B$35:$C$42,2,0),0)))</f>
        <v>0</v>
      </c>
      <c r="X37" s="58">
        <f>IFERROR(IF($K37&lt;VLOOKUP(V$2,$B:$H,7,0),IF(Z$3=1,MIN($M37,V37),IF(HLOOKUP(CONCATENATE("Balance",Z$3-1),'Withdrawal Working'!$A$2:$CD$78,MATCH('Yoy WAR OG'!$J37,'Withdrawal Working'!$A$2:$A$78,0),FALSE)&gt;0,MIN(HLOOKUP(CONCATENATE("Balance",Z$3-1),'Withdrawal Working'!$A$2:$CD$78,MATCH('Yoy WAR OG'!$J37,'Withdrawal Working'!$A$2:$A$78,0),0),V37),0)),IF($K37=VLOOKUP(V$2,$B:$H,7,0),V37,)),0)</f>
        <v>0</v>
      </c>
      <c r="Y37" s="58">
        <f t="shared" ca="1" si="52"/>
        <v>0</v>
      </c>
      <c r="AB37" s="58">
        <f t="shared" ca="1" si="28"/>
        <v>0</v>
      </c>
      <c r="AC37" s="58">
        <f ca="1">(VLOOKUP(AB$2,$B$1:$F$32,5,0)*$L37)+(VLOOKUP($K37,'Withdrawal Working'!$AD:$AE,2,0)*(IFERROR(VLOOKUP(AB$2,$B$35:$C$42,2,0),0)))</f>
        <v>0</v>
      </c>
      <c r="AD37" s="58">
        <f>IFERROR(IF($K37&lt;VLOOKUP(AB$2,$B:$H,7,0),IF(AF$3=1,MIN($M37,AB37),IF(HLOOKUP(CONCATENATE("Balance",AF$3-1),'Withdrawal Working'!$A$2:$CD$78,MATCH('Yoy WAR OG'!$J37,'Withdrawal Working'!$A$2:$A$78,0),FALSE)&gt;0,MIN(HLOOKUP(CONCATENATE("Balance",AF$3-1),'Withdrawal Working'!$A$2:$CD$78,MATCH('Yoy WAR OG'!$J37,'Withdrawal Working'!$A$2:$A$78,0),0),AB37),0)),IF($K37=VLOOKUP(AB$2,$B:$H,7,0),AB37,)),0)</f>
        <v>0</v>
      </c>
      <c r="AE37" s="58">
        <f t="shared" ca="1" si="53"/>
        <v>0</v>
      </c>
      <c r="AH37" s="58">
        <f t="shared" ca="1" si="29"/>
        <v>259782963.17346328</v>
      </c>
      <c r="AI37" s="58">
        <f ca="1">(VLOOKUP(AH$2,$B$1:$F$32,5,0)*$L37)+IF(J37&gt;'NWGC - SCENARIOS'!$D$7,0,(VLOOKUP($K37,'Withdrawal Working'!$AD:$AE,2,0)*(IFERROR(VLOOKUP(AH$2,$B$35:$C$42,2,0),0))))</f>
        <v>0</v>
      </c>
      <c r="AJ37" s="58">
        <f ca="1">IFERROR(IF($J37&gt;'NWGC - SCENARIOS'!$D$7,MIN('Yoy WAR OG'!AH37,VLOOKUP('Yoy WAR OG'!$J37,'Withdrawal Working'!BC:BD,2,0)),IF(AL$3=1,$M37,IF(HLOOKUP(CONCATENATE("Balance",AL$3-1),'Withdrawal Working'!$A$2:$CD$78,MATCH('Yoy WAR OG'!$J37,'Withdrawal Working'!$A$2:$A$78,0),FALSE)&gt;0,MIN(HLOOKUP(CONCATENATE("Balance",AL$3-1),'Withdrawal Working'!$A$2:$CD$78,MATCH('Yoy WAR OG'!$J37,'Withdrawal Working'!$A$2:$A$78,0),0),AH37),0))),0)</f>
        <v>32609782.078586154</v>
      </c>
      <c r="AK37" s="58">
        <f t="shared" ca="1" si="54"/>
        <v>252162231.01531363</v>
      </c>
      <c r="AN37" s="450">
        <f t="shared" ca="1" si="30"/>
        <v>516167074.99172938</v>
      </c>
      <c r="AO37" s="58">
        <f ca="1">IF(J37&gt;'NWGC - SCENARIOS'!$D$7,(IF(AJ37=0,0,'Yoy WAR OG'!AJ37)+(VLOOKUP(AN$2,$B$1:$F$32,5,0)*$L37)),(VLOOKUP(AN$2,$B$1:$F$32,5,0)*$L37)+(VLOOKUP($K37,'Withdrawal Working'!$AD:$AE,2,0)*(IFERROR(VLOOKUP(AN$2,$B$35:$C$42,2,0),0))))</f>
        <v>32609782.078586154</v>
      </c>
      <c r="AP37" s="470">
        <f ca="1">IFERROR(IF($K37&lt;&gt;VLOOKUP(AN$2,$B:$H,7,0),IF(AR$3=1,MIN($M37,AN37),IF(HLOOKUP(CONCATENATE("Balance",AR$3-1),'Withdrawal Working'!$A$2:$CD$78,MATCH('Yoy WAR OG'!$J37,'Withdrawal Working'!$A$2:$A$78,0),FALSE)&gt;0,MIN(HLOOKUP(CONCATENATE("Balance",AR$3-1),'Withdrawal Working'!$A$2:$CD$78,MATCH('Yoy WAR OG'!$J37,'Withdrawal Working'!$A$2:$A$78,0),0),AN37),0)),IF($K37=VLOOKUP(AN$2,$B:$H,7,0),AN37,)),0)</f>
        <v>27945648.558458634</v>
      </c>
      <c r="AQ37" s="58">
        <f ca="1">IF(AO37&lt;0,0,IF(J37&gt;'NWGC - SCENARIOS'!$D$7,((AN37-AP37+AO37)*(1+(IFERROR(VLOOKUP(AN$2,$B:$D,3,0),0)))),((AN37-AP37)*(1+(IFERROR(VLOOKUP(AN$2,$B:$D,3,0),0))))+AO37))</f>
        <v>549476924.98000896</v>
      </c>
      <c r="AT37" s="450">
        <f t="shared" ca="1" si="31"/>
        <v>0</v>
      </c>
      <c r="AU37" s="58">
        <f ca="1">(VLOOKUP(AT$2,$B$1:$F$32,5,0)*$L37)+(VLOOKUP($K37,'Withdrawal Working'!$AD:$AE,2,0)*(IFERROR(VLOOKUP(AT$2,$B$35:$C$42,2,0),0)))</f>
        <v>0</v>
      </c>
      <c r="AV37" s="58">
        <f>IFERROR(IF($K37&lt;VLOOKUP(AT$2,$B:$H,7,0),IF(AX$3=1,MIN($M37,AT37),IF(HLOOKUP(CONCATENATE("Balance",AX$3-1),'Withdrawal Working'!$A$2:$CD$78,MATCH('Yoy WAR OG'!$J37,'Withdrawal Working'!$A$2:$A$78,0),FALSE)&gt;0,MIN(HLOOKUP(CONCATENATE("Balance",AX$3-1),'Withdrawal Working'!$A$2:$CD$78,MATCH('Yoy WAR OG'!$J37,'Withdrawal Working'!$A$2:$A$78,0),0),AT37),0)),IF($K37=VLOOKUP(AT$2,$B:$H,7,0),AT37,)),0)</f>
        <v>0</v>
      </c>
      <c r="AW37" s="58">
        <f t="shared" ca="1" si="55"/>
        <v>0</v>
      </c>
      <c r="AZ37" s="450">
        <f t="shared" ca="1" si="32"/>
        <v>37301359.016911335</v>
      </c>
      <c r="BA37" s="58">
        <f ca="1">(VLOOKUP(AZ$2,$B$1:$F$32,5,0)*$L37)+(VLOOKUP($K37,'Withdrawal Working'!$AD:$AE,2,0)*(IFERROR(VLOOKUP(AZ$2,$B$35:$C$42,2,0),0)))</f>
        <v>0</v>
      </c>
      <c r="BB37" s="58">
        <f>IFERROR(IF($K37&lt;VLOOKUP(AZ$2,$B:$H,7,0),IF(BD$3=1,MIN($M37,AZ37),IF(HLOOKUP(CONCATENATE("Balance",BD$3-1),'Withdrawal Working'!$A$2:$CD$78,MATCH('Yoy WAR OG'!$J37,'Withdrawal Working'!$A$2:$A$78,0),FALSE)&gt;0,MIN(HLOOKUP(CONCATENATE("Balance",BD$3-1),'Withdrawal Working'!$A$2:$CD$78,MATCH('Yoy WAR OG'!$J37,'Withdrawal Working'!$A$2:$A$78,0),0),AZ37),0)),IF($K37=VLOOKUP(AZ$2,$B:$H,7,0),AZ37,)),0)</f>
        <v>0</v>
      </c>
      <c r="BC37" s="58">
        <f t="shared" ca="1" si="56"/>
        <v>39912454.148095131</v>
      </c>
      <c r="BF37" s="450">
        <f t="shared" ca="1" si="33"/>
        <v>0</v>
      </c>
      <c r="BG37" s="58">
        <f ca="1">(VLOOKUP(BF$2,$B$1:$F$32,5,0)*$L37)+(VLOOKUP($K37,'Withdrawal Working'!$AD:$AE,2,0)*(IFERROR(VLOOKUP(BF$2,$B$35:$C$42,2,0),0)))</f>
        <v>0</v>
      </c>
      <c r="BH37" s="58">
        <f>IFERROR(IF($K37&lt;VLOOKUP(BF$2,$B:$H,7,0),IF(BJ$3=1,MIN($M37,BF37),IF(HLOOKUP(CONCATENATE("Balance",BJ$3-1),'Withdrawal Working'!$A$2:$CD$78,MATCH('Yoy WAR OG'!$J37,'Withdrawal Working'!$A$2:$A$78,0),FALSE)&gt;0,MIN(HLOOKUP(CONCATENATE("Balance",BJ$3-1),'Withdrawal Working'!$A$2:$CD$78,MATCH('Yoy WAR OG'!$J37,'Withdrawal Working'!$A$2:$A$78,0),0),BF37),0)),IF($K37=VLOOKUP(BF$2,$B:$H,7,0),BF37,)),0)</f>
        <v>0</v>
      </c>
      <c r="BI37" s="58">
        <f t="shared" ca="1" si="57"/>
        <v>0</v>
      </c>
      <c r="BL37" s="450">
        <f t="shared" ca="1" si="34"/>
        <v>0</v>
      </c>
      <c r="BM37" s="58">
        <f ca="1">(VLOOKUP(BL$2,$B$1:$F$32,5,0)*$L37)+(VLOOKUP($K37,'Withdrawal Working'!$AD:$AE,2,0)*(IFERROR(VLOOKUP(BL$2,$B$35:$C$42,2,0),0)))</f>
        <v>0</v>
      </c>
      <c r="BN37" s="58">
        <f>IFERROR(IF($K37&lt;VLOOKUP(BL$2,$B:$H,7,0),IF(BP$3=1,MIN($M37,BL37),IF(HLOOKUP(CONCATENATE("Balance",BP$3-1),'Withdrawal Working'!$A$2:$CD$78,MATCH('Yoy WAR OG'!$J37,'Withdrawal Working'!$A$2:$A$78,0),FALSE)&gt;0,MIN(HLOOKUP(CONCATENATE("Balance",BP$3-1),'Withdrawal Working'!$A$2:$CD$78,MATCH('Yoy WAR OG'!$J37,'Withdrawal Working'!$A$2:$A$78,0),0),BL37),0)),IF($K37=VLOOKUP(BL$2,$B:$H,7,0),BL37,)),0)</f>
        <v>0</v>
      </c>
      <c r="BO37" s="58">
        <f t="shared" ca="1" si="58"/>
        <v>0</v>
      </c>
      <c r="BR37" s="450">
        <f t="shared" ca="1" si="35"/>
        <v>0</v>
      </c>
      <c r="BS37" s="58">
        <f ca="1">(VLOOKUP(BR$2,$B$1:$F$32,5,0)*$L37)+(VLOOKUP($K37,'Withdrawal Working'!$AD:$AE,2,0)*(IFERROR(VLOOKUP(BR$2,$B$35:$C$42,2,0),0)))</f>
        <v>0</v>
      </c>
      <c r="BT37" s="58">
        <f>IFERROR(IF($K37&lt;VLOOKUP(BR$2,$B:$H,7,0),IF(BV$3=1,MIN($M37,BR37),IF(HLOOKUP(CONCATENATE("Balance",BV$3-1),'Withdrawal Working'!$A$2:$CD$78,MATCH('Yoy WAR OG'!$J37,'Withdrawal Working'!$A$2:$A$78,0),FALSE)&gt;0,MIN(HLOOKUP(CONCATENATE("Balance",BV$3-1),'Withdrawal Working'!$A$2:$CD$78,MATCH('Yoy WAR OG'!$J37,'Withdrawal Working'!$A$2:$A$78,0),0),BR37),0)),IF($K37=VLOOKUP(BR$2,$B:$H,7,0),BR37,)),0)</f>
        <v>0</v>
      </c>
      <c r="BU37" s="58">
        <f t="shared" ca="1" si="59"/>
        <v>0</v>
      </c>
      <c r="BX37" s="450">
        <f t="shared" ca="1" si="36"/>
        <v>0</v>
      </c>
      <c r="BY37" s="58">
        <f ca="1">(VLOOKUP(BX$2,$B$1:$F$32,5,0)*$L37)+(VLOOKUP($K37,'Withdrawal Working'!$AD:$AE,2,0)*(IFERROR(VLOOKUP(BX$2,$B$35:$C$42,2,0),0)))</f>
        <v>0</v>
      </c>
      <c r="BZ37" s="58">
        <f>IFERROR(IF($K37&lt;VLOOKUP(BX$2,$B:$H,7,0),IF(CB$3=1,MIN($M37,BX37),IF(HLOOKUP(CONCATENATE("Balance",CB$3-1),'Withdrawal Working'!$A$2:$CD$78,MATCH('Yoy WAR OG'!$J37,'Withdrawal Working'!$A$2:$A$78,0),FALSE)&gt;0,MIN(HLOOKUP(CONCATENATE("Balance",CB$3-1),'Withdrawal Working'!$A$2:$CD$78,MATCH('Yoy WAR OG'!$J37,'Withdrawal Working'!$A$2:$A$78,0),0),BX37),0)),IF($K37=VLOOKUP(BX$2,$B:$H,7,0),BX37,)),0)</f>
        <v>0</v>
      </c>
      <c r="CA37" s="58">
        <f t="shared" ca="1" si="60"/>
        <v>0</v>
      </c>
      <c r="CD37" s="450">
        <f t="shared" ca="1" si="37"/>
        <v>48295677.082874276</v>
      </c>
      <c r="CE37" s="58">
        <f ca="1">(VLOOKUP(CD$2,$B$1:$F$32,5,0)*$L37)+(VLOOKUP($K37,'Withdrawal Working'!$AD:$AE,2,0)*(IFERROR(VLOOKUP(CD$2,$B$35:$C$42,2,0),0)))+SUMIFS('Key Life Events'!$I$3:$I$28,'Key Life Events'!$H$3:$H$28,"House",'Key Life Events'!$E$3:$E$28,'Yoy WAR OG'!K37)</f>
        <v>0</v>
      </c>
      <c r="CF37" s="58">
        <f>IFERROR(IF($K37&lt;VLOOKUP(CD$2,$B:$H,7,0),IF(CH$3=1,MIN($M37,CD37),IF(HLOOKUP(CONCATENATE("Balance",CH$3-1),'Withdrawal Working'!$A$2:$CD$78,MATCH('Yoy WAR OG'!$J37,'Withdrawal Working'!$A$2:$A$78,0),FALSE)&gt;0,MIN(HLOOKUP(CONCATENATE("Balance",CH$3-1),'Withdrawal Working'!$A$2:$CD$78,MATCH('Yoy WAR OG'!$J37,'Withdrawal Working'!$A$2:$A$78,0),0),CD37),0)),IF($K37=VLOOKUP(CD$2,$B:$H,7,0),CD37,)),0)</f>
        <v>0</v>
      </c>
      <c r="CG37" s="58">
        <f t="shared" ca="1" si="61"/>
        <v>49744547.395360507</v>
      </c>
      <c r="CJ37" s="450">
        <f t="shared" ca="1" si="38"/>
        <v>0</v>
      </c>
      <c r="CK37" s="58">
        <f ca="1">(VLOOKUP(CJ$2,$B$1:$F$32,5,0)*$L37)+(VLOOKUP($K37,'Withdrawal Working'!$AD:$AE,2,0)*(IFERROR(VLOOKUP(CJ$2,$B$35:$C$42,2,0),0)))+SUMIFS('Key Life Events'!$I$3:$I$28,'Key Life Events'!$H$3:$H$28,"House2",'Key Life Events'!$E$3:$E$28,'Yoy WAR OG'!K37)</f>
        <v>0</v>
      </c>
      <c r="CL37" s="58">
        <f ca="1">IF(IFERROR(IF($K37&lt;&gt;VLOOKUP(CJ$2,$B:$H,7,0),IF(CN$3=1,MIN($M37,CJ37),IF(HLOOKUP(CONCATENATE("Balance",CN$3-1),'Withdrawal Working'!$A$2:$CD$78,MATCH('Yoy WAR OG'!$J37,'Withdrawal Working'!$A$2:$A$78,0),FALSE)&gt;0,MIN(HLOOKUP(CONCATENATE("Balance",CN$3-1),'Withdrawal Working'!$A$2:$CD$78,MATCH('Yoy WAR OG'!$J37,'Withdrawal Working'!$A$2:$A$78,0),0),CJ37),0)),IF($K37=VLOOKUP(CJ$2,$B:$H,7,0),CJ37,)),0)&gt;0,CJ37,0)</f>
        <v>0</v>
      </c>
      <c r="CM37" s="58">
        <f t="shared" ca="1" si="62"/>
        <v>0</v>
      </c>
      <c r="CP37" s="450">
        <f t="shared" ca="1" si="39"/>
        <v>12507971.355084475</v>
      </c>
      <c r="CQ37" s="58">
        <f ca="1">(VLOOKUP(CP$2,$B$1:$F$32,5,0)*$L37)+(VLOOKUP($K37,'Withdrawal Working'!$AD:$AE,2,0)*(IFERROR(VLOOKUP(CP$2,$B$35:$C$42,2,0),0)))+SUMIFS('Key Life Events'!$I$3:$I$28,'Key Life Events'!$H$3:$H$28,"Land",'Key Life Events'!$E$3:$E$28,'Yoy WAR OG'!K37)</f>
        <v>0</v>
      </c>
      <c r="CR37" s="58">
        <f>IFERROR(IF($K37&lt;VLOOKUP(CP$2,$B:$H,7,0),IF(CT$3=1,MIN($M37,CP37),IF(HLOOKUP(CONCATENATE("Balance",CT$3-1),'Withdrawal Working'!$A$2:$CD$78,MATCH('Yoy WAR OG'!$J37,'Withdrawal Working'!$A$2:$A$78,0),FALSE)&gt;0,MIN(HLOOKUP(CONCATENATE("Balance",CT$3-1),'Withdrawal Working'!$A$2:$CD$78,MATCH('Yoy WAR OG'!$J37,'Withdrawal Working'!$A$2:$A$78,0),0),CP37),0)),IF($K37=VLOOKUP(CP$2,$B:$H,7,0),CP37,)),0)</f>
        <v>0</v>
      </c>
      <c r="CS37" s="58">
        <f t="shared" ca="1" si="63"/>
        <v>13133369.922838699</v>
      </c>
      <c r="CV37" s="450">
        <f t="shared" ca="1" si="40"/>
        <v>0</v>
      </c>
      <c r="CW37" s="58"/>
      <c r="CX37" s="58">
        <f>IFERROR(IF($K37&lt;VLOOKUP(CV$2,$B:$H,7,0),IF(CZ$3=1,MIN($M37,CV37),IF(HLOOKUP(CONCATENATE("Balance",CZ$3-1),'Withdrawal Working'!$A$2:$CD$78,MATCH('Yoy WAR OG'!$J37,'Withdrawal Working'!$A$2:$A$78,0),FALSE)&gt;0,MIN(HLOOKUP(CONCATENATE("Balance",CZ$3-1),'Withdrawal Working'!$A$2:$CD$78,MATCH('Yoy WAR OG'!$J37,'Withdrawal Working'!$A$2:$A$78,0),0),CV37),0)),IF($K37=VLOOKUP(CV$2,$B:$H,7,0),CV37,)),0)</f>
        <v>0</v>
      </c>
      <c r="CY37" s="58">
        <f t="shared" ca="1" si="64"/>
        <v>0</v>
      </c>
      <c r="DB37" s="450">
        <f t="shared" ca="1" si="41"/>
        <v>0</v>
      </c>
      <c r="DC37" s="58">
        <f ca="1">(VLOOKUP(DB$2,$B$1:$F$32,5,0)*$L37)+(VLOOKUP($K37,'Withdrawal Working'!$AD:$AE,2,0)*(IFERROR(VLOOKUP(DB$2,$B$35:$C$42,2,0),0)))</f>
        <v>0</v>
      </c>
      <c r="DD37" s="58">
        <f>IFERROR(IF($K37&lt;VLOOKUP(DB$2,$B:$H,7,0),IF(DF$3=1,MIN($M37,DB37),IF(HLOOKUP(CONCATENATE("Balance",DF$3-1),'Withdrawal Working'!$A$2:$CD$78,MATCH('Yoy WAR OG'!$J37,'Withdrawal Working'!$A$2:$A$78,0),FALSE)&gt;0,MIN(HLOOKUP(CONCATENATE("Balance",DF$3-1),'Withdrawal Working'!$A$2:$CD$78,MATCH('Yoy WAR OG'!$J37,'Withdrawal Working'!$A$2:$A$78,0),0),DB37),0)),IF($K37=VLOOKUP(DB$2,$B:$H,7,0),DB37,)),0)</f>
        <v>0</v>
      </c>
      <c r="DE37" s="58">
        <f t="shared" ca="1" si="65"/>
        <v>0</v>
      </c>
      <c r="DH37" s="450">
        <f t="shared" ca="1" si="42"/>
        <v>0</v>
      </c>
      <c r="DI37" s="58">
        <f>IF(OR(J37&gt;'NWGC - SCENARIOS'!$D$7,J37='NWGC - SCENARIOS'!$D$7),0,DI36*(1+'NWGC - SCENARIOS'!$L$5))</f>
        <v>0</v>
      </c>
      <c r="DJ37" s="58">
        <f>IFERROR(IF($K37&lt;VLOOKUP(DH$2,$B:$H,7,0),IF(DL$3=1,MIN($M37,DH37),IF(HLOOKUP(CONCATENATE("Balance",DL$3-1),'Withdrawal Working'!$A$2:$CD$78,MATCH('Yoy WAR OG'!$J37,'Withdrawal Working'!$A$2:$A$78,0),FALSE)&gt;0,MIN(HLOOKUP(CONCATENATE("Balance",DL$3-1),'Withdrawal Working'!$A$2:$CD$78,MATCH('Yoy WAR OG'!$J37,'Withdrawal Working'!$A$2:$A$78,0),0),DH37),0)),IF($K37=VLOOKUP(DH$2,$B:$H,7,0),DH37,)),0)</f>
        <v>0</v>
      </c>
      <c r="DK37" s="58">
        <f t="shared" ca="1" si="66"/>
        <v>0</v>
      </c>
      <c r="DN37" s="450">
        <f t="shared" ca="1" si="43"/>
        <v>0</v>
      </c>
      <c r="DO37" s="58">
        <f ca="1">(VLOOKUP(DN$2,$B$1:$F$32,5,0)*$L37)+(VLOOKUP($K37,'Withdrawal Working'!$AD:$AE,2,0)*(IFERROR(VLOOKUP(DN$2,$B$35:$C$42,2,0),0)))</f>
        <v>0</v>
      </c>
      <c r="DP37" s="58">
        <f>IFERROR(IF($K37&lt;VLOOKUP(DN$2,$B:$H,7,0),IF(DR$3=1,MIN($M37,DN37),IF(HLOOKUP(CONCATENATE("Balance",DR$3-1),'Withdrawal Working'!$A$2:$CD$78,MATCH('Yoy WAR OG'!$J37,'Withdrawal Working'!$A$2:$A$78,0),FALSE)&gt;0,MIN(HLOOKUP(CONCATENATE("Balance",DR$3-1),'Withdrawal Working'!$A$2:$CD$78,MATCH('Yoy WAR OG'!$J37,'Withdrawal Working'!$A$2:$A$78,0),0),DN37),0)),IF($K37=VLOOKUP(DN$2,$B:$H,7,0),DN37,)),0)</f>
        <v>0</v>
      </c>
      <c r="DQ37" s="58">
        <f t="shared" ca="1" si="67"/>
        <v>0</v>
      </c>
      <c r="DT37" s="450">
        <f t="shared" ca="1" si="44"/>
        <v>0</v>
      </c>
      <c r="DU37" s="58">
        <f ca="1">(VLOOKUP(DT$2,$B$1:$F$32,5,0)*$L37)+(VLOOKUP($K37,'Withdrawal Working'!$AD:$AE,2,0)*(IFERROR(VLOOKUP(DT$2,$B$35:$C$42,2,0),0)))</f>
        <v>0</v>
      </c>
      <c r="DV37" s="58">
        <f>IFERROR(IF($K37&lt;VLOOKUP(DT$2,$B:$H,7,0),IF(DX$3=1,MIN($M37,DT37),IF(HLOOKUP(CONCATENATE("Balance",DX$3-1),'Withdrawal Working'!$A$2:$CD$78,MATCH('Yoy WAR OG'!$J37,'Withdrawal Working'!$A$2:$A$78,0),FALSE)&gt;0,MIN(HLOOKUP(CONCATENATE("Balance",DX$3-1),'Withdrawal Working'!$A$2:$CD$78,MATCH('Yoy WAR OG'!$J37,'Withdrawal Working'!$A$2:$A$78,0),0),DT37),0)),IF($K37=VLOOKUP(DT$2,$B:$H,7,0),DT37,)),0)</f>
        <v>0</v>
      </c>
      <c r="DW37" s="58">
        <f t="shared" ca="1" si="68"/>
        <v>0</v>
      </c>
      <c r="DZ37" s="450">
        <f t="shared" ca="1" si="45"/>
        <v>0</v>
      </c>
      <c r="EA37" s="58">
        <f ca="1">(VLOOKUP(DZ$2,$B$1:$F$32,5,0)*$L37)+(VLOOKUP($K37,'Withdrawal Working'!$AD:$AE,2,0)*(IFERROR(VLOOKUP(DZ$2,$B$35:$C$42,2,0),0)))</f>
        <v>0</v>
      </c>
      <c r="EB37" s="58">
        <f>IFERROR(IF($K37&lt;VLOOKUP(DZ$2,$B:$H,7,0),IF(ED$3=1,MIN($M37,DZ37),IF(HLOOKUP(CONCATENATE("Balance",ED$3-1),'Withdrawal Working'!$A$2:$CD$78,MATCH('Yoy WAR OG'!$J37,'Withdrawal Working'!$A$2:$A$78,0),FALSE)&gt;0,MIN(HLOOKUP(CONCATENATE("Balance",ED$3-1),'Withdrawal Working'!$A$2:$CD$78,MATCH('Yoy WAR OG'!$J37,'Withdrawal Working'!$A$2:$A$78,0),0),DZ37),0)),IF($K37=VLOOKUP(DZ$2,$B:$H,7,0),DZ37,)),0)</f>
        <v>0</v>
      </c>
      <c r="EC37" s="58">
        <f t="shared" ca="1" si="69"/>
        <v>0</v>
      </c>
      <c r="EF37" s="450">
        <f t="shared" ca="1" si="46"/>
        <v>0</v>
      </c>
      <c r="EG37" s="58">
        <f ca="1">(VLOOKUP(EF$2,$B$1:$F$32,5,0)*$L37)+(VLOOKUP($K37,'Withdrawal Working'!$AD:$AE,2,0)*(IFERROR(VLOOKUP(EF$2,$B$35:$C$42,2,0),0)))</f>
        <v>0</v>
      </c>
      <c r="EH37" s="58">
        <f>IFERROR(IF($K37&lt;VLOOKUP(EF$2,$B:$H,7,0),IF(EJ$3=1,MIN($M37,EF37),IF(HLOOKUP(CONCATENATE("Balance",EJ$3-1),'Withdrawal Working'!$A$2:$CD$78,MATCH('Yoy WAR OG'!$J37,'Withdrawal Working'!$A$2:$A$78,0),FALSE)&gt;0,MIN(HLOOKUP(CONCATENATE("Balance",EJ$3-1),'Withdrawal Working'!$A$2:$CD$78,MATCH('Yoy WAR OG'!$J37,'Withdrawal Working'!$A$2:$A$78,0),0),EF37),0)),IF($K37=VLOOKUP(EF$2,$B:$H,7,0),EF37,)),0)</f>
        <v>0</v>
      </c>
      <c r="EI37" s="58">
        <f t="shared" ca="1" si="70"/>
        <v>0</v>
      </c>
      <c r="EL37" s="450">
        <f t="shared" ca="1" si="47"/>
        <v>0</v>
      </c>
      <c r="EM37" s="58">
        <f>IF(OR($J37&gt;'NWGC - SCENARIOS'!$D$7,$J37='NWGC - SCENARIOS'!$D$7),0,EM36)</f>
        <v>0</v>
      </c>
      <c r="EN37" s="58">
        <f>IFERROR(IF($K37&lt;VLOOKUP(EL$2,$B:$H,7,0),IF(EP$3=1,MIN($M37,EL37),IF(HLOOKUP(CONCATENATE("Balance",EP$3-1),'Withdrawal Working'!$A$2:$CD$78,MATCH('Yoy WAR OG'!$J37,'Withdrawal Working'!$A$2:$A$78,0),FALSE)&gt;0,MIN(HLOOKUP(CONCATENATE("Balance",EP$3-1),'Withdrawal Working'!$A$2:$CD$78,MATCH('Yoy WAR OG'!$J37,'Withdrawal Working'!$A$2:$A$78,0),0),EL37),0)),IF($K37=VLOOKUP(EL$2,$B:$H,7,0),EL37,)),0)</f>
        <v>0</v>
      </c>
      <c r="EO37" s="58">
        <f t="shared" ca="1" si="71"/>
        <v>0</v>
      </c>
      <c r="ER37" s="450">
        <f t="shared" ca="1" si="48"/>
        <v>0</v>
      </c>
      <c r="ES37" s="58">
        <f>IF(OR(J37&gt;'NWGC - SCENARIOS'!$D$7,J37='NWGC - SCENARIOS'!$D$7),0,ES36*(1+'NWGC - SCENARIOS'!$L$5))</f>
        <v>0</v>
      </c>
      <c r="ET37" s="58">
        <f>IFERROR(IF($K37&lt;VLOOKUP(ER$2,$B:$H,7,0),IF(EV$3=1,MIN($M37,ER37),IF(HLOOKUP(CONCATENATE("Balance",EV$3-1),'Withdrawal Working'!$A$2:$CD$78,MATCH('Yoy WAR OG'!$J37,'Withdrawal Working'!$A$2:$A$78,0),FALSE)&gt;0,MIN(HLOOKUP(CONCATENATE("Balance",EV$3-1),'Withdrawal Working'!$A$2:$CD$78,MATCH('Yoy WAR OG'!$J37,'Withdrawal Working'!$A$2:$A$78,0),0),ER37),0)),IF($K37=VLOOKUP(ER$2,$B:$H,7,0),ER37,)),0)</f>
        <v>0</v>
      </c>
      <c r="EU37" s="58">
        <f t="shared" ca="1" si="72"/>
        <v>0</v>
      </c>
      <c r="EX37" s="450">
        <f t="shared" ca="1" si="49"/>
        <v>0</v>
      </c>
      <c r="EY37" s="58">
        <f>IF(OR(J37&gt;'NWGC - SCENARIOS'!$D$7,J37='NWGC - SCENARIOS'!$D$7),0,EY36)</f>
        <v>0</v>
      </c>
      <c r="EZ37" s="58">
        <f>IFERROR(IF($K37&lt;VLOOKUP(EX$2,$B:$H,7,0),IF(FB$3=1,MIN($M37,EX37),IF(HLOOKUP(CONCATENATE("Balance",FB$3-1),'Withdrawal Working'!$A$2:$CD$78,MATCH('Yoy WAR OG'!$J37,'Withdrawal Working'!$A$2:$A$78,0),FALSE)&gt;0,MIN(HLOOKUP(CONCATENATE("Balance",FB$3-1),'Withdrawal Working'!$A$2:$CD$78,MATCH('Yoy WAR OG'!$J37,'Withdrawal Working'!$A$2:$A$78,0),0),EX37),0)),IF($K37=VLOOKUP(EX$2,$B:$H,7,0),EX37,)),0)</f>
        <v>0</v>
      </c>
      <c r="FA37" s="58">
        <f t="shared" ca="1" si="73"/>
        <v>0</v>
      </c>
    </row>
    <row r="38" spans="2:157" x14ac:dyDescent="0.3">
      <c r="J38">
        <f>IFERROR('NWGC - SCENARIOS'!B45,0)</f>
        <v>83</v>
      </c>
      <c r="K38">
        <f>IFERROR('NWGC - SCENARIOS'!C45,0)</f>
        <v>2059</v>
      </c>
      <c r="L38" s="449">
        <f ca="1">IF(('NWGC - SCENARIOS'!G45-working!G36)&gt;'NWGC - SCENARIOS'!H45,'NWGC - SCENARIOS'!G45-'NWGC - SCENARIOS'!H45-working!G36,0)</f>
        <v>0</v>
      </c>
      <c r="M38" s="449">
        <f ca="1">IF(('NWGC - SCENARIOS'!G45-working!G36)&gt;'NWGC - SCENARIOS'!H45,0,'NWGC - SCENARIOS'!H45-'NWGC - SCENARIOS'!G45+working!G36)</f>
        <v>30188020.443135325</v>
      </c>
      <c r="N38" s="58">
        <f t="shared" ca="1" si="50"/>
        <v>825812480.05793178</v>
      </c>
      <c r="O38" s="58">
        <f t="shared" ca="1" si="51"/>
        <v>107733248.17466375</v>
      </c>
      <c r="P38" s="58">
        <f t="shared" ca="1" si="74"/>
        <v>0</v>
      </c>
      <c r="Q38" s="58">
        <f ca="1">(VLOOKUP(P$2,$B$1:$F$32,5,0)*$L38)+(VLOOKUP($K38,'Withdrawal Working'!$AD:$AE,2,0)*(IFERROR(VLOOKUP(P$2,$B$35:$C$42,2,0),0)))</f>
        <v>0</v>
      </c>
      <c r="R38" s="58">
        <f>IFERROR(IF($K38&lt;VLOOKUP(P$2,$B:$H,7,0),IF(T$3=1,MIN($M38,P38),IF(HLOOKUP(CONCATENATE("Balance",T$3-1),'Withdrawal Working'!$A$2:$CD$78,MATCH('Yoy WAR OG'!$J38,'Withdrawal Working'!$A$2:$A$78,0),FALSE)&gt;0,MIN(HLOOKUP(CONCATENATE("Balance",T$3-1),'Withdrawal Working'!$A$2:$CD$78,MATCH('Yoy WAR OG'!$J38,'Withdrawal Working'!$A$2:$A$78,0),0),P38),0)),IF($K38=VLOOKUP(P$2,$B:$H,7,0),P38,)),0)</f>
        <v>0</v>
      </c>
      <c r="S38" s="58">
        <f t="shared" ref="S38:S69" ca="1" si="75">((P38-R38)*(1+(IFERROR(VLOOKUP(P$2,B:D,3,0),0))))+Q38</f>
        <v>0</v>
      </c>
      <c r="T38" s="58"/>
      <c r="V38" s="58">
        <f t="shared" ca="1" si="27"/>
        <v>0</v>
      </c>
      <c r="W38" s="58">
        <f ca="1">(VLOOKUP(V$2,$B$1:$F$32,5,0)*$L38)+(VLOOKUP($K38,'Withdrawal Working'!$AD:$AE,2,0)*(IFERROR(VLOOKUP(V$2,$B$35:$C$42,2,0),0)))</f>
        <v>0</v>
      </c>
      <c r="X38" s="58">
        <f>IFERROR(IF($K38&lt;VLOOKUP(V$2,$B:$H,7,0),IF(Z$3=1,MIN($M38,V38),IF(HLOOKUP(CONCATENATE("Balance",Z$3-1),'Withdrawal Working'!$A$2:$CD$78,MATCH('Yoy WAR OG'!$J38,'Withdrawal Working'!$A$2:$A$78,0),FALSE)&gt;0,MIN(HLOOKUP(CONCATENATE("Balance",Z$3-1),'Withdrawal Working'!$A$2:$CD$78,MATCH('Yoy WAR OG'!$J38,'Withdrawal Working'!$A$2:$A$78,0),0),V38),0)),IF($K38=VLOOKUP(V$2,$B:$H,7,0),V38,)),0)</f>
        <v>0</v>
      </c>
      <c r="Y38" s="58">
        <f t="shared" ca="1" si="52"/>
        <v>0</v>
      </c>
      <c r="AB38" s="58">
        <f t="shared" ca="1" si="28"/>
        <v>0</v>
      </c>
      <c r="AC38" s="58">
        <f ca="1">(VLOOKUP(AB$2,$B$1:$F$32,5,0)*$L38)+(VLOOKUP($K38,'Withdrawal Working'!$AD:$AE,2,0)*(IFERROR(VLOOKUP(AB$2,$B$35:$C$42,2,0),0)))</f>
        <v>0</v>
      </c>
      <c r="AD38" s="58">
        <f>IFERROR(IF($K38&lt;VLOOKUP(AB$2,$B:$H,7,0),IF(AF$3=1,MIN($M38,AB38),IF(HLOOKUP(CONCATENATE("Balance",AF$3-1),'Withdrawal Working'!$A$2:$CD$78,MATCH('Yoy WAR OG'!$J38,'Withdrawal Working'!$A$2:$A$78,0),FALSE)&gt;0,MIN(HLOOKUP(CONCATENATE("Balance",AF$3-1),'Withdrawal Working'!$A$2:$CD$78,MATCH('Yoy WAR OG'!$J38,'Withdrawal Working'!$A$2:$A$78,0),0),AB38),0)),IF($K38=VLOOKUP(AB$2,$B:$H,7,0),AB38,)),0)</f>
        <v>0</v>
      </c>
      <c r="AE38" s="58">
        <f t="shared" ca="1" si="53"/>
        <v>0</v>
      </c>
      <c r="AH38" s="58">
        <f t="shared" ca="1" si="29"/>
        <v>252162231.01531363</v>
      </c>
      <c r="AI38" s="58">
        <f ca="1">(VLOOKUP(AH$2,$B$1:$F$32,5,0)*$L38)+IF(J38&gt;'NWGC - SCENARIOS'!$D$7,0,(VLOOKUP($K38,'Withdrawal Working'!$AD:$AE,2,0)*(IFERROR(VLOOKUP(AH$2,$B$35:$C$42,2,0),0))))</f>
        <v>0</v>
      </c>
      <c r="AJ38" s="58">
        <f ca="1">IFERROR(IF($J38&gt;'NWGC - SCENARIOS'!$D$7,MIN('Yoy WAR OG'!AH38,VLOOKUP('Yoy WAR OG'!$J38,'Withdrawal Working'!BC:BD,2,0)),IF(AL$3=1,$M38,IF(HLOOKUP(CONCATENATE("Balance",AL$3-1),'Withdrawal Working'!$A$2:$CD$78,MATCH('Yoy WAR OG'!$J38,'Withdrawal Working'!$A$2:$A$78,0),FALSE)&gt;0,MIN(HLOOKUP(CONCATENATE("Balance",AL$3-1),'Withdrawal Working'!$A$2:$CD$78,MATCH('Yoy WAR OG'!$J38,'Withdrawal Working'!$A$2:$A$78,0),0),AH38),0))),0)</f>
        <v>35225284.644873053</v>
      </c>
      <c r="AK38" s="58">
        <f t="shared" ca="1" si="54"/>
        <v>240800010.47118905</v>
      </c>
      <c r="AN38" s="450">
        <f t="shared" ca="1" si="30"/>
        <v>549476924.98000896</v>
      </c>
      <c r="AO38" s="58">
        <f ca="1">IF(J38&gt;'NWGC - SCENARIOS'!$D$7,(IF(AJ38=0,0,'Yoy WAR OG'!AJ38)+(VLOOKUP(AN$2,$B$1:$F$32,5,0)*$L38)),(VLOOKUP(AN$2,$B$1:$F$32,5,0)*$L38)+(VLOOKUP($K38,'Withdrawal Working'!$AD:$AE,2,0)*(IFERROR(VLOOKUP(AN$2,$B$35:$C$42,2,0),0))))</f>
        <v>35225284.644873053</v>
      </c>
      <c r="AP38" s="470">
        <f ca="1">IFERROR(IF($K38&lt;&gt;VLOOKUP(AN$2,$B:$H,7,0),IF(AR$3=1,MIN($M38,AN38),IF(HLOOKUP(CONCATENATE("Balance",AR$3-1),'Withdrawal Working'!$A$2:$CD$78,MATCH('Yoy WAR OG'!$J38,'Withdrawal Working'!$A$2:$A$78,0),FALSE)&gt;0,MIN(HLOOKUP(CONCATENATE("Balance",AR$3-1),'Withdrawal Working'!$A$2:$CD$78,MATCH('Yoy WAR OG'!$J38,'Withdrawal Working'!$A$2:$A$78,0),0),AN38),0)),IF($K38=VLOOKUP(AN$2,$B:$H,7,0),AN38,)),0)</f>
        <v>30188020.443135325</v>
      </c>
      <c r="AQ38" s="58">
        <f ca="1">IF(AO38&lt;0,0,IF(J38&gt;'NWGC - SCENARIOS'!$D$7,((AN38-AP38+AO38)*(1+(IFERROR(VLOOKUP(AN$2,$B:$D,3,0),0)))),((AN38-AP38)*(1+(IFERROR(VLOOKUP(AN$2,$B:$D,3,0),0))))+AO38))</f>
        <v>585012469.58674276</v>
      </c>
      <c r="AT38" s="450">
        <f t="shared" ca="1" si="31"/>
        <v>0</v>
      </c>
      <c r="AU38" s="58">
        <f ca="1">(VLOOKUP(AT$2,$B$1:$F$32,5,0)*$L38)+(VLOOKUP($K38,'Withdrawal Working'!$AD:$AE,2,0)*(IFERROR(VLOOKUP(AT$2,$B$35:$C$42,2,0),0)))</f>
        <v>0</v>
      </c>
      <c r="AV38" s="58">
        <f>IFERROR(IF($K38&lt;VLOOKUP(AT$2,$B:$H,7,0),IF(AX$3=1,MIN($M38,AT38),IF(HLOOKUP(CONCATENATE("Balance",AX$3-1),'Withdrawal Working'!$A$2:$CD$78,MATCH('Yoy WAR OG'!$J38,'Withdrawal Working'!$A$2:$A$78,0),FALSE)&gt;0,MIN(HLOOKUP(CONCATENATE("Balance",AX$3-1),'Withdrawal Working'!$A$2:$CD$78,MATCH('Yoy WAR OG'!$J38,'Withdrawal Working'!$A$2:$A$78,0),0),AT38),0)),IF($K38=VLOOKUP(AT$2,$B:$H,7,0),AT38,)),0)</f>
        <v>0</v>
      </c>
      <c r="AW38" s="58">
        <f t="shared" ca="1" si="55"/>
        <v>0</v>
      </c>
      <c r="AZ38" s="450">
        <f t="shared" ca="1" si="32"/>
        <v>39912454.148095131</v>
      </c>
      <c r="BA38" s="58">
        <f ca="1">(VLOOKUP(AZ$2,$B$1:$F$32,5,0)*$L38)+(VLOOKUP($K38,'Withdrawal Working'!$AD:$AE,2,0)*(IFERROR(VLOOKUP(AZ$2,$B$35:$C$42,2,0),0)))</f>
        <v>0</v>
      </c>
      <c r="BB38" s="58">
        <f>IFERROR(IF($K38&lt;VLOOKUP(AZ$2,$B:$H,7,0),IF(BD$3=1,MIN($M38,AZ38),IF(HLOOKUP(CONCATENATE("Balance",BD$3-1),'Withdrawal Working'!$A$2:$CD$78,MATCH('Yoy WAR OG'!$J38,'Withdrawal Working'!$A$2:$A$78,0),FALSE)&gt;0,MIN(HLOOKUP(CONCATENATE("Balance",BD$3-1),'Withdrawal Working'!$A$2:$CD$78,MATCH('Yoy WAR OG'!$J38,'Withdrawal Working'!$A$2:$A$78,0),0),AZ38),0)),IF($K38=VLOOKUP(AZ$2,$B:$H,7,0),AZ38,)),0)</f>
        <v>0</v>
      </c>
      <c r="BC38" s="58">
        <f t="shared" ca="1" si="56"/>
        <v>42706325.938461795</v>
      </c>
      <c r="BF38" s="450">
        <f t="shared" ca="1" si="33"/>
        <v>0</v>
      </c>
      <c r="BG38" s="58">
        <f ca="1">(VLOOKUP(BF$2,$B$1:$F$32,5,0)*$L38)+(VLOOKUP($K38,'Withdrawal Working'!$AD:$AE,2,0)*(IFERROR(VLOOKUP(BF$2,$B$35:$C$42,2,0),0)))</f>
        <v>0</v>
      </c>
      <c r="BH38" s="58">
        <f>IFERROR(IF($K38&lt;VLOOKUP(BF$2,$B:$H,7,0),IF(BJ$3=1,MIN($M38,BF38),IF(HLOOKUP(CONCATENATE("Balance",BJ$3-1),'Withdrawal Working'!$A$2:$CD$78,MATCH('Yoy WAR OG'!$J38,'Withdrawal Working'!$A$2:$A$78,0),FALSE)&gt;0,MIN(HLOOKUP(CONCATENATE("Balance",BJ$3-1),'Withdrawal Working'!$A$2:$CD$78,MATCH('Yoy WAR OG'!$J38,'Withdrawal Working'!$A$2:$A$78,0),0),BF38),0)),IF($K38=VLOOKUP(BF$2,$B:$H,7,0),BF38,)),0)</f>
        <v>0</v>
      </c>
      <c r="BI38" s="58">
        <f t="shared" ca="1" si="57"/>
        <v>0</v>
      </c>
      <c r="BL38" s="450">
        <f t="shared" ca="1" si="34"/>
        <v>0</v>
      </c>
      <c r="BM38" s="58">
        <f ca="1">(VLOOKUP(BL$2,$B$1:$F$32,5,0)*$L38)+(VLOOKUP($K38,'Withdrawal Working'!$AD:$AE,2,0)*(IFERROR(VLOOKUP(BL$2,$B$35:$C$42,2,0),0)))</f>
        <v>0</v>
      </c>
      <c r="BN38" s="58">
        <f>IFERROR(IF($K38&lt;VLOOKUP(BL$2,$B:$H,7,0),IF(BP$3=1,MIN($M38,BL38),IF(HLOOKUP(CONCATENATE("Balance",BP$3-1),'Withdrawal Working'!$A$2:$CD$78,MATCH('Yoy WAR OG'!$J38,'Withdrawal Working'!$A$2:$A$78,0),FALSE)&gt;0,MIN(HLOOKUP(CONCATENATE("Balance",BP$3-1),'Withdrawal Working'!$A$2:$CD$78,MATCH('Yoy WAR OG'!$J38,'Withdrawal Working'!$A$2:$A$78,0),0),BL38),0)),IF($K38=VLOOKUP(BL$2,$B:$H,7,0),BL38,)),0)</f>
        <v>0</v>
      </c>
      <c r="BO38" s="58">
        <f t="shared" ca="1" si="58"/>
        <v>0</v>
      </c>
      <c r="BR38" s="450">
        <f t="shared" ca="1" si="35"/>
        <v>0</v>
      </c>
      <c r="BS38" s="58">
        <f ca="1">(VLOOKUP(BR$2,$B$1:$F$32,5,0)*$L38)+(VLOOKUP($K38,'Withdrawal Working'!$AD:$AE,2,0)*(IFERROR(VLOOKUP(BR$2,$B$35:$C$42,2,0),0)))</f>
        <v>0</v>
      </c>
      <c r="BT38" s="58">
        <f>IFERROR(IF($K38&lt;VLOOKUP(BR$2,$B:$H,7,0),IF(BV$3=1,MIN($M38,BR38),IF(HLOOKUP(CONCATENATE("Balance",BV$3-1),'Withdrawal Working'!$A$2:$CD$78,MATCH('Yoy WAR OG'!$J38,'Withdrawal Working'!$A$2:$A$78,0),FALSE)&gt;0,MIN(HLOOKUP(CONCATENATE("Balance",BV$3-1),'Withdrawal Working'!$A$2:$CD$78,MATCH('Yoy WAR OG'!$J38,'Withdrawal Working'!$A$2:$A$78,0),0),BR38),0)),IF($K38=VLOOKUP(BR$2,$B:$H,7,0),BR38,)),0)</f>
        <v>0</v>
      </c>
      <c r="BU38" s="58">
        <f t="shared" ca="1" si="59"/>
        <v>0</v>
      </c>
      <c r="BX38" s="450">
        <f t="shared" ca="1" si="36"/>
        <v>0</v>
      </c>
      <c r="BY38" s="58">
        <f ca="1">(VLOOKUP(BX$2,$B$1:$F$32,5,0)*$L38)+(VLOOKUP($K38,'Withdrawal Working'!$AD:$AE,2,0)*(IFERROR(VLOOKUP(BX$2,$B$35:$C$42,2,0),0)))</f>
        <v>0</v>
      </c>
      <c r="BZ38" s="58">
        <f>IFERROR(IF($K38&lt;VLOOKUP(BX$2,$B:$H,7,0),IF(CB$3=1,MIN($M38,BX38),IF(HLOOKUP(CONCATENATE("Balance",CB$3-1),'Withdrawal Working'!$A$2:$CD$78,MATCH('Yoy WAR OG'!$J38,'Withdrawal Working'!$A$2:$A$78,0),FALSE)&gt;0,MIN(HLOOKUP(CONCATENATE("Balance",CB$3-1),'Withdrawal Working'!$A$2:$CD$78,MATCH('Yoy WAR OG'!$J38,'Withdrawal Working'!$A$2:$A$78,0),0),BX38),0)),IF($K38=VLOOKUP(BX$2,$B:$H,7,0),BX38,)),0)</f>
        <v>0</v>
      </c>
      <c r="CA38" s="58">
        <f t="shared" ca="1" si="60"/>
        <v>0</v>
      </c>
      <c r="CD38" s="450">
        <f t="shared" ca="1" si="37"/>
        <v>49744547.395360507</v>
      </c>
      <c r="CE38" s="58">
        <f ca="1">(VLOOKUP(CD$2,$B$1:$F$32,5,0)*$L38)+(VLOOKUP($K38,'Withdrawal Working'!$AD:$AE,2,0)*(IFERROR(VLOOKUP(CD$2,$B$35:$C$42,2,0),0)))+SUMIFS('Key Life Events'!$I$3:$I$28,'Key Life Events'!$H$3:$H$28,"House",'Key Life Events'!$E$3:$E$28,'Yoy WAR OG'!K38)</f>
        <v>0</v>
      </c>
      <c r="CF38" s="58">
        <f>IFERROR(IF($K38&lt;VLOOKUP(CD$2,$B:$H,7,0),IF(CH$3=1,MIN($M38,CD38),IF(HLOOKUP(CONCATENATE("Balance",CH$3-1),'Withdrawal Working'!$A$2:$CD$78,MATCH('Yoy WAR OG'!$J38,'Withdrawal Working'!$A$2:$A$78,0),FALSE)&gt;0,MIN(HLOOKUP(CONCATENATE("Balance",CH$3-1),'Withdrawal Working'!$A$2:$CD$78,MATCH('Yoy WAR OG'!$J38,'Withdrawal Working'!$A$2:$A$78,0),0),CD38),0)),IF($K38=VLOOKUP(CD$2,$B:$H,7,0),CD38,)),0)</f>
        <v>0</v>
      </c>
      <c r="CG38" s="58">
        <f t="shared" ca="1" si="61"/>
        <v>51236883.817221321</v>
      </c>
      <c r="CJ38" s="450">
        <f t="shared" ca="1" si="38"/>
        <v>0</v>
      </c>
      <c r="CK38" s="58">
        <f ca="1">(VLOOKUP(CJ$2,$B$1:$F$32,5,0)*$L38)+(VLOOKUP($K38,'Withdrawal Working'!$AD:$AE,2,0)*(IFERROR(VLOOKUP(CJ$2,$B$35:$C$42,2,0),0)))+SUMIFS('Key Life Events'!$I$3:$I$28,'Key Life Events'!$H$3:$H$28,"House2",'Key Life Events'!$E$3:$E$28,'Yoy WAR OG'!K38)</f>
        <v>0</v>
      </c>
      <c r="CL38" s="58">
        <f ca="1">IF(IFERROR(IF($K38&lt;&gt;VLOOKUP(CJ$2,$B:$H,7,0),IF(CN$3=1,MIN($M38,CJ38),IF(HLOOKUP(CONCATENATE("Balance",CN$3-1),'Withdrawal Working'!$A$2:$CD$78,MATCH('Yoy WAR OG'!$J38,'Withdrawal Working'!$A$2:$A$78,0),FALSE)&gt;0,MIN(HLOOKUP(CONCATENATE("Balance",CN$3-1),'Withdrawal Working'!$A$2:$CD$78,MATCH('Yoy WAR OG'!$J38,'Withdrawal Working'!$A$2:$A$78,0),0),CJ38),0)),IF($K38=VLOOKUP(CJ$2,$B:$H,7,0),CJ38,)),0)&gt;0,CJ38,0)</f>
        <v>0</v>
      </c>
      <c r="CM38" s="58">
        <f t="shared" ca="1" si="62"/>
        <v>0</v>
      </c>
      <c r="CP38" s="450">
        <f t="shared" ca="1" si="39"/>
        <v>13133369.922838699</v>
      </c>
      <c r="CQ38" s="58">
        <f ca="1">(VLOOKUP(CP$2,$B$1:$F$32,5,0)*$L38)+(VLOOKUP($K38,'Withdrawal Working'!$AD:$AE,2,0)*(IFERROR(VLOOKUP(CP$2,$B$35:$C$42,2,0),0)))+SUMIFS('Key Life Events'!$I$3:$I$28,'Key Life Events'!$H$3:$H$28,"Land",'Key Life Events'!$E$3:$E$28,'Yoy WAR OG'!K38)</f>
        <v>0</v>
      </c>
      <c r="CR38" s="58">
        <f>IFERROR(IF($K38&lt;VLOOKUP(CP$2,$B:$H,7,0),IF(CT$3=1,MIN($M38,CP38),IF(HLOOKUP(CONCATENATE("Balance",CT$3-1),'Withdrawal Working'!$A$2:$CD$78,MATCH('Yoy WAR OG'!$J38,'Withdrawal Working'!$A$2:$A$78,0),FALSE)&gt;0,MIN(HLOOKUP(CONCATENATE("Balance",CT$3-1),'Withdrawal Working'!$A$2:$CD$78,MATCH('Yoy WAR OG'!$J38,'Withdrawal Working'!$A$2:$A$78,0),0),CP38),0)),IF($K38=VLOOKUP(CP$2,$B:$H,7,0),CP38,)),0)</f>
        <v>0</v>
      </c>
      <c r="CS38" s="58">
        <f t="shared" ca="1" si="63"/>
        <v>13790038.418980634</v>
      </c>
      <c r="CV38" s="450">
        <f t="shared" ca="1" si="40"/>
        <v>0</v>
      </c>
      <c r="CW38" s="58"/>
      <c r="CX38" s="58">
        <f>IFERROR(IF($K38&lt;VLOOKUP(CV$2,$B:$H,7,0),IF(CZ$3=1,MIN($M38,CV38),IF(HLOOKUP(CONCATENATE("Balance",CZ$3-1),'Withdrawal Working'!$A$2:$CD$78,MATCH('Yoy WAR OG'!$J38,'Withdrawal Working'!$A$2:$A$78,0),FALSE)&gt;0,MIN(HLOOKUP(CONCATENATE("Balance",CZ$3-1),'Withdrawal Working'!$A$2:$CD$78,MATCH('Yoy WAR OG'!$J38,'Withdrawal Working'!$A$2:$A$78,0),0),CV38),0)),IF($K38=VLOOKUP(CV$2,$B:$H,7,0),CV38,)),0)</f>
        <v>0</v>
      </c>
      <c r="CY38" s="58">
        <f t="shared" ca="1" si="64"/>
        <v>0</v>
      </c>
      <c r="DB38" s="450">
        <f t="shared" ca="1" si="41"/>
        <v>0</v>
      </c>
      <c r="DC38" s="58">
        <f ca="1">(VLOOKUP(DB$2,$B$1:$F$32,5,0)*$L38)+(VLOOKUP($K38,'Withdrawal Working'!$AD:$AE,2,0)*(IFERROR(VLOOKUP(DB$2,$B$35:$C$42,2,0),0)))</f>
        <v>0</v>
      </c>
      <c r="DD38" s="58">
        <f>IFERROR(IF($K38&lt;VLOOKUP(DB$2,$B:$H,7,0),IF(DF$3=1,MIN($M38,DB38),IF(HLOOKUP(CONCATENATE("Balance",DF$3-1),'Withdrawal Working'!$A$2:$CD$78,MATCH('Yoy WAR OG'!$J38,'Withdrawal Working'!$A$2:$A$78,0),FALSE)&gt;0,MIN(HLOOKUP(CONCATENATE("Balance",DF$3-1),'Withdrawal Working'!$A$2:$CD$78,MATCH('Yoy WAR OG'!$J38,'Withdrawal Working'!$A$2:$A$78,0),0),DB38),0)),IF($K38=VLOOKUP(DB$2,$B:$H,7,0),DB38,)),0)</f>
        <v>0</v>
      </c>
      <c r="DE38" s="58">
        <f t="shared" ca="1" si="65"/>
        <v>0</v>
      </c>
      <c r="DH38" s="450">
        <f t="shared" ca="1" si="42"/>
        <v>0</v>
      </c>
      <c r="DI38" s="58">
        <f>IF(OR(J38&gt;'NWGC - SCENARIOS'!$D$7,J38='NWGC - SCENARIOS'!$D$7),0,DI37*(1+'NWGC - SCENARIOS'!$L$5))</f>
        <v>0</v>
      </c>
      <c r="DJ38" s="58">
        <f>IFERROR(IF($K38&lt;VLOOKUP(DH$2,$B:$H,7,0),IF(DL$3=1,MIN($M38,DH38),IF(HLOOKUP(CONCATENATE("Balance",DL$3-1),'Withdrawal Working'!$A$2:$CD$78,MATCH('Yoy WAR OG'!$J38,'Withdrawal Working'!$A$2:$A$78,0),FALSE)&gt;0,MIN(HLOOKUP(CONCATENATE("Balance",DL$3-1),'Withdrawal Working'!$A$2:$CD$78,MATCH('Yoy WAR OG'!$J38,'Withdrawal Working'!$A$2:$A$78,0),0),DH38),0)),IF($K38=VLOOKUP(DH$2,$B:$H,7,0),DH38,)),0)</f>
        <v>0</v>
      </c>
      <c r="DK38" s="58">
        <f t="shared" ca="1" si="66"/>
        <v>0</v>
      </c>
      <c r="DN38" s="450">
        <f t="shared" ca="1" si="43"/>
        <v>0</v>
      </c>
      <c r="DO38" s="58">
        <f ca="1">(VLOOKUP(DN$2,$B$1:$F$32,5,0)*$L38)+(VLOOKUP($K38,'Withdrawal Working'!$AD:$AE,2,0)*(IFERROR(VLOOKUP(DN$2,$B$35:$C$42,2,0),0)))</f>
        <v>0</v>
      </c>
      <c r="DP38" s="58">
        <f>IFERROR(IF($K38&lt;VLOOKUP(DN$2,$B:$H,7,0),IF(DR$3=1,MIN($M38,DN38),IF(HLOOKUP(CONCATENATE("Balance",DR$3-1),'Withdrawal Working'!$A$2:$CD$78,MATCH('Yoy WAR OG'!$J38,'Withdrawal Working'!$A$2:$A$78,0),FALSE)&gt;0,MIN(HLOOKUP(CONCATENATE("Balance",DR$3-1),'Withdrawal Working'!$A$2:$CD$78,MATCH('Yoy WAR OG'!$J38,'Withdrawal Working'!$A$2:$A$78,0),0),DN38),0)),IF($K38=VLOOKUP(DN$2,$B:$H,7,0),DN38,)),0)</f>
        <v>0</v>
      </c>
      <c r="DQ38" s="58">
        <f t="shared" ca="1" si="67"/>
        <v>0</v>
      </c>
      <c r="DT38" s="450">
        <f t="shared" ca="1" si="44"/>
        <v>0</v>
      </c>
      <c r="DU38" s="58">
        <f ca="1">(VLOOKUP(DT$2,$B$1:$F$32,5,0)*$L38)+(VLOOKUP($K38,'Withdrawal Working'!$AD:$AE,2,0)*(IFERROR(VLOOKUP(DT$2,$B$35:$C$42,2,0),0)))</f>
        <v>0</v>
      </c>
      <c r="DV38" s="58">
        <f>IFERROR(IF($K38&lt;VLOOKUP(DT$2,$B:$H,7,0),IF(DX$3=1,MIN($M38,DT38),IF(HLOOKUP(CONCATENATE("Balance",DX$3-1),'Withdrawal Working'!$A$2:$CD$78,MATCH('Yoy WAR OG'!$J38,'Withdrawal Working'!$A$2:$A$78,0),FALSE)&gt;0,MIN(HLOOKUP(CONCATENATE("Balance",DX$3-1),'Withdrawal Working'!$A$2:$CD$78,MATCH('Yoy WAR OG'!$J38,'Withdrawal Working'!$A$2:$A$78,0),0),DT38),0)),IF($K38=VLOOKUP(DT$2,$B:$H,7,0),DT38,)),0)</f>
        <v>0</v>
      </c>
      <c r="DW38" s="58">
        <f t="shared" ca="1" si="68"/>
        <v>0</v>
      </c>
      <c r="DZ38" s="450">
        <f t="shared" ca="1" si="45"/>
        <v>0</v>
      </c>
      <c r="EA38" s="58">
        <f ca="1">(VLOOKUP(DZ$2,$B$1:$F$32,5,0)*$L38)+(VLOOKUP($K38,'Withdrawal Working'!$AD:$AE,2,0)*(IFERROR(VLOOKUP(DZ$2,$B$35:$C$42,2,0),0)))</f>
        <v>0</v>
      </c>
      <c r="EB38" s="58">
        <f>IFERROR(IF($K38&lt;VLOOKUP(DZ$2,$B:$H,7,0),IF(ED$3=1,MIN($M38,DZ38),IF(HLOOKUP(CONCATENATE("Balance",ED$3-1),'Withdrawal Working'!$A$2:$CD$78,MATCH('Yoy WAR OG'!$J38,'Withdrawal Working'!$A$2:$A$78,0),FALSE)&gt;0,MIN(HLOOKUP(CONCATENATE("Balance",ED$3-1),'Withdrawal Working'!$A$2:$CD$78,MATCH('Yoy WAR OG'!$J38,'Withdrawal Working'!$A$2:$A$78,0),0),DZ38),0)),IF($K38=VLOOKUP(DZ$2,$B:$H,7,0),DZ38,)),0)</f>
        <v>0</v>
      </c>
      <c r="EC38" s="58">
        <f t="shared" ca="1" si="69"/>
        <v>0</v>
      </c>
      <c r="EF38" s="450">
        <f t="shared" ca="1" si="46"/>
        <v>0</v>
      </c>
      <c r="EG38" s="58">
        <f ca="1">(VLOOKUP(EF$2,$B$1:$F$32,5,0)*$L38)+(VLOOKUP($K38,'Withdrawal Working'!$AD:$AE,2,0)*(IFERROR(VLOOKUP(EF$2,$B$35:$C$42,2,0),0)))</f>
        <v>0</v>
      </c>
      <c r="EH38" s="58">
        <f>IFERROR(IF($K38&lt;VLOOKUP(EF$2,$B:$H,7,0),IF(EJ$3=1,MIN($M38,EF38),IF(HLOOKUP(CONCATENATE("Balance",EJ$3-1),'Withdrawal Working'!$A$2:$CD$78,MATCH('Yoy WAR OG'!$J38,'Withdrawal Working'!$A$2:$A$78,0),FALSE)&gt;0,MIN(HLOOKUP(CONCATENATE("Balance",EJ$3-1),'Withdrawal Working'!$A$2:$CD$78,MATCH('Yoy WAR OG'!$J38,'Withdrawal Working'!$A$2:$A$78,0),0),EF38),0)),IF($K38=VLOOKUP(EF$2,$B:$H,7,0),EF38,)),0)</f>
        <v>0</v>
      </c>
      <c r="EI38" s="58">
        <f t="shared" ca="1" si="70"/>
        <v>0</v>
      </c>
      <c r="EL38" s="450">
        <f t="shared" ca="1" si="47"/>
        <v>0</v>
      </c>
      <c r="EM38" s="58">
        <f>IF(OR($J38&gt;'NWGC - SCENARIOS'!$D$7,$J38='NWGC - SCENARIOS'!$D$7),0,EM37)</f>
        <v>0</v>
      </c>
      <c r="EN38" s="58">
        <f>IFERROR(IF($K38&lt;VLOOKUP(EL$2,$B:$H,7,0),IF(EP$3=1,MIN($M38,EL38),IF(HLOOKUP(CONCATENATE("Balance",EP$3-1),'Withdrawal Working'!$A$2:$CD$78,MATCH('Yoy WAR OG'!$J38,'Withdrawal Working'!$A$2:$A$78,0),FALSE)&gt;0,MIN(HLOOKUP(CONCATENATE("Balance",EP$3-1),'Withdrawal Working'!$A$2:$CD$78,MATCH('Yoy WAR OG'!$J38,'Withdrawal Working'!$A$2:$A$78,0),0),EL38),0)),IF($K38=VLOOKUP(EL$2,$B:$H,7,0),EL38,)),0)</f>
        <v>0</v>
      </c>
      <c r="EO38" s="58">
        <f t="shared" ca="1" si="71"/>
        <v>0</v>
      </c>
      <c r="ER38" s="450">
        <f t="shared" ca="1" si="48"/>
        <v>0</v>
      </c>
      <c r="ES38" s="58">
        <f>IF(OR(J38&gt;'NWGC - SCENARIOS'!$D$7,J38='NWGC - SCENARIOS'!$D$7),0,ES37*(1+'NWGC - SCENARIOS'!$L$5))</f>
        <v>0</v>
      </c>
      <c r="ET38" s="58">
        <f>IFERROR(IF($K38&lt;VLOOKUP(ER$2,$B:$H,7,0),IF(EV$3=1,MIN($M38,ER38),IF(HLOOKUP(CONCATENATE("Balance",EV$3-1),'Withdrawal Working'!$A$2:$CD$78,MATCH('Yoy WAR OG'!$J38,'Withdrawal Working'!$A$2:$A$78,0),FALSE)&gt;0,MIN(HLOOKUP(CONCATENATE("Balance",EV$3-1),'Withdrawal Working'!$A$2:$CD$78,MATCH('Yoy WAR OG'!$J38,'Withdrawal Working'!$A$2:$A$78,0),0),ER38),0)),IF($K38=VLOOKUP(ER$2,$B:$H,7,0),ER38,)),0)</f>
        <v>0</v>
      </c>
      <c r="EU38" s="58">
        <f t="shared" ca="1" si="72"/>
        <v>0</v>
      </c>
      <c r="EX38" s="450">
        <f t="shared" ca="1" si="49"/>
        <v>0</v>
      </c>
      <c r="EY38" s="58">
        <f>IF(OR(J38&gt;'NWGC - SCENARIOS'!$D$7,J38='NWGC - SCENARIOS'!$D$7),0,EY37)</f>
        <v>0</v>
      </c>
      <c r="EZ38" s="58">
        <f>IFERROR(IF($K38&lt;VLOOKUP(EX$2,$B:$H,7,0),IF(FB$3=1,MIN($M38,EX38),IF(HLOOKUP(CONCATENATE("Balance",FB$3-1),'Withdrawal Working'!$A$2:$CD$78,MATCH('Yoy WAR OG'!$J38,'Withdrawal Working'!$A$2:$A$78,0),FALSE)&gt;0,MIN(HLOOKUP(CONCATENATE("Balance",FB$3-1),'Withdrawal Working'!$A$2:$CD$78,MATCH('Yoy WAR OG'!$J38,'Withdrawal Working'!$A$2:$A$78,0),0),EX38),0)),IF($K38=VLOOKUP(EX$2,$B:$H,7,0),EX38,)),0)</f>
        <v>0</v>
      </c>
      <c r="FA38" s="58">
        <f t="shared" ca="1" si="73"/>
        <v>0</v>
      </c>
    </row>
    <row r="39" spans="2:157" x14ac:dyDescent="0.3">
      <c r="J39">
        <f>IFERROR('NWGC - SCENARIOS'!B46,0)</f>
        <v>84</v>
      </c>
      <c r="K39">
        <f>IFERROR('NWGC - SCENARIOS'!C46,0)</f>
        <v>2060</v>
      </c>
      <c r="L39" s="449">
        <f ca="1">IF(('NWGC - SCENARIOS'!G46-working!G37)&gt;'NWGC - SCENARIOS'!H46,'NWGC - SCENARIOS'!G46-'NWGC - SCENARIOS'!H46-working!G37,0)</f>
        <v>0</v>
      </c>
      <c r="M39" s="449">
        <f ca="1">IF(('NWGC - SCENARIOS'!G46-working!G37)&gt;'NWGC - SCENARIOS'!H46,0,'NWGC - SCENARIOS'!H46-'NWGC - SCENARIOS'!G46+working!G37)</f>
        <v>32609782.078586154</v>
      </c>
      <c r="N39" s="58">
        <f t="shared" ca="1" si="50"/>
        <v>847980095.43621969</v>
      </c>
      <c r="O39" s="58">
        <f t="shared" ca="1" si="51"/>
        <v>112949299.42582175</v>
      </c>
      <c r="P39" s="58">
        <f t="shared" ca="1" si="74"/>
        <v>0</v>
      </c>
      <c r="Q39" s="58">
        <f ca="1">(VLOOKUP(P$2,$B$1:$F$32,5,0)*$L39)+(VLOOKUP($K39,'Withdrawal Working'!$AD:$AE,2,0)*(IFERROR(VLOOKUP(P$2,$B$35:$C$42,2,0),0)))</f>
        <v>0</v>
      </c>
      <c r="R39" s="58">
        <f>IFERROR(IF($K39&lt;VLOOKUP(P$2,$B:$H,7,0),IF(T$3=1,MIN($M39,P39),IF(HLOOKUP(CONCATENATE("Balance",T$3-1),'Withdrawal Working'!$A$2:$CD$78,MATCH('Yoy WAR OG'!$J39,'Withdrawal Working'!$A$2:$A$78,0),FALSE)&gt;0,MIN(HLOOKUP(CONCATENATE("Balance",T$3-1),'Withdrawal Working'!$A$2:$CD$78,MATCH('Yoy WAR OG'!$J39,'Withdrawal Working'!$A$2:$A$78,0),0),P39),0)),IF($K39=VLOOKUP(P$2,$B:$H,7,0),P39,)),0)</f>
        <v>0</v>
      </c>
      <c r="S39" s="58">
        <f t="shared" ca="1" si="75"/>
        <v>0</v>
      </c>
      <c r="V39" s="58">
        <f t="shared" ca="1" si="27"/>
        <v>0</v>
      </c>
      <c r="W39" s="58">
        <f ca="1">(VLOOKUP(V$2,$B$1:$F$32,5,0)*$L39)+(VLOOKUP($K39,'Withdrawal Working'!$AD:$AE,2,0)*(IFERROR(VLOOKUP(V$2,$B$35:$C$42,2,0),0)))</f>
        <v>0</v>
      </c>
      <c r="X39" s="58">
        <f>IFERROR(IF($K39&lt;VLOOKUP(V$2,$B:$H,7,0),IF(Z$3=1,MIN($M39,V39),IF(HLOOKUP(CONCATENATE("Balance",Z$3-1),'Withdrawal Working'!$A$2:$CD$78,MATCH('Yoy WAR OG'!$J39,'Withdrawal Working'!$A$2:$A$78,0),FALSE)&gt;0,MIN(HLOOKUP(CONCATENATE("Balance",Z$3-1),'Withdrawal Working'!$A$2:$CD$78,MATCH('Yoy WAR OG'!$J39,'Withdrawal Working'!$A$2:$A$78,0),0),V39),0)),IF($K39=VLOOKUP(V$2,$B:$H,7,0),V39,)),0)</f>
        <v>0</v>
      </c>
      <c r="Y39" s="58">
        <f t="shared" ca="1" si="52"/>
        <v>0</v>
      </c>
      <c r="AB39" s="58">
        <f t="shared" ca="1" si="28"/>
        <v>0</v>
      </c>
      <c r="AC39" s="58">
        <f ca="1">(VLOOKUP(AB$2,$B$1:$F$32,5,0)*$L39)+(VLOOKUP($K39,'Withdrawal Working'!$AD:$AE,2,0)*(IFERROR(VLOOKUP(AB$2,$B$35:$C$42,2,0),0)))</f>
        <v>0</v>
      </c>
      <c r="AD39" s="58">
        <f>IFERROR(IF($K39&lt;VLOOKUP(AB$2,$B:$H,7,0),IF(AF$3=1,MIN($M39,AB39),IF(HLOOKUP(CONCATENATE("Balance",AF$3-1),'Withdrawal Working'!$A$2:$CD$78,MATCH('Yoy WAR OG'!$J39,'Withdrawal Working'!$A$2:$A$78,0),FALSE)&gt;0,MIN(HLOOKUP(CONCATENATE("Balance",AF$3-1),'Withdrawal Working'!$A$2:$CD$78,MATCH('Yoy WAR OG'!$J39,'Withdrawal Working'!$A$2:$A$78,0),0),AB39),0)),IF($K39=VLOOKUP(AB$2,$B:$H,7,0),AB39,)),0)</f>
        <v>0</v>
      </c>
      <c r="AE39" s="58">
        <f t="shared" ca="1" si="53"/>
        <v>0</v>
      </c>
      <c r="AF39">
        <f ca="1">IF(AE39=0,100,)</f>
        <v>100</v>
      </c>
      <c r="AH39" s="58">
        <f t="shared" ca="1" si="29"/>
        <v>240800010.47118905</v>
      </c>
      <c r="AI39" s="58">
        <f ca="1">(VLOOKUP(AH$2,$B$1:$F$32,5,0)*$L39)+IF(J39&gt;'NWGC - SCENARIOS'!$D$7,0,(VLOOKUP($K39,'Withdrawal Working'!$AD:$AE,2,0)*(IFERROR(VLOOKUP(AH$2,$B$35:$C$42,2,0),0))))</f>
        <v>0</v>
      </c>
      <c r="AJ39" s="58">
        <f ca="1">IFERROR(IF($J39&gt;'NWGC - SCENARIOS'!$D$7,MIN('Yoy WAR OG'!AH39,VLOOKUP('Yoy WAR OG'!$J39,'Withdrawal Working'!BC:BD,2,0)),IF(AL$3=1,$M39,IF(HLOOKUP(CONCATENATE("Balance",AL$3-1),'Withdrawal Working'!$A$2:$CD$78,MATCH('Yoy WAR OG'!$J39,'Withdrawal Working'!$A$2:$A$78,0),FALSE)&gt;0,MIN(HLOOKUP(CONCATENATE("Balance",AL$3-1),'Withdrawal Working'!$A$2:$CD$78,MATCH('Yoy WAR OG'!$J39,'Withdrawal Working'!$A$2:$A$78,0),0),AH39),0))),0)</f>
        <v>38050027.416462898</v>
      </c>
      <c r="AK39" s="58">
        <f t="shared" ca="1" si="54"/>
        <v>225052481.19074604</v>
      </c>
      <c r="AN39" s="450">
        <f t="shared" ca="1" si="30"/>
        <v>585012469.58674276</v>
      </c>
      <c r="AO39" s="58">
        <f ca="1">IF(J39&gt;'NWGC - SCENARIOS'!$D$7,(IF(AJ39=0,0,'Yoy WAR OG'!AJ39)+(VLOOKUP(AN$2,$B$1:$F$32,5,0)*$L39)),(VLOOKUP(AN$2,$B$1:$F$32,5,0)*$L39)+(VLOOKUP($K39,'Withdrawal Working'!$AD:$AE,2,0)*(IFERROR(VLOOKUP(AN$2,$B$35:$C$42,2,0),0))))</f>
        <v>38050027.416462898</v>
      </c>
      <c r="AP39" s="470">
        <f ca="1">IFERROR(IF($K39&lt;&gt;VLOOKUP(AN$2,$B:$H,7,0),IF(AR$3=1,MIN($M39,AN39),IF(HLOOKUP(CONCATENATE("Balance",AR$3-1),'Withdrawal Working'!$A$2:$CD$78,MATCH('Yoy WAR OG'!$J39,'Withdrawal Working'!$A$2:$A$78,0),FALSE)&gt;0,MIN(HLOOKUP(CONCATENATE("Balance",AR$3-1),'Withdrawal Working'!$A$2:$CD$78,MATCH('Yoy WAR OG'!$J39,'Withdrawal Working'!$A$2:$A$78,0),0),AN39),0)),IF($K39=VLOOKUP(AN$2,$B:$H,7,0),AN39,)),0)</f>
        <v>32609782.078586154</v>
      </c>
      <c r="AQ39" s="58">
        <f ca="1">IF(AO39&lt;0,0,IF(J39&gt;'NWGC - SCENARIOS'!$D$7,((AN39-AP39+AO39)*(1+(IFERROR(VLOOKUP(AN$2,$B:$D,3,0),0)))),((AN39-AP39)*(1+(IFERROR(VLOOKUP(AN$2,$B:$D,3,0),0))))+AO39))</f>
        <v>622927614.24547362</v>
      </c>
      <c r="AT39" s="450">
        <f t="shared" ca="1" si="31"/>
        <v>0</v>
      </c>
      <c r="AU39" s="58">
        <f ca="1">(VLOOKUP(AT$2,$B$1:$F$32,5,0)*$L39)+(VLOOKUP($K39,'Withdrawal Working'!$AD:$AE,2,0)*(IFERROR(VLOOKUP(AT$2,$B$35:$C$42,2,0),0)))</f>
        <v>0</v>
      </c>
      <c r="AV39" s="58">
        <f>IFERROR(IF($K39&lt;VLOOKUP(AT$2,$B:$H,7,0),IF(AX$3=1,MIN($M39,AT39),IF(HLOOKUP(CONCATENATE("Balance",AX$3-1),'Withdrawal Working'!$A$2:$CD$78,MATCH('Yoy WAR OG'!$J39,'Withdrawal Working'!$A$2:$A$78,0),FALSE)&gt;0,MIN(HLOOKUP(CONCATENATE("Balance",AX$3-1),'Withdrawal Working'!$A$2:$CD$78,MATCH('Yoy WAR OG'!$J39,'Withdrawal Working'!$A$2:$A$78,0),0),AT39),0)),IF($K39=VLOOKUP(AT$2,$B:$H,7,0),AT39,)),0)</f>
        <v>0</v>
      </c>
      <c r="AW39" s="58">
        <f t="shared" ca="1" si="55"/>
        <v>0</v>
      </c>
      <c r="AZ39" s="450">
        <f t="shared" ca="1" si="32"/>
        <v>42706325.938461795</v>
      </c>
      <c r="BA39" s="58">
        <f ca="1">(VLOOKUP(AZ$2,$B$1:$F$32,5,0)*$L39)+(VLOOKUP($K39,'Withdrawal Working'!$AD:$AE,2,0)*(IFERROR(VLOOKUP(AZ$2,$B$35:$C$42,2,0),0)))</f>
        <v>0</v>
      </c>
      <c r="BB39" s="58">
        <f>IFERROR(IF($K39&lt;VLOOKUP(AZ$2,$B:$H,7,0),IF(BD$3=1,MIN($M39,AZ39),IF(HLOOKUP(CONCATENATE("Balance",BD$3-1),'Withdrawal Working'!$A$2:$CD$78,MATCH('Yoy WAR OG'!$J39,'Withdrawal Working'!$A$2:$A$78,0),FALSE)&gt;0,MIN(HLOOKUP(CONCATENATE("Balance",BD$3-1),'Withdrawal Working'!$A$2:$CD$78,MATCH('Yoy WAR OG'!$J39,'Withdrawal Working'!$A$2:$A$78,0),0),AZ39),0)),IF($K39=VLOOKUP(AZ$2,$B:$H,7,0),AZ39,)),0)</f>
        <v>0</v>
      </c>
      <c r="BC39" s="58">
        <f t="shared" ca="1" si="56"/>
        <v>45695768.754154123</v>
      </c>
      <c r="BF39" s="450">
        <f t="shared" ca="1" si="33"/>
        <v>0</v>
      </c>
      <c r="BG39" s="58">
        <f ca="1">(VLOOKUP(BF$2,$B$1:$F$32,5,0)*$L39)+(VLOOKUP($K39,'Withdrawal Working'!$AD:$AE,2,0)*(IFERROR(VLOOKUP(BF$2,$B$35:$C$42,2,0),0)))</f>
        <v>0</v>
      </c>
      <c r="BH39" s="58">
        <f>IFERROR(IF($K39&lt;VLOOKUP(BF$2,$B:$H,7,0),IF(BJ$3=1,MIN($M39,BF39),IF(HLOOKUP(CONCATENATE("Balance",BJ$3-1),'Withdrawal Working'!$A$2:$CD$78,MATCH('Yoy WAR OG'!$J39,'Withdrawal Working'!$A$2:$A$78,0),FALSE)&gt;0,MIN(HLOOKUP(CONCATENATE("Balance",BJ$3-1),'Withdrawal Working'!$A$2:$CD$78,MATCH('Yoy WAR OG'!$J39,'Withdrawal Working'!$A$2:$A$78,0),0),BF39),0)),IF($K39=VLOOKUP(BF$2,$B:$H,7,0),BF39,)),0)</f>
        <v>0</v>
      </c>
      <c r="BI39" s="58">
        <f t="shared" ca="1" si="57"/>
        <v>0</v>
      </c>
      <c r="BL39" s="450">
        <f t="shared" ca="1" si="34"/>
        <v>0</v>
      </c>
      <c r="BM39" s="58">
        <f ca="1">(VLOOKUP(BL$2,$B$1:$F$32,5,0)*$L39)+(VLOOKUP($K39,'Withdrawal Working'!$AD:$AE,2,0)*(IFERROR(VLOOKUP(BL$2,$B$35:$C$42,2,0),0)))</f>
        <v>0</v>
      </c>
      <c r="BN39" s="58">
        <f>IFERROR(IF($K39&lt;VLOOKUP(BL$2,$B:$H,7,0),IF(BP$3=1,MIN($M39,BL39),IF(HLOOKUP(CONCATENATE("Balance",BP$3-1),'Withdrawal Working'!$A$2:$CD$78,MATCH('Yoy WAR OG'!$J39,'Withdrawal Working'!$A$2:$A$78,0),FALSE)&gt;0,MIN(HLOOKUP(CONCATENATE("Balance",BP$3-1),'Withdrawal Working'!$A$2:$CD$78,MATCH('Yoy WAR OG'!$J39,'Withdrawal Working'!$A$2:$A$78,0),0),BL39),0)),IF($K39=VLOOKUP(BL$2,$B:$H,7,0),BL39,)),0)</f>
        <v>0</v>
      </c>
      <c r="BO39" s="58">
        <f t="shared" ca="1" si="58"/>
        <v>0</v>
      </c>
      <c r="BR39" s="450">
        <f t="shared" ca="1" si="35"/>
        <v>0</v>
      </c>
      <c r="BS39" s="58">
        <f ca="1">(VLOOKUP(BR$2,$B$1:$F$32,5,0)*$L39)+(VLOOKUP($K39,'Withdrawal Working'!$AD:$AE,2,0)*(IFERROR(VLOOKUP(BR$2,$B$35:$C$42,2,0),0)))</f>
        <v>0</v>
      </c>
      <c r="BT39" s="58">
        <f>IFERROR(IF($K39&lt;VLOOKUP(BR$2,$B:$H,7,0),IF(BV$3=1,MIN($M39,BR39),IF(HLOOKUP(CONCATENATE("Balance",BV$3-1),'Withdrawal Working'!$A$2:$CD$78,MATCH('Yoy WAR OG'!$J39,'Withdrawal Working'!$A$2:$A$78,0),FALSE)&gt;0,MIN(HLOOKUP(CONCATENATE("Balance",BV$3-1),'Withdrawal Working'!$A$2:$CD$78,MATCH('Yoy WAR OG'!$J39,'Withdrawal Working'!$A$2:$A$78,0),0),BR39),0)),IF($K39=VLOOKUP(BR$2,$B:$H,7,0),BR39,)),0)</f>
        <v>0</v>
      </c>
      <c r="BU39" s="58">
        <f t="shared" ca="1" si="59"/>
        <v>0</v>
      </c>
      <c r="BX39" s="450">
        <f t="shared" ca="1" si="36"/>
        <v>0</v>
      </c>
      <c r="BY39" s="58">
        <f ca="1">(VLOOKUP(BX$2,$B$1:$F$32,5,0)*$L39)+(VLOOKUP($K39,'Withdrawal Working'!$AD:$AE,2,0)*(IFERROR(VLOOKUP(BX$2,$B$35:$C$42,2,0),0)))</f>
        <v>0</v>
      </c>
      <c r="BZ39" s="58">
        <f>IFERROR(IF($K39&lt;VLOOKUP(BX$2,$B:$H,7,0),IF(CB$3=1,MIN($M39,BX39),IF(HLOOKUP(CONCATENATE("Balance",CB$3-1),'Withdrawal Working'!$A$2:$CD$78,MATCH('Yoy WAR OG'!$J39,'Withdrawal Working'!$A$2:$A$78,0),FALSE)&gt;0,MIN(HLOOKUP(CONCATENATE("Balance",CB$3-1),'Withdrawal Working'!$A$2:$CD$78,MATCH('Yoy WAR OG'!$J39,'Withdrawal Working'!$A$2:$A$78,0),0),BX39),0)),IF($K39=VLOOKUP(BX$2,$B:$H,7,0),BX39,)),0)</f>
        <v>0</v>
      </c>
      <c r="CA39" s="58">
        <f t="shared" ca="1" si="60"/>
        <v>0</v>
      </c>
      <c r="CD39" s="450">
        <f t="shared" ca="1" si="37"/>
        <v>51236883.817221321</v>
      </c>
      <c r="CE39" s="58">
        <f ca="1">(VLOOKUP(CD$2,$B$1:$F$32,5,0)*$L39)+(VLOOKUP($K39,'Withdrawal Working'!$AD:$AE,2,0)*(IFERROR(VLOOKUP(CD$2,$B$35:$C$42,2,0),0)))+SUMIFS('Key Life Events'!$I$3:$I$28,'Key Life Events'!$H$3:$H$28,"House",'Key Life Events'!$E$3:$E$28,'Yoy WAR OG'!K39)</f>
        <v>0</v>
      </c>
      <c r="CF39" s="58">
        <f>IFERROR(IF($K39&lt;VLOOKUP(CD$2,$B:$H,7,0),IF(CH$3=1,MIN($M39,CD39),IF(HLOOKUP(CONCATENATE("Balance",CH$3-1),'Withdrawal Working'!$A$2:$CD$78,MATCH('Yoy WAR OG'!$J39,'Withdrawal Working'!$A$2:$A$78,0),FALSE)&gt;0,MIN(HLOOKUP(CONCATENATE("Balance",CH$3-1),'Withdrawal Working'!$A$2:$CD$78,MATCH('Yoy WAR OG'!$J39,'Withdrawal Working'!$A$2:$A$78,0),0),CD39),0)),IF($K39=VLOOKUP(CD$2,$B:$H,7,0),CD39,)),0)</f>
        <v>0</v>
      </c>
      <c r="CG39" s="58">
        <f t="shared" ca="1" si="61"/>
        <v>52773990.331737965</v>
      </c>
      <c r="CJ39" s="450">
        <f t="shared" ca="1" si="38"/>
        <v>0</v>
      </c>
      <c r="CK39" s="58">
        <f ca="1">(VLOOKUP(CJ$2,$B$1:$F$32,5,0)*$L39)+(VLOOKUP($K39,'Withdrawal Working'!$AD:$AE,2,0)*(IFERROR(VLOOKUP(CJ$2,$B$35:$C$42,2,0),0)))+SUMIFS('Key Life Events'!$I$3:$I$28,'Key Life Events'!$H$3:$H$28,"House2",'Key Life Events'!$E$3:$E$28,'Yoy WAR OG'!K39)</f>
        <v>0</v>
      </c>
      <c r="CL39" s="58">
        <f ca="1">IF(IFERROR(IF($K39&lt;&gt;VLOOKUP(CJ$2,$B:$H,7,0),IF(CN$3=1,MIN($M39,CJ39),IF(HLOOKUP(CONCATENATE("Balance",CN$3-1),'Withdrawal Working'!$A$2:$CD$78,MATCH('Yoy WAR OG'!$J39,'Withdrawal Working'!$A$2:$A$78,0),FALSE)&gt;0,MIN(HLOOKUP(CONCATENATE("Balance",CN$3-1),'Withdrawal Working'!$A$2:$CD$78,MATCH('Yoy WAR OG'!$J39,'Withdrawal Working'!$A$2:$A$78,0),0),CJ39),0)),IF($K39=VLOOKUP(CJ$2,$B:$H,7,0),CJ39,)),0)&gt;0,CJ39,0)</f>
        <v>0</v>
      </c>
      <c r="CM39" s="58">
        <f t="shared" ca="1" si="62"/>
        <v>0</v>
      </c>
      <c r="CP39" s="450">
        <f t="shared" ca="1" si="39"/>
        <v>13790038.418980634</v>
      </c>
      <c r="CQ39" s="58">
        <f ca="1">(VLOOKUP(CP$2,$B$1:$F$32,5,0)*$L39)+(VLOOKUP($K39,'Withdrawal Working'!$AD:$AE,2,0)*(IFERROR(VLOOKUP(CP$2,$B$35:$C$42,2,0),0)))+SUMIFS('Key Life Events'!$I$3:$I$28,'Key Life Events'!$H$3:$H$28,"Land",'Key Life Events'!$E$3:$E$28,'Yoy WAR OG'!K39)</f>
        <v>0</v>
      </c>
      <c r="CR39" s="58">
        <f>IFERROR(IF($K39&lt;VLOOKUP(CP$2,$B:$H,7,0),IF(CT$3=1,MIN($M39,CP39),IF(HLOOKUP(CONCATENATE("Balance",CT$3-1),'Withdrawal Working'!$A$2:$CD$78,MATCH('Yoy WAR OG'!$J39,'Withdrawal Working'!$A$2:$A$78,0),FALSE)&gt;0,MIN(HLOOKUP(CONCATENATE("Balance",CT$3-1),'Withdrawal Working'!$A$2:$CD$78,MATCH('Yoy WAR OG'!$J39,'Withdrawal Working'!$A$2:$A$78,0),0),CP39),0)),IF($K39=VLOOKUP(CP$2,$B:$H,7,0),CP39,)),0)</f>
        <v>0</v>
      </c>
      <c r="CS39" s="58">
        <f t="shared" ca="1" si="63"/>
        <v>14479540.339929666</v>
      </c>
      <c r="CV39" s="450">
        <f t="shared" ca="1" si="40"/>
        <v>0</v>
      </c>
      <c r="CW39" s="58"/>
      <c r="CX39" s="58">
        <f>IFERROR(IF($K39&lt;VLOOKUP(CV$2,$B:$H,7,0),IF(CZ$3=1,MIN($M39,CV39),IF(HLOOKUP(CONCATENATE("Balance",CZ$3-1),'Withdrawal Working'!$A$2:$CD$78,MATCH('Yoy WAR OG'!$J39,'Withdrawal Working'!$A$2:$A$78,0),FALSE)&gt;0,MIN(HLOOKUP(CONCATENATE("Balance",CZ$3-1),'Withdrawal Working'!$A$2:$CD$78,MATCH('Yoy WAR OG'!$J39,'Withdrawal Working'!$A$2:$A$78,0),0),CV39),0)),IF($K39=VLOOKUP(CV$2,$B:$H,7,0),CV39,)),0)</f>
        <v>0</v>
      </c>
      <c r="CY39" s="58">
        <f t="shared" ca="1" si="64"/>
        <v>0</v>
      </c>
      <c r="DB39" s="450">
        <f t="shared" ca="1" si="41"/>
        <v>0</v>
      </c>
      <c r="DC39" s="58">
        <f ca="1">(VLOOKUP(DB$2,$B$1:$F$32,5,0)*$L39)+(VLOOKUP($K39,'Withdrawal Working'!$AD:$AE,2,0)*(IFERROR(VLOOKUP(DB$2,$B$35:$C$42,2,0),0)))</f>
        <v>0</v>
      </c>
      <c r="DD39" s="58">
        <f>IFERROR(IF($K39&lt;VLOOKUP(DB$2,$B:$H,7,0),IF(DF$3=1,MIN($M39,DB39),IF(HLOOKUP(CONCATENATE("Balance",DF$3-1),'Withdrawal Working'!$A$2:$CD$78,MATCH('Yoy WAR OG'!$J39,'Withdrawal Working'!$A$2:$A$78,0),FALSE)&gt;0,MIN(HLOOKUP(CONCATENATE("Balance",DF$3-1),'Withdrawal Working'!$A$2:$CD$78,MATCH('Yoy WAR OG'!$J39,'Withdrawal Working'!$A$2:$A$78,0),0),DB39),0)),IF($K39=VLOOKUP(DB$2,$B:$H,7,0),DB39,)),0)</f>
        <v>0</v>
      </c>
      <c r="DE39" s="58">
        <f t="shared" ca="1" si="65"/>
        <v>0</v>
      </c>
      <c r="DH39" s="450">
        <f t="shared" ca="1" si="42"/>
        <v>0</v>
      </c>
      <c r="DI39" s="58">
        <f>IF(OR(J39&gt;'NWGC - SCENARIOS'!$D$7,J39='NWGC - SCENARIOS'!$D$7),0,DI38*(1+'NWGC - SCENARIOS'!$L$5))</f>
        <v>0</v>
      </c>
      <c r="DJ39" s="58">
        <f>IFERROR(IF($K39&lt;VLOOKUP(DH$2,$B:$H,7,0),IF(DL$3=1,MIN($M39,DH39),IF(HLOOKUP(CONCATENATE("Balance",DL$3-1),'Withdrawal Working'!$A$2:$CD$78,MATCH('Yoy WAR OG'!$J39,'Withdrawal Working'!$A$2:$A$78,0),FALSE)&gt;0,MIN(HLOOKUP(CONCATENATE("Balance",DL$3-1),'Withdrawal Working'!$A$2:$CD$78,MATCH('Yoy WAR OG'!$J39,'Withdrawal Working'!$A$2:$A$78,0),0),DH39),0)),IF($K39=VLOOKUP(DH$2,$B:$H,7,0),DH39,)),0)</f>
        <v>0</v>
      </c>
      <c r="DK39" s="58">
        <f t="shared" ca="1" si="66"/>
        <v>0</v>
      </c>
      <c r="DN39" s="450">
        <f t="shared" ca="1" si="43"/>
        <v>0</v>
      </c>
      <c r="DO39" s="58">
        <f ca="1">(VLOOKUP(DN$2,$B$1:$F$32,5,0)*$L39)+(VLOOKUP($K39,'Withdrawal Working'!$AD:$AE,2,0)*(IFERROR(VLOOKUP(DN$2,$B$35:$C$42,2,0),0)))</f>
        <v>0</v>
      </c>
      <c r="DP39" s="58">
        <f>IFERROR(IF($K39&lt;VLOOKUP(DN$2,$B:$H,7,0),IF(DR$3=1,MIN($M39,DN39),IF(HLOOKUP(CONCATENATE("Balance",DR$3-1),'Withdrawal Working'!$A$2:$CD$78,MATCH('Yoy WAR OG'!$J39,'Withdrawal Working'!$A$2:$A$78,0),FALSE)&gt;0,MIN(HLOOKUP(CONCATENATE("Balance",DR$3-1),'Withdrawal Working'!$A$2:$CD$78,MATCH('Yoy WAR OG'!$J39,'Withdrawal Working'!$A$2:$A$78,0),0),DN39),0)),IF($K39=VLOOKUP(DN$2,$B:$H,7,0),DN39,)),0)</f>
        <v>0</v>
      </c>
      <c r="DQ39" s="58">
        <f t="shared" ca="1" si="67"/>
        <v>0</v>
      </c>
      <c r="DT39" s="450">
        <f t="shared" ca="1" si="44"/>
        <v>0</v>
      </c>
      <c r="DU39" s="58">
        <f ca="1">(VLOOKUP(DT$2,$B$1:$F$32,5,0)*$L39)+(VLOOKUP($K39,'Withdrawal Working'!$AD:$AE,2,0)*(IFERROR(VLOOKUP(DT$2,$B$35:$C$42,2,0),0)))</f>
        <v>0</v>
      </c>
      <c r="DV39" s="58">
        <f>IFERROR(IF($K39&lt;VLOOKUP(DT$2,$B:$H,7,0),IF(DX$3=1,MIN($M39,DT39),IF(HLOOKUP(CONCATENATE("Balance",DX$3-1),'Withdrawal Working'!$A$2:$CD$78,MATCH('Yoy WAR OG'!$J39,'Withdrawal Working'!$A$2:$A$78,0),FALSE)&gt;0,MIN(HLOOKUP(CONCATENATE("Balance",DX$3-1),'Withdrawal Working'!$A$2:$CD$78,MATCH('Yoy WAR OG'!$J39,'Withdrawal Working'!$A$2:$A$78,0),0),DT39),0)),IF($K39=VLOOKUP(DT$2,$B:$H,7,0),DT39,)),0)</f>
        <v>0</v>
      </c>
      <c r="DW39" s="58">
        <f t="shared" ca="1" si="68"/>
        <v>0</v>
      </c>
      <c r="DZ39" s="450">
        <f t="shared" ca="1" si="45"/>
        <v>0</v>
      </c>
      <c r="EA39" s="58">
        <f ca="1">(VLOOKUP(DZ$2,$B$1:$F$32,5,0)*$L39)+(VLOOKUP($K39,'Withdrawal Working'!$AD:$AE,2,0)*(IFERROR(VLOOKUP(DZ$2,$B$35:$C$42,2,0),0)))</f>
        <v>0</v>
      </c>
      <c r="EB39" s="58">
        <f>IFERROR(IF($K39&lt;VLOOKUP(DZ$2,$B:$H,7,0),IF(ED$3=1,MIN($M39,DZ39),IF(HLOOKUP(CONCATENATE("Balance",ED$3-1),'Withdrawal Working'!$A$2:$CD$78,MATCH('Yoy WAR OG'!$J39,'Withdrawal Working'!$A$2:$A$78,0),FALSE)&gt;0,MIN(HLOOKUP(CONCATENATE("Balance",ED$3-1),'Withdrawal Working'!$A$2:$CD$78,MATCH('Yoy WAR OG'!$J39,'Withdrawal Working'!$A$2:$A$78,0),0),DZ39),0)),IF($K39=VLOOKUP(DZ$2,$B:$H,7,0),DZ39,)),0)</f>
        <v>0</v>
      </c>
      <c r="EC39" s="58">
        <f t="shared" ca="1" si="69"/>
        <v>0</v>
      </c>
      <c r="EF39" s="450">
        <f t="shared" ca="1" si="46"/>
        <v>0</v>
      </c>
      <c r="EG39" s="58">
        <f ca="1">(VLOOKUP(EF$2,$B$1:$F$32,5,0)*$L39)+(VLOOKUP($K39,'Withdrawal Working'!$AD:$AE,2,0)*(IFERROR(VLOOKUP(EF$2,$B$35:$C$42,2,0),0)))</f>
        <v>0</v>
      </c>
      <c r="EH39" s="58">
        <f>IFERROR(IF($K39&lt;VLOOKUP(EF$2,$B:$H,7,0),IF(EJ$3=1,MIN($M39,EF39),IF(HLOOKUP(CONCATENATE("Balance",EJ$3-1),'Withdrawal Working'!$A$2:$CD$78,MATCH('Yoy WAR OG'!$J39,'Withdrawal Working'!$A$2:$A$78,0),FALSE)&gt;0,MIN(HLOOKUP(CONCATENATE("Balance",EJ$3-1),'Withdrawal Working'!$A$2:$CD$78,MATCH('Yoy WAR OG'!$J39,'Withdrawal Working'!$A$2:$A$78,0),0),EF39),0)),IF($K39=VLOOKUP(EF$2,$B:$H,7,0),EF39,)),0)</f>
        <v>0</v>
      </c>
      <c r="EI39" s="58">
        <f t="shared" ca="1" si="70"/>
        <v>0</v>
      </c>
      <c r="EL39" s="450">
        <f t="shared" ca="1" si="47"/>
        <v>0</v>
      </c>
      <c r="EM39" s="58">
        <f>IF(OR($J39&gt;'NWGC - SCENARIOS'!$D$7,$J39='NWGC - SCENARIOS'!$D$7),0,EM38)</f>
        <v>0</v>
      </c>
      <c r="EN39" s="58">
        <f>IFERROR(IF($K39&lt;VLOOKUP(EL$2,$B:$H,7,0),IF(EP$3=1,MIN($M39,EL39),IF(HLOOKUP(CONCATENATE("Balance",EP$3-1),'Withdrawal Working'!$A$2:$CD$78,MATCH('Yoy WAR OG'!$J39,'Withdrawal Working'!$A$2:$A$78,0),FALSE)&gt;0,MIN(HLOOKUP(CONCATENATE("Balance",EP$3-1),'Withdrawal Working'!$A$2:$CD$78,MATCH('Yoy WAR OG'!$J39,'Withdrawal Working'!$A$2:$A$78,0),0),EL39),0)),IF($K39=VLOOKUP(EL$2,$B:$H,7,0),EL39,)),0)</f>
        <v>0</v>
      </c>
      <c r="EO39" s="58">
        <f t="shared" ca="1" si="71"/>
        <v>0</v>
      </c>
      <c r="ER39" s="450">
        <f t="shared" ca="1" si="48"/>
        <v>0</v>
      </c>
      <c r="ES39" s="58">
        <f>IF(OR(J39&gt;'NWGC - SCENARIOS'!$D$7,J39='NWGC - SCENARIOS'!$D$7),0,ES38*(1+'NWGC - SCENARIOS'!$L$5))</f>
        <v>0</v>
      </c>
      <c r="ET39" s="58">
        <f>IFERROR(IF($K39&lt;VLOOKUP(ER$2,$B:$H,7,0),IF(EV$3=1,MIN($M39,ER39),IF(HLOOKUP(CONCATENATE("Balance",EV$3-1),'Withdrawal Working'!$A$2:$CD$78,MATCH('Yoy WAR OG'!$J39,'Withdrawal Working'!$A$2:$A$78,0),FALSE)&gt;0,MIN(HLOOKUP(CONCATENATE("Balance",EV$3-1),'Withdrawal Working'!$A$2:$CD$78,MATCH('Yoy WAR OG'!$J39,'Withdrawal Working'!$A$2:$A$78,0),0),ER39),0)),IF($K39=VLOOKUP(ER$2,$B:$H,7,0),ER39,)),0)</f>
        <v>0</v>
      </c>
      <c r="EU39" s="58">
        <f t="shared" ca="1" si="72"/>
        <v>0</v>
      </c>
      <c r="EX39" s="450">
        <f t="shared" ca="1" si="49"/>
        <v>0</v>
      </c>
      <c r="EY39" s="58">
        <f>IF(OR(J39&gt;'NWGC - SCENARIOS'!$D$7,J39='NWGC - SCENARIOS'!$D$7),0,EY38)</f>
        <v>0</v>
      </c>
      <c r="EZ39" s="58">
        <f>IFERROR(IF($K39&lt;VLOOKUP(EX$2,$B:$H,7,0),IF(FB$3=1,MIN($M39,EX39),IF(HLOOKUP(CONCATENATE("Balance",FB$3-1),'Withdrawal Working'!$A$2:$CD$78,MATCH('Yoy WAR OG'!$J39,'Withdrawal Working'!$A$2:$A$78,0),FALSE)&gt;0,MIN(HLOOKUP(CONCATENATE("Balance",FB$3-1),'Withdrawal Working'!$A$2:$CD$78,MATCH('Yoy WAR OG'!$J39,'Withdrawal Working'!$A$2:$A$78,0),0),EX39),0)),IF($K39=VLOOKUP(EX$2,$B:$H,7,0),EX39,)),0)</f>
        <v>0</v>
      </c>
      <c r="FA39" s="58">
        <f t="shared" ca="1" si="73"/>
        <v>0</v>
      </c>
    </row>
    <row r="40" spans="2:157" x14ac:dyDescent="0.3">
      <c r="J40">
        <f>IFERROR('NWGC - SCENARIOS'!B47,0)</f>
        <v>85</v>
      </c>
      <c r="K40">
        <f>IFERROR('NWGC - SCENARIOS'!C47,0)</f>
        <v>2061</v>
      </c>
      <c r="L40" s="449">
        <f ca="1">IF(('NWGC - SCENARIOS'!G47-working!G38)&gt;'NWGC - SCENARIOS'!H47,'NWGC - SCENARIOS'!G47-'NWGC - SCENARIOS'!H47-working!G38,0)</f>
        <v>0</v>
      </c>
      <c r="M40" s="449">
        <f ca="1">IF(('NWGC - SCENARIOS'!G47-working!G38)&gt;'NWGC - SCENARIOS'!H47,0,'NWGC - SCENARIOS'!H47-'NWGC - SCENARIOS'!G47+working!G38)</f>
        <v>35225284.644873053</v>
      </c>
      <c r="N40" s="58">
        <f t="shared" ca="1" si="50"/>
        <v>867573670.62182379</v>
      </c>
      <c r="O40" s="58">
        <f t="shared" ca="1" si="51"/>
        <v>118455199.96556115</v>
      </c>
      <c r="P40" s="58">
        <f t="shared" ca="1" si="74"/>
        <v>0</v>
      </c>
      <c r="Q40" s="58">
        <f ca="1">(VLOOKUP(P$2,$B$1:$F$32,5,0)*$L40)+(VLOOKUP($K40,'Withdrawal Working'!$AD:$AE,2,0)*(IFERROR(VLOOKUP(P$2,$B$35:$C$42,2,0),0)))</f>
        <v>0</v>
      </c>
      <c r="R40" s="58">
        <f>IFERROR(IF($K40&lt;VLOOKUP(P$2,$B:$H,7,0),IF(T$3=1,MIN($M40,P40),IF(HLOOKUP(CONCATENATE("Balance",T$3-1),'Withdrawal Working'!$A$2:$CD$78,MATCH('Yoy WAR OG'!$J40,'Withdrawal Working'!$A$2:$A$78,0),FALSE)&gt;0,MIN(HLOOKUP(CONCATENATE("Balance",T$3-1),'Withdrawal Working'!$A$2:$CD$78,MATCH('Yoy WAR OG'!$J40,'Withdrawal Working'!$A$2:$A$78,0),0),P40),0)),IF($K40=VLOOKUP(P$2,$B:$H,7,0),P40,)),0)</f>
        <v>0</v>
      </c>
      <c r="S40" s="58">
        <f t="shared" ca="1" si="75"/>
        <v>0</v>
      </c>
      <c r="T40" s="58"/>
      <c r="V40" s="58">
        <f t="shared" ca="1" si="27"/>
        <v>0</v>
      </c>
      <c r="W40" s="58">
        <f ca="1">(VLOOKUP(V$2,$B$1:$F$32,5,0)*$L40)+(VLOOKUP($K40,'Withdrawal Working'!$AD:$AE,2,0)*(IFERROR(VLOOKUP(V$2,$B$35:$C$42,2,0),0)))</f>
        <v>0</v>
      </c>
      <c r="X40" s="58">
        <f>IFERROR(IF($K40&lt;VLOOKUP(V$2,$B:$H,7,0),IF(Z$3=1,MIN($M40,V40),IF(HLOOKUP(CONCATENATE("Balance",Z$3-1),'Withdrawal Working'!$A$2:$CD$78,MATCH('Yoy WAR OG'!$J40,'Withdrawal Working'!$A$2:$A$78,0),FALSE)&gt;0,MIN(HLOOKUP(CONCATENATE("Balance",Z$3-1),'Withdrawal Working'!$A$2:$CD$78,MATCH('Yoy WAR OG'!$J40,'Withdrawal Working'!$A$2:$A$78,0),0),V40),0)),IF($K40=VLOOKUP(V$2,$B:$H,7,0),V40,)),0)</f>
        <v>0</v>
      </c>
      <c r="Y40" s="58">
        <f t="shared" ca="1" si="52"/>
        <v>0</v>
      </c>
      <c r="AB40" s="58">
        <f t="shared" ca="1" si="28"/>
        <v>0</v>
      </c>
      <c r="AC40" s="58">
        <f ca="1">(VLOOKUP(AB$2,$B$1:$F$32,5,0)*$L40)+(VLOOKUP($K40,'Withdrawal Working'!$AD:$AE,2,0)*(IFERROR(VLOOKUP(AB$2,$B$35:$C$42,2,0),0)))</f>
        <v>0</v>
      </c>
      <c r="AE40" s="58">
        <f t="shared" ca="1" si="53"/>
        <v>0</v>
      </c>
      <c r="AH40" s="58">
        <f t="shared" ca="1" si="29"/>
        <v>225052481.19074604</v>
      </c>
      <c r="AI40" s="58">
        <f ca="1">(VLOOKUP(AH$2,$B$1:$F$32,5,0)*$L40)+IF(J40&gt;'NWGC - SCENARIOS'!$D$7,0,(VLOOKUP($K40,'Withdrawal Working'!$AD:$AE,2,0)*(IFERROR(VLOOKUP(AH$2,$B$35:$C$42,2,0),0))))</f>
        <v>0</v>
      </c>
      <c r="AJ40" s="58">
        <f ca="1">IFERROR(IF($J40&gt;'NWGC - SCENARIOS'!$D$7,MIN('Yoy WAR OG'!AH40,VLOOKUP('Yoy WAR OG'!$J40,'Withdrawal Working'!BC:BD,2,0)),IF(AL$3=1,$M40,IF(HLOOKUP(CONCATENATE("Balance",AL$3-1),'Withdrawal Working'!$A$2:$CD$78,MATCH('Yoy WAR OG'!$J40,'Withdrawal Working'!$A$2:$A$78,0),FALSE)&gt;0,MIN(HLOOKUP(CONCATENATE("Balance",AL$3-1),'Withdrawal Working'!$A$2:$CD$78,MATCH('Yoy WAR OG'!$J40,'Withdrawal Working'!$A$2:$A$78,0),0),AH40),0))),0)</f>
        <v>41100749.609779932</v>
      </c>
      <c r="AK40" s="58">
        <f t="shared" ca="1" si="54"/>
        <v>204186422.05487239</v>
      </c>
      <c r="AN40" s="450">
        <f t="shared" ca="1" si="30"/>
        <v>622927614.24547362</v>
      </c>
      <c r="AO40" s="58">
        <f ca="1">IF(J40&gt;'NWGC - SCENARIOS'!$D$7,(IF(AJ40=0,0,'Yoy WAR OG'!AJ40)+(VLOOKUP(AN$2,$B$1:$F$32,5,0)*$L40)),(VLOOKUP(AN$2,$B$1:$F$32,5,0)*$L40)+(VLOOKUP($K40,'Withdrawal Working'!$AD:$AE,2,0)*(IFERROR(VLOOKUP(AN$2,$B$35:$C$42,2,0),0))))</f>
        <v>41100749.609779932</v>
      </c>
      <c r="AP40" s="470">
        <f ca="1">IFERROR(IF($K40&lt;&gt;VLOOKUP(AN$2,$B:$H,7,0),IF(AR$3=1,MIN($M40,AN40),IF(HLOOKUP(CONCATENATE("Balance",AR$3-1),'Withdrawal Working'!$A$2:$CD$78,MATCH('Yoy WAR OG'!$J40,'Withdrawal Working'!$A$2:$A$78,0),FALSE)&gt;0,MIN(HLOOKUP(CONCATENATE("Balance",AR$3-1),'Withdrawal Working'!$A$2:$CD$78,MATCH('Yoy WAR OG'!$J40,'Withdrawal Working'!$A$2:$A$78,0),0),AN40),0)),IF($K40=VLOOKUP(AN$2,$B:$H,7,0),AN40,)),0)</f>
        <v>35225284.644873053</v>
      </c>
      <c r="AQ40" s="58">
        <f ca="1">IF(AO40&lt;0,0,IF(J40&gt;'NWGC - SCENARIOS'!$D$7,((AN40-AP40+AO40)*(1+(IFERROR(VLOOKUP(AN$2,$B:$D,3,0),0)))),((AN40-AP40)*(1+(IFERROR(VLOOKUP(AN$2,$B:$D,3,0),0))))+AO40))</f>
        <v>663387248.56695139</v>
      </c>
      <c r="AT40" s="450">
        <f t="shared" ca="1" si="31"/>
        <v>0</v>
      </c>
      <c r="AU40" s="58">
        <f ca="1">(VLOOKUP(AT$2,$B$1:$F$32,5,0)*$L40)+(VLOOKUP($K40,'Withdrawal Working'!$AD:$AE,2,0)*(IFERROR(VLOOKUP(AT$2,$B$35:$C$42,2,0),0)))</f>
        <v>0</v>
      </c>
      <c r="AV40" s="58">
        <f>IFERROR(IF($K40&lt;VLOOKUP(AT$2,$B:$H,7,0),IF(AX$3=1,MIN($M40,AT40),IF(HLOOKUP(CONCATENATE("Balance",AX$3-1),'Withdrawal Working'!$A$2:$CD$78,MATCH('Yoy WAR OG'!$J40,'Withdrawal Working'!$A$2:$A$78,0),FALSE)&gt;0,MIN(HLOOKUP(CONCATENATE("Balance",AX$3-1),'Withdrawal Working'!$A$2:$CD$78,MATCH('Yoy WAR OG'!$J40,'Withdrawal Working'!$A$2:$A$78,0),0),AT40),0)),IF($K40=VLOOKUP(AT$2,$B:$H,7,0),AT40,)),0)</f>
        <v>0</v>
      </c>
      <c r="AW40" s="58">
        <f t="shared" ca="1" si="55"/>
        <v>0</v>
      </c>
      <c r="AZ40" s="450">
        <f t="shared" ca="1" si="32"/>
        <v>45695768.754154123</v>
      </c>
      <c r="BA40" s="58">
        <f ca="1">(VLOOKUP(AZ$2,$B$1:$F$32,5,0)*$L40)+(VLOOKUP($K40,'Withdrawal Working'!$AD:$AE,2,0)*(IFERROR(VLOOKUP(AZ$2,$B$35:$C$42,2,0),0)))</f>
        <v>0</v>
      </c>
      <c r="BB40" s="58">
        <f>IFERROR(IF($K40&lt;VLOOKUP(AZ$2,$B:$H,7,0),IF(BD$3=1,MIN($M40,AZ40),IF(HLOOKUP(CONCATENATE("Balance",BD$3-1),'Withdrawal Working'!$A$2:$CD$78,MATCH('Yoy WAR OG'!$J40,'Withdrawal Working'!$A$2:$A$78,0),FALSE)&gt;0,MIN(HLOOKUP(CONCATENATE("Balance",BD$3-1),'Withdrawal Working'!$A$2:$CD$78,MATCH('Yoy WAR OG'!$J40,'Withdrawal Working'!$A$2:$A$78,0),0),AZ40),0)),IF($K40=VLOOKUP(AZ$2,$B:$H,7,0),AZ40,)),0)</f>
        <v>0</v>
      </c>
      <c r="BC40" s="58">
        <f t="shared" ca="1" si="56"/>
        <v>48894472.566944912</v>
      </c>
      <c r="BF40" s="450">
        <f t="shared" ca="1" si="33"/>
        <v>0</v>
      </c>
      <c r="BG40" s="58">
        <f ca="1">(VLOOKUP(BF$2,$B$1:$F$32,5,0)*$L40)+(VLOOKUP($K40,'Withdrawal Working'!$AD:$AE,2,0)*(IFERROR(VLOOKUP(BF$2,$B$35:$C$42,2,0),0)))</f>
        <v>0</v>
      </c>
      <c r="BH40" s="58">
        <f>IFERROR(IF($K40&lt;VLOOKUP(BF$2,$B:$H,7,0),IF(BJ$3=1,MIN($M40,BF40),IF(HLOOKUP(CONCATENATE("Balance",BJ$3-1),'Withdrawal Working'!$A$2:$CD$78,MATCH('Yoy WAR OG'!$J40,'Withdrawal Working'!$A$2:$A$78,0),FALSE)&gt;0,MIN(HLOOKUP(CONCATENATE("Balance",BJ$3-1),'Withdrawal Working'!$A$2:$CD$78,MATCH('Yoy WAR OG'!$J40,'Withdrawal Working'!$A$2:$A$78,0),0),BF40),0)),IF($K40=VLOOKUP(BF$2,$B:$H,7,0),BF40,)),0)</f>
        <v>0</v>
      </c>
      <c r="BI40" s="58">
        <f t="shared" ca="1" si="57"/>
        <v>0</v>
      </c>
      <c r="BL40" s="450">
        <f t="shared" ca="1" si="34"/>
        <v>0</v>
      </c>
      <c r="BM40" s="58">
        <f ca="1">(VLOOKUP(BL$2,$B$1:$F$32,5,0)*$L40)+(VLOOKUP($K40,'Withdrawal Working'!$AD:$AE,2,0)*(IFERROR(VLOOKUP(BL$2,$B$35:$C$42,2,0),0)))</f>
        <v>0</v>
      </c>
      <c r="BN40" s="58">
        <f>IFERROR(IF($K40&lt;VLOOKUP(BL$2,$B:$H,7,0),IF(BP$3=1,MIN($M40,BL40),IF(HLOOKUP(CONCATENATE("Balance",BP$3-1),'Withdrawal Working'!$A$2:$CD$78,MATCH('Yoy WAR OG'!$J40,'Withdrawal Working'!$A$2:$A$78,0),FALSE)&gt;0,MIN(HLOOKUP(CONCATENATE("Balance",BP$3-1),'Withdrawal Working'!$A$2:$CD$78,MATCH('Yoy WAR OG'!$J40,'Withdrawal Working'!$A$2:$A$78,0),0),BL40),0)),IF($K40=VLOOKUP(BL$2,$B:$H,7,0),BL40,)),0)</f>
        <v>0</v>
      </c>
      <c r="BO40" s="58">
        <f t="shared" ca="1" si="58"/>
        <v>0</v>
      </c>
      <c r="BR40" s="450">
        <f t="shared" ca="1" si="35"/>
        <v>0</v>
      </c>
      <c r="BS40" s="58">
        <f ca="1">(VLOOKUP(BR$2,$B$1:$F$32,5,0)*$L40)+(VLOOKUP($K40,'Withdrawal Working'!$AD:$AE,2,0)*(IFERROR(VLOOKUP(BR$2,$B$35:$C$42,2,0),0)))</f>
        <v>0</v>
      </c>
      <c r="BT40" s="58">
        <f>IFERROR(IF($K40&lt;VLOOKUP(BR$2,$B:$H,7,0),IF(BV$3=1,MIN($M40,BR40),IF(HLOOKUP(CONCATENATE("Balance",BV$3-1),'Withdrawal Working'!$A$2:$CD$78,MATCH('Yoy WAR OG'!$J40,'Withdrawal Working'!$A$2:$A$78,0),FALSE)&gt;0,MIN(HLOOKUP(CONCATENATE("Balance",BV$3-1),'Withdrawal Working'!$A$2:$CD$78,MATCH('Yoy WAR OG'!$J40,'Withdrawal Working'!$A$2:$A$78,0),0),BR40),0)),IF($K40=VLOOKUP(BR$2,$B:$H,7,0),BR40,)),0)</f>
        <v>0</v>
      </c>
      <c r="BU40" s="58">
        <f t="shared" ca="1" si="59"/>
        <v>0</v>
      </c>
      <c r="BX40" s="450">
        <f t="shared" ca="1" si="36"/>
        <v>0</v>
      </c>
      <c r="BY40" s="58">
        <f ca="1">(VLOOKUP(BX$2,$B$1:$F$32,5,0)*$L40)+(VLOOKUP($K40,'Withdrawal Working'!$AD:$AE,2,0)*(IFERROR(VLOOKUP(BX$2,$B$35:$C$42,2,0),0)))</f>
        <v>0</v>
      </c>
      <c r="BZ40" s="58">
        <f>IFERROR(IF($K40&lt;VLOOKUP(BX$2,$B:$H,7,0),IF(CB$3=1,MIN($M40,BX40),IF(HLOOKUP(CONCATENATE("Balance",CB$3-1),'Withdrawal Working'!$A$2:$CD$78,MATCH('Yoy WAR OG'!$J40,'Withdrawal Working'!$A$2:$A$78,0),FALSE)&gt;0,MIN(HLOOKUP(CONCATENATE("Balance",CB$3-1),'Withdrawal Working'!$A$2:$CD$78,MATCH('Yoy WAR OG'!$J40,'Withdrawal Working'!$A$2:$A$78,0),0),BX40),0)),IF($K40=VLOOKUP(BX$2,$B:$H,7,0),BX40,)),0)</f>
        <v>0</v>
      </c>
      <c r="CA40" s="58">
        <f t="shared" ca="1" si="60"/>
        <v>0</v>
      </c>
      <c r="CD40" s="450">
        <f t="shared" ca="1" si="37"/>
        <v>52773990.331737965</v>
      </c>
      <c r="CE40" s="58">
        <f ca="1">(VLOOKUP(CD$2,$B$1:$F$32,5,0)*$L40)+(VLOOKUP($K40,'Withdrawal Working'!$AD:$AE,2,0)*(IFERROR(VLOOKUP(CD$2,$B$35:$C$42,2,0),0)))+SUMIFS('Key Life Events'!$I$3:$I$28,'Key Life Events'!$H$3:$H$28,"House",'Key Life Events'!$E$3:$E$28,'Yoy WAR OG'!K40)</f>
        <v>0</v>
      </c>
      <c r="CF40" s="58">
        <f>IFERROR(IF($K40&lt;VLOOKUP(CD$2,$B:$H,7,0),IF(CH$3=1,MIN($M40,CD40),IF(HLOOKUP(CONCATENATE("Balance",CH$3-1),'Withdrawal Working'!$A$2:$CD$78,MATCH('Yoy WAR OG'!$J40,'Withdrawal Working'!$A$2:$A$78,0),FALSE)&gt;0,MIN(HLOOKUP(CONCATENATE("Balance",CH$3-1),'Withdrawal Working'!$A$2:$CD$78,MATCH('Yoy WAR OG'!$J40,'Withdrawal Working'!$A$2:$A$78,0),0),CD40),0)),IF($K40=VLOOKUP(CD$2,$B:$H,7,0),CD40,)),0)</f>
        <v>0</v>
      </c>
      <c r="CG40" s="58">
        <f t="shared" ca="1" si="61"/>
        <v>54357210.041690104</v>
      </c>
      <c r="CJ40" s="450">
        <f t="shared" ca="1" si="38"/>
        <v>0</v>
      </c>
      <c r="CK40" s="58">
        <f ca="1">(VLOOKUP(CJ$2,$B$1:$F$32,5,0)*$L40)+(VLOOKUP($K40,'Withdrawal Working'!$AD:$AE,2,0)*(IFERROR(VLOOKUP(CJ$2,$B$35:$C$42,2,0),0)))+SUMIFS('Key Life Events'!$I$3:$I$28,'Key Life Events'!$H$3:$H$28,"House2",'Key Life Events'!$E$3:$E$28,'Yoy WAR OG'!K40)</f>
        <v>0</v>
      </c>
      <c r="CL40" s="58">
        <f ca="1">IF(IFERROR(IF($K40&lt;&gt;VLOOKUP(CJ$2,$B:$H,7,0),IF(CN$3=1,MIN($M40,CJ40),IF(HLOOKUP(CONCATENATE("Balance",CN$3-1),'Withdrawal Working'!$A$2:$CD$78,MATCH('Yoy WAR OG'!$J40,'Withdrawal Working'!$A$2:$A$78,0),FALSE)&gt;0,MIN(HLOOKUP(CONCATENATE("Balance",CN$3-1),'Withdrawal Working'!$A$2:$CD$78,MATCH('Yoy WAR OG'!$J40,'Withdrawal Working'!$A$2:$A$78,0),0),CJ40),0)),IF($K40=VLOOKUP(CJ$2,$B:$H,7,0),CJ40,)),0)&gt;0,CJ40,0)</f>
        <v>0</v>
      </c>
      <c r="CM40" s="58">
        <f t="shared" ca="1" si="62"/>
        <v>0</v>
      </c>
      <c r="CP40" s="450">
        <f t="shared" ca="1" si="39"/>
        <v>14479540.339929666</v>
      </c>
      <c r="CQ40" s="58">
        <f ca="1">(VLOOKUP(CP$2,$B$1:$F$32,5,0)*$L40)+(VLOOKUP($K40,'Withdrawal Working'!$AD:$AE,2,0)*(IFERROR(VLOOKUP(CP$2,$B$35:$C$42,2,0),0)))+SUMIFS('Key Life Events'!$I$3:$I$28,'Key Life Events'!$H$3:$H$28,"Land",'Key Life Events'!$E$3:$E$28,'Yoy WAR OG'!K40)</f>
        <v>0</v>
      </c>
      <c r="CR40" s="58">
        <f>IFERROR(IF($K40&lt;VLOOKUP(CP$2,$B:$H,7,0),IF(CT$3=1,MIN($M40,CP40),IF(HLOOKUP(CONCATENATE("Balance",CT$3-1),'Withdrawal Working'!$A$2:$CD$78,MATCH('Yoy WAR OG'!$J40,'Withdrawal Working'!$A$2:$A$78,0),FALSE)&gt;0,MIN(HLOOKUP(CONCATENATE("Balance",CT$3-1),'Withdrawal Working'!$A$2:$CD$78,MATCH('Yoy WAR OG'!$J40,'Withdrawal Working'!$A$2:$A$78,0),0),CP40),0)),IF($K40=VLOOKUP(CP$2,$B:$H,7,0),CP40,)),0)</f>
        <v>0</v>
      </c>
      <c r="CS40" s="58">
        <f t="shared" ca="1" si="63"/>
        <v>15203517.356926151</v>
      </c>
      <c r="CV40" s="450">
        <f t="shared" ca="1" si="40"/>
        <v>0</v>
      </c>
      <c r="CW40" s="58"/>
      <c r="CX40" s="58">
        <f>IFERROR(IF($K40&lt;VLOOKUP(CV$2,$B:$H,7,0),IF(CZ$3=1,MIN($M40,CV40),IF(HLOOKUP(CONCATENATE("Balance",CZ$3-1),'Withdrawal Working'!$A$2:$CD$78,MATCH('Yoy WAR OG'!$J40,'Withdrawal Working'!$A$2:$A$78,0),FALSE)&gt;0,MIN(HLOOKUP(CONCATENATE("Balance",CZ$3-1),'Withdrawal Working'!$A$2:$CD$78,MATCH('Yoy WAR OG'!$J40,'Withdrawal Working'!$A$2:$A$78,0),0),CV40),0)),IF($K40=VLOOKUP(CV$2,$B:$H,7,0),CV40,)),0)</f>
        <v>0</v>
      </c>
      <c r="CY40" s="58">
        <f t="shared" ca="1" si="64"/>
        <v>0</v>
      </c>
      <c r="DB40" s="450">
        <f t="shared" ca="1" si="41"/>
        <v>0</v>
      </c>
      <c r="DC40" s="58">
        <f ca="1">(VLOOKUP(DB$2,$B$1:$F$32,5,0)*$L40)+(VLOOKUP($K40,'Withdrawal Working'!$AD:$AE,2,0)*(IFERROR(VLOOKUP(DB$2,$B$35:$C$42,2,0),0)))</f>
        <v>0</v>
      </c>
      <c r="DD40" s="58">
        <f>IFERROR(IF($K40&lt;VLOOKUP(DB$2,$B:$H,7,0),IF(DF$3=1,MIN($M40,DB40),IF(HLOOKUP(CONCATENATE("Balance",DF$3-1),'Withdrawal Working'!$A$2:$CD$78,MATCH('Yoy WAR OG'!$J40,'Withdrawal Working'!$A$2:$A$78,0),FALSE)&gt;0,MIN(HLOOKUP(CONCATENATE("Balance",DF$3-1),'Withdrawal Working'!$A$2:$CD$78,MATCH('Yoy WAR OG'!$J40,'Withdrawal Working'!$A$2:$A$78,0),0),DB40),0)),IF($K40=VLOOKUP(DB$2,$B:$H,7,0),DB40,)),0)</f>
        <v>0</v>
      </c>
      <c r="DE40" s="58">
        <f t="shared" ca="1" si="65"/>
        <v>0</v>
      </c>
      <c r="DH40" s="450">
        <f t="shared" ca="1" si="42"/>
        <v>0</v>
      </c>
      <c r="DI40" s="58">
        <f>IF(OR(J40&gt;'NWGC - SCENARIOS'!$D$7,J40='NWGC - SCENARIOS'!$D$7),0,DI39*(1+'NWGC - SCENARIOS'!$L$5))</f>
        <v>0</v>
      </c>
      <c r="DJ40" s="58">
        <f>IFERROR(IF($K40&lt;VLOOKUP(DH$2,$B:$H,7,0),IF(DL$3=1,MIN($M40,DH40),IF(HLOOKUP(CONCATENATE("Balance",DL$3-1),'Withdrawal Working'!$A$2:$CD$78,MATCH('Yoy WAR OG'!$J40,'Withdrawal Working'!$A$2:$A$78,0),FALSE)&gt;0,MIN(HLOOKUP(CONCATENATE("Balance",DL$3-1),'Withdrawal Working'!$A$2:$CD$78,MATCH('Yoy WAR OG'!$J40,'Withdrawal Working'!$A$2:$A$78,0),0),DH40),0)),IF($K40=VLOOKUP(DH$2,$B:$H,7,0),DH40,)),0)</f>
        <v>0</v>
      </c>
      <c r="DK40" s="58">
        <f t="shared" ca="1" si="66"/>
        <v>0</v>
      </c>
      <c r="DN40" s="450">
        <f t="shared" ca="1" si="43"/>
        <v>0</v>
      </c>
      <c r="DO40" s="58">
        <f ca="1">(VLOOKUP(DN$2,$B$1:$F$32,5,0)*$L40)+(VLOOKUP($K40,'Withdrawal Working'!$AD:$AE,2,0)*(IFERROR(VLOOKUP(DN$2,$B$35:$C$42,2,0),0)))</f>
        <v>0</v>
      </c>
      <c r="DP40" s="58">
        <f>IFERROR(IF($K40&lt;VLOOKUP(DN$2,$B:$H,7,0),IF(DR$3=1,MIN($M40,DN40),IF(HLOOKUP(CONCATENATE("Balance",DR$3-1),'Withdrawal Working'!$A$2:$CD$78,MATCH('Yoy WAR OG'!$J40,'Withdrawal Working'!$A$2:$A$78,0),FALSE)&gt;0,MIN(HLOOKUP(CONCATENATE("Balance",DR$3-1),'Withdrawal Working'!$A$2:$CD$78,MATCH('Yoy WAR OG'!$J40,'Withdrawal Working'!$A$2:$A$78,0),0),DN40),0)),IF($K40=VLOOKUP(DN$2,$B:$H,7,0),DN40,)),0)</f>
        <v>0</v>
      </c>
      <c r="DQ40" s="58">
        <f t="shared" ca="1" si="67"/>
        <v>0</v>
      </c>
      <c r="DT40" s="450">
        <f t="shared" ca="1" si="44"/>
        <v>0</v>
      </c>
      <c r="DU40" s="58">
        <f ca="1">(VLOOKUP(DT$2,$B$1:$F$32,5,0)*$L40)+(VLOOKUP($K40,'Withdrawal Working'!$AD:$AE,2,0)*(IFERROR(VLOOKUP(DT$2,$B$35:$C$42,2,0),0)))</f>
        <v>0</v>
      </c>
      <c r="DV40" s="58">
        <f>IFERROR(IF($K40&lt;VLOOKUP(DT$2,$B:$H,7,0),IF(DX$3=1,MIN($M40,DT40),IF(HLOOKUP(CONCATENATE("Balance",DX$3-1),'Withdrawal Working'!$A$2:$CD$78,MATCH('Yoy WAR OG'!$J40,'Withdrawal Working'!$A$2:$A$78,0),FALSE)&gt;0,MIN(HLOOKUP(CONCATENATE("Balance",DX$3-1),'Withdrawal Working'!$A$2:$CD$78,MATCH('Yoy WAR OG'!$J40,'Withdrawal Working'!$A$2:$A$78,0),0),DT40),0)),IF($K40=VLOOKUP(DT$2,$B:$H,7,0),DT40,)),0)</f>
        <v>0</v>
      </c>
      <c r="DW40" s="58">
        <f t="shared" ca="1" si="68"/>
        <v>0</v>
      </c>
      <c r="DZ40" s="450">
        <f t="shared" ca="1" si="45"/>
        <v>0</v>
      </c>
      <c r="EA40" s="58">
        <f ca="1">(VLOOKUP(DZ$2,$B$1:$F$32,5,0)*$L40)+(VLOOKUP($K40,'Withdrawal Working'!$AD:$AE,2,0)*(IFERROR(VLOOKUP(DZ$2,$B$35:$C$42,2,0),0)))</f>
        <v>0</v>
      </c>
      <c r="EB40" s="58">
        <f>IFERROR(IF($K40&lt;VLOOKUP(DZ$2,$B:$H,7,0),IF(ED$3=1,MIN($M40,DZ40),IF(HLOOKUP(CONCATENATE("Balance",ED$3-1),'Withdrawal Working'!$A$2:$CD$78,MATCH('Yoy WAR OG'!$J40,'Withdrawal Working'!$A$2:$A$78,0),FALSE)&gt;0,MIN(HLOOKUP(CONCATENATE("Balance",ED$3-1),'Withdrawal Working'!$A$2:$CD$78,MATCH('Yoy WAR OG'!$J40,'Withdrawal Working'!$A$2:$A$78,0),0),DZ40),0)),IF($K40=VLOOKUP(DZ$2,$B:$H,7,0),DZ40,)),0)</f>
        <v>0</v>
      </c>
      <c r="EC40" s="58">
        <f t="shared" ca="1" si="69"/>
        <v>0</v>
      </c>
      <c r="EF40" s="450">
        <f t="shared" ca="1" si="46"/>
        <v>0</v>
      </c>
      <c r="EG40" s="58">
        <f ca="1">(VLOOKUP(EF$2,$B$1:$F$32,5,0)*$L40)+(VLOOKUP($K40,'Withdrawal Working'!$AD:$AE,2,0)*(IFERROR(VLOOKUP(EF$2,$B$35:$C$42,2,0),0)))</f>
        <v>0</v>
      </c>
      <c r="EH40" s="58">
        <f>IFERROR(IF($K40&lt;VLOOKUP(EF$2,$B:$H,7,0),IF(EJ$3=1,MIN($M40,EF40),IF(HLOOKUP(CONCATENATE("Balance",EJ$3-1),'Withdrawal Working'!$A$2:$CD$78,MATCH('Yoy WAR OG'!$J40,'Withdrawal Working'!$A$2:$A$78,0),FALSE)&gt;0,MIN(HLOOKUP(CONCATENATE("Balance",EJ$3-1),'Withdrawal Working'!$A$2:$CD$78,MATCH('Yoy WAR OG'!$J40,'Withdrawal Working'!$A$2:$A$78,0),0),EF40),0)),IF($K40=VLOOKUP(EF$2,$B:$H,7,0),EF40,)),0)</f>
        <v>0</v>
      </c>
      <c r="EI40" s="58">
        <f t="shared" ca="1" si="70"/>
        <v>0</v>
      </c>
      <c r="EL40" s="450">
        <f t="shared" ca="1" si="47"/>
        <v>0</v>
      </c>
      <c r="EM40" s="58">
        <f>IF(OR($J40&gt;'NWGC - SCENARIOS'!$D$7,$J40='NWGC - SCENARIOS'!$D$7),0,EM39)</f>
        <v>0</v>
      </c>
      <c r="EN40" s="58">
        <f>IFERROR(IF($K40&lt;VLOOKUP(EL$2,$B:$H,7,0),IF(EP$3=1,MIN($M40,EL40),IF(HLOOKUP(CONCATENATE("Balance",EP$3-1),'Withdrawal Working'!$A$2:$CD$78,MATCH('Yoy WAR OG'!$J40,'Withdrawal Working'!$A$2:$A$78,0),FALSE)&gt;0,MIN(HLOOKUP(CONCATENATE("Balance",EP$3-1),'Withdrawal Working'!$A$2:$CD$78,MATCH('Yoy WAR OG'!$J40,'Withdrawal Working'!$A$2:$A$78,0),0),EL40),0)),IF($K40=VLOOKUP(EL$2,$B:$H,7,0),EL40,)),0)</f>
        <v>0</v>
      </c>
      <c r="EO40" s="58">
        <f t="shared" ca="1" si="71"/>
        <v>0</v>
      </c>
      <c r="ER40" s="450">
        <f t="shared" ca="1" si="48"/>
        <v>0</v>
      </c>
      <c r="ES40" s="58">
        <f>IF(OR(J40&gt;'NWGC - SCENARIOS'!$D$7,J40='NWGC - SCENARIOS'!$D$7),0,ES39*(1+'NWGC - SCENARIOS'!$L$5))</f>
        <v>0</v>
      </c>
      <c r="ET40" s="58">
        <f>IFERROR(IF($K40&lt;VLOOKUP(ER$2,$B:$H,7,0),IF(EV$3=1,MIN($M40,ER40),IF(HLOOKUP(CONCATENATE("Balance",EV$3-1),'Withdrawal Working'!$A$2:$CD$78,MATCH('Yoy WAR OG'!$J40,'Withdrawal Working'!$A$2:$A$78,0),FALSE)&gt;0,MIN(HLOOKUP(CONCATENATE("Balance",EV$3-1),'Withdrawal Working'!$A$2:$CD$78,MATCH('Yoy WAR OG'!$J40,'Withdrawal Working'!$A$2:$A$78,0),0),ER40),0)),IF($K40=VLOOKUP(ER$2,$B:$H,7,0),ER40,)),0)</f>
        <v>0</v>
      </c>
      <c r="EU40" s="58">
        <f t="shared" ca="1" si="72"/>
        <v>0</v>
      </c>
      <c r="EX40" s="450">
        <f t="shared" ca="1" si="49"/>
        <v>0</v>
      </c>
      <c r="EY40" s="58">
        <f>IF(OR(J40&gt;'NWGC - SCENARIOS'!$D$7,J40='NWGC - SCENARIOS'!$D$7),0,EY39)</f>
        <v>0</v>
      </c>
      <c r="EZ40" s="58">
        <f>IFERROR(IF($K40&lt;VLOOKUP(EX$2,$B:$H,7,0),IF(FB$3=1,MIN($M40,EX40),IF(HLOOKUP(CONCATENATE("Balance",FB$3-1),'Withdrawal Working'!$A$2:$CD$78,MATCH('Yoy WAR OG'!$J40,'Withdrawal Working'!$A$2:$A$78,0),FALSE)&gt;0,MIN(HLOOKUP(CONCATENATE("Balance",FB$3-1),'Withdrawal Working'!$A$2:$CD$78,MATCH('Yoy WAR OG'!$J40,'Withdrawal Working'!$A$2:$A$78,0),0),EX40),0)),IF($K40=VLOOKUP(EX$2,$B:$H,7,0),EX40,)),0)</f>
        <v>0</v>
      </c>
      <c r="FA40" s="58">
        <f t="shared" ca="1" si="73"/>
        <v>0</v>
      </c>
    </row>
    <row r="41" spans="2:157" x14ac:dyDescent="0.3">
      <c r="B41" s="319" t="s">
        <v>111</v>
      </c>
      <c r="J41">
        <f>IFERROR('NWGC - SCENARIOS'!B48,0)</f>
        <v>86</v>
      </c>
      <c r="K41">
        <f>IFERROR('NWGC - SCENARIOS'!C48,0)</f>
        <v>2062</v>
      </c>
      <c r="L41" s="449">
        <f ca="1">IF(('NWGC - SCENARIOS'!G48-working!G39)&gt;'NWGC - SCENARIOS'!H48,'NWGC - SCENARIOS'!G48-'NWGC - SCENARIOS'!H48-working!G39,0)</f>
        <v>0</v>
      </c>
      <c r="M41" s="449">
        <f ca="1">IF(('NWGC - SCENARIOS'!G48-working!G39)&gt;'NWGC - SCENARIOS'!H48,0,'NWGC - SCENARIOS'!H48-'NWGC - SCENARIOS'!G48+working!G39)</f>
        <v>38050027.416462898</v>
      </c>
      <c r="N41" s="58">
        <f t="shared" ca="1" si="50"/>
        <v>883935942.66785276</v>
      </c>
      <c r="O41" s="58">
        <f t="shared" ca="1" si="51"/>
        <v>124268705.21434432</v>
      </c>
      <c r="P41" s="58">
        <f t="shared" ca="1" si="74"/>
        <v>0</v>
      </c>
      <c r="Q41" s="58">
        <f ca="1">(VLOOKUP(P$2,$B$1:$F$32,5,0)*$L41)+(VLOOKUP($K41,'Withdrawal Working'!$AD:$AE,2,0)*(IFERROR(VLOOKUP(P$2,$B$35:$C$42,2,0),0)))</f>
        <v>0</v>
      </c>
      <c r="R41" s="58">
        <f>IFERROR(IF($K41&lt;VLOOKUP(P$2,$B:$H,7,0),IF(T$3=1,MIN($M41,P41),IF(HLOOKUP(CONCATENATE("Balance",T$3-1),'Withdrawal Working'!$A$2:$CD$78,MATCH('Yoy WAR OG'!$J41,'Withdrawal Working'!$A$2:$A$78,0),FALSE)&gt;0,MIN(HLOOKUP(CONCATENATE("Balance",T$3-1),'Withdrawal Working'!$A$2:$CD$78,MATCH('Yoy WAR OG'!$J41,'Withdrawal Working'!$A$2:$A$78,0),0),P41),0)),IF($K41=VLOOKUP(P$2,$B:$H,7,0),P41,)),0)</f>
        <v>0</v>
      </c>
      <c r="S41" s="58">
        <f t="shared" ca="1" si="75"/>
        <v>0</v>
      </c>
      <c r="T41" s="58"/>
      <c r="V41" s="58">
        <f t="shared" ca="1" si="27"/>
        <v>0</v>
      </c>
      <c r="W41" s="58">
        <f ca="1">(VLOOKUP(V$2,$B$1:$F$32,5,0)*$L41)+(VLOOKUP($K41,'Withdrawal Working'!$AD:$AE,2,0)*(IFERROR(VLOOKUP(V$2,$B$35:$C$42,2,0),0)))</f>
        <v>0</v>
      </c>
      <c r="X41" s="58">
        <f>IFERROR(IF($K41&lt;VLOOKUP(V$2,$B:$H,7,0),IF(Z$3=1,MIN($M41,V41),IF(HLOOKUP(CONCATENATE("Balance",Z$3-1),'Withdrawal Working'!$A$2:$CD$78,MATCH('Yoy WAR OG'!$J41,'Withdrawal Working'!$A$2:$A$78,0),FALSE)&gt;0,MIN(HLOOKUP(CONCATENATE("Balance",Z$3-1),'Withdrawal Working'!$A$2:$CD$78,MATCH('Yoy WAR OG'!$J41,'Withdrawal Working'!$A$2:$A$78,0),0),V41),0)),IF($K41=VLOOKUP(V$2,$B:$H,7,0),V41,)),0)</f>
        <v>0</v>
      </c>
      <c r="Y41" s="58">
        <f t="shared" ca="1" si="52"/>
        <v>0</v>
      </c>
      <c r="AB41" s="58">
        <f t="shared" ca="1" si="28"/>
        <v>0</v>
      </c>
      <c r="AC41" s="58">
        <f ca="1">(VLOOKUP(AB$2,$B$1:$F$32,5,0)*$L41)+(VLOOKUP($K41,'Withdrawal Working'!$AD:$AE,2,0)*(IFERROR(VLOOKUP(AB$2,$B$35:$C$42,2,0),0)))</f>
        <v>0</v>
      </c>
      <c r="AE41" s="58">
        <f t="shared" ca="1" si="53"/>
        <v>0</v>
      </c>
      <c r="AH41" s="58">
        <f t="shared" ca="1" si="29"/>
        <v>204186422.05487239</v>
      </c>
      <c r="AI41" s="58">
        <f ca="1">(VLOOKUP(AH$2,$B$1:$F$32,5,0)*$L41)+IF(J41&gt;'NWGC - SCENARIOS'!$D$7,0,(VLOOKUP($K41,'Withdrawal Working'!$AD:$AE,2,0)*(IFERROR(VLOOKUP(AH$2,$B$35:$C$42,2,0),0))))</f>
        <v>0</v>
      </c>
      <c r="AJ41" s="58">
        <f ca="1">IFERROR(IF($J41&gt;'NWGC - SCENARIOS'!$D$7,MIN('Yoy WAR OG'!AH41,VLOOKUP('Yoy WAR OG'!$J41,'Withdrawal Working'!BC:BD,2,0)),IF(AL$3=1,$M41,IF(HLOOKUP(CONCATENATE("Balance",AL$3-1),'Withdrawal Working'!$A$2:$CD$78,MATCH('Yoy WAR OG'!$J41,'Withdrawal Working'!$A$2:$A$78,0),FALSE)&gt;0,MIN(HLOOKUP(CONCATENATE("Balance",AL$3-1),'Withdrawal Working'!$A$2:$CD$78,MATCH('Yoy WAR OG'!$J41,'Withdrawal Working'!$A$2:$A$78,0),0),AH41),0))),0)</f>
        <v>44395529.578562327</v>
      </c>
      <c r="AK41" s="58">
        <f t="shared" ca="1" si="54"/>
        <v>177367890.6487042</v>
      </c>
      <c r="AN41" s="450">
        <f t="shared" ca="1" si="30"/>
        <v>663387248.56695139</v>
      </c>
      <c r="AO41" s="58">
        <f ca="1">IF(J41&gt;'NWGC - SCENARIOS'!$D$7,(IF(AJ41=0,0,'Yoy WAR OG'!AJ41)+(VLOOKUP(AN$2,$B$1:$F$32,5,0)*$L41)),(VLOOKUP(AN$2,$B$1:$F$32,5,0)*$L41)+(VLOOKUP($K41,'Withdrawal Working'!$AD:$AE,2,0)*(IFERROR(VLOOKUP(AN$2,$B$35:$C$42,2,0),0))))</f>
        <v>44395529.578562327</v>
      </c>
      <c r="AP41" s="470">
        <f ca="1">IFERROR(IF($K41&lt;&gt;VLOOKUP(AN$2,$B:$H,7,0),IF(AR$3=1,MIN($M41,AN41),IF(HLOOKUP(CONCATENATE("Balance",AR$3-1),'Withdrawal Working'!$A$2:$CD$78,MATCH('Yoy WAR OG'!$J41,'Withdrawal Working'!$A$2:$A$78,0),FALSE)&gt;0,MIN(HLOOKUP(CONCATENATE("Balance",AR$3-1),'Withdrawal Working'!$A$2:$CD$78,MATCH('Yoy WAR OG'!$J41,'Withdrawal Working'!$A$2:$A$78,0),0),AN41),0)),IF($K41=VLOOKUP(AN$2,$B:$H,7,0),AN41,)),0)</f>
        <v>38050027.416462898</v>
      </c>
      <c r="AQ41" s="58">
        <f ca="1">IF(AO41&lt;0,0,IF(J41&gt;'NWGC - SCENARIOS'!$D$7,((AN41-AP41+AO41)*(1+(IFERROR(VLOOKUP(AN$2,$B:$D,3,0),0)))),((AN41-AP41)*(1+(IFERROR(VLOOKUP(AN$2,$B:$D,3,0),0))))+AO41))</f>
        <v>706568052.01914859</v>
      </c>
      <c r="AT41" s="450">
        <f t="shared" ca="1" si="31"/>
        <v>0</v>
      </c>
      <c r="AU41" s="58">
        <f ca="1">(VLOOKUP(AT$2,$B$1:$F$32,5,0)*$L41)+(VLOOKUP($K41,'Withdrawal Working'!$AD:$AE,2,0)*(IFERROR(VLOOKUP(AT$2,$B$35:$C$42,2,0),0)))</f>
        <v>0</v>
      </c>
      <c r="AV41" s="58">
        <f>IFERROR(IF($K41&lt;VLOOKUP(AT$2,$B:$H,7,0),IF(AX$3=1,MIN($M41,AT41),IF(HLOOKUP(CONCATENATE("Balance",AX$3-1),'Withdrawal Working'!$A$2:$CD$78,MATCH('Yoy WAR OG'!$J41,'Withdrawal Working'!$A$2:$A$78,0),FALSE)&gt;0,MIN(HLOOKUP(CONCATENATE("Balance",AX$3-1),'Withdrawal Working'!$A$2:$CD$78,MATCH('Yoy WAR OG'!$J41,'Withdrawal Working'!$A$2:$A$78,0),0),AT41),0)),IF($K41=VLOOKUP(AT$2,$B:$H,7,0),AT41,)),0)</f>
        <v>0</v>
      </c>
      <c r="AW41" s="58">
        <f t="shared" ca="1" si="55"/>
        <v>0</v>
      </c>
      <c r="AZ41" s="450">
        <f t="shared" ca="1" si="32"/>
        <v>48894472.566944912</v>
      </c>
      <c r="BA41" s="58">
        <f ca="1">(VLOOKUP(AZ$2,$B$1:$F$32,5,0)*$L41)+(VLOOKUP($K41,'Withdrawal Working'!$AD:$AE,2,0)*(IFERROR(VLOOKUP(AZ$2,$B$35:$C$42,2,0),0)))</f>
        <v>0</v>
      </c>
      <c r="BB41" s="58">
        <f>IFERROR(IF($K41&lt;VLOOKUP(AZ$2,$B:$H,7,0),IF(BD$3=1,MIN($M41,AZ41),IF(HLOOKUP(CONCATENATE("Balance",BD$3-1),'Withdrawal Working'!$A$2:$CD$78,MATCH('Yoy WAR OG'!$J41,'Withdrawal Working'!$A$2:$A$78,0),FALSE)&gt;0,MIN(HLOOKUP(CONCATENATE("Balance",BD$3-1),'Withdrawal Working'!$A$2:$CD$78,MATCH('Yoy WAR OG'!$J41,'Withdrawal Working'!$A$2:$A$78,0),0),AZ41),0)),IF($K41=VLOOKUP(AZ$2,$B:$H,7,0),AZ41,)),0)</f>
        <v>0</v>
      </c>
      <c r="BC41" s="58">
        <f t="shared" ca="1" si="56"/>
        <v>52317085.646631062</v>
      </c>
      <c r="BF41" s="450">
        <f t="shared" ca="1" si="33"/>
        <v>0</v>
      </c>
      <c r="BG41" s="58">
        <f ca="1">(VLOOKUP(BF$2,$B$1:$F$32,5,0)*$L41)+(VLOOKUP($K41,'Withdrawal Working'!$AD:$AE,2,0)*(IFERROR(VLOOKUP(BF$2,$B$35:$C$42,2,0),0)))</f>
        <v>0</v>
      </c>
      <c r="BH41" s="58">
        <f>IFERROR(IF($K41&lt;VLOOKUP(BF$2,$B:$H,7,0),IF(BJ$3=1,MIN($M41,BF41),IF(HLOOKUP(CONCATENATE("Balance",BJ$3-1),'Withdrawal Working'!$A$2:$CD$78,MATCH('Yoy WAR OG'!$J41,'Withdrawal Working'!$A$2:$A$78,0),FALSE)&gt;0,MIN(HLOOKUP(CONCATENATE("Balance",BJ$3-1),'Withdrawal Working'!$A$2:$CD$78,MATCH('Yoy WAR OG'!$J41,'Withdrawal Working'!$A$2:$A$78,0),0),BF41),0)),IF($K41=VLOOKUP(BF$2,$B:$H,7,0),BF41,)),0)</f>
        <v>0</v>
      </c>
      <c r="BI41" s="58">
        <f t="shared" ca="1" si="57"/>
        <v>0</v>
      </c>
      <c r="BL41" s="450">
        <f t="shared" ca="1" si="34"/>
        <v>0</v>
      </c>
      <c r="BM41" s="58">
        <f ca="1">(VLOOKUP(BL$2,$B$1:$F$32,5,0)*$L41)+(VLOOKUP($K41,'Withdrawal Working'!$AD:$AE,2,0)*(IFERROR(VLOOKUP(BL$2,$B$35:$C$42,2,0),0)))</f>
        <v>0</v>
      </c>
      <c r="BN41" s="58">
        <f>IFERROR(IF($K41&lt;VLOOKUP(BL$2,$B:$H,7,0),IF(BP$3=1,MIN($M41,BL41),IF(HLOOKUP(CONCATENATE("Balance",BP$3-1),'Withdrawal Working'!$A$2:$CD$78,MATCH('Yoy WAR OG'!$J41,'Withdrawal Working'!$A$2:$A$78,0),FALSE)&gt;0,MIN(HLOOKUP(CONCATENATE("Balance",BP$3-1),'Withdrawal Working'!$A$2:$CD$78,MATCH('Yoy WAR OG'!$J41,'Withdrawal Working'!$A$2:$A$78,0),0),BL41),0)),IF($K41=VLOOKUP(BL$2,$B:$H,7,0),BL41,)),0)</f>
        <v>0</v>
      </c>
      <c r="BO41" s="58">
        <f t="shared" ca="1" si="58"/>
        <v>0</v>
      </c>
      <c r="BR41" s="450">
        <f t="shared" ca="1" si="35"/>
        <v>0</v>
      </c>
      <c r="BS41" s="58">
        <f ca="1">(VLOOKUP(BR$2,$B$1:$F$32,5,0)*$L41)+(VLOOKUP($K41,'Withdrawal Working'!$AD:$AE,2,0)*(IFERROR(VLOOKUP(BR$2,$B$35:$C$42,2,0),0)))</f>
        <v>0</v>
      </c>
      <c r="BT41" s="58">
        <f>IFERROR(IF($K41&lt;VLOOKUP(BR$2,$B:$H,7,0),IF(BV$3=1,MIN($M41,BR41),IF(HLOOKUP(CONCATENATE("Balance",BV$3-1),'Withdrawal Working'!$A$2:$CD$78,MATCH('Yoy WAR OG'!$J41,'Withdrawal Working'!$A$2:$A$78,0),FALSE)&gt;0,MIN(HLOOKUP(CONCATENATE("Balance",BV$3-1),'Withdrawal Working'!$A$2:$CD$78,MATCH('Yoy WAR OG'!$J41,'Withdrawal Working'!$A$2:$A$78,0),0),BR41),0)),IF($K41=VLOOKUP(BR$2,$B:$H,7,0),BR41,)),0)</f>
        <v>0</v>
      </c>
      <c r="BU41" s="58">
        <f t="shared" ca="1" si="59"/>
        <v>0</v>
      </c>
      <c r="BX41" s="450">
        <f t="shared" ca="1" si="36"/>
        <v>0</v>
      </c>
      <c r="BY41" s="58">
        <f ca="1">(VLOOKUP(BX$2,$B$1:$F$32,5,0)*$L41)+(VLOOKUP($K41,'Withdrawal Working'!$AD:$AE,2,0)*(IFERROR(VLOOKUP(BX$2,$B$35:$C$42,2,0),0)))</f>
        <v>0</v>
      </c>
      <c r="BZ41" s="58">
        <f>IFERROR(IF($K41&lt;VLOOKUP(BX$2,$B:$H,7,0),IF(CB$3=1,MIN($M41,BX41),IF(HLOOKUP(CONCATENATE("Balance",CB$3-1),'Withdrawal Working'!$A$2:$CD$78,MATCH('Yoy WAR OG'!$J41,'Withdrawal Working'!$A$2:$A$78,0),FALSE)&gt;0,MIN(HLOOKUP(CONCATENATE("Balance",CB$3-1),'Withdrawal Working'!$A$2:$CD$78,MATCH('Yoy WAR OG'!$J41,'Withdrawal Working'!$A$2:$A$78,0),0),BX41),0)),IF($K41=VLOOKUP(BX$2,$B:$H,7,0),BX41,)),0)</f>
        <v>0</v>
      </c>
      <c r="CA41" s="58">
        <f t="shared" ca="1" si="60"/>
        <v>0</v>
      </c>
      <c r="CD41" s="450">
        <f t="shared" ca="1" si="37"/>
        <v>54357210.041690104</v>
      </c>
      <c r="CE41" s="58">
        <f ca="1">(VLOOKUP(CD$2,$B$1:$F$32,5,0)*$L41)+(VLOOKUP($K41,'Withdrawal Working'!$AD:$AE,2,0)*(IFERROR(VLOOKUP(CD$2,$B$35:$C$42,2,0),0)))+SUMIFS('Key Life Events'!$I$3:$I$28,'Key Life Events'!$H$3:$H$28,"House",'Key Life Events'!$E$3:$E$28,'Yoy WAR OG'!K41)</f>
        <v>0</v>
      </c>
      <c r="CF41" s="58">
        <f>IFERROR(IF($K41&lt;VLOOKUP(CD$2,$B:$H,7,0),IF(CH$3=1,MIN($M41,CD41),IF(HLOOKUP(CONCATENATE("Balance",CH$3-1),'Withdrawal Working'!$A$2:$CD$78,MATCH('Yoy WAR OG'!$J41,'Withdrawal Working'!$A$2:$A$78,0),FALSE)&gt;0,MIN(HLOOKUP(CONCATENATE("Balance",CH$3-1),'Withdrawal Working'!$A$2:$CD$78,MATCH('Yoy WAR OG'!$J41,'Withdrawal Working'!$A$2:$A$78,0),0),CD41),0)),IF($K41=VLOOKUP(CD$2,$B:$H,7,0),CD41,)),0)</f>
        <v>0</v>
      </c>
      <c r="CG41" s="58">
        <f t="shared" ca="1" si="61"/>
        <v>55987926.342940807</v>
      </c>
      <c r="CJ41" s="450">
        <f t="shared" ca="1" si="38"/>
        <v>0</v>
      </c>
      <c r="CK41" s="58">
        <f ca="1">(VLOOKUP(CJ$2,$B$1:$F$32,5,0)*$L41)+(VLOOKUP($K41,'Withdrawal Working'!$AD:$AE,2,0)*(IFERROR(VLOOKUP(CJ$2,$B$35:$C$42,2,0),0)))+SUMIFS('Key Life Events'!$I$3:$I$28,'Key Life Events'!$H$3:$H$28,"House2",'Key Life Events'!$E$3:$E$28,'Yoy WAR OG'!K41)</f>
        <v>0</v>
      </c>
      <c r="CL41" s="58">
        <f ca="1">IF(IFERROR(IF($K41&lt;&gt;VLOOKUP(CJ$2,$B:$H,7,0),IF(CN$3=1,MIN($M41,CJ41),IF(HLOOKUP(CONCATENATE("Balance",CN$3-1),'Withdrawal Working'!$A$2:$CD$78,MATCH('Yoy WAR OG'!$J41,'Withdrawal Working'!$A$2:$A$78,0),FALSE)&gt;0,MIN(HLOOKUP(CONCATENATE("Balance",CN$3-1),'Withdrawal Working'!$A$2:$CD$78,MATCH('Yoy WAR OG'!$J41,'Withdrawal Working'!$A$2:$A$78,0),0),CJ41),0)),IF($K41=VLOOKUP(CJ$2,$B:$H,7,0),CJ41,)),0)&gt;0,CJ41,0)</f>
        <v>0</v>
      </c>
      <c r="CM41" s="58">
        <f t="shared" ca="1" si="62"/>
        <v>0</v>
      </c>
      <c r="CP41" s="450">
        <f t="shared" ca="1" si="39"/>
        <v>15203517.356926151</v>
      </c>
      <c r="CQ41" s="58">
        <f ca="1">(VLOOKUP(CP$2,$B$1:$F$32,5,0)*$L41)+(VLOOKUP($K41,'Withdrawal Working'!$AD:$AE,2,0)*(IFERROR(VLOOKUP(CP$2,$B$35:$C$42,2,0),0)))+SUMIFS('Key Life Events'!$I$3:$I$28,'Key Life Events'!$H$3:$H$28,"Land",'Key Life Events'!$E$3:$E$28,'Yoy WAR OG'!K41)</f>
        <v>0</v>
      </c>
      <c r="CR41" s="58">
        <f>IFERROR(IF($K41&lt;VLOOKUP(CP$2,$B:$H,7,0),IF(CT$3=1,MIN($M41,CP41),IF(HLOOKUP(CONCATENATE("Balance",CT$3-1),'Withdrawal Working'!$A$2:$CD$78,MATCH('Yoy WAR OG'!$J41,'Withdrawal Working'!$A$2:$A$78,0),FALSE)&gt;0,MIN(HLOOKUP(CONCATENATE("Balance",CT$3-1),'Withdrawal Working'!$A$2:$CD$78,MATCH('Yoy WAR OG'!$J41,'Withdrawal Working'!$A$2:$A$78,0),0),CP41),0)),IF($K41=VLOOKUP(CP$2,$B:$H,7,0),CP41,)),0)</f>
        <v>0</v>
      </c>
      <c r="CS41" s="58">
        <f t="shared" ca="1" si="63"/>
        <v>15963693.224772459</v>
      </c>
      <c r="CV41" s="450">
        <f t="shared" ca="1" si="40"/>
        <v>0</v>
      </c>
      <c r="CW41" s="58"/>
      <c r="CX41" s="58">
        <f>IFERROR(IF($K41&lt;VLOOKUP(CV$2,$B:$H,7,0),IF(CZ$3=1,MIN($M41,CV41),IF(HLOOKUP(CONCATENATE("Balance",CZ$3-1),'Withdrawal Working'!$A$2:$CD$78,MATCH('Yoy WAR OG'!$J41,'Withdrawal Working'!$A$2:$A$78,0),FALSE)&gt;0,MIN(HLOOKUP(CONCATENATE("Balance",CZ$3-1),'Withdrawal Working'!$A$2:$CD$78,MATCH('Yoy WAR OG'!$J41,'Withdrawal Working'!$A$2:$A$78,0),0),CV41),0)),IF($K41=VLOOKUP(CV$2,$B:$H,7,0),CV41,)),0)</f>
        <v>0</v>
      </c>
      <c r="CY41" s="58">
        <f t="shared" ca="1" si="64"/>
        <v>0</v>
      </c>
      <c r="DB41" s="450">
        <f t="shared" ca="1" si="41"/>
        <v>0</v>
      </c>
      <c r="DC41" s="58">
        <f ca="1">(VLOOKUP(DB$2,$B$1:$F$32,5,0)*$L41)+(VLOOKUP($K41,'Withdrawal Working'!$AD:$AE,2,0)*(IFERROR(VLOOKUP(DB$2,$B$35:$C$42,2,0),0)))</f>
        <v>0</v>
      </c>
      <c r="DD41" s="58">
        <f>IFERROR(IF($K41&lt;VLOOKUP(DB$2,$B:$H,7,0),IF(DF$3=1,MIN($M41,DB41),IF(HLOOKUP(CONCATENATE("Balance",DF$3-1),'Withdrawal Working'!$A$2:$CD$78,MATCH('Yoy WAR OG'!$J41,'Withdrawal Working'!$A$2:$A$78,0),FALSE)&gt;0,MIN(HLOOKUP(CONCATENATE("Balance",DF$3-1),'Withdrawal Working'!$A$2:$CD$78,MATCH('Yoy WAR OG'!$J41,'Withdrawal Working'!$A$2:$A$78,0),0),DB41),0)),IF($K41=VLOOKUP(DB$2,$B:$H,7,0),DB41,)),0)</f>
        <v>0</v>
      </c>
      <c r="DE41" s="58">
        <f t="shared" ca="1" si="65"/>
        <v>0</v>
      </c>
      <c r="DH41" s="450">
        <f t="shared" ca="1" si="42"/>
        <v>0</v>
      </c>
      <c r="DI41" s="58">
        <f>IF(OR(J41&gt;'NWGC - SCENARIOS'!$D$7,J41='NWGC - SCENARIOS'!$D$7),0,DI40*(1+'NWGC - SCENARIOS'!$L$5))</f>
        <v>0</v>
      </c>
      <c r="DJ41" s="58">
        <f>IFERROR(IF($K41&lt;VLOOKUP(DH$2,$B:$H,7,0),IF(DL$3=1,MIN($M41,DH41),IF(HLOOKUP(CONCATENATE("Balance",DL$3-1),'Withdrawal Working'!$A$2:$CD$78,MATCH('Yoy WAR OG'!$J41,'Withdrawal Working'!$A$2:$A$78,0),FALSE)&gt;0,MIN(HLOOKUP(CONCATENATE("Balance",DL$3-1),'Withdrawal Working'!$A$2:$CD$78,MATCH('Yoy WAR OG'!$J41,'Withdrawal Working'!$A$2:$A$78,0),0),DH41),0)),IF($K41=VLOOKUP(DH$2,$B:$H,7,0),DH41,)),0)</f>
        <v>0</v>
      </c>
      <c r="DK41" s="58">
        <f t="shared" ca="1" si="66"/>
        <v>0</v>
      </c>
      <c r="DN41" s="450">
        <f t="shared" ca="1" si="43"/>
        <v>0</v>
      </c>
      <c r="DO41" s="58">
        <f ca="1">(VLOOKUP(DN$2,$B$1:$F$32,5,0)*$L41)+(VLOOKUP($K41,'Withdrawal Working'!$AD:$AE,2,0)*(IFERROR(VLOOKUP(DN$2,$B$35:$C$42,2,0),0)))</f>
        <v>0</v>
      </c>
      <c r="DP41" s="58">
        <f>IFERROR(IF($K41&lt;VLOOKUP(DN$2,$B:$H,7,0),IF(DR$3=1,MIN($M41,DN41),IF(HLOOKUP(CONCATENATE("Balance",DR$3-1),'Withdrawal Working'!$A$2:$CD$78,MATCH('Yoy WAR OG'!$J41,'Withdrawal Working'!$A$2:$A$78,0),FALSE)&gt;0,MIN(HLOOKUP(CONCATENATE("Balance",DR$3-1),'Withdrawal Working'!$A$2:$CD$78,MATCH('Yoy WAR OG'!$J41,'Withdrawal Working'!$A$2:$A$78,0),0),DN41),0)),IF($K41=VLOOKUP(DN$2,$B:$H,7,0),DN41,)),0)</f>
        <v>0</v>
      </c>
      <c r="DQ41" s="58">
        <f t="shared" ca="1" si="67"/>
        <v>0</v>
      </c>
      <c r="DT41" s="450">
        <f t="shared" ca="1" si="44"/>
        <v>0</v>
      </c>
      <c r="DU41" s="58">
        <f ca="1">(VLOOKUP(DT$2,$B$1:$F$32,5,0)*$L41)+(VLOOKUP($K41,'Withdrawal Working'!$AD:$AE,2,0)*(IFERROR(VLOOKUP(DT$2,$B$35:$C$42,2,0),0)))</f>
        <v>0</v>
      </c>
      <c r="DV41" s="58">
        <f>IFERROR(IF($K41&lt;VLOOKUP(DT$2,$B:$H,7,0),IF(DX$3=1,MIN($M41,DT41),IF(HLOOKUP(CONCATENATE("Balance",DX$3-1),'Withdrawal Working'!$A$2:$CD$78,MATCH('Yoy WAR OG'!$J41,'Withdrawal Working'!$A$2:$A$78,0),FALSE)&gt;0,MIN(HLOOKUP(CONCATENATE("Balance",DX$3-1),'Withdrawal Working'!$A$2:$CD$78,MATCH('Yoy WAR OG'!$J41,'Withdrawal Working'!$A$2:$A$78,0),0),DT41),0)),IF($K41=VLOOKUP(DT$2,$B:$H,7,0),DT41,)),0)</f>
        <v>0</v>
      </c>
      <c r="DW41" s="58">
        <f t="shared" ca="1" si="68"/>
        <v>0</v>
      </c>
      <c r="DZ41" s="450">
        <f t="shared" ca="1" si="45"/>
        <v>0</v>
      </c>
      <c r="EA41" s="58">
        <f ca="1">(VLOOKUP(DZ$2,$B$1:$F$32,5,0)*$L41)+(VLOOKUP($K41,'Withdrawal Working'!$AD:$AE,2,0)*(IFERROR(VLOOKUP(DZ$2,$B$35:$C$42,2,0),0)))</f>
        <v>0</v>
      </c>
      <c r="EB41" s="58">
        <f>IFERROR(IF($K41&lt;VLOOKUP(DZ$2,$B:$H,7,0),IF(ED$3=1,MIN($M41,DZ41),IF(HLOOKUP(CONCATENATE("Balance",ED$3-1),'Withdrawal Working'!$A$2:$CD$78,MATCH('Yoy WAR OG'!$J41,'Withdrawal Working'!$A$2:$A$78,0),FALSE)&gt;0,MIN(HLOOKUP(CONCATENATE("Balance",ED$3-1),'Withdrawal Working'!$A$2:$CD$78,MATCH('Yoy WAR OG'!$J41,'Withdrawal Working'!$A$2:$A$78,0),0),DZ41),0)),IF($K41=VLOOKUP(DZ$2,$B:$H,7,0),DZ41,)),0)</f>
        <v>0</v>
      </c>
      <c r="EC41" s="58">
        <f t="shared" ca="1" si="69"/>
        <v>0</v>
      </c>
      <c r="EF41" s="450">
        <f t="shared" ca="1" si="46"/>
        <v>0</v>
      </c>
      <c r="EG41" s="58">
        <f ca="1">(VLOOKUP(EF$2,$B$1:$F$32,5,0)*$L41)+(VLOOKUP($K41,'Withdrawal Working'!$AD:$AE,2,0)*(IFERROR(VLOOKUP(EF$2,$B$35:$C$42,2,0),0)))</f>
        <v>0</v>
      </c>
      <c r="EH41" s="58">
        <f>IFERROR(IF($K41&lt;VLOOKUP(EF$2,$B:$H,7,0),IF(EJ$3=1,MIN($M41,EF41),IF(HLOOKUP(CONCATENATE("Balance",EJ$3-1),'Withdrawal Working'!$A$2:$CD$78,MATCH('Yoy WAR OG'!$J41,'Withdrawal Working'!$A$2:$A$78,0),FALSE)&gt;0,MIN(HLOOKUP(CONCATENATE("Balance",EJ$3-1),'Withdrawal Working'!$A$2:$CD$78,MATCH('Yoy WAR OG'!$J41,'Withdrawal Working'!$A$2:$A$78,0),0),EF41),0)),IF($K41=VLOOKUP(EF$2,$B:$H,7,0),EF41,)),0)</f>
        <v>0</v>
      </c>
      <c r="EI41" s="58">
        <f t="shared" ca="1" si="70"/>
        <v>0</v>
      </c>
      <c r="EL41" s="450">
        <f t="shared" ca="1" si="47"/>
        <v>0</v>
      </c>
      <c r="EM41" s="58">
        <f>IF(OR($J41&gt;'NWGC - SCENARIOS'!$D$7,$J41='NWGC - SCENARIOS'!$D$7),0,EM40)</f>
        <v>0</v>
      </c>
      <c r="EN41" s="58">
        <f>IFERROR(IF($K41&lt;VLOOKUP(EL$2,$B:$H,7,0),IF(EP$3=1,MIN($M41,EL41),IF(HLOOKUP(CONCATENATE("Balance",EP$3-1),'Withdrawal Working'!$A$2:$CD$78,MATCH('Yoy WAR OG'!$J41,'Withdrawal Working'!$A$2:$A$78,0),FALSE)&gt;0,MIN(HLOOKUP(CONCATENATE("Balance",EP$3-1),'Withdrawal Working'!$A$2:$CD$78,MATCH('Yoy WAR OG'!$J41,'Withdrawal Working'!$A$2:$A$78,0),0),EL41),0)),IF($K41=VLOOKUP(EL$2,$B:$H,7,0),EL41,)),0)</f>
        <v>0</v>
      </c>
      <c r="EO41" s="58">
        <f t="shared" ca="1" si="71"/>
        <v>0</v>
      </c>
      <c r="ER41" s="450">
        <f t="shared" ca="1" si="48"/>
        <v>0</v>
      </c>
      <c r="ES41" s="58">
        <f>IF(OR(J41&gt;'NWGC - SCENARIOS'!$D$7,J41='NWGC - SCENARIOS'!$D$7),0,ES40*(1+'NWGC - SCENARIOS'!$L$5))</f>
        <v>0</v>
      </c>
      <c r="ET41" s="58">
        <f>IFERROR(IF($K41&lt;VLOOKUP(ER$2,$B:$H,7,0),IF(EV$3=1,MIN($M41,ER41),IF(HLOOKUP(CONCATENATE("Balance",EV$3-1),'Withdrawal Working'!$A$2:$CD$78,MATCH('Yoy WAR OG'!$J41,'Withdrawal Working'!$A$2:$A$78,0),FALSE)&gt;0,MIN(HLOOKUP(CONCATENATE("Balance",EV$3-1),'Withdrawal Working'!$A$2:$CD$78,MATCH('Yoy WAR OG'!$J41,'Withdrawal Working'!$A$2:$A$78,0),0),ER41),0)),IF($K41=VLOOKUP(ER$2,$B:$H,7,0),ER41,)),0)</f>
        <v>0</v>
      </c>
      <c r="EU41" s="58">
        <f t="shared" ca="1" si="72"/>
        <v>0</v>
      </c>
      <c r="EX41" s="450">
        <f t="shared" ca="1" si="49"/>
        <v>0</v>
      </c>
      <c r="EY41" s="58">
        <f>IF(OR(J41&gt;'NWGC - SCENARIOS'!$D$7,J41='NWGC - SCENARIOS'!$D$7),0,EY40)</f>
        <v>0</v>
      </c>
      <c r="EZ41" s="58">
        <f>IFERROR(IF($K41&lt;VLOOKUP(EX$2,$B:$H,7,0),IF(FB$3=1,MIN($M41,EX41),IF(HLOOKUP(CONCATENATE("Balance",FB$3-1),'Withdrawal Working'!$A$2:$CD$78,MATCH('Yoy WAR OG'!$J41,'Withdrawal Working'!$A$2:$A$78,0),FALSE)&gt;0,MIN(HLOOKUP(CONCATENATE("Balance",FB$3-1),'Withdrawal Working'!$A$2:$CD$78,MATCH('Yoy WAR OG'!$J41,'Withdrawal Working'!$A$2:$A$78,0),0),EX41),0)),IF($K41=VLOOKUP(EX$2,$B:$H,7,0),EX41,)),0)</f>
        <v>0</v>
      </c>
      <c r="FA41" s="58">
        <f t="shared" ca="1" si="73"/>
        <v>0</v>
      </c>
    </row>
    <row r="42" spans="2:157" x14ac:dyDescent="0.3">
      <c r="J42">
        <f>IFERROR('NWGC - SCENARIOS'!B49,0)</f>
        <v>87</v>
      </c>
      <c r="K42">
        <f>IFERROR('NWGC - SCENARIOS'!C49,0)</f>
        <v>2063</v>
      </c>
      <c r="L42" s="449">
        <f ca="1">IF(('NWGC - SCENARIOS'!G49-working!G40)&gt;'NWGC - SCENARIOS'!H49,'NWGC - SCENARIOS'!G49-'NWGC - SCENARIOS'!H49-working!G40,0)</f>
        <v>0</v>
      </c>
      <c r="M42" s="449">
        <f ca="1">IF(('NWGC - SCENARIOS'!G49-working!G40)&gt;'NWGC - SCENARIOS'!H49,0,'NWGC - SCENARIOS'!H49-'NWGC - SCENARIOS'!G49+working!G40)</f>
        <v>41100749.609779932</v>
      </c>
      <c r="N42" s="58">
        <f t="shared" ca="1" si="50"/>
        <v>896308898.60497904</v>
      </c>
      <c r="O42" s="58">
        <f t="shared" ca="1" si="51"/>
        <v>130408723.66113536</v>
      </c>
      <c r="P42" s="58">
        <f t="shared" ca="1" si="74"/>
        <v>0</v>
      </c>
      <c r="Q42" s="58">
        <f ca="1">(VLOOKUP(P$2,$B$1:$F$32,5,0)*$L42)+(VLOOKUP($K42,'Withdrawal Working'!$AD:$AE,2,0)*(IFERROR(VLOOKUP(P$2,$B$35:$C$42,2,0),0)))</f>
        <v>0</v>
      </c>
      <c r="R42" s="58">
        <f>IFERROR(IF($K42&lt;VLOOKUP(P$2,$B:$H,7,0),IF(T$3=1,MIN($M42,P42),IF(HLOOKUP(CONCATENATE("Balance",T$3-1),'Withdrawal Working'!$A$2:$CD$78,MATCH('Yoy WAR OG'!$J42,'Withdrawal Working'!$A$2:$A$78,0),FALSE)&gt;0,MIN(HLOOKUP(CONCATENATE("Balance",T$3-1),'Withdrawal Working'!$A$2:$CD$78,MATCH('Yoy WAR OG'!$J42,'Withdrawal Working'!$A$2:$A$78,0),0),P42),0)),IF($K42=VLOOKUP(P$2,$B:$H,7,0),P42,)),0)</f>
        <v>0</v>
      </c>
      <c r="S42" s="58">
        <f t="shared" ca="1" si="75"/>
        <v>0</v>
      </c>
      <c r="T42" s="58"/>
      <c r="V42" s="58">
        <f t="shared" ca="1" si="27"/>
        <v>0</v>
      </c>
      <c r="W42" s="58">
        <f ca="1">(VLOOKUP(V$2,$B$1:$F$32,5,0)*$L42)+(VLOOKUP($K42,'Withdrawal Working'!$AD:$AE,2,0)*(IFERROR(VLOOKUP(V$2,$B$35:$C$42,2,0),0)))</f>
        <v>0</v>
      </c>
      <c r="X42" s="58">
        <f>IFERROR(IF($K42&lt;VLOOKUP(V$2,$B:$H,7,0),IF(Z$3=1,MIN($M42,V42),IF(HLOOKUP(CONCATENATE("Balance",Z$3-1),'Withdrawal Working'!$A$2:$CD$78,MATCH('Yoy WAR OG'!$J42,'Withdrawal Working'!$A$2:$A$78,0),FALSE)&gt;0,MIN(HLOOKUP(CONCATENATE("Balance",Z$3-1),'Withdrawal Working'!$A$2:$CD$78,MATCH('Yoy WAR OG'!$J42,'Withdrawal Working'!$A$2:$A$78,0),0),V42),0)),IF($K42=VLOOKUP(V$2,$B:$H,7,0),V42,)),0)</f>
        <v>0</v>
      </c>
      <c r="Y42" s="58">
        <f t="shared" ca="1" si="52"/>
        <v>0</v>
      </c>
      <c r="AB42" s="58">
        <f t="shared" ca="1" si="28"/>
        <v>0</v>
      </c>
      <c r="AC42" s="58">
        <f ca="1">(VLOOKUP(AB$2,$B$1:$F$32,5,0)*$L42)+(VLOOKUP($K42,'Withdrawal Working'!$AD:$AE,2,0)*(IFERROR(VLOOKUP(AB$2,$B$35:$C$42,2,0),0)))</f>
        <v>0</v>
      </c>
      <c r="AE42" s="58">
        <f t="shared" ca="1" si="53"/>
        <v>0</v>
      </c>
      <c r="AH42" s="58">
        <f t="shared" ca="1" si="29"/>
        <v>177367890.6487042</v>
      </c>
      <c r="AI42" s="58">
        <f ca="1">(VLOOKUP(AH$2,$B$1:$F$32,5,0)*$L42)+IF(J42&gt;'NWGC - SCENARIOS'!$D$7,0,(VLOOKUP($K42,'Withdrawal Working'!$AD:$AE,2,0)*(IFERROR(VLOOKUP(AH$2,$B$35:$C$42,2,0),0))))</f>
        <v>0</v>
      </c>
      <c r="AJ42" s="58">
        <f ca="1">IFERROR(IF($J42&gt;'NWGC - SCENARIOS'!$D$7,MIN('Yoy WAR OG'!AH42,VLOOKUP('Yoy WAR OG'!$J42,'Withdrawal Working'!BC:BD,2,0)),IF(AL$3=1,$M42,IF(HLOOKUP(CONCATENATE("Balance",AL$3-1),'Withdrawal Working'!$A$2:$CD$78,MATCH('Yoy WAR OG'!$J42,'Withdrawal Working'!$A$2:$A$78,0),FALSE)&gt;0,MIN(HLOOKUP(CONCATENATE("Balance",AL$3-1),'Withdrawal Working'!$A$2:$CD$78,MATCH('Yoy WAR OG'!$J42,'Withdrawal Working'!$A$2:$A$78,0),0),AH42),0))),0)</f>
        <v>47953891.944847323</v>
      </c>
      <c r="AK42" s="58">
        <f t="shared" ca="1" si="54"/>
        <v>143649538.56128114</v>
      </c>
      <c r="AN42" s="450">
        <f t="shared" ca="1" si="30"/>
        <v>706568052.01914859</v>
      </c>
      <c r="AO42" s="58">
        <f ca="1">IF(J42&gt;'NWGC - SCENARIOS'!$D$7,(IF(AJ42=0,0,'Yoy WAR OG'!AJ42)+(VLOOKUP(AN$2,$B$1:$F$32,5,0)*$L42)),(VLOOKUP(AN$2,$B$1:$F$32,5,0)*$L42)+(VLOOKUP($K42,'Withdrawal Working'!$AD:$AE,2,0)*(IFERROR(VLOOKUP(AN$2,$B$35:$C$42,2,0),0))))</f>
        <v>47953891.944847323</v>
      </c>
      <c r="AP42" s="470">
        <f ca="1">IFERROR(IF($K42&lt;&gt;VLOOKUP(AN$2,$B:$H,7,0),IF(AR$3=1,MIN($M42,AN42),IF(HLOOKUP(CONCATENATE("Balance",AR$3-1),'Withdrawal Working'!$A$2:$CD$78,MATCH('Yoy WAR OG'!$J42,'Withdrawal Working'!$A$2:$A$78,0),FALSE)&gt;0,MIN(HLOOKUP(CONCATENATE("Balance",AR$3-1),'Withdrawal Working'!$A$2:$CD$78,MATCH('Yoy WAR OG'!$J42,'Withdrawal Working'!$A$2:$A$78,0),0),AN42),0)),IF($K42=VLOOKUP(AN$2,$B:$H,7,0),AN42,)),0)</f>
        <v>41100749.609779932</v>
      </c>
      <c r="AQ42" s="58">
        <f ca="1">IF(AO42&lt;0,0,IF(J42&gt;'NWGC - SCENARIOS'!$D$7,((AN42-AP42+AO42)*(1+(IFERROR(VLOOKUP(AN$2,$B:$D,3,0),0)))),((AN42-AP42)*(1+(IFERROR(VLOOKUP(AN$2,$B:$D,3,0),0))))+AO42))</f>
        <v>752659360.04369783</v>
      </c>
      <c r="AT42" s="450">
        <f t="shared" ca="1" si="31"/>
        <v>0</v>
      </c>
      <c r="AU42" s="58">
        <f ca="1">(VLOOKUP(AT$2,$B$1:$F$32,5,0)*$L42)+(VLOOKUP($K42,'Withdrawal Working'!$AD:$AE,2,0)*(IFERROR(VLOOKUP(AT$2,$B$35:$C$42,2,0),0)))</f>
        <v>0</v>
      </c>
      <c r="AV42" s="58">
        <f>IFERROR(IF($K42&lt;VLOOKUP(AT$2,$B:$H,7,0),IF(AX$3=1,MIN($M42,AT42),IF(HLOOKUP(CONCATENATE("Balance",AX$3-1),'Withdrawal Working'!$A$2:$CD$78,MATCH('Yoy WAR OG'!$J42,'Withdrawal Working'!$A$2:$A$78,0),FALSE)&gt;0,MIN(HLOOKUP(CONCATENATE("Balance",AX$3-1),'Withdrawal Working'!$A$2:$CD$78,MATCH('Yoy WAR OG'!$J42,'Withdrawal Working'!$A$2:$A$78,0),0),AT42),0)),IF($K42=VLOOKUP(AT$2,$B:$H,7,0),AT42,)),0)</f>
        <v>0</v>
      </c>
      <c r="AW42" s="58">
        <f t="shared" ca="1" si="55"/>
        <v>0</v>
      </c>
      <c r="AZ42" s="450">
        <f t="shared" ca="1" si="32"/>
        <v>52317085.646631062</v>
      </c>
      <c r="BA42" s="58">
        <f ca="1">(VLOOKUP(AZ$2,$B$1:$F$32,5,0)*$L42)+(VLOOKUP($K42,'Withdrawal Working'!$AD:$AE,2,0)*(IFERROR(VLOOKUP(AZ$2,$B$35:$C$42,2,0),0)))</f>
        <v>0</v>
      </c>
      <c r="BB42" s="58">
        <f>IFERROR(IF($K42&lt;VLOOKUP(AZ$2,$B:$H,7,0),IF(BD$3=1,MIN($M42,AZ42),IF(HLOOKUP(CONCATENATE("Balance",BD$3-1),'Withdrawal Working'!$A$2:$CD$78,MATCH('Yoy WAR OG'!$J42,'Withdrawal Working'!$A$2:$A$78,0),FALSE)&gt;0,MIN(HLOOKUP(CONCATENATE("Balance",BD$3-1),'Withdrawal Working'!$A$2:$CD$78,MATCH('Yoy WAR OG'!$J42,'Withdrawal Working'!$A$2:$A$78,0),0),AZ42),0)),IF($K42=VLOOKUP(AZ$2,$B:$H,7,0),AZ42,)),0)</f>
        <v>0</v>
      </c>
      <c r="BC42" s="58">
        <f t="shared" ca="1" si="56"/>
        <v>55979281.641895242</v>
      </c>
      <c r="BF42" s="450">
        <f t="shared" ca="1" si="33"/>
        <v>0</v>
      </c>
      <c r="BG42" s="58">
        <f ca="1">(VLOOKUP(BF$2,$B$1:$F$32,5,0)*$L42)+(VLOOKUP($K42,'Withdrawal Working'!$AD:$AE,2,0)*(IFERROR(VLOOKUP(BF$2,$B$35:$C$42,2,0),0)))</f>
        <v>0</v>
      </c>
      <c r="BH42" s="58">
        <f>IFERROR(IF($K42&lt;VLOOKUP(BF$2,$B:$H,7,0),IF(BJ$3=1,MIN($M42,BF42),IF(HLOOKUP(CONCATENATE("Balance",BJ$3-1),'Withdrawal Working'!$A$2:$CD$78,MATCH('Yoy WAR OG'!$J42,'Withdrawal Working'!$A$2:$A$78,0),FALSE)&gt;0,MIN(HLOOKUP(CONCATENATE("Balance",BJ$3-1),'Withdrawal Working'!$A$2:$CD$78,MATCH('Yoy WAR OG'!$J42,'Withdrawal Working'!$A$2:$A$78,0),0),BF42),0)),IF($K42=VLOOKUP(BF$2,$B:$H,7,0),BF42,)),0)</f>
        <v>0</v>
      </c>
      <c r="BI42" s="58">
        <f t="shared" ca="1" si="57"/>
        <v>0</v>
      </c>
      <c r="BL42" s="450">
        <f t="shared" ca="1" si="34"/>
        <v>0</v>
      </c>
      <c r="BM42" s="58">
        <f ca="1">(VLOOKUP(BL$2,$B$1:$F$32,5,0)*$L42)+(VLOOKUP($K42,'Withdrawal Working'!$AD:$AE,2,0)*(IFERROR(VLOOKUP(BL$2,$B$35:$C$42,2,0),0)))</f>
        <v>0</v>
      </c>
      <c r="BN42" s="58">
        <f>IFERROR(IF($K42&lt;VLOOKUP(BL$2,$B:$H,7,0),IF(BP$3=1,MIN($M42,BL42),IF(HLOOKUP(CONCATENATE("Balance",BP$3-1),'Withdrawal Working'!$A$2:$CD$78,MATCH('Yoy WAR OG'!$J42,'Withdrawal Working'!$A$2:$A$78,0),FALSE)&gt;0,MIN(HLOOKUP(CONCATENATE("Balance",BP$3-1),'Withdrawal Working'!$A$2:$CD$78,MATCH('Yoy WAR OG'!$J42,'Withdrawal Working'!$A$2:$A$78,0),0),BL42),0)),IF($K42=VLOOKUP(BL$2,$B:$H,7,0),BL42,)),0)</f>
        <v>0</v>
      </c>
      <c r="BO42" s="58">
        <f t="shared" ca="1" si="58"/>
        <v>0</v>
      </c>
      <c r="BR42" s="450">
        <f t="shared" ca="1" si="35"/>
        <v>0</v>
      </c>
      <c r="BS42" s="58">
        <f ca="1">(VLOOKUP(BR$2,$B$1:$F$32,5,0)*$L42)+(VLOOKUP($K42,'Withdrawal Working'!$AD:$AE,2,0)*(IFERROR(VLOOKUP(BR$2,$B$35:$C$42,2,0),0)))</f>
        <v>0</v>
      </c>
      <c r="BT42" s="58">
        <f>IFERROR(IF($K42&lt;VLOOKUP(BR$2,$B:$H,7,0),IF(BV$3=1,MIN($M42,BR42),IF(HLOOKUP(CONCATENATE("Balance",BV$3-1),'Withdrawal Working'!$A$2:$CD$78,MATCH('Yoy WAR OG'!$J42,'Withdrawal Working'!$A$2:$A$78,0),FALSE)&gt;0,MIN(HLOOKUP(CONCATENATE("Balance",BV$3-1),'Withdrawal Working'!$A$2:$CD$78,MATCH('Yoy WAR OG'!$J42,'Withdrawal Working'!$A$2:$A$78,0),0),BR42),0)),IF($K42=VLOOKUP(BR$2,$B:$H,7,0),BR42,)),0)</f>
        <v>0</v>
      </c>
      <c r="BU42" s="58">
        <f t="shared" ca="1" si="59"/>
        <v>0</v>
      </c>
      <c r="BX42" s="450">
        <f t="shared" ca="1" si="36"/>
        <v>0</v>
      </c>
      <c r="BY42" s="58">
        <f ca="1">(VLOOKUP(BX$2,$B$1:$F$32,5,0)*$L42)+(VLOOKUP($K42,'Withdrawal Working'!$AD:$AE,2,0)*(IFERROR(VLOOKUP(BX$2,$B$35:$C$42,2,0),0)))</f>
        <v>0</v>
      </c>
      <c r="BZ42" s="58">
        <f>IFERROR(IF($K42&lt;VLOOKUP(BX$2,$B:$H,7,0),IF(CB$3=1,MIN($M42,BX42),IF(HLOOKUP(CONCATENATE("Balance",CB$3-1),'Withdrawal Working'!$A$2:$CD$78,MATCH('Yoy WAR OG'!$J42,'Withdrawal Working'!$A$2:$A$78,0),FALSE)&gt;0,MIN(HLOOKUP(CONCATENATE("Balance",CB$3-1),'Withdrawal Working'!$A$2:$CD$78,MATCH('Yoy WAR OG'!$J42,'Withdrawal Working'!$A$2:$A$78,0),0),BX42),0)),IF($K42=VLOOKUP(BX$2,$B:$H,7,0),BX42,)),0)</f>
        <v>0</v>
      </c>
      <c r="CA42" s="58">
        <f t="shared" ca="1" si="60"/>
        <v>0</v>
      </c>
      <c r="CD42" s="450">
        <f t="shared" ca="1" si="37"/>
        <v>55987926.342940807</v>
      </c>
      <c r="CE42" s="58">
        <f ca="1">(VLOOKUP(CD$2,$B$1:$F$32,5,0)*$L42)+(VLOOKUP($K42,'Withdrawal Working'!$AD:$AE,2,0)*(IFERROR(VLOOKUP(CD$2,$B$35:$C$42,2,0),0)))+SUMIFS('Key Life Events'!$I$3:$I$28,'Key Life Events'!$H$3:$H$28,"House",'Key Life Events'!$E$3:$E$28,'Yoy WAR OG'!K42)</f>
        <v>0</v>
      </c>
      <c r="CF42" s="58">
        <f>IFERROR(IF($K42&lt;VLOOKUP(CD$2,$B:$H,7,0),IF(CH$3=1,MIN($M42,CD42),IF(HLOOKUP(CONCATENATE("Balance",CH$3-1),'Withdrawal Working'!$A$2:$CD$78,MATCH('Yoy WAR OG'!$J42,'Withdrawal Working'!$A$2:$A$78,0),FALSE)&gt;0,MIN(HLOOKUP(CONCATENATE("Balance",CH$3-1),'Withdrawal Working'!$A$2:$CD$78,MATCH('Yoy WAR OG'!$J42,'Withdrawal Working'!$A$2:$A$78,0),0),CD42),0)),IF($K42=VLOOKUP(CD$2,$B:$H,7,0),CD42,)),0)</f>
        <v>0</v>
      </c>
      <c r="CG42" s="58">
        <f t="shared" ca="1" si="61"/>
        <v>57667564.133229032</v>
      </c>
      <c r="CJ42" s="450">
        <f t="shared" ca="1" si="38"/>
        <v>0</v>
      </c>
      <c r="CK42" s="58">
        <f ca="1">(VLOOKUP(CJ$2,$B$1:$F$32,5,0)*$L42)+(VLOOKUP($K42,'Withdrawal Working'!$AD:$AE,2,0)*(IFERROR(VLOOKUP(CJ$2,$B$35:$C$42,2,0),0)))+SUMIFS('Key Life Events'!$I$3:$I$28,'Key Life Events'!$H$3:$H$28,"House2",'Key Life Events'!$E$3:$E$28,'Yoy WAR OG'!K42)</f>
        <v>0</v>
      </c>
      <c r="CL42" s="58">
        <f ca="1">IF(IFERROR(IF($K42&lt;&gt;VLOOKUP(CJ$2,$B:$H,7,0),IF(CN$3=1,MIN($M42,CJ42),IF(HLOOKUP(CONCATENATE("Balance",CN$3-1),'Withdrawal Working'!$A$2:$CD$78,MATCH('Yoy WAR OG'!$J42,'Withdrawal Working'!$A$2:$A$78,0),FALSE)&gt;0,MIN(HLOOKUP(CONCATENATE("Balance",CN$3-1),'Withdrawal Working'!$A$2:$CD$78,MATCH('Yoy WAR OG'!$J42,'Withdrawal Working'!$A$2:$A$78,0),0),CJ42),0)),IF($K42=VLOOKUP(CJ$2,$B:$H,7,0),CJ42,)),0)&gt;0,CJ42,0)</f>
        <v>0</v>
      </c>
      <c r="CM42" s="58">
        <f t="shared" ca="1" si="62"/>
        <v>0</v>
      </c>
      <c r="CP42" s="450">
        <f t="shared" ca="1" si="39"/>
        <v>15963693.224772459</v>
      </c>
      <c r="CQ42" s="58">
        <f ca="1">(VLOOKUP(CP$2,$B$1:$F$32,5,0)*$L42)+(VLOOKUP($K42,'Withdrawal Working'!$AD:$AE,2,0)*(IFERROR(VLOOKUP(CP$2,$B$35:$C$42,2,0),0)))+SUMIFS('Key Life Events'!$I$3:$I$28,'Key Life Events'!$H$3:$H$28,"Land",'Key Life Events'!$E$3:$E$28,'Yoy WAR OG'!K42)</f>
        <v>0</v>
      </c>
      <c r="CR42" s="58">
        <f>IFERROR(IF($K42&lt;VLOOKUP(CP$2,$B:$H,7,0),IF(CT$3=1,MIN($M42,CP42),IF(HLOOKUP(CONCATENATE("Balance",CT$3-1),'Withdrawal Working'!$A$2:$CD$78,MATCH('Yoy WAR OG'!$J42,'Withdrawal Working'!$A$2:$A$78,0),FALSE)&gt;0,MIN(HLOOKUP(CONCATENATE("Balance",CT$3-1),'Withdrawal Working'!$A$2:$CD$78,MATCH('Yoy WAR OG'!$J42,'Withdrawal Working'!$A$2:$A$78,0),0),CP42),0)),IF($K42=VLOOKUP(CP$2,$B:$H,7,0),CP42,)),0)</f>
        <v>0</v>
      </c>
      <c r="CS42" s="58">
        <f t="shared" ca="1" si="63"/>
        <v>16761877.886011083</v>
      </c>
      <c r="CV42" s="450">
        <f t="shared" ca="1" si="40"/>
        <v>0</v>
      </c>
      <c r="CW42" s="58"/>
      <c r="CX42" s="58">
        <f>IFERROR(IF($K42&lt;VLOOKUP(CV$2,$B:$H,7,0),IF(CZ$3=1,MIN($M42,CV42),IF(HLOOKUP(CONCATENATE("Balance",CZ$3-1),'Withdrawal Working'!$A$2:$CD$78,MATCH('Yoy WAR OG'!$J42,'Withdrawal Working'!$A$2:$A$78,0),FALSE)&gt;0,MIN(HLOOKUP(CONCATENATE("Balance",CZ$3-1),'Withdrawal Working'!$A$2:$CD$78,MATCH('Yoy WAR OG'!$J42,'Withdrawal Working'!$A$2:$A$78,0),0),CV42),0)),IF($K42=VLOOKUP(CV$2,$B:$H,7,0),CV42,)),0)</f>
        <v>0</v>
      </c>
      <c r="CY42" s="58">
        <f t="shared" ca="1" si="64"/>
        <v>0</v>
      </c>
      <c r="DB42" s="450">
        <f t="shared" ca="1" si="41"/>
        <v>0</v>
      </c>
      <c r="DC42" s="58">
        <f ca="1">(VLOOKUP(DB$2,$B$1:$F$32,5,0)*$L42)+(VLOOKUP($K42,'Withdrawal Working'!$AD:$AE,2,0)*(IFERROR(VLOOKUP(DB$2,$B$35:$C$42,2,0),0)))</f>
        <v>0</v>
      </c>
      <c r="DD42" s="58">
        <f>IFERROR(IF($K42&lt;VLOOKUP(DB$2,$B:$H,7,0),IF(DF$3=1,MIN($M42,DB42),IF(HLOOKUP(CONCATENATE("Balance",DF$3-1),'Withdrawal Working'!$A$2:$CD$78,MATCH('Yoy WAR OG'!$J42,'Withdrawal Working'!$A$2:$A$78,0),FALSE)&gt;0,MIN(HLOOKUP(CONCATENATE("Balance",DF$3-1),'Withdrawal Working'!$A$2:$CD$78,MATCH('Yoy WAR OG'!$J42,'Withdrawal Working'!$A$2:$A$78,0),0),DB42),0)),IF($K42=VLOOKUP(DB$2,$B:$H,7,0),DB42,)),0)</f>
        <v>0</v>
      </c>
      <c r="DE42" s="58">
        <f t="shared" ca="1" si="65"/>
        <v>0</v>
      </c>
      <c r="DH42" s="450">
        <f t="shared" ca="1" si="42"/>
        <v>0</v>
      </c>
      <c r="DI42" s="58">
        <f>IF(OR(J42&gt;'NWGC - SCENARIOS'!$D$7,J42='NWGC - SCENARIOS'!$D$7),0,DI41*(1+'NWGC - SCENARIOS'!$L$5))</f>
        <v>0</v>
      </c>
      <c r="DJ42" s="58">
        <f>IFERROR(IF($K42&lt;VLOOKUP(DH$2,$B:$H,7,0),IF(DL$3=1,MIN($M42,DH42),IF(HLOOKUP(CONCATENATE("Balance",DL$3-1),'Withdrawal Working'!$A$2:$CD$78,MATCH('Yoy WAR OG'!$J42,'Withdrawal Working'!$A$2:$A$78,0),FALSE)&gt;0,MIN(HLOOKUP(CONCATENATE("Balance",DL$3-1),'Withdrawal Working'!$A$2:$CD$78,MATCH('Yoy WAR OG'!$J42,'Withdrawal Working'!$A$2:$A$78,0),0),DH42),0)),IF($K42=VLOOKUP(DH$2,$B:$H,7,0),DH42,)),0)</f>
        <v>0</v>
      </c>
      <c r="DK42" s="58">
        <f t="shared" ca="1" si="66"/>
        <v>0</v>
      </c>
      <c r="DN42" s="450">
        <f t="shared" ca="1" si="43"/>
        <v>0</v>
      </c>
      <c r="DO42" s="58">
        <f ca="1">(VLOOKUP(DN$2,$B$1:$F$32,5,0)*$L42)+(VLOOKUP($K42,'Withdrawal Working'!$AD:$AE,2,0)*(IFERROR(VLOOKUP(DN$2,$B$35:$C$42,2,0),0)))</f>
        <v>0</v>
      </c>
      <c r="DP42" s="58">
        <f>IFERROR(IF($K42&lt;VLOOKUP(DN$2,$B:$H,7,0),IF(DR$3=1,MIN($M42,DN42),IF(HLOOKUP(CONCATENATE("Balance",DR$3-1),'Withdrawal Working'!$A$2:$CD$78,MATCH('Yoy WAR OG'!$J42,'Withdrawal Working'!$A$2:$A$78,0),FALSE)&gt;0,MIN(HLOOKUP(CONCATENATE("Balance",DR$3-1),'Withdrawal Working'!$A$2:$CD$78,MATCH('Yoy WAR OG'!$J42,'Withdrawal Working'!$A$2:$A$78,0),0),DN42),0)),IF($K42=VLOOKUP(DN$2,$B:$H,7,0),DN42,)),0)</f>
        <v>0</v>
      </c>
      <c r="DQ42" s="58">
        <f t="shared" ca="1" si="67"/>
        <v>0</v>
      </c>
      <c r="DT42" s="450">
        <f t="shared" ca="1" si="44"/>
        <v>0</v>
      </c>
      <c r="DU42" s="58">
        <f ca="1">(VLOOKUP(DT$2,$B$1:$F$32,5,0)*$L42)+(VLOOKUP($K42,'Withdrawal Working'!$AD:$AE,2,0)*(IFERROR(VLOOKUP(DT$2,$B$35:$C$42,2,0),0)))</f>
        <v>0</v>
      </c>
      <c r="DV42" s="58">
        <f>IFERROR(IF($K42&lt;VLOOKUP(DT$2,$B:$H,7,0),IF(DX$3=1,MIN($M42,DT42),IF(HLOOKUP(CONCATENATE("Balance",DX$3-1),'Withdrawal Working'!$A$2:$CD$78,MATCH('Yoy WAR OG'!$J42,'Withdrawal Working'!$A$2:$A$78,0),FALSE)&gt;0,MIN(HLOOKUP(CONCATENATE("Balance",DX$3-1),'Withdrawal Working'!$A$2:$CD$78,MATCH('Yoy WAR OG'!$J42,'Withdrawal Working'!$A$2:$A$78,0),0),DT42),0)),IF($K42=VLOOKUP(DT$2,$B:$H,7,0),DT42,)),0)</f>
        <v>0</v>
      </c>
      <c r="DW42" s="58">
        <f t="shared" ca="1" si="68"/>
        <v>0</v>
      </c>
      <c r="DZ42" s="450">
        <f t="shared" ca="1" si="45"/>
        <v>0</v>
      </c>
      <c r="EA42" s="58">
        <f ca="1">(VLOOKUP(DZ$2,$B$1:$F$32,5,0)*$L42)+(VLOOKUP($K42,'Withdrawal Working'!$AD:$AE,2,0)*(IFERROR(VLOOKUP(DZ$2,$B$35:$C$42,2,0),0)))</f>
        <v>0</v>
      </c>
      <c r="EB42" s="58">
        <f>IFERROR(IF($K42&lt;VLOOKUP(DZ$2,$B:$H,7,0),IF(ED$3=1,MIN($M42,DZ42),IF(HLOOKUP(CONCATENATE("Balance",ED$3-1),'Withdrawal Working'!$A$2:$CD$78,MATCH('Yoy WAR OG'!$J42,'Withdrawal Working'!$A$2:$A$78,0),FALSE)&gt;0,MIN(HLOOKUP(CONCATENATE("Balance",ED$3-1),'Withdrawal Working'!$A$2:$CD$78,MATCH('Yoy WAR OG'!$J42,'Withdrawal Working'!$A$2:$A$78,0),0),DZ42),0)),IF($K42=VLOOKUP(DZ$2,$B:$H,7,0),DZ42,)),0)</f>
        <v>0</v>
      </c>
      <c r="EC42" s="58">
        <f t="shared" ca="1" si="69"/>
        <v>0</v>
      </c>
      <c r="EF42" s="450">
        <f t="shared" ca="1" si="46"/>
        <v>0</v>
      </c>
      <c r="EG42" s="58">
        <f ca="1">(VLOOKUP(EF$2,$B$1:$F$32,5,0)*$L42)+(VLOOKUP($K42,'Withdrawal Working'!$AD:$AE,2,0)*(IFERROR(VLOOKUP(EF$2,$B$35:$C$42,2,0),0)))</f>
        <v>0</v>
      </c>
      <c r="EH42" s="58">
        <f>IFERROR(IF($K42&lt;VLOOKUP(EF$2,$B:$H,7,0),IF(EJ$3=1,MIN($M42,EF42),IF(HLOOKUP(CONCATENATE("Balance",EJ$3-1),'Withdrawal Working'!$A$2:$CD$78,MATCH('Yoy WAR OG'!$J42,'Withdrawal Working'!$A$2:$A$78,0),FALSE)&gt;0,MIN(HLOOKUP(CONCATENATE("Balance",EJ$3-1),'Withdrawal Working'!$A$2:$CD$78,MATCH('Yoy WAR OG'!$J42,'Withdrawal Working'!$A$2:$A$78,0),0),EF42),0)),IF($K42=VLOOKUP(EF$2,$B:$H,7,0),EF42,)),0)</f>
        <v>0</v>
      </c>
      <c r="EI42" s="58">
        <f t="shared" ca="1" si="70"/>
        <v>0</v>
      </c>
      <c r="EL42" s="450">
        <f t="shared" ca="1" si="47"/>
        <v>0</v>
      </c>
      <c r="EM42" s="58">
        <f>IF(OR($J42&gt;'NWGC - SCENARIOS'!$D$7,$J42='NWGC - SCENARIOS'!$D$7),0,EM41)</f>
        <v>0</v>
      </c>
      <c r="EN42" s="58">
        <f>IFERROR(IF($K42&lt;VLOOKUP(EL$2,$B:$H,7,0),IF(EP$3=1,MIN($M42,EL42),IF(HLOOKUP(CONCATENATE("Balance",EP$3-1),'Withdrawal Working'!$A$2:$CD$78,MATCH('Yoy WAR OG'!$J42,'Withdrawal Working'!$A$2:$A$78,0),FALSE)&gt;0,MIN(HLOOKUP(CONCATENATE("Balance",EP$3-1),'Withdrawal Working'!$A$2:$CD$78,MATCH('Yoy WAR OG'!$J42,'Withdrawal Working'!$A$2:$A$78,0),0),EL42),0)),IF($K42=VLOOKUP(EL$2,$B:$H,7,0),EL42,)),0)</f>
        <v>0</v>
      </c>
      <c r="EO42" s="58">
        <f t="shared" ca="1" si="71"/>
        <v>0</v>
      </c>
      <c r="ER42" s="450">
        <f t="shared" ca="1" si="48"/>
        <v>0</v>
      </c>
      <c r="ES42" s="58">
        <f>IF(OR(J42&gt;'NWGC - SCENARIOS'!$D$7,J42='NWGC - SCENARIOS'!$D$7),0,ES41*(1+'NWGC - SCENARIOS'!$L$5))</f>
        <v>0</v>
      </c>
      <c r="ET42" s="58">
        <f>IFERROR(IF($K42&lt;VLOOKUP(ER$2,$B:$H,7,0),IF(EV$3=1,MIN($M42,ER42),IF(HLOOKUP(CONCATENATE("Balance",EV$3-1),'Withdrawal Working'!$A$2:$CD$78,MATCH('Yoy WAR OG'!$J42,'Withdrawal Working'!$A$2:$A$78,0),FALSE)&gt;0,MIN(HLOOKUP(CONCATENATE("Balance",EV$3-1),'Withdrawal Working'!$A$2:$CD$78,MATCH('Yoy WAR OG'!$J42,'Withdrawal Working'!$A$2:$A$78,0),0),ER42),0)),IF($K42=VLOOKUP(ER$2,$B:$H,7,0),ER42,)),0)</f>
        <v>0</v>
      </c>
      <c r="EU42" s="58">
        <f t="shared" ca="1" si="72"/>
        <v>0</v>
      </c>
      <c r="EX42" s="450">
        <f t="shared" ca="1" si="49"/>
        <v>0</v>
      </c>
      <c r="EY42" s="58">
        <f>IF(OR(J42&gt;'NWGC - SCENARIOS'!$D$7,J42='NWGC - SCENARIOS'!$D$7),0,EY41)</f>
        <v>0</v>
      </c>
      <c r="EZ42" s="58">
        <f>IFERROR(IF($K42&lt;VLOOKUP(EX$2,$B:$H,7,0),IF(FB$3=1,MIN($M42,EX42),IF(HLOOKUP(CONCATENATE("Balance",FB$3-1),'Withdrawal Working'!$A$2:$CD$78,MATCH('Yoy WAR OG'!$J42,'Withdrawal Working'!$A$2:$A$78,0),FALSE)&gt;0,MIN(HLOOKUP(CONCATENATE("Balance",FB$3-1),'Withdrawal Working'!$A$2:$CD$78,MATCH('Yoy WAR OG'!$J42,'Withdrawal Working'!$A$2:$A$78,0),0),EX42),0)),IF($K42=VLOOKUP(EX$2,$B:$H,7,0),EX42,)),0)</f>
        <v>0</v>
      </c>
      <c r="FA42" s="58">
        <f t="shared" ca="1" si="73"/>
        <v>0</v>
      </c>
    </row>
    <row r="43" spans="2:157" x14ac:dyDescent="0.3">
      <c r="J43">
        <f>IFERROR('NWGC - SCENARIOS'!B50,0)</f>
        <v>88</v>
      </c>
      <c r="K43">
        <f>IFERROR('NWGC - SCENARIOS'!C50,0)</f>
        <v>2064</v>
      </c>
      <c r="L43" s="449">
        <f ca="1">IF(('NWGC - SCENARIOS'!G50-working!G41)&gt;'NWGC - SCENARIOS'!H50,'NWGC - SCENARIOS'!G50-'NWGC - SCENARIOS'!H50-working!G41,0)</f>
        <v>0</v>
      </c>
      <c r="M43" s="449">
        <f ca="1">IF(('NWGC - SCENARIOS'!G50-working!G41)&gt;'NWGC - SCENARIOS'!H50,0,'NWGC - SCENARIOS'!H50-'NWGC - SCENARIOS'!G50+working!G41)</f>
        <v>44395529.578562327</v>
      </c>
      <c r="N43" s="58">
        <f t="shared" ca="1" si="50"/>
        <v>903820498.16221595</v>
      </c>
      <c r="O43" s="58">
        <f t="shared" ca="1" si="51"/>
        <v>136895394.19436547</v>
      </c>
      <c r="P43" s="58">
        <f t="shared" ca="1" si="74"/>
        <v>0</v>
      </c>
      <c r="Q43" s="58">
        <f ca="1">(VLOOKUP(P$2,$B$1:$F$32,5,0)*$L43)+(VLOOKUP($K43,'Withdrawal Working'!$AD:$AE,2,0)*(IFERROR(VLOOKUP(P$2,$B$35:$C$42,2,0),0)))</f>
        <v>0</v>
      </c>
      <c r="R43" s="58">
        <f>IFERROR(IF($K43&lt;VLOOKUP(P$2,$B:$H,7,0),IF(T$3=1,MIN($M43,P43),IF(HLOOKUP(CONCATENATE("Balance",T$3-1),'Withdrawal Working'!$A$2:$CD$78,MATCH('Yoy WAR OG'!$J43,'Withdrawal Working'!$A$2:$A$78,0),FALSE)&gt;0,MIN(HLOOKUP(CONCATENATE("Balance",T$3-1),'Withdrawal Working'!$A$2:$CD$78,MATCH('Yoy WAR OG'!$J43,'Withdrawal Working'!$A$2:$A$78,0),0),P43),0)),IF($K43=VLOOKUP(P$2,$B:$H,7,0),P43,)),0)</f>
        <v>0</v>
      </c>
      <c r="S43" s="58">
        <f t="shared" ca="1" si="75"/>
        <v>0</v>
      </c>
      <c r="T43" s="58"/>
      <c r="V43" s="58">
        <f t="shared" ca="1" si="27"/>
        <v>0</v>
      </c>
      <c r="W43" s="58">
        <f ca="1">(VLOOKUP(V$2,$B$1:$F$32,5,0)*$L43)+(VLOOKUP($K43,'Withdrawal Working'!$AD:$AE,2,0)*(IFERROR(VLOOKUP(V$2,$B$35:$C$42,2,0),0)))</f>
        <v>0</v>
      </c>
      <c r="X43" s="58">
        <f>IFERROR(IF($K43&lt;VLOOKUP(V$2,$B:$H,7,0),IF(Z$3=1,MIN($M43,V43),IF(HLOOKUP(CONCATENATE("Balance",Z$3-1),'Withdrawal Working'!$A$2:$CD$78,MATCH('Yoy WAR OG'!$J43,'Withdrawal Working'!$A$2:$A$78,0),FALSE)&gt;0,MIN(HLOOKUP(CONCATENATE("Balance",Z$3-1),'Withdrawal Working'!$A$2:$CD$78,MATCH('Yoy WAR OG'!$J43,'Withdrawal Working'!$A$2:$A$78,0),0),V43),0)),IF($K43=VLOOKUP(V$2,$B:$H,7,0),V43,)),0)</f>
        <v>0</v>
      </c>
      <c r="Y43" s="58">
        <f t="shared" ca="1" si="52"/>
        <v>0</v>
      </c>
      <c r="AB43" s="58">
        <f t="shared" ca="1" si="28"/>
        <v>0</v>
      </c>
      <c r="AC43" s="58">
        <f ca="1">(VLOOKUP(AB$2,$B$1:$F$32,5,0)*$L43)+(VLOOKUP($K43,'Withdrawal Working'!$AD:$AE,2,0)*(IFERROR(VLOOKUP(AB$2,$B$35:$C$42,2,0),0)))</f>
        <v>0</v>
      </c>
      <c r="AE43" s="58">
        <f t="shared" ca="1" si="53"/>
        <v>0</v>
      </c>
      <c r="AH43" s="58">
        <f t="shared" ca="1" si="29"/>
        <v>143649538.56128114</v>
      </c>
      <c r="AI43" s="58">
        <f ca="1">(VLOOKUP(AH$2,$B$1:$F$32,5,0)*$L43)+IF(J43&gt;'NWGC - SCENARIOS'!$D$7,0,(VLOOKUP($K43,'Withdrawal Working'!$AD:$AE,2,0)*(IFERROR(VLOOKUP(AH$2,$B$35:$C$42,2,0),0))))</f>
        <v>0</v>
      </c>
      <c r="AJ43" s="58">
        <f ca="1">IFERROR(IF($J43&gt;'NWGC - SCENARIOS'!$D$7,MIN('Yoy WAR OG'!AH43,VLOOKUP('Yoy WAR OG'!$J43,'Withdrawal Working'!BC:BD,2,0)),IF(AL$3=1,$M43,IF(HLOOKUP(CONCATENATE("Balance",AL$3-1),'Withdrawal Working'!$A$2:$CD$78,MATCH('Yoy WAR OG'!$J43,'Withdrawal Working'!$A$2:$A$78,0),FALSE)&gt;0,MIN(HLOOKUP(CONCATENATE("Balance",AL$3-1),'Withdrawal Working'!$A$2:$CD$78,MATCH('Yoy WAR OG'!$J43,'Withdrawal Working'!$A$2:$A$78,0),0),AH43),0))),0)</f>
        <v>51796923.300435111</v>
      </c>
      <c r="AK43" s="58">
        <f t="shared" ca="1" si="54"/>
        <v>101956402.9395391</v>
      </c>
      <c r="AN43" s="450">
        <f t="shared" ca="1" si="30"/>
        <v>752659360.04369783</v>
      </c>
      <c r="AO43" s="58">
        <f ca="1">IF(J43&gt;'NWGC - SCENARIOS'!$D$7,(IF(AJ43=0,0,'Yoy WAR OG'!AJ43)+(VLOOKUP(AN$2,$B$1:$F$32,5,0)*$L43)),(VLOOKUP(AN$2,$B$1:$F$32,5,0)*$L43)+(VLOOKUP($K43,'Withdrawal Working'!$AD:$AE,2,0)*(IFERROR(VLOOKUP(AN$2,$B$35:$C$42,2,0),0))))</f>
        <v>51796923.300435111</v>
      </c>
      <c r="AP43" s="470">
        <f ca="1">IFERROR(IF($K43&lt;&gt;VLOOKUP(AN$2,$B:$H,7,0),IF(AR$3=1,MIN($M43,AN43),IF(HLOOKUP(CONCATENATE("Balance",AR$3-1),'Withdrawal Working'!$A$2:$CD$78,MATCH('Yoy WAR OG'!$J43,'Withdrawal Working'!$A$2:$A$78,0),FALSE)&gt;0,MIN(HLOOKUP(CONCATENATE("Balance",AR$3-1),'Withdrawal Working'!$A$2:$CD$78,MATCH('Yoy WAR OG'!$J43,'Withdrawal Working'!$A$2:$A$78,0),0),AN43),0)),IF($K43=VLOOKUP(AN$2,$B:$H,7,0),AN43,)),0)</f>
        <v>44395529.578562327</v>
      </c>
      <c r="AQ43" s="58">
        <f ca="1">IF(AO43&lt;0,0,IF(J43&gt;'NWGC - SCENARIOS'!$D$7,((AN43-AP43+AO43)*(1+(IFERROR(VLOOKUP(AN$2,$B:$D,3,0),0)))),((AN43-AP43)*(1+(IFERROR(VLOOKUP(AN$2,$B:$D,3,0),0))))+AO43))</f>
        <v>801864095.22267687</v>
      </c>
      <c r="AT43" s="450">
        <f t="shared" ca="1" si="31"/>
        <v>0</v>
      </c>
      <c r="AU43" s="58">
        <f ca="1">(VLOOKUP(AT$2,$B$1:$F$32,5,0)*$L43)+(VLOOKUP($K43,'Withdrawal Working'!$AD:$AE,2,0)*(IFERROR(VLOOKUP(AT$2,$B$35:$C$42,2,0),0)))</f>
        <v>0</v>
      </c>
      <c r="AV43" s="58">
        <f>IFERROR(IF($K43&lt;VLOOKUP(AT$2,$B:$H,7,0),IF(AX$3=1,MIN($M43,AT43),IF(HLOOKUP(CONCATENATE("Balance",AX$3-1),'Withdrawal Working'!$A$2:$CD$78,MATCH('Yoy WAR OG'!$J43,'Withdrawal Working'!$A$2:$A$78,0),FALSE)&gt;0,MIN(HLOOKUP(CONCATENATE("Balance",AX$3-1),'Withdrawal Working'!$A$2:$CD$78,MATCH('Yoy WAR OG'!$J43,'Withdrawal Working'!$A$2:$A$78,0),0),AT43),0)),IF($K43=VLOOKUP(AT$2,$B:$H,7,0),AT43,)),0)</f>
        <v>0</v>
      </c>
      <c r="AW43" s="58">
        <f t="shared" ca="1" si="55"/>
        <v>0</v>
      </c>
      <c r="AZ43" s="450">
        <f t="shared" ca="1" si="32"/>
        <v>55979281.641895242</v>
      </c>
      <c r="BA43" s="58">
        <f ca="1">(VLOOKUP(AZ$2,$B$1:$F$32,5,0)*$L43)+(VLOOKUP($K43,'Withdrawal Working'!$AD:$AE,2,0)*(IFERROR(VLOOKUP(AZ$2,$B$35:$C$42,2,0),0)))</f>
        <v>0</v>
      </c>
      <c r="BB43" s="58">
        <f>IFERROR(IF($K43&lt;VLOOKUP(AZ$2,$B:$H,7,0),IF(BD$3=1,MIN($M43,AZ43),IF(HLOOKUP(CONCATENATE("Balance",BD$3-1),'Withdrawal Working'!$A$2:$CD$78,MATCH('Yoy WAR OG'!$J43,'Withdrawal Working'!$A$2:$A$78,0),FALSE)&gt;0,MIN(HLOOKUP(CONCATENATE("Balance",BD$3-1),'Withdrawal Working'!$A$2:$CD$78,MATCH('Yoy WAR OG'!$J43,'Withdrawal Working'!$A$2:$A$78,0),0),AZ43),0)),IF($K43=VLOOKUP(AZ$2,$B:$H,7,0),AZ43,)),0)</f>
        <v>0</v>
      </c>
      <c r="BC43" s="58">
        <f t="shared" ca="1" si="56"/>
        <v>59897831.356827915</v>
      </c>
      <c r="BF43" s="450">
        <f t="shared" ca="1" si="33"/>
        <v>0</v>
      </c>
      <c r="BG43" s="58">
        <f ca="1">(VLOOKUP(BF$2,$B$1:$F$32,5,0)*$L43)+(VLOOKUP($K43,'Withdrawal Working'!$AD:$AE,2,0)*(IFERROR(VLOOKUP(BF$2,$B$35:$C$42,2,0),0)))</f>
        <v>0</v>
      </c>
      <c r="BH43" s="58">
        <f>IFERROR(IF($K43&lt;VLOOKUP(BF$2,$B:$H,7,0),IF(BJ$3=1,MIN($M43,BF43),IF(HLOOKUP(CONCATENATE("Balance",BJ$3-1),'Withdrawal Working'!$A$2:$CD$78,MATCH('Yoy WAR OG'!$J43,'Withdrawal Working'!$A$2:$A$78,0),FALSE)&gt;0,MIN(HLOOKUP(CONCATENATE("Balance",BJ$3-1),'Withdrawal Working'!$A$2:$CD$78,MATCH('Yoy WAR OG'!$J43,'Withdrawal Working'!$A$2:$A$78,0),0),BF43),0)),IF($K43=VLOOKUP(BF$2,$B:$H,7,0),BF43,)),0)</f>
        <v>0</v>
      </c>
      <c r="BI43" s="58">
        <f t="shared" ca="1" si="57"/>
        <v>0</v>
      </c>
      <c r="BL43" s="450">
        <f t="shared" ca="1" si="34"/>
        <v>0</v>
      </c>
      <c r="BM43" s="58">
        <f ca="1">(VLOOKUP(BL$2,$B$1:$F$32,5,0)*$L43)+(VLOOKUP($K43,'Withdrawal Working'!$AD:$AE,2,0)*(IFERROR(VLOOKUP(BL$2,$B$35:$C$42,2,0),0)))</f>
        <v>0</v>
      </c>
      <c r="BN43" s="58">
        <f>IFERROR(IF($K43&lt;VLOOKUP(BL$2,$B:$H,7,0),IF(BP$3=1,MIN($M43,BL43),IF(HLOOKUP(CONCATENATE("Balance",BP$3-1),'Withdrawal Working'!$A$2:$CD$78,MATCH('Yoy WAR OG'!$J43,'Withdrawal Working'!$A$2:$A$78,0),FALSE)&gt;0,MIN(HLOOKUP(CONCATENATE("Balance",BP$3-1),'Withdrawal Working'!$A$2:$CD$78,MATCH('Yoy WAR OG'!$J43,'Withdrawal Working'!$A$2:$A$78,0),0),BL43),0)),IF($K43=VLOOKUP(BL$2,$B:$H,7,0),BL43,)),0)</f>
        <v>0</v>
      </c>
      <c r="BO43" s="58">
        <f t="shared" ca="1" si="58"/>
        <v>0</v>
      </c>
      <c r="BR43" s="450">
        <f t="shared" ca="1" si="35"/>
        <v>0</v>
      </c>
      <c r="BS43" s="58">
        <f ca="1">(VLOOKUP(BR$2,$B$1:$F$32,5,0)*$L43)+(VLOOKUP($K43,'Withdrawal Working'!$AD:$AE,2,0)*(IFERROR(VLOOKUP(BR$2,$B$35:$C$42,2,0),0)))</f>
        <v>0</v>
      </c>
      <c r="BT43" s="58">
        <f>IFERROR(IF($K43&lt;VLOOKUP(BR$2,$B:$H,7,0),IF(BV$3=1,MIN($M43,BR43),IF(HLOOKUP(CONCATENATE("Balance",BV$3-1),'Withdrawal Working'!$A$2:$CD$78,MATCH('Yoy WAR OG'!$J43,'Withdrawal Working'!$A$2:$A$78,0),FALSE)&gt;0,MIN(HLOOKUP(CONCATENATE("Balance",BV$3-1),'Withdrawal Working'!$A$2:$CD$78,MATCH('Yoy WAR OG'!$J43,'Withdrawal Working'!$A$2:$A$78,0),0),BR43),0)),IF($K43=VLOOKUP(BR$2,$B:$H,7,0),BR43,)),0)</f>
        <v>0</v>
      </c>
      <c r="BU43" s="58">
        <f t="shared" ca="1" si="59"/>
        <v>0</v>
      </c>
      <c r="BX43" s="450">
        <f t="shared" ca="1" si="36"/>
        <v>0</v>
      </c>
      <c r="BY43" s="58">
        <f ca="1">(VLOOKUP(BX$2,$B$1:$F$32,5,0)*$L43)+(VLOOKUP($K43,'Withdrawal Working'!$AD:$AE,2,0)*(IFERROR(VLOOKUP(BX$2,$B$35:$C$42,2,0),0)))</f>
        <v>0</v>
      </c>
      <c r="BZ43" s="58">
        <f>IFERROR(IF($K43&lt;VLOOKUP(BX$2,$B:$H,7,0),IF(CB$3=1,MIN($M43,BX43),IF(HLOOKUP(CONCATENATE("Balance",CB$3-1),'Withdrawal Working'!$A$2:$CD$78,MATCH('Yoy WAR OG'!$J43,'Withdrawal Working'!$A$2:$A$78,0),FALSE)&gt;0,MIN(HLOOKUP(CONCATENATE("Balance",CB$3-1),'Withdrawal Working'!$A$2:$CD$78,MATCH('Yoy WAR OG'!$J43,'Withdrawal Working'!$A$2:$A$78,0),0),BX43),0)),IF($K43=VLOOKUP(BX$2,$B:$H,7,0),BX43,)),0)</f>
        <v>0</v>
      </c>
      <c r="CA43" s="58">
        <f t="shared" ca="1" si="60"/>
        <v>0</v>
      </c>
      <c r="CD43" s="450">
        <f t="shared" ca="1" si="37"/>
        <v>57667564.133229032</v>
      </c>
      <c r="CE43" s="58">
        <f ca="1">(VLOOKUP(CD$2,$B$1:$F$32,5,0)*$L43)+(VLOOKUP($K43,'Withdrawal Working'!$AD:$AE,2,0)*(IFERROR(VLOOKUP(CD$2,$B$35:$C$42,2,0),0)))+SUMIFS('Key Life Events'!$I$3:$I$28,'Key Life Events'!$H$3:$H$28,"House",'Key Life Events'!$E$3:$E$28,'Yoy WAR OG'!K43)</f>
        <v>0</v>
      </c>
      <c r="CF43" s="58">
        <f>IFERROR(IF($K43&lt;VLOOKUP(CD$2,$B:$H,7,0),IF(CH$3=1,MIN($M43,CD43),IF(HLOOKUP(CONCATENATE("Balance",CH$3-1),'Withdrawal Working'!$A$2:$CD$78,MATCH('Yoy WAR OG'!$J43,'Withdrawal Working'!$A$2:$A$78,0),FALSE)&gt;0,MIN(HLOOKUP(CONCATENATE("Balance",CH$3-1),'Withdrawal Working'!$A$2:$CD$78,MATCH('Yoy WAR OG'!$J43,'Withdrawal Working'!$A$2:$A$78,0),0),CD43),0)),IF($K43=VLOOKUP(CD$2,$B:$H,7,0),CD43,)),0)</f>
        <v>0</v>
      </c>
      <c r="CG43" s="58">
        <f t="shared" ca="1" si="61"/>
        <v>59397591.057225905</v>
      </c>
      <c r="CJ43" s="450">
        <f t="shared" ca="1" si="38"/>
        <v>0</v>
      </c>
      <c r="CK43" s="58">
        <f ca="1">(VLOOKUP(CJ$2,$B$1:$F$32,5,0)*$L43)+(VLOOKUP($K43,'Withdrawal Working'!$AD:$AE,2,0)*(IFERROR(VLOOKUP(CJ$2,$B$35:$C$42,2,0),0)))+SUMIFS('Key Life Events'!$I$3:$I$28,'Key Life Events'!$H$3:$H$28,"House2",'Key Life Events'!$E$3:$E$28,'Yoy WAR OG'!K43)</f>
        <v>0</v>
      </c>
      <c r="CL43" s="58">
        <f ca="1">IF(IFERROR(IF($K43&lt;&gt;VLOOKUP(CJ$2,$B:$H,7,0),IF(CN$3=1,MIN($M43,CJ43),IF(HLOOKUP(CONCATENATE("Balance",CN$3-1),'Withdrawal Working'!$A$2:$CD$78,MATCH('Yoy WAR OG'!$J43,'Withdrawal Working'!$A$2:$A$78,0),FALSE)&gt;0,MIN(HLOOKUP(CONCATENATE("Balance",CN$3-1),'Withdrawal Working'!$A$2:$CD$78,MATCH('Yoy WAR OG'!$J43,'Withdrawal Working'!$A$2:$A$78,0),0),CJ43),0)),IF($K43=VLOOKUP(CJ$2,$B:$H,7,0),CJ43,)),0)&gt;0,CJ43,0)</f>
        <v>0</v>
      </c>
      <c r="CM43" s="58">
        <f t="shared" ca="1" si="62"/>
        <v>0</v>
      </c>
      <c r="CP43" s="450">
        <f t="shared" ca="1" si="39"/>
        <v>16761877.886011083</v>
      </c>
      <c r="CQ43" s="58">
        <f ca="1">(VLOOKUP(CP$2,$B$1:$F$32,5,0)*$L43)+(VLOOKUP($K43,'Withdrawal Working'!$AD:$AE,2,0)*(IFERROR(VLOOKUP(CP$2,$B$35:$C$42,2,0),0)))+SUMIFS('Key Life Events'!$I$3:$I$28,'Key Life Events'!$H$3:$H$28,"Land",'Key Life Events'!$E$3:$E$28,'Yoy WAR OG'!K43)</f>
        <v>0</v>
      </c>
      <c r="CR43" s="58">
        <f>IFERROR(IF($K43&lt;VLOOKUP(CP$2,$B:$H,7,0),IF(CT$3=1,MIN($M43,CP43),IF(HLOOKUP(CONCATENATE("Balance",CT$3-1),'Withdrawal Working'!$A$2:$CD$78,MATCH('Yoy WAR OG'!$J43,'Withdrawal Working'!$A$2:$A$78,0),FALSE)&gt;0,MIN(HLOOKUP(CONCATENATE("Balance",CT$3-1),'Withdrawal Working'!$A$2:$CD$78,MATCH('Yoy WAR OG'!$J43,'Withdrawal Working'!$A$2:$A$78,0),0),CP43),0)),IF($K43=VLOOKUP(CP$2,$B:$H,7,0),CP43,)),0)</f>
        <v>0</v>
      </c>
      <c r="CS43" s="58">
        <f t="shared" ca="1" si="63"/>
        <v>17599971.780311637</v>
      </c>
      <c r="CV43" s="450">
        <f t="shared" ca="1" si="40"/>
        <v>0</v>
      </c>
      <c r="CW43" s="58"/>
      <c r="CX43" s="58">
        <f>IFERROR(IF($K43&lt;VLOOKUP(CV$2,$B:$H,7,0),IF(CZ$3=1,MIN($M43,CV43),IF(HLOOKUP(CONCATENATE("Balance",CZ$3-1),'Withdrawal Working'!$A$2:$CD$78,MATCH('Yoy WAR OG'!$J43,'Withdrawal Working'!$A$2:$A$78,0),FALSE)&gt;0,MIN(HLOOKUP(CONCATENATE("Balance",CZ$3-1),'Withdrawal Working'!$A$2:$CD$78,MATCH('Yoy WAR OG'!$J43,'Withdrawal Working'!$A$2:$A$78,0),0),CV43),0)),IF($K43=VLOOKUP(CV$2,$B:$H,7,0),CV43,)),0)</f>
        <v>0</v>
      </c>
      <c r="CY43" s="58">
        <f t="shared" ca="1" si="64"/>
        <v>0</v>
      </c>
      <c r="DB43" s="450">
        <f t="shared" ca="1" si="41"/>
        <v>0</v>
      </c>
      <c r="DC43" s="58">
        <f ca="1">(VLOOKUP(DB$2,$B$1:$F$32,5,0)*$L43)+(VLOOKUP($K43,'Withdrawal Working'!$AD:$AE,2,0)*(IFERROR(VLOOKUP(DB$2,$B$35:$C$42,2,0),0)))</f>
        <v>0</v>
      </c>
      <c r="DD43" s="58">
        <f>IFERROR(IF($K43&lt;VLOOKUP(DB$2,$B:$H,7,0),IF(DF$3=1,MIN($M43,DB43),IF(HLOOKUP(CONCATENATE("Balance",DF$3-1),'Withdrawal Working'!$A$2:$CD$78,MATCH('Yoy WAR OG'!$J43,'Withdrawal Working'!$A$2:$A$78,0),FALSE)&gt;0,MIN(HLOOKUP(CONCATENATE("Balance",DF$3-1),'Withdrawal Working'!$A$2:$CD$78,MATCH('Yoy WAR OG'!$J43,'Withdrawal Working'!$A$2:$A$78,0),0),DB43),0)),IF($K43=VLOOKUP(DB$2,$B:$H,7,0),DB43,)),0)</f>
        <v>0</v>
      </c>
      <c r="DE43" s="58">
        <f t="shared" ca="1" si="65"/>
        <v>0</v>
      </c>
      <c r="DH43" s="450">
        <f t="shared" ca="1" si="42"/>
        <v>0</v>
      </c>
      <c r="DI43" s="58">
        <f>IF(OR(J43&gt;'NWGC - SCENARIOS'!$D$7,J43='NWGC - SCENARIOS'!$D$7),0,DI42*(1+'NWGC - SCENARIOS'!$L$5))</f>
        <v>0</v>
      </c>
      <c r="DJ43" s="58">
        <f>IFERROR(IF($K43&lt;VLOOKUP(DH$2,$B:$H,7,0),IF(DL$3=1,MIN($M43,DH43),IF(HLOOKUP(CONCATENATE("Balance",DL$3-1),'Withdrawal Working'!$A$2:$CD$78,MATCH('Yoy WAR OG'!$J43,'Withdrawal Working'!$A$2:$A$78,0),FALSE)&gt;0,MIN(HLOOKUP(CONCATENATE("Balance",DL$3-1),'Withdrawal Working'!$A$2:$CD$78,MATCH('Yoy WAR OG'!$J43,'Withdrawal Working'!$A$2:$A$78,0),0),DH43),0)),IF($K43=VLOOKUP(DH$2,$B:$H,7,0),DH43,)),0)</f>
        <v>0</v>
      </c>
      <c r="DK43" s="58">
        <f t="shared" ca="1" si="66"/>
        <v>0</v>
      </c>
      <c r="DN43" s="450">
        <f t="shared" ca="1" si="43"/>
        <v>0</v>
      </c>
      <c r="DO43" s="58">
        <f ca="1">(VLOOKUP(DN$2,$B$1:$F$32,5,0)*$L43)+(VLOOKUP($K43,'Withdrawal Working'!$AD:$AE,2,0)*(IFERROR(VLOOKUP(DN$2,$B$35:$C$42,2,0),0)))</f>
        <v>0</v>
      </c>
      <c r="DP43" s="58">
        <f>IFERROR(IF($K43&lt;VLOOKUP(DN$2,$B:$H,7,0),IF(DR$3=1,MIN($M43,DN43),IF(HLOOKUP(CONCATENATE("Balance",DR$3-1),'Withdrawal Working'!$A$2:$CD$78,MATCH('Yoy WAR OG'!$J43,'Withdrawal Working'!$A$2:$A$78,0),FALSE)&gt;0,MIN(HLOOKUP(CONCATENATE("Balance",DR$3-1),'Withdrawal Working'!$A$2:$CD$78,MATCH('Yoy WAR OG'!$J43,'Withdrawal Working'!$A$2:$A$78,0),0),DN43),0)),IF($K43=VLOOKUP(DN$2,$B:$H,7,0),DN43,)),0)</f>
        <v>0</v>
      </c>
      <c r="DQ43" s="58">
        <f t="shared" ca="1" si="67"/>
        <v>0</v>
      </c>
      <c r="DT43" s="450">
        <f t="shared" ca="1" si="44"/>
        <v>0</v>
      </c>
      <c r="DU43" s="58">
        <f ca="1">(VLOOKUP(DT$2,$B$1:$F$32,5,0)*$L43)+(VLOOKUP($K43,'Withdrawal Working'!$AD:$AE,2,0)*(IFERROR(VLOOKUP(DT$2,$B$35:$C$42,2,0),0)))</f>
        <v>0</v>
      </c>
      <c r="DV43" s="58">
        <f>IFERROR(IF($K43&lt;VLOOKUP(DT$2,$B:$H,7,0),IF(DX$3=1,MIN($M43,DT43),IF(HLOOKUP(CONCATENATE("Balance",DX$3-1),'Withdrawal Working'!$A$2:$CD$78,MATCH('Yoy WAR OG'!$J43,'Withdrawal Working'!$A$2:$A$78,0),FALSE)&gt;0,MIN(HLOOKUP(CONCATENATE("Balance",DX$3-1),'Withdrawal Working'!$A$2:$CD$78,MATCH('Yoy WAR OG'!$J43,'Withdrawal Working'!$A$2:$A$78,0),0),DT43),0)),IF($K43=VLOOKUP(DT$2,$B:$H,7,0),DT43,)),0)</f>
        <v>0</v>
      </c>
      <c r="DW43" s="58">
        <f t="shared" ca="1" si="68"/>
        <v>0</v>
      </c>
      <c r="DZ43" s="450">
        <f t="shared" ca="1" si="45"/>
        <v>0</v>
      </c>
      <c r="EA43" s="58">
        <f ca="1">(VLOOKUP(DZ$2,$B$1:$F$32,5,0)*$L43)+(VLOOKUP($K43,'Withdrawal Working'!$AD:$AE,2,0)*(IFERROR(VLOOKUP(DZ$2,$B$35:$C$42,2,0),0)))</f>
        <v>0</v>
      </c>
      <c r="EB43" s="58">
        <f>IFERROR(IF($K43&lt;VLOOKUP(DZ$2,$B:$H,7,0),IF(ED$3=1,MIN($M43,DZ43),IF(HLOOKUP(CONCATENATE("Balance",ED$3-1),'Withdrawal Working'!$A$2:$CD$78,MATCH('Yoy WAR OG'!$J43,'Withdrawal Working'!$A$2:$A$78,0),FALSE)&gt;0,MIN(HLOOKUP(CONCATENATE("Balance",ED$3-1),'Withdrawal Working'!$A$2:$CD$78,MATCH('Yoy WAR OG'!$J43,'Withdrawal Working'!$A$2:$A$78,0),0),DZ43),0)),IF($K43=VLOOKUP(DZ$2,$B:$H,7,0),DZ43,)),0)</f>
        <v>0</v>
      </c>
      <c r="EC43" s="58">
        <f t="shared" ca="1" si="69"/>
        <v>0</v>
      </c>
      <c r="EF43" s="450">
        <f t="shared" ca="1" si="46"/>
        <v>0</v>
      </c>
      <c r="EG43" s="58">
        <f ca="1">(VLOOKUP(EF$2,$B$1:$F$32,5,0)*$L43)+(VLOOKUP($K43,'Withdrawal Working'!$AD:$AE,2,0)*(IFERROR(VLOOKUP(EF$2,$B$35:$C$42,2,0),0)))</f>
        <v>0</v>
      </c>
      <c r="EH43" s="58">
        <f>IFERROR(IF($K43&lt;VLOOKUP(EF$2,$B:$H,7,0),IF(EJ$3=1,MIN($M43,EF43),IF(HLOOKUP(CONCATENATE("Balance",EJ$3-1),'Withdrawal Working'!$A$2:$CD$78,MATCH('Yoy WAR OG'!$J43,'Withdrawal Working'!$A$2:$A$78,0),FALSE)&gt;0,MIN(HLOOKUP(CONCATENATE("Balance",EJ$3-1),'Withdrawal Working'!$A$2:$CD$78,MATCH('Yoy WAR OG'!$J43,'Withdrawal Working'!$A$2:$A$78,0),0),EF43),0)),IF($K43=VLOOKUP(EF$2,$B:$H,7,0),EF43,)),0)</f>
        <v>0</v>
      </c>
      <c r="EI43" s="58">
        <f t="shared" ca="1" si="70"/>
        <v>0</v>
      </c>
      <c r="EL43" s="450">
        <f t="shared" ca="1" si="47"/>
        <v>0</v>
      </c>
      <c r="EM43" s="58">
        <f>IF(OR($J43&gt;'NWGC - SCENARIOS'!$D$7,$J43='NWGC - SCENARIOS'!$D$7),0,EM42)</f>
        <v>0</v>
      </c>
      <c r="EN43" s="58">
        <f>IFERROR(IF($K43&lt;VLOOKUP(EL$2,$B:$H,7,0),IF(EP$3=1,MIN($M43,EL43),IF(HLOOKUP(CONCATENATE("Balance",EP$3-1),'Withdrawal Working'!$A$2:$CD$78,MATCH('Yoy WAR OG'!$J43,'Withdrawal Working'!$A$2:$A$78,0),FALSE)&gt;0,MIN(HLOOKUP(CONCATENATE("Balance",EP$3-1),'Withdrawal Working'!$A$2:$CD$78,MATCH('Yoy WAR OG'!$J43,'Withdrawal Working'!$A$2:$A$78,0),0),EL43),0)),IF($K43=VLOOKUP(EL$2,$B:$H,7,0),EL43,)),0)</f>
        <v>0</v>
      </c>
      <c r="EO43" s="58">
        <f t="shared" ca="1" si="71"/>
        <v>0</v>
      </c>
      <c r="ER43" s="450">
        <f t="shared" ca="1" si="48"/>
        <v>0</v>
      </c>
      <c r="ES43" s="58">
        <f>IF(OR(J43&gt;'NWGC - SCENARIOS'!$D$7,J43='NWGC - SCENARIOS'!$D$7),0,ES42*(1+'NWGC - SCENARIOS'!$L$5))</f>
        <v>0</v>
      </c>
      <c r="ET43" s="58">
        <f>IFERROR(IF($K43&lt;VLOOKUP(ER$2,$B:$H,7,0),IF(EV$3=1,MIN($M43,ER43),IF(HLOOKUP(CONCATENATE("Balance",EV$3-1),'Withdrawal Working'!$A$2:$CD$78,MATCH('Yoy WAR OG'!$J43,'Withdrawal Working'!$A$2:$A$78,0),FALSE)&gt;0,MIN(HLOOKUP(CONCATENATE("Balance",EV$3-1),'Withdrawal Working'!$A$2:$CD$78,MATCH('Yoy WAR OG'!$J43,'Withdrawal Working'!$A$2:$A$78,0),0),ER43),0)),IF($K43=VLOOKUP(ER$2,$B:$H,7,0),ER43,)),0)</f>
        <v>0</v>
      </c>
      <c r="EU43" s="58">
        <f t="shared" ca="1" si="72"/>
        <v>0</v>
      </c>
      <c r="EX43" s="450">
        <f t="shared" ca="1" si="49"/>
        <v>0</v>
      </c>
      <c r="EY43" s="58">
        <f>IF(OR(J43&gt;'NWGC - SCENARIOS'!$D$7,J43='NWGC - SCENARIOS'!$D$7),0,EY42)</f>
        <v>0</v>
      </c>
      <c r="EZ43" s="58">
        <f>IFERROR(IF($K43&lt;VLOOKUP(EX$2,$B:$H,7,0),IF(FB$3=1,MIN($M43,EX43),IF(HLOOKUP(CONCATENATE("Balance",FB$3-1),'Withdrawal Working'!$A$2:$CD$78,MATCH('Yoy WAR OG'!$J43,'Withdrawal Working'!$A$2:$A$78,0),FALSE)&gt;0,MIN(HLOOKUP(CONCATENATE("Balance",FB$3-1),'Withdrawal Working'!$A$2:$CD$78,MATCH('Yoy WAR OG'!$J43,'Withdrawal Working'!$A$2:$A$78,0),0),EX43),0)),IF($K43=VLOOKUP(EX$2,$B:$H,7,0),EX43,)),0)</f>
        <v>0</v>
      </c>
      <c r="FA43" s="58">
        <f t="shared" ca="1" si="73"/>
        <v>0</v>
      </c>
    </row>
    <row r="44" spans="2:157" x14ac:dyDescent="0.3">
      <c r="J44">
        <f>IFERROR('NWGC - SCENARIOS'!B51,0)</f>
        <v>89</v>
      </c>
      <c r="K44">
        <f>IFERROR('NWGC - SCENARIOS'!C51,0)</f>
        <v>2065</v>
      </c>
      <c r="L44" s="449">
        <f ca="1">IF(('NWGC - SCENARIOS'!G51-working!G42)&gt;'NWGC - SCENARIOS'!H51,'NWGC - SCENARIOS'!G51-'NWGC - SCENARIOS'!H51-working!G42,0)</f>
        <v>0</v>
      </c>
      <c r="M44" s="449">
        <f ca="1">IF(('NWGC - SCENARIOS'!G51-working!G42)&gt;'NWGC - SCENARIOS'!H51,0,'NWGC - SCENARIOS'!H51-'NWGC - SCENARIOS'!G51+working!G42)</f>
        <v>47953891.944847323</v>
      </c>
      <c r="N44" s="58">
        <f t="shared" ca="1" si="50"/>
        <v>905469764.87695277</v>
      </c>
      <c r="O44" s="58">
        <f t="shared" ca="1" si="51"/>
        <v>143750168.71007577</v>
      </c>
      <c r="P44" s="58">
        <f t="shared" ca="1" si="74"/>
        <v>0</v>
      </c>
      <c r="Q44" s="58">
        <f ca="1">(VLOOKUP(P$2,$B$1:$F$32,5,0)*$L44)+(VLOOKUP($K44,'Withdrawal Working'!$AD:$AE,2,0)*(IFERROR(VLOOKUP(P$2,$B$35:$C$42,2,0),0)))</f>
        <v>0</v>
      </c>
      <c r="R44" s="58">
        <f>IFERROR(IF($K44&lt;VLOOKUP(P$2,$B:$H,7,0),IF(T$3=1,MIN($M44,P44),IF(HLOOKUP(CONCATENATE("Balance",T$3-1),'Withdrawal Working'!$A$2:$CD$78,MATCH('Yoy WAR OG'!$J44,'Withdrawal Working'!$A$2:$A$78,0),FALSE)&gt;0,MIN(HLOOKUP(CONCATENATE("Balance",T$3-1),'Withdrawal Working'!$A$2:$CD$78,MATCH('Yoy WAR OG'!$J44,'Withdrawal Working'!$A$2:$A$78,0),0),P44),0)),IF($K44=VLOOKUP(P$2,$B:$H,7,0),P44,)),0)</f>
        <v>0</v>
      </c>
      <c r="S44" s="58">
        <f t="shared" ca="1" si="75"/>
        <v>0</v>
      </c>
      <c r="T44" s="58"/>
      <c r="V44" s="58">
        <f t="shared" ca="1" si="27"/>
        <v>0</v>
      </c>
      <c r="W44" s="58">
        <f ca="1">(VLOOKUP(V$2,$B$1:$F$32,5,0)*$L44)+(VLOOKUP($K44,'Withdrawal Working'!$AD:$AE,2,0)*(IFERROR(VLOOKUP(V$2,$B$35:$C$42,2,0),0)))</f>
        <v>0</v>
      </c>
      <c r="X44" s="58">
        <f>IFERROR(IF($K44&lt;VLOOKUP(V$2,$B:$H,7,0),IF(Z$3=1,MIN($M44,V44),IF(HLOOKUP(CONCATENATE("Balance",Z$3-1),'Withdrawal Working'!$A$2:$CD$78,MATCH('Yoy WAR OG'!$J44,'Withdrawal Working'!$A$2:$A$78,0),FALSE)&gt;0,MIN(HLOOKUP(CONCATENATE("Balance",Z$3-1),'Withdrawal Working'!$A$2:$CD$78,MATCH('Yoy WAR OG'!$J44,'Withdrawal Working'!$A$2:$A$78,0),0),V44),0)),IF($K44=VLOOKUP(V$2,$B:$H,7,0),V44,)),0)</f>
        <v>0</v>
      </c>
      <c r="Y44" s="58">
        <f t="shared" ca="1" si="52"/>
        <v>0</v>
      </c>
      <c r="AB44" s="58">
        <f t="shared" ca="1" si="28"/>
        <v>0</v>
      </c>
      <c r="AC44" s="58">
        <f ca="1">(VLOOKUP(AB$2,$B$1:$F$32,5,0)*$L44)+(VLOOKUP($K44,'Withdrawal Working'!$AD:$AE,2,0)*(IFERROR(VLOOKUP(AB$2,$B$35:$C$42,2,0),0)))</f>
        <v>0</v>
      </c>
      <c r="AE44" s="58">
        <f t="shared" ca="1" si="53"/>
        <v>0</v>
      </c>
      <c r="AH44" s="58">
        <f t="shared" ca="1" si="29"/>
        <v>101956402.9395391</v>
      </c>
      <c r="AI44" s="58">
        <f ca="1">(VLOOKUP(AH$2,$B$1:$F$32,5,0)*$L44)+IF(J44&gt;'NWGC - SCENARIOS'!$D$7,0,(VLOOKUP($K44,'Withdrawal Working'!$AD:$AE,2,0)*(IFERROR(VLOOKUP(AH$2,$B$35:$C$42,2,0),0))))</f>
        <v>0</v>
      </c>
      <c r="AJ44" s="58">
        <f ca="1">IFERROR(IF($J44&gt;'NWGC - SCENARIOS'!$D$7,MIN('Yoy WAR OG'!AH44,VLOOKUP('Yoy WAR OG'!$J44,'Withdrawal Working'!BC:BD,2,0)),IF(AL$3=1,$M44,IF(HLOOKUP(CONCATENATE("Balance",AL$3-1),'Withdrawal Working'!$A$2:$CD$78,MATCH('Yoy WAR OG'!$J44,'Withdrawal Working'!$A$2:$A$78,0),FALSE)&gt;0,MIN(HLOOKUP(CONCATENATE("Balance",AL$3-1),'Withdrawal Working'!$A$2:$CD$78,MATCH('Yoy WAR OG'!$J44,'Withdrawal Working'!$A$2:$A$78,0),0),AH44),0))),0)</f>
        <v>55947397.164469905</v>
      </c>
      <c r="AK44" s="58">
        <f t="shared" ca="1" si="54"/>
        <v>51069996.410326816</v>
      </c>
      <c r="AN44" s="450">
        <f t="shared" ca="1" si="30"/>
        <v>801864095.22267687</v>
      </c>
      <c r="AO44" s="58">
        <f ca="1">IF(J44&gt;'NWGC - SCENARIOS'!$D$7,(IF(AJ44=0,0,'Yoy WAR OG'!AJ44)+(VLOOKUP(AN$2,$B$1:$F$32,5,0)*$L44)),(VLOOKUP(AN$2,$B$1:$F$32,5,0)*$L44)+(VLOOKUP($K44,'Withdrawal Working'!$AD:$AE,2,0)*(IFERROR(VLOOKUP(AN$2,$B$35:$C$42,2,0),0))))</f>
        <v>55947397.164469905</v>
      </c>
      <c r="AP44" s="470">
        <f ca="1">IFERROR(IF($K44&lt;&gt;VLOOKUP(AN$2,$B:$H,7,0),IF(AR$3=1,MIN($M44,AN44),IF(HLOOKUP(CONCATENATE("Balance",AR$3-1),'Withdrawal Working'!$A$2:$CD$78,MATCH('Yoy WAR OG'!$J44,'Withdrawal Working'!$A$2:$A$78,0),FALSE)&gt;0,MIN(HLOOKUP(CONCATENATE("Balance",AR$3-1),'Withdrawal Working'!$A$2:$CD$78,MATCH('Yoy WAR OG'!$J44,'Withdrawal Working'!$A$2:$A$78,0),0),AN44),0)),IF($K44=VLOOKUP(AN$2,$B:$H,7,0),AN44,)),0)</f>
        <v>47953891.944847323</v>
      </c>
      <c r="AQ44" s="58">
        <f ca="1">IF(AO44&lt;0,0,IF(J44&gt;'NWGC - SCENARIOS'!$D$7,((AN44-AP44+AO44)*(1+(IFERROR(VLOOKUP(AN$2,$B:$D,3,0),0)))),((AN44-AP44)*(1+(IFERROR(VLOOKUP(AN$2,$B:$D,3,0),0))))+AO44))</f>
        <v>854399768.46662593</v>
      </c>
      <c r="AT44" s="450">
        <f t="shared" ca="1" si="31"/>
        <v>0</v>
      </c>
      <c r="AU44" s="58">
        <f ca="1">(VLOOKUP(AT$2,$B$1:$F$32,5,0)*$L44)+(VLOOKUP($K44,'Withdrawal Working'!$AD:$AE,2,0)*(IFERROR(VLOOKUP(AT$2,$B$35:$C$42,2,0),0)))</f>
        <v>0</v>
      </c>
      <c r="AV44" s="58">
        <f>IFERROR(IF($K44&lt;VLOOKUP(AT$2,$B:$H,7,0),IF(AX$3=1,MIN($M44,AT44),IF(HLOOKUP(CONCATENATE("Balance",AX$3-1),'Withdrawal Working'!$A$2:$CD$78,MATCH('Yoy WAR OG'!$J44,'Withdrawal Working'!$A$2:$A$78,0),FALSE)&gt;0,MIN(HLOOKUP(CONCATENATE("Balance",AX$3-1),'Withdrawal Working'!$A$2:$CD$78,MATCH('Yoy WAR OG'!$J44,'Withdrawal Working'!$A$2:$A$78,0),0),AT44),0)),IF($K44=VLOOKUP(AT$2,$B:$H,7,0),AT44,)),0)</f>
        <v>0</v>
      </c>
      <c r="AW44" s="58">
        <f t="shared" ca="1" si="55"/>
        <v>0</v>
      </c>
      <c r="AZ44" s="450">
        <f t="shared" ca="1" si="32"/>
        <v>59897831.356827915</v>
      </c>
      <c r="BA44" s="58">
        <f ca="1">(VLOOKUP(AZ$2,$B$1:$F$32,5,0)*$L44)+(VLOOKUP($K44,'Withdrawal Working'!$AD:$AE,2,0)*(IFERROR(VLOOKUP(AZ$2,$B$35:$C$42,2,0),0)))</f>
        <v>0</v>
      </c>
      <c r="BB44" s="58">
        <f>IFERROR(IF($K44&lt;VLOOKUP(AZ$2,$B:$H,7,0),IF(BD$3=1,MIN($M44,AZ44),IF(HLOOKUP(CONCATENATE("Balance",BD$3-1),'Withdrawal Working'!$A$2:$CD$78,MATCH('Yoy WAR OG'!$J44,'Withdrawal Working'!$A$2:$A$78,0),FALSE)&gt;0,MIN(HLOOKUP(CONCATENATE("Balance",BD$3-1),'Withdrawal Working'!$A$2:$CD$78,MATCH('Yoy WAR OG'!$J44,'Withdrawal Working'!$A$2:$A$78,0),0),AZ44),0)),IF($K44=VLOOKUP(AZ$2,$B:$H,7,0),AZ44,)),0)</f>
        <v>0</v>
      </c>
      <c r="BC44" s="58">
        <f t="shared" ca="1" si="56"/>
        <v>64090679.551805869</v>
      </c>
      <c r="BF44" s="450">
        <f t="shared" ca="1" si="33"/>
        <v>0</v>
      </c>
      <c r="BG44" s="58">
        <f ca="1">(VLOOKUP(BF$2,$B$1:$F$32,5,0)*$L44)+(VLOOKUP($K44,'Withdrawal Working'!$AD:$AE,2,0)*(IFERROR(VLOOKUP(BF$2,$B$35:$C$42,2,0),0)))</f>
        <v>0</v>
      </c>
      <c r="BH44" s="58">
        <f>IFERROR(IF($K44&lt;VLOOKUP(BF$2,$B:$H,7,0),IF(BJ$3=1,MIN($M44,BF44),IF(HLOOKUP(CONCATENATE("Balance",BJ$3-1),'Withdrawal Working'!$A$2:$CD$78,MATCH('Yoy WAR OG'!$J44,'Withdrawal Working'!$A$2:$A$78,0),FALSE)&gt;0,MIN(HLOOKUP(CONCATENATE("Balance",BJ$3-1),'Withdrawal Working'!$A$2:$CD$78,MATCH('Yoy WAR OG'!$J44,'Withdrawal Working'!$A$2:$A$78,0),0),BF44),0)),IF($K44=VLOOKUP(BF$2,$B:$H,7,0),BF44,)),0)</f>
        <v>0</v>
      </c>
      <c r="BI44" s="58">
        <f t="shared" ca="1" si="57"/>
        <v>0</v>
      </c>
      <c r="BL44" s="450">
        <f t="shared" ca="1" si="34"/>
        <v>0</v>
      </c>
      <c r="BM44" s="58">
        <f ca="1">(VLOOKUP(BL$2,$B$1:$F$32,5,0)*$L44)+(VLOOKUP($K44,'Withdrawal Working'!$AD:$AE,2,0)*(IFERROR(VLOOKUP(BL$2,$B$35:$C$42,2,0),0)))</f>
        <v>0</v>
      </c>
      <c r="BN44" s="58">
        <f>IFERROR(IF($K44&lt;VLOOKUP(BL$2,$B:$H,7,0),IF(BP$3=1,MIN($M44,BL44),IF(HLOOKUP(CONCATENATE("Balance",BP$3-1),'Withdrawal Working'!$A$2:$CD$78,MATCH('Yoy WAR OG'!$J44,'Withdrawal Working'!$A$2:$A$78,0),FALSE)&gt;0,MIN(HLOOKUP(CONCATENATE("Balance",BP$3-1),'Withdrawal Working'!$A$2:$CD$78,MATCH('Yoy WAR OG'!$J44,'Withdrawal Working'!$A$2:$A$78,0),0),BL44),0)),IF($K44=VLOOKUP(BL$2,$B:$H,7,0),BL44,)),0)</f>
        <v>0</v>
      </c>
      <c r="BO44" s="58">
        <f t="shared" ca="1" si="58"/>
        <v>0</v>
      </c>
      <c r="BR44" s="450">
        <f t="shared" ca="1" si="35"/>
        <v>0</v>
      </c>
      <c r="BS44" s="58">
        <f ca="1">(VLOOKUP(BR$2,$B$1:$F$32,5,0)*$L44)+(VLOOKUP($K44,'Withdrawal Working'!$AD:$AE,2,0)*(IFERROR(VLOOKUP(BR$2,$B$35:$C$42,2,0),0)))</f>
        <v>0</v>
      </c>
      <c r="BT44" s="58">
        <f>IFERROR(IF($K44&lt;VLOOKUP(BR$2,$B:$H,7,0),IF(BV$3=1,MIN($M44,BR44),IF(HLOOKUP(CONCATENATE("Balance",BV$3-1),'Withdrawal Working'!$A$2:$CD$78,MATCH('Yoy WAR OG'!$J44,'Withdrawal Working'!$A$2:$A$78,0),FALSE)&gt;0,MIN(HLOOKUP(CONCATENATE("Balance",BV$3-1),'Withdrawal Working'!$A$2:$CD$78,MATCH('Yoy WAR OG'!$J44,'Withdrawal Working'!$A$2:$A$78,0),0),BR44),0)),IF($K44=VLOOKUP(BR$2,$B:$H,7,0),BR44,)),0)</f>
        <v>0</v>
      </c>
      <c r="BU44" s="58">
        <f t="shared" ca="1" si="59"/>
        <v>0</v>
      </c>
      <c r="BX44" s="450">
        <f t="shared" ca="1" si="36"/>
        <v>0</v>
      </c>
      <c r="BY44" s="58">
        <f ca="1">(VLOOKUP(BX$2,$B$1:$F$32,5,0)*$L44)+(VLOOKUP($K44,'Withdrawal Working'!$AD:$AE,2,0)*(IFERROR(VLOOKUP(BX$2,$B$35:$C$42,2,0),0)))</f>
        <v>0</v>
      </c>
      <c r="BZ44" s="58">
        <f>IFERROR(IF($K44&lt;VLOOKUP(BX$2,$B:$H,7,0),IF(CB$3=1,MIN($M44,BX44),IF(HLOOKUP(CONCATENATE("Balance",CB$3-1),'Withdrawal Working'!$A$2:$CD$78,MATCH('Yoy WAR OG'!$J44,'Withdrawal Working'!$A$2:$A$78,0),FALSE)&gt;0,MIN(HLOOKUP(CONCATENATE("Balance",CB$3-1),'Withdrawal Working'!$A$2:$CD$78,MATCH('Yoy WAR OG'!$J44,'Withdrawal Working'!$A$2:$A$78,0),0),BX44),0)),IF($K44=VLOOKUP(BX$2,$B:$H,7,0),BX44,)),0)</f>
        <v>0</v>
      </c>
      <c r="CA44" s="58">
        <f t="shared" ca="1" si="60"/>
        <v>0</v>
      </c>
      <c r="CD44" s="450">
        <f t="shared" ca="1" si="37"/>
        <v>59397591.057225905</v>
      </c>
      <c r="CE44" s="58">
        <f ca="1">(VLOOKUP(CD$2,$B$1:$F$32,5,0)*$L44)+(VLOOKUP($K44,'Withdrawal Working'!$AD:$AE,2,0)*(IFERROR(VLOOKUP(CD$2,$B$35:$C$42,2,0),0)))+SUMIFS('Key Life Events'!$I$3:$I$28,'Key Life Events'!$H$3:$H$28,"House",'Key Life Events'!$E$3:$E$28,'Yoy WAR OG'!K44)</f>
        <v>0</v>
      </c>
      <c r="CF44" s="58">
        <f>IFERROR(IF($K44&lt;VLOOKUP(CD$2,$B:$H,7,0),IF(CH$3=1,MIN($M44,CD44),IF(HLOOKUP(CONCATENATE("Balance",CH$3-1),'Withdrawal Working'!$A$2:$CD$78,MATCH('Yoy WAR OG'!$J44,'Withdrawal Working'!$A$2:$A$78,0),FALSE)&gt;0,MIN(HLOOKUP(CONCATENATE("Balance",CH$3-1),'Withdrawal Working'!$A$2:$CD$78,MATCH('Yoy WAR OG'!$J44,'Withdrawal Working'!$A$2:$A$78,0),0),CD44),0)),IF($K44=VLOOKUP(CD$2,$B:$H,7,0),CD44,)),0)</f>
        <v>0</v>
      </c>
      <c r="CG44" s="58">
        <f t="shared" ca="1" si="61"/>
        <v>61179518.788942687</v>
      </c>
      <c r="CJ44" s="450">
        <f t="shared" ca="1" si="38"/>
        <v>0</v>
      </c>
      <c r="CK44" s="58">
        <f ca="1">(VLOOKUP(CJ$2,$B$1:$F$32,5,0)*$L44)+(VLOOKUP($K44,'Withdrawal Working'!$AD:$AE,2,0)*(IFERROR(VLOOKUP(CJ$2,$B$35:$C$42,2,0),0)))+SUMIFS('Key Life Events'!$I$3:$I$28,'Key Life Events'!$H$3:$H$28,"House2",'Key Life Events'!$E$3:$E$28,'Yoy WAR OG'!K44)</f>
        <v>0</v>
      </c>
      <c r="CL44" s="58">
        <f ca="1">IF(IFERROR(IF($K44&lt;&gt;VLOOKUP(CJ$2,$B:$H,7,0),IF(CN$3=1,MIN($M44,CJ44),IF(HLOOKUP(CONCATENATE("Balance",CN$3-1),'Withdrawal Working'!$A$2:$CD$78,MATCH('Yoy WAR OG'!$J44,'Withdrawal Working'!$A$2:$A$78,0),FALSE)&gt;0,MIN(HLOOKUP(CONCATENATE("Balance",CN$3-1),'Withdrawal Working'!$A$2:$CD$78,MATCH('Yoy WAR OG'!$J44,'Withdrawal Working'!$A$2:$A$78,0),0),CJ44),0)),IF($K44=VLOOKUP(CJ$2,$B:$H,7,0),CJ44,)),0)&gt;0,CJ44,0)</f>
        <v>0</v>
      </c>
      <c r="CM44" s="58">
        <f t="shared" ca="1" si="62"/>
        <v>0</v>
      </c>
      <c r="CP44" s="450">
        <f t="shared" ca="1" si="39"/>
        <v>17599971.780311637</v>
      </c>
      <c r="CQ44" s="58">
        <f ca="1">(VLOOKUP(CP$2,$B$1:$F$32,5,0)*$L44)+(VLOOKUP($K44,'Withdrawal Working'!$AD:$AE,2,0)*(IFERROR(VLOOKUP(CP$2,$B$35:$C$42,2,0),0)))+SUMIFS('Key Life Events'!$I$3:$I$28,'Key Life Events'!$H$3:$H$28,"Land",'Key Life Events'!$E$3:$E$28,'Yoy WAR OG'!K44)</f>
        <v>0</v>
      </c>
      <c r="CR44" s="58">
        <f>IFERROR(IF($K44&lt;VLOOKUP(CP$2,$B:$H,7,0),IF(CT$3=1,MIN($M44,CP44),IF(HLOOKUP(CONCATENATE("Balance",CT$3-1),'Withdrawal Working'!$A$2:$CD$78,MATCH('Yoy WAR OG'!$J44,'Withdrawal Working'!$A$2:$A$78,0),FALSE)&gt;0,MIN(HLOOKUP(CONCATENATE("Balance",CT$3-1),'Withdrawal Working'!$A$2:$CD$78,MATCH('Yoy WAR OG'!$J44,'Withdrawal Working'!$A$2:$A$78,0),0),CP44),0)),IF($K44=VLOOKUP(CP$2,$B:$H,7,0),CP44,)),0)</f>
        <v>0</v>
      </c>
      <c r="CS44" s="58">
        <f t="shared" ca="1" si="63"/>
        <v>18479970.369327221</v>
      </c>
      <c r="CV44" s="450">
        <f t="shared" ca="1" si="40"/>
        <v>0</v>
      </c>
      <c r="CW44" s="58"/>
      <c r="CX44" s="58">
        <f>IFERROR(IF($K44&lt;VLOOKUP(CV$2,$B:$H,7,0),IF(CZ$3=1,MIN($M44,CV44),IF(HLOOKUP(CONCATENATE("Balance",CZ$3-1),'Withdrawal Working'!$A$2:$CD$78,MATCH('Yoy WAR OG'!$J44,'Withdrawal Working'!$A$2:$A$78,0),FALSE)&gt;0,MIN(HLOOKUP(CONCATENATE("Balance",CZ$3-1),'Withdrawal Working'!$A$2:$CD$78,MATCH('Yoy WAR OG'!$J44,'Withdrawal Working'!$A$2:$A$78,0),0),CV44),0)),IF($K44=VLOOKUP(CV$2,$B:$H,7,0),CV44,)),0)</f>
        <v>0</v>
      </c>
      <c r="CY44" s="58">
        <f t="shared" ca="1" si="64"/>
        <v>0</v>
      </c>
      <c r="DB44" s="450">
        <f t="shared" ca="1" si="41"/>
        <v>0</v>
      </c>
      <c r="DC44" s="58">
        <f ca="1">(VLOOKUP(DB$2,$B$1:$F$32,5,0)*$L44)+(VLOOKUP($K44,'Withdrawal Working'!$AD:$AE,2,0)*(IFERROR(VLOOKUP(DB$2,$B$35:$C$42,2,0),0)))</f>
        <v>0</v>
      </c>
      <c r="DD44" s="58">
        <f>IFERROR(IF($K44&lt;VLOOKUP(DB$2,$B:$H,7,0),IF(DF$3=1,MIN($M44,DB44),IF(HLOOKUP(CONCATENATE("Balance",DF$3-1),'Withdrawal Working'!$A$2:$CD$78,MATCH('Yoy WAR OG'!$J44,'Withdrawal Working'!$A$2:$A$78,0),FALSE)&gt;0,MIN(HLOOKUP(CONCATENATE("Balance",DF$3-1),'Withdrawal Working'!$A$2:$CD$78,MATCH('Yoy WAR OG'!$J44,'Withdrawal Working'!$A$2:$A$78,0),0),DB44),0)),IF($K44=VLOOKUP(DB$2,$B:$H,7,0),DB44,)),0)</f>
        <v>0</v>
      </c>
      <c r="DE44" s="58">
        <f t="shared" ca="1" si="65"/>
        <v>0</v>
      </c>
      <c r="DH44" s="450">
        <f t="shared" ca="1" si="42"/>
        <v>0</v>
      </c>
      <c r="DI44" s="58">
        <f>IF(OR(J44&gt;'NWGC - SCENARIOS'!$D$7,J44='NWGC - SCENARIOS'!$D$7),0,DI43*(1+'NWGC - SCENARIOS'!$L$5))</f>
        <v>0</v>
      </c>
      <c r="DJ44" s="58">
        <f>IFERROR(IF($K44&lt;VLOOKUP(DH$2,$B:$H,7,0),IF(DL$3=1,MIN($M44,DH44),IF(HLOOKUP(CONCATENATE("Balance",DL$3-1),'Withdrawal Working'!$A$2:$CD$78,MATCH('Yoy WAR OG'!$J44,'Withdrawal Working'!$A$2:$A$78,0),FALSE)&gt;0,MIN(HLOOKUP(CONCATENATE("Balance",DL$3-1),'Withdrawal Working'!$A$2:$CD$78,MATCH('Yoy WAR OG'!$J44,'Withdrawal Working'!$A$2:$A$78,0),0),DH44),0)),IF($K44=VLOOKUP(DH$2,$B:$H,7,0),DH44,)),0)</f>
        <v>0</v>
      </c>
      <c r="DK44" s="58">
        <f t="shared" ca="1" si="66"/>
        <v>0</v>
      </c>
      <c r="DN44" s="450">
        <f t="shared" ca="1" si="43"/>
        <v>0</v>
      </c>
      <c r="DO44" s="58">
        <f ca="1">(VLOOKUP(DN$2,$B$1:$F$32,5,0)*$L44)+(VLOOKUP($K44,'Withdrawal Working'!$AD:$AE,2,0)*(IFERROR(VLOOKUP(DN$2,$B$35:$C$42,2,0),0)))</f>
        <v>0</v>
      </c>
      <c r="DP44" s="58">
        <f>IFERROR(IF($K44&lt;VLOOKUP(DN$2,$B:$H,7,0),IF(DR$3=1,MIN($M44,DN44),IF(HLOOKUP(CONCATENATE("Balance",DR$3-1),'Withdrawal Working'!$A$2:$CD$78,MATCH('Yoy WAR OG'!$J44,'Withdrawal Working'!$A$2:$A$78,0),FALSE)&gt;0,MIN(HLOOKUP(CONCATENATE("Balance",DR$3-1),'Withdrawal Working'!$A$2:$CD$78,MATCH('Yoy WAR OG'!$J44,'Withdrawal Working'!$A$2:$A$78,0),0),DN44),0)),IF($K44=VLOOKUP(DN$2,$B:$H,7,0),DN44,)),0)</f>
        <v>0</v>
      </c>
      <c r="DQ44" s="58">
        <f t="shared" ca="1" si="67"/>
        <v>0</v>
      </c>
      <c r="DT44" s="450">
        <f t="shared" ca="1" si="44"/>
        <v>0</v>
      </c>
      <c r="DU44" s="58">
        <f ca="1">(VLOOKUP(DT$2,$B$1:$F$32,5,0)*$L44)+(VLOOKUP($K44,'Withdrawal Working'!$AD:$AE,2,0)*(IFERROR(VLOOKUP(DT$2,$B$35:$C$42,2,0),0)))</f>
        <v>0</v>
      </c>
      <c r="DV44" s="58">
        <f>IFERROR(IF($K44&lt;VLOOKUP(DT$2,$B:$H,7,0),IF(DX$3=1,MIN($M44,DT44),IF(HLOOKUP(CONCATENATE("Balance",DX$3-1),'Withdrawal Working'!$A$2:$CD$78,MATCH('Yoy WAR OG'!$J44,'Withdrawal Working'!$A$2:$A$78,0),FALSE)&gt;0,MIN(HLOOKUP(CONCATENATE("Balance",DX$3-1),'Withdrawal Working'!$A$2:$CD$78,MATCH('Yoy WAR OG'!$J44,'Withdrawal Working'!$A$2:$A$78,0),0),DT44),0)),IF($K44=VLOOKUP(DT$2,$B:$H,7,0),DT44,)),0)</f>
        <v>0</v>
      </c>
      <c r="DW44" s="58">
        <f t="shared" ca="1" si="68"/>
        <v>0</v>
      </c>
      <c r="DZ44" s="450">
        <f t="shared" ca="1" si="45"/>
        <v>0</v>
      </c>
      <c r="EA44" s="58">
        <f ca="1">(VLOOKUP(DZ$2,$B$1:$F$32,5,0)*$L44)+(VLOOKUP($K44,'Withdrawal Working'!$AD:$AE,2,0)*(IFERROR(VLOOKUP(DZ$2,$B$35:$C$42,2,0),0)))</f>
        <v>0</v>
      </c>
      <c r="EB44" s="58">
        <f>IFERROR(IF($K44&lt;VLOOKUP(DZ$2,$B:$H,7,0),IF(ED$3=1,MIN($M44,DZ44),IF(HLOOKUP(CONCATENATE("Balance",ED$3-1),'Withdrawal Working'!$A$2:$CD$78,MATCH('Yoy WAR OG'!$J44,'Withdrawal Working'!$A$2:$A$78,0),FALSE)&gt;0,MIN(HLOOKUP(CONCATENATE("Balance",ED$3-1),'Withdrawal Working'!$A$2:$CD$78,MATCH('Yoy WAR OG'!$J44,'Withdrawal Working'!$A$2:$A$78,0),0),DZ44),0)),IF($K44=VLOOKUP(DZ$2,$B:$H,7,0),DZ44,)),0)</f>
        <v>0</v>
      </c>
      <c r="EC44" s="58">
        <f t="shared" ca="1" si="69"/>
        <v>0</v>
      </c>
      <c r="EF44" s="450">
        <f t="shared" ca="1" si="46"/>
        <v>0</v>
      </c>
      <c r="EG44" s="58">
        <f ca="1">(VLOOKUP(EF$2,$B$1:$F$32,5,0)*$L44)+(VLOOKUP($K44,'Withdrawal Working'!$AD:$AE,2,0)*(IFERROR(VLOOKUP(EF$2,$B$35:$C$42,2,0),0)))</f>
        <v>0</v>
      </c>
      <c r="EH44" s="58">
        <f>IFERROR(IF($K44&lt;VLOOKUP(EF$2,$B:$H,7,0),IF(EJ$3=1,MIN($M44,EF44),IF(HLOOKUP(CONCATENATE("Balance",EJ$3-1),'Withdrawal Working'!$A$2:$CD$78,MATCH('Yoy WAR OG'!$J44,'Withdrawal Working'!$A$2:$A$78,0),FALSE)&gt;0,MIN(HLOOKUP(CONCATENATE("Balance",EJ$3-1),'Withdrawal Working'!$A$2:$CD$78,MATCH('Yoy WAR OG'!$J44,'Withdrawal Working'!$A$2:$A$78,0),0),EF44),0)),IF($K44=VLOOKUP(EF$2,$B:$H,7,0),EF44,)),0)</f>
        <v>0</v>
      </c>
      <c r="EI44" s="58">
        <f t="shared" ca="1" si="70"/>
        <v>0</v>
      </c>
      <c r="EL44" s="450">
        <f t="shared" ca="1" si="47"/>
        <v>0</v>
      </c>
      <c r="EM44" s="58">
        <f>IF(OR($J44&gt;'NWGC - SCENARIOS'!$D$7,$J44='NWGC - SCENARIOS'!$D$7),0,EM43)</f>
        <v>0</v>
      </c>
      <c r="EN44" s="58">
        <f>IFERROR(IF($K44&lt;VLOOKUP(EL$2,$B:$H,7,0),IF(EP$3=1,MIN($M44,EL44),IF(HLOOKUP(CONCATENATE("Balance",EP$3-1),'Withdrawal Working'!$A$2:$CD$78,MATCH('Yoy WAR OG'!$J44,'Withdrawal Working'!$A$2:$A$78,0),FALSE)&gt;0,MIN(HLOOKUP(CONCATENATE("Balance",EP$3-1),'Withdrawal Working'!$A$2:$CD$78,MATCH('Yoy WAR OG'!$J44,'Withdrawal Working'!$A$2:$A$78,0),0),EL44),0)),IF($K44=VLOOKUP(EL$2,$B:$H,7,0),EL44,)),0)</f>
        <v>0</v>
      </c>
      <c r="EO44" s="58">
        <f t="shared" ca="1" si="71"/>
        <v>0</v>
      </c>
      <c r="ER44" s="450">
        <f t="shared" ca="1" si="48"/>
        <v>0</v>
      </c>
      <c r="ES44" s="58">
        <f>IF(OR(J44&gt;'NWGC - SCENARIOS'!$D$7,J44='NWGC - SCENARIOS'!$D$7),0,ES43*(1+'NWGC - SCENARIOS'!$L$5))</f>
        <v>0</v>
      </c>
      <c r="ET44" s="58">
        <f>IFERROR(IF($K44&lt;VLOOKUP(ER$2,$B:$H,7,0),IF(EV$3=1,MIN($M44,ER44),IF(HLOOKUP(CONCATENATE("Balance",EV$3-1),'Withdrawal Working'!$A$2:$CD$78,MATCH('Yoy WAR OG'!$J44,'Withdrawal Working'!$A$2:$A$78,0),FALSE)&gt;0,MIN(HLOOKUP(CONCATENATE("Balance",EV$3-1),'Withdrawal Working'!$A$2:$CD$78,MATCH('Yoy WAR OG'!$J44,'Withdrawal Working'!$A$2:$A$78,0),0),ER44),0)),IF($K44=VLOOKUP(ER$2,$B:$H,7,0),ER44,)),0)</f>
        <v>0</v>
      </c>
      <c r="EU44" s="58">
        <f t="shared" ca="1" si="72"/>
        <v>0</v>
      </c>
      <c r="EX44" s="450">
        <f t="shared" ca="1" si="49"/>
        <v>0</v>
      </c>
      <c r="EY44" s="58">
        <f>IF(OR(J44&gt;'NWGC - SCENARIOS'!$D$7,J44='NWGC - SCENARIOS'!$D$7),0,EY43)</f>
        <v>0</v>
      </c>
      <c r="EZ44" s="58">
        <f>IFERROR(IF($K44&lt;VLOOKUP(EX$2,$B:$H,7,0),IF(FB$3=1,MIN($M44,EX44),IF(HLOOKUP(CONCATENATE("Balance",FB$3-1),'Withdrawal Working'!$A$2:$CD$78,MATCH('Yoy WAR OG'!$J44,'Withdrawal Working'!$A$2:$A$78,0),FALSE)&gt;0,MIN(HLOOKUP(CONCATENATE("Balance",FB$3-1),'Withdrawal Working'!$A$2:$CD$78,MATCH('Yoy WAR OG'!$J44,'Withdrawal Working'!$A$2:$A$78,0),0),EX44),0)),IF($K44=VLOOKUP(EX$2,$B:$H,7,0),EX44,)),0)</f>
        <v>0</v>
      </c>
      <c r="FA44" s="58">
        <f t="shared" ca="1" si="73"/>
        <v>0</v>
      </c>
    </row>
    <row r="45" spans="2:157" x14ac:dyDescent="0.3">
      <c r="J45">
        <f>IFERROR('NWGC - SCENARIOS'!B52,0)</f>
        <v>90</v>
      </c>
      <c r="K45">
        <f>IFERROR('NWGC - SCENARIOS'!C52,0)</f>
        <v>2066</v>
      </c>
      <c r="L45" s="449">
        <f ca="1">IF(('NWGC - SCENARIOS'!G52-working!G43)&gt;'NWGC - SCENARIOS'!H52,'NWGC - SCENARIOS'!G52-'NWGC - SCENARIOS'!H52-working!G43,0)</f>
        <v>0</v>
      </c>
      <c r="M45" s="449">
        <f ca="1">IF(('NWGC - SCENARIOS'!G52-working!G43)&gt;'NWGC - SCENARIOS'!H52,0,'NWGC - SCENARIOS'!H52-'NWGC - SCENARIOS'!G52+working!G43)</f>
        <v>51796923.300435111</v>
      </c>
      <c r="N45" s="58">
        <f t="shared" ca="1" si="50"/>
        <v>900624847.86322618</v>
      </c>
      <c r="O45" s="58">
        <f t="shared" ca="1" si="51"/>
        <v>150995900.36083683</v>
      </c>
      <c r="P45" s="58">
        <f t="shared" ca="1" si="74"/>
        <v>0</v>
      </c>
      <c r="Q45" s="58">
        <f ca="1">(VLOOKUP(P$2,$B$1:$F$32,5,0)*$L45)+(VLOOKUP($K45,'Withdrawal Working'!$AD:$AE,2,0)*(IFERROR(VLOOKUP(P$2,$B$35:$C$42,2,0),0)))</f>
        <v>0</v>
      </c>
      <c r="R45" s="58">
        <f>IFERROR(IF($K45&lt;VLOOKUP(P$2,$B:$H,7,0),IF(T$3=1,MIN($M45,P45),IF(HLOOKUP(CONCATENATE("Balance",T$3-1),'Withdrawal Working'!$A$2:$CD$78,MATCH('Yoy WAR OG'!$J45,'Withdrawal Working'!$A$2:$A$78,0),FALSE)&gt;0,MIN(HLOOKUP(CONCATENATE("Balance",T$3-1),'Withdrawal Working'!$A$2:$CD$78,MATCH('Yoy WAR OG'!$J45,'Withdrawal Working'!$A$2:$A$78,0),0),P45),0)),IF($K45=VLOOKUP(P$2,$B:$H,7,0),P45,)),0)</f>
        <v>0</v>
      </c>
      <c r="S45" s="58">
        <f t="shared" ca="1" si="75"/>
        <v>0</v>
      </c>
      <c r="T45" s="58"/>
      <c r="V45" s="58">
        <f t="shared" ca="1" si="27"/>
        <v>0</v>
      </c>
      <c r="W45" s="58">
        <f ca="1">(VLOOKUP(V$2,$B$1:$F$32,5,0)*$L45)+(VLOOKUP($K45,'Withdrawal Working'!$AD:$AE,2,0)*(IFERROR(VLOOKUP(V$2,$B$35:$C$42,2,0),0)))</f>
        <v>0</v>
      </c>
      <c r="X45" s="58">
        <f>IFERROR(IF($K45&lt;VLOOKUP(V$2,$B:$H,7,0),IF(Z$3=1,MIN($M45,V45),IF(HLOOKUP(CONCATENATE("Balance",Z$3-1),'Withdrawal Working'!$A$2:$CD$78,MATCH('Yoy WAR OG'!$J45,'Withdrawal Working'!$A$2:$A$78,0),FALSE)&gt;0,MIN(HLOOKUP(CONCATENATE("Balance",Z$3-1),'Withdrawal Working'!$A$2:$CD$78,MATCH('Yoy WAR OG'!$J45,'Withdrawal Working'!$A$2:$A$78,0),0),V45),0)),IF($K45=VLOOKUP(V$2,$B:$H,7,0),V45,)),0)</f>
        <v>0</v>
      </c>
      <c r="Y45" s="58">
        <f t="shared" ca="1" si="52"/>
        <v>0</v>
      </c>
      <c r="AB45" s="58">
        <f t="shared" ca="1" si="28"/>
        <v>0</v>
      </c>
      <c r="AC45" s="58">
        <f ca="1">(VLOOKUP(AB$2,$B$1:$F$32,5,0)*$L45)+(VLOOKUP($K45,'Withdrawal Working'!$AD:$AE,2,0)*(IFERROR(VLOOKUP(AB$2,$B$35:$C$42,2,0),0)))</f>
        <v>0</v>
      </c>
      <c r="AE45" s="58">
        <f t="shared" ca="1" si="53"/>
        <v>0</v>
      </c>
      <c r="AH45" s="58">
        <f t="shared" ca="1" si="29"/>
        <v>51069996.410326816</v>
      </c>
      <c r="AI45" s="58">
        <f ca="1">(VLOOKUP(AH$2,$B$1:$F$32,5,0)*$L45)+IF(J45&gt;'NWGC - SCENARIOS'!$D$7,0,(VLOOKUP($K45,'Withdrawal Working'!$AD:$AE,2,0)*(IFERROR(VLOOKUP(AH$2,$B$35:$C$42,2,0),0))))</f>
        <v>0</v>
      </c>
      <c r="AJ45" s="58">
        <f ca="1">IFERROR(IF($J45&gt;'NWGC - SCENARIOS'!$D$7,MIN('Yoy WAR OG'!AH45,VLOOKUP('Yoy WAR OG'!$J45,'Withdrawal Working'!BC:BD,2,0)),IF(AL$3=1,$M45,IF(HLOOKUP(CONCATENATE("Balance",AL$3-1),'Withdrawal Working'!$A$2:$CD$78,MATCH('Yoy WAR OG'!$J45,'Withdrawal Working'!$A$2:$A$78,0),FALSE)&gt;0,MIN(HLOOKUP(CONCATENATE("Balance",AL$3-1),'Withdrawal Working'!$A$2:$CD$78,MATCH('Yoy WAR OG'!$J45,'Withdrawal Working'!$A$2:$A$78,0),0),AH45),0))),0)</f>
        <v>51069996.410326816</v>
      </c>
      <c r="AK45" s="58">
        <f t="shared" ca="1" si="54"/>
        <v>0</v>
      </c>
      <c r="AN45" s="450">
        <f t="shared" ca="1" si="30"/>
        <v>854399768.46662593</v>
      </c>
      <c r="AO45" s="58">
        <f ca="1">IF(J45&gt;'NWGC - SCENARIOS'!$D$7,(IF(AJ45=0,0,'Yoy WAR OG'!AJ45)+(VLOOKUP(AN$2,$B$1:$F$32,5,0)*$L45)),(VLOOKUP(AN$2,$B$1:$F$32,5,0)*$L45)+(VLOOKUP($K45,'Withdrawal Working'!$AD:$AE,2,0)*(IFERROR(VLOOKUP(AN$2,$B$35:$C$42,2,0),0))))</f>
        <v>51069996.410326816</v>
      </c>
      <c r="AP45" s="470">
        <f ca="1">IFERROR(IF($K45&lt;&gt;VLOOKUP(AN$2,$B:$H,7,0),IF(AR$3=1,MIN($M45,AN45),IF(HLOOKUP(CONCATENATE("Balance",AR$3-1),'Withdrawal Working'!$A$2:$CD$78,MATCH('Yoy WAR OG'!$J45,'Withdrawal Working'!$A$2:$A$78,0),FALSE)&gt;0,MIN(HLOOKUP(CONCATENATE("Balance",AR$3-1),'Withdrawal Working'!$A$2:$CD$78,MATCH('Yoy WAR OG'!$J45,'Withdrawal Working'!$A$2:$A$78,0),0),AN45),0)),IF($K45=VLOOKUP(AN$2,$B:$H,7,0),AN45,)),0)</f>
        <v>51796923.300435111</v>
      </c>
      <c r="AQ45" s="58">
        <f ca="1">IF(AO45&lt;0,0,IF(J45&gt;'NWGC - SCENARIOS'!$D$7,((AN45-AP45+AO45)*(1+(IFERROR(VLOOKUP(AN$2,$B:$D,3,0),0)))),((AN45-AP45)*(1+(IFERROR(VLOOKUP(AN$2,$B:$D,3,0),0))))+AO45))</f>
        <v>900624847.86322618</v>
      </c>
      <c r="AT45" s="450">
        <f t="shared" ca="1" si="31"/>
        <v>0</v>
      </c>
      <c r="AU45" s="58">
        <f ca="1">(VLOOKUP(AT$2,$B$1:$F$32,5,0)*$L45)+(VLOOKUP($K45,'Withdrawal Working'!$AD:$AE,2,0)*(IFERROR(VLOOKUP(AT$2,$B$35:$C$42,2,0),0)))</f>
        <v>0</v>
      </c>
      <c r="AV45" s="58">
        <f>IFERROR(IF($K45&lt;VLOOKUP(AT$2,$B:$H,7,0),IF(AX$3=1,MIN($M45,AT45),IF(HLOOKUP(CONCATENATE("Balance",AX$3-1),'Withdrawal Working'!$A$2:$CD$78,MATCH('Yoy WAR OG'!$J45,'Withdrawal Working'!$A$2:$A$78,0),FALSE)&gt;0,MIN(HLOOKUP(CONCATENATE("Balance",AX$3-1),'Withdrawal Working'!$A$2:$CD$78,MATCH('Yoy WAR OG'!$J45,'Withdrawal Working'!$A$2:$A$78,0),0),AT45),0)),IF($K45=VLOOKUP(AT$2,$B:$H,7,0),AT45,)),0)</f>
        <v>0</v>
      </c>
      <c r="AW45" s="58">
        <f t="shared" ca="1" si="55"/>
        <v>0</v>
      </c>
      <c r="AZ45" s="450">
        <f t="shared" ca="1" si="32"/>
        <v>64090679.551805869</v>
      </c>
      <c r="BA45" s="58">
        <f ca="1">(VLOOKUP(AZ$2,$B$1:$F$32,5,0)*$L45)+(VLOOKUP($K45,'Withdrawal Working'!$AD:$AE,2,0)*(IFERROR(VLOOKUP(AZ$2,$B$35:$C$42,2,0),0)))</f>
        <v>0</v>
      </c>
      <c r="BB45" s="58">
        <f>IFERROR(IF($K45&lt;VLOOKUP(AZ$2,$B:$H,7,0),IF(BD$3=1,MIN($M45,AZ45),IF(HLOOKUP(CONCATENATE("Balance",BD$3-1),'Withdrawal Working'!$A$2:$CD$78,MATCH('Yoy WAR OG'!$J45,'Withdrawal Working'!$A$2:$A$78,0),FALSE)&gt;0,MIN(HLOOKUP(CONCATENATE("Balance",BD$3-1),'Withdrawal Working'!$A$2:$CD$78,MATCH('Yoy WAR OG'!$J45,'Withdrawal Working'!$A$2:$A$78,0),0),AZ45),0)),IF($K45=VLOOKUP(AZ$2,$B:$H,7,0),AZ45,)),0)</f>
        <v>0</v>
      </c>
      <c r="BC45" s="58">
        <f t="shared" ca="1" si="56"/>
        <v>68577027.120432287</v>
      </c>
      <c r="BF45" s="450">
        <f t="shared" ca="1" si="33"/>
        <v>0</v>
      </c>
      <c r="BG45" s="58">
        <f ca="1">(VLOOKUP(BF$2,$B$1:$F$32,5,0)*$L45)+(VLOOKUP($K45,'Withdrawal Working'!$AD:$AE,2,0)*(IFERROR(VLOOKUP(BF$2,$B$35:$C$42,2,0),0)))</f>
        <v>0</v>
      </c>
      <c r="BH45" s="58">
        <f>IFERROR(IF($K45&lt;VLOOKUP(BF$2,$B:$H,7,0),IF(BJ$3=1,MIN($M45,BF45),IF(HLOOKUP(CONCATENATE("Balance",BJ$3-1),'Withdrawal Working'!$A$2:$CD$78,MATCH('Yoy WAR OG'!$J45,'Withdrawal Working'!$A$2:$A$78,0),FALSE)&gt;0,MIN(HLOOKUP(CONCATENATE("Balance",BJ$3-1),'Withdrawal Working'!$A$2:$CD$78,MATCH('Yoy WAR OG'!$J45,'Withdrawal Working'!$A$2:$A$78,0),0),BF45),0)),IF($K45=VLOOKUP(BF$2,$B:$H,7,0),BF45,)),0)</f>
        <v>0</v>
      </c>
      <c r="BI45" s="58">
        <f t="shared" ca="1" si="57"/>
        <v>0</v>
      </c>
      <c r="BL45" s="450">
        <f t="shared" ca="1" si="34"/>
        <v>0</v>
      </c>
      <c r="BM45" s="58">
        <f ca="1">(VLOOKUP(BL$2,$B$1:$F$32,5,0)*$L45)+(VLOOKUP($K45,'Withdrawal Working'!$AD:$AE,2,0)*(IFERROR(VLOOKUP(BL$2,$B$35:$C$42,2,0),0)))</f>
        <v>0</v>
      </c>
      <c r="BN45" s="58">
        <f>IFERROR(IF($K45&lt;VLOOKUP(BL$2,$B:$H,7,0),IF(BP$3=1,MIN($M45,BL45),IF(HLOOKUP(CONCATENATE("Balance",BP$3-1),'Withdrawal Working'!$A$2:$CD$78,MATCH('Yoy WAR OG'!$J45,'Withdrawal Working'!$A$2:$A$78,0),FALSE)&gt;0,MIN(HLOOKUP(CONCATENATE("Balance",BP$3-1),'Withdrawal Working'!$A$2:$CD$78,MATCH('Yoy WAR OG'!$J45,'Withdrawal Working'!$A$2:$A$78,0),0),BL45),0)),IF($K45=VLOOKUP(BL$2,$B:$H,7,0),BL45,)),0)</f>
        <v>0</v>
      </c>
      <c r="BO45" s="58">
        <f t="shared" ca="1" si="58"/>
        <v>0</v>
      </c>
      <c r="BR45" s="450">
        <f t="shared" ca="1" si="35"/>
        <v>0</v>
      </c>
      <c r="BS45" s="58">
        <f ca="1">(VLOOKUP(BR$2,$B$1:$F$32,5,0)*$L45)+(VLOOKUP($K45,'Withdrawal Working'!$AD:$AE,2,0)*(IFERROR(VLOOKUP(BR$2,$B$35:$C$42,2,0),0)))</f>
        <v>0</v>
      </c>
      <c r="BT45" s="58">
        <f>IFERROR(IF($K45&lt;VLOOKUP(BR$2,$B:$H,7,0),IF(BV$3=1,MIN($M45,BR45),IF(HLOOKUP(CONCATENATE("Balance",BV$3-1),'Withdrawal Working'!$A$2:$CD$78,MATCH('Yoy WAR OG'!$J45,'Withdrawal Working'!$A$2:$A$78,0),FALSE)&gt;0,MIN(HLOOKUP(CONCATENATE("Balance",BV$3-1),'Withdrawal Working'!$A$2:$CD$78,MATCH('Yoy WAR OG'!$J45,'Withdrawal Working'!$A$2:$A$78,0),0),BR45),0)),IF($K45=VLOOKUP(BR$2,$B:$H,7,0),BR45,)),0)</f>
        <v>0</v>
      </c>
      <c r="BU45" s="58">
        <f t="shared" ca="1" si="59"/>
        <v>0</v>
      </c>
      <c r="BX45" s="450">
        <f t="shared" ca="1" si="36"/>
        <v>0</v>
      </c>
      <c r="BY45" s="58">
        <f ca="1">(VLOOKUP(BX$2,$B$1:$F$32,5,0)*$L45)+(VLOOKUP($K45,'Withdrawal Working'!$AD:$AE,2,0)*(IFERROR(VLOOKUP(BX$2,$B$35:$C$42,2,0),0)))</f>
        <v>0</v>
      </c>
      <c r="BZ45" s="58">
        <f>IFERROR(IF($K45&lt;VLOOKUP(BX$2,$B:$H,7,0),IF(CB$3=1,MIN($M45,BX45),IF(HLOOKUP(CONCATENATE("Balance",CB$3-1),'Withdrawal Working'!$A$2:$CD$78,MATCH('Yoy WAR OG'!$J45,'Withdrawal Working'!$A$2:$A$78,0),FALSE)&gt;0,MIN(HLOOKUP(CONCATENATE("Balance",CB$3-1),'Withdrawal Working'!$A$2:$CD$78,MATCH('Yoy WAR OG'!$J45,'Withdrawal Working'!$A$2:$A$78,0),0),BX45),0)),IF($K45=VLOOKUP(BX$2,$B:$H,7,0),BX45,)),0)</f>
        <v>0</v>
      </c>
      <c r="CA45" s="58">
        <f t="shared" ca="1" si="60"/>
        <v>0</v>
      </c>
      <c r="CD45" s="450">
        <f t="shared" ca="1" si="37"/>
        <v>61179518.788942687</v>
      </c>
      <c r="CE45" s="58">
        <f ca="1">(VLOOKUP(CD$2,$B$1:$F$32,5,0)*$L45)+(VLOOKUP($K45,'Withdrawal Working'!$AD:$AE,2,0)*(IFERROR(VLOOKUP(CD$2,$B$35:$C$42,2,0),0)))+SUMIFS('Key Life Events'!$I$3:$I$28,'Key Life Events'!$H$3:$H$28,"House",'Key Life Events'!$E$3:$E$28,'Yoy WAR OG'!K45)</f>
        <v>0</v>
      </c>
      <c r="CF45" s="58">
        <f>IFERROR(IF($K45&lt;VLOOKUP(CD$2,$B:$H,7,0),IF(CH$3=1,MIN($M45,CD45),IF(HLOOKUP(CONCATENATE("Balance",CH$3-1),'Withdrawal Working'!$A$2:$CD$78,MATCH('Yoy WAR OG'!$J45,'Withdrawal Working'!$A$2:$A$78,0),FALSE)&gt;0,MIN(HLOOKUP(CONCATENATE("Balance",CH$3-1),'Withdrawal Working'!$A$2:$CD$78,MATCH('Yoy WAR OG'!$J45,'Withdrawal Working'!$A$2:$A$78,0),0),CD45),0)),IF($K45=VLOOKUP(CD$2,$B:$H,7,0),CD45,)),0)</f>
        <v>0</v>
      </c>
      <c r="CG45" s="58">
        <f t="shared" ca="1" si="61"/>
        <v>63014904.352610968</v>
      </c>
      <c r="CJ45" s="450">
        <f t="shared" ca="1" si="38"/>
        <v>0</v>
      </c>
      <c r="CK45" s="58">
        <f ca="1">(VLOOKUP(CJ$2,$B$1:$F$32,5,0)*$L45)+(VLOOKUP($K45,'Withdrawal Working'!$AD:$AE,2,0)*(IFERROR(VLOOKUP(CJ$2,$B$35:$C$42,2,0),0)))+SUMIFS('Key Life Events'!$I$3:$I$28,'Key Life Events'!$H$3:$H$28,"House2",'Key Life Events'!$E$3:$E$28,'Yoy WAR OG'!K45)</f>
        <v>0</v>
      </c>
      <c r="CL45" s="58">
        <f ca="1">IF(IFERROR(IF($K45&lt;&gt;VLOOKUP(CJ$2,$B:$H,7,0),IF(CN$3=1,MIN($M45,CJ45),IF(HLOOKUP(CONCATENATE("Balance",CN$3-1),'Withdrawal Working'!$A$2:$CD$78,MATCH('Yoy WAR OG'!$J45,'Withdrawal Working'!$A$2:$A$78,0),FALSE)&gt;0,MIN(HLOOKUP(CONCATENATE("Balance",CN$3-1),'Withdrawal Working'!$A$2:$CD$78,MATCH('Yoy WAR OG'!$J45,'Withdrawal Working'!$A$2:$A$78,0),0),CJ45),0)),IF($K45=VLOOKUP(CJ$2,$B:$H,7,0),CJ45,)),0)&gt;0,CJ45,0)</f>
        <v>0</v>
      </c>
      <c r="CM45" s="58">
        <f t="shared" ca="1" si="62"/>
        <v>0</v>
      </c>
      <c r="CP45" s="450">
        <f t="shared" ca="1" si="39"/>
        <v>18479970.369327221</v>
      </c>
      <c r="CQ45" s="58">
        <f ca="1">(VLOOKUP(CP$2,$B$1:$F$32,5,0)*$L45)+(VLOOKUP($K45,'Withdrawal Working'!$AD:$AE,2,0)*(IFERROR(VLOOKUP(CP$2,$B$35:$C$42,2,0),0)))+SUMIFS('Key Life Events'!$I$3:$I$28,'Key Life Events'!$H$3:$H$28,"Land",'Key Life Events'!$E$3:$E$28,'Yoy WAR OG'!K45)</f>
        <v>0</v>
      </c>
      <c r="CR45" s="58">
        <f>IFERROR(IF($K45&lt;VLOOKUP(CP$2,$B:$H,7,0),IF(CT$3=1,MIN($M45,CP45),IF(HLOOKUP(CONCATENATE("Balance",CT$3-1),'Withdrawal Working'!$A$2:$CD$78,MATCH('Yoy WAR OG'!$J45,'Withdrawal Working'!$A$2:$A$78,0),FALSE)&gt;0,MIN(HLOOKUP(CONCATENATE("Balance",CT$3-1),'Withdrawal Working'!$A$2:$CD$78,MATCH('Yoy WAR OG'!$J45,'Withdrawal Working'!$A$2:$A$78,0),0),CP45),0)),IF($K45=VLOOKUP(CP$2,$B:$H,7,0),CP45,)),0)</f>
        <v>0</v>
      </c>
      <c r="CS45" s="58">
        <f t="shared" ca="1" si="63"/>
        <v>19403968.887793582</v>
      </c>
      <c r="CV45" s="450">
        <f t="shared" ca="1" si="40"/>
        <v>0</v>
      </c>
      <c r="CW45" s="58"/>
      <c r="CX45" s="58">
        <f>IFERROR(IF($K45&lt;VLOOKUP(CV$2,$B:$H,7,0),IF(CZ$3=1,MIN($M45,CV45),IF(HLOOKUP(CONCATENATE("Balance",CZ$3-1),'Withdrawal Working'!$A$2:$CD$78,MATCH('Yoy WAR OG'!$J45,'Withdrawal Working'!$A$2:$A$78,0),FALSE)&gt;0,MIN(HLOOKUP(CONCATENATE("Balance",CZ$3-1),'Withdrawal Working'!$A$2:$CD$78,MATCH('Yoy WAR OG'!$J45,'Withdrawal Working'!$A$2:$A$78,0),0),CV45),0)),IF($K45=VLOOKUP(CV$2,$B:$H,7,0),CV45,)),0)</f>
        <v>0</v>
      </c>
      <c r="CY45" s="58">
        <f t="shared" ca="1" si="64"/>
        <v>0</v>
      </c>
      <c r="DB45" s="450">
        <f t="shared" ca="1" si="41"/>
        <v>0</v>
      </c>
      <c r="DC45" s="58">
        <f ca="1">(VLOOKUP(DB$2,$B$1:$F$32,5,0)*$L45)+(VLOOKUP($K45,'Withdrawal Working'!$AD:$AE,2,0)*(IFERROR(VLOOKUP(DB$2,$B$35:$C$42,2,0),0)))</f>
        <v>0</v>
      </c>
      <c r="DD45" s="58">
        <f>IFERROR(IF($K45&lt;VLOOKUP(DB$2,$B:$H,7,0),IF(DF$3=1,MIN($M45,DB45),IF(HLOOKUP(CONCATENATE("Balance",DF$3-1),'Withdrawal Working'!$A$2:$CD$78,MATCH('Yoy WAR OG'!$J45,'Withdrawal Working'!$A$2:$A$78,0),FALSE)&gt;0,MIN(HLOOKUP(CONCATENATE("Balance",DF$3-1),'Withdrawal Working'!$A$2:$CD$78,MATCH('Yoy WAR OG'!$J45,'Withdrawal Working'!$A$2:$A$78,0),0),DB45),0)),IF($K45=VLOOKUP(DB$2,$B:$H,7,0),DB45,)),0)</f>
        <v>0</v>
      </c>
      <c r="DE45" s="58">
        <f t="shared" ca="1" si="65"/>
        <v>0</v>
      </c>
      <c r="DH45" s="450">
        <f t="shared" ca="1" si="42"/>
        <v>0</v>
      </c>
      <c r="DI45" s="58">
        <f>IF(OR(J45&gt;'NWGC - SCENARIOS'!$D$7,J45='NWGC - SCENARIOS'!$D$7),0,DI44*(1+'NWGC - SCENARIOS'!$L$5))</f>
        <v>0</v>
      </c>
      <c r="DJ45" s="58">
        <f>IFERROR(IF($K45&lt;VLOOKUP(DH$2,$B:$H,7,0),IF(DL$3=1,MIN($M45,DH45),IF(HLOOKUP(CONCATENATE("Balance",DL$3-1),'Withdrawal Working'!$A$2:$CD$78,MATCH('Yoy WAR OG'!$J45,'Withdrawal Working'!$A$2:$A$78,0),FALSE)&gt;0,MIN(HLOOKUP(CONCATENATE("Balance",DL$3-1),'Withdrawal Working'!$A$2:$CD$78,MATCH('Yoy WAR OG'!$J45,'Withdrawal Working'!$A$2:$A$78,0),0),DH45),0)),IF($K45=VLOOKUP(DH$2,$B:$H,7,0),DH45,)),0)</f>
        <v>0</v>
      </c>
      <c r="DK45" s="58">
        <f t="shared" ca="1" si="66"/>
        <v>0</v>
      </c>
      <c r="DN45" s="450">
        <f t="shared" ca="1" si="43"/>
        <v>0</v>
      </c>
      <c r="DO45" s="58">
        <f ca="1">(VLOOKUP(DN$2,$B$1:$F$32,5,0)*$L45)+(VLOOKUP($K45,'Withdrawal Working'!$AD:$AE,2,0)*(IFERROR(VLOOKUP(DN$2,$B$35:$C$42,2,0),0)))</f>
        <v>0</v>
      </c>
      <c r="DP45" s="58">
        <f>IFERROR(IF($K45&lt;VLOOKUP(DN$2,$B:$H,7,0),IF(DR$3=1,MIN($M45,DN45),IF(HLOOKUP(CONCATENATE("Balance",DR$3-1),'Withdrawal Working'!$A$2:$CD$78,MATCH('Yoy WAR OG'!$J45,'Withdrawal Working'!$A$2:$A$78,0),FALSE)&gt;0,MIN(HLOOKUP(CONCATENATE("Balance",DR$3-1),'Withdrawal Working'!$A$2:$CD$78,MATCH('Yoy WAR OG'!$J45,'Withdrawal Working'!$A$2:$A$78,0),0),DN45),0)),IF($K45=VLOOKUP(DN$2,$B:$H,7,0),DN45,)),0)</f>
        <v>0</v>
      </c>
      <c r="DQ45" s="58">
        <f t="shared" ca="1" si="67"/>
        <v>0</v>
      </c>
      <c r="DT45" s="450">
        <f t="shared" ca="1" si="44"/>
        <v>0</v>
      </c>
      <c r="DU45" s="58">
        <f ca="1">(VLOOKUP(DT$2,$B$1:$F$32,5,0)*$L45)+(VLOOKUP($K45,'Withdrawal Working'!$AD:$AE,2,0)*(IFERROR(VLOOKUP(DT$2,$B$35:$C$42,2,0),0)))</f>
        <v>0</v>
      </c>
      <c r="DV45" s="58">
        <f>IFERROR(IF($K45&lt;VLOOKUP(DT$2,$B:$H,7,0),IF(DX$3=1,MIN($M45,DT45),IF(HLOOKUP(CONCATENATE("Balance",DX$3-1),'Withdrawal Working'!$A$2:$CD$78,MATCH('Yoy WAR OG'!$J45,'Withdrawal Working'!$A$2:$A$78,0),FALSE)&gt;0,MIN(HLOOKUP(CONCATENATE("Balance",DX$3-1),'Withdrawal Working'!$A$2:$CD$78,MATCH('Yoy WAR OG'!$J45,'Withdrawal Working'!$A$2:$A$78,0),0),DT45),0)),IF($K45=VLOOKUP(DT$2,$B:$H,7,0),DT45,)),0)</f>
        <v>0</v>
      </c>
      <c r="DW45" s="58">
        <f t="shared" ca="1" si="68"/>
        <v>0</v>
      </c>
      <c r="DZ45" s="450">
        <f t="shared" ca="1" si="45"/>
        <v>0</v>
      </c>
      <c r="EA45" s="58">
        <f ca="1">(VLOOKUP(DZ$2,$B$1:$F$32,5,0)*$L45)+(VLOOKUP($K45,'Withdrawal Working'!$AD:$AE,2,0)*(IFERROR(VLOOKUP(DZ$2,$B$35:$C$42,2,0),0)))</f>
        <v>0</v>
      </c>
      <c r="EB45" s="58">
        <f>IFERROR(IF($K45&lt;VLOOKUP(DZ$2,$B:$H,7,0),IF(ED$3=1,MIN($M45,DZ45),IF(HLOOKUP(CONCATENATE("Balance",ED$3-1),'Withdrawal Working'!$A$2:$CD$78,MATCH('Yoy WAR OG'!$J45,'Withdrawal Working'!$A$2:$A$78,0),FALSE)&gt;0,MIN(HLOOKUP(CONCATENATE("Balance",ED$3-1),'Withdrawal Working'!$A$2:$CD$78,MATCH('Yoy WAR OG'!$J45,'Withdrawal Working'!$A$2:$A$78,0),0),DZ45),0)),IF($K45=VLOOKUP(DZ$2,$B:$H,7,0),DZ45,)),0)</f>
        <v>0</v>
      </c>
      <c r="EC45" s="58">
        <f t="shared" ca="1" si="69"/>
        <v>0</v>
      </c>
      <c r="EF45" s="450">
        <f t="shared" ca="1" si="46"/>
        <v>0</v>
      </c>
      <c r="EG45" s="58">
        <f ca="1">(VLOOKUP(EF$2,$B$1:$F$32,5,0)*$L45)+(VLOOKUP($K45,'Withdrawal Working'!$AD:$AE,2,0)*(IFERROR(VLOOKUP(EF$2,$B$35:$C$42,2,0),0)))</f>
        <v>0</v>
      </c>
      <c r="EH45" s="58">
        <f>IFERROR(IF($K45&lt;VLOOKUP(EF$2,$B:$H,7,0),IF(EJ$3=1,MIN($M45,EF45),IF(HLOOKUP(CONCATENATE("Balance",EJ$3-1),'Withdrawal Working'!$A$2:$CD$78,MATCH('Yoy WAR OG'!$J45,'Withdrawal Working'!$A$2:$A$78,0),FALSE)&gt;0,MIN(HLOOKUP(CONCATENATE("Balance",EJ$3-1),'Withdrawal Working'!$A$2:$CD$78,MATCH('Yoy WAR OG'!$J45,'Withdrawal Working'!$A$2:$A$78,0),0),EF45),0)),IF($K45=VLOOKUP(EF$2,$B:$H,7,0),EF45,)),0)</f>
        <v>0</v>
      </c>
      <c r="EI45" s="58">
        <f t="shared" ca="1" si="70"/>
        <v>0</v>
      </c>
      <c r="EL45" s="450">
        <f t="shared" ca="1" si="47"/>
        <v>0</v>
      </c>
      <c r="EM45" s="58">
        <f>IF(OR($J45&gt;'NWGC - SCENARIOS'!$D$7,$J45='NWGC - SCENARIOS'!$D$7),0,EM44)</f>
        <v>0</v>
      </c>
      <c r="EN45" s="58">
        <f>IFERROR(IF($K45&lt;VLOOKUP(EL$2,$B:$H,7,0),IF(EP$3=1,MIN($M45,EL45),IF(HLOOKUP(CONCATENATE("Balance",EP$3-1),'Withdrawal Working'!$A$2:$CD$78,MATCH('Yoy WAR OG'!$J45,'Withdrawal Working'!$A$2:$A$78,0),FALSE)&gt;0,MIN(HLOOKUP(CONCATENATE("Balance",EP$3-1),'Withdrawal Working'!$A$2:$CD$78,MATCH('Yoy WAR OG'!$J45,'Withdrawal Working'!$A$2:$A$78,0),0),EL45),0)),IF($K45=VLOOKUP(EL$2,$B:$H,7,0),EL45,)),0)</f>
        <v>0</v>
      </c>
      <c r="EO45" s="58">
        <f t="shared" ca="1" si="71"/>
        <v>0</v>
      </c>
      <c r="ER45" s="450">
        <f t="shared" ca="1" si="48"/>
        <v>0</v>
      </c>
      <c r="ES45" s="58">
        <f>IF(OR(J45&gt;'NWGC - SCENARIOS'!$D$7,J45='NWGC - SCENARIOS'!$D$7),0,ES44*(1+'NWGC - SCENARIOS'!$L$5))</f>
        <v>0</v>
      </c>
      <c r="ET45" s="58">
        <f>IFERROR(IF($K45&lt;VLOOKUP(ER$2,$B:$H,7,0),IF(EV$3=1,MIN($M45,ER45),IF(HLOOKUP(CONCATENATE("Balance",EV$3-1),'Withdrawal Working'!$A$2:$CD$78,MATCH('Yoy WAR OG'!$J45,'Withdrawal Working'!$A$2:$A$78,0),FALSE)&gt;0,MIN(HLOOKUP(CONCATENATE("Balance",EV$3-1),'Withdrawal Working'!$A$2:$CD$78,MATCH('Yoy WAR OG'!$J45,'Withdrawal Working'!$A$2:$A$78,0),0),ER45),0)),IF($K45=VLOOKUP(ER$2,$B:$H,7,0),ER45,)),0)</f>
        <v>0</v>
      </c>
      <c r="EU45" s="58">
        <f t="shared" ca="1" si="72"/>
        <v>0</v>
      </c>
      <c r="EX45" s="450">
        <f t="shared" ca="1" si="49"/>
        <v>0</v>
      </c>
      <c r="EY45" s="58">
        <f>IF(OR(J45&gt;'NWGC - SCENARIOS'!$D$7,J45='NWGC - SCENARIOS'!$D$7),0,EY44)</f>
        <v>0</v>
      </c>
      <c r="EZ45" s="58">
        <f>IFERROR(IF($K45&lt;VLOOKUP(EX$2,$B:$H,7,0),IF(FB$3=1,MIN($M45,EX45),IF(HLOOKUP(CONCATENATE("Balance",FB$3-1),'Withdrawal Working'!$A$2:$CD$78,MATCH('Yoy WAR OG'!$J45,'Withdrawal Working'!$A$2:$A$78,0),FALSE)&gt;0,MIN(HLOOKUP(CONCATENATE("Balance",FB$3-1),'Withdrawal Working'!$A$2:$CD$78,MATCH('Yoy WAR OG'!$J45,'Withdrawal Working'!$A$2:$A$78,0),0),EX45),0)),IF($K45=VLOOKUP(EX$2,$B:$H,7,0),EX45,)),0)</f>
        <v>0</v>
      </c>
      <c r="FA45" s="58">
        <f t="shared" ca="1" si="73"/>
        <v>0</v>
      </c>
    </row>
    <row r="46" spans="2:157" x14ac:dyDescent="0.3">
      <c r="J46">
        <f>IFERROR('NWGC - SCENARIOS'!B53,0)</f>
        <v>91</v>
      </c>
      <c r="K46">
        <f>IFERROR('NWGC - SCENARIOS'!C53,0)</f>
        <v>2067</v>
      </c>
      <c r="L46" s="449">
        <f ca="1">IF(('NWGC - SCENARIOS'!G53-working!G44)&gt;'NWGC - SCENARIOS'!H53,'NWGC - SCENARIOS'!G53-'NWGC - SCENARIOS'!H53-working!G44,0)</f>
        <v>0</v>
      </c>
      <c r="M46" s="449">
        <f ca="1">IF(('NWGC - SCENARIOS'!G53-working!G44)&gt;'NWGC - SCENARIOS'!H53,0,'NWGC - SCENARIOS'!H53-'NWGC - SCENARIOS'!G53+working!G44)</f>
        <v>55947397.164469905</v>
      </c>
      <c r="N46" s="58">
        <f t="shared" ca="1" si="50"/>
        <v>891134710.48718774</v>
      </c>
      <c r="O46" s="58">
        <f t="shared" ca="1" si="51"/>
        <v>158656937.8342351</v>
      </c>
      <c r="P46" s="58">
        <f t="shared" ca="1" si="74"/>
        <v>0</v>
      </c>
      <c r="Q46" s="58">
        <f ca="1">(VLOOKUP(P$2,$B$1:$F$32,5,0)*$L46)+(VLOOKUP($K46,'Withdrawal Working'!$AD:$AE,2,0)*(IFERROR(VLOOKUP(P$2,$B$35:$C$42,2,0),0)))</f>
        <v>0</v>
      </c>
      <c r="R46" s="58">
        <f>IFERROR(IF($K46&lt;VLOOKUP(P$2,$B:$H,7,0),IF(T$3=1,MIN($M46,P46),IF(HLOOKUP(CONCATENATE("Balance",T$3-1),'Withdrawal Working'!$A$2:$CD$78,MATCH('Yoy WAR OG'!$J46,'Withdrawal Working'!$A$2:$A$78,0),FALSE)&gt;0,MIN(HLOOKUP(CONCATENATE("Balance",T$3-1),'Withdrawal Working'!$A$2:$CD$78,MATCH('Yoy WAR OG'!$J46,'Withdrawal Working'!$A$2:$A$78,0),0),P46),0)),IF($K46=VLOOKUP(P$2,$B:$H,7,0),P46,)),0)</f>
        <v>0</v>
      </c>
      <c r="S46" s="58">
        <f t="shared" ca="1" si="75"/>
        <v>0</v>
      </c>
      <c r="T46" s="58"/>
      <c r="V46" s="58">
        <f t="shared" ca="1" si="27"/>
        <v>0</v>
      </c>
      <c r="W46" s="58">
        <f ca="1">(VLOOKUP(V$2,$B$1:$F$32,5,0)*$L46)+(VLOOKUP($K46,'Withdrawal Working'!$AD:$AE,2,0)*(IFERROR(VLOOKUP(V$2,$B$35:$C$42,2,0),0)))</f>
        <v>0</v>
      </c>
      <c r="X46" s="58">
        <f>IFERROR(IF($K46&lt;VLOOKUP(V$2,$B:$H,7,0),IF(Z$3=1,MIN($M46,V46),IF(HLOOKUP(CONCATENATE("Balance",Z$3-1),'Withdrawal Working'!$A$2:$CD$78,MATCH('Yoy WAR OG'!$J46,'Withdrawal Working'!$A$2:$A$78,0),FALSE)&gt;0,MIN(HLOOKUP(CONCATENATE("Balance",Z$3-1),'Withdrawal Working'!$A$2:$CD$78,MATCH('Yoy WAR OG'!$J46,'Withdrawal Working'!$A$2:$A$78,0),0),V46),0)),IF($K46=VLOOKUP(V$2,$B:$H,7,0),V46,)),0)</f>
        <v>0</v>
      </c>
      <c r="Y46" s="58">
        <f t="shared" ca="1" si="52"/>
        <v>0</v>
      </c>
      <c r="AB46" s="58">
        <f t="shared" ca="1" si="28"/>
        <v>0</v>
      </c>
      <c r="AC46" s="58">
        <f ca="1">(VLOOKUP(AB$2,$B$1:$F$32,5,0)*$L46)+(VLOOKUP($K46,'Withdrawal Working'!$AD:$AE,2,0)*(IFERROR(VLOOKUP(AB$2,$B$35:$C$42,2,0),0)))</f>
        <v>0</v>
      </c>
      <c r="AE46" s="58">
        <f t="shared" ca="1" si="53"/>
        <v>0</v>
      </c>
      <c r="AH46" s="58">
        <f t="shared" ca="1" si="29"/>
        <v>0</v>
      </c>
      <c r="AI46" s="58">
        <f ca="1">(VLOOKUP(AH$2,$B$1:$F$32,5,0)*$L46)+IF(J46&gt;'NWGC - SCENARIOS'!$D$7,0,(VLOOKUP($K46,'Withdrawal Working'!$AD:$AE,2,0)*(IFERROR(VLOOKUP(AH$2,$B$35:$C$42,2,0),0))))</f>
        <v>0</v>
      </c>
      <c r="AJ46" s="58">
        <f ca="1">IFERROR(IF($J46&gt;'NWGC - SCENARIOS'!$D$7,MIN('Yoy WAR OG'!AH46,VLOOKUP('Yoy WAR OG'!$J46,'Withdrawal Working'!BC:BD,2,0)),IF(AL$3=1,$M46,IF(HLOOKUP(CONCATENATE("Balance",AL$3-1),'Withdrawal Working'!$A$2:$CD$78,MATCH('Yoy WAR OG'!$J46,'Withdrawal Working'!$A$2:$A$78,0),FALSE)&gt;0,MIN(HLOOKUP(CONCATENATE("Balance",AL$3-1),'Withdrawal Working'!$A$2:$CD$78,MATCH('Yoy WAR OG'!$J46,'Withdrawal Working'!$A$2:$A$78,0),0),AH46),0))),0)</f>
        <v>0</v>
      </c>
      <c r="AK46" s="58">
        <f t="shared" ca="1" si="54"/>
        <v>0</v>
      </c>
      <c r="AN46" s="450">
        <f t="shared" ca="1" si="30"/>
        <v>900624847.86322618</v>
      </c>
      <c r="AO46" s="58">
        <f ca="1">IF(J46&gt;'NWGC - SCENARIOS'!$D$7,(IF(AJ46=0,0,'Yoy WAR OG'!AJ46)+(VLOOKUP(AN$2,$B$1:$F$32,5,0)*$L46)),(VLOOKUP(AN$2,$B$1:$F$32,5,0)*$L46)+(VLOOKUP($K46,'Withdrawal Working'!$AD:$AE,2,0)*(IFERROR(VLOOKUP(AN$2,$B$35:$C$42,2,0),0))))</f>
        <v>0</v>
      </c>
      <c r="AP46" s="470">
        <f ca="1">IFERROR(IF($K46&lt;&gt;VLOOKUP(AN$2,$B:$H,7,0),IF(AR$3=1,MIN($M46,AN46),IF(HLOOKUP(CONCATENATE("Balance",AR$3-1),'Withdrawal Working'!$A$2:$CD$78,MATCH('Yoy WAR OG'!$J46,'Withdrawal Working'!$A$2:$A$78,0),FALSE)&gt;0,MIN(HLOOKUP(CONCATENATE("Balance",AR$3-1),'Withdrawal Working'!$A$2:$CD$78,MATCH('Yoy WAR OG'!$J46,'Withdrawal Working'!$A$2:$A$78,0),0),AN46),0)),IF($K46=VLOOKUP(AN$2,$B:$H,7,0),AN46,)),0)</f>
        <v>55947397.164469905</v>
      </c>
      <c r="AQ46" s="58">
        <f ca="1">IF(AO46&lt;0,0,IF(J46&gt;'NWGC - SCENARIOS'!$D$7,((AN46-AP46+AO46)*(1+(IFERROR(VLOOKUP(AN$2,$B:$D,3,0),0)))),((AN46-AP46)*(1+(IFERROR(VLOOKUP(AN$2,$B:$D,3,0),0))))+AO46))</f>
        <v>891134710.48718774</v>
      </c>
      <c r="AT46" s="450">
        <f t="shared" ca="1" si="31"/>
        <v>0</v>
      </c>
      <c r="AU46" s="58">
        <f ca="1">(VLOOKUP(AT$2,$B$1:$F$32,5,0)*$L46)+(VLOOKUP($K46,'Withdrawal Working'!$AD:$AE,2,0)*(IFERROR(VLOOKUP(AT$2,$B$35:$C$42,2,0),0)))</f>
        <v>0</v>
      </c>
      <c r="AV46" s="58">
        <f>IFERROR(IF($K46&lt;VLOOKUP(AT$2,$B:$H,7,0),IF(AX$3=1,MIN($M46,AT46),IF(HLOOKUP(CONCATENATE("Balance",AX$3-1),'Withdrawal Working'!$A$2:$CD$78,MATCH('Yoy WAR OG'!$J46,'Withdrawal Working'!$A$2:$A$78,0),FALSE)&gt;0,MIN(HLOOKUP(CONCATENATE("Balance",AX$3-1),'Withdrawal Working'!$A$2:$CD$78,MATCH('Yoy WAR OG'!$J46,'Withdrawal Working'!$A$2:$A$78,0),0),AT46),0)),IF($K46=VLOOKUP(AT$2,$B:$H,7,0),AT46,)),0)</f>
        <v>0</v>
      </c>
      <c r="AW46" s="58">
        <f t="shared" ca="1" si="55"/>
        <v>0</v>
      </c>
      <c r="AZ46" s="450">
        <f t="shared" ca="1" si="32"/>
        <v>68577027.120432287</v>
      </c>
      <c r="BA46" s="58">
        <f ca="1">(VLOOKUP(AZ$2,$B$1:$F$32,5,0)*$L46)+(VLOOKUP($K46,'Withdrawal Working'!$AD:$AE,2,0)*(IFERROR(VLOOKUP(AZ$2,$B$35:$C$42,2,0),0)))</f>
        <v>0</v>
      </c>
      <c r="BB46" s="58">
        <f>IFERROR(IF($K46&lt;VLOOKUP(AZ$2,$B:$H,7,0),IF(BD$3=1,MIN($M46,AZ46),IF(HLOOKUP(CONCATENATE("Balance",BD$3-1),'Withdrawal Working'!$A$2:$CD$78,MATCH('Yoy WAR OG'!$J46,'Withdrawal Working'!$A$2:$A$78,0),FALSE)&gt;0,MIN(HLOOKUP(CONCATENATE("Balance",BD$3-1),'Withdrawal Working'!$A$2:$CD$78,MATCH('Yoy WAR OG'!$J46,'Withdrawal Working'!$A$2:$A$78,0),0),AZ46),0)),IF($K46=VLOOKUP(AZ$2,$B:$H,7,0),AZ46,)),0)</f>
        <v>0</v>
      </c>
      <c r="BC46" s="58">
        <f t="shared" ca="1" si="56"/>
        <v>73377419.018862545</v>
      </c>
      <c r="BF46" s="450">
        <f t="shared" ca="1" si="33"/>
        <v>0</v>
      </c>
      <c r="BG46" s="58">
        <f ca="1">(VLOOKUP(BF$2,$B$1:$F$32,5,0)*$L46)+(VLOOKUP($K46,'Withdrawal Working'!$AD:$AE,2,0)*(IFERROR(VLOOKUP(BF$2,$B$35:$C$42,2,0),0)))</f>
        <v>0</v>
      </c>
      <c r="BH46" s="58">
        <f>IFERROR(IF($K46&lt;VLOOKUP(BF$2,$B:$H,7,0),IF(BJ$3=1,MIN($M46,BF46),IF(HLOOKUP(CONCATENATE("Balance",BJ$3-1),'Withdrawal Working'!$A$2:$CD$78,MATCH('Yoy WAR OG'!$J46,'Withdrawal Working'!$A$2:$A$78,0),FALSE)&gt;0,MIN(HLOOKUP(CONCATENATE("Balance",BJ$3-1),'Withdrawal Working'!$A$2:$CD$78,MATCH('Yoy WAR OG'!$J46,'Withdrawal Working'!$A$2:$A$78,0),0),BF46),0)),IF($K46=VLOOKUP(BF$2,$B:$H,7,0),BF46,)),0)</f>
        <v>0</v>
      </c>
      <c r="BI46" s="58">
        <f t="shared" ca="1" si="57"/>
        <v>0</v>
      </c>
      <c r="BL46" s="450">
        <f t="shared" ca="1" si="34"/>
        <v>0</v>
      </c>
      <c r="BM46" s="58">
        <f ca="1">(VLOOKUP(BL$2,$B$1:$F$32,5,0)*$L46)+(VLOOKUP($K46,'Withdrawal Working'!$AD:$AE,2,0)*(IFERROR(VLOOKUP(BL$2,$B$35:$C$42,2,0),0)))</f>
        <v>0</v>
      </c>
      <c r="BN46" s="58">
        <f>IFERROR(IF($K46&lt;VLOOKUP(BL$2,$B:$H,7,0),IF(BP$3=1,MIN($M46,BL46),IF(HLOOKUP(CONCATENATE("Balance",BP$3-1),'Withdrawal Working'!$A$2:$CD$78,MATCH('Yoy WAR OG'!$J46,'Withdrawal Working'!$A$2:$A$78,0),FALSE)&gt;0,MIN(HLOOKUP(CONCATENATE("Balance",BP$3-1),'Withdrawal Working'!$A$2:$CD$78,MATCH('Yoy WAR OG'!$J46,'Withdrawal Working'!$A$2:$A$78,0),0),BL46),0)),IF($K46=VLOOKUP(BL$2,$B:$H,7,0),BL46,)),0)</f>
        <v>0</v>
      </c>
      <c r="BO46" s="58">
        <f t="shared" ca="1" si="58"/>
        <v>0</v>
      </c>
      <c r="BR46" s="450">
        <f t="shared" ca="1" si="35"/>
        <v>0</v>
      </c>
      <c r="BS46" s="58">
        <f ca="1">(VLOOKUP(BR$2,$B$1:$F$32,5,0)*$L46)+(VLOOKUP($K46,'Withdrawal Working'!$AD:$AE,2,0)*(IFERROR(VLOOKUP(BR$2,$B$35:$C$42,2,0),0)))</f>
        <v>0</v>
      </c>
      <c r="BT46" s="58">
        <f>IFERROR(IF($K46&lt;VLOOKUP(BR$2,$B:$H,7,0),IF(BV$3=1,MIN($M46,BR46),IF(HLOOKUP(CONCATENATE("Balance",BV$3-1),'Withdrawal Working'!$A$2:$CD$78,MATCH('Yoy WAR OG'!$J46,'Withdrawal Working'!$A$2:$A$78,0),FALSE)&gt;0,MIN(HLOOKUP(CONCATENATE("Balance",BV$3-1),'Withdrawal Working'!$A$2:$CD$78,MATCH('Yoy WAR OG'!$J46,'Withdrawal Working'!$A$2:$A$78,0),0),BR46),0)),IF($K46=VLOOKUP(BR$2,$B:$H,7,0),BR46,)),0)</f>
        <v>0</v>
      </c>
      <c r="BU46" s="58">
        <f t="shared" ca="1" si="59"/>
        <v>0</v>
      </c>
      <c r="BX46" s="450">
        <f t="shared" ca="1" si="36"/>
        <v>0</v>
      </c>
      <c r="BY46" s="58">
        <f ca="1">(VLOOKUP(BX$2,$B$1:$F$32,5,0)*$L46)+(VLOOKUP($K46,'Withdrawal Working'!$AD:$AE,2,0)*(IFERROR(VLOOKUP(BX$2,$B$35:$C$42,2,0),0)))</f>
        <v>0</v>
      </c>
      <c r="BZ46" s="58">
        <f>IFERROR(IF($K46&lt;VLOOKUP(BX$2,$B:$H,7,0),IF(CB$3=1,MIN($M46,BX46),IF(HLOOKUP(CONCATENATE("Balance",CB$3-1),'Withdrawal Working'!$A$2:$CD$78,MATCH('Yoy WAR OG'!$J46,'Withdrawal Working'!$A$2:$A$78,0),FALSE)&gt;0,MIN(HLOOKUP(CONCATENATE("Balance",CB$3-1),'Withdrawal Working'!$A$2:$CD$78,MATCH('Yoy WAR OG'!$J46,'Withdrawal Working'!$A$2:$A$78,0),0),BX46),0)),IF($K46=VLOOKUP(BX$2,$B:$H,7,0),BX46,)),0)</f>
        <v>0</v>
      </c>
      <c r="CA46" s="58">
        <f t="shared" ca="1" si="60"/>
        <v>0</v>
      </c>
      <c r="CD46" s="450">
        <f t="shared" ca="1" si="37"/>
        <v>63014904.352610968</v>
      </c>
      <c r="CE46" s="58">
        <f ca="1">(VLOOKUP(CD$2,$B$1:$F$32,5,0)*$L46)+(VLOOKUP($K46,'Withdrawal Working'!$AD:$AE,2,0)*(IFERROR(VLOOKUP(CD$2,$B$35:$C$42,2,0),0)))+SUMIFS('Key Life Events'!$I$3:$I$28,'Key Life Events'!$H$3:$H$28,"House",'Key Life Events'!$E$3:$E$28,'Yoy WAR OG'!K46)</f>
        <v>0</v>
      </c>
      <c r="CF46" s="58">
        <f>IFERROR(IF($K46&lt;VLOOKUP(CD$2,$B:$H,7,0),IF(CH$3=1,MIN($M46,CD46),IF(HLOOKUP(CONCATENATE("Balance",CH$3-1),'Withdrawal Working'!$A$2:$CD$78,MATCH('Yoy WAR OG'!$J46,'Withdrawal Working'!$A$2:$A$78,0),FALSE)&gt;0,MIN(HLOOKUP(CONCATENATE("Balance",CH$3-1),'Withdrawal Working'!$A$2:$CD$78,MATCH('Yoy WAR OG'!$J46,'Withdrawal Working'!$A$2:$A$78,0),0),CD46),0)),IF($K46=VLOOKUP(CD$2,$B:$H,7,0),CD46,)),0)</f>
        <v>0</v>
      </c>
      <c r="CG46" s="58">
        <f t="shared" ca="1" si="61"/>
        <v>64905351.4831893</v>
      </c>
      <c r="CJ46" s="450">
        <f t="shared" ca="1" si="38"/>
        <v>0</v>
      </c>
      <c r="CK46" s="58">
        <f ca="1">(VLOOKUP(CJ$2,$B$1:$F$32,5,0)*$L46)+(VLOOKUP($K46,'Withdrawal Working'!$AD:$AE,2,0)*(IFERROR(VLOOKUP(CJ$2,$B$35:$C$42,2,0),0)))+SUMIFS('Key Life Events'!$I$3:$I$28,'Key Life Events'!$H$3:$H$28,"House2",'Key Life Events'!$E$3:$E$28,'Yoy WAR OG'!K46)</f>
        <v>0</v>
      </c>
      <c r="CL46" s="58">
        <f ca="1">IF(IFERROR(IF($K46&lt;&gt;VLOOKUP(CJ$2,$B:$H,7,0),IF(CN$3=1,MIN($M46,CJ46),IF(HLOOKUP(CONCATENATE("Balance",CN$3-1),'Withdrawal Working'!$A$2:$CD$78,MATCH('Yoy WAR OG'!$J46,'Withdrawal Working'!$A$2:$A$78,0),FALSE)&gt;0,MIN(HLOOKUP(CONCATENATE("Balance",CN$3-1),'Withdrawal Working'!$A$2:$CD$78,MATCH('Yoy WAR OG'!$J46,'Withdrawal Working'!$A$2:$A$78,0),0),CJ46),0)),IF($K46=VLOOKUP(CJ$2,$B:$H,7,0),CJ46,)),0)&gt;0,CJ46,0)</f>
        <v>0</v>
      </c>
      <c r="CM46" s="58">
        <f t="shared" ca="1" si="62"/>
        <v>0</v>
      </c>
      <c r="CP46" s="450">
        <f t="shared" ca="1" si="39"/>
        <v>19403968.887793582</v>
      </c>
      <c r="CQ46" s="58">
        <f ca="1">(VLOOKUP(CP$2,$B$1:$F$32,5,0)*$L46)+(VLOOKUP($K46,'Withdrawal Working'!$AD:$AE,2,0)*(IFERROR(VLOOKUP(CP$2,$B$35:$C$42,2,0),0)))+SUMIFS('Key Life Events'!$I$3:$I$28,'Key Life Events'!$H$3:$H$28,"Land",'Key Life Events'!$E$3:$E$28,'Yoy WAR OG'!K46)</f>
        <v>0</v>
      </c>
      <c r="CR46" s="58">
        <f>IFERROR(IF($K46&lt;VLOOKUP(CP$2,$B:$H,7,0),IF(CT$3=1,MIN($M46,CP46),IF(HLOOKUP(CONCATENATE("Balance",CT$3-1),'Withdrawal Working'!$A$2:$CD$78,MATCH('Yoy WAR OG'!$J46,'Withdrawal Working'!$A$2:$A$78,0),FALSE)&gt;0,MIN(HLOOKUP(CONCATENATE("Balance",CT$3-1),'Withdrawal Working'!$A$2:$CD$78,MATCH('Yoy WAR OG'!$J46,'Withdrawal Working'!$A$2:$A$78,0),0),CP46),0)),IF($K46=VLOOKUP(CP$2,$B:$H,7,0),CP46,)),0)</f>
        <v>0</v>
      </c>
      <c r="CS46" s="58">
        <f t="shared" ca="1" si="63"/>
        <v>20374167.33218326</v>
      </c>
      <c r="CV46" s="450">
        <f t="shared" ca="1" si="40"/>
        <v>0</v>
      </c>
      <c r="CW46" s="58"/>
      <c r="CX46" s="58">
        <f>IFERROR(IF($K46&lt;VLOOKUP(CV$2,$B:$H,7,0),IF(CZ$3=1,MIN($M46,CV46),IF(HLOOKUP(CONCATENATE("Balance",CZ$3-1),'Withdrawal Working'!$A$2:$CD$78,MATCH('Yoy WAR OG'!$J46,'Withdrawal Working'!$A$2:$A$78,0),FALSE)&gt;0,MIN(HLOOKUP(CONCATENATE("Balance",CZ$3-1),'Withdrawal Working'!$A$2:$CD$78,MATCH('Yoy WAR OG'!$J46,'Withdrawal Working'!$A$2:$A$78,0),0),CV46),0)),IF($K46=VLOOKUP(CV$2,$B:$H,7,0),CV46,)),0)</f>
        <v>0</v>
      </c>
      <c r="CY46" s="58">
        <f t="shared" ca="1" si="64"/>
        <v>0</v>
      </c>
      <c r="DB46" s="450">
        <f t="shared" ca="1" si="41"/>
        <v>0</v>
      </c>
      <c r="DC46" s="58">
        <f ca="1">(VLOOKUP(DB$2,$B$1:$F$32,5,0)*$L46)+(VLOOKUP($K46,'Withdrawal Working'!$AD:$AE,2,0)*(IFERROR(VLOOKUP(DB$2,$B$35:$C$42,2,0),0)))</f>
        <v>0</v>
      </c>
      <c r="DD46" s="58">
        <f>IFERROR(IF($K46&lt;VLOOKUP(DB$2,$B:$H,7,0),IF(DF$3=1,MIN($M46,DB46),IF(HLOOKUP(CONCATENATE("Balance",DF$3-1),'Withdrawal Working'!$A$2:$CD$78,MATCH('Yoy WAR OG'!$J46,'Withdrawal Working'!$A$2:$A$78,0),FALSE)&gt;0,MIN(HLOOKUP(CONCATENATE("Balance",DF$3-1),'Withdrawal Working'!$A$2:$CD$78,MATCH('Yoy WAR OG'!$J46,'Withdrawal Working'!$A$2:$A$78,0),0),DB46),0)),IF($K46=VLOOKUP(DB$2,$B:$H,7,0),DB46,)),0)</f>
        <v>0</v>
      </c>
      <c r="DE46" s="58">
        <f t="shared" ca="1" si="65"/>
        <v>0</v>
      </c>
      <c r="DH46" s="450">
        <f t="shared" ca="1" si="42"/>
        <v>0</v>
      </c>
      <c r="DI46" s="58">
        <f>IF(OR(J46&gt;'NWGC - SCENARIOS'!$D$7,J46='NWGC - SCENARIOS'!$D$7),0,DI45*(1+'NWGC - SCENARIOS'!$L$5))</f>
        <v>0</v>
      </c>
      <c r="DJ46" s="58">
        <f>IFERROR(IF($K46&lt;VLOOKUP(DH$2,$B:$H,7,0),IF(DL$3=1,MIN($M46,DH46),IF(HLOOKUP(CONCATENATE("Balance",DL$3-1),'Withdrawal Working'!$A$2:$CD$78,MATCH('Yoy WAR OG'!$J46,'Withdrawal Working'!$A$2:$A$78,0),FALSE)&gt;0,MIN(HLOOKUP(CONCATENATE("Balance",DL$3-1),'Withdrawal Working'!$A$2:$CD$78,MATCH('Yoy WAR OG'!$J46,'Withdrawal Working'!$A$2:$A$78,0),0),DH46),0)),IF($K46=VLOOKUP(DH$2,$B:$H,7,0),DH46,)),0)</f>
        <v>0</v>
      </c>
      <c r="DK46" s="58">
        <f t="shared" ca="1" si="66"/>
        <v>0</v>
      </c>
      <c r="DN46" s="450">
        <f t="shared" ca="1" si="43"/>
        <v>0</v>
      </c>
      <c r="DO46" s="58">
        <f ca="1">(VLOOKUP(DN$2,$B$1:$F$32,5,0)*$L46)+(VLOOKUP($K46,'Withdrawal Working'!$AD:$AE,2,0)*(IFERROR(VLOOKUP(DN$2,$B$35:$C$42,2,0),0)))</f>
        <v>0</v>
      </c>
      <c r="DP46" s="58">
        <f>IFERROR(IF($K46&lt;VLOOKUP(DN$2,$B:$H,7,0),IF(DR$3=1,MIN($M46,DN46),IF(HLOOKUP(CONCATENATE("Balance",DR$3-1),'Withdrawal Working'!$A$2:$CD$78,MATCH('Yoy WAR OG'!$J46,'Withdrawal Working'!$A$2:$A$78,0),FALSE)&gt;0,MIN(HLOOKUP(CONCATENATE("Balance",DR$3-1),'Withdrawal Working'!$A$2:$CD$78,MATCH('Yoy WAR OG'!$J46,'Withdrawal Working'!$A$2:$A$78,0),0),DN46),0)),IF($K46=VLOOKUP(DN$2,$B:$H,7,0),DN46,)),0)</f>
        <v>0</v>
      </c>
      <c r="DQ46" s="58">
        <f t="shared" ca="1" si="67"/>
        <v>0</v>
      </c>
      <c r="DT46" s="450">
        <f t="shared" ca="1" si="44"/>
        <v>0</v>
      </c>
      <c r="DU46" s="58">
        <f ca="1">(VLOOKUP(DT$2,$B$1:$F$32,5,0)*$L46)+(VLOOKUP($K46,'Withdrawal Working'!$AD:$AE,2,0)*(IFERROR(VLOOKUP(DT$2,$B$35:$C$42,2,0),0)))</f>
        <v>0</v>
      </c>
      <c r="DV46" s="58">
        <f>IFERROR(IF($K46&lt;VLOOKUP(DT$2,$B:$H,7,0),IF(DX$3=1,MIN($M46,DT46),IF(HLOOKUP(CONCATENATE("Balance",DX$3-1),'Withdrawal Working'!$A$2:$CD$78,MATCH('Yoy WAR OG'!$J46,'Withdrawal Working'!$A$2:$A$78,0),FALSE)&gt;0,MIN(HLOOKUP(CONCATENATE("Balance",DX$3-1),'Withdrawal Working'!$A$2:$CD$78,MATCH('Yoy WAR OG'!$J46,'Withdrawal Working'!$A$2:$A$78,0),0),DT46),0)),IF($K46=VLOOKUP(DT$2,$B:$H,7,0),DT46,)),0)</f>
        <v>0</v>
      </c>
      <c r="DW46" s="58">
        <f t="shared" ca="1" si="68"/>
        <v>0</v>
      </c>
      <c r="DZ46" s="450">
        <f t="shared" ca="1" si="45"/>
        <v>0</v>
      </c>
      <c r="EA46" s="58">
        <f ca="1">(VLOOKUP(DZ$2,$B$1:$F$32,5,0)*$L46)+(VLOOKUP($K46,'Withdrawal Working'!$AD:$AE,2,0)*(IFERROR(VLOOKUP(DZ$2,$B$35:$C$42,2,0),0)))</f>
        <v>0</v>
      </c>
      <c r="EB46" s="58">
        <f>IFERROR(IF($K46&lt;VLOOKUP(DZ$2,$B:$H,7,0),IF(ED$3=1,MIN($M46,DZ46),IF(HLOOKUP(CONCATENATE("Balance",ED$3-1),'Withdrawal Working'!$A$2:$CD$78,MATCH('Yoy WAR OG'!$J46,'Withdrawal Working'!$A$2:$A$78,0),FALSE)&gt;0,MIN(HLOOKUP(CONCATENATE("Balance",ED$3-1),'Withdrawal Working'!$A$2:$CD$78,MATCH('Yoy WAR OG'!$J46,'Withdrawal Working'!$A$2:$A$78,0),0),DZ46),0)),IF($K46=VLOOKUP(DZ$2,$B:$H,7,0),DZ46,)),0)</f>
        <v>0</v>
      </c>
      <c r="EC46" s="58">
        <f t="shared" ca="1" si="69"/>
        <v>0</v>
      </c>
      <c r="EF46" s="450">
        <f t="shared" ca="1" si="46"/>
        <v>0</v>
      </c>
      <c r="EG46" s="58">
        <f ca="1">(VLOOKUP(EF$2,$B$1:$F$32,5,0)*$L46)+(VLOOKUP($K46,'Withdrawal Working'!$AD:$AE,2,0)*(IFERROR(VLOOKUP(EF$2,$B$35:$C$42,2,0),0)))</f>
        <v>0</v>
      </c>
      <c r="EH46" s="58">
        <f>IFERROR(IF($K46&lt;VLOOKUP(EF$2,$B:$H,7,0),IF(EJ$3=1,MIN($M46,EF46),IF(HLOOKUP(CONCATENATE("Balance",EJ$3-1),'Withdrawal Working'!$A$2:$CD$78,MATCH('Yoy WAR OG'!$J46,'Withdrawal Working'!$A$2:$A$78,0),FALSE)&gt;0,MIN(HLOOKUP(CONCATENATE("Balance",EJ$3-1),'Withdrawal Working'!$A$2:$CD$78,MATCH('Yoy WAR OG'!$J46,'Withdrawal Working'!$A$2:$A$78,0),0),EF46),0)),IF($K46=VLOOKUP(EF$2,$B:$H,7,0),EF46,)),0)</f>
        <v>0</v>
      </c>
      <c r="EI46" s="58">
        <f t="shared" ca="1" si="70"/>
        <v>0</v>
      </c>
      <c r="EL46" s="450">
        <f t="shared" ca="1" si="47"/>
        <v>0</v>
      </c>
      <c r="EM46" s="58">
        <f>IF(OR($J46&gt;'NWGC - SCENARIOS'!$D$7,$J46='NWGC - SCENARIOS'!$D$7),0,EM45)</f>
        <v>0</v>
      </c>
      <c r="EN46" s="58">
        <f>IFERROR(IF($K46&lt;VLOOKUP(EL$2,$B:$H,7,0),IF(EP$3=1,MIN($M46,EL46),IF(HLOOKUP(CONCATENATE("Balance",EP$3-1),'Withdrawal Working'!$A$2:$CD$78,MATCH('Yoy WAR OG'!$J46,'Withdrawal Working'!$A$2:$A$78,0),FALSE)&gt;0,MIN(HLOOKUP(CONCATENATE("Balance",EP$3-1),'Withdrawal Working'!$A$2:$CD$78,MATCH('Yoy WAR OG'!$J46,'Withdrawal Working'!$A$2:$A$78,0),0),EL46),0)),IF($K46=VLOOKUP(EL$2,$B:$H,7,0),EL46,)),0)</f>
        <v>0</v>
      </c>
      <c r="EO46" s="58">
        <f t="shared" ca="1" si="71"/>
        <v>0</v>
      </c>
      <c r="ER46" s="450">
        <f t="shared" ca="1" si="48"/>
        <v>0</v>
      </c>
      <c r="ES46" s="58">
        <f>IF(OR(J46&gt;'NWGC - SCENARIOS'!$D$7,J46='NWGC - SCENARIOS'!$D$7),0,ES45*(1+'NWGC - SCENARIOS'!$L$5))</f>
        <v>0</v>
      </c>
      <c r="ET46" s="58">
        <f>IFERROR(IF($K46&lt;VLOOKUP(ER$2,$B:$H,7,0),IF(EV$3=1,MIN($M46,ER46),IF(HLOOKUP(CONCATENATE("Balance",EV$3-1),'Withdrawal Working'!$A$2:$CD$78,MATCH('Yoy WAR OG'!$J46,'Withdrawal Working'!$A$2:$A$78,0),FALSE)&gt;0,MIN(HLOOKUP(CONCATENATE("Balance",EV$3-1),'Withdrawal Working'!$A$2:$CD$78,MATCH('Yoy WAR OG'!$J46,'Withdrawal Working'!$A$2:$A$78,0),0),ER46),0)),IF($K46=VLOOKUP(ER$2,$B:$H,7,0),ER46,)),0)</f>
        <v>0</v>
      </c>
      <c r="EU46" s="58">
        <f t="shared" ca="1" si="72"/>
        <v>0</v>
      </c>
      <c r="EX46" s="450">
        <f t="shared" ca="1" si="49"/>
        <v>0</v>
      </c>
      <c r="EY46" s="58">
        <f>IF(OR(J46&gt;'NWGC - SCENARIOS'!$D$7,J46='NWGC - SCENARIOS'!$D$7),0,EY45)</f>
        <v>0</v>
      </c>
      <c r="EZ46" s="58">
        <f>IFERROR(IF($K46&lt;VLOOKUP(EX$2,$B:$H,7,0),IF(FB$3=1,MIN($M46,EX46),IF(HLOOKUP(CONCATENATE("Balance",FB$3-1),'Withdrawal Working'!$A$2:$CD$78,MATCH('Yoy WAR OG'!$J46,'Withdrawal Working'!$A$2:$A$78,0),FALSE)&gt;0,MIN(HLOOKUP(CONCATENATE("Balance",FB$3-1),'Withdrawal Working'!$A$2:$CD$78,MATCH('Yoy WAR OG'!$J46,'Withdrawal Working'!$A$2:$A$78,0),0),EX46),0)),IF($K46=VLOOKUP(EX$2,$B:$H,7,0),EX46,)),0)</f>
        <v>0</v>
      </c>
      <c r="FA46" s="58">
        <f t="shared" ca="1" si="73"/>
        <v>0</v>
      </c>
    </row>
    <row r="47" spans="2:157" x14ac:dyDescent="0.3">
      <c r="J47">
        <f>IFERROR('NWGC - SCENARIOS'!B54,0)</f>
        <v>92</v>
      </c>
      <c r="K47">
        <f>IFERROR('NWGC - SCENARIOS'!C54,0)</f>
        <v>2068</v>
      </c>
      <c r="L47" s="449">
        <f ca="1">IF(('NWGC - SCENARIOS'!G54-working!G45)&gt;'NWGC - SCENARIOS'!H54,'NWGC - SCENARIOS'!G54-'NWGC - SCENARIOS'!H54-working!G45,0)</f>
        <v>0</v>
      </c>
      <c r="M47" s="449">
        <f ca="1">IF(('NWGC - SCENARIOS'!G54-working!G45)&gt;'NWGC - SCENARIOS'!H54,0,'NWGC - SCENARIOS'!H54-'NWGC - SCENARIOS'!G54+working!G45)</f>
        <v>60429908.937627502</v>
      </c>
      <c r="N47" s="58">
        <f t="shared" ca="1" si="50"/>
        <v>876393565.63478589</v>
      </c>
      <c r="O47" s="58">
        <f t="shared" ca="1" si="51"/>
        <v>166759226.07666034</v>
      </c>
      <c r="P47" s="58">
        <f t="shared" ca="1" si="74"/>
        <v>0</v>
      </c>
      <c r="Q47" s="58">
        <f ca="1">(VLOOKUP(P$2,$B$1:$F$32,5,0)*$L47)+(VLOOKUP($K47,'Withdrawal Working'!$AD:$AE,2,0)*(IFERROR(VLOOKUP(P$2,$B$35:$C$42,2,0),0)))</f>
        <v>0</v>
      </c>
      <c r="R47" s="58">
        <f>IFERROR(IF($K47&lt;VLOOKUP(P$2,$B:$H,7,0),IF(T$3=1,MIN($M47,P47),IF(HLOOKUP(CONCATENATE("Balance",T$3-1),'Withdrawal Working'!$A$2:$CD$78,MATCH('Yoy WAR OG'!$J47,'Withdrawal Working'!$A$2:$A$78,0),FALSE)&gt;0,MIN(HLOOKUP(CONCATENATE("Balance",T$3-1),'Withdrawal Working'!$A$2:$CD$78,MATCH('Yoy WAR OG'!$J47,'Withdrawal Working'!$A$2:$A$78,0),0),P47),0)),IF($K47=VLOOKUP(P$2,$B:$H,7,0),P47,)),0)</f>
        <v>0</v>
      </c>
      <c r="S47" s="58">
        <f t="shared" ca="1" si="75"/>
        <v>0</v>
      </c>
      <c r="T47" s="58"/>
      <c r="V47" s="58">
        <f t="shared" ca="1" si="27"/>
        <v>0</v>
      </c>
      <c r="W47" s="58">
        <f ca="1">(VLOOKUP(V$2,$B$1:$F$32,5,0)*$L47)+(VLOOKUP($K47,'Withdrawal Working'!$AD:$AE,2,0)*(IFERROR(VLOOKUP(V$2,$B$35:$C$42,2,0),0)))</f>
        <v>0</v>
      </c>
      <c r="X47" s="58">
        <f>IFERROR(IF($K47&lt;VLOOKUP(V$2,$B:$H,7,0),IF(Z$3=1,MIN($M47,V47),IF(HLOOKUP(CONCATENATE("Balance",Z$3-1),'Withdrawal Working'!$A$2:$CD$78,MATCH('Yoy WAR OG'!$J47,'Withdrawal Working'!$A$2:$A$78,0),FALSE)&gt;0,MIN(HLOOKUP(CONCATENATE("Balance",Z$3-1),'Withdrawal Working'!$A$2:$CD$78,MATCH('Yoy WAR OG'!$J47,'Withdrawal Working'!$A$2:$A$78,0),0),V47),0)),IF($K47=VLOOKUP(V$2,$B:$H,7,0),V47,)),0)</f>
        <v>0</v>
      </c>
      <c r="Y47" s="58">
        <f t="shared" ca="1" si="52"/>
        <v>0</v>
      </c>
      <c r="AB47" s="58">
        <f t="shared" ca="1" si="28"/>
        <v>0</v>
      </c>
      <c r="AC47" s="58">
        <f ca="1">(VLOOKUP(AB$2,$B$1:$F$32,5,0)*$L47)+(VLOOKUP($K47,'Withdrawal Working'!$AD:$AE,2,0)*(IFERROR(VLOOKUP(AB$2,$B$35:$C$42,2,0),0)))</f>
        <v>0</v>
      </c>
      <c r="AE47" s="58">
        <f t="shared" ca="1" si="53"/>
        <v>0</v>
      </c>
      <c r="AH47" s="58">
        <f t="shared" ca="1" si="29"/>
        <v>0</v>
      </c>
      <c r="AI47" s="58">
        <f ca="1">(VLOOKUP(AH$2,$B$1:$F$32,5,0)*$L47)+IF(J47&gt;'NWGC - SCENARIOS'!$D$7,0,(VLOOKUP($K47,'Withdrawal Working'!$AD:$AE,2,0)*(IFERROR(VLOOKUP(AH$2,$B$35:$C$42,2,0),0))))</f>
        <v>0</v>
      </c>
      <c r="AJ47" s="58">
        <f ca="1">IFERROR(IF($J47&gt;'NWGC - SCENARIOS'!$D$7,MIN('Yoy WAR OG'!AH47,VLOOKUP('Yoy WAR OG'!$J47,'Withdrawal Working'!BC:BD,2,0)),IF(AL$3=1,$M47,IF(HLOOKUP(CONCATENATE("Balance",AL$3-1),'Withdrawal Working'!$A$2:$CD$78,MATCH('Yoy WAR OG'!$J47,'Withdrawal Working'!$A$2:$A$78,0),FALSE)&gt;0,MIN(HLOOKUP(CONCATENATE("Balance",AL$3-1),'Withdrawal Working'!$A$2:$CD$78,MATCH('Yoy WAR OG'!$J47,'Withdrawal Working'!$A$2:$A$78,0),0),AH47),0))),0)</f>
        <v>0</v>
      </c>
      <c r="AK47" s="58">
        <f t="shared" ca="1" si="54"/>
        <v>0</v>
      </c>
      <c r="AN47" s="450">
        <f t="shared" ca="1" si="30"/>
        <v>891134710.48718774</v>
      </c>
      <c r="AO47" s="58">
        <f ca="1">IF(J47&gt;'NWGC - SCENARIOS'!$D$7,(IF(AJ47=0,0,'Yoy WAR OG'!AJ47)+(VLOOKUP(AN$2,$B$1:$F$32,5,0)*$L47)),(VLOOKUP(AN$2,$B$1:$F$32,5,0)*$L47)+(VLOOKUP($K47,'Withdrawal Working'!$AD:$AE,2,0)*(IFERROR(VLOOKUP(AN$2,$B$35:$C$42,2,0),0))))</f>
        <v>0</v>
      </c>
      <c r="AP47" s="470">
        <f ca="1">IFERROR(IF($K47&lt;&gt;VLOOKUP(AN$2,$B:$H,7,0),IF(AR$3=1,MIN($M47,AN47),IF(HLOOKUP(CONCATENATE("Balance",AR$3-1),'Withdrawal Working'!$A$2:$CD$78,MATCH('Yoy WAR OG'!$J47,'Withdrawal Working'!$A$2:$A$78,0),FALSE)&gt;0,MIN(HLOOKUP(CONCATENATE("Balance",AR$3-1),'Withdrawal Working'!$A$2:$CD$78,MATCH('Yoy WAR OG'!$J47,'Withdrawal Working'!$A$2:$A$78,0),0),AN47),0)),IF($K47=VLOOKUP(AN$2,$B:$H,7,0),AN47,)),0)</f>
        <v>60429908.937627502</v>
      </c>
      <c r="AQ47" s="58">
        <f ca="1">IF(AO47&lt;0,0,IF(J47&gt;'NWGC - SCENARIOS'!$D$7,((AN47-AP47+AO47)*(1+(IFERROR(VLOOKUP(AN$2,$B:$D,3,0),0)))),((AN47-AP47)*(1+(IFERROR(VLOOKUP(AN$2,$B:$D,3,0),0))))+AO47))</f>
        <v>876393565.63478589</v>
      </c>
      <c r="AT47" s="450">
        <f t="shared" ca="1" si="31"/>
        <v>0</v>
      </c>
      <c r="AU47" s="58">
        <f ca="1">(VLOOKUP(AT$2,$B$1:$F$32,5,0)*$L47)+(VLOOKUP($K47,'Withdrawal Working'!$AD:$AE,2,0)*(IFERROR(VLOOKUP(AT$2,$B$35:$C$42,2,0),0)))</f>
        <v>0</v>
      </c>
      <c r="AV47" s="58">
        <f>IFERROR(IF($K47&lt;VLOOKUP(AT$2,$B:$H,7,0),IF(AX$3=1,MIN($M47,AT47),IF(HLOOKUP(CONCATENATE("Balance",AX$3-1),'Withdrawal Working'!$A$2:$CD$78,MATCH('Yoy WAR OG'!$J47,'Withdrawal Working'!$A$2:$A$78,0),FALSE)&gt;0,MIN(HLOOKUP(CONCATENATE("Balance",AX$3-1),'Withdrawal Working'!$A$2:$CD$78,MATCH('Yoy WAR OG'!$J47,'Withdrawal Working'!$A$2:$A$78,0),0),AT47),0)),IF($K47=VLOOKUP(AT$2,$B:$H,7,0),AT47,)),0)</f>
        <v>0</v>
      </c>
      <c r="AW47" s="58">
        <f t="shared" ca="1" si="55"/>
        <v>0</v>
      </c>
      <c r="AZ47" s="450">
        <f t="shared" ca="1" si="32"/>
        <v>73377419.018862545</v>
      </c>
      <c r="BA47" s="58">
        <f ca="1">(VLOOKUP(AZ$2,$B$1:$F$32,5,0)*$L47)+(VLOOKUP($K47,'Withdrawal Working'!$AD:$AE,2,0)*(IFERROR(VLOOKUP(AZ$2,$B$35:$C$42,2,0),0)))</f>
        <v>0</v>
      </c>
      <c r="BB47" s="58">
        <f>IFERROR(IF($K47&lt;VLOOKUP(AZ$2,$B:$H,7,0),IF(BD$3=1,MIN($M47,AZ47),IF(HLOOKUP(CONCATENATE("Balance",BD$3-1),'Withdrawal Working'!$A$2:$CD$78,MATCH('Yoy WAR OG'!$J47,'Withdrawal Working'!$A$2:$A$78,0),FALSE)&gt;0,MIN(HLOOKUP(CONCATENATE("Balance",BD$3-1),'Withdrawal Working'!$A$2:$CD$78,MATCH('Yoy WAR OG'!$J47,'Withdrawal Working'!$A$2:$A$78,0),0),AZ47),0)),IF($K47=VLOOKUP(AZ$2,$B:$H,7,0),AZ47,)),0)</f>
        <v>0</v>
      </c>
      <c r="BC47" s="58">
        <f t="shared" ca="1" si="56"/>
        <v>78513838.350182936</v>
      </c>
      <c r="BF47" s="450">
        <f t="shared" ca="1" si="33"/>
        <v>0</v>
      </c>
      <c r="BG47" s="58">
        <f ca="1">(VLOOKUP(BF$2,$B$1:$F$32,5,0)*$L47)+(VLOOKUP($K47,'Withdrawal Working'!$AD:$AE,2,0)*(IFERROR(VLOOKUP(BF$2,$B$35:$C$42,2,0),0)))</f>
        <v>0</v>
      </c>
      <c r="BH47" s="58">
        <f>IFERROR(IF($K47&lt;VLOOKUP(BF$2,$B:$H,7,0),IF(BJ$3=1,MIN($M47,BF47),IF(HLOOKUP(CONCATENATE("Balance",BJ$3-1),'Withdrawal Working'!$A$2:$CD$78,MATCH('Yoy WAR OG'!$J47,'Withdrawal Working'!$A$2:$A$78,0),FALSE)&gt;0,MIN(HLOOKUP(CONCATENATE("Balance",BJ$3-1),'Withdrawal Working'!$A$2:$CD$78,MATCH('Yoy WAR OG'!$J47,'Withdrawal Working'!$A$2:$A$78,0),0),BF47),0)),IF($K47=VLOOKUP(BF$2,$B:$H,7,0),BF47,)),0)</f>
        <v>0</v>
      </c>
      <c r="BI47" s="58">
        <f t="shared" ca="1" si="57"/>
        <v>0</v>
      </c>
      <c r="BL47" s="450">
        <f t="shared" ca="1" si="34"/>
        <v>0</v>
      </c>
      <c r="BM47" s="58">
        <f ca="1">(VLOOKUP(BL$2,$B$1:$F$32,5,0)*$L47)+(VLOOKUP($K47,'Withdrawal Working'!$AD:$AE,2,0)*(IFERROR(VLOOKUP(BL$2,$B$35:$C$42,2,0),0)))</f>
        <v>0</v>
      </c>
      <c r="BN47" s="58">
        <f>IFERROR(IF($K47&lt;VLOOKUP(BL$2,$B:$H,7,0),IF(BP$3=1,MIN($M47,BL47),IF(HLOOKUP(CONCATENATE("Balance",BP$3-1),'Withdrawal Working'!$A$2:$CD$78,MATCH('Yoy WAR OG'!$J47,'Withdrawal Working'!$A$2:$A$78,0),FALSE)&gt;0,MIN(HLOOKUP(CONCATENATE("Balance",BP$3-1),'Withdrawal Working'!$A$2:$CD$78,MATCH('Yoy WAR OG'!$J47,'Withdrawal Working'!$A$2:$A$78,0),0),BL47),0)),IF($K47=VLOOKUP(BL$2,$B:$H,7,0),BL47,)),0)</f>
        <v>0</v>
      </c>
      <c r="BO47" s="58">
        <f t="shared" ca="1" si="58"/>
        <v>0</v>
      </c>
      <c r="BR47" s="450">
        <f t="shared" ca="1" si="35"/>
        <v>0</v>
      </c>
      <c r="BS47" s="58">
        <f ca="1">(VLOOKUP(BR$2,$B$1:$F$32,5,0)*$L47)+(VLOOKUP($K47,'Withdrawal Working'!$AD:$AE,2,0)*(IFERROR(VLOOKUP(BR$2,$B$35:$C$42,2,0),0)))</f>
        <v>0</v>
      </c>
      <c r="BT47" s="58">
        <f>IFERROR(IF($K47&lt;VLOOKUP(BR$2,$B:$H,7,0),IF(BV$3=1,MIN($M47,BR47),IF(HLOOKUP(CONCATENATE("Balance",BV$3-1),'Withdrawal Working'!$A$2:$CD$78,MATCH('Yoy WAR OG'!$J47,'Withdrawal Working'!$A$2:$A$78,0),FALSE)&gt;0,MIN(HLOOKUP(CONCATENATE("Balance",BV$3-1),'Withdrawal Working'!$A$2:$CD$78,MATCH('Yoy WAR OG'!$J47,'Withdrawal Working'!$A$2:$A$78,0),0),BR47),0)),IF($K47=VLOOKUP(BR$2,$B:$H,7,0),BR47,)),0)</f>
        <v>0</v>
      </c>
      <c r="BU47" s="58">
        <f t="shared" ca="1" si="59"/>
        <v>0</v>
      </c>
      <c r="BX47" s="450">
        <f t="shared" ca="1" si="36"/>
        <v>0</v>
      </c>
      <c r="BY47" s="58">
        <f ca="1">(VLOOKUP(BX$2,$B$1:$F$32,5,0)*$L47)+(VLOOKUP($K47,'Withdrawal Working'!$AD:$AE,2,0)*(IFERROR(VLOOKUP(BX$2,$B$35:$C$42,2,0),0)))</f>
        <v>0</v>
      </c>
      <c r="BZ47" s="58">
        <f>IFERROR(IF($K47&lt;VLOOKUP(BX$2,$B:$H,7,0),IF(CB$3=1,MIN($M47,BX47),IF(HLOOKUP(CONCATENATE("Balance",CB$3-1),'Withdrawal Working'!$A$2:$CD$78,MATCH('Yoy WAR OG'!$J47,'Withdrawal Working'!$A$2:$A$78,0),FALSE)&gt;0,MIN(HLOOKUP(CONCATENATE("Balance",CB$3-1),'Withdrawal Working'!$A$2:$CD$78,MATCH('Yoy WAR OG'!$J47,'Withdrawal Working'!$A$2:$A$78,0),0),BX47),0)),IF($K47=VLOOKUP(BX$2,$B:$H,7,0),BX47,)),0)</f>
        <v>0</v>
      </c>
      <c r="CA47" s="58">
        <f t="shared" ca="1" si="60"/>
        <v>0</v>
      </c>
      <c r="CD47" s="450">
        <f t="shared" ca="1" si="37"/>
        <v>64905351.4831893</v>
      </c>
      <c r="CE47" s="58">
        <f ca="1">(VLOOKUP(CD$2,$B$1:$F$32,5,0)*$L47)+(VLOOKUP($K47,'Withdrawal Working'!$AD:$AE,2,0)*(IFERROR(VLOOKUP(CD$2,$B$35:$C$42,2,0),0)))+SUMIFS('Key Life Events'!$I$3:$I$28,'Key Life Events'!$H$3:$H$28,"House",'Key Life Events'!$E$3:$E$28,'Yoy WAR OG'!K47)</f>
        <v>0</v>
      </c>
      <c r="CF47" s="58">
        <f>IFERROR(IF($K47&lt;VLOOKUP(CD$2,$B:$H,7,0),IF(CH$3=1,MIN($M47,CD47),IF(HLOOKUP(CONCATENATE("Balance",CH$3-1),'Withdrawal Working'!$A$2:$CD$78,MATCH('Yoy WAR OG'!$J47,'Withdrawal Working'!$A$2:$A$78,0),FALSE)&gt;0,MIN(HLOOKUP(CONCATENATE("Balance",CH$3-1),'Withdrawal Working'!$A$2:$CD$78,MATCH('Yoy WAR OG'!$J47,'Withdrawal Working'!$A$2:$A$78,0),0),CD47),0)),IF($K47=VLOOKUP(CD$2,$B:$H,7,0),CD47,)),0)</f>
        <v>0</v>
      </c>
      <c r="CG47" s="58">
        <f t="shared" ca="1" si="61"/>
        <v>66852512.027684979</v>
      </c>
      <c r="CJ47" s="450">
        <f t="shared" ca="1" si="38"/>
        <v>0</v>
      </c>
      <c r="CK47" s="58">
        <f ca="1">(VLOOKUP(CJ$2,$B$1:$F$32,5,0)*$L47)+(VLOOKUP($K47,'Withdrawal Working'!$AD:$AE,2,0)*(IFERROR(VLOOKUP(CJ$2,$B$35:$C$42,2,0),0)))+SUMIFS('Key Life Events'!$I$3:$I$28,'Key Life Events'!$H$3:$H$28,"House2",'Key Life Events'!$E$3:$E$28,'Yoy WAR OG'!K47)</f>
        <v>0</v>
      </c>
      <c r="CL47" s="58">
        <f ca="1">IF(IFERROR(IF($K47&lt;&gt;VLOOKUP(CJ$2,$B:$H,7,0),IF(CN$3=1,MIN($M47,CJ47),IF(HLOOKUP(CONCATENATE("Balance",CN$3-1),'Withdrawal Working'!$A$2:$CD$78,MATCH('Yoy WAR OG'!$J47,'Withdrawal Working'!$A$2:$A$78,0),FALSE)&gt;0,MIN(HLOOKUP(CONCATENATE("Balance",CN$3-1),'Withdrawal Working'!$A$2:$CD$78,MATCH('Yoy WAR OG'!$J47,'Withdrawal Working'!$A$2:$A$78,0),0),CJ47),0)),IF($K47=VLOOKUP(CJ$2,$B:$H,7,0),CJ47,)),0)&gt;0,CJ47,0)</f>
        <v>0</v>
      </c>
      <c r="CM47" s="58">
        <f t="shared" ca="1" si="62"/>
        <v>0</v>
      </c>
      <c r="CP47" s="450">
        <f t="shared" ca="1" si="39"/>
        <v>20374167.33218326</v>
      </c>
      <c r="CQ47" s="58">
        <f ca="1">(VLOOKUP(CP$2,$B$1:$F$32,5,0)*$L47)+(VLOOKUP($K47,'Withdrawal Working'!$AD:$AE,2,0)*(IFERROR(VLOOKUP(CP$2,$B$35:$C$42,2,0),0)))+SUMIFS('Key Life Events'!$I$3:$I$28,'Key Life Events'!$H$3:$H$28,"Land",'Key Life Events'!$E$3:$E$28,'Yoy WAR OG'!K47)</f>
        <v>0</v>
      </c>
      <c r="CR47" s="58">
        <f>IFERROR(IF($K47&lt;VLOOKUP(CP$2,$B:$H,7,0),IF(CT$3=1,MIN($M47,CP47),IF(HLOOKUP(CONCATENATE("Balance",CT$3-1),'Withdrawal Working'!$A$2:$CD$78,MATCH('Yoy WAR OG'!$J47,'Withdrawal Working'!$A$2:$A$78,0),FALSE)&gt;0,MIN(HLOOKUP(CONCATENATE("Balance",CT$3-1),'Withdrawal Working'!$A$2:$CD$78,MATCH('Yoy WAR OG'!$J47,'Withdrawal Working'!$A$2:$A$78,0),0),CP47),0)),IF($K47=VLOOKUP(CP$2,$B:$H,7,0),CP47,)),0)</f>
        <v>0</v>
      </c>
      <c r="CS47" s="58">
        <f t="shared" ca="1" si="63"/>
        <v>21392875.698792424</v>
      </c>
      <c r="CV47" s="450">
        <f t="shared" ca="1" si="40"/>
        <v>0</v>
      </c>
      <c r="CW47" s="58"/>
      <c r="CX47" s="58">
        <f>IFERROR(IF($K47&lt;VLOOKUP(CV$2,$B:$H,7,0),IF(CZ$3=1,MIN($M47,CV47),IF(HLOOKUP(CONCATENATE("Balance",CZ$3-1),'Withdrawal Working'!$A$2:$CD$78,MATCH('Yoy WAR OG'!$J47,'Withdrawal Working'!$A$2:$A$78,0),FALSE)&gt;0,MIN(HLOOKUP(CONCATENATE("Balance",CZ$3-1),'Withdrawal Working'!$A$2:$CD$78,MATCH('Yoy WAR OG'!$J47,'Withdrawal Working'!$A$2:$A$78,0),0),CV47),0)),IF($K47=VLOOKUP(CV$2,$B:$H,7,0),CV47,)),0)</f>
        <v>0</v>
      </c>
      <c r="CY47" s="58">
        <f t="shared" ca="1" si="64"/>
        <v>0</v>
      </c>
      <c r="DB47" s="450">
        <f t="shared" ca="1" si="41"/>
        <v>0</v>
      </c>
      <c r="DC47" s="58">
        <f ca="1">(VLOOKUP(DB$2,$B$1:$F$32,5,0)*$L47)+(VLOOKUP($K47,'Withdrawal Working'!$AD:$AE,2,0)*(IFERROR(VLOOKUP(DB$2,$B$35:$C$42,2,0),0)))</f>
        <v>0</v>
      </c>
      <c r="DD47" s="58">
        <f>IFERROR(IF($K47&lt;VLOOKUP(DB$2,$B:$H,7,0),IF(DF$3=1,MIN($M47,DB47),IF(HLOOKUP(CONCATENATE("Balance",DF$3-1),'Withdrawal Working'!$A$2:$CD$78,MATCH('Yoy WAR OG'!$J47,'Withdrawal Working'!$A$2:$A$78,0),FALSE)&gt;0,MIN(HLOOKUP(CONCATENATE("Balance",DF$3-1),'Withdrawal Working'!$A$2:$CD$78,MATCH('Yoy WAR OG'!$J47,'Withdrawal Working'!$A$2:$A$78,0),0),DB47),0)),IF($K47=VLOOKUP(DB$2,$B:$H,7,0),DB47,)),0)</f>
        <v>0</v>
      </c>
      <c r="DE47" s="58">
        <f t="shared" ca="1" si="65"/>
        <v>0</v>
      </c>
      <c r="DH47" s="450">
        <f t="shared" ca="1" si="42"/>
        <v>0</v>
      </c>
      <c r="DI47" s="58">
        <f>IF(OR(J47&gt;'NWGC - SCENARIOS'!$D$7,J47='NWGC - SCENARIOS'!$D$7),0,DI46*(1+'NWGC - SCENARIOS'!$L$5))</f>
        <v>0</v>
      </c>
      <c r="DJ47" s="58">
        <f>IFERROR(IF($K47&lt;VLOOKUP(DH$2,$B:$H,7,0),IF(DL$3=1,MIN($M47,DH47),IF(HLOOKUP(CONCATENATE("Balance",DL$3-1),'Withdrawal Working'!$A$2:$CD$78,MATCH('Yoy WAR OG'!$J47,'Withdrawal Working'!$A$2:$A$78,0),FALSE)&gt;0,MIN(HLOOKUP(CONCATENATE("Balance",DL$3-1),'Withdrawal Working'!$A$2:$CD$78,MATCH('Yoy WAR OG'!$J47,'Withdrawal Working'!$A$2:$A$78,0),0),DH47),0)),IF($K47=VLOOKUP(DH$2,$B:$H,7,0),DH47,)),0)</f>
        <v>0</v>
      </c>
      <c r="DK47" s="58">
        <f t="shared" ca="1" si="66"/>
        <v>0</v>
      </c>
      <c r="DN47" s="450">
        <f t="shared" ca="1" si="43"/>
        <v>0</v>
      </c>
      <c r="DO47" s="58">
        <f ca="1">(VLOOKUP(DN$2,$B$1:$F$32,5,0)*$L47)+(VLOOKUP($K47,'Withdrawal Working'!$AD:$AE,2,0)*(IFERROR(VLOOKUP(DN$2,$B$35:$C$42,2,0),0)))</f>
        <v>0</v>
      </c>
      <c r="DP47" s="58">
        <f>IFERROR(IF($K47&lt;VLOOKUP(DN$2,$B:$H,7,0),IF(DR$3=1,MIN($M47,DN47),IF(HLOOKUP(CONCATENATE("Balance",DR$3-1),'Withdrawal Working'!$A$2:$CD$78,MATCH('Yoy WAR OG'!$J47,'Withdrawal Working'!$A$2:$A$78,0),FALSE)&gt;0,MIN(HLOOKUP(CONCATENATE("Balance",DR$3-1),'Withdrawal Working'!$A$2:$CD$78,MATCH('Yoy WAR OG'!$J47,'Withdrawal Working'!$A$2:$A$78,0),0),DN47),0)),IF($K47=VLOOKUP(DN$2,$B:$H,7,0),DN47,)),0)</f>
        <v>0</v>
      </c>
      <c r="DQ47" s="58">
        <f t="shared" ca="1" si="67"/>
        <v>0</v>
      </c>
      <c r="DT47" s="450">
        <f t="shared" ca="1" si="44"/>
        <v>0</v>
      </c>
      <c r="DU47" s="58">
        <f ca="1">(VLOOKUP(DT$2,$B$1:$F$32,5,0)*$L47)+(VLOOKUP($K47,'Withdrawal Working'!$AD:$AE,2,0)*(IFERROR(VLOOKUP(DT$2,$B$35:$C$42,2,0),0)))</f>
        <v>0</v>
      </c>
      <c r="DV47" s="58">
        <f>IFERROR(IF($K47&lt;VLOOKUP(DT$2,$B:$H,7,0),IF(DX$3=1,MIN($M47,DT47),IF(HLOOKUP(CONCATENATE("Balance",DX$3-1),'Withdrawal Working'!$A$2:$CD$78,MATCH('Yoy WAR OG'!$J47,'Withdrawal Working'!$A$2:$A$78,0),FALSE)&gt;0,MIN(HLOOKUP(CONCATENATE("Balance",DX$3-1),'Withdrawal Working'!$A$2:$CD$78,MATCH('Yoy WAR OG'!$J47,'Withdrawal Working'!$A$2:$A$78,0),0),DT47),0)),IF($K47=VLOOKUP(DT$2,$B:$H,7,0),DT47,)),0)</f>
        <v>0</v>
      </c>
      <c r="DW47" s="58">
        <f t="shared" ca="1" si="68"/>
        <v>0</v>
      </c>
      <c r="DZ47" s="450">
        <f t="shared" ca="1" si="45"/>
        <v>0</v>
      </c>
      <c r="EA47" s="58">
        <f ca="1">(VLOOKUP(DZ$2,$B$1:$F$32,5,0)*$L47)+(VLOOKUP($K47,'Withdrawal Working'!$AD:$AE,2,0)*(IFERROR(VLOOKUP(DZ$2,$B$35:$C$42,2,0),0)))</f>
        <v>0</v>
      </c>
      <c r="EB47" s="58">
        <f>IFERROR(IF($K47&lt;VLOOKUP(DZ$2,$B:$H,7,0),IF(ED$3=1,MIN($M47,DZ47),IF(HLOOKUP(CONCATENATE("Balance",ED$3-1),'Withdrawal Working'!$A$2:$CD$78,MATCH('Yoy WAR OG'!$J47,'Withdrawal Working'!$A$2:$A$78,0),FALSE)&gt;0,MIN(HLOOKUP(CONCATENATE("Balance",ED$3-1),'Withdrawal Working'!$A$2:$CD$78,MATCH('Yoy WAR OG'!$J47,'Withdrawal Working'!$A$2:$A$78,0),0),DZ47),0)),IF($K47=VLOOKUP(DZ$2,$B:$H,7,0),DZ47,)),0)</f>
        <v>0</v>
      </c>
      <c r="EC47" s="58">
        <f t="shared" ca="1" si="69"/>
        <v>0</v>
      </c>
      <c r="EF47" s="450">
        <f t="shared" ca="1" si="46"/>
        <v>0</v>
      </c>
      <c r="EG47" s="58">
        <f ca="1">(VLOOKUP(EF$2,$B$1:$F$32,5,0)*$L47)+(VLOOKUP($K47,'Withdrawal Working'!$AD:$AE,2,0)*(IFERROR(VLOOKUP(EF$2,$B$35:$C$42,2,0),0)))</f>
        <v>0</v>
      </c>
      <c r="EH47" s="58">
        <f>IFERROR(IF($K47&lt;VLOOKUP(EF$2,$B:$H,7,0),IF(EJ$3=1,MIN($M47,EF47),IF(HLOOKUP(CONCATENATE("Balance",EJ$3-1),'Withdrawal Working'!$A$2:$CD$78,MATCH('Yoy WAR OG'!$J47,'Withdrawal Working'!$A$2:$A$78,0),FALSE)&gt;0,MIN(HLOOKUP(CONCATENATE("Balance",EJ$3-1),'Withdrawal Working'!$A$2:$CD$78,MATCH('Yoy WAR OG'!$J47,'Withdrawal Working'!$A$2:$A$78,0),0),EF47),0)),IF($K47=VLOOKUP(EF$2,$B:$H,7,0),EF47,)),0)</f>
        <v>0</v>
      </c>
      <c r="EI47" s="58">
        <f t="shared" ca="1" si="70"/>
        <v>0</v>
      </c>
      <c r="EL47" s="450">
        <f t="shared" ca="1" si="47"/>
        <v>0</v>
      </c>
      <c r="EM47" s="58">
        <f>IF(OR($J47&gt;'NWGC - SCENARIOS'!$D$7,$J47='NWGC - SCENARIOS'!$D$7),0,EM46)</f>
        <v>0</v>
      </c>
      <c r="EN47" s="58">
        <f>IFERROR(IF($K47&lt;VLOOKUP(EL$2,$B:$H,7,0),IF(EP$3=1,MIN($M47,EL47),IF(HLOOKUP(CONCATENATE("Balance",EP$3-1),'Withdrawal Working'!$A$2:$CD$78,MATCH('Yoy WAR OG'!$J47,'Withdrawal Working'!$A$2:$A$78,0),FALSE)&gt;0,MIN(HLOOKUP(CONCATENATE("Balance",EP$3-1),'Withdrawal Working'!$A$2:$CD$78,MATCH('Yoy WAR OG'!$J47,'Withdrawal Working'!$A$2:$A$78,0),0),EL47),0)),IF($K47=VLOOKUP(EL$2,$B:$H,7,0),EL47,)),0)</f>
        <v>0</v>
      </c>
      <c r="EO47" s="58">
        <f t="shared" ca="1" si="71"/>
        <v>0</v>
      </c>
      <c r="ER47" s="450">
        <f t="shared" ca="1" si="48"/>
        <v>0</v>
      </c>
      <c r="ES47" s="58">
        <f>IF(OR(J47&gt;'NWGC - SCENARIOS'!$D$7,J47='NWGC - SCENARIOS'!$D$7),0,ES46*(1+'NWGC - SCENARIOS'!$L$5))</f>
        <v>0</v>
      </c>
      <c r="ET47" s="58">
        <f>IFERROR(IF($K47&lt;VLOOKUP(ER$2,$B:$H,7,0),IF(EV$3=1,MIN($M47,ER47),IF(HLOOKUP(CONCATENATE("Balance",EV$3-1),'Withdrawal Working'!$A$2:$CD$78,MATCH('Yoy WAR OG'!$J47,'Withdrawal Working'!$A$2:$A$78,0),FALSE)&gt;0,MIN(HLOOKUP(CONCATENATE("Balance",EV$3-1),'Withdrawal Working'!$A$2:$CD$78,MATCH('Yoy WAR OG'!$J47,'Withdrawal Working'!$A$2:$A$78,0),0),ER47),0)),IF($K47=VLOOKUP(ER$2,$B:$H,7,0),ER47,)),0)</f>
        <v>0</v>
      </c>
      <c r="EU47" s="58">
        <f t="shared" ca="1" si="72"/>
        <v>0</v>
      </c>
      <c r="EX47" s="450">
        <f t="shared" ca="1" si="49"/>
        <v>0</v>
      </c>
      <c r="EY47" s="58">
        <f>IF(OR(J47&gt;'NWGC - SCENARIOS'!$D$7,J47='NWGC - SCENARIOS'!$D$7),0,EY46)</f>
        <v>0</v>
      </c>
      <c r="EZ47" s="58">
        <f>IFERROR(IF($K47&lt;VLOOKUP(EX$2,$B:$H,7,0),IF(FB$3=1,MIN($M47,EX47),IF(HLOOKUP(CONCATENATE("Balance",FB$3-1),'Withdrawal Working'!$A$2:$CD$78,MATCH('Yoy WAR OG'!$J47,'Withdrawal Working'!$A$2:$A$78,0),FALSE)&gt;0,MIN(HLOOKUP(CONCATENATE("Balance",FB$3-1),'Withdrawal Working'!$A$2:$CD$78,MATCH('Yoy WAR OG'!$J47,'Withdrawal Working'!$A$2:$A$78,0),0),EX47),0)),IF($K47=VLOOKUP(EX$2,$B:$H,7,0),EX47,)),0)</f>
        <v>0</v>
      </c>
      <c r="FA47" s="58">
        <f t="shared" ca="1" si="73"/>
        <v>0</v>
      </c>
    </row>
    <row r="48" spans="2:157" x14ac:dyDescent="0.3">
      <c r="J48">
        <f>IFERROR('NWGC - SCENARIOS'!B55,0)</f>
        <v>93</v>
      </c>
      <c r="K48">
        <f>IFERROR('NWGC - SCENARIOS'!C55,0)</f>
        <v>2069</v>
      </c>
      <c r="L48" s="449">
        <f ca="1">IF(('NWGC - SCENARIOS'!G55-working!G46)&gt;'NWGC - SCENARIOS'!H55,'NWGC - SCENARIOS'!G55-'NWGC - SCENARIOS'!H55-working!G46,0)</f>
        <v>0</v>
      </c>
      <c r="M48" s="449">
        <f ca="1">IF(('NWGC - SCENARIOS'!G55-working!G46)&gt;'NWGC - SCENARIOS'!H55,0,'NWGC - SCENARIOS'!H55-'NWGC - SCENARIOS'!G55+working!G46)</f>
        <v>65271021.65263772</v>
      </c>
      <c r="N48" s="58">
        <f t="shared" ca="1" si="50"/>
        <v>855734283.90116632</v>
      </c>
      <c r="O48" s="58">
        <f t="shared" ca="1" si="51"/>
        <v>175330413.90694332</v>
      </c>
      <c r="P48" s="58">
        <f t="shared" ca="1" si="74"/>
        <v>0</v>
      </c>
      <c r="Q48" s="58">
        <f ca="1">(VLOOKUP(P$2,$B$1:$F$32,5,0)*$L48)+(VLOOKUP($K48,'Withdrawal Working'!$AD:$AE,2,0)*(IFERROR(VLOOKUP(P$2,$B$35:$C$42,2,0),0)))</f>
        <v>0</v>
      </c>
      <c r="R48" s="58">
        <f>IFERROR(IF($K48&lt;VLOOKUP(P$2,$B:$H,7,0),IF(T$3=1,MIN($M48,P48),IF(HLOOKUP(CONCATENATE("Balance",T$3-1),'Withdrawal Working'!$A$2:$CD$78,MATCH('Yoy WAR OG'!$J48,'Withdrawal Working'!$A$2:$A$78,0),FALSE)&gt;0,MIN(HLOOKUP(CONCATENATE("Balance",T$3-1),'Withdrawal Working'!$A$2:$CD$78,MATCH('Yoy WAR OG'!$J48,'Withdrawal Working'!$A$2:$A$78,0),0),P48),0)),IF($K48=VLOOKUP(P$2,$B:$H,7,0),P48,)),0)</f>
        <v>0</v>
      </c>
      <c r="S48" s="58">
        <f t="shared" ca="1" si="75"/>
        <v>0</v>
      </c>
      <c r="T48" s="58"/>
      <c r="V48" s="58">
        <f t="shared" ca="1" si="27"/>
        <v>0</v>
      </c>
      <c r="W48" s="58">
        <f ca="1">(VLOOKUP(V$2,$B$1:$F$32,5,0)*$L48)+(VLOOKUP($K48,'Withdrawal Working'!$AD:$AE,2,0)*(IFERROR(VLOOKUP(V$2,$B$35:$C$42,2,0),0)))</f>
        <v>0</v>
      </c>
      <c r="X48" s="58">
        <f>IFERROR(IF($K48&lt;VLOOKUP(V$2,$B:$H,7,0),IF(Z$3=1,MIN($M48,V48),IF(HLOOKUP(CONCATENATE("Balance",Z$3-1),'Withdrawal Working'!$A$2:$CD$78,MATCH('Yoy WAR OG'!$J48,'Withdrawal Working'!$A$2:$A$78,0),FALSE)&gt;0,MIN(HLOOKUP(CONCATENATE("Balance",Z$3-1),'Withdrawal Working'!$A$2:$CD$78,MATCH('Yoy WAR OG'!$J48,'Withdrawal Working'!$A$2:$A$78,0),0),V48),0)),IF($K48=VLOOKUP(V$2,$B:$H,7,0),V48,)),0)</f>
        <v>0</v>
      </c>
      <c r="Y48" s="58">
        <f t="shared" ca="1" si="52"/>
        <v>0</v>
      </c>
      <c r="AB48" s="58">
        <f t="shared" ca="1" si="28"/>
        <v>0</v>
      </c>
      <c r="AC48" s="58">
        <f ca="1">(VLOOKUP(AB$2,$B$1:$F$32,5,0)*$L48)+(VLOOKUP($K48,'Withdrawal Working'!$AD:$AE,2,0)*(IFERROR(VLOOKUP(AB$2,$B$35:$C$42,2,0),0)))</f>
        <v>0</v>
      </c>
      <c r="AE48" s="58">
        <f t="shared" ca="1" si="53"/>
        <v>0</v>
      </c>
      <c r="AH48" s="58">
        <f t="shared" ca="1" si="29"/>
        <v>0</v>
      </c>
      <c r="AI48" s="58">
        <f ca="1">(VLOOKUP(AH$2,$B$1:$F$32,5,0)*$L48)+IF(J48&gt;'NWGC - SCENARIOS'!$D$7,0,(VLOOKUP($K48,'Withdrawal Working'!$AD:$AE,2,0)*(IFERROR(VLOOKUP(AH$2,$B$35:$C$42,2,0),0))))</f>
        <v>0</v>
      </c>
      <c r="AJ48" s="58">
        <f ca="1">IFERROR(IF($J48&gt;'NWGC - SCENARIOS'!$D$7,MIN('Yoy WAR OG'!AH48,VLOOKUP('Yoy WAR OG'!$J48,'Withdrawal Working'!BC:BD,2,0)),IF(AL$3=1,$M48,IF(HLOOKUP(CONCATENATE("Balance",AL$3-1),'Withdrawal Working'!$A$2:$CD$78,MATCH('Yoy WAR OG'!$J48,'Withdrawal Working'!$A$2:$A$78,0),FALSE)&gt;0,MIN(HLOOKUP(CONCATENATE("Balance",AL$3-1),'Withdrawal Working'!$A$2:$CD$78,MATCH('Yoy WAR OG'!$J48,'Withdrawal Working'!$A$2:$A$78,0),0),AH48),0))),0)</f>
        <v>0</v>
      </c>
      <c r="AK48" s="58">
        <f t="shared" ca="1" si="54"/>
        <v>0</v>
      </c>
      <c r="AN48" s="450">
        <f t="shared" ca="1" si="30"/>
        <v>876393565.63478589</v>
      </c>
      <c r="AO48" s="58">
        <f ca="1">IF(J48&gt;'NWGC - SCENARIOS'!$D$7,(IF(AJ48=0,0,'Yoy WAR OG'!AJ48)+(VLOOKUP(AN$2,$B$1:$F$32,5,0)*$L48)),(VLOOKUP(AN$2,$B$1:$F$32,5,0)*$L48)+(VLOOKUP($K48,'Withdrawal Working'!$AD:$AE,2,0)*(IFERROR(VLOOKUP(AN$2,$B$35:$C$42,2,0),0))))</f>
        <v>0</v>
      </c>
      <c r="AP48" s="470">
        <f ca="1">IFERROR(IF($K48&lt;&gt;VLOOKUP(AN$2,$B:$H,7,0),IF(AR$3=1,MIN($M48,AN48),IF(HLOOKUP(CONCATENATE("Balance",AR$3-1),'Withdrawal Working'!$A$2:$CD$78,MATCH('Yoy WAR OG'!$J48,'Withdrawal Working'!$A$2:$A$78,0),FALSE)&gt;0,MIN(HLOOKUP(CONCATENATE("Balance",AR$3-1),'Withdrawal Working'!$A$2:$CD$78,MATCH('Yoy WAR OG'!$J48,'Withdrawal Working'!$A$2:$A$78,0),0),AN48),0)),IF($K48=VLOOKUP(AN$2,$B:$H,7,0),AN48,)),0)</f>
        <v>65271021.65263772</v>
      </c>
      <c r="AQ48" s="58">
        <f ca="1">IF(AO48&lt;0,0,IF(J48&gt;'NWGC - SCENARIOS'!$D$7,((AN48-AP48+AO48)*(1+(IFERROR(VLOOKUP(AN$2,$B:$D,3,0),0)))),((AN48-AP48)*(1+(IFERROR(VLOOKUP(AN$2,$B:$D,3,0),0))))+AO48))</f>
        <v>855734283.90116632</v>
      </c>
      <c r="AT48" s="450">
        <f t="shared" ca="1" si="31"/>
        <v>0</v>
      </c>
      <c r="AU48" s="58">
        <f ca="1">(VLOOKUP(AT$2,$B$1:$F$32,5,0)*$L48)+(VLOOKUP($K48,'Withdrawal Working'!$AD:$AE,2,0)*(IFERROR(VLOOKUP(AT$2,$B$35:$C$42,2,0),0)))</f>
        <v>0</v>
      </c>
      <c r="AV48" s="58">
        <f>IFERROR(IF($K48&lt;VLOOKUP(AT$2,$B:$H,7,0),IF(AX$3=1,MIN($M48,AT48),IF(HLOOKUP(CONCATENATE("Balance",AX$3-1),'Withdrawal Working'!$A$2:$CD$78,MATCH('Yoy WAR OG'!$J48,'Withdrawal Working'!$A$2:$A$78,0),FALSE)&gt;0,MIN(HLOOKUP(CONCATENATE("Balance",AX$3-1),'Withdrawal Working'!$A$2:$CD$78,MATCH('Yoy WAR OG'!$J48,'Withdrawal Working'!$A$2:$A$78,0),0),AT48),0)),IF($K48=VLOOKUP(AT$2,$B:$H,7,0),AT48,)),0)</f>
        <v>0</v>
      </c>
      <c r="AW48" s="58">
        <f t="shared" ca="1" si="55"/>
        <v>0</v>
      </c>
      <c r="AZ48" s="450">
        <f t="shared" ca="1" si="32"/>
        <v>78513838.350182936</v>
      </c>
      <c r="BA48" s="58">
        <f ca="1">(VLOOKUP(AZ$2,$B$1:$F$32,5,0)*$L48)+(VLOOKUP($K48,'Withdrawal Working'!$AD:$AE,2,0)*(IFERROR(VLOOKUP(AZ$2,$B$35:$C$42,2,0),0)))</f>
        <v>0</v>
      </c>
      <c r="BB48" s="58">
        <f>IFERROR(IF($K48&lt;VLOOKUP(AZ$2,$B:$H,7,0),IF(BD$3=1,MIN($M48,AZ48),IF(HLOOKUP(CONCATENATE("Balance",BD$3-1),'Withdrawal Working'!$A$2:$CD$78,MATCH('Yoy WAR OG'!$J48,'Withdrawal Working'!$A$2:$A$78,0),FALSE)&gt;0,MIN(HLOOKUP(CONCATENATE("Balance",BD$3-1),'Withdrawal Working'!$A$2:$CD$78,MATCH('Yoy WAR OG'!$J48,'Withdrawal Working'!$A$2:$A$78,0),0),AZ48),0)),IF($K48=VLOOKUP(AZ$2,$B:$H,7,0),AZ48,)),0)</f>
        <v>0</v>
      </c>
      <c r="BC48" s="58">
        <f t="shared" ca="1" si="56"/>
        <v>84009807.034695745</v>
      </c>
      <c r="BF48" s="450">
        <f t="shared" ca="1" si="33"/>
        <v>0</v>
      </c>
      <c r="BG48" s="58">
        <f ca="1">(VLOOKUP(BF$2,$B$1:$F$32,5,0)*$L48)+(VLOOKUP($K48,'Withdrawal Working'!$AD:$AE,2,0)*(IFERROR(VLOOKUP(BF$2,$B$35:$C$42,2,0),0)))</f>
        <v>0</v>
      </c>
      <c r="BH48" s="58">
        <f>IFERROR(IF($K48&lt;VLOOKUP(BF$2,$B:$H,7,0),IF(BJ$3=1,MIN($M48,BF48),IF(HLOOKUP(CONCATENATE("Balance",BJ$3-1),'Withdrawal Working'!$A$2:$CD$78,MATCH('Yoy WAR OG'!$J48,'Withdrawal Working'!$A$2:$A$78,0),FALSE)&gt;0,MIN(HLOOKUP(CONCATENATE("Balance",BJ$3-1),'Withdrawal Working'!$A$2:$CD$78,MATCH('Yoy WAR OG'!$J48,'Withdrawal Working'!$A$2:$A$78,0),0),BF48),0)),IF($K48=VLOOKUP(BF$2,$B:$H,7,0),BF48,)),0)</f>
        <v>0</v>
      </c>
      <c r="BI48" s="58">
        <f t="shared" ca="1" si="57"/>
        <v>0</v>
      </c>
      <c r="BL48" s="450">
        <f t="shared" ca="1" si="34"/>
        <v>0</v>
      </c>
      <c r="BM48" s="58">
        <f ca="1">(VLOOKUP(BL$2,$B$1:$F$32,5,0)*$L48)+(VLOOKUP($K48,'Withdrawal Working'!$AD:$AE,2,0)*(IFERROR(VLOOKUP(BL$2,$B$35:$C$42,2,0),0)))</f>
        <v>0</v>
      </c>
      <c r="BN48" s="58">
        <f>IFERROR(IF($K48&lt;VLOOKUP(BL$2,$B:$H,7,0),IF(BP$3=1,MIN($M48,BL48),IF(HLOOKUP(CONCATENATE("Balance",BP$3-1),'Withdrawal Working'!$A$2:$CD$78,MATCH('Yoy WAR OG'!$J48,'Withdrawal Working'!$A$2:$A$78,0),FALSE)&gt;0,MIN(HLOOKUP(CONCATENATE("Balance",BP$3-1),'Withdrawal Working'!$A$2:$CD$78,MATCH('Yoy WAR OG'!$J48,'Withdrawal Working'!$A$2:$A$78,0),0),BL48),0)),IF($K48=VLOOKUP(BL$2,$B:$H,7,0),BL48,)),0)</f>
        <v>0</v>
      </c>
      <c r="BO48" s="58">
        <f t="shared" ca="1" si="58"/>
        <v>0</v>
      </c>
      <c r="BR48" s="450">
        <f t="shared" ca="1" si="35"/>
        <v>0</v>
      </c>
      <c r="BS48" s="58">
        <f ca="1">(VLOOKUP(BR$2,$B$1:$F$32,5,0)*$L48)+(VLOOKUP($K48,'Withdrawal Working'!$AD:$AE,2,0)*(IFERROR(VLOOKUP(BR$2,$B$35:$C$42,2,0),0)))</f>
        <v>0</v>
      </c>
      <c r="BT48" s="58">
        <f>IFERROR(IF($K48&lt;VLOOKUP(BR$2,$B:$H,7,0),IF(BV$3=1,MIN($M48,BR48),IF(HLOOKUP(CONCATENATE("Balance",BV$3-1),'Withdrawal Working'!$A$2:$CD$78,MATCH('Yoy WAR OG'!$J48,'Withdrawal Working'!$A$2:$A$78,0),FALSE)&gt;0,MIN(HLOOKUP(CONCATENATE("Balance",BV$3-1),'Withdrawal Working'!$A$2:$CD$78,MATCH('Yoy WAR OG'!$J48,'Withdrawal Working'!$A$2:$A$78,0),0),BR48),0)),IF($K48=VLOOKUP(BR$2,$B:$H,7,0),BR48,)),0)</f>
        <v>0</v>
      </c>
      <c r="BU48" s="58">
        <f t="shared" ca="1" si="59"/>
        <v>0</v>
      </c>
      <c r="BX48" s="450">
        <f t="shared" ca="1" si="36"/>
        <v>0</v>
      </c>
      <c r="BY48" s="58">
        <f ca="1">(VLOOKUP(BX$2,$B$1:$F$32,5,0)*$L48)+(VLOOKUP($K48,'Withdrawal Working'!$AD:$AE,2,0)*(IFERROR(VLOOKUP(BX$2,$B$35:$C$42,2,0),0)))</f>
        <v>0</v>
      </c>
      <c r="BZ48" s="58">
        <f>IFERROR(IF($K48&lt;VLOOKUP(BX$2,$B:$H,7,0),IF(CB$3=1,MIN($M48,BX48),IF(HLOOKUP(CONCATENATE("Balance",CB$3-1),'Withdrawal Working'!$A$2:$CD$78,MATCH('Yoy WAR OG'!$J48,'Withdrawal Working'!$A$2:$A$78,0),FALSE)&gt;0,MIN(HLOOKUP(CONCATENATE("Balance",CB$3-1),'Withdrawal Working'!$A$2:$CD$78,MATCH('Yoy WAR OG'!$J48,'Withdrawal Working'!$A$2:$A$78,0),0),BX48),0)),IF($K48=VLOOKUP(BX$2,$B:$H,7,0),BX48,)),0)</f>
        <v>0</v>
      </c>
      <c r="CA48" s="58">
        <f t="shared" ca="1" si="60"/>
        <v>0</v>
      </c>
      <c r="CD48" s="450">
        <f t="shared" ca="1" si="37"/>
        <v>66852512.027684979</v>
      </c>
      <c r="CE48" s="58">
        <f ca="1">(VLOOKUP(CD$2,$B$1:$F$32,5,0)*$L48)+(VLOOKUP($K48,'Withdrawal Working'!$AD:$AE,2,0)*(IFERROR(VLOOKUP(CD$2,$B$35:$C$42,2,0),0)))+SUMIFS('Key Life Events'!$I$3:$I$28,'Key Life Events'!$H$3:$H$28,"House",'Key Life Events'!$E$3:$E$28,'Yoy WAR OG'!K48)</f>
        <v>0</v>
      </c>
      <c r="CF48" s="58">
        <f>IFERROR(IF($K48&lt;VLOOKUP(CD$2,$B:$H,7,0),IF(CH$3=1,MIN($M48,CD48),IF(HLOOKUP(CONCATENATE("Balance",CH$3-1),'Withdrawal Working'!$A$2:$CD$78,MATCH('Yoy WAR OG'!$J48,'Withdrawal Working'!$A$2:$A$78,0),FALSE)&gt;0,MIN(HLOOKUP(CONCATENATE("Balance",CH$3-1),'Withdrawal Working'!$A$2:$CD$78,MATCH('Yoy WAR OG'!$J48,'Withdrawal Working'!$A$2:$A$78,0),0),CD48),0)),IF($K48=VLOOKUP(CD$2,$B:$H,7,0),CD48,)),0)</f>
        <v>0</v>
      </c>
      <c r="CG48" s="58">
        <f t="shared" ca="1" si="61"/>
        <v>68858087.388515532</v>
      </c>
      <c r="CJ48" s="450">
        <f t="shared" ca="1" si="38"/>
        <v>0</v>
      </c>
      <c r="CK48" s="58">
        <f ca="1">(VLOOKUP(CJ$2,$B$1:$F$32,5,0)*$L48)+(VLOOKUP($K48,'Withdrawal Working'!$AD:$AE,2,0)*(IFERROR(VLOOKUP(CJ$2,$B$35:$C$42,2,0),0)))+SUMIFS('Key Life Events'!$I$3:$I$28,'Key Life Events'!$H$3:$H$28,"House2",'Key Life Events'!$E$3:$E$28,'Yoy WAR OG'!K48)</f>
        <v>0</v>
      </c>
      <c r="CL48" s="58">
        <f ca="1">IF(IFERROR(IF($K48&lt;&gt;VLOOKUP(CJ$2,$B:$H,7,0),IF(CN$3=1,MIN($M48,CJ48),IF(HLOOKUP(CONCATENATE("Balance",CN$3-1),'Withdrawal Working'!$A$2:$CD$78,MATCH('Yoy WAR OG'!$J48,'Withdrawal Working'!$A$2:$A$78,0),FALSE)&gt;0,MIN(HLOOKUP(CONCATENATE("Balance",CN$3-1),'Withdrawal Working'!$A$2:$CD$78,MATCH('Yoy WAR OG'!$J48,'Withdrawal Working'!$A$2:$A$78,0),0),CJ48),0)),IF($K48=VLOOKUP(CJ$2,$B:$H,7,0),CJ48,)),0)&gt;0,CJ48,0)</f>
        <v>0</v>
      </c>
      <c r="CM48" s="58">
        <f t="shared" ca="1" si="62"/>
        <v>0</v>
      </c>
      <c r="CP48" s="450">
        <f t="shared" ca="1" si="39"/>
        <v>21392875.698792424</v>
      </c>
      <c r="CQ48" s="58">
        <f ca="1">(VLOOKUP(CP$2,$B$1:$F$32,5,0)*$L48)+(VLOOKUP($K48,'Withdrawal Working'!$AD:$AE,2,0)*(IFERROR(VLOOKUP(CP$2,$B$35:$C$42,2,0),0)))+SUMIFS('Key Life Events'!$I$3:$I$28,'Key Life Events'!$H$3:$H$28,"Land",'Key Life Events'!$E$3:$E$28,'Yoy WAR OG'!K48)</f>
        <v>0</v>
      </c>
      <c r="CR48" s="58">
        <f>IFERROR(IF($K48&lt;VLOOKUP(CP$2,$B:$H,7,0),IF(CT$3=1,MIN($M48,CP48),IF(HLOOKUP(CONCATENATE("Balance",CT$3-1),'Withdrawal Working'!$A$2:$CD$78,MATCH('Yoy WAR OG'!$J48,'Withdrawal Working'!$A$2:$A$78,0),FALSE)&gt;0,MIN(HLOOKUP(CONCATENATE("Balance",CT$3-1),'Withdrawal Working'!$A$2:$CD$78,MATCH('Yoy WAR OG'!$J48,'Withdrawal Working'!$A$2:$A$78,0),0),CP48),0)),IF($K48=VLOOKUP(CP$2,$B:$H,7,0),CP48,)),0)</f>
        <v>0</v>
      </c>
      <c r="CS48" s="58">
        <f t="shared" ca="1" si="63"/>
        <v>22462519.483732045</v>
      </c>
      <c r="CV48" s="450">
        <f t="shared" ca="1" si="40"/>
        <v>0</v>
      </c>
      <c r="CW48" s="58"/>
      <c r="CX48" s="58">
        <f>IFERROR(IF($K48&lt;VLOOKUP(CV$2,$B:$H,7,0),IF(CZ$3=1,MIN($M48,CV48),IF(HLOOKUP(CONCATENATE("Balance",CZ$3-1),'Withdrawal Working'!$A$2:$CD$78,MATCH('Yoy WAR OG'!$J48,'Withdrawal Working'!$A$2:$A$78,0),FALSE)&gt;0,MIN(HLOOKUP(CONCATENATE("Balance",CZ$3-1),'Withdrawal Working'!$A$2:$CD$78,MATCH('Yoy WAR OG'!$J48,'Withdrawal Working'!$A$2:$A$78,0),0),CV48),0)),IF($K48=VLOOKUP(CV$2,$B:$H,7,0),CV48,)),0)</f>
        <v>0</v>
      </c>
      <c r="CY48" s="58">
        <f t="shared" ca="1" si="64"/>
        <v>0</v>
      </c>
      <c r="DB48" s="450">
        <f t="shared" ca="1" si="41"/>
        <v>0</v>
      </c>
      <c r="DC48" s="58">
        <f ca="1">(VLOOKUP(DB$2,$B$1:$F$32,5,0)*$L48)+(VLOOKUP($K48,'Withdrawal Working'!$AD:$AE,2,0)*(IFERROR(VLOOKUP(DB$2,$B$35:$C$42,2,0),0)))</f>
        <v>0</v>
      </c>
      <c r="DD48" s="58">
        <f>IFERROR(IF($K48&lt;VLOOKUP(DB$2,$B:$H,7,0),IF(DF$3=1,MIN($M48,DB48),IF(HLOOKUP(CONCATENATE("Balance",DF$3-1),'Withdrawal Working'!$A$2:$CD$78,MATCH('Yoy WAR OG'!$J48,'Withdrawal Working'!$A$2:$A$78,0),FALSE)&gt;0,MIN(HLOOKUP(CONCATENATE("Balance",DF$3-1),'Withdrawal Working'!$A$2:$CD$78,MATCH('Yoy WAR OG'!$J48,'Withdrawal Working'!$A$2:$A$78,0),0),DB48),0)),IF($K48=VLOOKUP(DB$2,$B:$H,7,0),DB48,)),0)</f>
        <v>0</v>
      </c>
      <c r="DE48" s="58">
        <f t="shared" ca="1" si="65"/>
        <v>0</v>
      </c>
      <c r="DH48" s="450">
        <f t="shared" ca="1" si="42"/>
        <v>0</v>
      </c>
      <c r="DI48" s="58">
        <f>IF(OR(J48&gt;'NWGC - SCENARIOS'!$D$7,J48='NWGC - SCENARIOS'!$D$7),0,DI47*(1+'NWGC - SCENARIOS'!$L$5))</f>
        <v>0</v>
      </c>
      <c r="DJ48" s="58">
        <f>IFERROR(IF($K48&lt;VLOOKUP(DH$2,$B:$H,7,0),IF(DL$3=1,MIN($M48,DH48),IF(HLOOKUP(CONCATENATE("Balance",DL$3-1),'Withdrawal Working'!$A$2:$CD$78,MATCH('Yoy WAR OG'!$J48,'Withdrawal Working'!$A$2:$A$78,0),FALSE)&gt;0,MIN(HLOOKUP(CONCATENATE("Balance",DL$3-1),'Withdrawal Working'!$A$2:$CD$78,MATCH('Yoy WAR OG'!$J48,'Withdrawal Working'!$A$2:$A$78,0),0),DH48),0)),IF($K48=VLOOKUP(DH$2,$B:$H,7,0),DH48,)),0)</f>
        <v>0</v>
      </c>
      <c r="DK48" s="58">
        <f t="shared" ca="1" si="66"/>
        <v>0</v>
      </c>
      <c r="DN48" s="450">
        <f t="shared" ca="1" si="43"/>
        <v>0</v>
      </c>
      <c r="DO48" s="58">
        <f ca="1">(VLOOKUP(DN$2,$B$1:$F$32,5,0)*$L48)+(VLOOKUP($K48,'Withdrawal Working'!$AD:$AE,2,0)*(IFERROR(VLOOKUP(DN$2,$B$35:$C$42,2,0),0)))</f>
        <v>0</v>
      </c>
      <c r="DP48" s="58">
        <f>IFERROR(IF($K48&lt;VLOOKUP(DN$2,$B:$H,7,0),IF(DR$3=1,MIN($M48,DN48),IF(HLOOKUP(CONCATENATE("Balance",DR$3-1),'Withdrawal Working'!$A$2:$CD$78,MATCH('Yoy WAR OG'!$J48,'Withdrawal Working'!$A$2:$A$78,0),FALSE)&gt;0,MIN(HLOOKUP(CONCATENATE("Balance",DR$3-1),'Withdrawal Working'!$A$2:$CD$78,MATCH('Yoy WAR OG'!$J48,'Withdrawal Working'!$A$2:$A$78,0),0),DN48),0)),IF($K48=VLOOKUP(DN$2,$B:$H,7,0),DN48,)),0)</f>
        <v>0</v>
      </c>
      <c r="DQ48" s="58">
        <f t="shared" ca="1" si="67"/>
        <v>0</v>
      </c>
      <c r="DT48" s="450">
        <f t="shared" ca="1" si="44"/>
        <v>0</v>
      </c>
      <c r="DU48" s="58">
        <f ca="1">(VLOOKUP(DT$2,$B$1:$F$32,5,0)*$L48)+(VLOOKUP($K48,'Withdrawal Working'!$AD:$AE,2,0)*(IFERROR(VLOOKUP(DT$2,$B$35:$C$42,2,0),0)))</f>
        <v>0</v>
      </c>
      <c r="DV48" s="58">
        <f>IFERROR(IF($K48&lt;VLOOKUP(DT$2,$B:$H,7,0),IF(DX$3=1,MIN($M48,DT48),IF(HLOOKUP(CONCATENATE("Balance",DX$3-1),'Withdrawal Working'!$A$2:$CD$78,MATCH('Yoy WAR OG'!$J48,'Withdrawal Working'!$A$2:$A$78,0),FALSE)&gt;0,MIN(HLOOKUP(CONCATENATE("Balance",DX$3-1),'Withdrawal Working'!$A$2:$CD$78,MATCH('Yoy WAR OG'!$J48,'Withdrawal Working'!$A$2:$A$78,0),0),DT48),0)),IF($K48=VLOOKUP(DT$2,$B:$H,7,0),DT48,)),0)</f>
        <v>0</v>
      </c>
      <c r="DW48" s="58">
        <f t="shared" ca="1" si="68"/>
        <v>0</v>
      </c>
      <c r="DZ48" s="450">
        <f t="shared" ca="1" si="45"/>
        <v>0</v>
      </c>
      <c r="EA48" s="58">
        <f ca="1">(VLOOKUP(DZ$2,$B$1:$F$32,5,0)*$L48)+(VLOOKUP($K48,'Withdrawal Working'!$AD:$AE,2,0)*(IFERROR(VLOOKUP(DZ$2,$B$35:$C$42,2,0),0)))</f>
        <v>0</v>
      </c>
      <c r="EB48" s="58">
        <f>IFERROR(IF($K48&lt;VLOOKUP(DZ$2,$B:$H,7,0),IF(ED$3=1,MIN($M48,DZ48),IF(HLOOKUP(CONCATENATE("Balance",ED$3-1),'Withdrawal Working'!$A$2:$CD$78,MATCH('Yoy WAR OG'!$J48,'Withdrawal Working'!$A$2:$A$78,0),FALSE)&gt;0,MIN(HLOOKUP(CONCATENATE("Balance",ED$3-1),'Withdrawal Working'!$A$2:$CD$78,MATCH('Yoy WAR OG'!$J48,'Withdrawal Working'!$A$2:$A$78,0),0),DZ48),0)),IF($K48=VLOOKUP(DZ$2,$B:$H,7,0),DZ48,)),0)</f>
        <v>0</v>
      </c>
      <c r="EC48" s="58">
        <f t="shared" ca="1" si="69"/>
        <v>0</v>
      </c>
      <c r="EF48" s="450">
        <f t="shared" ca="1" si="46"/>
        <v>0</v>
      </c>
      <c r="EG48" s="58">
        <f ca="1">(VLOOKUP(EF$2,$B$1:$F$32,5,0)*$L48)+(VLOOKUP($K48,'Withdrawal Working'!$AD:$AE,2,0)*(IFERROR(VLOOKUP(EF$2,$B$35:$C$42,2,0),0)))</f>
        <v>0</v>
      </c>
      <c r="EH48" s="58">
        <f>IFERROR(IF($K48&lt;VLOOKUP(EF$2,$B:$H,7,0),IF(EJ$3=1,MIN($M48,EF48),IF(HLOOKUP(CONCATENATE("Balance",EJ$3-1),'Withdrawal Working'!$A$2:$CD$78,MATCH('Yoy WAR OG'!$J48,'Withdrawal Working'!$A$2:$A$78,0),FALSE)&gt;0,MIN(HLOOKUP(CONCATENATE("Balance",EJ$3-1),'Withdrawal Working'!$A$2:$CD$78,MATCH('Yoy WAR OG'!$J48,'Withdrawal Working'!$A$2:$A$78,0),0),EF48),0)),IF($K48=VLOOKUP(EF$2,$B:$H,7,0),EF48,)),0)</f>
        <v>0</v>
      </c>
      <c r="EI48" s="58">
        <f t="shared" ca="1" si="70"/>
        <v>0</v>
      </c>
      <c r="EL48" s="450">
        <f t="shared" ca="1" si="47"/>
        <v>0</v>
      </c>
      <c r="EM48" s="58">
        <f>IF(OR($J48&gt;'NWGC - SCENARIOS'!$D$7,$J48='NWGC - SCENARIOS'!$D$7),0,EM47)</f>
        <v>0</v>
      </c>
      <c r="EN48" s="58">
        <f>IFERROR(IF($K48&lt;VLOOKUP(EL$2,$B:$H,7,0),IF(EP$3=1,MIN($M48,EL48),IF(HLOOKUP(CONCATENATE("Balance",EP$3-1),'Withdrawal Working'!$A$2:$CD$78,MATCH('Yoy WAR OG'!$J48,'Withdrawal Working'!$A$2:$A$78,0),FALSE)&gt;0,MIN(HLOOKUP(CONCATENATE("Balance",EP$3-1),'Withdrawal Working'!$A$2:$CD$78,MATCH('Yoy WAR OG'!$J48,'Withdrawal Working'!$A$2:$A$78,0),0),EL48),0)),IF($K48=VLOOKUP(EL$2,$B:$H,7,0),EL48,)),0)</f>
        <v>0</v>
      </c>
      <c r="EO48" s="58">
        <f t="shared" ca="1" si="71"/>
        <v>0</v>
      </c>
      <c r="ER48" s="450">
        <f t="shared" ca="1" si="48"/>
        <v>0</v>
      </c>
      <c r="ES48" s="58">
        <f>IF(OR(J48&gt;'NWGC - SCENARIOS'!$D$7,J48='NWGC - SCENARIOS'!$D$7),0,ES47*(1+'NWGC - SCENARIOS'!$L$5))</f>
        <v>0</v>
      </c>
      <c r="ET48" s="58">
        <f>IFERROR(IF($K48&lt;VLOOKUP(ER$2,$B:$H,7,0),IF(EV$3=1,MIN($M48,ER48),IF(HLOOKUP(CONCATENATE("Balance",EV$3-1),'Withdrawal Working'!$A$2:$CD$78,MATCH('Yoy WAR OG'!$J48,'Withdrawal Working'!$A$2:$A$78,0),FALSE)&gt;0,MIN(HLOOKUP(CONCATENATE("Balance",EV$3-1),'Withdrawal Working'!$A$2:$CD$78,MATCH('Yoy WAR OG'!$J48,'Withdrawal Working'!$A$2:$A$78,0),0),ER48),0)),IF($K48=VLOOKUP(ER$2,$B:$H,7,0),ER48,)),0)</f>
        <v>0</v>
      </c>
      <c r="EU48" s="58">
        <f t="shared" ca="1" si="72"/>
        <v>0</v>
      </c>
      <c r="EX48" s="450">
        <f t="shared" ca="1" si="49"/>
        <v>0</v>
      </c>
      <c r="EY48" s="58">
        <f>IF(OR(J48&gt;'NWGC - SCENARIOS'!$D$7,J48='NWGC - SCENARIOS'!$D$7),0,EY47)</f>
        <v>0</v>
      </c>
      <c r="EZ48" s="58">
        <f>IFERROR(IF($K48&lt;VLOOKUP(EX$2,$B:$H,7,0),IF(FB$3=1,MIN($M48,EX48),IF(HLOOKUP(CONCATENATE("Balance",FB$3-1),'Withdrawal Working'!$A$2:$CD$78,MATCH('Yoy WAR OG'!$J48,'Withdrawal Working'!$A$2:$A$78,0),FALSE)&gt;0,MIN(HLOOKUP(CONCATENATE("Balance",FB$3-1),'Withdrawal Working'!$A$2:$CD$78,MATCH('Yoy WAR OG'!$J48,'Withdrawal Working'!$A$2:$A$78,0),0),EX48),0)),IF($K48=VLOOKUP(EX$2,$B:$H,7,0),EX48,)),0)</f>
        <v>0</v>
      </c>
      <c r="FA48" s="58">
        <f t="shared" ca="1" si="73"/>
        <v>0</v>
      </c>
    </row>
    <row r="49" spans="10:157" x14ac:dyDescent="0.3">
      <c r="J49">
        <f>IFERROR('NWGC - SCENARIOS'!B56,0)</f>
        <v>94</v>
      </c>
      <c r="K49">
        <f>IFERROR('NWGC - SCENARIOS'!C56,0)</f>
        <v>2070</v>
      </c>
      <c r="L49" s="449">
        <f ca="1">IF(('NWGC - SCENARIOS'!G56-working!G47)&gt;'NWGC - SCENARIOS'!H56,'NWGC - SCENARIOS'!G56-'NWGC - SCENARIOS'!H56-working!G47,0)</f>
        <v>0</v>
      </c>
      <c r="M49" s="449">
        <f ca="1">IF(('NWGC - SCENARIOS'!G56-working!G47)&gt;'NWGC - SCENARIOS'!H56,0,'NWGC - SCENARIOS'!H56-'NWGC - SCENARIOS'!G56+working!G47)</f>
        <v>70499423.384848729</v>
      </c>
      <c r="N49" s="58">
        <f t="shared" ca="1" si="50"/>
        <v>828422777.844715</v>
      </c>
      <c r="O49" s="58">
        <f t="shared" ca="1" si="51"/>
        <v>184399968.9952141</v>
      </c>
      <c r="P49" s="58">
        <f t="shared" ca="1" si="74"/>
        <v>0</v>
      </c>
      <c r="Q49" s="58">
        <f ca="1">(VLOOKUP(P$2,$B$1:$F$32,5,0)*$L49)+(VLOOKUP($K49,'Withdrawal Working'!$AD:$AE,2,0)*(IFERROR(VLOOKUP(P$2,$B$35:$C$42,2,0),0)))</f>
        <v>0</v>
      </c>
      <c r="R49" s="58">
        <f>IFERROR(IF($K49&lt;VLOOKUP(P$2,$B:$H,7,0),IF(T$3=1,MIN($M49,P49),IF(HLOOKUP(CONCATENATE("Balance",T$3-1),'Withdrawal Working'!$A$2:$CD$78,MATCH('Yoy WAR OG'!$J49,'Withdrawal Working'!$A$2:$A$78,0),FALSE)&gt;0,MIN(HLOOKUP(CONCATENATE("Balance",T$3-1),'Withdrawal Working'!$A$2:$CD$78,MATCH('Yoy WAR OG'!$J49,'Withdrawal Working'!$A$2:$A$78,0),0),P49),0)),IF($K49=VLOOKUP(P$2,$B:$H,7,0),P49,)),0)</f>
        <v>0</v>
      </c>
      <c r="S49" s="58">
        <f t="shared" ca="1" si="75"/>
        <v>0</v>
      </c>
      <c r="T49" s="58"/>
      <c r="V49" s="58">
        <f t="shared" ca="1" si="27"/>
        <v>0</v>
      </c>
      <c r="W49" s="58">
        <f ca="1">(VLOOKUP(V$2,$B$1:$F$32,5,0)*$L49)+(VLOOKUP($K49,'Withdrawal Working'!$AD:$AE,2,0)*(IFERROR(VLOOKUP(V$2,$B$35:$C$42,2,0),0)))</f>
        <v>0</v>
      </c>
      <c r="X49" s="58">
        <f>IFERROR(IF($K49&lt;VLOOKUP(V$2,$B:$H,7,0),IF(Z$3=1,MIN($M49,V49),IF(HLOOKUP(CONCATENATE("Balance",Z$3-1),'Withdrawal Working'!$A$2:$CD$78,MATCH('Yoy WAR OG'!$J49,'Withdrawal Working'!$A$2:$A$78,0),FALSE)&gt;0,MIN(HLOOKUP(CONCATENATE("Balance",Z$3-1),'Withdrawal Working'!$A$2:$CD$78,MATCH('Yoy WAR OG'!$J49,'Withdrawal Working'!$A$2:$A$78,0),0),V49),0)),IF($K49=VLOOKUP(V$2,$B:$H,7,0),V49,)),0)</f>
        <v>0</v>
      </c>
      <c r="Y49" s="58">
        <f t="shared" ca="1" si="52"/>
        <v>0</v>
      </c>
      <c r="AB49" s="58">
        <f t="shared" ca="1" si="28"/>
        <v>0</v>
      </c>
      <c r="AC49" s="58">
        <f ca="1">(VLOOKUP(AB$2,$B$1:$F$32,5,0)*$L49)+(VLOOKUP($K49,'Withdrawal Working'!$AD:$AE,2,0)*(IFERROR(VLOOKUP(AB$2,$B$35:$C$42,2,0),0)))</f>
        <v>0</v>
      </c>
      <c r="AE49" s="58">
        <f t="shared" ca="1" si="53"/>
        <v>0</v>
      </c>
      <c r="AH49" s="58">
        <f t="shared" ca="1" si="29"/>
        <v>0</v>
      </c>
      <c r="AI49" s="58">
        <f ca="1">(VLOOKUP(AH$2,$B$1:$F$32,5,0)*$L49)+IF(J49&gt;'NWGC - SCENARIOS'!$D$7,0,(VLOOKUP($K49,'Withdrawal Working'!$AD:$AE,2,0)*(IFERROR(VLOOKUP(AH$2,$B$35:$C$42,2,0),0))))</f>
        <v>0</v>
      </c>
      <c r="AJ49" s="58">
        <f ca="1">IFERROR(IF($J49&gt;'NWGC - SCENARIOS'!$D$7,MIN('Yoy WAR OG'!AH49,VLOOKUP('Yoy WAR OG'!$J49,'Withdrawal Working'!BC:BD,2,0)),IF(AL$3=1,$M49,IF(HLOOKUP(CONCATENATE("Balance",AL$3-1),'Withdrawal Working'!$A$2:$CD$78,MATCH('Yoy WAR OG'!$J49,'Withdrawal Working'!$A$2:$A$78,0),FALSE)&gt;0,MIN(HLOOKUP(CONCATENATE("Balance",AL$3-1),'Withdrawal Working'!$A$2:$CD$78,MATCH('Yoy WAR OG'!$J49,'Withdrawal Working'!$A$2:$A$78,0),0),AH49),0))),0)</f>
        <v>0</v>
      </c>
      <c r="AK49" s="58">
        <f t="shared" ca="1" si="54"/>
        <v>0</v>
      </c>
      <c r="AN49" s="450">
        <f t="shared" ca="1" si="30"/>
        <v>855734283.90116632</v>
      </c>
      <c r="AO49" s="58">
        <f ca="1">IF(J49&gt;'NWGC - SCENARIOS'!$D$7,(IF(AJ49=0,0,'Yoy WAR OG'!AJ49)+(VLOOKUP(AN$2,$B$1:$F$32,5,0)*$L49)),(VLOOKUP(AN$2,$B$1:$F$32,5,0)*$L49)+(VLOOKUP($K49,'Withdrawal Working'!$AD:$AE,2,0)*(IFERROR(VLOOKUP(AN$2,$B$35:$C$42,2,0),0))))</f>
        <v>0</v>
      </c>
      <c r="AP49" s="470">
        <f ca="1">IFERROR(IF($K49&lt;&gt;VLOOKUP(AN$2,$B:$H,7,0),IF(AR$3=1,MIN($M49,AN49),IF(HLOOKUP(CONCATENATE("Balance",AR$3-1),'Withdrawal Working'!$A$2:$CD$78,MATCH('Yoy WAR OG'!$J49,'Withdrawal Working'!$A$2:$A$78,0),FALSE)&gt;0,MIN(HLOOKUP(CONCATENATE("Balance",AR$3-1),'Withdrawal Working'!$A$2:$CD$78,MATCH('Yoy WAR OG'!$J49,'Withdrawal Working'!$A$2:$A$78,0),0),AN49),0)),IF($K49=VLOOKUP(AN$2,$B:$H,7,0),AN49,)),0)</f>
        <v>70499423.384848729</v>
      </c>
      <c r="AQ49" s="58">
        <f ca="1">IF(AO49&lt;0,0,IF(J49&gt;'NWGC - SCENARIOS'!$D$7,((AN49-AP49+AO49)*(1+(IFERROR(VLOOKUP(AN$2,$B:$D,3,0),0)))),((AN49-AP49)*(1+(IFERROR(VLOOKUP(AN$2,$B:$D,3,0),0))))+AO49))</f>
        <v>828422777.844715</v>
      </c>
      <c r="AT49" s="450">
        <f t="shared" ca="1" si="31"/>
        <v>0</v>
      </c>
      <c r="AU49" s="58">
        <f ca="1">(VLOOKUP(AT$2,$B$1:$F$32,5,0)*$L49)+(VLOOKUP($K49,'Withdrawal Working'!$AD:$AE,2,0)*(IFERROR(VLOOKUP(AT$2,$B$35:$C$42,2,0),0)))</f>
        <v>0</v>
      </c>
      <c r="AV49" s="58">
        <f>IFERROR(IF($K49&lt;VLOOKUP(AT$2,$B:$H,7,0),IF(AX$3=1,MIN($M49,AT49),IF(HLOOKUP(CONCATENATE("Balance",AX$3-1),'Withdrawal Working'!$A$2:$CD$78,MATCH('Yoy WAR OG'!$J49,'Withdrawal Working'!$A$2:$A$78,0),FALSE)&gt;0,MIN(HLOOKUP(CONCATENATE("Balance",AX$3-1),'Withdrawal Working'!$A$2:$CD$78,MATCH('Yoy WAR OG'!$J49,'Withdrawal Working'!$A$2:$A$78,0),0),AT49),0)),IF($K49=VLOOKUP(AT$2,$B:$H,7,0),AT49,)),0)</f>
        <v>0</v>
      </c>
      <c r="AW49" s="58">
        <f t="shared" ca="1" si="55"/>
        <v>0</v>
      </c>
      <c r="AZ49" s="450">
        <f t="shared" ca="1" si="32"/>
        <v>84009807.034695745</v>
      </c>
      <c r="BA49" s="58">
        <f ca="1">(VLOOKUP(AZ$2,$B$1:$F$32,5,0)*$L49)+(VLOOKUP($K49,'Withdrawal Working'!$AD:$AE,2,0)*(IFERROR(VLOOKUP(AZ$2,$B$35:$C$42,2,0),0)))</f>
        <v>0</v>
      </c>
      <c r="BB49" s="58">
        <f>IFERROR(IF($K49&lt;VLOOKUP(AZ$2,$B:$H,7,0),IF(BD$3=1,MIN($M49,AZ49),IF(HLOOKUP(CONCATENATE("Balance",BD$3-1),'Withdrawal Working'!$A$2:$CD$78,MATCH('Yoy WAR OG'!$J49,'Withdrawal Working'!$A$2:$A$78,0),FALSE)&gt;0,MIN(HLOOKUP(CONCATENATE("Balance",BD$3-1),'Withdrawal Working'!$A$2:$CD$78,MATCH('Yoy WAR OG'!$J49,'Withdrawal Working'!$A$2:$A$78,0),0),AZ49),0)),IF($K49=VLOOKUP(AZ$2,$B:$H,7,0),AZ49,)),0)</f>
        <v>0</v>
      </c>
      <c r="BC49" s="58">
        <f t="shared" ca="1" si="56"/>
        <v>89890493.52712445</v>
      </c>
      <c r="BF49" s="450">
        <f t="shared" ca="1" si="33"/>
        <v>0</v>
      </c>
      <c r="BG49" s="58">
        <f ca="1">(VLOOKUP(BF$2,$B$1:$F$32,5,0)*$L49)+(VLOOKUP($K49,'Withdrawal Working'!$AD:$AE,2,0)*(IFERROR(VLOOKUP(BF$2,$B$35:$C$42,2,0),0)))</f>
        <v>0</v>
      </c>
      <c r="BH49" s="58">
        <f>IFERROR(IF($K49&lt;VLOOKUP(BF$2,$B:$H,7,0),IF(BJ$3=1,MIN($M49,BF49),IF(HLOOKUP(CONCATENATE("Balance",BJ$3-1),'Withdrawal Working'!$A$2:$CD$78,MATCH('Yoy WAR OG'!$J49,'Withdrawal Working'!$A$2:$A$78,0),FALSE)&gt;0,MIN(HLOOKUP(CONCATENATE("Balance",BJ$3-1),'Withdrawal Working'!$A$2:$CD$78,MATCH('Yoy WAR OG'!$J49,'Withdrawal Working'!$A$2:$A$78,0),0),BF49),0)),IF($K49=VLOOKUP(BF$2,$B:$H,7,0),BF49,)),0)</f>
        <v>0</v>
      </c>
      <c r="BI49" s="58">
        <f t="shared" ca="1" si="57"/>
        <v>0</v>
      </c>
      <c r="BL49" s="450">
        <f t="shared" ca="1" si="34"/>
        <v>0</v>
      </c>
      <c r="BM49" s="58">
        <f ca="1">(VLOOKUP(BL$2,$B$1:$F$32,5,0)*$L49)+(VLOOKUP($K49,'Withdrawal Working'!$AD:$AE,2,0)*(IFERROR(VLOOKUP(BL$2,$B$35:$C$42,2,0),0)))</f>
        <v>0</v>
      </c>
      <c r="BN49" s="58">
        <f>IFERROR(IF($K49&lt;VLOOKUP(BL$2,$B:$H,7,0),IF(BP$3=1,MIN($M49,BL49),IF(HLOOKUP(CONCATENATE("Balance",BP$3-1),'Withdrawal Working'!$A$2:$CD$78,MATCH('Yoy WAR OG'!$J49,'Withdrawal Working'!$A$2:$A$78,0),FALSE)&gt;0,MIN(HLOOKUP(CONCATENATE("Balance",BP$3-1),'Withdrawal Working'!$A$2:$CD$78,MATCH('Yoy WAR OG'!$J49,'Withdrawal Working'!$A$2:$A$78,0),0),BL49),0)),IF($K49=VLOOKUP(BL$2,$B:$H,7,0),BL49,)),0)</f>
        <v>0</v>
      </c>
      <c r="BO49" s="58">
        <f t="shared" ca="1" si="58"/>
        <v>0</v>
      </c>
      <c r="BR49" s="450">
        <f t="shared" ca="1" si="35"/>
        <v>0</v>
      </c>
      <c r="BS49" s="58">
        <f ca="1">(VLOOKUP(BR$2,$B$1:$F$32,5,0)*$L49)+(VLOOKUP($K49,'Withdrawal Working'!$AD:$AE,2,0)*(IFERROR(VLOOKUP(BR$2,$B$35:$C$42,2,0),0)))</f>
        <v>0</v>
      </c>
      <c r="BT49" s="58">
        <f>IFERROR(IF($K49&lt;VLOOKUP(BR$2,$B:$H,7,0),IF(BV$3=1,MIN($M49,BR49),IF(HLOOKUP(CONCATENATE("Balance",BV$3-1),'Withdrawal Working'!$A$2:$CD$78,MATCH('Yoy WAR OG'!$J49,'Withdrawal Working'!$A$2:$A$78,0),FALSE)&gt;0,MIN(HLOOKUP(CONCATENATE("Balance",BV$3-1),'Withdrawal Working'!$A$2:$CD$78,MATCH('Yoy WAR OG'!$J49,'Withdrawal Working'!$A$2:$A$78,0),0),BR49),0)),IF($K49=VLOOKUP(BR$2,$B:$H,7,0),BR49,)),0)</f>
        <v>0</v>
      </c>
      <c r="BU49" s="58">
        <f t="shared" ca="1" si="59"/>
        <v>0</v>
      </c>
      <c r="BX49" s="450">
        <f t="shared" ca="1" si="36"/>
        <v>0</v>
      </c>
      <c r="BY49" s="58">
        <f ca="1">(VLOOKUP(BX$2,$B$1:$F$32,5,0)*$L49)+(VLOOKUP($K49,'Withdrawal Working'!$AD:$AE,2,0)*(IFERROR(VLOOKUP(BX$2,$B$35:$C$42,2,0),0)))</f>
        <v>0</v>
      </c>
      <c r="BZ49" s="58">
        <f>IFERROR(IF($K49&lt;VLOOKUP(BX$2,$B:$H,7,0),IF(CB$3=1,MIN($M49,BX49),IF(HLOOKUP(CONCATENATE("Balance",CB$3-1),'Withdrawal Working'!$A$2:$CD$78,MATCH('Yoy WAR OG'!$J49,'Withdrawal Working'!$A$2:$A$78,0),FALSE)&gt;0,MIN(HLOOKUP(CONCATENATE("Balance",CB$3-1),'Withdrawal Working'!$A$2:$CD$78,MATCH('Yoy WAR OG'!$J49,'Withdrawal Working'!$A$2:$A$78,0),0),BX49),0)),IF($K49=VLOOKUP(BX$2,$B:$H,7,0),BX49,)),0)</f>
        <v>0</v>
      </c>
      <c r="CA49" s="58">
        <f t="shared" ca="1" si="60"/>
        <v>0</v>
      </c>
      <c r="CD49" s="450">
        <f t="shared" ca="1" si="37"/>
        <v>68858087.388515532</v>
      </c>
      <c r="CE49" s="58">
        <f ca="1">(VLOOKUP(CD$2,$B$1:$F$32,5,0)*$L49)+(VLOOKUP($K49,'Withdrawal Working'!$AD:$AE,2,0)*(IFERROR(VLOOKUP(CD$2,$B$35:$C$42,2,0),0)))+SUMIFS('Key Life Events'!$I$3:$I$28,'Key Life Events'!$H$3:$H$28,"House",'Key Life Events'!$E$3:$E$28,'Yoy WAR OG'!K49)</f>
        <v>0</v>
      </c>
      <c r="CF49" s="58">
        <f>IFERROR(IF($K49&lt;VLOOKUP(CD$2,$B:$H,7,0),IF(CH$3=1,MIN($M49,CD49),IF(HLOOKUP(CONCATENATE("Balance",CH$3-1),'Withdrawal Working'!$A$2:$CD$78,MATCH('Yoy WAR OG'!$J49,'Withdrawal Working'!$A$2:$A$78,0),FALSE)&gt;0,MIN(HLOOKUP(CONCATENATE("Balance",CH$3-1),'Withdrawal Working'!$A$2:$CD$78,MATCH('Yoy WAR OG'!$J49,'Withdrawal Working'!$A$2:$A$78,0),0),CD49),0)),IF($K49=VLOOKUP(CD$2,$B:$H,7,0),CD49,)),0)</f>
        <v>0</v>
      </c>
      <c r="CG49" s="58">
        <f t="shared" ca="1" si="61"/>
        <v>70923830.010170996</v>
      </c>
      <c r="CJ49" s="450">
        <f t="shared" ca="1" si="38"/>
        <v>0</v>
      </c>
      <c r="CK49" s="58">
        <f ca="1">(VLOOKUP(CJ$2,$B$1:$F$32,5,0)*$L49)+(VLOOKUP($K49,'Withdrawal Working'!$AD:$AE,2,0)*(IFERROR(VLOOKUP(CJ$2,$B$35:$C$42,2,0),0)))+SUMIFS('Key Life Events'!$I$3:$I$28,'Key Life Events'!$H$3:$H$28,"House2",'Key Life Events'!$E$3:$E$28,'Yoy WAR OG'!K49)</f>
        <v>0</v>
      </c>
      <c r="CL49" s="58">
        <f ca="1">IF(IFERROR(IF($K49&lt;&gt;VLOOKUP(CJ$2,$B:$H,7,0),IF(CN$3=1,MIN($M49,CJ49),IF(HLOOKUP(CONCATENATE("Balance",CN$3-1),'Withdrawal Working'!$A$2:$CD$78,MATCH('Yoy WAR OG'!$J49,'Withdrawal Working'!$A$2:$A$78,0),FALSE)&gt;0,MIN(HLOOKUP(CONCATENATE("Balance",CN$3-1),'Withdrawal Working'!$A$2:$CD$78,MATCH('Yoy WAR OG'!$J49,'Withdrawal Working'!$A$2:$A$78,0),0),CJ49),0)),IF($K49=VLOOKUP(CJ$2,$B:$H,7,0),CJ49,)),0)&gt;0,CJ49,0)</f>
        <v>0</v>
      </c>
      <c r="CM49" s="58">
        <f t="shared" ca="1" si="62"/>
        <v>0</v>
      </c>
      <c r="CP49" s="450">
        <f t="shared" ca="1" si="39"/>
        <v>22462519.483732045</v>
      </c>
      <c r="CQ49" s="58">
        <f ca="1">(VLOOKUP(CP$2,$B$1:$F$32,5,0)*$L49)+(VLOOKUP($K49,'Withdrawal Working'!$AD:$AE,2,0)*(IFERROR(VLOOKUP(CP$2,$B$35:$C$42,2,0),0)))+SUMIFS('Key Life Events'!$I$3:$I$28,'Key Life Events'!$H$3:$H$28,"Land",'Key Life Events'!$E$3:$E$28,'Yoy WAR OG'!K49)</f>
        <v>0</v>
      </c>
      <c r="CR49" s="58">
        <f>IFERROR(IF($K49&lt;VLOOKUP(CP$2,$B:$H,7,0),IF(CT$3=1,MIN($M49,CP49),IF(HLOOKUP(CONCATENATE("Balance",CT$3-1),'Withdrawal Working'!$A$2:$CD$78,MATCH('Yoy WAR OG'!$J49,'Withdrawal Working'!$A$2:$A$78,0),FALSE)&gt;0,MIN(HLOOKUP(CONCATENATE("Balance",CT$3-1),'Withdrawal Working'!$A$2:$CD$78,MATCH('Yoy WAR OG'!$J49,'Withdrawal Working'!$A$2:$A$78,0),0),CP49),0)),IF($K49=VLOOKUP(CP$2,$B:$H,7,0),CP49,)),0)</f>
        <v>0</v>
      </c>
      <c r="CS49" s="58">
        <f t="shared" ca="1" si="63"/>
        <v>23585645.457918648</v>
      </c>
      <c r="CV49" s="450">
        <f t="shared" ca="1" si="40"/>
        <v>0</v>
      </c>
      <c r="CW49" s="58"/>
      <c r="CX49" s="58">
        <f>IFERROR(IF($K49&lt;VLOOKUP(CV$2,$B:$H,7,0),IF(CZ$3=1,MIN($M49,CV49),IF(HLOOKUP(CONCATENATE("Balance",CZ$3-1),'Withdrawal Working'!$A$2:$CD$78,MATCH('Yoy WAR OG'!$J49,'Withdrawal Working'!$A$2:$A$78,0),FALSE)&gt;0,MIN(HLOOKUP(CONCATENATE("Balance",CZ$3-1),'Withdrawal Working'!$A$2:$CD$78,MATCH('Yoy WAR OG'!$J49,'Withdrawal Working'!$A$2:$A$78,0),0),CV49),0)),IF($K49=VLOOKUP(CV$2,$B:$H,7,0),CV49,)),0)</f>
        <v>0</v>
      </c>
      <c r="CY49" s="58">
        <f t="shared" ca="1" si="64"/>
        <v>0</v>
      </c>
      <c r="DB49" s="450">
        <f t="shared" ca="1" si="41"/>
        <v>0</v>
      </c>
      <c r="DC49" s="58">
        <f ca="1">(VLOOKUP(DB$2,$B$1:$F$32,5,0)*$L49)+(VLOOKUP($K49,'Withdrawal Working'!$AD:$AE,2,0)*(IFERROR(VLOOKUP(DB$2,$B$35:$C$42,2,0),0)))</f>
        <v>0</v>
      </c>
      <c r="DD49" s="58">
        <f>IFERROR(IF($K49&lt;VLOOKUP(DB$2,$B:$H,7,0),IF(DF$3=1,MIN($M49,DB49),IF(HLOOKUP(CONCATENATE("Balance",DF$3-1),'Withdrawal Working'!$A$2:$CD$78,MATCH('Yoy WAR OG'!$J49,'Withdrawal Working'!$A$2:$A$78,0),FALSE)&gt;0,MIN(HLOOKUP(CONCATENATE("Balance",DF$3-1),'Withdrawal Working'!$A$2:$CD$78,MATCH('Yoy WAR OG'!$J49,'Withdrawal Working'!$A$2:$A$78,0),0),DB49),0)),IF($K49=VLOOKUP(DB$2,$B:$H,7,0),DB49,)),0)</f>
        <v>0</v>
      </c>
      <c r="DE49" s="58">
        <f t="shared" ca="1" si="65"/>
        <v>0</v>
      </c>
      <c r="DH49" s="450">
        <f t="shared" ca="1" si="42"/>
        <v>0</v>
      </c>
      <c r="DI49" s="58">
        <f>IF(OR(J49&gt;'NWGC - SCENARIOS'!$D$7,J49='NWGC - SCENARIOS'!$D$7),0,DI48*(1+'NWGC - SCENARIOS'!$L$5))</f>
        <v>0</v>
      </c>
      <c r="DJ49" s="58">
        <f>IFERROR(IF($K49&lt;VLOOKUP(DH$2,$B:$H,7,0),IF(DL$3=1,MIN($M49,DH49),IF(HLOOKUP(CONCATENATE("Balance",DL$3-1),'Withdrawal Working'!$A$2:$CD$78,MATCH('Yoy WAR OG'!$J49,'Withdrawal Working'!$A$2:$A$78,0),FALSE)&gt;0,MIN(HLOOKUP(CONCATENATE("Balance",DL$3-1),'Withdrawal Working'!$A$2:$CD$78,MATCH('Yoy WAR OG'!$J49,'Withdrawal Working'!$A$2:$A$78,0),0),DH49),0)),IF($K49=VLOOKUP(DH$2,$B:$H,7,0),DH49,)),0)</f>
        <v>0</v>
      </c>
      <c r="DK49" s="58">
        <f t="shared" ca="1" si="66"/>
        <v>0</v>
      </c>
      <c r="DN49" s="450">
        <f t="shared" ca="1" si="43"/>
        <v>0</v>
      </c>
      <c r="DO49" s="58">
        <f ca="1">(VLOOKUP(DN$2,$B$1:$F$32,5,0)*$L49)+(VLOOKUP($K49,'Withdrawal Working'!$AD:$AE,2,0)*(IFERROR(VLOOKUP(DN$2,$B$35:$C$42,2,0),0)))</f>
        <v>0</v>
      </c>
      <c r="DP49" s="58">
        <f>IFERROR(IF($K49&lt;VLOOKUP(DN$2,$B:$H,7,0),IF(DR$3=1,MIN($M49,DN49),IF(HLOOKUP(CONCATENATE("Balance",DR$3-1),'Withdrawal Working'!$A$2:$CD$78,MATCH('Yoy WAR OG'!$J49,'Withdrawal Working'!$A$2:$A$78,0),FALSE)&gt;0,MIN(HLOOKUP(CONCATENATE("Balance",DR$3-1),'Withdrawal Working'!$A$2:$CD$78,MATCH('Yoy WAR OG'!$J49,'Withdrawal Working'!$A$2:$A$78,0),0),DN49),0)),IF($K49=VLOOKUP(DN$2,$B:$H,7,0),DN49,)),0)</f>
        <v>0</v>
      </c>
      <c r="DQ49" s="58">
        <f t="shared" ca="1" si="67"/>
        <v>0</v>
      </c>
      <c r="DT49" s="450">
        <f t="shared" ca="1" si="44"/>
        <v>0</v>
      </c>
      <c r="DU49" s="58">
        <f ca="1">(VLOOKUP(DT$2,$B$1:$F$32,5,0)*$L49)+(VLOOKUP($K49,'Withdrawal Working'!$AD:$AE,2,0)*(IFERROR(VLOOKUP(DT$2,$B$35:$C$42,2,0),0)))</f>
        <v>0</v>
      </c>
      <c r="DV49" s="58">
        <f>IFERROR(IF($K49&lt;VLOOKUP(DT$2,$B:$H,7,0),IF(DX$3=1,MIN($M49,DT49),IF(HLOOKUP(CONCATENATE("Balance",DX$3-1),'Withdrawal Working'!$A$2:$CD$78,MATCH('Yoy WAR OG'!$J49,'Withdrawal Working'!$A$2:$A$78,0),FALSE)&gt;0,MIN(HLOOKUP(CONCATENATE("Balance",DX$3-1),'Withdrawal Working'!$A$2:$CD$78,MATCH('Yoy WAR OG'!$J49,'Withdrawal Working'!$A$2:$A$78,0),0),DT49),0)),IF($K49=VLOOKUP(DT$2,$B:$H,7,0),DT49,)),0)</f>
        <v>0</v>
      </c>
      <c r="DW49" s="58">
        <f t="shared" ca="1" si="68"/>
        <v>0</v>
      </c>
      <c r="DZ49" s="450">
        <f t="shared" ca="1" si="45"/>
        <v>0</v>
      </c>
      <c r="EA49" s="58">
        <f ca="1">(VLOOKUP(DZ$2,$B$1:$F$32,5,0)*$L49)+(VLOOKUP($K49,'Withdrawal Working'!$AD:$AE,2,0)*(IFERROR(VLOOKUP(DZ$2,$B$35:$C$42,2,0),0)))</f>
        <v>0</v>
      </c>
      <c r="EB49" s="58">
        <f>IFERROR(IF($K49&lt;VLOOKUP(DZ$2,$B:$H,7,0),IF(ED$3=1,MIN($M49,DZ49),IF(HLOOKUP(CONCATENATE("Balance",ED$3-1),'Withdrawal Working'!$A$2:$CD$78,MATCH('Yoy WAR OG'!$J49,'Withdrawal Working'!$A$2:$A$78,0),FALSE)&gt;0,MIN(HLOOKUP(CONCATENATE("Balance",ED$3-1),'Withdrawal Working'!$A$2:$CD$78,MATCH('Yoy WAR OG'!$J49,'Withdrawal Working'!$A$2:$A$78,0),0),DZ49),0)),IF($K49=VLOOKUP(DZ$2,$B:$H,7,0),DZ49,)),0)</f>
        <v>0</v>
      </c>
      <c r="EC49" s="58">
        <f t="shared" ca="1" si="69"/>
        <v>0</v>
      </c>
      <c r="EF49" s="450">
        <f t="shared" ca="1" si="46"/>
        <v>0</v>
      </c>
      <c r="EG49" s="58">
        <f ca="1">(VLOOKUP(EF$2,$B$1:$F$32,5,0)*$L49)+(VLOOKUP($K49,'Withdrawal Working'!$AD:$AE,2,0)*(IFERROR(VLOOKUP(EF$2,$B$35:$C$42,2,0),0)))</f>
        <v>0</v>
      </c>
      <c r="EH49" s="58">
        <f>IFERROR(IF($K49&lt;VLOOKUP(EF$2,$B:$H,7,0),IF(EJ$3=1,MIN($M49,EF49),IF(HLOOKUP(CONCATENATE("Balance",EJ$3-1),'Withdrawal Working'!$A$2:$CD$78,MATCH('Yoy WAR OG'!$J49,'Withdrawal Working'!$A$2:$A$78,0),FALSE)&gt;0,MIN(HLOOKUP(CONCATENATE("Balance",EJ$3-1),'Withdrawal Working'!$A$2:$CD$78,MATCH('Yoy WAR OG'!$J49,'Withdrawal Working'!$A$2:$A$78,0),0),EF49),0)),IF($K49=VLOOKUP(EF$2,$B:$H,7,0),EF49,)),0)</f>
        <v>0</v>
      </c>
      <c r="EI49" s="58">
        <f t="shared" ca="1" si="70"/>
        <v>0</v>
      </c>
      <c r="EL49" s="450">
        <f t="shared" ca="1" si="47"/>
        <v>0</v>
      </c>
      <c r="EM49" s="58">
        <f>IF(OR($J49&gt;'NWGC - SCENARIOS'!$D$7,$J49='NWGC - SCENARIOS'!$D$7),0,EM48)</f>
        <v>0</v>
      </c>
      <c r="EN49" s="58">
        <f>IFERROR(IF($K49&lt;VLOOKUP(EL$2,$B:$H,7,0),IF(EP$3=1,MIN($M49,EL49),IF(HLOOKUP(CONCATENATE("Balance",EP$3-1),'Withdrawal Working'!$A$2:$CD$78,MATCH('Yoy WAR OG'!$J49,'Withdrawal Working'!$A$2:$A$78,0),FALSE)&gt;0,MIN(HLOOKUP(CONCATENATE("Balance",EP$3-1),'Withdrawal Working'!$A$2:$CD$78,MATCH('Yoy WAR OG'!$J49,'Withdrawal Working'!$A$2:$A$78,0),0),EL49),0)),IF($K49=VLOOKUP(EL$2,$B:$H,7,0),EL49,)),0)</f>
        <v>0</v>
      </c>
      <c r="EO49" s="58">
        <f t="shared" ca="1" si="71"/>
        <v>0</v>
      </c>
      <c r="ER49" s="450">
        <f t="shared" ca="1" si="48"/>
        <v>0</v>
      </c>
      <c r="ES49" s="58">
        <f>IF(OR(J49&gt;'NWGC - SCENARIOS'!$D$7,J49='NWGC - SCENARIOS'!$D$7),0,ES48*(1+'NWGC - SCENARIOS'!$L$5))</f>
        <v>0</v>
      </c>
      <c r="ET49" s="58">
        <f>IFERROR(IF($K49&lt;VLOOKUP(ER$2,$B:$H,7,0),IF(EV$3=1,MIN($M49,ER49),IF(HLOOKUP(CONCATENATE("Balance",EV$3-1),'Withdrawal Working'!$A$2:$CD$78,MATCH('Yoy WAR OG'!$J49,'Withdrawal Working'!$A$2:$A$78,0),FALSE)&gt;0,MIN(HLOOKUP(CONCATENATE("Balance",EV$3-1),'Withdrawal Working'!$A$2:$CD$78,MATCH('Yoy WAR OG'!$J49,'Withdrawal Working'!$A$2:$A$78,0),0),ER49),0)),IF($K49=VLOOKUP(ER$2,$B:$H,7,0),ER49,)),0)</f>
        <v>0</v>
      </c>
      <c r="EU49" s="58">
        <f t="shared" ca="1" si="72"/>
        <v>0</v>
      </c>
      <c r="EX49" s="450">
        <f t="shared" ca="1" si="49"/>
        <v>0</v>
      </c>
      <c r="EY49" s="58">
        <f>IF(OR(J49&gt;'NWGC - SCENARIOS'!$D$7,J49='NWGC - SCENARIOS'!$D$7),0,EY48)</f>
        <v>0</v>
      </c>
      <c r="EZ49" s="58">
        <f>IFERROR(IF($K49&lt;VLOOKUP(EX$2,$B:$H,7,0),IF(FB$3=1,MIN($M49,EX49),IF(HLOOKUP(CONCATENATE("Balance",FB$3-1),'Withdrawal Working'!$A$2:$CD$78,MATCH('Yoy WAR OG'!$J49,'Withdrawal Working'!$A$2:$A$78,0),FALSE)&gt;0,MIN(HLOOKUP(CONCATENATE("Balance",FB$3-1),'Withdrawal Working'!$A$2:$CD$78,MATCH('Yoy WAR OG'!$J49,'Withdrawal Working'!$A$2:$A$78,0),0),EX49),0)),IF($K49=VLOOKUP(EX$2,$B:$H,7,0),EX49,)),0)</f>
        <v>0</v>
      </c>
      <c r="FA49" s="58">
        <f t="shared" ca="1" si="73"/>
        <v>0</v>
      </c>
    </row>
    <row r="50" spans="10:157" x14ac:dyDescent="0.3">
      <c r="J50">
        <f>IFERROR('NWGC - SCENARIOS'!B57,0)</f>
        <v>95</v>
      </c>
      <c r="K50">
        <f>IFERROR('NWGC - SCENARIOS'!C57,0)</f>
        <v>2071</v>
      </c>
      <c r="L50" s="449">
        <f ca="1">IF(('NWGC - SCENARIOS'!G57-working!G48)&gt;'NWGC - SCENARIOS'!H57,'NWGC - SCENARIOS'!G57-'NWGC - SCENARIOS'!H57-working!G48,0)</f>
        <v>0</v>
      </c>
      <c r="M50" s="449">
        <f ca="1">IF(('NWGC - SCENARIOS'!G57-working!G48)&gt;'NWGC - SCENARIOS'!H57,0,'NWGC - SCENARIOS'!H57-'NWGC - SCENARIOS'!G57+working!G48)</f>
        <v>76146097.255636647</v>
      </c>
      <c r="N50" s="58">
        <f t="shared" ca="1" si="50"/>
        <v>793651898.02147758</v>
      </c>
      <c r="O50" s="58">
        <f t="shared" ca="1" si="51"/>
        <v>193999300.71531388</v>
      </c>
      <c r="P50" s="58">
        <f t="shared" ca="1" si="74"/>
        <v>0</v>
      </c>
      <c r="Q50" s="58">
        <f ca="1">(VLOOKUP(P$2,$B$1:$F$32,5,0)*$L50)+(VLOOKUP($K50,'Withdrawal Working'!$AD:$AE,2,0)*(IFERROR(VLOOKUP(P$2,$B$35:$C$42,2,0),0)))</f>
        <v>0</v>
      </c>
      <c r="R50" s="58">
        <f>IFERROR(IF($K50&lt;VLOOKUP(P$2,$B:$H,7,0),IF(T$3=1,MIN($M50,P50),IF(HLOOKUP(CONCATENATE("Balance",T$3-1),'Withdrawal Working'!$A$2:$CD$78,MATCH('Yoy WAR OG'!$J50,'Withdrawal Working'!$A$2:$A$78,0),FALSE)&gt;0,MIN(HLOOKUP(CONCATENATE("Balance",T$3-1),'Withdrawal Working'!$A$2:$CD$78,MATCH('Yoy WAR OG'!$J50,'Withdrawal Working'!$A$2:$A$78,0),0),P50),0)),IF($K50=VLOOKUP(P$2,$B:$H,7,0),P50,)),0)</f>
        <v>0</v>
      </c>
      <c r="S50" s="58">
        <f t="shared" ca="1" si="75"/>
        <v>0</v>
      </c>
      <c r="T50" s="58"/>
      <c r="V50" s="58">
        <f t="shared" ca="1" si="27"/>
        <v>0</v>
      </c>
      <c r="W50" s="58">
        <f ca="1">(VLOOKUP(V$2,$B$1:$F$32,5,0)*$L50)+(VLOOKUP($K50,'Withdrawal Working'!$AD:$AE,2,0)*(IFERROR(VLOOKUP(V$2,$B$35:$C$42,2,0),0)))</f>
        <v>0</v>
      </c>
      <c r="X50" s="58">
        <f>IFERROR(IF($K50&lt;VLOOKUP(V$2,$B:$H,7,0),IF(Z$3=1,MIN($M50,V50),IF(HLOOKUP(CONCATENATE("Balance",Z$3-1),'Withdrawal Working'!$A$2:$CD$78,MATCH('Yoy WAR OG'!$J50,'Withdrawal Working'!$A$2:$A$78,0),FALSE)&gt;0,MIN(HLOOKUP(CONCATENATE("Balance",Z$3-1),'Withdrawal Working'!$A$2:$CD$78,MATCH('Yoy WAR OG'!$J50,'Withdrawal Working'!$A$2:$A$78,0),0),V50),0)),IF($K50=VLOOKUP(V$2,$B:$H,7,0),V50,)),0)</f>
        <v>0</v>
      </c>
      <c r="Y50" s="58">
        <f t="shared" ca="1" si="52"/>
        <v>0</v>
      </c>
      <c r="AB50" s="58">
        <f t="shared" ca="1" si="28"/>
        <v>0</v>
      </c>
      <c r="AC50" s="58">
        <f ca="1">(VLOOKUP(AB$2,$B$1:$F$32,5,0)*$L50)+(VLOOKUP($K50,'Withdrawal Working'!$AD:$AE,2,0)*(IFERROR(VLOOKUP(AB$2,$B$35:$C$42,2,0),0)))</f>
        <v>0</v>
      </c>
      <c r="AE50" s="58">
        <f t="shared" ca="1" si="53"/>
        <v>0</v>
      </c>
      <c r="AH50" s="58">
        <f t="shared" ca="1" si="29"/>
        <v>0</v>
      </c>
      <c r="AI50" s="58">
        <f ca="1">(VLOOKUP(AH$2,$B$1:$F$32,5,0)*$L50)+IF(J50&gt;'NWGC - SCENARIOS'!$D$7,0,(VLOOKUP($K50,'Withdrawal Working'!$AD:$AE,2,0)*(IFERROR(VLOOKUP(AH$2,$B$35:$C$42,2,0),0))))</f>
        <v>0</v>
      </c>
      <c r="AJ50" s="58">
        <f ca="1">IFERROR(IF($J50&gt;'NWGC - SCENARIOS'!$D$7,MIN('Yoy WAR OG'!AH50,VLOOKUP('Yoy WAR OG'!$J50,'Withdrawal Working'!BC:BD,2,0)),IF(AL$3=1,$M50,IF(HLOOKUP(CONCATENATE("Balance",AL$3-1),'Withdrawal Working'!$A$2:$CD$78,MATCH('Yoy WAR OG'!$J50,'Withdrawal Working'!$A$2:$A$78,0),FALSE)&gt;0,MIN(HLOOKUP(CONCATENATE("Balance",AL$3-1),'Withdrawal Working'!$A$2:$CD$78,MATCH('Yoy WAR OG'!$J50,'Withdrawal Working'!$A$2:$A$78,0),0),AH50),0))),0)</f>
        <v>0</v>
      </c>
      <c r="AK50" s="58">
        <f t="shared" ca="1" si="54"/>
        <v>0</v>
      </c>
      <c r="AN50" s="450">
        <f t="shared" ca="1" si="30"/>
        <v>828422777.844715</v>
      </c>
      <c r="AO50" s="58">
        <f ca="1">IF(J50&gt;'NWGC - SCENARIOS'!$D$7,(IF(AJ50=0,0,'Yoy WAR OG'!AJ50)+(VLOOKUP(AN$2,$B$1:$F$32,5,0)*$L50)),(VLOOKUP(AN$2,$B$1:$F$32,5,0)*$L50)+(VLOOKUP($K50,'Withdrawal Working'!$AD:$AE,2,0)*(IFERROR(VLOOKUP(AN$2,$B$35:$C$42,2,0),0))))</f>
        <v>0</v>
      </c>
      <c r="AP50" s="470">
        <f ca="1">IFERROR(IF($K50&lt;&gt;VLOOKUP(AN$2,$B:$H,7,0),IF(AR$3=1,MIN($M50,AN50),IF(HLOOKUP(CONCATENATE("Balance",AR$3-1),'Withdrawal Working'!$A$2:$CD$78,MATCH('Yoy WAR OG'!$J50,'Withdrawal Working'!$A$2:$A$78,0),FALSE)&gt;0,MIN(HLOOKUP(CONCATENATE("Balance",AR$3-1),'Withdrawal Working'!$A$2:$CD$78,MATCH('Yoy WAR OG'!$J50,'Withdrawal Working'!$A$2:$A$78,0),0),AN50),0)),IF($K50=VLOOKUP(AN$2,$B:$H,7,0),AN50,)),0)</f>
        <v>76146097.255636647</v>
      </c>
      <c r="AQ50" s="58">
        <f ca="1">IF(AO50&lt;0,0,IF(J50&gt;'NWGC - SCENARIOS'!$D$7,((AN50-AP50+AO50)*(1+(IFERROR(VLOOKUP(AN$2,$B:$D,3,0),0)))),((AN50-AP50)*(1+(IFERROR(VLOOKUP(AN$2,$B:$D,3,0),0))))+AO50))</f>
        <v>793651898.02147758</v>
      </c>
      <c r="AT50" s="450">
        <f t="shared" ca="1" si="31"/>
        <v>0</v>
      </c>
      <c r="AU50" s="58">
        <f ca="1">(VLOOKUP(AT$2,$B$1:$F$32,5,0)*$L50)+(VLOOKUP($K50,'Withdrawal Working'!$AD:$AE,2,0)*(IFERROR(VLOOKUP(AT$2,$B$35:$C$42,2,0),0)))</f>
        <v>0</v>
      </c>
      <c r="AV50" s="58">
        <f>IFERROR(IF($K50&lt;VLOOKUP(AT$2,$B:$H,7,0),IF(AX$3=1,MIN($M50,AT50),IF(HLOOKUP(CONCATENATE("Balance",AX$3-1),'Withdrawal Working'!$A$2:$CD$78,MATCH('Yoy WAR OG'!$J50,'Withdrawal Working'!$A$2:$A$78,0),FALSE)&gt;0,MIN(HLOOKUP(CONCATENATE("Balance",AX$3-1),'Withdrawal Working'!$A$2:$CD$78,MATCH('Yoy WAR OG'!$J50,'Withdrawal Working'!$A$2:$A$78,0),0),AT50),0)),IF($K50=VLOOKUP(AT$2,$B:$H,7,0),AT50,)),0)</f>
        <v>0</v>
      </c>
      <c r="AW50" s="58">
        <f t="shared" ca="1" si="55"/>
        <v>0</v>
      </c>
      <c r="AZ50" s="450">
        <f t="shared" ca="1" si="32"/>
        <v>89890493.52712445</v>
      </c>
      <c r="BA50" s="58">
        <f ca="1">(VLOOKUP(AZ$2,$B$1:$F$32,5,0)*$L50)+(VLOOKUP($K50,'Withdrawal Working'!$AD:$AE,2,0)*(IFERROR(VLOOKUP(AZ$2,$B$35:$C$42,2,0),0)))</f>
        <v>0</v>
      </c>
      <c r="BB50" s="58">
        <f>IFERROR(IF($K50&lt;VLOOKUP(AZ$2,$B:$H,7,0),IF(BD$3=1,MIN($M50,AZ50),IF(HLOOKUP(CONCATENATE("Balance",BD$3-1),'Withdrawal Working'!$A$2:$CD$78,MATCH('Yoy WAR OG'!$J50,'Withdrawal Working'!$A$2:$A$78,0),FALSE)&gt;0,MIN(HLOOKUP(CONCATENATE("Balance",BD$3-1),'Withdrawal Working'!$A$2:$CD$78,MATCH('Yoy WAR OG'!$J50,'Withdrawal Working'!$A$2:$A$78,0),0),AZ50),0)),IF($K50=VLOOKUP(AZ$2,$B:$H,7,0),AZ50,)),0)</f>
        <v>0</v>
      </c>
      <c r="BC50" s="58">
        <f t="shared" ca="1" si="56"/>
        <v>96182828.074023172</v>
      </c>
      <c r="BF50" s="450">
        <f t="shared" ca="1" si="33"/>
        <v>0</v>
      </c>
      <c r="BG50" s="58">
        <f ca="1">(VLOOKUP(BF$2,$B$1:$F$32,5,0)*$L50)+(VLOOKUP($K50,'Withdrawal Working'!$AD:$AE,2,0)*(IFERROR(VLOOKUP(BF$2,$B$35:$C$42,2,0),0)))</f>
        <v>0</v>
      </c>
      <c r="BH50" s="58">
        <f>IFERROR(IF($K50&lt;VLOOKUP(BF$2,$B:$H,7,0),IF(BJ$3=1,MIN($M50,BF50),IF(HLOOKUP(CONCATENATE("Balance",BJ$3-1),'Withdrawal Working'!$A$2:$CD$78,MATCH('Yoy WAR OG'!$J50,'Withdrawal Working'!$A$2:$A$78,0),FALSE)&gt;0,MIN(HLOOKUP(CONCATENATE("Balance",BJ$3-1),'Withdrawal Working'!$A$2:$CD$78,MATCH('Yoy WAR OG'!$J50,'Withdrawal Working'!$A$2:$A$78,0),0),BF50),0)),IF($K50=VLOOKUP(BF$2,$B:$H,7,0),BF50,)),0)</f>
        <v>0</v>
      </c>
      <c r="BI50" s="58">
        <f t="shared" ca="1" si="57"/>
        <v>0</v>
      </c>
      <c r="BL50" s="450">
        <f t="shared" ca="1" si="34"/>
        <v>0</v>
      </c>
      <c r="BM50" s="58">
        <f ca="1">(VLOOKUP(BL$2,$B$1:$F$32,5,0)*$L50)+(VLOOKUP($K50,'Withdrawal Working'!$AD:$AE,2,0)*(IFERROR(VLOOKUP(BL$2,$B$35:$C$42,2,0),0)))</f>
        <v>0</v>
      </c>
      <c r="BN50" s="58">
        <f>IFERROR(IF($K50&lt;VLOOKUP(BL$2,$B:$H,7,0),IF(BP$3=1,MIN($M50,BL50),IF(HLOOKUP(CONCATENATE("Balance",BP$3-1),'Withdrawal Working'!$A$2:$CD$78,MATCH('Yoy WAR OG'!$J50,'Withdrawal Working'!$A$2:$A$78,0),FALSE)&gt;0,MIN(HLOOKUP(CONCATENATE("Balance",BP$3-1),'Withdrawal Working'!$A$2:$CD$78,MATCH('Yoy WAR OG'!$J50,'Withdrawal Working'!$A$2:$A$78,0),0),BL50),0)),IF($K50=VLOOKUP(BL$2,$B:$H,7,0),BL50,)),0)</f>
        <v>0</v>
      </c>
      <c r="BO50" s="58">
        <f t="shared" ca="1" si="58"/>
        <v>0</v>
      </c>
      <c r="BR50" s="450">
        <f t="shared" ca="1" si="35"/>
        <v>0</v>
      </c>
      <c r="BS50" s="58">
        <f ca="1">(VLOOKUP(BR$2,$B$1:$F$32,5,0)*$L50)+(VLOOKUP($K50,'Withdrawal Working'!$AD:$AE,2,0)*(IFERROR(VLOOKUP(BR$2,$B$35:$C$42,2,0),0)))</f>
        <v>0</v>
      </c>
      <c r="BT50" s="58">
        <f>IFERROR(IF($K50&lt;VLOOKUP(BR$2,$B:$H,7,0),IF(BV$3=1,MIN($M50,BR50),IF(HLOOKUP(CONCATENATE("Balance",BV$3-1),'Withdrawal Working'!$A$2:$CD$78,MATCH('Yoy WAR OG'!$J50,'Withdrawal Working'!$A$2:$A$78,0),FALSE)&gt;0,MIN(HLOOKUP(CONCATENATE("Balance",BV$3-1),'Withdrawal Working'!$A$2:$CD$78,MATCH('Yoy WAR OG'!$J50,'Withdrawal Working'!$A$2:$A$78,0),0),BR50),0)),IF($K50=VLOOKUP(BR$2,$B:$H,7,0),BR50,)),0)</f>
        <v>0</v>
      </c>
      <c r="BU50" s="58">
        <f t="shared" ca="1" si="59"/>
        <v>0</v>
      </c>
      <c r="BX50" s="450">
        <f t="shared" ca="1" si="36"/>
        <v>0</v>
      </c>
      <c r="BY50" s="58">
        <f ca="1">(VLOOKUP(BX$2,$B$1:$F$32,5,0)*$L50)+(VLOOKUP($K50,'Withdrawal Working'!$AD:$AE,2,0)*(IFERROR(VLOOKUP(BX$2,$B$35:$C$42,2,0),0)))</f>
        <v>0</v>
      </c>
      <c r="BZ50" s="58">
        <f>IFERROR(IF($K50&lt;VLOOKUP(BX$2,$B:$H,7,0),IF(CB$3=1,MIN($M50,BX50),IF(HLOOKUP(CONCATENATE("Balance",CB$3-1),'Withdrawal Working'!$A$2:$CD$78,MATCH('Yoy WAR OG'!$J50,'Withdrawal Working'!$A$2:$A$78,0),FALSE)&gt;0,MIN(HLOOKUP(CONCATENATE("Balance",CB$3-1),'Withdrawal Working'!$A$2:$CD$78,MATCH('Yoy WAR OG'!$J50,'Withdrawal Working'!$A$2:$A$78,0),0),BX50),0)),IF($K50=VLOOKUP(BX$2,$B:$H,7,0),BX50,)),0)</f>
        <v>0</v>
      </c>
      <c r="CA50" s="58">
        <f t="shared" ca="1" si="60"/>
        <v>0</v>
      </c>
      <c r="CD50" s="450">
        <f t="shared" ca="1" si="37"/>
        <v>70923830.010170996</v>
      </c>
      <c r="CE50" s="58">
        <f ca="1">(VLOOKUP(CD$2,$B$1:$F$32,5,0)*$L50)+(VLOOKUP($K50,'Withdrawal Working'!$AD:$AE,2,0)*(IFERROR(VLOOKUP(CD$2,$B$35:$C$42,2,0),0)))+SUMIFS('Key Life Events'!$I$3:$I$28,'Key Life Events'!$H$3:$H$28,"House",'Key Life Events'!$E$3:$E$28,'Yoy WAR OG'!K50)</f>
        <v>0</v>
      </c>
      <c r="CF50" s="58">
        <f>IFERROR(IF($K50&lt;VLOOKUP(CD$2,$B:$H,7,0),IF(CH$3=1,MIN($M50,CD50),IF(HLOOKUP(CONCATENATE("Balance",CH$3-1),'Withdrawal Working'!$A$2:$CD$78,MATCH('Yoy WAR OG'!$J50,'Withdrawal Working'!$A$2:$A$78,0),FALSE)&gt;0,MIN(HLOOKUP(CONCATENATE("Balance",CH$3-1),'Withdrawal Working'!$A$2:$CD$78,MATCH('Yoy WAR OG'!$J50,'Withdrawal Working'!$A$2:$A$78,0),0),CD50),0)),IF($K50=VLOOKUP(CD$2,$B:$H,7,0),CD50,)),0)</f>
        <v>0</v>
      </c>
      <c r="CG50" s="58">
        <f t="shared" ca="1" si="61"/>
        <v>73051544.910476133</v>
      </c>
      <c r="CJ50" s="450">
        <f t="shared" ca="1" si="38"/>
        <v>0</v>
      </c>
      <c r="CK50" s="58">
        <f ca="1">(VLOOKUP(CJ$2,$B$1:$F$32,5,0)*$L50)+(VLOOKUP($K50,'Withdrawal Working'!$AD:$AE,2,0)*(IFERROR(VLOOKUP(CJ$2,$B$35:$C$42,2,0),0)))+SUMIFS('Key Life Events'!$I$3:$I$28,'Key Life Events'!$H$3:$H$28,"House2",'Key Life Events'!$E$3:$E$28,'Yoy WAR OG'!K50)</f>
        <v>0</v>
      </c>
      <c r="CL50" s="58">
        <f ca="1">IF(IFERROR(IF($K50&lt;&gt;VLOOKUP(CJ$2,$B:$H,7,0),IF(CN$3=1,MIN($M50,CJ50),IF(HLOOKUP(CONCATENATE("Balance",CN$3-1),'Withdrawal Working'!$A$2:$CD$78,MATCH('Yoy WAR OG'!$J50,'Withdrawal Working'!$A$2:$A$78,0),FALSE)&gt;0,MIN(HLOOKUP(CONCATENATE("Balance",CN$3-1),'Withdrawal Working'!$A$2:$CD$78,MATCH('Yoy WAR OG'!$J50,'Withdrawal Working'!$A$2:$A$78,0),0),CJ50),0)),IF($K50=VLOOKUP(CJ$2,$B:$H,7,0),CJ50,)),0)&gt;0,CJ50,0)</f>
        <v>0</v>
      </c>
      <c r="CM50" s="58">
        <f t="shared" ca="1" si="62"/>
        <v>0</v>
      </c>
      <c r="CP50" s="450">
        <f t="shared" ca="1" si="39"/>
        <v>23585645.457918648</v>
      </c>
      <c r="CQ50" s="58">
        <f ca="1">(VLOOKUP(CP$2,$B$1:$F$32,5,0)*$L50)+(VLOOKUP($K50,'Withdrawal Working'!$AD:$AE,2,0)*(IFERROR(VLOOKUP(CP$2,$B$35:$C$42,2,0),0)))+SUMIFS('Key Life Events'!$I$3:$I$28,'Key Life Events'!$H$3:$H$28,"Land",'Key Life Events'!$E$3:$E$28,'Yoy WAR OG'!K50)</f>
        <v>0</v>
      </c>
      <c r="CR50" s="58">
        <f>IFERROR(IF($K50&lt;VLOOKUP(CP$2,$B:$H,7,0),IF(CT$3=1,MIN($M50,CP50),IF(HLOOKUP(CONCATENATE("Balance",CT$3-1),'Withdrawal Working'!$A$2:$CD$78,MATCH('Yoy WAR OG'!$J50,'Withdrawal Working'!$A$2:$A$78,0),FALSE)&gt;0,MIN(HLOOKUP(CONCATENATE("Balance",CT$3-1),'Withdrawal Working'!$A$2:$CD$78,MATCH('Yoy WAR OG'!$J50,'Withdrawal Working'!$A$2:$A$78,0),0),CP50),0)),IF($K50=VLOOKUP(CP$2,$B:$H,7,0),CP50,)),0)</f>
        <v>0</v>
      </c>
      <c r="CS50" s="58">
        <f t="shared" ca="1" si="63"/>
        <v>24764927.73081458</v>
      </c>
      <c r="CV50" s="450">
        <f t="shared" ca="1" si="40"/>
        <v>0</v>
      </c>
      <c r="CW50" s="58"/>
      <c r="CX50" s="58">
        <f>IFERROR(IF($K50&lt;VLOOKUP(CV$2,$B:$H,7,0),IF(CZ$3=1,MIN($M50,CV50),IF(HLOOKUP(CONCATENATE("Balance",CZ$3-1),'Withdrawal Working'!$A$2:$CD$78,MATCH('Yoy WAR OG'!$J50,'Withdrawal Working'!$A$2:$A$78,0),FALSE)&gt;0,MIN(HLOOKUP(CONCATENATE("Balance",CZ$3-1),'Withdrawal Working'!$A$2:$CD$78,MATCH('Yoy WAR OG'!$J50,'Withdrawal Working'!$A$2:$A$78,0),0),CV50),0)),IF($K50=VLOOKUP(CV$2,$B:$H,7,0),CV50,)),0)</f>
        <v>0</v>
      </c>
      <c r="CY50" s="58">
        <f t="shared" ca="1" si="64"/>
        <v>0</v>
      </c>
      <c r="DB50" s="450">
        <f t="shared" ca="1" si="41"/>
        <v>0</v>
      </c>
      <c r="DC50" s="58">
        <f ca="1">(VLOOKUP(DB$2,$B$1:$F$32,5,0)*$L50)+(VLOOKUP($K50,'Withdrawal Working'!$AD:$AE,2,0)*(IFERROR(VLOOKUP(DB$2,$B$35:$C$42,2,0),0)))</f>
        <v>0</v>
      </c>
      <c r="DD50" s="58">
        <f>IFERROR(IF($K50&lt;VLOOKUP(DB$2,$B:$H,7,0),IF(DF$3=1,MIN($M50,DB50),IF(HLOOKUP(CONCATENATE("Balance",DF$3-1),'Withdrawal Working'!$A$2:$CD$78,MATCH('Yoy WAR OG'!$J50,'Withdrawal Working'!$A$2:$A$78,0),FALSE)&gt;0,MIN(HLOOKUP(CONCATENATE("Balance",DF$3-1),'Withdrawal Working'!$A$2:$CD$78,MATCH('Yoy WAR OG'!$J50,'Withdrawal Working'!$A$2:$A$78,0),0),DB50),0)),IF($K50=VLOOKUP(DB$2,$B:$H,7,0),DB50,)),0)</f>
        <v>0</v>
      </c>
      <c r="DE50" s="58">
        <f t="shared" ca="1" si="65"/>
        <v>0</v>
      </c>
      <c r="DH50" s="450">
        <f t="shared" ca="1" si="42"/>
        <v>0</v>
      </c>
      <c r="DI50" s="58">
        <f>IF(OR(J50&gt;'NWGC - SCENARIOS'!$D$7,J50='NWGC - SCENARIOS'!$D$7),0,DI49*(1+'NWGC - SCENARIOS'!$L$5))</f>
        <v>0</v>
      </c>
      <c r="DJ50" s="58">
        <f>IFERROR(IF($K50&lt;VLOOKUP(DH$2,$B:$H,7,0),IF(DL$3=1,MIN($M50,DH50),IF(HLOOKUP(CONCATENATE("Balance",DL$3-1),'Withdrawal Working'!$A$2:$CD$78,MATCH('Yoy WAR OG'!$J50,'Withdrawal Working'!$A$2:$A$78,0),FALSE)&gt;0,MIN(HLOOKUP(CONCATENATE("Balance",DL$3-1),'Withdrawal Working'!$A$2:$CD$78,MATCH('Yoy WAR OG'!$J50,'Withdrawal Working'!$A$2:$A$78,0),0),DH50),0)),IF($K50=VLOOKUP(DH$2,$B:$H,7,0),DH50,)),0)</f>
        <v>0</v>
      </c>
      <c r="DK50" s="58">
        <f t="shared" ca="1" si="66"/>
        <v>0</v>
      </c>
      <c r="DN50" s="450">
        <f t="shared" ca="1" si="43"/>
        <v>0</v>
      </c>
      <c r="DO50" s="58">
        <f ca="1">(VLOOKUP(DN$2,$B$1:$F$32,5,0)*$L50)+(VLOOKUP($K50,'Withdrawal Working'!$AD:$AE,2,0)*(IFERROR(VLOOKUP(DN$2,$B$35:$C$42,2,0),0)))</f>
        <v>0</v>
      </c>
      <c r="DP50" s="58">
        <f>IFERROR(IF($K50&lt;VLOOKUP(DN$2,$B:$H,7,0),IF(DR$3=1,MIN($M50,DN50),IF(HLOOKUP(CONCATENATE("Balance",DR$3-1),'Withdrawal Working'!$A$2:$CD$78,MATCH('Yoy WAR OG'!$J50,'Withdrawal Working'!$A$2:$A$78,0),FALSE)&gt;0,MIN(HLOOKUP(CONCATENATE("Balance",DR$3-1),'Withdrawal Working'!$A$2:$CD$78,MATCH('Yoy WAR OG'!$J50,'Withdrawal Working'!$A$2:$A$78,0),0),DN50),0)),IF($K50=VLOOKUP(DN$2,$B:$H,7,0),DN50,)),0)</f>
        <v>0</v>
      </c>
      <c r="DQ50" s="58">
        <f t="shared" ca="1" si="67"/>
        <v>0</v>
      </c>
      <c r="DT50" s="450">
        <f t="shared" ca="1" si="44"/>
        <v>0</v>
      </c>
      <c r="DU50" s="58">
        <f ca="1">(VLOOKUP(DT$2,$B$1:$F$32,5,0)*$L50)+(VLOOKUP($K50,'Withdrawal Working'!$AD:$AE,2,0)*(IFERROR(VLOOKUP(DT$2,$B$35:$C$42,2,0),0)))</f>
        <v>0</v>
      </c>
      <c r="DV50" s="58">
        <f>IFERROR(IF($K50&lt;VLOOKUP(DT$2,$B:$H,7,0),IF(DX$3=1,MIN($M50,DT50),IF(HLOOKUP(CONCATENATE("Balance",DX$3-1),'Withdrawal Working'!$A$2:$CD$78,MATCH('Yoy WAR OG'!$J50,'Withdrawal Working'!$A$2:$A$78,0),FALSE)&gt;0,MIN(HLOOKUP(CONCATENATE("Balance",DX$3-1),'Withdrawal Working'!$A$2:$CD$78,MATCH('Yoy WAR OG'!$J50,'Withdrawal Working'!$A$2:$A$78,0),0),DT50),0)),IF($K50=VLOOKUP(DT$2,$B:$H,7,0),DT50,)),0)</f>
        <v>0</v>
      </c>
      <c r="DW50" s="58">
        <f t="shared" ca="1" si="68"/>
        <v>0</v>
      </c>
      <c r="DZ50" s="450">
        <f t="shared" ca="1" si="45"/>
        <v>0</v>
      </c>
      <c r="EA50" s="58">
        <f ca="1">(VLOOKUP(DZ$2,$B$1:$F$32,5,0)*$L50)+(VLOOKUP($K50,'Withdrawal Working'!$AD:$AE,2,0)*(IFERROR(VLOOKUP(DZ$2,$B$35:$C$42,2,0),0)))</f>
        <v>0</v>
      </c>
      <c r="EB50" s="58">
        <f>IFERROR(IF($K50&lt;VLOOKUP(DZ$2,$B:$H,7,0),IF(ED$3=1,MIN($M50,DZ50),IF(HLOOKUP(CONCATENATE("Balance",ED$3-1),'Withdrawal Working'!$A$2:$CD$78,MATCH('Yoy WAR OG'!$J50,'Withdrawal Working'!$A$2:$A$78,0),FALSE)&gt;0,MIN(HLOOKUP(CONCATENATE("Balance",ED$3-1),'Withdrawal Working'!$A$2:$CD$78,MATCH('Yoy WAR OG'!$J50,'Withdrawal Working'!$A$2:$A$78,0),0),DZ50),0)),IF($K50=VLOOKUP(DZ$2,$B:$H,7,0),DZ50,)),0)</f>
        <v>0</v>
      </c>
      <c r="EC50" s="58">
        <f t="shared" ca="1" si="69"/>
        <v>0</v>
      </c>
      <c r="EF50" s="450">
        <f t="shared" ca="1" si="46"/>
        <v>0</v>
      </c>
      <c r="EG50" s="58">
        <f ca="1">(VLOOKUP(EF$2,$B$1:$F$32,5,0)*$L50)+(VLOOKUP($K50,'Withdrawal Working'!$AD:$AE,2,0)*(IFERROR(VLOOKUP(EF$2,$B$35:$C$42,2,0),0)))</f>
        <v>0</v>
      </c>
      <c r="EH50" s="58">
        <f>IFERROR(IF($K50&lt;VLOOKUP(EF$2,$B:$H,7,0),IF(EJ$3=1,MIN($M50,EF50),IF(HLOOKUP(CONCATENATE("Balance",EJ$3-1),'Withdrawal Working'!$A$2:$CD$78,MATCH('Yoy WAR OG'!$J50,'Withdrawal Working'!$A$2:$A$78,0),FALSE)&gt;0,MIN(HLOOKUP(CONCATENATE("Balance",EJ$3-1),'Withdrawal Working'!$A$2:$CD$78,MATCH('Yoy WAR OG'!$J50,'Withdrawal Working'!$A$2:$A$78,0),0),EF50),0)),IF($K50=VLOOKUP(EF$2,$B:$H,7,0),EF50,)),0)</f>
        <v>0</v>
      </c>
      <c r="EI50" s="58">
        <f t="shared" ca="1" si="70"/>
        <v>0</v>
      </c>
      <c r="EL50" s="450">
        <f t="shared" ca="1" si="47"/>
        <v>0</v>
      </c>
      <c r="EM50" s="58">
        <f>IF(OR($J50&gt;'NWGC - SCENARIOS'!$D$7,$J50='NWGC - SCENARIOS'!$D$7),0,EM49)</f>
        <v>0</v>
      </c>
      <c r="EN50" s="58">
        <f>IFERROR(IF($K50&lt;VLOOKUP(EL$2,$B:$H,7,0),IF(EP$3=1,MIN($M50,EL50),IF(HLOOKUP(CONCATENATE("Balance",EP$3-1),'Withdrawal Working'!$A$2:$CD$78,MATCH('Yoy WAR OG'!$J50,'Withdrawal Working'!$A$2:$A$78,0),FALSE)&gt;0,MIN(HLOOKUP(CONCATENATE("Balance",EP$3-1),'Withdrawal Working'!$A$2:$CD$78,MATCH('Yoy WAR OG'!$J50,'Withdrawal Working'!$A$2:$A$78,0),0),EL50),0)),IF($K50=VLOOKUP(EL$2,$B:$H,7,0),EL50,)),0)</f>
        <v>0</v>
      </c>
      <c r="EO50" s="58">
        <f t="shared" ca="1" si="71"/>
        <v>0</v>
      </c>
      <c r="ER50" s="450">
        <f t="shared" ca="1" si="48"/>
        <v>0</v>
      </c>
      <c r="ES50" s="58">
        <f>IF(OR(J50&gt;'NWGC - SCENARIOS'!$D$7,J50='NWGC - SCENARIOS'!$D$7),0,ES49*(1+'NWGC - SCENARIOS'!$L$5))</f>
        <v>0</v>
      </c>
      <c r="ET50" s="58">
        <f>IFERROR(IF($K50&lt;VLOOKUP(ER$2,$B:$H,7,0),IF(EV$3=1,MIN($M50,ER50),IF(HLOOKUP(CONCATENATE("Balance",EV$3-1),'Withdrawal Working'!$A$2:$CD$78,MATCH('Yoy WAR OG'!$J50,'Withdrawal Working'!$A$2:$A$78,0),FALSE)&gt;0,MIN(HLOOKUP(CONCATENATE("Balance",EV$3-1),'Withdrawal Working'!$A$2:$CD$78,MATCH('Yoy WAR OG'!$J50,'Withdrawal Working'!$A$2:$A$78,0),0),ER50),0)),IF($K50=VLOOKUP(ER$2,$B:$H,7,0),ER50,)),0)</f>
        <v>0</v>
      </c>
      <c r="EU50" s="58">
        <f t="shared" ca="1" si="72"/>
        <v>0</v>
      </c>
      <c r="EX50" s="450">
        <f t="shared" ca="1" si="49"/>
        <v>0</v>
      </c>
      <c r="EY50" s="58">
        <f>IF(OR(J50&gt;'NWGC - SCENARIOS'!$D$7,J50='NWGC - SCENARIOS'!$D$7),0,EY49)</f>
        <v>0</v>
      </c>
      <c r="EZ50" s="58">
        <f>IFERROR(IF($K50&lt;VLOOKUP(EX$2,$B:$H,7,0),IF(FB$3=1,MIN($M50,EX50),IF(HLOOKUP(CONCATENATE("Balance",FB$3-1),'Withdrawal Working'!$A$2:$CD$78,MATCH('Yoy WAR OG'!$J50,'Withdrawal Working'!$A$2:$A$78,0),FALSE)&gt;0,MIN(HLOOKUP(CONCATENATE("Balance",FB$3-1),'Withdrawal Working'!$A$2:$CD$78,MATCH('Yoy WAR OG'!$J50,'Withdrawal Working'!$A$2:$A$78,0),0),EX50),0)),IF($K50=VLOOKUP(EX$2,$B:$H,7,0),EX50,)),0)</f>
        <v>0</v>
      </c>
      <c r="FA50" s="58">
        <f t="shared" ca="1" si="73"/>
        <v>0</v>
      </c>
    </row>
    <row r="51" spans="10:157" x14ac:dyDescent="0.3">
      <c r="J51">
        <f>IFERROR('NWGC - SCENARIOS'!B58,0)</f>
        <v>96</v>
      </c>
      <c r="K51">
        <f>IFERROR('NWGC - SCENARIOS'!C58,0)</f>
        <v>2072</v>
      </c>
      <c r="L51" s="449">
        <f ca="1">IF(('NWGC - SCENARIOS'!G58-working!G49)&gt;'NWGC - SCENARIOS'!H58,'NWGC - SCENARIOS'!G58-'NWGC - SCENARIOS'!H58-working!G49,0)</f>
        <v>0</v>
      </c>
      <c r="M51" s="449">
        <f ca="1">IF(('NWGC - SCENARIOS'!G58-working!G49)&gt;'NWGC - SCENARIOS'!H58,0,'NWGC - SCENARIOS'!H58-'NWGC - SCENARIOS'!G58+working!G49)</f>
        <v>82244505.036087587</v>
      </c>
      <c r="N51" s="58">
        <f t="shared" ca="1" si="50"/>
        <v>750534799.59958637</v>
      </c>
      <c r="O51" s="58">
        <f t="shared" ca="1" si="51"/>
        <v>204161891.41435054</v>
      </c>
      <c r="P51" s="58">
        <f t="shared" ca="1" si="74"/>
        <v>0</v>
      </c>
      <c r="Q51" s="58">
        <f ca="1">(VLOOKUP(P$2,$B$1:$F$32,5,0)*$L51)+(VLOOKUP($K51,'Withdrawal Working'!$AD:$AE,2,0)*(IFERROR(VLOOKUP(P$2,$B$35:$C$42,2,0),0)))</f>
        <v>0</v>
      </c>
      <c r="R51" s="58">
        <f>IFERROR(IF($K51&lt;VLOOKUP(P$2,$B:$H,7,0),IF(T$3=1,MIN($M51,P51),IF(HLOOKUP(CONCATENATE("Balance",T$3-1),'Withdrawal Working'!$A$2:$CD$78,MATCH('Yoy WAR OG'!$J51,'Withdrawal Working'!$A$2:$A$78,0),FALSE)&gt;0,MIN(HLOOKUP(CONCATENATE("Balance",T$3-1),'Withdrawal Working'!$A$2:$CD$78,MATCH('Yoy WAR OG'!$J51,'Withdrawal Working'!$A$2:$A$78,0),0),P51),0)),IF($K51=VLOOKUP(P$2,$B:$H,7,0),P51,)),0)</f>
        <v>0</v>
      </c>
      <c r="S51" s="58">
        <f t="shared" ca="1" si="75"/>
        <v>0</v>
      </c>
      <c r="T51" s="58"/>
      <c r="V51" s="58">
        <f t="shared" ca="1" si="27"/>
        <v>0</v>
      </c>
      <c r="W51" s="58">
        <f ca="1">(VLOOKUP(V$2,$B$1:$F$32,5,0)*$L51)+(VLOOKUP($K51,'Withdrawal Working'!$AD:$AE,2,0)*(IFERROR(VLOOKUP(V$2,$B$35:$C$42,2,0),0)))</f>
        <v>0</v>
      </c>
      <c r="X51" s="58">
        <f>IFERROR(IF($K51&lt;VLOOKUP(V$2,$B:$H,7,0),IF(Z$3=1,MIN($M51,V51),IF(HLOOKUP(CONCATENATE("Balance",Z$3-1),'Withdrawal Working'!$A$2:$CD$78,MATCH('Yoy WAR OG'!$J51,'Withdrawal Working'!$A$2:$A$78,0),FALSE)&gt;0,MIN(HLOOKUP(CONCATENATE("Balance",Z$3-1),'Withdrawal Working'!$A$2:$CD$78,MATCH('Yoy WAR OG'!$J51,'Withdrawal Working'!$A$2:$A$78,0),0),V51),0)),IF($K51=VLOOKUP(V$2,$B:$H,7,0),V51,)),0)</f>
        <v>0</v>
      </c>
      <c r="Y51" s="58">
        <f t="shared" ca="1" si="52"/>
        <v>0</v>
      </c>
      <c r="AB51" s="58">
        <f t="shared" ca="1" si="28"/>
        <v>0</v>
      </c>
      <c r="AC51" s="58">
        <f ca="1">(VLOOKUP(AB$2,$B$1:$F$32,5,0)*$L51)+(VLOOKUP($K51,'Withdrawal Working'!$AD:$AE,2,0)*(IFERROR(VLOOKUP(AB$2,$B$35:$C$42,2,0),0)))</f>
        <v>0</v>
      </c>
      <c r="AE51" s="58">
        <f t="shared" ca="1" si="53"/>
        <v>0</v>
      </c>
      <c r="AH51" s="58">
        <f t="shared" ca="1" si="29"/>
        <v>0</v>
      </c>
      <c r="AI51" s="58">
        <f ca="1">(VLOOKUP(AH$2,$B$1:$F$32,5,0)*$L51)+IF(J51&gt;'NWGC - SCENARIOS'!$D$7,0,(VLOOKUP($K51,'Withdrawal Working'!$AD:$AE,2,0)*(IFERROR(VLOOKUP(AH$2,$B$35:$C$42,2,0),0))))</f>
        <v>0</v>
      </c>
      <c r="AJ51" s="58">
        <f ca="1">IFERROR(IF($J51&gt;'NWGC - SCENARIOS'!$D$7,MIN('Yoy WAR OG'!AH51,VLOOKUP('Yoy WAR OG'!$J51,'Withdrawal Working'!BC:BD,2,0)),IF(AL$3=1,$M51,IF(HLOOKUP(CONCATENATE("Balance",AL$3-1),'Withdrawal Working'!$A$2:$CD$78,MATCH('Yoy WAR OG'!$J51,'Withdrawal Working'!$A$2:$A$78,0),FALSE)&gt;0,MIN(HLOOKUP(CONCATENATE("Balance",AL$3-1),'Withdrawal Working'!$A$2:$CD$78,MATCH('Yoy WAR OG'!$J51,'Withdrawal Working'!$A$2:$A$78,0),0),AH51),0))),0)</f>
        <v>0</v>
      </c>
      <c r="AK51" s="58">
        <f t="shared" ca="1" si="54"/>
        <v>0</v>
      </c>
      <c r="AN51" s="450">
        <f t="shared" ca="1" si="30"/>
        <v>793651898.02147758</v>
      </c>
      <c r="AO51" s="58">
        <f ca="1">IF(J51&gt;'NWGC - SCENARIOS'!$D$7,(IF(AJ51=0,0,'Yoy WAR OG'!AJ51)+(VLOOKUP(AN$2,$B$1:$F$32,5,0)*$L51)),(VLOOKUP(AN$2,$B$1:$F$32,5,0)*$L51)+(VLOOKUP($K51,'Withdrawal Working'!$AD:$AE,2,0)*(IFERROR(VLOOKUP(AN$2,$B$35:$C$42,2,0),0))))</f>
        <v>0</v>
      </c>
      <c r="AP51" s="470">
        <f ca="1">IFERROR(IF($K51&lt;&gt;VLOOKUP(AN$2,$B:$H,7,0),IF(AR$3=1,MIN($M51,AN51),IF(HLOOKUP(CONCATENATE("Balance",AR$3-1),'Withdrawal Working'!$A$2:$CD$78,MATCH('Yoy WAR OG'!$J51,'Withdrawal Working'!$A$2:$A$78,0),FALSE)&gt;0,MIN(HLOOKUP(CONCATENATE("Balance",AR$3-1),'Withdrawal Working'!$A$2:$CD$78,MATCH('Yoy WAR OG'!$J51,'Withdrawal Working'!$A$2:$A$78,0),0),AN51),0)),IF($K51=VLOOKUP(AN$2,$B:$H,7,0),AN51,)),0)</f>
        <v>82244505.036087587</v>
      </c>
      <c r="AQ51" s="58">
        <f ca="1">IF(AO51&lt;0,0,IF(J51&gt;'NWGC - SCENARIOS'!$D$7,((AN51-AP51+AO51)*(1+(IFERROR(VLOOKUP(AN$2,$B:$D,3,0),0)))),((AN51-AP51)*(1+(IFERROR(VLOOKUP(AN$2,$B:$D,3,0),0))))+AO51))</f>
        <v>750534799.59958637</v>
      </c>
      <c r="AT51" s="450">
        <f t="shared" ca="1" si="31"/>
        <v>0</v>
      </c>
      <c r="AU51" s="58">
        <f ca="1">(VLOOKUP(AT$2,$B$1:$F$32,5,0)*$L51)+(VLOOKUP($K51,'Withdrawal Working'!$AD:$AE,2,0)*(IFERROR(VLOOKUP(AT$2,$B$35:$C$42,2,0),0)))</f>
        <v>0</v>
      </c>
      <c r="AV51" s="58">
        <f>IFERROR(IF($K51&lt;VLOOKUP(AT$2,$B:$H,7,0),IF(AX$3=1,MIN($M51,AT51),IF(HLOOKUP(CONCATENATE("Balance",AX$3-1),'Withdrawal Working'!$A$2:$CD$78,MATCH('Yoy WAR OG'!$J51,'Withdrawal Working'!$A$2:$A$78,0),FALSE)&gt;0,MIN(HLOOKUP(CONCATENATE("Balance",AX$3-1),'Withdrawal Working'!$A$2:$CD$78,MATCH('Yoy WAR OG'!$J51,'Withdrawal Working'!$A$2:$A$78,0),0),AT51),0)),IF($K51=VLOOKUP(AT$2,$B:$H,7,0),AT51,)),0)</f>
        <v>0</v>
      </c>
      <c r="AW51" s="58">
        <f t="shared" ca="1" si="55"/>
        <v>0</v>
      </c>
      <c r="AZ51" s="450">
        <f t="shared" ca="1" si="32"/>
        <v>96182828.074023172</v>
      </c>
      <c r="BA51" s="58">
        <f ca="1">(VLOOKUP(AZ$2,$B$1:$F$32,5,0)*$L51)+(VLOOKUP($K51,'Withdrawal Working'!$AD:$AE,2,0)*(IFERROR(VLOOKUP(AZ$2,$B$35:$C$42,2,0),0)))</f>
        <v>0</v>
      </c>
      <c r="BB51" s="58">
        <f>IFERROR(IF($K51&lt;VLOOKUP(AZ$2,$B:$H,7,0),IF(BD$3=1,MIN($M51,AZ51),IF(HLOOKUP(CONCATENATE("Balance",BD$3-1),'Withdrawal Working'!$A$2:$CD$78,MATCH('Yoy WAR OG'!$J51,'Withdrawal Working'!$A$2:$A$78,0),FALSE)&gt;0,MIN(HLOOKUP(CONCATENATE("Balance",BD$3-1),'Withdrawal Working'!$A$2:$CD$78,MATCH('Yoy WAR OG'!$J51,'Withdrawal Working'!$A$2:$A$78,0),0),AZ51),0)),IF($K51=VLOOKUP(AZ$2,$B:$H,7,0),AZ51,)),0)</f>
        <v>0</v>
      </c>
      <c r="BC51" s="58">
        <f t="shared" ca="1" si="56"/>
        <v>102915626.03920481</v>
      </c>
      <c r="BF51" s="450">
        <f t="shared" ca="1" si="33"/>
        <v>0</v>
      </c>
      <c r="BG51" s="58">
        <f ca="1">(VLOOKUP(BF$2,$B$1:$F$32,5,0)*$L51)+(VLOOKUP($K51,'Withdrawal Working'!$AD:$AE,2,0)*(IFERROR(VLOOKUP(BF$2,$B$35:$C$42,2,0),0)))</f>
        <v>0</v>
      </c>
      <c r="BH51" s="58">
        <f>IFERROR(IF($K51&lt;VLOOKUP(BF$2,$B:$H,7,0),IF(BJ$3=1,MIN($M51,BF51),IF(HLOOKUP(CONCATENATE("Balance",BJ$3-1),'Withdrawal Working'!$A$2:$CD$78,MATCH('Yoy WAR OG'!$J51,'Withdrawal Working'!$A$2:$A$78,0),FALSE)&gt;0,MIN(HLOOKUP(CONCATENATE("Balance",BJ$3-1),'Withdrawal Working'!$A$2:$CD$78,MATCH('Yoy WAR OG'!$J51,'Withdrawal Working'!$A$2:$A$78,0),0),BF51),0)),IF($K51=VLOOKUP(BF$2,$B:$H,7,0),BF51,)),0)</f>
        <v>0</v>
      </c>
      <c r="BI51" s="58">
        <f t="shared" ca="1" si="57"/>
        <v>0</v>
      </c>
      <c r="BL51" s="450">
        <f t="shared" ca="1" si="34"/>
        <v>0</v>
      </c>
      <c r="BM51" s="58">
        <f ca="1">(VLOOKUP(BL$2,$B$1:$F$32,5,0)*$L51)+(VLOOKUP($K51,'Withdrawal Working'!$AD:$AE,2,0)*(IFERROR(VLOOKUP(BL$2,$B$35:$C$42,2,0),0)))</f>
        <v>0</v>
      </c>
      <c r="BN51" s="58">
        <f>IFERROR(IF($K51&lt;VLOOKUP(BL$2,$B:$H,7,0),IF(BP$3=1,MIN($M51,BL51),IF(HLOOKUP(CONCATENATE("Balance",BP$3-1),'Withdrawal Working'!$A$2:$CD$78,MATCH('Yoy WAR OG'!$J51,'Withdrawal Working'!$A$2:$A$78,0),FALSE)&gt;0,MIN(HLOOKUP(CONCATENATE("Balance",BP$3-1),'Withdrawal Working'!$A$2:$CD$78,MATCH('Yoy WAR OG'!$J51,'Withdrawal Working'!$A$2:$A$78,0),0),BL51),0)),IF($K51=VLOOKUP(BL$2,$B:$H,7,0),BL51,)),0)</f>
        <v>0</v>
      </c>
      <c r="BO51" s="58">
        <f t="shared" ca="1" si="58"/>
        <v>0</v>
      </c>
      <c r="BR51" s="450">
        <f t="shared" ca="1" si="35"/>
        <v>0</v>
      </c>
      <c r="BS51" s="58">
        <f ca="1">(VLOOKUP(BR$2,$B$1:$F$32,5,0)*$L51)+(VLOOKUP($K51,'Withdrawal Working'!$AD:$AE,2,0)*(IFERROR(VLOOKUP(BR$2,$B$35:$C$42,2,0),0)))</f>
        <v>0</v>
      </c>
      <c r="BT51" s="58">
        <f>IFERROR(IF($K51&lt;VLOOKUP(BR$2,$B:$H,7,0),IF(BV$3=1,MIN($M51,BR51),IF(HLOOKUP(CONCATENATE("Balance",BV$3-1),'Withdrawal Working'!$A$2:$CD$78,MATCH('Yoy WAR OG'!$J51,'Withdrawal Working'!$A$2:$A$78,0),FALSE)&gt;0,MIN(HLOOKUP(CONCATENATE("Balance",BV$3-1),'Withdrawal Working'!$A$2:$CD$78,MATCH('Yoy WAR OG'!$J51,'Withdrawal Working'!$A$2:$A$78,0),0),BR51),0)),IF($K51=VLOOKUP(BR$2,$B:$H,7,0),BR51,)),0)</f>
        <v>0</v>
      </c>
      <c r="BU51" s="58">
        <f t="shared" ca="1" si="59"/>
        <v>0</v>
      </c>
      <c r="BX51" s="450">
        <f t="shared" ca="1" si="36"/>
        <v>0</v>
      </c>
      <c r="BY51" s="58">
        <f ca="1">(VLOOKUP(BX$2,$B$1:$F$32,5,0)*$L51)+(VLOOKUP($K51,'Withdrawal Working'!$AD:$AE,2,0)*(IFERROR(VLOOKUP(BX$2,$B$35:$C$42,2,0),0)))</f>
        <v>0</v>
      </c>
      <c r="BZ51" s="58">
        <f>IFERROR(IF($K51&lt;VLOOKUP(BX$2,$B:$H,7,0),IF(CB$3=1,MIN($M51,BX51),IF(HLOOKUP(CONCATENATE("Balance",CB$3-1),'Withdrawal Working'!$A$2:$CD$78,MATCH('Yoy WAR OG'!$J51,'Withdrawal Working'!$A$2:$A$78,0),FALSE)&gt;0,MIN(HLOOKUP(CONCATENATE("Balance",CB$3-1),'Withdrawal Working'!$A$2:$CD$78,MATCH('Yoy WAR OG'!$J51,'Withdrawal Working'!$A$2:$A$78,0),0),BX51),0)),IF($K51=VLOOKUP(BX$2,$B:$H,7,0),BX51,)),0)</f>
        <v>0</v>
      </c>
      <c r="CA51" s="58">
        <f t="shared" ca="1" si="60"/>
        <v>0</v>
      </c>
      <c r="CD51" s="450">
        <f t="shared" ca="1" si="37"/>
        <v>73051544.910476133</v>
      </c>
      <c r="CE51" s="58">
        <f ca="1">(VLOOKUP(CD$2,$B$1:$F$32,5,0)*$L51)+(VLOOKUP($K51,'Withdrawal Working'!$AD:$AE,2,0)*(IFERROR(VLOOKUP(CD$2,$B$35:$C$42,2,0),0)))+SUMIFS('Key Life Events'!$I$3:$I$28,'Key Life Events'!$H$3:$H$28,"House",'Key Life Events'!$E$3:$E$28,'Yoy WAR OG'!K51)</f>
        <v>0</v>
      </c>
      <c r="CF51" s="58">
        <f>IFERROR(IF($K51&lt;VLOOKUP(CD$2,$B:$H,7,0),IF(CH$3=1,MIN($M51,CD51),IF(HLOOKUP(CONCATENATE("Balance",CH$3-1),'Withdrawal Working'!$A$2:$CD$78,MATCH('Yoy WAR OG'!$J51,'Withdrawal Working'!$A$2:$A$78,0),FALSE)&gt;0,MIN(HLOOKUP(CONCATENATE("Balance",CH$3-1),'Withdrawal Working'!$A$2:$CD$78,MATCH('Yoy WAR OG'!$J51,'Withdrawal Working'!$A$2:$A$78,0),0),CD51),0)),IF($K51=VLOOKUP(CD$2,$B:$H,7,0),CD51,)),0)</f>
        <v>0</v>
      </c>
      <c r="CG51" s="58">
        <f t="shared" ca="1" si="61"/>
        <v>75243091.257790416</v>
      </c>
      <c r="CJ51" s="450">
        <f t="shared" ca="1" si="38"/>
        <v>0</v>
      </c>
      <c r="CK51" s="58">
        <f ca="1">(VLOOKUP(CJ$2,$B$1:$F$32,5,0)*$L51)+(VLOOKUP($K51,'Withdrawal Working'!$AD:$AE,2,0)*(IFERROR(VLOOKUP(CJ$2,$B$35:$C$42,2,0),0)))+SUMIFS('Key Life Events'!$I$3:$I$28,'Key Life Events'!$H$3:$H$28,"House2",'Key Life Events'!$E$3:$E$28,'Yoy WAR OG'!K51)</f>
        <v>0</v>
      </c>
      <c r="CL51" s="58">
        <f ca="1">IF(IFERROR(IF($K51&lt;&gt;VLOOKUP(CJ$2,$B:$H,7,0),IF(CN$3=1,MIN($M51,CJ51),IF(HLOOKUP(CONCATENATE("Balance",CN$3-1),'Withdrawal Working'!$A$2:$CD$78,MATCH('Yoy WAR OG'!$J51,'Withdrawal Working'!$A$2:$A$78,0),FALSE)&gt;0,MIN(HLOOKUP(CONCATENATE("Balance",CN$3-1),'Withdrawal Working'!$A$2:$CD$78,MATCH('Yoy WAR OG'!$J51,'Withdrawal Working'!$A$2:$A$78,0),0),CJ51),0)),IF($K51=VLOOKUP(CJ$2,$B:$H,7,0),CJ51,)),0)&gt;0,CJ51,0)</f>
        <v>0</v>
      </c>
      <c r="CM51" s="58">
        <f t="shared" ca="1" si="62"/>
        <v>0</v>
      </c>
      <c r="CP51" s="450">
        <f t="shared" ca="1" si="39"/>
        <v>24764927.73081458</v>
      </c>
      <c r="CQ51" s="58">
        <f ca="1">(VLOOKUP(CP$2,$B$1:$F$32,5,0)*$L51)+(VLOOKUP($K51,'Withdrawal Working'!$AD:$AE,2,0)*(IFERROR(VLOOKUP(CP$2,$B$35:$C$42,2,0),0)))+SUMIFS('Key Life Events'!$I$3:$I$28,'Key Life Events'!$H$3:$H$28,"Land",'Key Life Events'!$E$3:$E$28,'Yoy WAR OG'!K51)</f>
        <v>0</v>
      </c>
      <c r="CR51" s="58">
        <f>IFERROR(IF($K51&lt;VLOOKUP(CP$2,$B:$H,7,0),IF(CT$3=1,MIN($M51,CP51),IF(HLOOKUP(CONCATENATE("Balance",CT$3-1),'Withdrawal Working'!$A$2:$CD$78,MATCH('Yoy WAR OG'!$J51,'Withdrawal Working'!$A$2:$A$78,0),FALSE)&gt;0,MIN(HLOOKUP(CONCATENATE("Balance",CT$3-1),'Withdrawal Working'!$A$2:$CD$78,MATCH('Yoy WAR OG'!$J51,'Withdrawal Working'!$A$2:$A$78,0),0),CP51),0)),IF($K51=VLOOKUP(CP$2,$B:$H,7,0),CP51,)),0)</f>
        <v>0</v>
      </c>
      <c r="CS51" s="58">
        <f t="shared" ca="1" si="63"/>
        <v>26003174.117355309</v>
      </c>
      <c r="CV51" s="450">
        <f t="shared" ca="1" si="40"/>
        <v>0</v>
      </c>
      <c r="CW51" s="58"/>
      <c r="CX51" s="58">
        <f>IFERROR(IF($K51&lt;VLOOKUP(CV$2,$B:$H,7,0),IF(CZ$3=1,MIN($M51,CV51),IF(HLOOKUP(CONCATENATE("Balance",CZ$3-1),'Withdrawal Working'!$A$2:$CD$78,MATCH('Yoy WAR OG'!$J51,'Withdrawal Working'!$A$2:$A$78,0),FALSE)&gt;0,MIN(HLOOKUP(CONCATENATE("Balance",CZ$3-1),'Withdrawal Working'!$A$2:$CD$78,MATCH('Yoy WAR OG'!$J51,'Withdrawal Working'!$A$2:$A$78,0),0),CV51),0)),IF($K51=VLOOKUP(CV$2,$B:$H,7,0),CV51,)),0)</f>
        <v>0</v>
      </c>
      <c r="CY51" s="58">
        <f t="shared" ca="1" si="64"/>
        <v>0</v>
      </c>
      <c r="DB51" s="450">
        <f t="shared" ca="1" si="41"/>
        <v>0</v>
      </c>
      <c r="DC51" s="58">
        <f ca="1">(VLOOKUP(DB$2,$B$1:$F$32,5,0)*$L51)+(VLOOKUP($K51,'Withdrawal Working'!$AD:$AE,2,0)*(IFERROR(VLOOKUP(DB$2,$B$35:$C$42,2,0),0)))</f>
        <v>0</v>
      </c>
      <c r="DD51" s="58">
        <f>IFERROR(IF($K51&lt;VLOOKUP(DB$2,$B:$H,7,0),IF(DF$3=1,MIN($M51,DB51),IF(HLOOKUP(CONCATENATE("Balance",DF$3-1),'Withdrawal Working'!$A$2:$CD$78,MATCH('Yoy WAR OG'!$J51,'Withdrawal Working'!$A$2:$A$78,0),FALSE)&gt;0,MIN(HLOOKUP(CONCATENATE("Balance",DF$3-1),'Withdrawal Working'!$A$2:$CD$78,MATCH('Yoy WAR OG'!$J51,'Withdrawal Working'!$A$2:$A$78,0),0),DB51),0)),IF($K51=VLOOKUP(DB$2,$B:$H,7,0),DB51,)),0)</f>
        <v>0</v>
      </c>
      <c r="DE51" s="58">
        <f t="shared" ca="1" si="65"/>
        <v>0</v>
      </c>
      <c r="DH51" s="450">
        <f t="shared" ca="1" si="42"/>
        <v>0</v>
      </c>
      <c r="DI51" s="58">
        <f>IF(OR(J51&gt;'NWGC - SCENARIOS'!$D$7,J51='NWGC - SCENARIOS'!$D$7),0,DI50*(1+'NWGC - SCENARIOS'!$L$5))</f>
        <v>0</v>
      </c>
      <c r="DJ51" s="58">
        <f>IFERROR(IF($K51&lt;VLOOKUP(DH$2,$B:$H,7,0),IF(DL$3=1,MIN($M51,DH51),IF(HLOOKUP(CONCATENATE("Balance",DL$3-1),'Withdrawal Working'!$A$2:$CD$78,MATCH('Yoy WAR OG'!$J51,'Withdrawal Working'!$A$2:$A$78,0),FALSE)&gt;0,MIN(HLOOKUP(CONCATENATE("Balance",DL$3-1),'Withdrawal Working'!$A$2:$CD$78,MATCH('Yoy WAR OG'!$J51,'Withdrawal Working'!$A$2:$A$78,0),0),DH51),0)),IF($K51=VLOOKUP(DH$2,$B:$H,7,0),DH51,)),0)</f>
        <v>0</v>
      </c>
      <c r="DK51" s="58">
        <f t="shared" ca="1" si="66"/>
        <v>0</v>
      </c>
      <c r="DN51" s="450">
        <f t="shared" ca="1" si="43"/>
        <v>0</v>
      </c>
      <c r="DO51" s="58">
        <f ca="1">(VLOOKUP(DN$2,$B$1:$F$32,5,0)*$L51)+(VLOOKUP($K51,'Withdrawal Working'!$AD:$AE,2,0)*(IFERROR(VLOOKUP(DN$2,$B$35:$C$42,2,0),0)))</f>
        <v>0</v>
      </c>
      <c r="DP51" s="58">
        <f>IFERROR(IF($K51&lt;VLOOKUP(DN$2,$B:$H,7,0),IF(DR$3=1,MIN($M51,DN51),IF(HLOOKUP(CONCATENATE("Balance",DR$3-1),'Withdrawal Working'!$A$2:$CD$78,MATCH('Yoy WAR OG'!$J51,'Withdrawal Working'!$A$2:$A$78,0),FALSE)&gt;0,MIN(HLOOKUP(CONCATENATE("Balance",DR$3-1),'Withdrawal Working'!$A$2:$CD$78,MATCH('Yoy WAR OG'!$J51,'Withdrawal Working'!$A$2:$A$78,0),0),DN51),0)),IF($K51=VLOOKUP(DN$2,$B:$H,7,0),DN51,)),0)</f>
        <v>0</v>
      </c>
      <c r="DQ51" s="58">
        <f t="shared" ca="1" si="67"/>
        <v>0</v>
      </c>
      <c r="DT51" s="450">
        <f t="shared" ca="1" si="44"/>
        <v>0</v>
      </c>
      <c r="DU51" s="58">
        <f ca="1">(VLOOKUP(DT$2,$B$1:$F$32,5,0)*$L51)+(VLOOKUP($K51,'Withdrawal Working'!$AD:$AE,2,0)*(IFERROR(VLOOKUP(DT$2,$B$35:$C$42,2,0),0)))</f>
        <v>0</v>
      </c>
      <c r="DV51" s="58">
        <f>IFERROR(IF($K51&lt;VLOOKUP(DT$2,$B:$H,7,0),IF(DX$3=1,MIN($M51,DT51),IF(HLOOKUP(CONCATENATE("Balance",DX$3-1),'Withdrawal Working'!$A$2:$CD$78,MATCH('Yoy WAR OG'!$J51,'Withdrawal Working'!$A$2:$A$78,0),FALSE)&gt;0,MIN(HLOOKUP(CONCATENATE("Balance",DX$3-1),'Withdrawal Working'!$A$2:$CD$78,MATCH('Yoy WAR OG'!$J51,'Withdrawal Working'!$A$2:$A$78,0),0),DT51),0)),IF($K51=VLOOKUP(DT$2,$B:$H,7,0),DT51,)),0)</f>
        <v>0</v>
      </c>
      <c r="DW51" s="58">
        <f t="shared" ca="1" si="68"/>
        <v>0</v>
      </c>
      <c r="DZ51" s="450">
        <f t="shared" ca="1" si="45"/>
        <v>0</v>
      </c>
      <c r="EA51" s="58">
        <f ca="1">(VLOOKUP(DZ$2,$B$1:$F$32,5,0)*$L51)+(VLOOKUP($K51,'Withdrawal Working'!$AD:$AE,2,0)*(IFERROR(VLOOKUP(DZ$2,$B$35:$C$42,2,0),0)))</f>
        <v>0</v>
      </c>
      <c r="EB51" s="58">
        <f>IFERROR(IF($K51&lt;VLOOKUP(DZ$2,$B:$H,7,0),IF(ED$3=1,MIN($M51,DZ51),IF(HLOOKUP(CONCATENATE("Balance",ED$3-1),'Withdrawal Working'!$A$2:$CD$78,MATCH('Yoy WAR OG'!$J51,'Withdrawal Working'!$A$2:$A$78,0),FALSE)&gt;0,MIN(HLOOKUP(CONCATENATE("Balance",ED$3-1),'Withdrawal Working'!$A$2:$CD$78,MATCH('Yoy WAR OG'!$J51,'Withdrawal Working'!$A$2:$A$78,0),0),DZ51),0)),IF($K51=VLOOKUP(DZ$2,$B:$H,7,0),DZ51,)),0)</f>
        <v>0</v>
      </c>
      <c r="EC51" s="58">
        <f t="shared" ca="1" si="69"/>
        <v>0</v>
      </c>
      <c r="EF51" s="450">
        <f t="shared" ca="1" si="46"/>
        <v>0</v>
      </c>
      <c r="EG51" s="58">
        <f ca="1">(VLOOKUP(EF$2,$B$1:$F$32,5,0)*$L51)+(VLOOKUP($K51,'Withdrawal Working'!$AD:$AE,2,0)*(IFERROR(VLOOKUP(EF$2,$B$35:$C$42,2,0),0)))</f>
        <v>0</v>
      </c>
      <c r="EH51" s="58">
        <f>IFERROR(IF($K51&lt;VLOOKUP(EF$2,$B:$H,7,0),IF(EJ$3=1,MIN($M51,EF51),IF(HLOOKUP(CONCATENATE("Balance",EJ$3-1),'Withdrawal Working'!$A$2:$CD$78,MATCH('Yoy WAR OG'!$J51,'Withdrawal Working'!$A$2:$A$78,0),FALSE)&gt;0,MIN(HLOOKUP(CONCATENATE("Balance",EJ$3-1),'Withdrawal Working'!$A$2:$CD$78,MATCH('Yoy WAR OG'!$J51,'Withdrawal Working'!$A$2:$A$78,0),0),EF51),0)),IF($K51=VLOOKUP(EF$2,$B:$H,7,0),EF51,)),0)</f>
        <v>0</v>
      </c>
      <c r="EI51" s="58">
        <f t="shared" ca="1" si="70"/>
        <v>0</v>
      </c>
      <c r="EL51" s="450">
        <f t="shared" ca="1" si="47"/>
        <v>0</v>
      </c>
      <c r="EM51" s="58">
        <f>IF(OR($J51&gt;'NWGC - SCENARIOS'!$D$7,$J51='NWGC - SCENARIOS'!$D$7),0,EM50)</f>
        <v>0</v>
      </c>
      <c r="EN51" s="58">
        <f>IFERROR(IF($K51&lt;VLOOKUP(EL$2,$B:$H,7,0),IF(EP$3=1,MIN($M51,EL51),IF(HLOOKUP(CONCATENATE("Balance",EP$3-1),'Withdrawal Working'!$A$2:$CD$78,MATCH('Yoy WAR OG'!$J51,'Withdrawal Working'!$A$2:$A$78,0),FALSE)&gt;0,MIN(HLOOKUP(CONCATENATE("Balance",EP$3-1),'Withdrawal Working'!$A$2:$CD$78,MATCH('Yoy WAR OG'!$J51,'Withdrawal Working'!$A$2:$A$78,0),0),EL51),0)),IF($K51=VLOOKUP(EL$2,$B:$H,7,0),EL51,)),0)</f>
        <v>0</v>
      </c>
      <c r="EO51" s="58">
        <f t="shared" ca="1" si="71"/>
        <v>0</v>
      </c>
      <c r="ER51" s="450">
        <f t="shared" ca="1" si="48"/>
        <v>0</v>
      </c>
      <c r="ES51" s="58">
        <f>IF(OR(J51&gt;'NWGC - SCENARIOS'!$D$7,J51='NWGC - SCENARIOS'!$D$7),0,ES50*(1+'NWGC - SCENARIOS'!$L$5))</f>
        <v>0</v>
      </c>
      <c r="ET51" s="58">
        <f>IFERROR(IF($K51&lt;VLOOKUP(ER$2,$B:$H,7,0),IF(EV$3=1,MIN($M51,ER51),IF(HLOOKUP(CONCATENATE("Balance",EV$3-1),'Withdrawal Working'!$A$2:$CD$78,MATCH('Yoy WAR OG'!$J51,'Withdrawal Working'!$A$2:$A$78,0),FALSE)&gt;0,MIN(HLOOKUP(CONCATENATE("Balance",EV$3-1),'Withdrawal Working'!$A$2:$CD$78,MATCH('Yoy WAR OG'!$J51,'Withdrawal Working'!$A$2:$A$78,0),0),ER51),0)),IF($K51=VLOOKUP(ER$2,$B:$H,7,0),ER51,)),0)</f>
        <v>0</v>
      </c>
      <c r="EU51" s="58">
        <f t="shared" ca="1" si="72"/>
        <v>0</v>
      </c>
      <c r="EX51" s="450">
        <f t="shared" ca="1" si="49"/>
        <v>0</v>
      </c>
      <c r="EY51" s="58">
        <f>IF(OR(J51&gt;'NWGC - SCENARIOS'!$D$7,J51='NWGC - SCENARIOS'!$D$7),0,EY50)</f>
        <v>0</v>
      </c>
      <c r="EZ51" s="58">
        <f>IFERROR(IF($K51&lt;VLOOKUP(EX$2,$B:$H,7,0),IF(FB$3=1,MIN($M51,EX51),IF(HLOOKUP(CONCATENATE("Balance",FB$3-1),'Withdrawal Working'!$A$2:$CD$78,MATCH('Yoy WAR OG'!$J51,'Withdrawal Working'!$A$2:$A$78,0),FALSE)&gt;0,MIN(HLOOKUP(CONCATENATE("Balance",FB$3-1),'Withdrawal Working'!$A$2:$CD$78,MATCH('Yoy WAR OG'!$J51,'Withdrawal Working'!$A$2:$A$78,0),0),EX51),0)),IF($K51=VLOOKUP(EX$2,$B:$H,7,0),EX51,)),0)</f>
        <v>0</v>
      </c>
      <c r="FA51" s="58">
        <f t="shared" ca="1" si="73"/>
        <v>0</v>
      </c>
    </row>
    <row r="52" spans="10:157" x14ac:dyDescent="0.3">
      <c r="J52">
        <f>IFERROR('NWGC - SCENARIOS'!B59,0)</f>
        <v>97</v>
      </c>
      <c r="K52">
        <f>IFERROR('NWGC - SCENARIOS'!C59,0)</f>
        <v>2073</v>
      </c>
      <c r="L52" s="449">
        <f ca="1">IF(('NWGC - SCENARIOS'!G59-working!G50)&gt;'NWGC - SCENARIOS'!H59,'NWGC - SCENARIOS'!G59-'NWGC - SCENARIOS'!H59-working!G50,0)</f>
        <v>0</v>
      </c>
      <c r="M52" s="449">
        <f ca="1">IF(('NWGC - SCENARIOS'!G59-working!G50)&gt;'NWGC - SCENARIOS'!H59,0,'NWGC - SCENARIOS'!H59-'NWGC - SCENARIOS'!G59+working!G50)</f>
        <v>88830785.438974574</v>
      </c>
      <c r="N52" s="58">
        <f t="shared" ca="1" si="50"/>
        <v>698097734.93944538</v>
      </c>
      <c r="O52" s="58">
        <f t="shared" ca="1" si="51"/>
        <v>214923436.68069637</v>
      </c>
      <c r="P52" s="58">
        <f t="shared" ca="1" si="74"/>
        <v>0</v>
      </c>
      <c r="Q52" s="58">
        <f ca="1">(VLOOKUP(P$2,$B$1:$F$32,5,0)*$L52)+(VLOOKUP($K52,'Withdrawal Working'!$AD:$AE,2,0)*(IFERROR(VLOOKUP(P$2,$B$35:$C$42,2,0),0)))</f>
        <v>0</v>
      </c>
      <c r="R52" s="58">
        <f>IFERROR(IF($K52&lt;VLOOKUP(P$2,$B:$H,7,0),IF(T$3=1,MIN($M52,P52),IF(HLOOKUP(CONCATENATE("Balance",T$3-1),'Withdrawal Working'!$A$2:$CD$78,MATCH('Yoy WAR OG'!$J52,'Withdrawal Working'!$A$2:$A$78,0),FALSE)&gt;0,MIN(HLOOKUP(CONCATENATE("Balance",T$3-1),'Withdrawal Working'!$A$2:$CD$78,MATCH('Yoy WAR OG'!$J52,'Withdrawal Working'!$A$2:$A$78,0),0),P52),0)),IF($K52=VLOOKUP(P$2,$B:$H,7,0),P52,)),0)</f>
        <v>0</v>
      </c>
      <c r="S52" s="58">
        <f t="shared" ca="1" si="75"/>
        <v>0</v>
      </c>
      <c r="T52" s="58"/>
      <c r="V52" s="58">
        <f t="shared" ca="1" si="27"/>
        <v>0</v>
      </c>
      <c r="W52" s="58">
        <f ca="1">(VLOOKUP(V$2,$B$1:$F$32,5,0)*$L52)+(VLOOKUP($K52,'Withdrawal Working'!$AD:$AE,2,0)*(IFERROR(VLOOKUP(V$2,$B$35:$C$42,2,0),0)))</f>
        <v>0</v>
      </c>
      <c r="X52" s="58">
        <f>IFERROR(IF($K52&lt;VLOOKUP(V$2,$B:$H,7,0),IF(Z$3=1,MIN($M52,V52),IF(HLOOKUP(CONCATENATE("Balance",Z$3-1),'Withdrawal Working'!$A$2:$CD$78,MATCH('Yoy WAR OG'!$J52,'Withdrawal Working'!$A$2:$A$78,0),FALSE)&gt;0,MIN(HLOOKUP(CONCATENATE("Balance",Z$3-1),'Withdrawal Working'!$A$2:$CD$78,MATCH('Yoy WAR OG'!$J52,'Withdrawal Working'!$A$2:$A$78,0),0),V52),0)),IF($K52=VLOOKUP(V$2,$B:$H,7,0),V52,)),0)</f>
        <v>0</v>
      </c>
      <c r="Y52" s="58">
        <f t="shared" ca="1" si="52"/>
        <v>0</v>
      </c>
      <c r="AB52" s="58">
        <f t="shared" ca="1" si="28"/>
        <v>0</v>
      </c>
      <c r="AC52" s="58">
        <f ca="1">(VLOOKUP(AB$2,$B$1:$F$32,5,0)*$L52)+(VLOOKUP($K52,'Withdrawal Working'!$AD:$AE,2,0)*(IFERROR(VLOOKUP(AB$2,$B$35:$C$42,2,0),0)))</f>
        <v>0</v>
      </c>
      <c r="AE52" s="58">
        <f t="shared" ca="1" si="53"/>
        <v>0</v>
      </c>
      <c r="AH52" s="58">
        <f t="shared" ca="1" si="29"/>
        <v>0</v>
      </c>
      <c r="AI52" s="58">
        <f ca="1">(VLOOKUP(AH$2,$B$1:$F$32,5,0)*$L52)+IF(J52&gt;'NWGC - SCENARIOS'!$D$7,0,(VLOOKUP($K52,'Withdrawal Working'!$AD:$AE,2,0)*(IFERROR(VLOOKUP(AH$2,$B$35:$C$42,2,0),0))))</f>
        <v>0</v>
      </c>
      <c r="AJ52" s="58">
        <f ca="1">IFERROR(IF($J52&gt;'NWGC - SCENARIOS'!$D$7,MIN('Yoy WAR OG'!AH52,VLOOKUP('Yoy WAR OG'!$J52,'Withdrawal Working'!BC:BD,2,0)),IF(AL$3=1,$M52,IF(HLOOKUP(CONCATENATE("Balance",AL$3-1),'Withdrawal Working'!$A$2:$CD$78,MATCH('Yoy WAR OG'!$J52,'Withdrawal Working'!$A$2:$A$78,0),FALSE)&gt;0,MIN(HLOOKUP(CONCATENATE("Balance",AL$3-1),'Withdrawal Working'!$A$2:$CD$78,MATCH('Yoy WAR OG'!$J52,'Withdrawal Working'!$A$2:$A$78,0),0),AH52),0))),0)</f>
        <v>0</v>
      </c>
      <c r="AK52" s="58">
        <f t="shared" ca="1" si="54"/>
        <v>0</v>
      </c>
      <c r="AN52" s="450">
        <f t="shared" ca="1" si="30"/>
        <v>750534799.59958637</v>
      </c>
      <c r="AO52" s="58">
        <f ca="1">IF(J52&gt;'NWGC - SCENARIOS'!$D$7,(IF(AJ52=0,0,'Yoy WAR OG'!AJ52)+(VLOOKUP(AN$2,$B$1:$F$32,5,0)*$L52)),(VLOOKUP(AN$2,$B$1:$F$32,5,0)*$L52)+(VLOOKUP($K52,'Withdrawal Working'!$AD:$AE,2,0)*(IFERROR(VLOOKUP(AN$2,$B$35:$C$42,2,0),0))))</f>
        <v>0</v>
      </c>
      <c r="AP52" s="470">
        <f ca="1">IFERROR(IF($K52&lt;&gt;VLOOKUP(AN$2,$B:$H,7,0),IF(AR$3=1,MIN($M52,AN52),IF(HLOOKUP(CONCATENATE("Balance",AR$3-1),'Withdrawal Working'!$A$2:$CD$78,MATCH('Yoy WAR OG'!$J52,'Withdrawal Working'!$A$2:$A$78,0),FALSE)&gt;0,MIN(HLOOKUP(CONCATENATE("Balance",AR$3-1),'Withdrawal Working'!$A$2:$CD$78,MATCH('Yoy WAR OG'!$J52,'Withdrawal Working'!$A$2:$A$78,0),0),AN52),0)),IF($K52=VLOOKUP(AN$2,$B:$H,7,0),AN52,)),0)</f>
        <v>88830785.438974574</v>
      </c>
      <c r="AQ52" s="58">
        <f ca="1">IF(AO52&lt;0,0,IF(J52&gt;'NWGC - SCENARIOS'!$D$7,((AN52-AP52+AO52)*(1+(IFERROR(VLOOKUP(AN$2,$B:$D,3,0),0)))),((AN52-AP52)*(1+(IFERROR(VLOOKUP(AN$2,$B:$D,3,0),0))))+AO52))</f>
        <v>698097734.93944538</v>
      </c>
      <c r="AT52" s="450">
        <f t="shared" ca="1" si="31"/>
        <v>0</v>
      </c>
      <c r="AU52" s="58">
        <f ca="1">(VLOOKUP(AT$2,$B$1:$F$32,5,0)*$L52)+(VLOOKUP($K52,'Withdrawal Working'!$AD:$AE,2,0)*(IFERROR(VLOOKUP(AT$2,$B$35:$C$42,2,0),0)))</f>
        <v>0</v>
      </c>
      <c r="AV52" s="58">
        <f>IFERROR(IF($K52&lt;VLOOKUP(AT$2,$B:$H,7,0),IF(AX$3=1,MIN($M52,AT52),IF(HLOOKUP(CONCATENATE("Balance",AX$3-1),'Withdrawal Working'!$A$2:$CD$78,MATCH('Yoy WAR OG'!$J52,'Withdrawal Working'!$A$2:$A$78,0),FALSE)&gt;0,MIN(HLOOKUP(CONCATENATE("Balance",AX$3-1),'Withdrawal Working'!$A$2:$CD$78,MATCH('Yoy WAR OG'!$J52,'Withdrawal Working'!$A$2:$A$78,0),0),AT52),0)),IF($K52=VLOOKUP(AT$2,$B:$H,7,0),AT52,)),0)</f>
        <v>0</v>
      </c>
      <c r="AW52" s="58">
        <f t="shared" ca="1" si="55"/>
        <v>0</v>
      </c>
      <c r="AZ52" s="450">
        <f t="shared" ca="1" si="32"/>
        <v>102915626.03920481</v>
      </c>
      <c r="BA52" s="58">
        <f ca="1">(VLOOKUP(AZ$2,$B$1:$F$32,5,0)*$L52)+(VLOOKUP($K52,'Withdrawal Working'!$AD:$AE,2,0)*(IFERROR(VLOOKUP(AZ$2,$B$35:$C$42,2,0),0)))</f>
        <v>0</v>
      </c>
      <c r="BB52" s="58">
        <f>IFERROR(IF($K52&lt;VLOOKUP(AZ$2,$B:$H,7,0),IF(BD$3=1,MIN($M52,AZ52),IF(HLOOKUP(CONCATENATE("Balance",BD$3-1),'Withdrawal Working'!$A$2:$CD$78,MATCH('Yoy WAR OG'!$J52,'Withdrawal Working'!$A$2:$A$78,0),FALSE)&gt;0,MIN(HLOOKUP(CONCATENATE("Balance",BD$3-1),'Withdrawal Working'!$A$2:$CD$78,MATCH('Yoy WAR OG'!$J52,'Withdrawal Working'!$A$2:$A$78,0),0),AZ52),0)),IF($K52=VLOOKUP(AZ$2,$B:$H,7,0),AZ52,)),0)</f>
        <v>0</v>
      </c>
      <c r="BC52" s="58">
        <f t="shared" ca="1" si="56"/>
        <v>110119719.86194915</v>
      </c>
      <c r="BF52" s="450">
        <f t="shared" ca="1" si="33"/>
        <v>0</v>
      </c>
      <c r="BG52" s="58">
        <f ca="1">(VLOOKUP(BF$2,$B$1:$F$32,5,0)*$L52)+(VLOOKUP($K52,'Withdrawal Working'!$AD:$AE,2,0)*(IFERROR(VLOOKUP(BF$2,$B$35:$C$42,2,0),0)))</f>
        <v>0</v>
      </c>
      <c r="BH52" s="58">
        <f>IFERROR(IF($K52&lt;VLOOKUP(BF$2,$B:$H,7,0),IF(BJ$3=1,MIN($M52,BF52),IF(HLOOKUP(CONCATENATE("Balance",BJ$3-1),'Withdrawal Working'!$A$2:$CD$78,MATCH('Yoy WAR OG'!$J52,'Withdrawal Working'!$A$2:$A$78,0),FALSE)&gt;0,MIN(HLOOKUP(CONCATENATE("Balance",BJ$3-1),'Withdrawal Working'!$A$2:$CD$78,MATCH('Yoy WAR OG'!$J52,'Withdrawal Working'!$A$2:$A$78,0),0),BF52),0)),IF($K52=VLOOKUP(BF$2,$B:$H,7,0),BF52,)),0)</f>
        <v>0</v>
      </c>
      <c r="BI52" s="58">
        <f t="shared" ca="1" si="57"/>
        <v>0</v>
      </c>
      <c r="BL52" s="450">
        <f t="shared" ca="1" si="34"/>
        <v>0</v>
      </c>
      <c r="BM52" s="58">
        <f ca="1">(VLOOKUP(BL$2,$B$1:$F$32,5,0)*$L52)+(VLOOKUP($K52,'Withdrawal Working'!$AD:$AE,2,0)*(IFERROR(VLOOKUP(BL$2,$B$35:$C$42,2,0),0)))</f>
        <v>0</v>
      </c>
      <c r="BN52" s="58">
        <f>IFERROR(IF($K52&lt;VLOOKUP(BL$2,$B:$H,7,0),IF(BP$3=1,MIN($M52,BL52),IF(HLOOKUP(CONCATENATE("Balance",BP$3-1),'Withdrawal Working'!$A$2:$CD$78,MATCH('Yoy WAR OG'!$J52,'Withdrawal Working'!$A$2:$A$78,0),FALSE)&gt;0,MIN(HLOOKUP(CONCATENATE("Balance",BP$3-1),'Withdrawal Working'!$A$2:$CD$78,MATCH('Yoy WAR OG'!$J52,'Withdrawal Working'!$A$2:$A$78,0),0),BL52),0)),IF($K52=VLOOKUP(BL$2,$B:$H,7,0),BL52,)),0)</f>
        <v>0</v>
      </c>
      <c r="BO52" s="58">
        <f t="shared" ca="1" si="58"/>
        <v>0</v>
      </c>
      <c r="BR52" s="450">
        <f t="shared" ca="1" si="35"/>
        <v>0</v>
      </c>
      <c r="BS52" s="58">
        <f ca="1">(VLOOKUP(BR$2,$B$1:$F$32,5,0)*$L52)+(VLOOKUP($K52,'Withdrawal Working'!$AD:$AE,2,0)*(IFERROR(VLOOKUP(BR$2,$B$35:$C$42,2,0),0)))</f>
        <v>0</v>
      </c>
      <c r="BT52" s="58">
        <f>IFERROR(IF($K52&lt;VLOOKUP(BR$2,$B:$H,7,0),IF(BV$3=1,MIN($M52,BR52),IF(HLOOKUP(CONCATENATE("Balance",BV$3-1),'Withdrawal Working'!$A$2:$CD$78,MATCH('Yoy WAR OG'!$J52,'Withdrawal Working'!$A$2:$A$78,0),FALSE)&gt;0,MIN(HLOOKUP(CONCATENATE("Balance",BV$3-1),'Withdrawal Working'!$A$2:$CD$78,MATCH('Yoy WAR OG'!$J52,'Withdrawal Working'!$A$2:$A$78,0),0),BR52),0)),IF($K52=VLOOKUP(BR$2,$B:$H,7,0),BR52,)),0)</f>
        <v>0</v>
      </c>
      <c r="BU52" s="58">
        <f t="shared" ca="1" si="59"/>
        <v>0</v>
      </c>
      <c r="BX52" s="450">
        <f t="shared" ca="1" si="36"/>
        <v>0</v>
      </c>
      <c r="BY52" s="58">
        <f ca="1">(VLOOKUP(BX$2,$B$1:$F$32,5,0)*$L52)+(VLOOKUP($K52,'Withdrawal Working'!$AD:$AE,2,0)*(IFERROR(VLOOKUP(BX$2,$B$35:$C$42,2,0),0)))</f>
        <v>0</v>
      </c>
      <c r="BZ52" s="58">
        <f>IFERROR(IF($K52&lt;VLOOKUP(BX$2,$B:$H,7,0),IF(CB$3=1,MIN($M52,BX52),IF(HLOOKUP(CONCATENATE("Balance",CB$3-1),'Withdrawal Working'!$A$2:$CD$78,MATCH('Yoy WAR OG'!$J52,'Withdrawal Working'!$A$2:$A$78,0),FALSE)&gt;0,MIN(HLOOKUP(CONCATENATE("Balance",CB$3-1),'Withdrawal Working'!$A$2:$CD$78,MATCH('Yoy WAR OG'!$J52,'Withdrawal Working'!$A$2:$A$78,0),0),BX52),0)),IF($K52=VLOOKUP(BX$2,$B:$H,7,0),BX52,)),0)</f>
        <v>0</v>
      </c>
      <c r="CA52" s="58">
        <f t="shared" ca="1" si="60"/>
        <v>0</v>
      </c>
      <c r="CD52" s="450">
        <f t="shared" ca="1" si="37"/>
        <v>75243091.257790416</v>
      </c>
      <c r="CE52" s="58">
        <f ca="1">(VLOOKUP(CD$2,$B$1:$F$32,5,0)*$L52)+(VLOOKUP($K52,'Withdrawal Working'!$AD:$AE,2,0)*(IFERROR(VLOOKUP(CD$2,$B$35:$C$42,2,0),0)))+SUMIFS('Key Life Events'!$I$3:$I$28,'Key Life Events'!$H$3:$H$28,"House",'Key Life Events'!$E$3:$E$28,'Yoy WAR OG'!K52)</f>
        <v>0</v>
      </c>
      <c r="CF52" s="58">
        <f>IFERROR(IF($K52&lt;VLOOKUP(CD$2,$B:$H,7,0),IF(CH$3=1,MIN($M52,CD52),IF(HLOOKUP(CONCATENATE("Balance",CH$3-1),'Withdrawal Working'!$A$2:$CD$78,MATCH('Yoy WAR OG'!$J52,'Withdrawal Working'!$A$2:$A$78,0),FALSE)&gt;0,MIN(HLOOKUP(CONCATENATE("Balance",CH$3-1),'Withdrawal Working'!$A$2:$CD$78,MATCH('Yoy WAR OG'!$J52,'Withdrawal Working'!$A$2:$A$78,0),0),CD52),0)),IF($K52=VLOOKUP(CD$2,$B:$H,7,0),CD52,)),0)</f>
        <v>0</v>
      </c>
      <c r="CG52" s="58">
        <f t="shared" ca="1" si="61"/>
        <v>77500383.995524138</v>
      </c>
      <c r="CJ52" s="450">
        <f t="shared" ca="1" si="38"/>
        <v>0</v>
      </c>
      <c r="CK52" s="58">
        <f ca="1">(VLOOKUP(CJ$2,$B$1:$F$32,5,0)*$L52)+(VLOOKUP($K52,'Withdrawal Working'!$AD:$AE,2,0)*(IFERROR(VLOOKUP(CJ$2,$B$35:$C$42,2,0),0)))+SUMIFS('Key Life Events'!$I$3:$I$28,'Key Life Events'!$H$3:$H$28,"House2",'Key Life Events'!$E$3:$E$28,'Yoy WAR OG'!K52)</f>
        <v>0</v>
      </c>
      <c r="CL52" s="58">
        <f ca="1">IF(IFERROR(IF($K52&lt;&gt;VLOOKUP(CJ$2,$B:$H,7,0),IF(CN$3=1,MIN($M52,CJ52),IF(HLOOKUP(CONCATENATE("Balance",CN$3-1),'Withdrawal Working'!$A$2:$CD$78,MATCH('Yoy WAR OG'!$J52,'Withdrawal Working'!$A$2:$A$78,0),FALSE)&gt;0,MIN(HLOOKUP(CONCATENATE("Balance",CN$3-1),'Withdrawal Working'!$A$2:$CD$78,MATCH('Yoy WAR OG'!$J52,'Withdrawal Working'!$A$2:$A$78,0),0),CJ52),0)),IF($K52=VLOOKUP(CJ$2,$B:$H,7,0),CJ52,)),0)&gt;0,CJ52,0)</f>
        <v>0</v>
      </c>
      <c r="CM52" s="58">
        <f t="shared" ca="1" si="62"/>
        <v>0</v>
      </c>
      <c r="CP52" s="450">
        <f t="shared" ca="1" si="39"/>
        <v>26003174.117355309</v>
      </c>
      <c r="CQ52" s="58">
        <f ca="1">(VLOOKUP(CP$2,$B$1:$F$32,5,0)*$L52)+(VLOOKUP($K52,'Withdrawal Working'!$AD:$AE,2,0)*(IFERROR(VLOOKUP(CP$2,$B$35:$C$42,2,0),0)))+SUMIFS('Key Life Events'!$I$3:$I$28,'Key Life Events'!$H$3:$H$28,"Land",'Key Life Events'!$E$3:$E$28,'Yoy WAR OG'!K52)</f>
        <v>0</v>
      </c>
      <c r="CR52" s="58">
        <f>IFERROR(IF($K52&lt;VLOOKUP(CP$2,$B:$H,7,0),IF(CT$3=1,MIN($M52,CP52),IF(HLOOKUP(CONCATENATE("Balance",CT$3-1),'Withdrawal Working'!$A$2:$CD$78,MATCH('Yoy WAR OG'!$J52,'Withdrawal Working'!$A$2:$A$78,0),FALSE)&gt;0,MIN(HLOOKUP(CONCATENATE("Balance",CT$3-1),'Withdrawal Working'!$A$2:$CD$78,MATCH('Yoy WAR OG'!$J52,'Withdrawal Working'!$A$2:$A$78,0),0),CP52),0)),IF($K52=VLOOKUP(CP$2,$B:$H,7,0),CP52,)),0)</f>
        <v>0</v>
      </c>
      <c r="CS52" s="58">
        <f t="shared" ca="1" si="63"/>
        <v>27303332.823223077</v>
      </c>
      <c r="CV52" s="450">
        <f t="shared" ca="1" si="40"/>
        <v>0</v>
      </c>
      <c r="CW52" s="58"/>
      <c r="CX52" s="58">
        <f>IFERROR(IF($K52&lt;VLOOKUP(CV$2,$B:$H,7,0),IF(CZ$3=1,MIN($M52,CV52),IF(HLOOKUP(CONCATENATE("Balance",CZ$3-1),'Withdrawal Working'!$A$2:$CD$78,MATCH('Yoy WAR OG'!$J52,'Withdrawal Working'!$A$2:$A$78,0),FALSE)&gt;0,MIN(HLOOKUP(CONCATENATE("Balance",CZ$3-1),'Withdrawal Working'!$A$2:$CD$78,MATCH('Yoy WAR OG'!$J52,'Withdrawal Working'!$A$2:$A$78,0),0),CV52),0)),IF($K52=VLOOKUP(CV$2,$B:$H,7,0),CV52,)),0)</f>
        <v>0</v>
      </c>
      <c r="CY52" s="58">
        <f t="shared" ca="1" si="64"/>
        <v>0</v>
      </c>
      <c r="DB52" s="450">
        <f t="shared" ca="1" si="41"/>
        <v>0</v>
      </c>
      <c r="DC52" s="58">
        <f ca="1">(VLOOKUP(DB$2,$B$1:$F$32,5,0)*$L52)+(VLOOKUP($K52,'Withdrawal Working'!$AD:$AE,2,0)*(IFERROR(VLOOKUP(DB$2,$B$35:$C$42,2,0),0)))</f>
        <v>0</v>
      </c>
      <c r="DD52" s="58">
        <f>IFERROR(IF($K52&lt;VLOOKUP(DB$2,$B:$H,7,0),IF(DF$3=1,MIN($M52,DB52),IF(HLOOKUP(CONCATENATE("Balance",DF$3-1),'Withdrawal Working'!$A$2:$CD$78,MATCH('Yoy WAR OG'!$J52,'Withdrawal Working'!$A$2:$A$78,0),FALSE)&gt;0,MIN(HLOOKUP(CONCATENATE("Balance",DF$3-1),'Withdrawal Working'!$A$2:$CD$78,MATCH('Yoy WAR OG'!$J52,'Withdrawal Working'!$A$2:$A$78,0),0),DB52),0)),IF($K52=VLOOKUP(DB$2,$B:$H,7,0),DB52,)),0)</f>
        <v>0</v>
      </c>
      <c r="DE52" s="58">
        <f t="shared" ca="1" si="65"/>
        <v>0</v>
      </c>
      <c r="DH52" s="450">
        <f t="shared" ca="1" si="42"/>
        <v>0</v>
      </c>
      <c r="DI52" s="58">
        <f>IF(OR(J52&gt;'NWGC - SCENARIOS'!$D$7,J52='NWGC - SCENARIOS'!$D$7),0,DI51*(1+'NWGC - SCENARIOS'!$L$5))</f>
        <v>0</v>
      </c>
      <c r="DJ52" s="58">
        <f>IFERROR(IF($K52&lt;VLOOKUP(DH$2,$B:$H,7,0),IF(DL$3=1,MIN($M52,DH52),IF(HLOOKUP(CONCATENATE("Balance",DL$3-1),'Withdrawal Working'!$A$2:$CD$78,MATCH('Yoy WAR OG'!$J52,'Withdrawal Working'!$A$2:$A$78,0),FALSE)&gt;0,MIN(HLOOKUP(CONCATENATE("Balance",DL$3-1),'Withdrawal Working'!$A$2:$CD$78,MATCH('Yoy WAR OG'!$J52,'Withdrawal Working'!$A$2:$A$78,0),0),DH52),0)),IF($K52=VLOOKUP(DH$2,$B:$H,7,0),DH52,)),0)</f>
        <v>0</v>
      </c>
      <c r="DK52" s="58">
        <f t="shared" ca="1" si="66"/>
        <v>0</v>
      </c>
      <c r="DN52" s="450">
        <f t="shared" ca="1" si="43"/>
        <v>0</v>
      </c>
      <c r="DO52" s="58">
        <f ca="1">(VLOOKUP(DN$2,$B$1:$F$32,5,0)*$L52)+(VLOOKUP($K52,'Withdrawal Working'!$AD:$AE,2,0)*(IFERROR(VLOOKUP(DN$2,$B$35:$C$42,2,0),0)))</f>
        <v>0</v>
      </c>
      <c r="DP52" s="58">
        <f>IFERROR(IF($K52&lt;VLOOKUP(DN$2,$B:$H,7,0),IF(DR$3=1,MIN($M52,DN52),IF(HLOOKUP(CONCATENATE("Balance",DR$3-1),'Withdrawal Working'!$A$2:$CD$78,MATCH('Yoy WAR OG'!$J52,'Withdrawal Working'!$A$2:$A$78,0),FALSE)&gt;0,MIN(HLOOKUP(CONCATENATE("Balance",DR$3-1),'Withdrawal Working'!$A$2:$CD$78,MATCH('Yoy WAR OG'!$J52,'Withdrawal Working'!$A$2:$A$78,0),0),DN52),0)),IF($K52=VLOOKUP(DN$2,$B:$H,7,0),DN52,)),0)</f>
        <v>0</v>
      </c>
      <c r="DQ52" s="58">
        <f t="shared" ca="1" si="67"/>
        <v>0</v>
      </c>
      <c r="DT52" s="450">
        <f t="shared" ca="1" si="44"/>
        <v>0</v>
      </c>
      <c r="DU52" s="58">
        <f ca="1">(VLOOKUP(DT$2,$B$1:$F$32,5,0)*$L52)+(VLOOKUP($K52,'Withdrawal Working'!$AD:$AE,2,0)*(IFERROR(VLOOKUP(DT$2,$B$35:$C$42,2,0),0)))</f>
        <v>0</v>
      </c>
      <c r="DV52" s="58">
        <f>IFERROR(IF($K52&lt;VLOOKUP(DT$2,$B:$H,7,0),IF(DX$3=1,MIN($M52,DT52),IF(HLOOKUP(CONCATENATE("Balance",DX$3-1),'Withdrawal Working'!$A$2:$CD$78,MATCH('Yoy WAR OG'!$J52,'Withdrawal Working'!$A$2:$A$78,0),FALSE)&gt;0,MIN(HLOOKUP(CONCATENATE("Balance",DX$3-1),'Withdrawal Working'!$A$2:$CD$78,MATCH('Yoy WAR OG'!$J52,'Withdrawal Working'!$A$2:$A$78,0),0),DT52),0)),IF($K52=VLOOKUP(DT$2,$B:$H,7,0),DT52,)),0)</f>
        <v>0</v>
      </c>
      <c r="DW52" s="58">
        <f t="shared" ca="1" si="68"/>
        <v>0</v>
      </c>
      <c r="DZ52" s="450">
        <f t="shared" ca="1" si="45"/>
        <v>0</v>
      </c>
      <c r="EA52" s="58">
        <f ca="1">(VLOOKUP(DZ$2,$B$1:$F$32,5,0)*$L52)+(VLOOKUP($K52,'Withdrawal Working'!$AD:$AE,2,0)*(IFERROR(VLOOKUP(DZ$2,$B$35:$C$42,2,0),0)))</f>
        <v>0</v>
      </c>
      <c r="EB52" s="58">
        <f>IFERROR(IF($K52&lt;VLOOKUP(DZ$2,$B:$H,7,0),IF(ED$3=1,MIN($M52,DZ52),IF(HLOOKUP(CONCATENATE("Balance",ED$3-1),'Withdrawal Working'!$A$2:$CD$78,MATCH('Yoy WAR OG'!$J52,'Withdrawal Working'!$A$2:$A$78,0),FALSE)&gt;0,MIN(HLOOKUP(CONCATENATE("Balance",ED$3-1),'Withdrawal Working'!$A$2:$CD$78,MATCH('Yoy WAR OG'!$J52,'Withdrawal Working'!$A$2:$A$78,0),0),DZ52),0)),IF($K52=VLOOKUP(DZ$2,$B:$H,7,0),DZ52,)),0)</f>
        <v>0</v>
      </c>
      <c r="EC52" s="58">
        <f t="shared" ca="1" si="69"/>
        <v>0</v>
      </c>
      <c r="EF52" s="450">
        <f t="shared" ca="1" si="46"/>
        <v>0</v>
      </c>
      <c r="EG52" s="58">
        <f ca="1">(VLOOKUP(EF$2,$B$1:$F$32,5,0)*$L52)+(VLOOKUP($K52,'Withdrawal Working'!$AD:$AE,2,0)*(IFERROR(VLOOKUP(EF$2,$B$35:$C$42,2,0),0)))</f>
        <v>0</v>
      </c>
      <c r="EH52" s="58">
        <f>IFERROR(IF($K52&lt;VLOOKUP(EF$2,$B:$H,7,0),IF(EJ$3=1,MIN($M52,EF52),IF(HLOOKUP(CONCATENATE("Balance",EJ$3-1),'Withdrawal Working'!$A$2:$CD$78,MATCH('Yoy WAR OG'!$J52,'Withdrawal Working'!$A$2:$A$78,0),FALSE)&gt;0,MIN(HLOOKUP(CONCATENATE("Balance",EJ$3-1),'Withdrawal Working'!$A$2:$CD$78,MATCH('Yoy WAR OG'!$J52,'Withdrawal Working'!$A$2:$A$78,0),0),EF52),0)),IF($K52=VLOOKUP(EF$2,$B:$H,7,0),EF52,)),0)</f>
        <v>0</v>
      </c>
      <c r="EI52" s="58">
        <f t="shared" ca="1" si="70"/>
        <v>0</v>
      </c>
      <c r="EL52" s="450">
        <f t="shared" ca="1" si="47"/>
        <v>0</v>
      </c>
      <c r="EM52" s="58">
        <f>IF(OR($J52&gt;'NWGC - SCENARIOS'!$D$7,$J52='NWGC - SCENARIOS'!$D$7),0,EM51)</f>
        <v>0</v>
      </c>
      <c r="EN52" s="58">
        <f>IFERROR(IF($K52&lt;VLOOKUP(EL$2,$B:$H,7,0),IF(EP$3=1,MIN($M52,EL52),IF(HLOOKUP(CONCATENATE("Balance",EP$3-1),'Withdrawal Working'!$A$2:$CD$78,MATCH('Yoy WAR OG'!$J52,'Withdrawal Working'!$A$2:$A$78,0),FALSE)&gt;0,MIN(HLOOKUP(CONCATENATE("Balance",EP$3-1),'Withdrawal Working'!$A$2:$CD$78,MATCH('Yoy WAR OG'!$J52,'Withdrawal Working'!$A$2:$A$78,0),0),EL52),0)),IF($K52=VLOOKUP(EL$2,$B:$H,7,0),EL52,)),0)</f>
        <v>0</v>
      </c>
      <c r="EO52" s="58">
        <f t="shared" ca="1" si="71"/>
        <v>0</v>
      </c>
      <c r="ER52" s="450">
        <f t="shared" ca="1" si="48"/>
        <v>0</v>
      </c>
      <c r="ES52" s="58">
        <f>IF(OR(J52&gt;'NWGC - SCENARIOS'!$D$7,J52='NWGC - SCENARIOS'!$D$7),0,ES51*(1+'NWGC - SCENARIOS'!$L$5))</f>
        <v>0</v>
      </c>
      <c r="ET52" s="58">
        <f>IFERROR(IF($K52&lt;VLOOKUP(ER$2,$B:$H,7,0),IF(EV$3=1,MIN($M52,ER52),IF(HLOOKUP(CONCATENATE("Balance",EV$3-1),'Withdrawal Working'!$A$2:$CD$78,MATCH('Yoy WAR OG'!$J52,'Withdrawal Working'!$A$2:$A$78,0),FALSE)&gt;0,MIN(HLOOKUP(CONCATENATE("Balance",EV$3-1),'Withdrawal Working'!$A$2:$CD$78,MATCH('Yoy WAR OG'!$J52,'Withdrawal Working'!$A$2:$A$78,0),0),ER52),0)),IF($K52=VLOOKUP(ER$2,$B:$H,7,0),ER52,)),0)</f>
        <v>0</v>
      </c>
      <c r="EU52" s="58">
        <f t="shared" ca="1" si="72"/>
        <v>0</v>
      </c>
      <c r="EX52" s="450">
        <f t="shared" ca="1" si="49"/>
        <v>0</v>
      </c>
      <c r="EY52" s="58">
        <f>IF(OR(J52&gt;'NWGC - SCENARIOS'!$D$7,J52='NWGC - SCENARIOS'!$D$7),0,EY51)</f>
        <v>0</v>
      </c>
      <c r="EZ52" s="58">
        <f>IFERROR(IF($K52&lt;VLOOKUP(EX$2,$B:$H,7,0),IF(FB$3=1,MIN($M52,EX52),IF(HLOOKUP(CONCATENATE("Balance",FB$3-1),'Withdrawal Working'!$A$2:$CD$78,MATCH('Yoy WAR OG'!$J52,'Withdrawal Working'!$A$2:$A$78,0),FALSE)&gt;0,MIN(HLOOKUP(CONCATENATE("Balance",FB$3-1),'Withdrawal Working'!$A$2:$CD$78,MATCH('Yoy WAR OG'!$J52,'Withdrawal Working'!$A$2:$A$78,0),0),EX52),0)),IF($K52=VLOOKUP(EX$2,$B:$H,7,0),EX52,)),0)</f>
        <v>0</v>
      </c>
      <c r="FA52" s="58">
        <f t="shared" ca="1" si="73"/>
        <v>0</v>
      </c>
    </row>
    <row r="53" spans="10:157" x14ac:dyDescent="0.3">
      <c r="J53">
        <f>IFERROR('NWGC - SCENARIOS'!B60,0)</f>
        <v>98</v>
      </c>
      <c r="K53">
        <f>IFERROR('NWGC - SCENARIOS'!C60,0)</f>
        <v>2074</v>
      </c>
      <c r="L53" s="449">
        <f ca="1">IF(('NWGC - SCENARIOS'!G60-working!G51)&gt;'NWGC - SCENARIOS'!H60,'NWGC - SCENARIOS'!G60-'NWGC - SCENARIOS'!H60-working!G51,0)</f>
        <v>0</v>
      </c>
      <c r="M53" s="449">
        <f ca="1">IF(('NWGC - SCENARIOS'!G60-working!G51)&gt;'NWGC - SCENARIOS'!H60,0,'NWGC - SCENARIOS'!H60-'NWGC - SCENARIOS'!G60+working!G51)</f>
        <v>95943968.274092555</v>
      </c>
      <c r="N53" s="58">
        <f t="shared" ca="1" si="50"/>
        <v>635272223.83194721</v>
      </c>
      <c r="O53" s="58">
        <f t="shared" ca="1" si="51"/>
        <v>226321995.23205969</v>
      </c>
      <c r="P53" s="58">
        <f t="shared" ca="1" si="74"/>
        <v>0</v>
      </c>
      <c r="Q53" s="58">
        <f ca="1">(VLOOKUP(P$2,$B$1:$F$32,5,0)*$L53)+(VLOOKUP($K53,'Withdrawal Working'!$AD:$AE,2,0)*(IFERROR(VLOOKUP(P$2,$B$35:$C$42,2,0),0)))</f>
        <v>0</v>
      </c>
      <c r="R53" s="58">
        <f>IFERROR(IF($K53&lt;VLOOKUP(P$2,$B:$H,7,0),IF(T$3=1,MIN($M53,P53),IF(HLOOKUP(CONCATENATE("Balance",T$3-1),'Withdrawal Working'!$A$2:$CD$78,MATCH('Yoy WAR OG'!$J53,'Withdrawal Working'!$A$2:$A$78,0),FALSE)&gt;0,MIN(HLOOKUP(CONCATENATE("Balance",T$3-1),'Withdrawal Working'!$A$2:$CD$78,MATCH('Yoy WAR OG'!$J53,'Withdrawal Working'!$A$2:$A$78,0),0),P53),0)),IF($K53=VLOOKUP(P$2,$B:$H,7,0),P53,)),0)</f>
        <v>0</v>
      </c>
      <c r="S53" s="58">
        <f t="shared" ca="1" si="75"/>
        <v>0</v>
      </c>
      <c r="T53" s="58"/>
      <c r="V53" s="58">
        <f t="shared" ca="1" si="27"/>
        <v>0</v>
      </c>
      <c r="W53" s="58">
        <f ca="1">(VLOOKUP(V$2,$B$1:$F$32,5,0)*$L53)+(VLOOKUP($K53,'Withdrawal Working'!$AD:$AE,2,0)*(IFERROR(VLOOKUP(V$2,$B$35:$C$42,2,0),0)))</f>
        <v>0</v>
      </c>
      <c r="X53" s="58">
        <f>IFERROR(IF($K53&lt;VLOOKUP(V$2,$B:$H,7,0),IF(Z$3=1,MIN($M53,V53),IF(HLOOKUP(CONCATENATE("Balance",Z$3-1),'Withdrawal Working'!$A$2:$CD$78,MATCH('Yoy WAR OG'!$J53,'Withdrawal Working'!$A$2:$A$78,0),FALSE)&gt;0,MIN(HLOOKUP(CONCATENATE("Balance",Z$3-1),'Withdrawal Working'!$A$2:$CD$78,MATCH('Yoy WAR OG'!$J53,'Withdrawal Working'!$A$2:$A$78,0),0),V53),0)),IF($K53=VLOOKUP(V$2,$B:$H,7,0),V53,)),0)</f>
        <v>0</v>
      </c>
      <c r="Y53" s="58">
        <f t="shared" ca="1" si="52"/>
        <v>0</v>
      </c>
      <c r="AB53" s="58">
        <f t="shared" ca="1" si="28"/>
        <v>0</v>
      </c>
      <c r="AC53" s="58">
        <f ca="1">(VLOOKUP(AB$2,$B$1:$F$32,5,0)*$L53)+(VLOOKUP($K53,'Withdrawal Working'!$AD:$AE,2,0)*(IFERROR(VLOOKUP(AB$2,$B$35:$C$42,2,0),0)))</f>
        <v>0</v>
      </c>
      <c r="AE53" s="58">
        <f t="shared" ca="1" si="53"/>
        <v>0</v>
      </c>
      <c r="AH53" s="58">
        <f t="shared" ca="1" si="29"/>
        <v>0</v>
      </c>
      <c r="AI53" s="58">
        <f ca="1">(VLOOKUP(AH$2,$B$1:$F$32,5,0)*$L53)+IF(J53&gt;'NWGC - SCENARIOS'!$D$7,0,(VLOOKUP($K53,'Withdrawal Working'!$AD:$AE,2,0)*(IFERROR(VLOOKUP(AH$2,$B$35:$C$42,2,0),0))))</f>
        <v>0</v>
      </c>
      <c r="AJ53" s="58">
        <f ca="1">IFERROR(IF($J53&gt;'NWGC - SCENARIOS'!$D$7,MIN('Yoy WAR OG'!AH53,VLOOKUP('Yoy WAR OG'!$J53,'Withdrawal Working'!BC:BD,2,0)),IF(AL$3=1,$M53,IF(HLOOKUP(CONCATENATE("Balance",AL$3-1),'Withdrawal Working'!$A$2:$CD$78,MATCH('Yoy WAR OG'!$J53,'Withdrawal Working'!$A$2:$A$78,0),FALSE)&gt;0,MIN(HLOOKUP(CONCATENATE("Balance",AL$3-1),'Withdrawal Working'!$A$2:$CD$78,MATCH('Yoy WAR OG'!$J53,'Withdrawal Working'!$A$2:$A$78,0),0),AH53),0))),0)</f>
        <v>0</v>
      </c>
      <c r="AK53" s="58">
        <f t="shared" ca="1" si="54"/>
        <v>0</v>
      </c>
      <c r="AN53" s="450">
        <f t="shared" ca="1" si="30"/>
        <v>698097734.93944538</v>
      </c>
      <c r="AO53" s="58">
        <f ca="1">IF(J53&gt;'NWGC - SCENARIOS'!$D$7,(IF(AJ53=0,0,'Yoy WAR OG'!AJ53)+(VLOOKUP(AN$2,$B$1:$F$32,5,0)*$L53)),(VLOOKUP(AN$2,$B$1:$F$32,5,0)*$L53)+(VLOOKUP($K53,'Withdrawal Working'!$AD:$AE,2,0)*(IFERROR(VLOOKUP(AN$2,$B$35:$C$42,2,0),0))))</f>
        <v>0</v>
      </c>
      <c r="AP53" s="470">
        <f ca="1">IFERROR(IF($K53&lt;&gt;VLOOKUP(AN$2,$B:$H,7,0),IF(AR$3=1,MIN($M53,AN53),IF(HLOOKUP(CONCATENATE("Balance",AR$3-1),'Withdrawal Working'!$A$2:$CD$78,MATCH('Yoy WAR OG'!$J53,'Withdrawal Working'!$A$2:$A$78,0),FALSE)&gt;0,MIN(HLOOKUP(CONCATENATE("Balance",AR$3-1),'Withdrawal Working'!$A$2:$CD$78,MATCH('Yoy WAR OG'!$J53,'Withdrawal Working'!$A$2:$A$78,0),0),AN53),0)),IF($K53=VLOOKUP(AN$2,$B:$H,7,0),AN53,)),0)</f>
        <v>95943968.274092555</v>
      </c>
      <c r="AQ53" s="58">
        <f ca="1">IF(AO53&lt;0,0,IF(J53&gt;'NWGC - SCENARIOS'!$D$7,((AN53-AP53+AO53)*(1+(IFERROR(VLOOKUP(AN$2,$B:$D,3,0),0)))),((AN53-AP53)*(1+(IFERROR(VLOOKUP(AN$2,$B:$D,3,0),0))))+AO53))</f>
        <v>635272223.83194721</v>
      </c>
      <c r="AT53" s="450">
        <f t="shared" ca="1" si="31"/>
        <v>0</v>
      </c>
      <c r="AU53" s="58">
        <f ca="1">(VLOOKUP(AT$2,$B$1:$F$32,5,0)*$L53)+(VLOOKUP($K53,'Withdrawal Working'!$AD:$AE,2,0)*(IFERROR(VLOOKUP(AT$2,$B$35:$C$42,2,0),0)))</f>
        <v>0</v>
      </c>
      <c r="AV53" s="58">
        <f>IFERROR(IF($K53&lt;VLOOKUP(AT$2,$B:$H,7,0),IF(AX$3=1,MIN($M53,AT53),IF(HLOOKUP(CONCATENATE("Balance",AX$3-1),'Withdrawal Working'!$A$2:$CD$78,MATCH('Yoy WAR OG'!$J53,'Withdrawal Working'!$A$2:$A$78,0),FALSE)&gt;0,MIN(HLOOKUP(CONCATENATE("Balance",AX$3-1),'Withdrawal Working'!$A$2:$CD$78,MATCH('Yoy WAR OG'!$J53,'Withdrawal Working'!$A$2:$A$78,0),0),AT53),0)),IF($K53=VLOOKUP(AT$2,$B:$H,7,0),AT53,)),0)</f>
        <v>0</v>
      </c>
      <c r="AW53" s="58">
        <f t="shared" ca="1" si="55"/>
        <v>0</v>
      </c>
      <c r="AZ53" s="450">
        <f t="shared" ca="1" si="32"/>
        <v>110119719.86194915</v>
      </c>
      <c r="BA53" s="58">
        <f ca="1">(VLOOKUP(AZ$2,$B$1:$F$32,5,0)*$L53)+(VLOOKUP($K53,'Withdrawal Working'!$AD:$AE,2,0)*(IFERROR(VLOOKUP(AZ$2,$B$35:$C$42,2,0),0)))</f>
        <v>0</v>
      </c>
      <c r="BB53" s="58">
        <f>IFERROR(IF($K53&lt;VLOOKUP(AZ$2,$B:$H,7,0),IF(BD$3=1,MIN($M53,AZ53),IF(HLOOKUP(CONCATENATE("Balance",BD$3-1),'Withdrawal Working'!$A$2:$CD$78,MATCH('Yoy WAR OG'!$J53,'Withdrawal Working'!$A$2:$A$78,0),FALSE)&gt;0,MIN(HLOOKUP(CONCATENATE("Balance",BD$3-1),'Withdrawal Working'!$A$2:$CD$78,MATCH('Yoy WAR OG'!$J53,'Withdrawal Working'!$A$2:$A$78,0),0),AZ53),0)),IF($K53=VLOOKUP(AZ$2,$B:$H,7,0),AZ53,)),0)</f>
        <v>0</v>
      </c>
      <c r="BC53" s="58">
        <f t="shared" ca="1" si="56"/>
        <v>117828100.2522856</v>
      </c>
      <c r="BF53" s="450">
        <f t="shared" ca="1" si="33"/>
        <v>0</v>
      </c>
      <c r="BG53" s="58">
        <f ca="1">(VLOOKUP(BF$2,$B$1:$F$32,5,0)*$L53)+(VLOOKUP($K53,'Withdrawal Working'!$AD:$AE,2,0)*(IFERROR(VLOOKUP(BF$2,$B$35:$C$42,2,0),0)))</f>
        <v>0</v>
      </c>
      <c r="BH53" s="58">
        <f>IFERROR(IF($K53&lt;VLOOKUP(BF$2,$B:$H,7,0),IF(BJ$3=1,MIN($M53,BF53),IF(HLOOKUP(CONCATENATE("Balance",BJ$3-1),'Withdrawal Working'!$A$2:$CD$78,MATCH('Yoy WAR OG'!$J53,'Withdrawal Working'!$A$2:$A$78,0),FALSE)&gt;0,MIN(HLOOKUP(CONCATENATE("Balance",BJ$3-1),'Withdrawal Working'!$A$2:$CD$78,MATCH('Yoy WAR OG'!$J53,'Withdrawal Working'!$A$2:$A$78,0),0),BF53),0)),IF($K53=VLOOKUP(BF$2,$B:$H,7,0),BF53,)),0)</f>
        <v>0</v>
      </c>
      <c r="BI53" s="58">
        <f t="shared" ca="1" si="57"/>
        <v>0</v>
      </c>
      <c r="BL53" s="450">
        <f t="shared" ca="1" si="34"/>
        <v>0</v>
      </c>
      <c r="BM53" s="58">
        <f ca="1">(VLOOKUP(BL$2,$B$1:$F$32,5,0)*$L53)+(VLOOKUP($K53,'Withdrawal Working'!$AD:$AE,2,0)*(IFERROR(VLOOKUP(BL$2,$B$35:$C$42,2,0),0)))</f>
        <v>0</v>
      </c>
      <c r="BN53" s="58">
        <f>IFERROR(IF($K53&lt;VLOOKUP(BL$2,$B:$H,7,0),IF(BP$3=1,MIN($M53,BL53),IF(HLOOKUP(CONCATENATE("Balance",BP$3-1),'Withdrawal Working'!$A$2:$CD$78,MATCH('Yoy WAR OG'!$J53,'Withdrawal Working'!$A$2:$A$78,0),FALSE)&gt;0,MIN(HLOOKUP(CONCATENATE("Balance",BP$3-1),'Withdrawal Working'!$A$2:$CD$78,MATCH('Yoy WAR OG'!$J53,'Withdrawal Working'!$A$2:$A$78,0),0),BL53),0)),IF($K53=VLOOKUP(BL$2,$B:$H,7,0),BL53,)),0)</f>
        <v>0</v>
      </c>
      <c r="BO53" s="58">
        <f t="shared" ca="1" si="58"/>
        <v>0</v>
      </c>
      <c r="BR53" s="450">
        <f t="shared" ca="1" si="35"/>
        <v>0</v>
      </c>
      <c r="BS53" s="58">
        <f ca="1">(VLOOKUP(BR$2,$B$1:$F$32,5,0)*$L53)+(VLOOKUP($K53,'Withdrawal Working'!$AD:$AE,2,0)*(IFERROR(VLOOKUP(BR$2,$B$35:$C$42,2,0),0)))</f>
        <v>0</v>
      </c>
      <c r="BT53" s="58">
        <f>IFERROR(IF($K53&lt;VLOOKUP(BR$2,$B:$H,7,0),IF(BV$3=1,MIN($M53,BR53),IF(HLOOKUP(CONCATENATE("Balance",BV$3-1),'Withdrawal Working'!$A$2:$CD$78,MATCH('Yoy WAR OG'!$J53,'Withdrawal Working'!$A$2:$A$78,0),FALSE)&gt;0,MIN(HLOOKUP(CONCATENATE("Balance",BV$3-1),'Withdrawal Working'!$A$2:$CD$78,MATCH('Yoy WAR OG'!$J53,'Withdrawal Working'!$A$2:$A$78,0),0),BR53),0)),IF($K53=VLOOKUP(BR$2,$B:$H,7,0),BR53,)),0)</f>
        <v>0</v>
      </c>
      <c r="BU53" s="58">
        <f t="shared" ca="1" si="59"/>
        <v>0</v>
      </c>
      <c r="BX53" s="450">
        <f t="shared" ca="1" si="36"/>
        <v>0</v>
      </c>
      <c r="BY53" s="58">
        <f ca="1">(VLOOKUP(BX$2,$B$1:$F$32,5,0)*$L53)+(VLOOKUP($K53,'Withdrawal Working'!$AD:$AE,2,0)*(IFERROR(VLOOKUP(BX$2,$B$35:$C$42,2,0),0)))</f>
        <v>0</v>
      </c>
      <c r="BZ53" s="58">
        <f>IFERROR(IF($K53&lt;VLOOKUP(BX$2,$B:$H,7,0),IF(CB$3=1,MIN($M53,BX53),IF(HLOOKUP(CONCATENATE("Balance",CB$3-1),'Withdrawal Working'!$A$2:$CD$78,MATCH('Yoy WAR OG'!$J53,'Withdrawal Working'!$A$2:$A$78,0),FALSE)&gt;0,MIN(HLOOKUP(CONCATENATE("Balance",CB$3-1),'Withdrawal Working'!$A$2:$CD$78,MATCH('Yoy WAR OG'!$J53,'Withdrawal Working'!$A$2:$A$78,0),0),BX53),0)),IF($K53=VLOOKUP(BX$2,$B:$H,7,0),BX53,)),0)</f>
        <v>0</v>
      </c>
      <c r="CA53" s="58">
        <f t="shared" ca="1" si="60"/>
        <v>0</v>
      </c>
      <c r="CD53" s="450">
        <f t="shared" ca="1" si="37"/>
        <v>77500383.995524138</v>
      </c>
      <c r="CE53" s="58">
        <f ca="1">(VLOOKUP(CD$2,$B$1:$F$32,5,0)*$L53)+(VLOOKUP($K53,'Withdrawal Working'!$AD:$AE,2,0)*(IFERROR(VLOOKUP(CD$2,$B$35:$C$42,2,0),0)))+SUMIFS('Key Life Events'!$I$3:$I$28,'Key Life Events'!$H$3:$H$28,"House",'Key Life Events'!$E$3:$E$28,'Yoy WAR OG'!K53)</f>
        <v>0</v>
      </c>
      <c r="CF53" s="58">
        <f>IFERROR(IF($K53&lt;VLOOKUP(CD$2,$B:$H,7,0),IF(CH$3=1,MIN($M53,CD53),IF(HLOOKUP(CONCATENATE("Balance",CH$3-1),'Withdrawal Working'!$A$2:$CD$78,MATCH('Yoy WAR OG'!$J53,'Withdrawal Working'!$A$2:$A$78,0),FALSE)&gt;0,MIN(HLOOKUP(CONCATENATE("Balance",CH$3-1),'Withdrawal Working'!$A$2:$CD$78,MATCH('Yoy WAR OG'!$J53,'Withdrawal Working'!$A$2:$A$78,0),0),CD53),0)),IF($K53=VLOOKUP(CD$2,$B:$H,7,0),CD53,)),0)</f>
        <v>0</v>
      </c>
      <c r="CG53" s="58">
        <f t="shared" ca="1" si="61"/>
        <v>79825395.51538986</v>
      </c>
      <c r="CJ53" s="450">
        <f t="shared" ca="1" si="38"/>
        <v>0</v>
      </c>
      <c r="CK53" s="58">
        <f ca="1">(VLOOKUP(CJ$2,$B$1:$F$32,5,0)*$L53)+(VLOOKUP($K53,'Withdrawal Working'!$AD:$AE,2,0)*(IFERROR(VLOOKUP(CJ$2,$B$35:$C$42,2,0),0)))+SUMIFS('Key Life Events'!$I$3:$I$28,'Key Life Events'!$H$3:$H$28,"House2",'Key Life Events'!$E$3:$E$28,'Yoy WAR OG'!K53)</f>
        <v>0</v>
      </c>
      <c r="CL53" s="58">
        <f ca="1">IF(IFERROR(IF($K53&lt;&gt;VLOOKUP(CJ$2,$B:$H,7,0),IF(CN$3=1,MIN($M53,CJ53),IF(HLOOKUP(CONCATENATE("Balance",CN$3-1),'Withdrawal Working'!$A$2:$CD$78,MATCH('Yoy WAR OG'!$J53,'Withdrawal Working'!$A$2:$A$78,0),FALSE)&gt;0,MIN(HLOOKUP(CONCATENATE("Balance",CN$3-1),'Withdrawal Working'!$A$2:$CD$78,MATCH('Yoy WAR OG'!$J53,'Withdrawal Working'!$A$2:$A$78,0),0),CJ53),0)),IF($K53=VLOOKUP(CJ$2,$B:$H,7,0),CJ53,)),0)&gt;0,CJ53,0)</f>
        <v>0</v>
      </c>
      <c r="CM53" s="58">
        <f t="shared" ca="1" si="62"/>
        <v>0</v>
      </c>
      <c r="CP53" s="450">
        <f t="shared" ca="1" si="39"/>
        <v>27303332.823223077</v>
      </c>
      <c r="CQ53" s="58">
        <f ca="1">(VLOOKUP(CP$2,$B$1:$F$32,5,0)*$L53)+(VLOOKUP($K53,'Withdrawal Working'!$AD:$AE,2,0)*(IFERROR(VLOOKUP(CP$2,$B$35:$C$42,2,0),0)))+SUMIFS('Key Life Events'!$I$3:$I$28,'Key Life Events'!$H$3:$H$28,"Land",'Key Life Events'!$E$3:$E$28,'Yoy WAR OG'!K53)</f>
        <v>0</v>
      </c>
      <c r="CR53" s="58">
        <f>IFERROR(IF($K53&lt;VLOOKUP(CP$2,$B:$H,7,0),IF(CT$3=1,MIN($M53,CP53),IF(HLOOKUP(CONCATENATE("Balance",CT$3-1),'Withdrawal Working'!$A$2:$CD$78,MATCH('Yoy WAR OG'!$J53,'Withdrawal Working'!$A$2:$A$78,0),FALSE)&gt;0,MIN(HLOOKUP(CONCATENATE("Balance",CT$3-1),'Withdrawal Working'!$A$2:$CD$78,MATCH('Yoy WAR OG'!$J53,'Withdrawal Working'!$A$2:$A$78,0),0),CP53),0)),IF($K53=VLOOKUP(CP$2,$B:$H,7,0),CP53,)),0)</f>
        <v>0</v>
      </c>
      <c r="CS53" s="58">
        <f t="shared" ca="1" si="63"/>
        <v>28668499.464384232</v>
      </c>
      <c r="CV53" s="450">
        <f t="shared" ca="1" si="40"/>
        <v>0</v>
      </c>
      <c r="CW53" s="58"/>
      <c r="CX53" s="58">
        <f>IFERROR(IF($K53&lt;VLOOKUP(CV$2,$B:$H,7,0),IF(CZ$3=1,MIN($M53,CV53),IF(HLOOKUP(CONCATENATE("Balance",CZ$3-1),'Withdrawal Working'!$A$2:$CD$78,MATCH('Yoy WAR OG'!$J53,'Withdrawal Working'!$A$2:$A$78,0),FALSE)&gt;0,MIN(HLOOKUP(CONCATENATE("Balance",CZ$3-1),'Withdrawal Working'!$A$2:$CD$78,MATCH('Yoy WAR OG'!$J53,'Withdrawal Working'!$A$2:$A$78,0),0),CV53),0)),IF($K53=VLOOKUP(CV$2,$B:$H,7,0),CV53,)),0)</f>
        <v>0</v>
      </c>
      <c r="CY53" s="58">
        <f t="shared" ca="1" si="64"/>
        <v>0</v>
      </c>
      <c r="DB53" s="450">
        <f t="shared" ca="1" si="41"/>
        <v>0</v>
      </c>
      <c r="DC53" s="58">
        <f ca="1">(VLOOKUP(DB$2,$B$1:$F$32,5,0)*$L53)+(VLOOKUP($K53,'Withdrawal Working'!$AD:$AE,2,0)*(IFERROR(VLOOKUP(DB$2,$B$35:$C$42,2,0),0)))</f>
        <v>0</v>
      </c>
      <c r="DD53" s="58">
        <f>IFERROR(IF($K53&lt;VLOOKUP(DB$2,$B:$H,7,0),IF(DF$3=1,MIN($M53,DB53),IF(HLOOKUP(CONCATENATE("Balance",DF$3-1),'Withdrawal Working'!$A$2:$CD$78,MATCH('Yoy WAR OG'!$J53,'Withdrawal Working'!$A$2:$A$78,0),FALSE)&gt;0,MIN(HLOOKUP(CONCATENATE("Balance",DF$3-1),'Withdrawal Working'!$A$2:$CD$78,MATCH('Yoy WAR OG'!$J53,'Withdrawal Working'!$A$2:$A$78,0),0),DB53),0)),IF($K53=VLOOKUP(DB$2,$B:$H,7,0),DB53,)),0)</f>
        <v>0</v>
      </c>
      <c r="DE53" s="58">
        <f t="shared" ca="1" si="65"/>
        <v>0</v>
      </c>
      <c r="DH53" s="450">
        <f t="shared" ca="1" si="42"/>
        <v>0</v>
      </c>
      <c r="DI53" s="58">
        <f>IF(OR(J53&gt;'NWGC - SCENARIOS'!$D$7,J53='NWGC - SCENARIOS'!$D$7),0,DI52*(1+'NWGC - SCENARIOS'!$L$5))</f>
        <v>0</v>
      </c>
      <c r="DJ53" s="58">
        <f>IFERROR(IF($K53&lt;VLOOKUP(DH$2,$B:$H,7,0),IF(DL$3=1,MIN($M53,DH53),IF(HLOOKUP(CONCATENATE("Balance",DL$3-1),'Withdrawal Working'!$A$2:$CD$78,MATCH('Yoy WAR OG'!$J53,'Withdrawal Working'!$A$2:$A$78,0),FALSE)&gt;0,MIN(HLOOKUP(CONCATENATE("Balance",DL$3-1),'Withdrawal Working'!$A$2:$CD$78,MATCH('Yoy WAR OG'!$J53,'Withdrawal Working'!$A$2:$A$78,0),0),DH53),0)),IF($K53=VLOOKUP(DH$2,$B:$H,7,0),DH53,)),0)</f>
        <v>0</v>
      </c>
      <c r="DK53" s="58">
        <f t="shared" ca="1" si="66"/>
        <v>0</v>
      </c>
      <c r="DN53" s="450">
        <f t="shared" ca="1" si="43"/>
        <v>0</v>
      </c>
      <c r="DO53" s="58">
        <f ca="1">(VLOOKUP(DN$2,$B$1:$F$32,5,0)*$L53)+(VLOOKUP($K53,'Withdrawal Working'!$AD:$AE,2,0)*(IFERROR(VLOOKUP(DN$2,$B$35:$C$42,2,0),0)))</f>
        <v>0</v>
      </c>
      <c r="DP53" s="58">
        <f>IFERROR(IF($K53&lt;VLOOKUP(DN$2,$B:$H,7,0),IF(DR$3=1,MIN($M53,DN53),IF(HLOOKUP(CONCATENATE("Balance",DR$3-1),'Withdrawal Working'!$A$2:$CD$78,MATCH('Yoy WAR OG'!$J53,'Withdrawal Working'!$A$2:$A$78,0),FALSE)&gt;0,MIN(HLOOKUP(CONCATENATE("Balance",DR$3-1),'Withdrawal Working'!$A$2:$CD$78,MATCH('Yoy WAR OG'!$J53,'Withdrawal Working'!$A$2:$A$78,0),0),DN53),0)),IF($K53=VLOOKUP(DN$2,$B:$H,7,0),DN53,)),0)</f>
        <v>0</v>
      </c>
      <c r="DQ53" s="58">
        <f t="shared" ca="1" si="67"/>
        <v>0</v>
      </c>
      <c r="DT53" s="450">
        <f t="shared" ca="1" si="44"/>
        <v>0</v>
      </c>
      <c r="DU53" s="58">
        <f ca="1">(VLOOKUP(DT$2,$B$1:$F$32,5,0)*$L53)+(VLOOKUP($K53,'Withdrawal Working'!$AD:$AE,2,0)*(IFERROR(VLOOKUP(DT$2,$B$35:$C$42,2,0),0)))</f>
        <v>0</v>
      </c>
      <c r="DV53" s="58">
        <f>IFERROR(IF($K53&lt;VLOOKUP(DT$2,$B:$H,7,0),IF(DX$3=1,MIN($M53,DT53),IF(HLOOKUP(CONCATENATE("Balance",DX$3-1),'Withdrawal Working'!$A$2:$CD$78,MATCH('Yoy WAR OG'!$J53,'Withdrawal Working'!$A$2:$A$78,0),FALSE)&gt;0,MIN(HLOOKUP(CONCATENATE("Balance",DX$3-1),'Withdrawal Working'!$A$2:$CD$78,MATCH('Yoy WAR OG'!$J53,'Withdrawal Working'!$A$2:$A$78,0),0),DT53),0)),IF($K53=VLOOKUP(DT$2,$B:$H,7,0),DT53,)),0)</f>
        <v>0</v>
      </c>
      <c r="DW53" s="58">
        <f t="shared" ca="1" si="68"/>
        <v>0</v>
      </c>
      <c r="DZ53" s="450">
        <f t="shared" ca="1" si="45"/>
        <v>0</v>
      </c>
      <c r="EA53" s="58">
        <f ca="1">(VLOOKUP(DZ$2,$B$1:$F$32,5,0)*$L53)+(VLOOKUP($K53,'Withdrawal Working'!$AD:$AE,2,0)*(IFERROR(VLOOKUP(DZ$2,$B$35:$C$42,2,0),0)))</f>
        <v>0</v>
      </c>
      <c r="EB53" s="58">
        <f>IFERROR(IF($K53&lt;VLOOKUP(DZ$2,$B:$H,7,0),IF(ED$3=1,MIN($M53,DZ53),IF(HLOOKUP(CONCATENATE("Balance",ED$3-1),'Withdrawal Working'!$A$2:$CD$78,MATCH('Yoy WAR OG'!$J53,'Withdrawal Working'!$A$2:$A$78,0),FALSE)&gt;0,MIN(HLOOKUP(CONCATENATE("Balance",ED$3-1),'Withdrawal Working'!$A$2:$CD$78,MATCH('Yoy WAR OG'!$J53,'Withdrawal Working'!$A$2:$A$78,0),0),DZ53),0)),IF($K53=VLOOKUP(DZ$2,$B:$H,7,0),DZ53,)),0)</f>
        <v>0</v>
      </c>
      <c r="EC53" s="58">
        <f t="shared" ca="1" si="69"/>
        <v>0</v>
      </c>
      <c r="EF53" s="450">
        <f t="shared" ca="1" si="46"/>
        <v>0</v>
      </c>
      <c r="EG53" s="58">
        <f ca="1">(VLOOKUP(EF$2,$B$1:$F$32,5,0)*$L53)+(VLOOKUP($K53,'Withdrawal Working'!$AD:$AE,2,0)*(IFERROR(VLOOKUP(EF$2,$B$35:$C$42,2,0),0)))</f>
        <v>0</v>
      </c>
      <c r="EH53" s="58">
        <f>IFERROR(IF($K53&lt;VLOOKUP(EF$2,$B:$H,7,0),IF(EJ$3=1,MIN($M53,EF53),IF(HLOOKUP(CONCATENATE("Balance",EJ$3-1),'Withdrawal Working'!$A$2:$CD$78,MATCH('Yoy WAR OG'!$J53,'Withdrawal Working'!$A$2:$A$78,0),FALSE)&gt;0,MIN(HLOOKUP(CONCATENATE("Balance",EJ$3-1),'Withdrawal Working'!$A$2:$CD$78,MATCH('Yoy WAR OG'!$J53,'Withdrawal Working'!$A$2:$A$78,0),0),EF53),0)),IF($K53=VLOOKUP(EF$2,$B:$H,7,0),EF53,)),0)</f>
        <v>0</v>
      </c>
      <c r="EI53" s="58">
        <f t="shared" ca="1" si="70"/>
        <v>0</v>
      </c>
      <c r="EL53" s="450">
        <f t="shared" ca="1" si="47"/>
        <v>0</v>
      </c>
      <c r="EM53" s="58">
        <f>IF(OR($J53&gt;'NWGC - SCENARIOS'!$D$7,$J53='NWGC - SCENARIOS'!$D$7),0,EM52)</f>
        <v>0</v>
      </c>
      <c r="EN53" s="58">
        <f>IFERROR(IF($K53&lt;VLOOKUP(EL$2,$B:$H,7,0),IF(EP$3=1,MIN($M53,EL53),IF(HLOOKUP(CONCATENATE("Balance",EP$3-1),'Withdrawal Working'!$A$2:$CD$78,MATCH('Yoy WAR OG'!$J53,'Withdrawal Working'!$A$2:$A$78,0),FALSE)&gt;0,MIN(HLOOKUP(CONCATENATE("Balance",EP$3-1),'Withdrawal Working'!$A$2:$CD$78,MATCH('Yoy WAR OG'!$J53,'Withdrawal Working'!$A$2:$A$78,0),0),EL53),0)),IF($K53=VLOOKUP(EL$2,$B:$H,7,0),EL53,)),0)</f>
        <v>0</v>
      </c>
      <c r="EO53" s="58">
        <f t="shared" ca="1" si="71"/>
        <v>0</v>
      </c>
      <c r="ER53" s="450">
        <f t="shared" ca="1" si="48"/>
        <v>0</v>
      </c>
      <c r="ES53" s="58">
        <f>IF(OR(J53&gt;'NWGC - SCENARIOS'!$D$7,J53='NWGC - SCENARIOS'!$D$7),0,ES52*(1+'NWGC - SCENARIOS'!$L$5))</f>
        <v>0</v>
      </c>
      <c r="ET53" s="58">
        <f>IFERROR(IF($K53&lt;VLOOKUP(ER$2,$B:$H,7,0),IF(EV$3=1,MIN($M53,ER53),IF(HLOOKUP(CONCATENATE("Balance",EV$3-1),'Withdrawal Working'!$A$2:$CD$78,MATCH('Yoy WAR OG'!$J53,'Withdrawal Working'!$A$2:$A$78,0),FALSE)&gt;0,MIN(HLOOKUP(CONCATENATE("Balance",EV$3-1),'Withdrawal Working'!$A$2:$CD$78,MATCH('Yoy WAR OG'!$J53,'Withdrawal Working'!$A$2:$A$78,0),0),ER53),0)),IF($K53=VLOOKUP(ER$2,$B:$H,7,0),ER53,)),0)</f>
        <v>0</v>
      </c>
      <c r="EU53" s="58">
        <f t="shared" ca="1" si="72"/>
        <v>0</v>
      </c>
      <c r="EX53" s="450">
        <f t="shared" ca="1" si="49"/>
        <v>0</v>
      </c>
      <c r="EY53" s="58">
        <f>IF(OR(J53&gt;'NWGC - SCENARIOS'!$D$7,J53='NWGC - SCENARIOS'!$D$7),0,EY52)</f>
        <v>0</v>
      </c>
      <c r="EZ53" s="58">
        <f>IFERROR(IF($K53&lt;VLOOKUP(EX$2,$B:$H,7,0),IF(FB$3=1,MIN($M53,EX53),IF(HLOOKUP(CONCATENATE("Balance",FB$3-1),'Withdrawal Working'!$A$2:$CD$78,MATCH('Yoy WAR OG'!$J53,'Withdrawal Working'!$A$2:$A$78,0),FALSE)&gt;0,MIN(HLOOKUP(CONCATENATE("Balance",FB$3-1),'Withdrawal Working'!$A$2:$CD$78,MATCH('Yoy WAR OG'!$J53,'Withdrawal Working'!$A$2:$A$78,0),0),EX53),0)),IF($K53=VLOOKUP(EX$2,$B:$H,7,0),EX53,)),0)</f>
        <v>0</v>
      </c>
      <c r="FA53" s="58">
        <f t="shared" ca="1" si="73"/>
        <v>0</v>
      </c>
    </row>
    <row r="54" spans="10:157" x14ac:dyDescent="0.3">
      <c r="J54">
        <f>IFERROR('NWGC - SCENARIOS'!B61,0)</f>
        <v>99</v>
      </c>
      <c r="K54">
        <f>IFERROR('NWGC - SCENARIOS'!C61,0)</f>
        <v>2075</v>
      </c>
      <c r="L54" s="449">
        <f ca="1">IF(('NWGC - SCENARIOS'!G61-working!G52)&gt;'NWGC - SCENARIOS'!H61,'NWGC - SCENARIOS'!G61-'NWGC - SCENARIOS'!H61-working!G52,0)</f>
        <v>0</v>
      </c>
      <c r="M54" s="449">
        <f ca="1">IF(('NWGC - SCENARIOS'!G61-working!G52)&gt;'NWGC - SCENARIOS'!H61,0,'NWGC - SCENARIOS'!H61-'NWGC - SCENARIOS'!G61+working!G52)</f>
        <v>103626205.73601997</v>
      </c>
      <c r="N54" s="58">
        <f t="shared" ca="1" si="50"/>
        <v>560886549.09120321</v>
      </c>
      <c r="O54" s="58">
        <f t="shared" ca="1" si="51"/>
        <v>238398149.08840057</v>
      </c>
      <c r="P54" s="58">
        <f t="shared" ca="1" si="74"/>
        <v>0</v>
      </c>
      <c r="Q54" s="58">
        <f ca="1">(VLOOKUP(P$2,$B$1:$F$32,5,0)*$L54)+(VLOOKUP($K54,'Withdrawal Working'!$AD:$AE,2,0)*(IFERROR(VLOOKUP(P$2,$B$35:$C$42,2,0),0)))</f>
        <v>0</v>
      </c>
      <c r="R54" s="58">
        <f>IFERROR(IF($K54&lt;VLOOKUP(P$2,$B:$H,7,0),IF(T$3=1,MIN($M54,P54),IF(HLOOKUP(CONCATENATE("Balance",T$3-1),'Withdrawal Working'!$A$2:$CD$78,MATCH('Yoy WAR OG'!$J54,'Withdrawal Working'!$A$2:$A$78,0),FALSE)&gt;0,MIN(HLOOKUP(CONCATENATE("Balance",T$3-1),'Withdrawal Working'!$A$2:$CD$78,MATCH('Yoy WAR OG'!$J54,'Withdrawal Working'!$A$2:$A$78,0),0),P54),0)),IF($K54=VLOOKUP(P$2,$B:$H,7,0),P54,)),0)</f>
        <v>0</v>
      </c>
      <c r="S54" s="58">
        <f t="shared" ca="1" si="75"/>
        <v>0</v>
      </c>
      <c r="T54" s="58"/>
      <c r="V54" s="58">
        <f t="shared" ca="1" si="27"/>
        <v>0</v>
      </c>
      <c r="W54" s="58">
        <f ca="1">(VLOOKUP(V$2,$B$1:$F$32,5,0)*$L54)+(VLOOKUP($K54,'Withdrawal Working'!$AD:$AE,2,0)*(IFERROR(VLOOKUP(V$2,$B$35:$C$42,2,0),0)))</f>
        <v>0</v>
      </c>
      <c r="X54" s="58">
        <f>IFERROR(IF($K54&lt;VLOOKUP(V$2,$B:$H,7,0),IF(Z$3=1,MIN($M54,V54),IF(HLOOKUP(CONCATENATE("Balance",Z$3-1),'Withdrawal Working'!$A$2:$CD$78,MATCH('Yoy WAR OG'!$J54,'Withdrawal Working'!$A$2:$A$78,0),FALSE)&gt;0,MIN(HLOOKUP(CONCATENATE("Balance",Z$3-1),'Withdrawal Working'!$A$2:$CD$78,MATCH('Yoy WAR OG'!$J54,'Withdrawal Working'!$A$2:$A$78,0),0),V54),0)),IF($K54=VLOOKUP(V$2,$B:$H,7,0),V54,)),0)</f>
        <v>0</v>
      </c>
      <c r="Y54" s="58">
        <f t="shared" ca="1" si="52"/>
        <v>0</v>
      </c>
      <c r="AB54" s="58">
        <f t="shared" ca="1" si="28"/>
        <v>0</v>
      </c>
      <c r="AC54" s="58">
        <f ca="1">(VLOOKUP(AB$2,$B$1:$F$32,5,0)*$L54)+(VLOOKUP($K54,'Withdrawal Working'!$AD:$AE,2,0)*(IFERROR(VLOOKUP(AB$2,$B$35:$C$42,2,0),0)))</f>
        <v>0</v>
      </c>
      <c r="AE54" s="58">
        <f t="shared" ca="1" si="53"/>
        <v>0</v>
      </c>
      <c r="AH54" s="58">
        <f t="shared" ca="1" si="29"/>
        <v>0</v>
      </c>
      <c r="AI54" s="58">
        <f ca="1">(VLOOKUP(AH$2,$B$1:$F$32,5,0)*$L54)+IF(J54&gt;'NWGC - SCENARIOS'!$D$7,0,(VLOOKUP($K54,'Withdrawal Working'!$AD:$AE,2,0)*(IFERROR(VLOOKUP(AH$2,$B$35:$C$42,2,0),0))))</f>
        <v>0</v>
      </c>
      <c r="AJ54" s="58">
        <f ca="1">IFERROR(IF($J54&gt;'NWGC - SCENARIOS'!$D$7,MIN('Yoy WAR OG'!AH54,VLOOKUP('Yoy WAR OG'!$J54,'Withdrawal Working'!BC:BD,2,0)),IF(AL$3=1,$M54,IF(HLOOKUP(CONCATENATE("Balance",AL$3-1),'Withdrawal Working'!$A$2:$CD$78,MATCH('Yoy WAR OG'!$J54,'Withdrawal Working'!$A$2:$A$78,0),FALSE)&gt;0,MIN(HLOOKUP(CONCATENATE("Balance",AL$3-1),'Withdrawal Working'!$A$2:$CD$78,MATCH('Yoy WAR OG'!$J54,'Withdrawal Working'!$A$2:$A$78,0),0),AH54),0))),0)</f>
        <v>0</v>
      </c>
      <c r="AK54" s="58">
        <f t="shared" ca="1" si="54"/>
        <v>0</v>
      </c>
      <c r="AN54" s="450">
        <f t="shared" ca="1" si="30"/>
        <v>635272223.83194721</v>
      </c>
      <c r="AO54" s="58">
        <f ca="1">IF(J54&gt;'NWGC - SCENARIOS'!$D$7,(IF(AJ54=0,0,'Yoy WAR OG'!AJ54)+(VLOOKUP(AN$2,$B$1:$F$32,5,0)*$L54)),(VLOOKUP(AN$2,$B$1:$F$32,5,0)*$L54)+(VLOOKUP($K54,'Withdrawal Working'!$AD:$AE,2,0)*(IFERROR(VLOOKUP(AN$2,$B$35:$C$42,2,0),0))))</f>
        <v>0</v>
      </c>
      <c r="AP54" s="470">
        <f ca="1">IFERROR(IF($K54&lt;&gt;VLOOKUP(AN$2,$B:$H,7,0),IF(AR$3=1,MIN($M54,AN54),IF(HLOOKUP(CONCATENATE("Balance",AR$3-1),'Withdrawal Working'!$A$2:$CD$78,MATCH('Yoy WAR OG'!$J54,'Withdrawal Working'!$A$2:$A$78,0),FALSE)&gt;0,MIN(HLOOKUP(CONCATENATE("Balance",AR$3-1),'Withdrawal Working'!$A$2:$CD$78,MATCH('Yoy WAR OG'!$J54,'Withdrawal Working'!$A$2:$A$78,0),0),AN54),0)),IF($K54=VLOOKUP(AN$2,$B:$H,7,0),AN54,)),0)</f>
        <v>103626205.73601997</v>
      </c>
      <c r="AQ54" s="58">
        <f ca="1">IF(AO54&lt;0,0,IF(J54&gt;'NWGC - SCENARIOS'!$D$7,((AN54-AP54+AO54)*(1+(IFERROR(VLOOKUP(AN$2,$B:$D,3,0),0)))),((AN54-AP54)*(1+(IFERROR(VLOOKUP(AN$2,$B:$D,3,0),0))))+AO54))</f>
        <v>560886549.09120321</v>
      </c>
      <c r="AT54" s="450">
        <f t="shared" ca="1" si="31"/>
        <v>0</v>
      </c>
      <c r="AU54" s="58">
        <f ca="1">(VLOOKUP(AT$2,$B$1:$F$32,5,0)*$L54)+(VLOOKUP($K54,'Withdrawal Working'!$AD:$AE,2,0)*(IFERROR(VLOOKUP(AT$2,$B$35:$C$42,2,0),0)))</f>
        <v>0</v>
      </c>
      <c r="AV54" s="58">
        <f>IFERROR(IF($K54&lt;VLOOKUP(AT$2,$B:$H,7,0),IF(AX$3=1,MIN($M54,AT54),IF(HLOOKUP(CONCATENATE("Balance",AX$3-1),'Withdrawal Working'!$A$2:$CD$78,MATCH('Yoy WAR OG'!$J54,'Withdrawal Working'!$A$2:$A$78,0),FALSE)&gt;0,MIN(HLOOKUP(CONCATENATE("Balance",AX$3-1),'Withdrawal Working'!$A$2:$CD$78,MATCH('Yoy WAR OG'!$J54,'Withdrawal Working'!$A$2:$A$78,0),0),AT54),0)),IF($K54=VLOOKUP(AT$2,$B:$H,7,0),AT54,)),0)</f>
        <v>0</v>
      </c>
      <c r="AW54" s="58">
        <f t="shared" ca="1" si="55"/>
        <v>0</v>
      </c>
      <c r="AZ54" s="450">
        <f t="shared" ca="1" si="32"/>
        <v>117828100.2522856</v>
      </c>
      <c r="BA54" s="58">
        <f ca="1">(VLOOKUP(AZ$2,$B$1:$F$32,5,0)*$L54)+(VLOOKUP($K54,'Withdrawal Working'!$AD:$AE,2,0)*(IFERROR(VLOOKUP(AZ$2,$B$35:$C$42,2,0),0)))</f>
        <v>0</v>
      </c>
      <c r="BB54" s="58">
        <f>IFERROR(IF($K54&lt;VLOOKUP(AZ$2,$B:$H,7,0),IF(BD$3=1,MIN($M54,AZ54),IF(HLOOKUP(CONCATENATE("Balance",BD$3-1),'Withdrawal Working'!$A$2:$CD$78,MATCH('Yoy WAR OG'!$J54,'Withdrawal Working'!$A$2:$A$78,0),FALSE)&gt;0,MIN(HLOOKUP(CONCATENATE("Balance",BD$3-1),'Withdrawal Working'!$A$2:$CD$78,MATCH('Yoy WAR OG'!$J54,'Withdrawal Working'!$A$2:$A$78,0),0),AZ54),0)),IF($K54=VLOOKUP(AZ$2,$B:$H,7,0),AZ54,)),0)</f>
        <v>0</v>
      </c>
      <c r="BC54" s="58">
        <f t="shared" ca="1" si="56"/>
        <v>126076067.26994559</v>
      </c>
      <c r="BF54" s="450">
        <f t="shared" ca="1" si="33"/>
        <v>0</v>
      </c>
      <c r="BG54" s="58">
        <f ca="1">(VLOOKUP(BF$2,$B$1:$F$32,5,0)*$L54)+(VLOOKUP($K54,'Withdrawal Working'!$AD:$AE,2,0)*(IFERROR(VLOOKUP(BF$2,$B$35:$C$42,2,0),0)))</f>
        <v>0</v>
      </c>
      <c r="BH54" s="58">
        <f>IFERROR(IF($K54&lt;VLOOKUP(BF$2,$B:$H,7,0),IF(BJ$3=1,MIN($M54,BF54),IF(HLOOKUP(CONCATENATE("Balance",BJ$3-1),'Withdrawal Working'!$A$2:$CD$78,MATCH('Yoy WAR OG'!$J54,'Withdrawal Working'!$A$2:$A$78,0),FALSE)&gt;0,MIN(HLOOKUP(CONCATENATE("Balance",BJ$3-1),'Withdrawal Working'!$A$2:$CD$78,MATCH('Yoy WAR OG'!$J54,'Withdrawal Working'!$A$2:$A$78,0),0),BF54),0)),IF($K54=VLOOKUP(BF$2,$B:$H,7,0),BF54,)),0)</f>
        <v>0</v>
      </c>
      <c r="BI54" s="58">
        <f t="shared" ca="1" si="57"/>
        <v>0</v>
      </c>
      <c r="BL54" s="450">
        <f t="shared" ca="1" si="34"/>
        <v>0</v>
      </c>
      <c r="BM54" s="58">
        <f ca="1">(VLOOKUP(BL$2,$B$1:$F$32,5,0)*$L54)+(VLOOKUP($K54,'Withdrawal Working'!$AD:$AE,2,0)*(IFERROR(VLOOKUP(BL$2,$B$35:$C$42,2,0),0)))</f>
        <v>0</v>
      </c>
      <c r="BN54" s="58">
        <f>IFERROR(IF($K54&lt;VLOOKUP(BL$2,$B:$H,7,0),IF(BP$3=1,MIN($M54,BL54),IF(HLOOKUP(CONCATENATE("Balance",BP$3-1),'Withdrawal Working'!$A$2:$CD$78,MATCH('Yoy WAR OG'!$J54,'Withdrawal Working'!$A$2:$A$78,0),FALSE)&gt;0,MIN(HLOOKUP(CONCATENATE("Balance",BP$3-1),'Withdrawal Working'!$A$2:$CD$78,MATCH('Yoy WAR OG'!$J54,'Withdrawal Working'!$A$2:$A$78,0),0),BL54),0)),IF($K54=VLOOKUP(BL$2,$B:$H,7,0),BL54,)),0)</f>
        <v>0</v>
      </c>
      <c r="BO54" s="58">
        <f t="shared" ca="1" si="58"/>
        <v>0</v>
      </c>
      <c r="BR54" s="450">
        <f t="shared" ca="1" si="35"/>
        <v>0</v>
      </c>
      <c r="BS54" s="58">
        <f ca="1">(VLOOKUP(BR$2,$B$1:$F$32,5,0)*$L54)+(VLOOKUP($K54,'Withdrawal Working'!$AD:$AE,2,0)*(IFERROR(VLOOKUP(BR$2,$B$35:$C$42,2,0),0)))</f>
        <v>0</v>
      </c>
      <c r="BT54" s="58">
        <f>IFERROR(IF($K54&lt;VLOOKUP(BR$2,$B:$H,7,0),IF(BV$3=1,MIN($M54,BR54),IF(HLOOKUP(CONCATENATE("Balance",BV$3-1),'Withdrawal Working'!$A$2:$CD$78,MATCH('Yoy WAR OG'!$J54,'Withdrawal Working'!$A$2:$A$78,0),FALSE)&gt;0,MIN(HLOOKUP(CONCATENATE("Balance",BV$3-1),'Withdrawal Working'!$A$2:$CD$78,MATCH('Yoy WAR OG'!$J54,'Withdrawal Working'!$A$2:$A$78,0),0),BR54),0)),IF($K54=VLOOKUP(BR$2,$B:$H,7,0),BR54,)),0)</f>
        <v>0</v>
      </c>
      <c r="BU54" s="58">
        <f t="shared" ca="1" si="59"/>
        <v>0</v>
      </c>
      <c r="BX54" s="450">
        <f t="shared" ca="1" si="36"/>
        <v>0</v>
      </c>
      <c r="BY54" s="58">
        <f ca="1">(VLOOKUP(BX$2,$B$1:$F$32,5,0)*$L54)+(VLOOKUP($K54,'Withdrawal Working'!$AD:$AE,2,0)*(IFERROR(VLOOKUP(BX$2,$B$35:$C$42,2,0),0)))</f>
        <v>0</v>
      </c>
      <c r="BZ54" s="58">
        <f>IFERROR(IF($K54&lt;VLOOKUP(BX$2,$B:$H,7,0),IF(CB$3=1,MIN($M54,BX54),IF(HLOOKUP(CONCATENATE("Balance",CB$3-1),'Withdrawal Working'!$A$2:$CD$78,MATCH('Yoy WAR OG'!$J54,'Withdrawal Working'!$A$2:$A$78,0),FALSE)&gt;0,MIN(HLOOKUP(CONCATENATE("Balance",CB$3-1),'Withdrawal Working'!$A$2:$CD$78,MATCH('Yoy WAR OG'!$J54,'Withdrawal Working'!$A$2:$A$78,0),0),BX54),0)),IF($K54=VLOOKUP(BX$2,$B:$H,7,0),BX54,)),0)</f>
        <v>0</v>
      </c>
      <c r="CA54" s="58">
        <f t="shared" ca="1" si="60"/>
        <v>0</v>
      </c>
      <c r="CD54" s="450">
        <f t="shared" ca="1" si="37"/>
        <v>79825395.51538986</v>
      </c>
      <c r="CE54" s="58">
        <f ca="1">(VLOOKUP(CD$2,$B$1:$F$32,5,0)*$L54)+(VLOOKUP($K54,'Withdrawal Working'!$AD:$AE,2,0)*(IFERROR(VLOOKUP(CD$2,$B$35:$C$42,2,0),0)))+SUMIFS('Key Life Events'!$I$3:$I$28,'Key Life Events'!$H$3:$H$28,"House",'Key Life Events'!$E$3:$E$28,'Yoy WAR OG'!K54)</f>
        <v>0</v>
      </c>
      <c r="CF54" s="58">
        <f>IFERROR(IF($K54&lt;VLOOKUP(CD$2,$B:$H,7,0),IF(CH$3=1,MIN($M54,CD54),IF(HLOOKUP(CONCATENATE("Balance",CH$3-1),'Withdrawal Working'!$A$2:$CD$78,MATCH('Yoy WAR OG'!$J54,'Withdrawal Working'!$A$2:$A$78,0),FALSE)&gt;0,MIN(HLOOKUP(CONCATENATE("Balance",CH$3-1),'Withdrawal Working'!$A$2:$CD$78,MATCH('Yoy WAR OG'!$J54,'Withdrawal Working'!$A$2:$A$78,0),0),CD54),0)),IF($K54=VLOOKUP(CD$2,$B:$H,7,0),CD54,)),0)</f>
        <v>0</v>
      </c>
      <c r="CG54" s="58">
        <f t="shared" ca="1" si="61"/>
        <v>82220157.380851552</v>
      </c>
      <c r="CJ54" s="450">
        <f t="shared" ca="1" si="38"/>
        <v>0</v>
      </c>
      <c r="CK54" s="58">
        <f ca="1">(VLOOKUP(CJ$2,$B$1:$F$32,5,0)*$L54)+(VLOOKUP($K54,'Withdrawal Working'!$AD:$AE,2,0)*(IFERROR(VLOOKUP(CJ$2,$B$35:$C$42,2,0),0)))+SUMIFS('Key Life Events'!$I$3:$I$28,'Key Life Events'!$H$3:$H$28,"House2",'Key Life Events'!$E$3:$E$28,'Yoy WAR OG'!K54)</f>
        <v>0</v>
      </c>
      <c r="CL54" s="58">
        <f ca="1">IF(IFERROR(IF($K54&lt;&gt;VLOOKUP(CJ$2,$B:$H,7,0),IF(CN$3=1,MIN($M54,CJ54),IF(HLOOKUP(CONCATENATE("Balance",CN$3-1),'Withdrawal Working'!$A$2:$CD$78,MATCH('Yoy WAR OG'!$J54,'Withdrawal Working'!$A$2:$A$78,0),FALSE)&gt;0,MIN(HLOOKUP(CONCATENATE("Balance",CN$3-1),'Withdrawal Working'!$A$2:$CD$78,MATCH('Yoy WAR OG'!$J54,'Withdrawal Working'!$A$2:$A$78,0),0),CJ54),0)),IF($K54=VLOOKUP(CJ$2,$B:$H,7,0),CJ54,)),0)&gt;0,CJ54,0)</f>
        <v>0</v>
      </c>
      <c r="CM54" s="58">
        <f t="shared" ca="1" si="62"/>
        <v>0</v>
      </c>
      <c r="CP54" s="450">
        <f t="shared" ca="1" si="39"/>
        <v>28668499.464384232</v>
      </c>
      <c r="CQ54" s="58">
        <f ca="1">(VLOOKUP(CP$2,$B$1:$F$32,5,0)*$L54)+(VLOOKUP($K54,'Withdrawal Working'!$AD:$AE,2,0)*(IFERROR(VLOOKUP(CP$2,$B$35:$C$42,2,0),0)))+SUMIFS('Key Life Events'!$I$3:$I$28,'Key Life Events'!$H$3:$H$28,"Land",'Key Life Events'!$E$3:$E$28,'Yoy WAR OG'!K54)</f>
        <v>0</v>
      </c>
      <c r="CR54" s="58">
        <f>IFERROR(IF($K54&lt;VLOOKUP(CP$2,$B:$H,7,0),IF(CT$3=1,MIN($M54,CP54),IF(HLOOKUP(CONCATENATE("Balance",CT$3-1),'Withdrawal Working'!$A$2:$CD$78,MATCH('Yoy WAR OG'!$J54,'Withdrawal Working'!$A$2:$A$78,0),FALSE)&gt;0,MIN(HLOOKUP(CONCATENATE("Balance",CT$3-1),'Withdrawal Working'!$A$2:$CD$78,MATCH('Yoy WAR OG'!$J54,'Withdrawal Working'!$A$2:$A$78,0),0),CP54),0)),IF($K54=VLOOKUP(CP$2,$B:$H,7,0),CP54,)),0)</f>
        <v>0</v>
      </c>
      <c r="CS54" s="58">
        <f t="shared" ca="1" si="63"/>
        <v>30101924.437603444</v>
      </c>
      <c r="CV54" s="450">
        <f t="shared" ca="1" si="40"/>
        <v>0</v>
      </c>
      <c r="CW54" s="58"/>
      <c r="CX54" s="58">
        <f>IFERROR(IF($K54&lt;VLOOKUP(CV$2,$B:$H,7,0),IF(CZ$3=1,MIN($M54,CV54),IF(HLOOKUP(CONCATENATE("Balance",CZ$3-1),'Withdrawal Working'!$A$2:$CD$78,MATCH('Yoy WAR OG'!$J54,'Withdrawal Working'!$A$2:$A$78,0),FALSE)&gt;0,MIN(HLOOKUP(CONCATENATE("Balance",CZ$3-1),'Withdrawal Working'!$A$2:$CD$78,MATCH('Yoy WAR OG'!$J54,'Withdrawal Working'!$A$2:$A$78,0),0),CV54),0)),IF($K54=VLOOKUP(CV$2,$B:$H,7,0),CV54,)),0)</f>
        <v>0</v>
      </c>
      <c r="CY54" s="58">
        <f t="shared" ca="1" si="64"/>
        <v>0</v>
      </c>
      <c r="DB54" s="450">
        <f t="shared" ca="1" si="41"/>
        <v>0</v>
      </c>
      <c r="DC54" s="58">
        <f ca="1">(VLOOKUP(DB$2,$B$1:$F$32,5,0)*$L54)+(VLOOKUP($K54,'Withdrawal Working'!$AD:$AE,2,0)*(IFERROR(VLOOKUP(DB$2,$B$35:$C$42,2,0),0)))</f>
        <v>0</v>
      </c>
      <c r="DD54" s="58">
        <f>IFERROR(IF($K54&lt;VLOOKUP(DB$2,$B:$H,7,0),IF(DF$3=1,MIN($M54,DB54),IF(HLOOKUP(CONCATENATE("Balance",DF$3-1),'Withdrawal Working'!$A$2:$CD$78,MATCH('Yoy WAR OG'!$J54,'Withdrawal Working'!$A$2:$A$78,0),FALSE)&gt;0,MIN(HLOOKUP(CONCATENATE("Balance",DF$3-1),'Withdrawal Working'!$A$2:$CD$78,MATCH('Yoy WAR OG'!$J54,'Withdrawal Working'!$A$2:$A$78,0),0),DB54),0)),IF($K54=VLOOKUP(DB$2,$B:$H,7,0),DB54,)),0)</f>
        <v>0</v>
      </c>
      <c r="DE54" s="58">
        <f t="shared" ca="1" si="65"/>
        <v>0</v>
      </c>
      <c r="DH54" s="450">
        <f t="shared" ca="1" si="42"/>
        <v>0</v>
      </c>
      <c r="DI54" s="58">
        <f>IF(OR(J54&gt;'NWGC - SCENARIOS'!$D$7,J54='NWGC - SCENARIOS'!$D$7),0,DI53*(1+'NWGC - SCENARIOS'!$L$5))</f>
        <v>0</v>
      </c>
      <c r="DJ54" s="58">
        <f>IFERROR(IF($K54&lt;VLOOKUP(DH$2,$B:$H,7,0),IF(DL$3=1,MIN($M54,DH54),IF(HLOOKUP(CONCATENATE("Balance",DL$3-1),'Withdrawal Working'!$A$2:$CD$78,MATCH('Yoy WAR OG'!$J54,'Withdrawal Working'!$A$2:$A$78,0),FALSE)&gt;0,MIN(HLOOKUP(CONCATENATE("Balance",DL$3-1),'Withdrawal Working'!$A$2:$CD$78,MATCH('Yoy WAR OG'!$J54,'Withdrawal Working'!$A$2:$A$78,0),0),DH54),0)),IF($K54=VLOOKUP(DH$2,$B:$H,7,0),DH54,)),0)</f>
        <v>0</v>
      </c>
      <c r="DK54" s="58">
        <f t="shared" ca="1" si="66"/>
        <v>0</v>
      </c>
      <c r="DN54" s="450">
        <f t="shared" ca="1" si="43"/>
        <v>0</v>
      </c>
      <c r="DO54" s="58">
        <f ca="1">(VLOOKUP(DN$2,$B$1:$F$32,5,0)*$L54)+(VLOOKUP($K54,'Withdrawal Working'!$AD:$AE,2,0)*(IFERROR(VLOOKUP(DN$2,$B$35:$C$42,2,0),0)))</f>
        <v>0</v>
      </c>
      <c r="DP54" s="58">
        <f>IFERROR(IF($K54&lt;VLOOKUP(DN$2,$B:$H,7,0),IF(DR$3=1,MIN($M54,DN54),IF(HLOOKUP(CONCATENATE("Balance",DR$3-1),'Withdrawal Working'!$A$2:$CD$78,MATCH('Yoy WAR OG'!$J54,'Withdrawal Working'!$A$2:$A$78,0),FALSE)&gt;0,MIN(HLOOKUP(CONCATENATE("Balance",DR$3-1),'Withdrawal Working'!$A$2:$CD$78,MATCH('Yoy WAR OG'!$J54,'Withdrawal Working'!$A$2:$A$78,0),0),DN54),0)),IF($K54=VLOOKUP(DN$2,$B:$H,7,0),DN54,)),0)</f>
        <v>0</v>
      </c>
      <c r="DQ54" s="58">
        <f t="shared" ca="1" si="67"/>
        <v>0</v>
      </c>
      <c r="DT54" s="450">
        <f t="shared" ca="1" si="44"/>
        <v>0</v>
      </c>
      <c r="DU54" s="58">
        <f ca="1">(VLOOKUP(DT$2,$B$1:$F$32,5,0)*$L54)+(VLOOKUP($K54,'Withdrawal Working'!$AD:$AE,2,0)*(IFERROR(VLOOKUP(DT$2,$B$35:$C$42,2,0),0)))</f>
        <v>0</v>
      </c>
      <c r="DV54" s="58">
        <f>IFERROR(IF($K54&lt;VLOOKUP(DT$2,$B:$H,7,0),IF(DX$3=1,MIN($M54,DT54),IF(HLOOKUP(CONCATENATE("Balance",DX$3-1),'Withdrawal Working'!$A$2:$CD$78,MATCH('Yoy WAR OG'!$J54,'Withdrawal Working'!$A$2:$A$78,0),FALSE)&gt;0,MIN(HLOOKUP(CONCATENATE("Balance",DX$3-1),'Withdrawal Working'!$A$2:$CD$78,MATCH('Yoy WAR OG'!$J54,'Withdrawal Working'!$A$2:$A$78,0),0),DT54),0)),IF($K54=VLOOKUP(DT$2,$B:$H,7,0),DT54,)),0)</f>
        <v>0</v>
      </c>
      <c r="DW54" s="58">
        <f t="shared" ca="1" si="68"/>
        <v>0</v>
      </c>
      <c r="DZ54" s="450">
        <f t="shared" ca="1" si="45"/>
        <v>0</v>
      </c>
      <c r="EA54" s="58">
        <f ca="1">(VLOOKUP(DZ$2,$B$1:$F$32,5,0)*$L54)+(VLOOKUP($K54,'Withdrawal Working'!$AD:$AE,2,0)*(IFERROR(VLOOKUP(DZ$2,$B$35:$C$42,2,0),0)))</f>
        <v>0</v>
      </c>
      <c r="EB54" s="58">
        <f>IFERROR(IF($K54&lt;VLOOKUP(DZ$2,$B:$H,7,0),IF(ED$3=1,MIN($M54,DZ54),IF(HLOOKUP(CONCATENATE("Balance",ED$3-1),'Withdrawal Working'!$A$2:$CD$78,MATCH('Yoy WAR OG'!$J54,'Withdrawal Working'!$A$2:$A$78,0),FALSE)&gt;0,MIN(HLOOKUP(CONCATENATE("Balance",ED$3-1),'Withdrawal Working'!$A$2:$CD$78,MATCH('Yoy WAR OG'!$J54,'Withdrawal Working'!$A$2:$A$78,0),0),DZ54),0)),IF($K54=VLOOKUP(DZ$2,$B:$H,7,0),DZ54,)),0)</f>
        <v>0</v>
      </c>
      <c r="EC54" s="58">
        <f t="shared" ca="1" si="69"/>
        <v>0</v>
      </c>
      <c r="EF54" s="450">
        <f t="shared" ca="1" si="46"/>
        <v>0</v>
      </c>
      <c r="EG54" s="58">
        <f ca="1">(VLOOKUP(EF$2,$B$1:$F$32,5,0)*$L54)+(VLOOKUP($K54,'Withdrawal Working'!$AD:$AE,2,0)*(IFERROR(VLOOKUP(EF$2,$B$35:$C$42,2,0),0)))</f>
        <v>0</v>
      </c>
      <c r="EH54" s="58">
        <f>IFERROR(IF($K54&lt;VLOOKUP(EF$2,$B:$H,7,0),IF(EJ$3=1,MIN($M54,EF54),IF(HLOOKUP(CONCATENATE("Balance",EJ$3-1),'Withdrawal Working'!$A$2:$CD$78,MATCH('Yoy WAR OG'!$J54,'Withdrawal Working'!$A$2:$A$78,0),FALSE)&gt;0,MIN(HLOOKUP(CONCATENATE("Balance",EJ$3-1),'Withdrawal Working'!$A$2:$CD$78,MATCH('Yoy WAR OG'!$J54,'Withdrawal Working'!$A$2:$A$78,0),0),EF54),0)),IF($K54=VLOOKUP(EF$2,$B:$H,7,0),EF54,)),0)</f>
        <v>0</v>
      </c>
      <c r="EI54" s="58">
        <f t="shared" ca="1" si="70"/>
        <v>0</v>
      </c>
      <c r="EL54" s="450">
        <f t="shared" ca="1" si="47"/>
        <v>0</v>
      </c>
      <c r="EM54" s="58">
        <f>IF(OR($J54&gt;'NWGC - SCENARIOS'!$D$7,$J54='NWGC - SCENARIOS'!$D$7),0,EM53)</f>
        <v>0</v>
      </c>
      <c r="EN54" s="58">
        <f>IFERROR(IF($K54&lt;VLOOKUP(EL$2,$B:$H,7,0),IF(EP$3=1,MIN($M54,EL54),IF(HLOOKUP(CONCATENATE("Balance",EP$3-1),'Withdrawal Working'!$A$2:$CD$78,MATCH('Yoy WAR OG'!$J54,'Withdrawal Working'!$A$2:$A$78,0),FALSE)&gt;0,MIN(HLOOKUP(CONCATENATE("Balance",EP$3-1),'Withdrawal Working'!$A$2:$CD$78,MATCH('Yoy WAR OG'!$J54,'Withdrawal Working'!$A$2:$A$78,0),0),EL54),0)),IF($K54=VLOOKUP(EL$2,$B:$H,7,0),EL54,)),0)</f>
        <v>0</v>
      </c>
      <c r="EO54" s="58">
        <f t="shared" ca="1" si="71"/>
        <v>0</v>
      </c>
      <c r="ER54" s="450">
        <f t="shared" ca="1" si="48"/>
        <v>0</v>
      </c>
      <c r="ES54" s="58">
        <f>IF(OR(J54&gt;'NWGC - SCENARIOS'!$D$7,J54='NWGC - SCENARIOS'!$D$7),0,ES53*(1+'NWGC - SCENARIOS'!$L$5))</f>
        <v>0</v>
      </c>
      <c r="ET54" s="58">
        <f>IFERROR(IF($K54&lt;VLOOKUP(ER$2,$B:$H,7,0),IF(EV$3=1,MIN($M54,ER54),IF(HLOOKUP(CONCATENATE("Balance",EV$3-1),'Withdrawal Working'!$A$2:$CD$78,MATCH('Yoy WAR OG'!$J54,'Withdrawal Working'!$A$2:$A$78,0),FALSE)&gt;0,MIN(HLOOKUP(CONCATENATE("Balance",EV$3-1),'Withdrawal Working'!$A$2:$CD$78,MATCH('Yoy WAR OG'!$J54,'Withdrawal Working'!$A$2:$A$78,0),0),ER54),0)),IF($K54=VLOOKUP(ER$2,$B:$H,7,0),ER54,)),0)</f>
        <v>0</v>
      </c>
      <c r="EU54" s="58">
        <f t="shared" ca="1" si="72"/>
        <v>0</v>
      </c>
      <c r="EX54" s="450">
        <f t="shared" ca="1" si="49"/>
        <v>0</v>
      </c>
      <c r="EY54" s="58">
        <f>IF(OR(J54&gt;'NWGC - SCENARIOS'!$D$7,J54='NWGC - SCENARIOS'!$D$7),0,EY53)</f>
        <v>0</v>
      </c>
      <c r="EZ54" s="58">
        <f>IFERROR(IF($K54&lt;VLOOKUP(EX$2,$B:$H,7,0),IF(FB$3=1,MIN($M54,EX54),IF(HLOOKUP(CONCATENATE("Balance",FB$3-1),'Withdrawal Working'!$A$2:$CD$78,MATCH('Yoy WAR OG'!$J54,'Withdrawal Working'!$A$2:$A$78,0),FALSE)&gt;0,MIN(HLOOKUP(CONCATENATE("Balance",FB$3-1),'Withdrawal Working'!$A$2:$CD$78,MATCH('Yoy WAR OG'!$J54,'Withdrawal Working'!$A$2:$A$78,0),0),EX54),0)),IF($K54=VLOOKUP(EX$2,$B:$H,7,0),EX54,)),0)</f>
        <v>0</v>
      </c>
      <c r="FA54" s="58">
        <f t="shared" ca="1" si="73"/>
        <v>0</v>
      </c>
    </row>
    <row r="55" spans="10:157" x14ac:dyDescent="0.3">
      <c r="J55">
        <f>IFERROR('NWGC - SCENARIOS'!B62,0)</f>
        <v>100</v>
      </c>
      <c r="K55">
        <f>IFERROR('NWGC - SCENARIOS'!C62,0)</f>
        <v>2076</v>
      </c>
      <c r="L55" s="449">
        <f ca="1">IF(('NWGC - SCENARIOS'!G62-working!G53)&gt;'NWGC - SCENARIOS'!H62,'NWGC - SCENARIOS'!G62-'NWGC - SCENARIOS'!H62-working!G53,0)</f>
        <v>0</v>
      </c>
      <c r="M55" s="449">
        <f ca="1">IF(('NWGC - SCENARIOS'!G62-working!G53)&gt;'NWGC - SCENARIOS'!H62,0,'NWGC - SCENARIOS'!H62-'NWGC - SCENARIOS'!G62+working!G53)</f>
        <v>111923022.19490159</v>
      </c>
      <c r="N55" s="58">
        <f t="shared" ca="1" si="50"/>
        <v>473656520.87559819</v>
      </c>
      <c r="O55" s="58">
        <f t="shared" ca="1" si="51"/>
        <v>251195174.74060249</v>
      </c>
      <c r="P55" s="58">
        <f t="shared" ca="1" si="74"/>
        <v>0</v>
      </c>
      <c r="Q55" s="58">
        <f ca="1">(VLOOKUP(P$2,$B$1:$F$32,5,0)*$L55)+(VLOOKUP($K55,'Withdrawal Working'!$AD:$AE,2,0)*(IFERROR(VLOOKUP(P$2,$B$35:$C$42,2,0),0)))</f>
        <v>0</v>
      </c>
      <c r="R55" s="58">
        <f>IFERROR(IF($K55&lt;VLOOKUP(P$2,$B:$H,7,0),IF(T$3=1,MIN($M55,P55),IF(HLOOKUP(CONCATENATE("Balance",T$3-1),'Withdrawal Working'!$A$2:$CD$78,MATCH('Yoy WAR OG'!$J55,'Withdrawal Working'!$A$2:$A$78,0),FALSE)&gt;0,MIN(HLOOKUP(CONCATENATE("Balance",T$3-1),'Withdrawal Working'!$A$2:$CD$78,MATCH('Yoy WAR OG'!$J55,'Withdrawal Working'!$A$2:$A$78,0),0),P55),0)),IF($K55=VLOOKUP(P$2,$B:$H,7,0),P55,)),0)</f>
        <v>0</v>
      </c>
      <c r="S55" s="58">
        <f t="shared" ca="1" si="75"/>
        <v>0</v>
      </c>
      <c r="T55" s="58"/>
      <c r="V55" s="58">
        <f t="shared" ca="1" si="27"/>
        <v>0</v>
      </c>
      <c r="W55" s="58">
        <f ca="1">(VLOOKUP(V$2,$B$1:$F$32,5,0)*$L55)+(VLOOKUP($K55,'Withdrawal Working'!$AD:$AE,2,0)*(IFERROR(VLOOKUP(V$2,$B$35:$C$42,2,0),0)))</f>
        <v>0</v>
      </c>
      <c r="X55" s="58">
        <f>IFERROR(IF($K55&lt;VLOOKUP(V$2,$B:$H,7,0),IF(Z$3=1,MIN($M55,V55),IF(HLOOKUP(CONCATENATE("Balance",Z$3-1),'Withdrawal Working'!$A$2:$CD$78,MATCH('Yoy WAR OG'!$J55,'Withdrawal Working'!$A$2:$A$78,0),FALSE)&gt;0,MIN(HLOOKUP(CONCATENATE("Balance",Z$3-1),'Withdrawal Working'!$A$2:$CD$78,MATCH('Yoy WAR OG'!$J55,'Withdrawal Working'!$A$2:$A$78,0),0),V55),0)),IF($K55=VLOOKUP(V$2,$B:$H,7,0),V55,)),0)</f>
        <v>0</v>
      </c>
      <c r="Y55" s="58">
        <f t="shared" ca="1" si="52"/>
        <v>0</v>
      </c>
      <c r="AB55" s="58">
        <f t="shared" ca="1" si="28"/>
        <v>0</v>
      </c>
      <c r="AC55" s="58">
        <f ca="1">(VLOOKUP(AB$2,$B$1:$F$32,5,0)*$L55)+(VLOOKUP($K55,'Withdrawal Working'!$AD:$AE,2,0)*(IFERROR(VLOOKUP(AB$2,$B$35:$C$42,2,0),0)))</f>
        <v>0</v>
      </c>
      <c r="AE55" s="58">
        <f t="shared" ca="1" si="53"/>
        <v>0</v>
      </c>
      <c r="AH55" s="58">
        <f t="shared" ca="1" si="29"/>
        <v>0</v>
      </c>
      <c r="AI55" s="58">
        <f ca="1">(VLOOKUP(AH$2,$B$1:$F$32,5,0)*$L55)+IF(J55&gt;'NWGC - SCENARIOS'!$D$7,0,(VLOOKUP($K55,'Withdrawal Working'!$AD:$AE,2,0)*(IFERROR(VLOOKUP(AH$2,$B$35:$C$42,2,0),0))))</f>
        <v>0</v>
      </c>
      <c r="AJ55" s="58">
        <f ca="1">IFERROR(IF($J55&gt;'NWGC - SCENARIOS'!$D$7,MIN('Yoy WAR OG'!AH55,VLOOKUP('Yoy WAR OG'!$J55,'Withdrawal Working'!BC:BD,2,0)),IF(AL$3=1,$M55,IF(HLOOKUP(CONCATENATE("Balance",AL$3-1),'Withdrawal Working'!$A$2:$CD$78,MATCH('Yoy WAR OG'!$J55,'Withdrawal Working'!$A$2:$A$78,0),FALSE)&gt;0,MIN(HLOOKUP(CONCATENATE("Balance",AL$3-1),'Withdrawal Working'!$A$2:$CD$78,MATCH('Yoy WAR OG'!$J55,'Withdrawal Working'!$A$2:$A$78,0),0),AH55),0))),0)</f>
        <v>0</v>
      </c>
      <c r="AK55" s="58">
        <f t="shared" ca="1" si="54"/>
        <v>0</v>
      </c>
      <c r="AN55" s="450">
        <f t="shared" ca="1" si="30"/>
        <v>560886549.09120321</v>
      </c>
      <c r="AO55" s="58">
        <f ca="1">IF(J55&gt;'NWGC - SCENARIOS'!$D$7,(IF(AJ55=0,0,'Yoy WAR OG'!AJ55)+(VLOOKUP(AN$2,$B$1:$F$32,5,0)*$L55)),(VLOOKUP(AN$2,$B$1:$F$32,5,0)*$L55)+(VLOOKUP($K55,'Withdrawal Working'!$AD:$AE,2,0)*(IFERROR(VLOOKUP(AN$2,$B$35:$C$42,2,0),0))))</f>
        <v>0</v>
      </c>
      <c r="AP55" s="470">
        <f ca="1">IFERROR(IF($K55&lt;&gt;VLOOKUP(AN$2,$B:$H,7,0),IF(AR$3=1,MIN($M55,AN55),IF(HLOOKUP(CONCATENATE("Balance",AR$3-1),'Withdrawal Working'!$A$2:$CD$78,MATCH('Yoy WAR OG'!$J55,'Withdrawal Working'!$A$2:$A$78,0),FALSE)&gt;0,MIN(HLOOKUP(CONCATENATE("Balance",AR$3-1),'Withdrawal Working'!$A$2:$CD$78,MATCH('Yoy WAR OG'!$J55,'Withdrawal Working'!$A$2:$A$78,0),0),AN55),0)),IF($K55=VLOOKUP(AN$2,$B:$H,7,0),AN55,)),0)</f>
        <v>111923022.19490159</v>
      </c>
      <c r="AQ55" s="58">
        <f ca="1">IF(AO55&lt;0,0,IF(J55&gt;'NWGC - SCENARIOS'!$D$7,((AN55-AP55+AO55)*(1+(IFERROR(VLOOKUP(AN$2,$B:$D,3,0),0)))),((AN55-AP55)*(1+(IFERROR(VLOOKUP(AN$2,$B:$D,3,0),0))))+AO55))</f>
        <v>473656520.87559819</v>
      </c>
      <c r="AT55" s="450">
        <f t="shared" ca="1" si="31"/>
        <v>0</v>
      </c>
      <c r="AU55" s="58">
        <f ca="1">(VLOOKUP(AT$2,$B$1:$F$32,5,0)*$L55)+(VLOOKUP($K55,'Withdrawal Working'!$AD:$AE,2,0)*(IFERROR(VLOOKUP(AT$2,$B$35:$C$42,2,0),0)))</f>
        <v>0</v>
      </c>
      <c r="AV55" s="58">
        <f>IFERROR(IF($K55&lt;VLOOKUP(AT$2,$B:$H,7,0),IF(AX$3=1,MIN($M55,AT55),IF(HLOOKUP(CONCATENATE("Balance",AX$3-1),'Withdrawal Working'!$A$2:$CD$78,MATCH('Yoy WAR OG'!$J55,'Withdrawal Working'!$A$2:$A$78,0),FALSE)&gt;0,MIN(HLOOKUP(CONCATENATE("Balance",AX$3-1),'Withdrawal Working'!$A$2:$CD$78,MATCH('Yoy WAR OG'!$J55,'Withdrawal Working'!$A$2:$A$78,0),0),AT55),0)),IF($K55=VLOOKUP(AT$2,$B:$H,7,0),AT55,)),0)</f>
        <v>0</v>
      </c>
      <c r="AW55" s="58">
        <f t="shared" ca="1" si="55"/>
        <v>0</v>
      </c>
      <c r="AZ55" s="450">
        <f t="shared" ca="1" si="32"/>
        <v>126076067.26994559</v>
      </c>
      <c r="BA55" s="58">
        <f ca="1">(VLOOKUP(AZ$2,$B$1:$F$32,5,0)*$L55)+(VLOOKUP($K55,'Withdrawal Working'!$AD:$AE,2,0)*(IFERROR(VLOOKUP(AZ$2,$B$35:$C$42,2,0),0)))</f>
        <v>0</v>
      </c>
      <c r="BB55" s="58">
        <f>IFERROR(IF($K55&lt;VLOOKUP(AZ$2,$B:$H,7,0),IF(BD$3=1,MIN($M55,AZ55),IF(HLOOKUP(CONCATENATE("Balance",BD$3-1),'Withdrawal Working'!$A$2:$CD$78,MATCH('Yoy WAR OG'!$J55,'Withdrawal Working'!$A$2:$A$78,0),FALSE)&gt;0,MIN(HLOOKUP(CONCATENATE("Balance",BD$3-1),'Withdrawal Working'!$A$2:$CD$78,MATCH('Yoy WAR OG'!$J55,'Withdrawal Working'!$A$2:$A$78,0),0),AZ55),0)),IF($K55=VLOOKUP(AZ$2,$B:$H,7,0),AZ55,)),0)</f>
        <v>0</v>
      </c>
      <c r="BC55" s="58">
        <f t="shared" ca="1" si="56"/>
        <v>134901391.97884178</v>
      </c>
      <c r="BF55" s="450">
        <f t="shared" ca="1" si="33"/>
        <v>0</v>
      </c>
      <c r="BG55" s="58">
        <f ca="1">(VLOOKUP(BF$2,$B$1:$F$32,5,0)*$L55)+(VLOOKUP($K55,'Withdrawal Working'!$AD:$AE,2,0)*(IFERROR(VLOOKUP(BF$2,$B$35:$C$42,2,0),0)))</f>
        <v>0</v>
      </c>
      <c r="BH55" s="58">
        <f>IFERROR(IF($K55&lt;VLOOKUP(BF$2,$B:$H,7,0),IF(BJ$3=1,MIN($M55,BF55),IF(HLOOKUP(CONCATENATE("Balance",BJ$3-1),'Withdrawal Working'!$A$2:$CD$78,MATCH('Yoy WAR OG'!$J55,'Withdrawal Working'!$A$2:$A$78,0),FALSE)&gt;0,MIN(HLOOKUP(CONCATENATE("Balance",BJ$3-1),'Withdrawal Working'!$A$2:$CD$78,MATCH('Yoy WAR OG'!$J55,'Withdrawal Working'!$A$2:$A$78,0),0),BF55),0)),IF($K55=VLOOKUP(BF$2,$B:$H,7,0),BF55,)),0)</f>
        <v>0</v>
      </c>
      <c r="BI55" s="58">
        <f t="shared" ca="1" si="57"/>
        <v>0</v>
      </c>
      <c r="BL55" s="450">
        <f t="shared" ca="1" si="34"/>
        <v>0</v>
      </c>
      <c r="BM55" s="58">
        <f ca="1">(VLOOKUP(BL$2,$B$1:$F$32,5,0)*$L55)+(VLOOKUP($K55,'Withdrawal Working'!$AD:$AE,2,0)*(IFERROR(VLOOKUP(BL$2,$B$35:$C$42,2,0),0)))</f>
        <v>0</v>
      </c>
      <c r="BN55" s="58">
        <f>IFERROR(IF($K55&lt;VLOOKUP(BL$2,$B:$H,7,0),IF(BP$3=1,MIN($M55,BL55),IF(HLOOKUP(CONCATENATE("Balance",BP$3-1),'Withdrawal Working'!$A$2:$CD$78,MATCH('Yoy WAR OG'!$J55,'Withdrawal Working'!$A$2:$A$78,0),FALSE)&gt;0,MIN(HLOOKUP(CONCATENATE("Balance",BP$3-1),'Withdrawal Working'!$A$2:$CD$78,MATCH('Yoy WAR OG'!$J55,'Withdrawal Working'!$A$2:$A$78,0),0),BL55),0)),IF($K55=VLOOKUP(BL$2,$B:$H,7,0),BL55,)),0)</f>
        <v>0</v>
      </c>
      <c r="BO55" s="58">
        <f t="shared" ca="1" si="58"/>
        <v>0</v>
      </c>
      <c r="BR55" s="450">
        <f t="shared" ca="1" si="35"/>
        <v>0</v>
      </c>
      <c r="BS55" s="58">
        <f ca="1">(VLOOKUP(BR$2,$B$1:$F$32,5,0)*$L55)+(VLOOKUP($K55,'Withdrawal Working'!$AD:$AE,2,0)*(IFERROR(VLOOKUP(BR$2,$B$35:$C$42,2,0),0)))</f>
        <v>0</v>
      </c>
      <c r="BT55" s="58">
        <f>IFERROR(IF($K55&lt;VLOOKUP(BR$2,$B:$H,7,0),IF(BV$3=1,MIN($M55,BR55),IF(HLOOKUP(CONCATENATE("Balance",BV$3-1),'Withdrawal Working'!$A$2:$CD$78,MATCH('Yoy WAR OG'!$J55,'Withdrawal Working'!$A$2:$A$78,0),FALSE)&gt;0,MIN(HLOOKUP(CONCATENATE("Balance",BV$3-1),'Withdrawal Working'!$A$2:$CD$78,MATCH('Yoy WAR OG'!$J55,'Withdrawal Working'!$A$2:$A$78,0),0),BR55),0)),IF($K55=VLOOKUP(BR$2,$B:$H,7,0),BR55,)),0)</f>
        <v>0</v>
      </c>
      <c r="BU55" s="58">
        <f t="shared" ca="1" si="59"/>
        <v>0</v>
      </c>
      <c r="BX55" s="450">
        <f t="shared" ca="1" si="36"/>
        <v>0</v>
      </c>
      <c r="BY55" s="58">
        <f ca="1">(VLOOKUP(BX$2,$B$1:$F$32,5,0)*$L55)+(VLOOKUP($K55,'Withdrawal Working'!$AD:$AE,2,0)*(IFERROR(VLOOKUP(BX$2,$B$35:$C$42,2,0),0)))</f>
        <v>0</v>
      </c>
      <c r="BZ55" s="58">
        <f>IFERROR(IF($K55&lt;VLOOKUP(BX$2,$B:$H,7,0),IF(CB$3=1,MIN($M55,BX55),IF(HLOOKUP(CONCATENATE("Balance",CB$3-1),'Withdrawal Working'!$A$2:$CD$78,MATCH('Yoy WAR OG'!$J55,'Withdrawal Working'!$A$2:$A$78,0),FALSE)&gt;0,MIN(HLOOKUP(CONCATENATE("Balance",CB$3-1),'Withdrawal Working'!$A$2:$CD$78,MATCH('Yoy WAR OG'!$J55,'Withdrawal Working'!$A$2:$A$78,0),0),BX55),0)),IF($K55=VLOOKUP(BX$2,$B:$H,7,0),BX55,)),0)</f>
        <v>0</v>
      </c>
      <c r="CA55" s="58">
        <f t="shared" ca="1" si="60"/>
        <v>0</v>
      </c>
      <c r="CD55" s="450">
        <f t="shared" ca="1" si="37"/>
        <v>82220157.380851552</v>
      </c>
      <c r="CE55" s="58">
        <f ca="1">(VLOOKUP(CD$2,$B$1:$F$32,5,0)*$L55)+(VLOOKUP($K55,'Withdrawal Working'!$AD:$AE,2,0)*(IFERROR(VLOOKUP(CD$2,$B$35:$C$42,2,0),0)))+SUMIFS('Key Life Events'!$I$3:$I$28,'Key Life Events'!$H$3:$H$28,"House",'Key Life Events'!$E$3:$E$28,'Yoy WAR OG'!K55)</f>
        <v>0</v>
      </c>
      <c r="CF55" s="58">
        <f>IFERROR(IF($K55&lt;VLOOKUP(CD$2,$B:$H,7,0),IF(CH$3=1,MIN($M55,CD55),IF(HLOOKUP(CONCATENATE("Balance",CH$3-1),'Withdrawal Working'!$A$2:$CD$78,MATCH('Yoy WAR OG'!$J55,'Withdrawal Working'!$A$2:$A$78,0),FALSE)&gt;0,MIN(HLOOKUP(CONCATENATE("Balance",CH$3-1),'Withdrawal Working'!$A$2:$CD$78,MATCH('Yoy WAR OG'!$J55,'Withdrawal Working'!$A$2:$A$78,0),0),CD55),0)),IF($K55=VLOOKUP(CD$2,$B:$H,7,0),CD55,)),0)</f>
        <v>0</v>
      </c>
      <c r="CG55" s="58">
        <f t="shared" ca="1" si="61"/>
        <v>84686762.1022771</v>
      </c>
      <c r="CJ55" s="450">
        <f t="shared" ca="1" si="38"/>
        <v>0</v>
      </c>
      <c r="CK55" s="58">
        <f ca="1">(VLOOKUP(CJ$2,$B$1:$F$32,5,0)*$L55)+(VLOOKUP($K55,'Withdrawal Working'!$AD:$AE,2,0)*(IFERROR(VLOOKUP(CJ$2,$B$35:$C$42,2,0),0)))+SUMIFS('Key Life Events'!$I$3:$I$28,'Key Life Events'!$H$3:$H$28,"House2",'Key Life Events'!$E$3:$E$28,'Yoy WAR OG'!K55)</f>
        <v>0</v>
      </c>
      <c r="CL55" s="58">
        <f ca="1">IF(IFERROR(IF($K55&lt;&gt;VLOOKUP(CJ$2,$B:$H,7,0),IF(CN$3=1,MIN($M55,CJ55),IF(HLOOKUP(CONCATENATE("Balance",CN$3-1),'Withdrawal Working'!$A$2:$CD$78,MATCH('Yoy WAR OG'!$J55,'Withdrawal Working'!$A$2:$A$78,0),FALSE)&gt;0,MIN(HLOOKUP(CONCATENATE("Balance",CN$3-1),'Withdrawal Working'!$A$2:$CD$78,MATCH('Yoy WAR OG'!$J55,'Withdrawal Working'!$A$2:$A$78,0),0),CJ55),0)),IF($K55=VLOOKUP(CJ$2,$B:$H,7,0),CJ55,)),0)&gt;0,CJ55,0)</f>
        <v>0</v>
      </c>
      <c r="CM55" s="58">
        <f t="shared" ca="1" si="62"/>
        <v>0</v>
      </c>
      <c r="CP55" s="450">
        <f t="shared" ca="1" si="39"/>
        <v>30101924.437603444</v>
      </c>
      <c r="CQ55" s="58">
        <f ca="1">(VLOOKUP(CP$2,$B$1:$F$32,5,0)*$L55)+(VLOOKUP($K55,'Withdrawal Working'!$AD:$AE,2,0)*(IFERROR(VLOOKUP(CP$2,$B$35:$C$42,2,0),0)))+SUMIFS('Key Life Events'!$I$3:$I$28,'Key Life Events'!$H$3:$H$28,"Land",'Key Life Events'!$E$3:$E$28,'Yoy WAR OG'!K55)</f>
        <v>0</v>
      </c>
      <c r="CR55" s="58">
        <f>IFERROR(IF($K55&lt;VLOOKUP(CP$2,$B:$H,7,0),IF(CT$3=1,MIN($M55,CP55),IF(HLOOKUP(CONCATENATE("Balance",CT$3-1),'Withdrawal Working'!$A$2:$CD$78,MATCH('Yoy WAR OG'!$J55,'Withdrawal Working'!$A$2:$A$78,0),FALSE)&gt;0,MIN(HLOOKUP(CONCATENATE("Balance",CT$3-1),'Withdrawal Working'!$A$2:$CD$78,MATCH('Yoy WAR OG'!$J55,'Withdrawal Working'!$A$2:$A$78,0),0),CP55),0)),IF($K55=VLOOKUP(CP$2,$B:$H,7,0),CP55,)),0)</f>
        <v>0</v>
      </c>
      <c r="CS55" s="58">
        <f t="shared" ca="1" si="63"/>
        <v>31607020.659483619</v>
      </c>
      <c r="CV55" s="450">
        <f t="shared" ca="1" si="40"/>
        <v>0</v>
      </c>
      <c r="CW55" s="58"/>
      <c r="CX55" s="58">
        <f>IFERROR(IF($K55&lt;VLOOKUP(CV$2,$B:$H,7,0),IF(CZ$3=1,MIN($M55,CV55),IF(HLOOKUP(CONCATENATE("Balance",CZ$3-1),'Withdrawal Working'!$A$2:$CD$78,MATCH('Yoy WAR OG'!$J55,'Withdrawal Working'!$A$2:$A$78,0),FALSE)&gt;0,MIN(HLOOKUP(CONCATENATE("Balance",CZ$3-1),'Withdrawal Working'!$A$2:$CD$78,MATCH('Yoy WAR OG'!$J55,'Withdrawal Working'!$A$2:$A$78,0),0),CV55),0)),IF($K55=VLOOKUP(CV$2,$B:$H,7,0),CV55,)),0)</f>
        <v>0</v>
      </c>
      <c r="CY55" s="58">
        <f t="shared" ca="1" si="64"/>
        <v>0</v>
      </c>
      <c r="DB55" s="450">
        <f t="shared" ca="1" si="41"/>
        <v>0</v>
      </c>
      <c r="DC55" s="58">
        <f ca="1">(VLOOKUP(DB$2,$B$1:$F$32,5,0)*$L55)+(VLOOKUP($K55,'Withdrawal Working'!$AD:$AE,2,0)*(IFERROR(VLOOKUP(DB$2,$B$35:$C$42,2,0),0)))</f>
        <v>0</v>
      </c>
      <c r="DD55" s="58">
        <f>IFERROR(IF($K55&lt;VLOOKUP(DB$2,$B:$H,7,0),IF(DF$3=1,MIN($M55,DB55),IF(HLOOKUP(CONCATENATE("Balance",DF$3-1),'Withdrawal Working'!$A$2:$CD$78,MATCH('Yoy WAR OG'!$J55,'Withdrawal Working'!$A$2:$A$78,0),FALSE)&gt;0,MIN(HLOOKUP(CONCATENATE("Balance",DF$3-1),'Withdrawal Working'!$A$2:$CD$78,MATCH('Yoy WAR OG'!$J55,'Withdrawal Working'!$A$2:$A$78,0),0),DB55),0)),IF($K55=VLOOKUP(DB$2,$B:$H,7,0),DB55,)),0)</f>
        <v>0</v>
      </c>
      <c r="DE55" s="58">
        <f t="shared" ca="1" si="65"/>
        <v>0</v>
      </c>
      <c r="DH55" s="450">
        <f t="shared" ca="1" si="42"/>
        <v>0</v>
      </c>
      <c r="DI55" s="58">
        <f>IF(OR(J55&gt;'NWGC - SCENARIOS'!$D$7,J55='NWGC - SCENARIOS'!$D$7),0,DI54*(1+'NWGC - SCENARIOS'!$L$5))</f>
        <v>0</v>
      </c>
      <c r="DJ55" s="58">
        <f>IFERROR(IF($K55&lt;VLOOKUP(DH$2,$B:$H,7,0),IF(DL$3=1,MIN($M55,DH55),IF(HLOOKUP(CONCATENATE("Balance",DL$3-1),'Withdrawal Working'!$A$2:$CD$78,MATCH('Yoy WAR OG'!$J55,'Withdrawal Working'!$A$2:$A$78,0),FALSE)&gt;0,MIN(HLOOKUP(CONCATENATE("Balance",DL$3-1),'Withdrawal Working'!$A$2:$CD$78,MATCH('Yoy WAR OG'!$J55,'Withdrawal Working'!$A$2:$A$78,0),0),DH55),0)),IF($K55=VLOOKUP(DH$2,$B:$H,7,0),DH55,)),0)</f>
        <v>0</v>
      </c>
      <c r="DK55" s="58">
        <f t="shared" ca="1" si="66"/>
        <v>0</v>
      </c>
      <c r="DN55" s="450">
        <f t="shared" ca="1" si="43"/>
        <v>0</v>
      </c>
      <c r="DO55" s="58">
        <f ca="1">(VLOOKUP(DN$2,$B$1:$F$32,5,0)*$L55)+(VLOOKUP($K55,'Withdrawal Working'!$AD:$AE,2,0)*(IFERROR(VLOOKUP(DN$2,$B$35:$C$42,2,0),0)))</f>
        <v>0</v>
      </c>
      <c r="DP55" s="58">
        <f>IFERROR(IF($K55&lt;VLOOKUP(DN$2,$B:$H,7,0),IF(DR$3=1,MIN($M55,DN55),IF(HLOOKUP(CONCATENATE("Balance",DR$3-1),'Withdrawal Working'!$A$2:$CD$78,MATCH('Yoy WAR OG'!$J55,'Withdrawal Working'!$A$2:$A$78,0),FALSE)&gt;0,MIN(HLOOKUP(CONCATENATE("Balance",DR$3-1),'Withdrawal Working'!$A$2:$CD$78,MATCH('Yoy WAR OG'!$J55,'Withdrawal Working'!$A$2:$A$78,0),0),DN55),0)),IF($K55=VLOOKUP(DN$2,$B:$H,7,0),DN55,)),0)</f>
        <v>0</v>
      </c>
      <c r="DQ55" s="58">
        <f t="shared" ca="1" si="67"/>
        <v>0</v>
      </c>
      <c r="DT55" s="450">
        <f t="shared" ca="1" si="44"/>
        <v>0</v>
      </c>
      <c r="DU55" s="58">
        <f ca="1">(VLOOKUP(DT$2,$B$1:$F$32,5,0)*$L55)+(VLOOKUP($K55,'Withdrawal Working'!$AD:$AE,2,0)*(IFERROR(VLOOKUP(DT$2,$B$35:$C$42,2,0),0)))</f>
        <v>0</v>
      </c>
      <c r="DV55" s="58">
        <f>IFERROR(IF($K55&lt;VLOOKUP(DT$2,$B:$H,7,0),IF(DX$3=1,MIN($M55,DT55),IF(HLOOKUP(CONCATENATE("Balance",DX$3-1),'Withdrawal Working'!$A$2:$CD$78,MATCH('Yoy WAR OG'!$J55,'Withdrawal Working'!$A$2:$A$78,0),FALSE)&gt;0,MIN(HLOOKUP(CONCATENATE("Balance",DX$3-1),'Withdrawal Working'!$A$2:$CD$78,MATCH('Yoy WAR OG'!$J55,'Withdrawal Working'!$A$2:$A$78,0),0),DT55),0)),IF($K55=VLOOKUP(DT$2,$B:$H,7,0),DT55,)),0)</f>
        <v>0</v>
      </c>
      <c r="DW55" s="58">
        <f t="shared" ca="1" si="68"/>
        <v>0</v>
      </c>
      <c r="DZ55" s="450">
        <f t="shared" ca="1" si="45"/>
        <v>0</v>
      </c>
      <c r="EA55" s="58">
        <f ca="1">(VLOOKUP(DZ$2,$B$1:$F$32,5,0)*$L55)+(VLOOKUP($K55,'Withdrawal Working'!$AD:$AE,2,0)*(IFERROR(VLOOKUP(DZ$2,$B$35:$C$42,2,0),0)))</f>
        <v>0</v>
      </c>
      <c r="EB55" s="58">
        <f>IFERROR(IF($K55&lt;VLOOKUP(DZ$2,$B:$H,7,0),IF(ED$3=1,MIN($M55,DZ55),IF(HLOOKUP(CONCATENATE("Balance",ED$3-1),'Withdrawal Working'!$A$2:$CD$78,MATCH('Yoy WAR OG'!$J55,'Withdrawal Working'!$A$2:$A$78,0),FALSE)&gt;0,MIN(HLOOKUP(CONCATENATE("Balance",ED$3-1),'Withdrawal Working'!$A$2:$CD$78,MATCH('Yoy WAR OG'!$J55,'Withdrawal Working'!$A$2:$A$78,0),0),DZ55),0)),IF($K55=VLOOKUP(DZ$2,$B:$H,7,0),DZ55,)),0)</f>
        <v>0</v>
      </c>
      <c r="EC55" s="58">
        <f t="shared" ca="1" si="69"/>
        <v>0</v>
      </c>
      <c r="EF55" s="450">
        <f t="shared" ca="1" si="46"/>
        <v>0</v>
      </c>
      <c r="EG55" s="58">
        <f ca="1">(VLOOKUP(EF$2,$B$1:$F$32,5,0)*$L55)+(VLOOKUP($K55,'Withdrawal Working'!$AD:$AE,2,0)*(IFERROR(VLOOKUP(EF$2,$B$35:$C$42,2,0),0)))</f>
        <v>0</v>
      </c>
      <c r="EH55" s="58">
        <f>IFERROR(IF($K55&lt;VLOOKUP(EF$2,$B:$H,7,0),IF(EJ$3=1,MIN($M55,EF55),IF(HLOOKUP(CONCATENATE("Balance",EJ$3-1),'Withdrawal Working'!$A$2:$CD$78,MATCH('Yoy WAR OG'!$J55,'Withdrawal Working'!$A$2:$A$78,0),FALSE)&gt;0,MIN(HLOOKUP(CONCATENATE("Balance",EJ$3-1),'Withdrawal Working'!$A$2:$CD$78,MATCH('Yoy WAR OG'!$J55,'Withdrawal Working'!$A$2:$A$78,0),0),EF55),0)),IF($K55=VLOOKUP(EF$2,$B:$H,7,0),EF55,)),0)</f>
        <v>0</v>
      </c>
      <c r="EI55" s="58">
        <f t="shared" ca="1" si="70"/>
        <v>0</v>
      </c>
      <c r="EL55" s="450">
        <f t="shared" ca="1" si="47"/>
        <v>0</v>
      </c>
      <c r="EM55" s="58">
        <f>IF(OR($J55&gt;'NWGC - SCENARIOS'!$D$7,$J55='NWGC - SCENARIOS'!$D$7),0,EM54)</f>
        <v>0</v>
      </c>
      <c r="EN55" s="58">
        <f>IFERROR(IF($K55&lt;VLOOKUP(EL$2,$B:$H,7,0),IF(EP$3=1,MIN($M55,EL55),IF(HLOOKUP(CONCATENATE("Balance",EP$3-1),'Withdrawal Working'!$A$2:$CD$78,MATCH('Yoy WAR OG'!$J55,'Withdrawal Working'!$A$2:$A$78,0),FALSE)&gt;0,MIN(HLOOKUP(CONCATENATE("Balance",EP$3-1),'Withdrawal Working'!$A$2:$CD$78,MATCH('Yoy WAR OG'!$J55,'Withdrawal Working'!$A$2:$A$78,0),0),EL55),0)),IF($K55=VLOOKUP(EL$2,$B:$H,7,0),EL55,)),0)</f>
        <v>0</v>
      </c>
      <c r="EO55" s="58">
        <f t="shared" ca="1" si="71"/>
        <v>0</v>
      </c>
      <c r="ER55" s="450">
        <f t="shared" ca="1" si="48"/>
        <v>0</v>
      </c>
      <c r="ES55" s="58">
        <f>IF(OR(J55&gt;'NWGC - SCENARIOS'!$D$7,J55='NWGC - SCENARIOS'!$D$7),0,ES54*(1+'NWGC - SCENARIOS'!$L$5))</f>
        <v>0</v>
      </c>
      <c r="ET55" s="58">
        <f>IFERROR(IF($K55&lt;VLOOKUP(ER$2,$B:$H,7,0),IF(EV$3=1,MIN($M55,ER55),IF(HLOOKUP(CONCATENATE("Balance",EV$3-1),'Withdrawal Working'!$A$2:$CD$78,MATCH('Yoy WAR OG'!$J55,'Withdrawal Working'!$A$2:$A$78,0),FALSE)&gt;0,MIN(HLOOKUP(CONCATENATE("Balance",EV$3-1),'Withdrawal Working'!$A$2:$CD$78,MATCH('Yoy WAR OG'!$J55,'Withdrawal Working'!$A$2:$A$78,0),0),ER55),0)),IF($K55=VLOOKUP(ER$2,$B:$H,7,0),ER55,)),0)</f>
        <v>0</v>
      </c>
      <c r="EU55" s="58">
        <f t="shared" ca="1" si="72"/>
        <v>0</v>
      </c>
      <c r="EX55" s="450">
        <f t="shared" ca="1" si="49"/>
        <v>0</v>
      </c>
      <c r="EY55" s="58">
        <f>IF(OR(J55&gt;'NWGC - SCENARIOS'!$D$7,J55='NWGC - SCENARIOS'!$D$7),0,EY54)</f>
        <v>0</v>
      </c>
      <c r="EZ55" s="58">
        <f>IFERROR(IF($K55&lt;VLOOKUP(EX$2,$B:$H,7,0),IF(FB$3=1,MIN($M55,EX55),IF(HLOOKUP(CONCATENATE("Balance",FB$3-1),'Withdrawal Working'!$A$2:$CD$78,MATCH('Yoy WAR OG'!$J55,'Withdrawal Working'!$A$2:$A$78,0),FALSE)&gt;0,MIN(HLOOKUP(CONCATENATE("Balance",FB$3-1),'Withdrawal Working'!$A$2:$CD$78,MATCH('Yoy WAR OG'!$J55,'Withdrawal Working'!$A$2:$A$78,0),0),EX55),0)),IF($K55=VLOOKUP(EX$2,$B:$H,7,0),EX55,)),0)</f>
        <v>0</v>
      </c>
      <c r="FA55" s="58">
        <f t="shared" ca="1" si="73"/>
        <v>0</v>
      </c>
    </row>
    <row r="56" spans="10:157" x14ac:dyDescent="0.3">
      <c r="J56">
        <f>IFERROR('NWGC - SCENARIOS'!B63,0)</f>
        <v>101</v>
      </c>
      <c r="K56">
        <f>IFERROR('NWGC - SCENARIOS'!C63,0)</f>
        <v>2077</v>
      </c>
      <c r="L56" s="449">
        <f ca="1">IF(('NWGC - SCENARIOS'!G63-working!G54)&gt;'NWGC - SCENARIOS'!H63,'NWGC - SCENARIOS'!G63-'NWGC - SCENARIOS'!H63-working!G54,0)</f>
        <v>0</v>
      </c>
      <c r="M56" s="449">
        <f ca="1">IF(('NWGC - SCENARIOS'!G63-working!G54)&gt;'NWGC - SCENARIOS'!H63,0,'NWGC - SCENARIOS'!H63-'NWGC - SCENARIOS'!G63+working!G54)</f>
        <v>120883583.9704937</v>
      </c>
      <c r="N56" s="58">
        <f t="shared" ca="1" si="50"/>
        <v>372175448.43488526</v>
      </c>
      <c r="O56" s="58">
        <f t="shared" ca="1" si="51"/>
        <v>264759226.07516393</v>
      </c>
      <c r="P56" s="58">
        <f t="shared" ca="1" si="74"/>
        <v>0</v>
      </c>
      <c r="Q56" s="58">
        <f ca="1">(VLOOKUP(P$2,$B$1:$F$32,5,0)*$L56)+(VLOOKUP($K56,'Withdrawal Working'!$AD:$AE,2,0)*(IFERROR(VLOOKUP(P$2,$B$35:$C$42,2,0),0)))</f>
        <v>0</v>
      </c>
      <c r="R56" s="58">
        <f>IFERROR(IF($K56&lt;VLOOKUP(P$2,$B:$H,7,0),IF(T$3=1,MIN($M56,P56),IF(HLOOKUP(CONCATENATE("Balance",T$3-1),'Withdrawal Working'!$A$2:$CD$78,MATCH('Yoy WAR OG'!$J56,'Withdrawal Working'!$A$2:$A$78,0),FALSE)&gt;0,MIN(HLOOKUP(CONCATENATE("Balance",T$3-1),'Withdrawal Working'!$A$2:$CD$78,MATCH('Yoy WAR OG'!$J56,'Withdrawal Working'!$A$2:$A$78,0),0),P56),0)),IF($K56=VLOOKUP(P$2,$B:$H,7,0),P56,)),0)</f>
        <v>0</v>
      </c>
      <c r="S56" s="58">
        <f t="shared" ca="1" si="75"/>
        <v>0</v>
      </c>
      <c r="T56" s="58"/>
      <c r="V56" s="58">
        <f t="shared" ca="1" si="27"/>
        <v>0</v>
      </c>
      <c r="W56" s="58">
        <f ca="1">(VLOOKUP(V$2,$B$1:$F$32,5,0)*$L56)+(VLOOKUP($K56,'Withdrawal Working'!$AD:$AE,2,0)*(IFERROR(VLOOKUP(V$2,$B$35:$C$42,2,0),0)))</f>
        <v>0</v>
      </c>
      <c r="X56" s="58">
        <f>IFERROR(IF($K56&lt;VLOOKUP(V$2,$B:$H,7,0),IF(Z$3=1,MIN($M56,V56),IF(HLOOKUP(CONCATENATE("Balance",Z$3-1),'Withdrawal Working'!$A$2:$CD$78,MATCH('Yoy WAR OG'!$J56,'Withdrawal Working'!$A$2:$A$78,0),FALSE)&gt;0,MIN(HLOOKUP(CONCATENATE("Balance",Z$3-1),'Withdrawal Working'!$A$2:$CD$78,MATCH('Yoy WAR OG'!$J56,'Withdrawal Working'!$A$2:$A$78,0),0),V56),0)),IF($K56=VLOOKUP(V$2,$B:$H,7,0),V56,)),0)</f>
        <v>0</v>
      </c>
      <c r="Y56" s="58">
        <f t="shared" ca="1" si="52"/>
        <v>0</v>
      </c>
      <c r="AB56" s="58">
        <f t="shared" ca="1" si="28"/>
        <v>0</v>
      </c>
      <c r="AC56" s="58">
        <f ca="1">(VLOOKUP(AB$2,$B$1:$F$32,5,0)*$L56)+(VLOOKUP($K56,'Withdrawal Working'!$AD:$AE,2,0)*(IFERROR(VLOOKUP(AB$2,$B$35:$C$42,2,0),0)))</f>
        <v>0</v>
      </c>
      <c r="AE56" s="58">
        <f t="shared" ca="1" si="53"/>
        <v>0</v>
      </c>
      <c r="AH56" s="58">
        <f t="shared" ca="1" si="29"/>
        <v>0</v>
      </c>
      <c r="AI56" s="58">
        <f ca="1">(VLOOKUP(AH$2,$B$1:$F$32,5,0)*$L56)+IF(J56&gt;'NWGC - SCENARIOS'!$D$7,0,(VLOOKUP($K56,'Withdrawal Working'!$AD:$AE,2,0)*(IFERROR(VLOOKUP(AH$2,$B$35:$C$42,2,0),0))))</f>
        <v>0</v>
      </c>
      <c r="AJ56" s="58">
        <f>IFERROR(IF($J56&gt;'NWGC - SCENARIOS'!$D$7,MIN('Yoy WAR OG'!AH56,VLOOKUP('Yoy WAR OG'!$J56,'Withdrawal Working'!BC:BD,2,0)),IF(AL$3=1,$M56,IF(HLOOKUP(CONCATENATE("Balance",AL$3-1),'Withdrawal Working'!$A$2:$CD$78,MATCH('Yoy WAR OG'!$J56,'Withdrawal Working'!$A$2:$A$78,0),FALSE)&gt;0,MIN(HLOOKUP(CONCATENATE("Balance",AL$3-1),'Withdrawal Working'!$A$2:$CD$78,MATCH('Yoy WAR OG'!$J56,'Withdrawal Working'!$A$2:$A$78,0),0),AH56),0))),0)</f>
        <v>0</v>
      </c>
      <c r="AK56" s="58">
        <f t="shared" ca="1" si="54"/>
        <v>0</v>
      </c>
      <c r="AN56" s="450">
        <f t="shared" ca="1" si="30"/>
        <v>473656520.87559819</v>
      </c>
      <c r="AO56" s="58">
        <f ca="1">IF(J56&gt;'NWGC - SCENARIOS'!$D$7,(IF(AJ56=0,0,'Yoy WAR OG'!AJ56)+(VLOOKUP(AN$2,$B$1:$F$32,5,0)*$L56)),(VLOOKUP(AN$2,$B$1:$F$32,5,0)*$L56)+(VLOOKUP($K56,'Withdrawal Working'!$AD:$AE,2,0)*(IFERROR(VLOOKUP(AN$2,$B$35:$C$42,2,0),0))))</f>
        <v>0</v>
      </c>
      <c r="AP56" s="470">
        <f ca="1">IFERROR(IF($K56&lt;&gt;VLOOKUP(AN$2,$B:$H,7,0),IF(AR$3=1,MIN($M56,AN56),IF(HLOOKUP(CONCATENATE("Balance",AR$3-1),'Withdrawal Working'!$A$2:$CD$78,MATCH('Yoy WAR OG'!$J56,'Withdrawal Working'!$A$2:$A$78,0),FALSE)&gt;0,MIN(HLOOKUP(CONCATENATE("Balance",AR$3-1),'Withdrawal Working'!$A$2:$CD$78,MATCH('Yoy WAR OG'!$J56,'Withdrawal Working'!$A$2:$A$78,0),0),AN56),0)),IF($K56=VLOOKUP(AN$2,$B:$H,7,0),AN56,)),0)</f>
        <v>120883583.9704937</v>
      </c>
      <c r="AQ56" s="58">
        <f ca="1">IF(AO56&lt;0,0,IF(J56&gt;'NWGC - SCENARIOS'!$D$7,((AN56-AP56+AO56)*(1+(IFERROR(VLOOKUP(AN$2,$B:$D,3,0),0)))),((AN56-AP56)*(1+(IFERROR(VLOOKUP(AN$2,$B:$D,3,0),0))))+AO56))</f>
        <v>372175448.43488526</v>
      </c>
      <c r="AT56" s="450">
        <f t="shared" ca="1" si="31"/>
        <v>0</v>
      </c>
      <c r="AU56" s="58">
        <f ca="1">(VLOOKUP(AT$2,$B$1:$F$32,5,0)*$L56)+(VLOOKUP($K56,'Withdrawal Working'!$AD:$AE,2,0)*(IFERROR(VLOOKUP(AT$2,$B$35:$C$42,2,0),0)))</f>
        <v>0</v>
      </c>
      <c r="AV56" s="58">
        <f>IFERROR(IF($K56&lt;VLOOKUP(AT$2,$B:$H,7,0),IF(AX$3=1,MIN($M56,AT56),IF(HLOOKUP(CONCATENATE("Balance",AX$3-1),'Withdrawal Working'!$A$2:$CD$78,MATCH('Yoy WAR OG'!$J56,'Withdrawal Working'!$A$2:$A$78,0),FALSE)&gt;0,MIN(HLOOKUP(CONCATENATE("Balance",AX$3-1),'Withdrawal Working'!$A$2:$CD$78,MATCH('Yoy WAR OG'!$J56,'Withdrawal Working'!$A$2:$A$78,0),0),AT56),0)),IF($K56=VLOOKUP(AT$2,$B:$H,7,0),AT56,)),0)</f>
        <v>0</v>
      </c>
      <c r="AW56" s="58">
        <f t="shared" ca="1" si="55"/>
        <v>0</v>
      </c>
      <c r="AZ56" s="450">
        <f t="shared" ca="1" si="32"/>
        <v>134901391.97884178</v>
      </c>
      <c r="BA56" s="58">
        <f ca="1">(VLOOKUP(AZ$2,$B$1:$F$32,5,0)*$L56)+(VLOOKUP($K56,'Withdrawal Working'!$AD:$AE,2,0)*(IFERROR(VLOOKUP(AZ$2,$B$35:$C$42,2,0),0)))</f>
        <v>0</v>
      </c>
      <c r="BB56" s="58">
        <f>IFERROR(IF($K56&lt;VLOOKUP(AZ$2,$B:$H,7,0),IF(BD$3=1,MIN($M56,AZ56),IF(HLOOKUP(CONCATENATE("Balance",BD$3-1),'Withdrawal Working'!$A$2:$CD$78,MATCH('Yoy WAR OG'!$J56,'Withdrawal Working'!$A$2:$A$78,0),FALSE)&gt;0,MIN(HLOOKUP(CONCATENATE("Balance",BD$3-1),'Withdrawal Working'!$A$2:$CD$78,MATCH('Yoy WAR OG'!$J56,'Withdrawal Working'!$A$2:$A$78,0),0),AZ56),0)),IF($K56=VLOOKUP(AZ$2,$B:$H,7,0),AZ56,)),0)</f>
        <v>0</v>
      </c>
      <c r="BC56" s="58">
        <f t="shared" ca="1" si="56"/>
        <v>144344489.41736072</v>
      </c>
      <c r="BF56" s="450">
        <f t="shared" ca="1" si="33"/>
        <v>0</v>
      </c>
      <c r="BG56" s="58">
        <f ca="1">(VLOOKUP(BF$2,$B$1:$F$32,5,0)*$L56)+(VLOOKUP($K56,'Withdrawal Working'!$AD:$AE,2,0)*(IFERROR(VLOOKUP(BF$2,$B$35:$C$42,2,0),0)))</f>
        <v>0</v>
      </c>
      <c r="BH56" s="58">
        <f>IFERROR(IF($K56&lt;VLOOKUP(BF$2,$B:$H,7,0),IF(BJ$3=1,MIN($M56,BF56),IF(HLOOKUP(CONCATENATE("Balance",BJ$3-1),'Withdrawal Working'!$A$2:$CD$78,MATCH('Yoy WAR OG'!$J56,'Withdrawal Working'!$A$2:$A$78,0),FALSE)&gt;0,MIN(HLOOKUP(CONCATENATE("Balance",BJ$3-1),'Withdrawal Working'!$A$2:$CD$78,MATCH('Yoy WAR OG'!$J56,'Withdrawal Working'!$A$2:$A$78,0),0),BF56),0)),IF($K56=VLOOKUP(BF$2,$B:$H,7,0),BF56,)),0)</f>
        <v>0</v>
      </c>
      <c r="BI56" s="58">
        <f t="shared" ca="1" si="57"/>
        <v>0</v>
      </c>
      <c r="BL56" s="450">
        <f t="shared" ca="1" si="34"/>
        <v>0</v>
      </c>
      <c r="BM56" s="58">
        <f ca="1">(VLOOKUP(BL$2,$B$1:$F$32,5,0)*$L56)+(VLOOKUP($K56,'Withdrawal Working'!$AD:$AE,2,0)*(IFERROR(VLOOKUP(BL$2,$B$35:$C$42,2,0),0)))</f>
        <v>0</v>
      </c>
      <c r="BN56" s="58">
        <f>IFERROR(IF($K56&lt;VLOOKUP(BL$2,$B:$H,7,0),IF(BP$3=1,MIN($M56,BL56),IF(HLOOKUP(CONCATENATE("Balance",BP$3-1),'Withdrawal Working'!$A$2:$CD$78,MATCH('Yoy WAR OG'!$J56,'Withdrawal Working'!$A$2:$A$78,0),FALSE)&gt;0,MIN(HLOOKUP(CONCATENATE("Balance",BP$3-1),'Withdrawal Working'!$A$2:$CD$78,MATCH('Yoy WAR OG'!$J56,'Withdrawal Working'!$A$2:$A$78,0),0),BL56),0)),IF($K56=VLOOKUP(BL$2,$B:$H,7,0),BL56,)),0)</f>
        <v>0</v>
      </c>
      <c r="BO56" s="58">
        <f t="shared" ca="1" si="58"/>
        <v>0</v>
      </c>
      <c r="BR56" s="450">
        <f t="shared" ca="1" si="35"/>
        <v>0</v>
      </c>
      <c r="BS56" s="58">
        <f ca="1">(VLOOKUP(BR$2,$B$1:$F$32,5,0)*$L56)+(VLOOKUP($K56,'Withdrawal Working'!$AD:$AE,2,0)*(IFERROR(VLOOKUP(BR$2,$B$35:$C$42,2,0),0)))</f>
        <v>0</v>
      </c>
      <c r="BT56" s="58">
        <f>IFERROR(IF($K56&lt;VLOOKUP(BR$2,$B:$H,7,0),IF(BV$3=1,MIN($M56,BR56),IF(HLOOKUP(CONCATENATE("Balance",BV$3-1),'Withdrawal Working'!$A$2:$CD$78,MATCH('Yoy WAR OG'!$J56,'Withdrawal Working'!$A$2:$A$78,0),FALSE)&gt;0,MIN(HLOOKUP(CONCATENATE("Balance",BV$3-1),'Withdrawal Working'!$A$2:$CD$78,MATCH('Yoy WAR OG'!$J56,'Withdrawal Working'!$A$2:$A$78,0),0),BR56),0)),IF($K56=VLOOKUP(BR$2,$B:$H,7,0),BR56,)),0)</f>
        <v>0</v>
      </c>
      <c r="BU56" s="58">
        <f t="shared" ca="1" si="59"/>
        <v>0</v>
      </c>
      <c r="BX56" s="450">
        <f t="shared" ca="1" si="36"/>
        <v>0</v>
      </c>
      <c r="BY56" s="58">
        <f ca="1">(VLOOKUP(BX$2,$B$1:$F$32,5,0)*$L56)+(VLOOKUP($K56,'Withdrawal Working'!$AD:$AE,2,0)*(IFERROR(VLOOKUP(BX$2,$B$35:$C$42,2,0),0)))</f>
        <v>0</v>
      </c>
      <c r="BZ56" s="58">
        <f>IFERROR(IF($K56&lt;VLOOKUP(BX$2,$B:$H,7,0),IF(CB$3=1,MIN($M56,BX56),IF(HLOOKUP(CONCATENATE("Balance",CB$3-1),'Withdrawal Working'!$A$2:$CD$78,MATCH('Yoy WAR OG'!$J56,'Withdrawal Working'!$A$2:$A$78,0),FALSE)&gt;0,MIN(HLOOKUP(CONCATENATE("Balance",CB$3-1),'Withdrawal Working'!$A$2:$CD$78,MATCH('Yoy WAR OG'!$J56,'Withdrawal Working'!$A$2:$A$78,0),0),BX56),0)),IF($K56=VLOOKUP(BX$2,$B:$H,7,0),BX56,)),0)</f>
        <v>0</v>
      </c>
      <c r="CA56" s="58">
        <f t="shared" ca="1" si="60"/>
        <v>0</v>
      </c>
      <c r="CD56" s="450">
        <f t="shared" ca="1" si="37"/>
        <v>84686762.1022771</v>
      </c>
      <c r="CE56" s="58">
        <f ca="1">(VLOOKUP(CD$2,$B$1:$F$32,5,0)*$L56)+(VLOOKUP($K56,'Withdrawal Working'!$AD:$AE,2,0)*(IFERROR(VLOOKUP(CD$2,$B$35:$C$42,2,0),0)))+SUMIFS('Key Life Events'!$I$3:$I$28,'Key Life Events'!$H$3:$H$28,"House",'Key Life Events'!$E$3:$E$28,'Yoy WAR OG'!K56)</f>
        <v>0</v>
      </c>
      <c r="CF56" s="58">
        <f>IFERROR(IF($K56&lt;VLOOKUP(CD$2,$B:$H,7,0),IF(CH$3=1,MIN($M56,CD56),IF(HLOOKUP(CONCATENATE("Balance",CH$3-1),'Withdrawal Working'!$A$2:$CD$78,MATCH('Yoy WAR OG'!$J56,'Withdrawal Working'!$A$2:$A$78,0),FALSE)&gt;0,MIN(HLOOKUP(CONCATENATE("Balance",CH$3-1),'Withdrawal Working'!$A$2:$CD$78,MATCH('Yoy WAR OG'!$J56,'Withdrawal Working'!$A$2:$A$78,0),0),CD56),0)),IF($K56=VLOOKUP(CD$2,$B:$H,7,0),CD56,)),0)</f>
        <v>0</v>
      </c>
      <c r="CG56" s="58">
        <f t="shared" ca="1" si="61"/>
        <v>87227364.965345412</v>
      </c>
      <c r="CJ56" s="450">
        <f t="shared" ca="1" si="38"/>
        <v>0</v>
      </c>
      <c r="CK56" s="58">
        <f ca="1">(VLOOKUP(CJ$2,$B$1:$F$32,5,0)*$L56)+(VLOOKUP($K56,'Withdrawal Working'!$AD:$AE,2,0)*(IFERROR(VLOOKUP(CJ$2,$B$35:$C$42,2,0),0)))+SUMIFS('Key Life Events'!$I$3:$I$28,'Key Life Events'!$H$3:$H$28,"House2",'Key Life Events'!$E$3:$E$28,'Yoy WAR OG'!K56)</f>
        <v>0</v>
      </c>
      <c r="CL56" s="58">
        <f ca="1">IF(IFERROR(IF($K56&lt;&gt;VLOOKUP(CJ$2,$B:$H,7,0),IF(CN$3=1,MIN($M56,CJ56),IF(HLOOKUP(CONCATENATE("Balance",CN$3-1),'Withdrawal Working'!$A$2:$CD$78,MATCH('Yoy WAR OG'!$J56,'Withdrawal Working'!$A$2:$A$78,0),FALSE)&gt;0,MIN(HLOOKUP(CONCATENATE("Balance",CN$3-1),'Withdrawal Working'!$A$2:$CD$78,MATCH('Yoy WAR OG'!$J56,'Withdrawal Working'!$A$2:$A$78,0),0),CJ56),0)),IF($K56=VLOOKUP(CJ$2,$B:$H,7,0),CJ56,)),0)&gt;0,CJ56,0)</f>
        <v>0</v>
      </c>
      <c r="CM56" s="58">
        <f t="shared" ca="1" si="62"/>
        <v>0</v>
      </c>
      <c r="CP56" s="450">
        <f t="shared" ca="1" si="39"/>
        <v>31607020.659483619</v>
      </c>
      <c r="CQ56" s="58">
        <f ca="1">(VLOOKUP(CP$2,$B$1:$F$32,5,0)*$L56)+(VLOOKUP($K56,'Withdrawal Working'!$AD:$AE,2,0)*(IFERROR(VLOOKUP(CP$2,$B$35:$C$42,2,0),0)))+SUMIFS('Key Life Events'!$I$3:$I$28,'Key Life Events'!$H$3:$H$28,"Land",'Key Life Events'!$E$3:$E$28,'Yoy WAR OG'!K56)</f>
        <v>0</v>
      </c>
      <c r="CR56" s="58">
        <f>IFERROR(IF($K56&lt;VLOOKUP(CP$2,$B:$H,7,0),IF(CT$3=1,MIN($M56,CP56),IF(HLOOKUP(CONCATENATE("Balance",CT$3-1),'Withdrawal Working'!$A$2:$CD$78,MATCH('Yoy WAR OG'!$J56,'Withdrawal Working'!$A$2:$A$78,0),FALSE)&gt;0,MIN(HLOOKUP(CONCATENATE("Balance",CT$3-1),'Withdrawal Working'!$A$2:$CD$78,MATCH('Yoy WAR OG'!$J56,'Withdrawal Working'!$A$2:$A$78,0),0),CP56),0)),IF($K56=VLOOKUP(CP$2,$B:$H,7,0),CP56,)),0)</f>
        <v>0</v>
      </c>
      <c r="CS56" s="58">
        <f t="shared" ca="1" si="63"/>
        <v>33187371.692457803</v>
      </c>
      <c r="CV56" s="450">
        <f t="shared" ca="1" si="40"/>
        <v>0</v>
      </c>
      <c r="CW56" s="58"/>
      <c r="CX56" s="58">
        <f>IFERROR(IF($K56&lt;VLOOKUP(CV$2,$B:$H,7,0),IF(CZ$3=1,MIN($M56,CV56),IF(HLOOKUP(CONCATENATE("Balance",CZ$3-1),'Withdrawal Working'!$A$2:$CD$78,MATCH('Yoy WAR OG'!$J56,'Withdrawal Working'!$A$2:$A$78,0),FALSE)&gt;0,MIN(HLOOKUP(CONCATENATE("Balance",CZ$3-1),'Withdrawal Working'!$A$2:$CD$78,MATCH('Yoy WAR OG'!$J56,'Withdrawal Working'!$A$2:$A$78,0),0),CV56),0)),IF($K56=VLOOKUP(CV$2,$B:$H,7,0),CV56,)),0)</f>
        <v>0</v>
      </c>
      <c r="CY56" s="58">
        <f t="shared" ca="1" si="64"/>
        <v>0</v>
      </c>
      <c r="DB56" s="450">
        <f t="shared" ca="1" si="41"/>
        <v>0</v>
      </c>
      <c r="DC56" s="58">
        <f ca="1">(VLOOKUP(DB$2,$B$1:$F$32,5,0)*$L56)+(VLOOKUP($K56,'Withdrawal Working'!$AD:$AE,2,0)*(IFERROR(VLOOKUP(DB$2,$B$35:$C$42,2,0),0)))</f>
        <v>0</v>
      </c>
      <c r="DD56" s="58">
        <f>IFERROR(IF($K56&lt;VLOOKUP(DB$2,$B:$H,7,0),IF(DF$3=1,MIN($M56,DB56),IF(HLOOKUP(CONCATENATE("Balance",DF$3-1),'Withdrawal Working'!$A$2:$CD$78,MATCH('Yoy WAR OG'!$J56,'Withdrawal Working'!$A$2:$A$78,0),FALSE)&gt;0,MIN(HLOOKUP(CONCATENATE("Balance",DF$3-1),'Withdrawal Working'!$A$2:$CD$78,MATCH('Yoy WAR OG'!$J56,'Withdrawal Working'!$A$2:$A$78,0),0),DB56),0)),IF($K56=VLOOKUP(DB$2,$B:$H,7,0),DB56,)),0)</f>
        <v>0</v>
      </c>
      <c r="DE56" s="58">
        <f t="shared" ca="1" si="65"/>
        <v>0</v>
      </c>
      <c r="DH56" s="450">
        <f t="shared" ca="1" si="42"/>
        <v>0</v>
      </c>
      <c r="DI56" s="58">
        <f>IF(OR(J56&gt;'NWGC - SCENARIOS'!$D$7,J56='NWGC - SCENARIOS'!$D$7),0,DI55*(1+'NWGC - SCENARIOS'!$L$5))</f>
        <v>0</v>
      </c>
      <c r="DJ56" s="58">
        <f>IFERROR(IF($K56&lt;VLOOKUP(DH$2,$B:$H,7,0),IF(DL$3=1,MIN($M56,DH56),IF(HLOOKUP(CONCATENATE("Balance",DL$3-1),'Withdrawal Working'!$A$2:$CD$78,MATCH('Yoy WAR OG'!$J56,'Withdrawal Working'!$A$2:$A$78,0),FALSE)&gt;0,MIN(HLOOKUP(CONCATENATE("Balance",DL$3-1),'Withdrawal Working'!$A$2:$CD$78,MATCH('Yoy WAR OG'!$J56,'Withdrawal Working'!$A$2:$A$78,0),0),DH56),0)),IF($K56=VLOOKUP(DH$2,$B:$H,7,0),DH56,)),0)</f>
        <v>0</v>
      </c>
      <c r="DK56" s="58">
        <f t="shared" ca="1" si="66"/>
        <v>0</v>
      </c>
      <c r="DN56" s="450">
        <f t="shared" ca="1" si="43"/>
        <v>0</v>
      </c>
      <c r="DO56" s="58">
        <f ca="1">(VLOOKUP(DN$2,$B$1:$F$32,5,0)*$L56)+(VLOOKUP($K56,'Withdrawal Working'!$AD:$AE,2,0)*(IFERROR(VLOOKUP(DN$2,$B$35:$C$42,2,0),0)))</f>
        <v>0</v>
      </c>
      <c r="DP56" s="58">
        <f>IFERROR(IF($K56&lt;VLOOKUP(DN$2,$B:$H,7,0),IF(DR$3=1,MIN($M56,DN56),IF(HLOOKUP(CONCATENATE("Balance",DR$3-1),'Withdrawal Working'!$A$2:$CD$78,MATCH('Yoy WAR OG'!$J56,'Withdrawal Working'!$A$2:$A$78,0),FALSE)&gt;0,MIN(HLOOKUP(CONCATENATE("Balance",DR$3-1),'Withdrawal Working'!$A$2:$CD$78,MATCH('Yoy WAR OG'!$J56,'Withdrawal Working'!$A$2:$A$78,0),0),DN56),0)),IF($K56=VLOOKUP(DN$2,$B:$H,7,0),DN56,)),0)</f>
        <v>0</v>
      </c>
      <c r="DQ56" s="58">
        <f t="shared" ca="1" si="67"/>
        <v>0</v>
      </c>
      <c r="DT56" s="450">
        <f t="shared" ca="1" si="44"/>
        <v>0</v>
      </c>
      <c r="DU56" s="58">
        <f ca="1">(VLOOKUP(DT$2,$B$1:$F$32,5,0)*$L56)+(VLOOKUP($K56,'Withdrawal Working'!$AD:$AE,2,0)*(IFERROR(VLOOKUP(DT$2,$B$35:$C$42,2,0),0)))</f>
        <v>0</v>
      </c>
      <c r="DV56" s="58">
        <f>IFERROR(IF($K56&lt;VLOOKUP(DT$2,$B:$H,7,0),IF(DX$3=1,MIN($M56,DT56),IF(HLOOKUP(CONCATENATE("Balance",DX$3-1),'Withdrawal Working'!$A$2:$CD$78,MATCH('Yoy WAR OG'!$J56,'Withdrawal Working'!$A$2:$A$78,0),FALSE)&gt;0,MIN(HLOOKUP(CONCATENATE("Balance",DX$3-1),'Withdrawal Working'!$A$2:$CD$78,MATCH('Yoy WAR OG'!$J56,'Withdrawal Working'!$A$2:$A$78,0),0),DT56),0)),IF($K56=VLOOKUP(DT$2,$B:$H,7,0),DT56,)),0)</f>
        <v>0</v>
      </c>
      <c r="DW56" s="58">
        <f t="shared" ca="1" si="68"/>
        <v>0</v>
      </c>
      <c r="DZ56" s="450">
        <f t="shared" ca="1" si="45"/>
        <v>0</v>
      </c>
      <c r="EA56" s="58">
        <f ca="1">(VLOOKUP(DZ$2,$B$1:$F$32,5,0)*$L56)+(VLOOKUP($K56,'Withdrawal Working'!$AD:$AE,2,0)*(IFERROR(VLOOKUP(DZ$2,$B$35:$C$42,2,0),0)))</f>
        <v>0</v>
      </c>
      <c r="EB56" s="58">
        <f>IFERROR(IF($K56&lt;VLOOKUP(DZ$2,$B:$H,7,0),IF(ED$3=1,MIN($M56,DZ56),IF(HLOOKUP(CONCATENATE("Balance",ED$3-1),'Withdrawal Working'!$A$2:$CD$78,MATCH('Yoy WAR OG'!$J56,'Withdrawal Working'!$A$2:$A$78,0),FALSE)&gt;0,MIN(HLOOKUP(CONCATENATE("Balance",ED$3-1),'Withdrawal Working'!$A$2:$CD$78,MATCH('Yoy WAR OG'!$J56,'Withdrawal Working'!$A$2:$A$78,0),0),DZ56),0)),IF($K56=VLOOKUP(DZ$2,$B:$H,7,0),DZ56,)),0)</f>
        <v>0</v>
      </c>
      <c r="EC56" s="58">
        <f t="shared" ca="1" si="69"/>
        <v>0</v>
      </c>
      <c r="EF56" s="450">
        <f t="shared" ca="1" si="46"/>
        <v>0</v>
      </c>
      <c r="EG56" s="58">
        <f ca="1">(VLOOKUP(EF$2,$B$1:$F$32,5,0)*$L56)+(VLOOKUP($K56,'Withdrawal Working'!$AD:$AE,2,0)*(IFERROR(VLOOKUP(EF$2,$B$35:$C$42,2,0),0)))</f>
        <v>0</v>
      </c>
      <c r="EH56" s="58">
        <f>IFERROR(IF($K56&lt;VLOOKUP(EF$2,$B:$H,7,0),IF(EJ$3=1,MIN($M56,EF56),IF(HLOOKUP(CONCATENATE("Balance",EJ$3-1),'Withdrawal Working'!$A$2:$CD$78,MATCH('Yoy WAR OG'!$J56,'Withdrawal Working'!$A$2:$A$78,0),FALSE)&gt;0,MIN(HLOOKUP(CONCATENATE("Balance",EJ$3-1),'Withdrawal Working'!$A$2:$CD$78,MATCH('Yoy WAR OG'!$J56,'Withdrawal Working'!$A$2:$A$78,0),0),EF56),0)),IF($K56=VLOOKUP(EF$2,$B:$H,7,0),EF56,)),0)</f>
        <v>0</v>
      </c>
      <c r="EI56" s="58">
        <f t="shared" ca="1" si="70"/>
        <v>0</v>
      </c>
      <c r="EL56" s="450">
        <f t="shared" ca="1" si="47"/>
        <v>0</v>
      </c>
      <c r="EM56" s="58">
        <f>IF(OR($J56&gt;'NWGC - SCENARIOS'!$D$7,$J56='NWGC - SCENARIOS'!$D$7),0,EM55)</f>
        <v>0</v>
      </c>
      <c r="EN56" s="58">
        <f>IFERROR(IF($K56&lt;VLOOKUP(EL$2,$B:$H,7,0),IF(EP$3=1,MIN($M56,EL56),IF(HLOOKUP(CONCATENATE("Balance",EP$3-1),'Withdrawal Working'!$A$2:$CD$78,MATCH('Yoy WAR OG'!$J56,'Withdrawal Working'!$A$2:$A$78,0),FALSE)&gt;0,MIN(HLOOKUP(CONCATENATE("Balance",EP$3-1),'Withdrawal Working'!$A$2:$CD$78,MATCH('Yoy WAR OG'!$J56,'Withdrawal Working'!$A$2:$A$78,0),0),EL56),0)),IF($K56=VLOOKUP(EL$2,$B:$H,7,0),EL56,)),0)</f>
        <v>0</v>
      </c>
      <c r="EO56" s="58">
        <f t="shared" ca="1" si="71"/>
        <v>0</v>
      </c>
      <c r="ER56" s="450">
        <f t="shared" ca="1" si="48"/>
        <v>0</v>
      </c>
      <c r="ES56" s="58">
        <f>IF(OR(J56&gt;'NWGC - SCENARIOS'!$D$7,J56='NWGC - SCENARIOS'!$D$7),0,ES55*(1+'NWGC - SCENARIOS'!$L$5))</f>
        <v>0</v>
      </c>
      <c r="ET56" s="58">
        <f>IFERROR(IF($K56&lt;VLOOKUP(ER$2,$B:$H,7,0),IF(EV$3=1,MIN($M56,ER56),IF(HLOOKUP(CONCATENATE("Balance",EV$3-1),'Withdrawal Working'!$A$2:$CD$78,MATCH('Yoy WAR OG'!$J56,'Withdrawal Working'!$A$2:$A$78,0),FALSE)&gt;0,MIN(HLOOKUP(CONCATENATE("Balance",EV$3-1),'Withdrawal Working'!$A$2:$CD$78,MATCH('Yoy WAR OG'!$J56,'Withdrawal Working'!$A$2:$A$78,0),0),ER56),0)),IF($K56=VLOOKUP(ER$2,$B:$H,7,0),ER56,)),0)</f>
        <v>0</v>
      </c>
      <c r="EU56" s="58">
        <f t="shared" ca="1" si="72"/>
        <v>0</v>
      </c>
      <c r="EX56" s="450">
        <f t="shared" ca="1" si="49"/>
        <v>0</v>
      </c>
      <c r="EY56" s="58">
        <f>IF(OR(J56&gt;'NWGC - SCENARIOS'!$D$7,J56='NWGC - SCENARIOS'!$D$7),0,EY55)</f>
        <v>0</v>
      </c>
      <c r="EZ56" s="58">
        <f>IFERROR(IF($K56&lt;VLOOKUP(EX$2,$B:$H,7,0),IF(FB$3=1,MIN($M56,EX56),IF(HLOOKUP(CONCATENATE("Balance",FB$3-1),'Withdrawal Working'!$A$2:$CD$78,MATCH('Yoy WAR OG'!$J56,'Withdrawal Working'!$A$2:$A$78,0),FALSE)&gt;0,MIN(HLOOKUP(CONCATENATE("Balance",FB$3-1),'Withdrawal Working'!$A$2:$CD$78,MATCH('Yoy WAR OG'!$J56,'Withdrawal Working'!$A$2:$A$78,0),0),EX56),0)),IF($K56=VLOOKUP(EX$2,$B:$H,7,0),EX56,)),0)</f>
        <v>0</v>
      </c>
      <c r="FA56" s="58">
        <f t="shared" ca="1" si="73"/>
        <v>0</v>
      </c>
    </row>
    <row r="57" spans="10:157" x14ac:dyDescent="0.3">
      <c r="J57">
        <f>IFERROR('NWGC - SCENARIOS'!B64,0)</f>
        <v>102</v>
      </c>
      <c r="K57">
        <f>IFERROR('NWGC - SCENARIOS'!C64,0)</f>
        <v>2078</v>
      </c>
      <c r="L57" s="449">
        <f ca="1">IF(('NWGC - SCENARIOS'!G64-working!G55)&gt;'NWGC - SCENARIOS'!H64,'NWGC - SCENARIOS'!G64-'NWGC - SCENARIOS'!H64-working!G55,0)</f>
        <v>0</v>
      </c>
      <c r="M57" s="449">
        <f ca="1">IF(('NWGC - SCENARIOS'!G64-working!G55)&gt;'NWGC - SCENARIOS'!H64,0,'NWGC - SCENARIOS'!H64-'NWGC - SCENARIOS'!G64+working!G55)</f>
        <v>130560990.68813318</v>
      </c>
      <c r="N57" s="58">
        <f t="shared" ca="1" si="50"/>
        <v>254903252.92282343</v>
      </c>
      <c r="O57" s="58">
        <f t="shared" ca="1" si="51"/>
        <v>279139529.86796248</v>
      </c>
      <c r="P57" s="58">
        <f t="shared" ca="1" si="74"/>
        <v>0</v>
      </c>
      <c r="Q57" s="58">
        <f ca="1">(VLOOKUP(P$2,$B$1:$F$32,5,0)*$L57)+(VLOOKUP($K57,'Withdrawal Working'!$AD:$AE,2,0)*(IFERROR(VLOOKUP(P$2,$B$35:$C$42,2,0),0)))</f>
        <v>0</v>
      </c>
      <c r="R57" s="58">
        <f>IFERROR(IF($K57&lt;VLOOKUP(P$2,$B:$H,7,0),IF(T$3=1,MIN($M57,P57),IF(HLOOKUP(CONCATENATE("Balance",T$3-1),'Withdrawal Working'!$A$2:$CD$78,MATCH('Yoy WAR OG'!$J57,'Withdrawal Working'!$A$2:$A$78,0),FALSE)&gt;0,MIN(HLOOKUP(CONCATENATE("Balance",T$3-1),'Withdrawal Working'!$A$2:$CD$78,MATCH('Yoy WAR OG'!$J57,'Withdrawal Working'!$A$2:$A$78,0),0),P57),0)),IF($K57=VLOOKUP(P$2,$B:$H,7,0),P57,)),0)</f>
        <v>0</v>
      </c>
      <c r="S57" s="58">
        <f t="shared" ca="1" si="75"/>
        <v>0</v>
      </c>
      <c r="T57" s="58"/>
      <c r="V57" s="58">
        <f t="shared" ca="1" si="27"/>
        <v>0</v>
      </c>
      <c r="W57" s="58">
        <f ca="1">(VLOOKUP(V$2,$B$1:$F$32,5,0)*$L57)+(VLOOKUP($K57,'Withdrawal Working'!$AD:$AE,2,0)*(IFERROR(VLOOKUP(V$2,$B$35:$C$42,2,0),0)))</f>
        <v>0</v>
      </c>
      <c r="X57" s="58">
        <f>IFERROR(IF($K57&lt;VLOOKUP(V$2,$B:$H,7,0),IF(Z$3=1,MIN($M57,V57),IF(HLOOKUP(CONCATENATE("Balance",Z$3-1),'Withdrawal Working'!$A$2:$CD$78,MATCH('Yoy WAR OG'!$J57,'Withdrawal Working'!$A$2:$A$78,0),FALSE)&gt;0,MIN(HLOOKUP(CONCATENATE("Balance",Z$3-1),'Withdrawal Working'!$A$2:$CD$78,MATCH('Yoy WAR OG'!$J57,'Withdrawal Working'!$A$2:$A$78,0),0),V57),0)),IF($K57=VLOOKUP(V$2,$B:$H,7,0),V57,)),0)</f>
        <v>0</v>
      </c>
      <c r="Y57" s="58">
        <f t="shared" ca="1" si="52"/>
        <v>0</v>
      </c>
      <c r="AB57" s="58">
        <f t="shared" ca="1" si="28"/>
        <v>0</v>
      </c>
      <c r="AC57" s="58">
        <f ca="1">(VLOOKUP(AB$2,$B$1:$F$32,5,0)*$L57)+(VLOOKUP($K57,'Withdrawal Working'!$AD:$AE,2,0)*(IFERROR(VLOOKUP(AB$2,$B$35:$C$42,2,0),0)))</f>
        <v>0</v>
      </c>
      <c r="AE57" s="58">
        <f t="shared" ca="1" si="53"/>
        <v>0</v>
      </c>
      <c r="AH57" s="58">
        <f t="shared" ca="1" si="29"/>
        <v>0</v>
      </c>
      <c r="AI57" s="58">
        <f ca="1">(VLOOKUP(AH$2,$B$1:$F$32,5,0)*$L57)+IF(J57&gt;'NWGC - SCENARIOS'!$D$7,0,(VLOOKUP($K57,'Withdrawal Working'!$AD:$AE,2,0)*(IFERROR(VLOOKUP(AH$2,$B$35:$C$42,2,0),0))))</f>
        <v>0</v>
      </c>
      <c r="AJ57" s="58">
        <f>IFERROR(IF($J57&gt;'NWGC - SCENARIOS'!$D$7,MIN('Yoy WAR OG'!AH57,VLOOKUP('Yoy WAR OG'!$J57,'Withdrawal Working'!BC:BD,2,0)),IF(AL$3=1,$M57,IF(HLOOKUP(CONCATENATE("Balance",AL$3-1),'Withdrawal Working'!$A$2:$CD$78,MATCH('Yoy WAR OG'!$J57,'Withdrawal Working'!$A$2:$A$78,0),FALSE)&gt;0,MIN(HLOOKUP(CONCATENATE("Balance",AL$3-1),'Withdrawal Working'!$A$2:$CD$78,MATCH('Yoy WAR OG'!$J57,'Withdrawal Working'!$A$2:$A$78,0),0),AH57),0))),0)</f>
        <v>0</v>
      </c>
      <c r="AK57" s="58">
        <f t="shared" ca="1" si="54"/>
        <v>0</v>
      </c>
      <c r="AN57" s="450">
        <f t="shared" ca="1" si="30"/>
        <v>372175448.43488526</v>
      </c>
      <c r="AO57" s="58">
        <f ca="1">IF(J57&gt;'NWGC - SCENARIOS'!$D$7,(IF(AJ57=0,0,'Yoy WAR OG'!AJ57)+(VLOOKUP(AN$2,$B$1:$F$32,5,0)*$L57)),(VLOOKUP(AN$2,$B$1:$F$32,5,0)*$L57)+(VLOOKUP($K57,'Withdrawal Working'!$AD:$AE,2,0)*(IFERROR(VLOOKUP(AN$2,$B$35:$C$42,2,0),0))))</f>
        <v>0</v>
      </c>
      <c r="AP57" s="470">
        <f ca="1">IFERROR(IF($K57&lt;&gt;VLOOKUP(AN$2,$B:$H,7,0),IF(AR$3=1,MIN($M57,AN57),IF(HLOOKUP(CONCATENATE("Balance",AR$3-1),'Withdrawal Working'!$A$2:$CD$78,MATCH('Yoy WAR OG'!$J57,'Withdrawal Working'!$A$2:$A$78,0),FALSE)&gt;0,MIN(HLOOKUP(CONCATENATE("Balance",AR$3-1),'Withdrawal Working'!$A$2:$CD$78,MATCH('Yoy WAR OG'!$J57,'Withdrawal Working'!$A$2:$A$78,0),0),AN57),0)),IF($K57=VLOOKUP(AN$2,$B:$H,7,0),AN57,)),0)</f>
        <v>130560990.68813318</v>
      </c>
      <c r="AQ57" s="58">
        <f ca="1">IF(AO57&lt;0,0,IF(J57&gt;'NWGC - SCENARIOS'!$D$7,((AN57-AP57+AO57)*(1+(IFERROR(VLOOKUP(AN$2,$B:$D,3,0),0)))),((AN57-AP57)*(1+(IFERROR(VLOOKUP(AN$2,$B:$D,3,0),0))))+AO57))</f>
        <v>254903252.92282343</v>
      </c>
      <c r="AT57" s="450">
        <f t="shared" ca="1" si="31"/>
        <v>0</v>
      </c>
      <c r="AU57" s="58">
        <f ca="1">(VLOOKUP(AT$2,$B$1:$F$32,5,0)*$L57)+(VLOOKUP($K57,'Withdrawal Working'!$AD:$AE,2,0)*(IFERROR(VLOOKUP(AT$2,$B$35:$C$42,2,0),0)))</f>
        <v>0</v>
      </c>
      <c r="AV57" s="58">
        <f>IFERROR(IF($K57&lt;VLOOKUP(AT$2,$B:$H,7,0),IF(AX$3=1,MIN($M57,AT57),IF(HLOOKUP(CONCATENATE("Balance",AX$3-1),'Withdrawal Working'!$A$2:$CD$78,MATCH('Yoy WAR OG'!$J57,'Withdrawal Working'!$A$2:$A$78,0),FALSE)&gt;0,MIN(HLOOKUP(CONCATENATE("Balance",AX$3-1),'Withdrawal Working'!$A$2:$CD$78,MATCH('Yoy WAR OG'!$J57,'Withdrawal Working'!$A$2:$A$78,0),0),AT57),0)),IF($K57=VLOOKUP(AT$2,$B:$H,7,0),AT57,)),0)</f>
        <v>0</v>
      </c>
      <c r="AW57" s="58">
        <f t="shared" ca="1" si="55"/>
        <v>0</v>
      </c>
      <c r="AZ57" s="450">
        <f t="shared" ca="1" si="32"/>
        <v>144344489.41736072</v>
      </c>
      <c r="BA57" s="58">
        <f ca="1">(VLOOKUP(AZ$2,$B$1:$F$32,5,0)*$L57)+(VLOOKUP($K57,'Withdrawal Working'!$AD:$AE,2,0)*(IFERROR(VLOOKUP(AZ$2,$B$35:$C$42,2,0),0)))</f>
        <v>0</v>
      </c>
      <c r="BB57" s="58">
        <f>IFERROR(IF($K57&lt;VLOOKUP(AZ$2,$B:$H,7,0),IF(BD$3=1,MIN($M57,AZ57),IF(HLOOKUP(CONCATENATE("Balance",BD$3-1),'Withdrawal Working'!$A$2:$CD$78,MATCH('Yoy WAR OG'!$J57,'Withdrawal Working'!$A$2:$A$78,0),FALSE)&gt;0,MIN(HLOOKUP(CONCATENATE("Balance",BD$3-1),'Withdrawal Working'!$A$2:$CD$78,MATCH('Yoy WAR OG'!$J57,'Withdrawal Working'!$A$2:$A$78,0),0),AZ57),0)),IF($K57=VLOOKUP(AZ$2,$B:$H,7,0),AZ57,)),0)</f>
        <v>0</v>
      </c>
      <c r="BC57" s="58">
        <f t="shared" ca="1" si="56"/>
        <v>154448603.67657599</v>
      </c>
      <c r="BF57" s="450">
        <f t="shared" ca="1" si="33"/>
        <v>0</v>
      </c>
      <c r="BG57" s="58">
        <f ca="1">(VLOOKUP(BF$2,$B$1:$F$32,5,0)*$L57)+(VLOOKUP($K57,'Withdrawal Working'!$AD:$AE,2,0)*(IFERROR(VLOOKUP(BF$2,$B$35:$C$42,2,0),0)))</f>
        <v>0</v>
      </c>
      <c r="BH57" s="58">
        <f>IFERROR(IF($K57&lt;VLOOKUP(BF$2,$B:$H,7,0),IF(BJ$3=1,MIN($M57,BF57),IF(HLOOKUP(CONCATENATE("Balance",BJ$3-1),'Withdrawal Working'!$A$2:$CD$78,MATCH('Yoy WAR OG'!$J57,'Withdrawal Working'!$A$2:$A$78,0),FALSE)&gt;0,MIN(HLOOKUP(CONCATENATE("Balance",BJ$3-1),'Withdrawal Working'!$A$2:$CD$78,MATCH('Yoy WAR OG'!$J57,'Withdrawal Working'!$A$2:$A$78,0),0),BF57),0)),IF($K57=VLOOKUP(BF$2,$B:$H,7,0),BF57,)),0)</f>
        <v>0</v>
      </c>
      <c r="BI57" s="58">
        <f t="shared" ca="1" si="57"/>
        <v>0</v>
      </c>
      <c r="BL57" s="450">
        <f t="shared" ca="1" si="34"/>
        <v>0</v>
      </c>
      <c r="BM57" s="58">
        <f ca="1">(VLOOKUP(BL$2,$B$1:$F$32,5,0)*$L57)+(VLOOKUP($K57,'Withdrawal Working'!$AD:$AE,2,0)*(IFERROR(VLOOKUP(BL$2,$B$35:$C$42,2,0),0)))</f>
        <v>0</v>
      </c>
      <c r="BN57" s="58">
        <f>IFERROR(IF($K57&lt;VLOOKUP(BL$2,$B:$H,7,0),IF(BP$3=1,MIN($M57,BL57),IF(HLOOKUP(CONCATENATE("Balance",BP$3-1),'Withdrawal Working'!$A$2:$CD$78,MATCH('Yoy WAR OG'!$J57,'Withdrawal Working'!$A$2:$A$78,0),FALSE)&gt;0,MIN(HLOOKUP(CONCATENATE("Balance",BP$3-1),'Withdrawal Working'!$A$2:$CD$78,MATCH('Yoy WAR OG'!$J57,'Withdrawal Working'!$A$2:$A$78,0),0),BL57),0)),IF($K57=VLOOKUP(BL$2,$B:$H,7,0),BL57,)),0)</f>
        <v>0</v>
      </c>
      <c r="BO57" s="58">
        <f t="shared" ca="1" si="58"/>
        <v>0</v>
      </c>
      <c r="BR57" s="450">
        <f t="shared" ca="1" si="35"/>
        <v>0</v>
      </c>
      <c r="BS57" s="58">
        <f ca="1">(VLOOKUP(BR$2,$B$1:$F$32,5,0)*$L57)+(VLOOKUP($K57,'Withdrawal Working'!$AD:$AE,2,0)*(IFERROR(VLOOKUP(BR$2,$B$35:$C$42,2,0),0)))</f>
        <v>0</v>
      </c>
      <c r="BT57" s="58">
        <f>IFERROR(IF($K57&lt;VLOOKUP(BR$2,$B:$H,7,0),IF(BV$3=1,MIN($M57,BR57),IF(HLOOKUP(CONCATENATE("Balance",BV$3-1),'Withdrawal Working'!$A$2:$CD$78,MATCH('Yoy WAR OG'!$J57,'Withdrawal Working'!$A$2:$A$78,0),FALSE)&gt;0,MIN(HLOOKUP(CONCATENATE("Balance",BV$3-1),'Withdrawal Working'!$A$2:$CD$78,MATCH('Yoy WAR OG'!$J57,'Withdrawal Working'!$A$2:$A$78,0),0),BR57),0)),IF($K57=VLOOKUP(BR$2,$B:$H,7,0),BR57,)),0)</f>
        <v>0</v>
      </c>
      <c r="BU57" s="58">
        <f t="shared" ca="1" si="59"/>
        <v>0</v>
      </c>
      <c r="BX57" s="450">
        <f t="shared" ca="1" si="36"/>
        <v>0</v>
      </c>
      <c r="BY57" s="58">
        <f ca="1">(VLOOKUP(BX$2,$B$1:$F$32,5,0)*$L57)+(VLOOKUP($K57,'Withdrawal Working'!$AD:$AE,2,0)*(IFERROR(VLOOKUP(BX$2,$B$35:$C$42,2,0),0)))</f>
        <v>0</v>
      </c>
      <c r="BZ57" s="58">
        <f>IFERROR(IF($K57&lt;VLOOKUP(BX$2,$B:$H,7,0),IF(CB$3=1,MIN($M57,BX57),IF(HLOOKUP(CONCATENATE("Balance",CB$3-1),'Withdrawal Working'!$A$2:$CD$78,MATCH('Yoy WAR OG'!$J57,'Withdrawal Working'!$A$2:$A$78,0),FALSE)&gt;0,MIN(HLOOKUP(CONCATENATE("Balance",CB$3-1),'Withdrawal Working'!$A$2:$CD$78,MATCH('Yoy WAR OG'!$J57,'Withdrawal Working'!$A$2:$A$78,0),0),BX57),0)),IF($K57=VLOOKUP(BX$2,$B:$H,7,0),BX57,)),0)</f>
        <v>0</v>
      </c>
      <c r="CA57" s="58">
        <f t="shared" ca="1" si="60"/>
        <v>0</v>
      </c>
      <c r="CD57" s="450">
        <f t="shared" ca="1" si="37"/>
        <v>87227364.965345412</v>
      </c>
      <c r="CE57" s="58">
        <f ca="1">(VLOOKUP(CD$2,$B$1:$F$32,5,0)*$L57)+(VLOOKUP($K57,'Withdrawal Working'!$AD:$AE,2,0)*(IFERROR(VLOOKUP(CD$2,$B$35:$C$42,2,0),0)))+SUMIFS('Key Life Events'!$I$3:$I$28,'Key Life Events'!$H$3:$H$28,"House",'Key Life Events'!$E$3:$E$28,'Yoy WAR OG'!K57)</f>
        <v>0</v>
      </c>
      <c r="CF57" s="58">
        <f>IFERROR(IF($K57&lt;VLOOKUP(CD$2,$B:$H,7,0),IF(CH$3=1,MIN($M57,CD57),IF(HLOOKUP(CONCATENATE("Balance",CH$3-1),'Withdrawal Working'!$A$2:$CD$78,MATCH('Yoy WAR OG'!$J57,'Withdrawal Working'!$A$2:$A$78,0),FALSE)&gt;0,MIN(HLOOKUP(CONCATENATE("Balance",CH$3-1),'Withdrawal Working'!$A$2:$CD$78,MATCH('Yoy WAR OG'!$J57,'Withdrawal Working'!$A$2:$A$78,0),0),CD57),0)),IF($K57=VLOOKUP(CD$2,$B:$H,7,0),CD57,)),0)</f>
        <v>0</v>
      </c>
      <c r="CG57" s="58">
        <f t="shared" ca="1" si="61"/>
        <v>89844185.914305776</v>
      </c>
      <c r="CJ57" s="450">
        <f t="shared" ca="1" si="38"/>
        <v>0</v>
      </c>
      <c r="CK57" s="58">
        <f ca="1">(VLOOKUP(CJ$2,$B$1:$F$32,5,0)*$L57)+(VLOOKUP($K57,'Withdrawal Working'!$AD:$AE,2,0)*(IFERROR(VLOOKUP(CJ$2,$B$35:$C$42,2,0),0)))+SUMIFS('Key Life Events'!$I$3:$I$28,'Key Life Events'!$H$3:$H$28,"House2",'Key Life Events'!$E$3:$E$28,'Yoy WAR OG'!K57)</f>
        <v>0</v>
      </c>
      <c r="CL57" s="58">
        <f ca="1">IF(IFERROR(IF($K57&lt;&gt;VLOOKUP(CJ$2,$B:$H,7,0),IF(CN$3=1,MIN($M57,CJ57),IF(HLOOKUP(CONCATENATE("Balance",CN$3-1),'Withdrawal Working'!$A$2:$CD$78,MATCH('Yoy WAR OG'!$J57,'Withdrawal Working'!$A$2:$A$78,0),FALSE)&gt;0,MIN(HLOOKUP(CONCATENATE("Balance",CN$3-1),'Withdrawal Working'!$A$2:$CD$78,MATCH('Yoy WAR OG'!$J57,'Withdrawal Working'!$A$2:$A$78,0),0),CJ57),0)),IF($K57=VLOOKUP(CJ$2,$B:$H,7,0),CJ57,)),0)&gt;0,CJ57,0)</f>
        <v>0</v>
      </c>
      <c r="CM57" s="58">
        <f t="shared" ca="1" si="62"/>
        <v>0</v>
      </c>
      <c r="CP57" s="450">
        <f t="shared" ca="1" si="39"/>
        <v>33187371.692457803</v>
      </c>
      <c r="CQ57" s="58">
        <f ca="1">(VLOOKUP(CP$2,$B$1:$F$32,5,0)*$L57)+(VLOOKUP($K57,'Withdrawal Working'!$AD:$AE,2,0)*(IFERROR(VLOOKUP(CP$2,$B$35:$C$42,2,0),0)))+SUMIFS('Key Life Events'!$I$3:$I$28,'Key Life Events'!$H$3:$H$28,"Land",'Key Life Events'!$E$3:$E$28,'Yoy WAR OG'!K57)</f>
        <v>0</v>
      </c>
      <c r="CR57" s="58">
        <f>IFERROR(IF($K57&lt;VLOOKUP(CP$2,$B:$H,7,0),IF(CT$3=1,MIN($M57,CP57),IF(HLOOKUP(CONCATENATE("Balance",CT$3-1),'Withdrawal Working'!$A$2:$CD$78,MATCH('Yoy WAR OG'!$J57,'Withdrawal Working'!$A$2:$A$78,0),FALSE)&gt;0,MIN(HLOOKUP(CONCATENATE("Balance",CT$3-1),'Withdrawal Working'!$A$2:$CD$78,MATCH('Yoy WAR OG'!$J57,'Withdrawal Working'!$A$2:$A$78,0),0),CP57),0)),IF($K57=VLOOKUP(CP$2,$B:$H,7,0),CP57,)),0)</f>
        <v>0</v>
      </c>
      <c r="CS57" s="58">
        <f t="shared" ca="1" si="63"/>
        <v>34846740.277080692</v>
      </c>
      <c r="CV57" s="450">
        <f t="shared" ca="1" si="40"/>
        <v>0</v>
      </c>
      <c r="CW57" s="58"/>
      <c r="CX57" s="58">
        <f>IFERROR(IF($K57&lt;VLOOKUP(CV$2,$B:$H,7,0),IF(CZ$3=1,MIN($M57,CV57),IF(HLOOKUP(CONCATENATE("Balance",CZ$3-1),'Withdrawal Working'!$A$2:$CD$78,MATCH('Yoy WAR OG'!$J57,'Withdrawal Working'!$A$2:$A$78,0),FALSE)&gt;0,MIN(HLOOKUP(CONCATENATE("Balance",CZ$3-1),'Withdrawal Working'!$A$2:$CD$78,MATCH('Yoy WAR OG'!$J57,'Withdrawal Working'!$A$2:$A$78,0),0),CV57),0)),IF($K57=VLOOKUP(CV$2,$B:$H,7,0),CV57,)),0)</f>
        <v>0</v>
      </c>
      <c r="CY57" s="58">
        <f t="shared" ca="1" si="64"/>
        <v>0</v>
      </c>
      <c r="DB57" s="450">
        <f t="shared" ca="1" si="41"/>
        <v>0</v>
      </c>
      <c r="DC57" s="58">
        <f ca="1">(VLOOKUP(DB$2,$B$1:$F$32,5,0)*$L57)+(VLOOKUP($K57,'Withdrawal Working'!$AD:$AE,2,0)*(IFERROR(VLOOKUP(DB$2,$B$35:$C$42,2,0),0)))</f>
        <v>0</v>
      </c>
      <c r="DD57" s="58">
        <f>IFERROR(IF($K57&lt;VLOOKUP(DB$2,$B:$H,7,0),IF(DF$3=1,MIN($M57,DB57),IF(HLOOKUP(CONCATENATE("Balance",DF$3-1),'Withdrawal Working'!$A$2:$CD$78,MATCH('Yoy WAR OG'!$J57,'Withdrawal Working'!$A$2:$A$78,0),FALSE)&gt;0,MIN(HLOOKUP(CONCATENATE("Balance",DF$3-1),'Withdrawal Working'!$A$2:$CD$78,MATCH('Yoy WAR OG'!$J57,'Withdrawal Working'!$A$2:$A$78,0),0),DB57),0)),IF($K57=VLOOKUP(DB$2,$B:$H,7,0),DB57,)),0)</f>
        <v>0</v>
      </c>
      <c r="DE57" s="58">
        <f t="shared" ca="1" si="65"/>
        <v>0</v>
      </c>
      <c r="DH57" s="450">
        <f t="shared" ca="1" si="42"/>
        <v>0</v>
      </c>
      <c r="DI57" s="58">
        <f>IF(OR(J57&gt;'NWGC - SCENARIOS'!$D$7,J57='NWGC - SCENARIOS'!$D$7),0,DI56*(1+'NWGC - SCENARIOS'!$L$5))</f>
        <v>0</v>
      </c>
      <c r="DJ57" s="58">
        <f>IFERROR(IF($K57&lt;VLOOKUP(DH$2,$B:$H,7,0),IF(DL$3=1,MIN($M57,DH57),IF(HLOOKUP(CONCATENATE("Balance",DL$3-1),'Withdrawal Working'!$A$2:$CD$78,MATCH('Yoy WAR OG'!$J57,'Withdrawal Working'!$A$2:$A$78,0),FALSE)&gt;0,MIN(HLOOKUP(CONCATENATE("Balance",DL$3-1),'Withdrawal Working'!$A$2:$CD$78,MATCH('Yoy WAR OG'!$J57,'Withdrawal Working'!$A$2:$A$78,0),0),DH57),0)),IF($K57=VLOOKUP(DH$2,$B:$H,7,0),DH57,)),0)</f>
        <v>0</v>
      </c>
      <c r="DK57" s="58">
        <f t="shared" ca="1" si="66"/>
        <v>0</v>
      </c>
      <c r="DN57" s="450">
        <f t="shared" ca="1" si="43"/>
        <v>0</v>
      </c>
      <c r="DO57" s="58">
        <f ca="1">(VLOOKUP(DN$2,$B$1:$F$32,5,0)*$L57)+(VLOOKUP($K57,'Withdrawal Working'!$AD:$AE,2,0)*(IFERROR(VLOOKUP(DN$2,$B$35:$C$42,2,0),0)))</f>
        <v>0</v>
      </c>
      <c r="DP57" s="58">
        <f>IFERROR(IF($K57&lt;VLOOKUP(DN$2,$B:$H,7,0),IF(DR$3=1,MIN($M57,DN57),IF(HLOOKUP(CONCATENATE("Balance",DR$3-1),'Withdrawal Working'!$A$2:$CD$78,MATCH('Yoy WAR OG'!$J57,'Withdrawal Working'!$A$2:$A$78,0),FALSE)&gt;0,MIN(HLOOKUP(CONCATENATE("Balance",DR$3-1),'Withdrawal Working'!$A$2:$CD$78,MATCH('Yoy WAR OG'!$J57,'Withdrawal Working'!$A$2:$A$78,0),0),DN57),0)),IF($K57=VLOOKUP(DN$2,$B:$H,7,0),DN57,)),0)</f>
        <v>0</v>
      </c>
      <c r="DQ57" s="58">
        <f t="shared" ca="1" si="67"/>
        <v>0</v>
      </c>
      <c r="DT57" s="450">
        <f t="shared" ca="1" si="44"/>
        <v>0</v>
      </c>
      <c r="DU57" s="58">
        <f ca="1">(VLOOKUP(DT$2,$B$1:$F$32,5,0)*$L57)+(VLOOKUP($K57,'Withdrawal Working'!$AD:$AE,2,0)*(IFERROR(VLOOKUP(DT$2,$B$35:$C$42,2,0),0)))</f>
        <v>0</v>
      </c>
      <c r="DV57" s="58">
        <f>IFERROR(IF($K57&lt;VLOOKUP(DT$2,$B:$H,7,0),IF(DX$3=1,MIN($M57,DT57),IF(HLOOKUP(CONCATENATE("Balance",DX$3-1),'Withdrawal Working'!$A$2:$CD$78,MATCH('Yoy WAR OG'!$J57,'Withdrawal Working'!$A$2:$A$78,0),FALSE)&gt;0,MIN(HLOOKUP(CONCATENATE("Balance",DX$3-1),'Withdrawal Working'!$A$2:$CD$78,MATCH('Yoy WAR OG'!$J57,'Withdrawal Working'!$A$2:$A$78,0),0),DT57),0)),IF($K57=VLOOKUP(DT$2,$B:$H,7,0),DT57,)),0)</f>
        <v>0</v>
      </c>
      <c r="DW57" s="58">
        <f t="shared" ca="1" si="68"/>
        <v>0</v>
      </c>
      <c r="DZ57" s="450">
        <f t="shared" ca="1" si="45"/>
        <v>0</v>
      </c>
      <c r="EA57" s="58">
        <f ca="1">(VLOOKUP(DZ$2,$B$1:$F$32,5,0)*$L57)+(VLOOKUP($K57,'Withdrawal Working'!$AD:$AE,2,0)*(IFERROR(VLOOKUP(DZ$2,$B$35:$C$42,2,0),0)))</f>
        <v>0</v>
      </c>
      <c r="EB57" s="58">
        <f>IFERROR(IF($K57&lt;VLOOKUP(DZ$2,$B:$H,7,0),IF(ED$3=1,MIN($M57,DZ57),IF(HLOOKUP(CONCATENATE("Balance",ED$3-1),'Withdrawal Working'!$A$2:$CD$78,MATCH('Yoy WAR OG'!$J57,'Withdrawal Working'!$A$2:$A$78,0),FALSE)&gt;0,MIN(HLOOKUP(CONCATENATE("Balance",ED$3-1),'Withdrawal Working'!$A$2:$CD$78,MATCH('Yoy WAR OG'!$J57,'Withdrawal Working'!$A$2:$A$78,0),0),DZ57),0)),IF($K57=VLOOKUP(DZ$2,$B:$H,7,0),DZ57,)),0)</f>
        <v>0</v>
      </c>
      <c r="EC57" s="58">
        <f t="shared" ca="1" si="69"/>
        <v>0</v>
      </c>
      <c r="EF57" s="450">
        <f t="shared" ca="1" si="46"/>
        <v>0</v>
      </c>
      <c r="EG57" s="58">
        <f ca="1">(VLOOKUP(EF$2,$B$1:$F$32,5,0)*$L57)+(VLOOKUP($K57,'Withdrawal Working'!$AD:$AE,2,0)*(IFERROR(VLOOKUP(EF$2,$B$35:$C$42,2,0),0)))</f>
        <v>0</v>
      </c>
      <c r="EH57" s="58">
        <f>IFERROR(IF($K57&lt;VLOOKUP(EF$2,$B:$H,7,0),IF(EJ$3=1,MIN($M57,EF57),IF(HLOOKUP(CONCATENATE("Balance",EJ$3-1),'Withdrawal Working'!$A$2:$CD$78,MATCH('Yoy WAR OG'!$J57,'Withdrawal Working'!$A$2:$A$78,0),FALSE)&gt;0,MIN(HLOOKUP(CONCATENATE("Balance",EJ$3-1),'Withdrawal Working'!$A$2:$CD$78,MATCH('Yoy WAR OG'!$J57,'Withdrawal Working'!$A$2:$A$78,0),0),EF57),0)),IF($K57=VLOOKUP(EF$2,$B:$H,7,0),EF57,)),0)</f>
        <v>0</v>
      </c>
      <c r="EI57" s="58">
        <f t="shared" ca="1" si="70"/>
        <v>0</v>
      </c>
      <c r="EL57" s="450">
        <f t="shared" ca="1" si="47"/>
        <v>0</v>
      </c>
      <c r="EM57" s="58">
        <f>IF(OR($J57&gt;'NWGC - SCENARIOS'!$D$7,$J57='NWGC - SCENARIOS'!$D$7),0,EM56)</f>
        <v>0</v>
      </c>
      <c r="EN57" s="58">
        <f>IFERROR(IF($K57&lt;VLOOKUP(EL$2,$B:$H,7,0),IF(EP$3=1,MIN($M57,EL57),IF(HLOOKUP(CONCATENATE("Balance",EP$3-1),'Withdrawal Working'!$A$2:$CD$78,MATCH('Yoy WAR OG'!$J57,'Withdrawal Working'!$A$2:$A$78,0),FALSE)&gt;0,MIN(HLOOKUP(CONCATENATE("Balance",EP$3-1),'Withdrawal Working'!$A$2:$CD$78,MATCH('Yoy WAR OG'!$J57,'Withdrawal Working'!$A$2:$A$78,0),0),EL57),0)),IF($K57=VLOOKUP(EL$2,$B:$H,7,0),EL57,)),0)</f>
        <v>0</v>
      </c>
      <c r="EO57" s="58">
        <f t="shared" ca="1" si="71"/>
        <v>0</v>
      </c>
      <c r="ER57" s="450">
        <f t="shared" ca="1" si="48"/>
        <v>0</v>
      </c>
      <c r="ES57" s="58">
        <f>IF(OR(J57&gt;'NWGC - SCENARIOS'!$D$7,J57='NWGC - SCENARIOS'!$D$7),0,ES56*(1+'NWGC - SCENARIOS'!$L$5))</f>
        <v>0</v>
      </c>
      <c r="ET57" s="58">
        <f>IFERROR(IF($K57&lt;VLOOKUP(ER$2,$B:$H,7,0),IF(EV$3=1,MIN($M57,ER57),IF(HLOOKUP(CONCATENATE("Balance",EV$3-1),'Withdrawal Working'!$A$2:$CD$78,MATCH('Yoy WAR OG'!$J57,'Withdrawal Working'!$A$2:$A$78,0),FALSE)&gt;0,MIN(HLOOKUP(CONCATENATE("Balance",EV$3-1),'Withdrawal Working'!$A$2:$CD$78,MATCH('Yoy WAR OG'!$J57,'Withdrawal Working'!$A$2:$A$78,0),0),ER57),0)),IF($K57=VLOOKUP(ER$2,$B:$H,7,0),ER57,)),0)</f>
        <v>0</v>
      </c>
      <c r="EU57" s="58">
        <f t="shared" ca="1" si="72"/>
        <v>0</v>
      </c>
      <c r="EX57" s="450">
        <f t="shared" ca="1" si="49"/>
        <v>0</v>
      </c>
      <c r="EY57" s="58">
        <f>IF(OR(J57&gt;'NWGC - SCENARIOS'!$D$7,J57='NWGC - SCENARIOS'!$D$7),0,EY56)</f>
        <v>0</v>
      </c>
      <c r="EZ57" s="58">
        <f>IFERROR(IF($K57&lt;VLOOKUP(EX$2,$B:$H,7,0),IF(FB$3=1,MIN($M57,EX57),IF(HLOOKUP(CONCATENATE("Balance",FB$3-1),'Withdrawal Working'!$A$2:$CD$78,MATCH('Yoy WAR OG'!$J57,'Withdrawal Working'!$A$2:$A$78,0),FALSE)&gt;0,MIN(HLOOKUP(CONCATENATE("Balance",FB$3-1),'Withdrawal Working'!$A$2:$CD$78,MATCH('Yoy WAR OG'!$J57,'Withdrawal Working'!$A$2:$A$78,0),0),EX57),0)),IF($K57=VLOOKUP(EX$2,$B:$H,7,0),EX57,)),0)</f>
        <v>0</v>
      </c>
      <c r="FA57" s="58">
        <f t="shared" ca="1" si="73"/>
        <v>0</v>
      </c>
    </row>
    <row r="58" spans="10:157" x14ac:dyDescent="0.3">
      <c r="J58">
        <f>IFERROR('NWGC - SCENARIOS'!B65,0)</f>
        <v>103</v>
      </c>
      <c r="K58">
        <f>IFERROR('NWGC - SCENARIOS'!C65,0)</f>
        <v>2079</v>
      </c>
      <c r="L58" s="449">
        <f ca="1">IF(('NWGC - SCENARIOS'!G65-working!G56)&gt;'NWGC - SCENARIOS'!H65,'NWGC - SCENARIOS'!G65-'NWGC - SCENARIOS'!H65-working!G56,0)</f>
        <v>0</v>
      </c>
      <c r="M58" s="449">
        <f ca="1">IF(('NWGC - SCENARIOS'!G65-working!G56)&gt;'NWGC - SCENARIOS'!H65,0,'NWGC - SCENARIOS'!H65-'NWGC - SCENARIOS'!G65+working!G56)</f>
        <v>141012589.94318387</v>
      </c>
      <c r="N58" s="58">
        <f t="shared" ca="1" si="50"/>
        <v>120154649.44351973</v>
      </c>
      <c r="O58" s="58">
        <f t="shared" ca="1" si="51"/>
        <v>294388594.71660602</v>
      </c>
      <c r="P58" s="58">
        <f t="shared" ca="1" si="74"/>
        <v>0</v>
      </c>
      <c r="Q58" s="58">
        <f ca="1">(VLOOKUP(P$2,$B$1:$F$32,5,0)*$L58)+(VLOOKUP($K58,'Withdrawal Working'!$AD:$AE,2,0)*(IFERROR(VLOOKUP(P$2,$B$35:$C$42,2,0),0)))</f>
        <v>0</v>
      </c>
      <c r="R58" s="58">
        <f>IFERROR(IF($K58&lt;VLOOKUP(P$2,$B:$H,7,0),IF(T$3=1,MIN($M58,P58),IF(HLOOKUP(CONCATENATE("Balance",T$3-1),'Withdrawal Working'!$A$2:$CD$78,MATCH('Yoy WAR OG'!$J58,'Withdrawal Working'!$A$2:$A$78,0),FALSE)&gt;0,MIN(HLOOKUP(CONCATENATE("Balance",T$3-1),'Withdrawal Working'!$A$2:$CD$78,MATCH('Yoy WAR OG'!$J58,'Withdrawal Working'!$A$2:$A$78,0),0),P58),0)),IF($K58=VLOOKUP(P$2,$B:$H,7,0),P58,)),0)</f>
        <v>0</v>
      </c>
      <c r="S58" s="58">
        <f t="shared" ca="1" si="75"/>
        <v>0</v>
      </c>
      <c r="T58" s="58"/>
      <c r="V58" s="58">
        <f t="shared" ca="1" si="27"/>
        <v>0</v>
      </c>
      <c r="W58" s="58">
        <f ca="1">(VLOOKUP(V$2,$B$1:$F$32,5,0)*$L58)+(VLOOKUP($K58,'Withdrawal Working'!$AD:$AE,2,0)*(IFERROR(VLOOKUP(V$2,$B$35:$C$42,2,0),0)))</f>
        <v>0</v>
      </c>
      <c r="X58" s="58">
        <f>IFERROR(IF($K58&lt;VLOOKUP(V$2,$B:$H,7,0),IF(Z$3=1,MIN($M58,V58),IF(HLOOKUP(CONCATENATE("Balance",Z$3-1),'Withdrawal Working'!$A$2:$CD$78,MATCH('Yoy WAR OG'!$J58,'Withdrawal Working'!$A$2:$A$78,0),FALSE)&gt;0,MIN(HLOOKUP(CONCATENATE("Balance",Z$3-1),'Withdrawal Working'!$A$2:$CD$78,MATCH('Yoy WAR OG'!$J58,'Withdrawal Working'!$A$2:$A$78,0),0),V58),0)),IF($K58=VLOOKUP(V$2,$B:$H,7,0),V58,)),0)</f>
        <v>0</v>
      </c>
      <c r="Y58" s="58">
        <f t="shared" ca="1" si="52"/>
        <v>0</v>
      </c>
      <c r="AB58" s="58">
        <f t="shared" ca="1" si="28"/>
        <v>0</v>
      </c>
      <c r="AC58" s="58">
        <f ca="1">(VLOOKUP(AB$2,$B$1:$F$32,5,0)*$L58)+(VLOOKUP($K58,'Withdrawal Working'!$AD:$AE,2,0)*(IFERROR(VLOOKUP(AB$2,$B$35:$C$42,2,0),0)))</f>
        <v>0</v>
      </c>
      <c r="AE58" s="58">
        <f t="shared" ca="1" si="53"/>
        <v>0</v>
      </c>
      <c r="AH58" s="58">
        <f t="shared" ca="1" si="29"/>
        <v>0</v>
      </c>
      <c r="AI58" s="58">
        <f ca="1">(VLOOKUP(AH$2,$B$1:$F$32,5,0)*$L58)+IF(J58&gt;'NWGC - SCENARIOS'!$D$7,0,(VLOOKUP($K58,'Withdrawal Working'!$AD:$AE,2,0)*(IFERROR(VLOOKUP(AH$2,$B$35:$C$42,2,0),0))))</f>
        <v>0</v>
      </c>
      <c r="AJ58" s="58">
        <f>IFERROR(IF($J58&gt;'NWGC - SCENARIOS'!$D$7,MIN('Yoy WAR OG'!AH58,VLOOKUP('Yoy WAR OG'!$J58,'Withdrawal Working'!BC:BD,2,0)),IF(AL$3=1,$M58,IF(HLOOKUP(CONCATENATE("Balance",AL$3-1),'Withdrawal Working'!$A$2:$CD$78,MATCH('Yoy WAR OG'!$J58,'Withdrawal Working'!$A$2:$A$78,0),FALSE)&gt;0,MIN(HLOOKUP(CONCATENATE("Balance",AL$3-1),'Withdrawal Working'!$A$2:$CD$78,MATCH('Yoy WAR OG'!$J58,'Withdrawal Working'!$A$2:$A$78,0),0),AH58),0))),0)</f>
        <v>0</v>
      </c>
      <c r="AK58" s="58">
        <f t="shared" ca="1" si="54"/>
        <v>0</v>
      </c>
      <c r="AN58" s="450">
        <f t="shared" ca="1" si="30"/>
        <v>254903252.92282343</v>
      </c>
      <c r="AO58" s="58">
        <f ca="1">IF(J58&gt;'NWGC - SCENARIOS'!$D$7,(IF(AJ58=0,0,'Yoy WAR OG'!AJ58)+(VLOOKUP(AN$2,$B$1:$F$32,5,0)*$L58)),(VLOOKUP(AN$2,$B$1:$F$32,5,0)*$L58)+(VLOOKUP($K58,'Withdrawal Working'!$AD:$AE,2,0)*(IFERROR(VLOOKUP(AN$2,$B$35:$C$42,2,0),0))))</f>
        <v>0</v>
      </c>
      <c r="AP58" s="470">
        <f ca="1">IFERROR(IF($K58&lt;&gt;VLOOKUP(AN$2,$B:$H,7,0),IF(AR$3=1,MIN($M58,AN58),IF(HLOOKUP(CONCATENATE("Balance",AR$3-1),'Withdrawal Working'!$A$2:$CD$78,MATCH('Yoy WAR OG'!$J58,'Withdrawal Working'!$A$2:$A$78,0),FALSE)&gt;0,MIN(HLOOKUP(CONCATENATE("Balance",AR$3-1),'Withdrawal Working'!$A$2:$CD$78,MATCH('Yoy WAR OG'!$J58,'Withdrawal Working'!$A$2:$A$78,0),0),AN58),0)),IF($K58=VLOOKUP(AN$2,$B:$H,7,0),AN58,)),0)</f>
        <v>141012589.94318387</v>
      </c>
      <c r="AQ58" s="58">
        <f ca="1">IF(AO58&lt;0,0,IF(J58&gt;'NWGC - SCENARIOS'!$D$7,((AN58-AP58+AO58)*(1+(IFERROR(VLOOKUP(AN$2,$B:$D,3,0),0)))),((AN58-AP58)*(1+(IFERROR(VLOOKUP(AN$2,$B:$D,3,0),0))))+AO58))</f>
        <v>120154649.44351973</v>
      </c>
      <c r="AT58" s="450">
        <f t="shared" ca="1" si="31"/>
        <v>0</v>
      </c>
      <c r="AU58" s="58">
        <f ca="1">(VLOOKUP(AT$2,$B$1:$F$32,5,0)*$L58)+(VLOOKUP($K58,'Withdrawal Working'!$AD:$AE,2,0)*(IFERROR(VLOOKUP(AT$2,$B$35:$C$42,2,0),0)))</f>
        <v>0</v>
      </c>
      <c r="AV58" s="58">
        <f>IFERROR(IF($K58&lt;VLOOKUP(AT$2,$B:$H,7,0),IF(AX$3=1,MIN($M58,AT58),IF(HLOOKUP(CONCATENATE("Balance",AX$3-1),'Withdrawal Working'!$A$2:$CD$78,MATCH('Yoy WAR OG'!$J58,'Withdrawal Working'!$A$2:$A$78,0),FALSE)&gt;0,MIN(HLOOKUP(CONCATENATE("Balance",AX$3-1),'Withdrawal Working'!$A$2:$CD$78,MATCH('Yoy WAR OG'!$J58,'Withdrawal Working'!$A$2:$A$78,0),0),AT58),0)),IF($K58=VLOOKUP(AT$2,$B:$H,7,0),AT58,)),0)</f>
        <v>0</v>
      </c>
      <c r="AW58" s="58">
        <f t="shared" ca="1" si="55"/>
        <v>0</v>
      </c>
      <c r="AZ58" s="450">
        <f t="shared" ca="1" si="32"/>
        <v>154448603.67657599</v>
      </c>
      <c r="BA58" s="58">
        <f ca="1">(VLOOKUP(AZ$2,$B$1:$F$32,5,0)*$L58)+(VLOOKUP($K58,'Withdrawal Working'!$AD:$AE,2,0)*(IFERROR(VLOOKUP(AZ$2,$B$35:$C$42,2,0),0)))</f>
        <v>0</v>
      </c>
      <c r="BB58" s="58">
        <f>IFERROR(IF($K58&lt;VLOOKUP(AZ$2,$B:$H,7,0),IF(BD$3=1,MIN($M58,AZ58),IF(HLOOKUP(CONCATENATE("Balance",BD$3-1),'Withdrawal Working'!$A$2:$CD$78,MATCH('Yoy WAR OG'!$J58,'Withdrawal Working'!$A$2:$A$78,0),FALSE)&gt;0,MIN(HLOOKUP(CONCATENATE("Balance",BD$3-1),'Withdrawal Working'!$A$2:$CD$78,MATCH('Yoy WAR OG'!$J58,'Withdrawal Working'!$A$2:$A$78,0),0),AZ58),0)),IF($K58=VLOOKUP(AZ$2,$B:$H,7,0),AZ58,)),0)</f>
        <v>0</v>
      </c>
      <c r="BC58" s="58">
        <f t="shared" ca="1" si="56"/>
        <v>165260005.93393633</v>
      </c>
      <c r="BF58" s="450">
        <f t="shared" ca="1" si="33"/>
        <v>0</v>
      </c>
      <c r="BG58" s="58">
        <f ca="1">(VLOOKUP(BF$2,$B$1:$F$32,5,0)*$L58)+(VLOOKUP($K58,'Withdrawal Working'!$AD:$AE,2,0)*(IFERROR(VLOOKUP(BF$2,$B$35:$C$42,2,0),0)))</f>
        <v>0</v>
      </c>
      <c r="BH58" s="58">
        <f>IFERROR(IF($K58&lt;VLOOKUP(BF$2,$B:$H,7,0),IF(BJ$3=1,MIN($M58,BF58),IF(HLOOKUP(CONCATENATE("Balance",BJ$3-1),'Withdrawal Working'!$A$2:$CD$78,MATCH('Yoy WAR OG'!$J58,'Withdrawal Working'!$A$2:$A$78,0),FALSE)&gt;0,MIN(HLOOKUP(CONCATENATE("Balance",BJ$3-1),'Withdrawal Working'!$A$2:$CD$78,MATCH('Yoy WAR OG'!$J58,'Withdrawal Working'!$A$2:$A$78,0),0),BF58),0)),IF($K58=VLOOKUP(BF$2,$B:$H,7,0),BF58,)),0)</f>
        <v>0</v>
      </c>
      <c r="BI58" s="58">
        <f t="shared" ca="1" si="57"/>
        <v>0</v>
      </c>
      <c r="BL58" s="450">
        <f t="shared" ca="1" si="34"/>
        <v>0</v>
      </c>
      <c r="BM58" s="58">
        <f ca="1">(VLOOKUP(BL$2,$B$1:$F$32,5,0)*$L58)+(VLOOKUP($K58,'Withdrawal Working'!$AD:$AE,2,0)*(IFERROR(VLOOKUP(BL$2,$B$35:$C$42,2,0),0)))</f>
        <v>0</v>
      </c>
      <c r="BN58" s="58">
        <f>IFERROR(IF($K58&lt;VLOOKUP(BL$2,$B:$H,7,0),IF(BP$3=1,MIN($M58,BL58),IF(HLOOKUP(CONCATENATE("Balance",BP$3-1),'Withdrawal Working'!$A$2:$CD$78,MATCH('Yoy WAR OG'!$J58,'Withdrawal Working'!$A$2:$A$78,0),FALSE)&gt;0,MIN(HLOOKUP(CONCATENATE("Balance",BP$3-1),'Withdrawal Working'!$A$2:$CD$78,MATCH('Yoy WAR OG'!$J58,'Withdrawal Working'!$A$2:$A$78,0),0),BL58),0)),IF($K58=VLOOKUP(BL$2,$B:$H,7,0),BL58,)),0)</f>
        <v>0</v>
      </c>
      <c r="BO58" s="58">
        <f t="shared" ca="1" si="58"/>
        <v>0</v>
      </c>
      <c r="BR58" s="450">
        <f t="shared" ca="1" si="35"/>
        <v>0</v>
      </c>
      <c r="BS58" s="58">
        <f ca="1">(VLOOKUP(BR$2,$B$1:$F$32,5,0)*$L58)+(VLOOKUP($K58,'Withdrawal Working'!$AD:$AE,2,0)*(IFERROR(VLOOKUP(BR$2,$B$35:$C$42,2,0),0)))</f>
        <v>0</v>
      </c>
      <c r="BT58" s="58">
        <f>IFERROR(IF($K58&lt;VLOOKUP(BR$2,$B:$H,7,0),IF(BV$3=1,MIN($M58,BR58),IF(HLOOKUP(CONCATENATE("Balance",BV$3-1),'Withdrawal Working'!$A$2:$CD$78,MATCH('Yoy WAR OG'!$J58,'Withdrawal Working'!$A$2:$A$78,0),FALSE)&gt;0,MIN(HLOOKUP(CONCATENATE("Balance",BV$3-1),'Withdrawal Working'!$A$2:$CD$78,MATCH('Yoy WAR OG'!$J58,'Withdrawal Working'!$A$2:$A$78,0),0),BR58),0)),IF($K58=VLOOKUP(BR$2,$B:$H,7,0),BR58,)),0)</f>
        <v>0</v>
      </c>
      <c r="BU58" s="58">
        <f t="shared" ca="1" si="59"/>
        <v>0</v>
      </c>
      <c r="BX58" s="450">
        <f t="shared" ca="1" si="36"/>
        <v>0</v>
      </c>
      <c r="BY58" s="58">
        <f ca="1">(VLOOKUP(BX$2,$B$1:$F$32,5,0)*$L58)+(VLOOKUP($K58,'Withdrawal Working'!$AD:$AE,2,0)*(IFERROR(VLOOKUP(BX$2,$B$35:$C$42,2,0),0)))</f>
        <v>0</v>
      </c>
      <c r="BZ58" s="58">
        <f>IFERROR(IF($K58&lt;VLOOKUP(BX$2,$B:$H,7,0),IF(CB$3=1,MIN($M58,BX58),IF(HLOOKUP(CONCATENATE("Balance",CB$3-1),'Withdrawal Working'!$A$2:$CD$78,MATCH('Yoy WAR OG'!$J58,'Withdrawal Working'!$A$2:$A$78,0),FALSE)&gt;0,MIN(HLOOKUP(CONCATENATE("Balance",CB$3-1),'Withdrawal Working'!$A$2:$CD$78,MATCH('Yoy WAR OG'!$J58,'Withdrawal Working'!$A$2:$A$78,0),0),BX58),0)),IF($K58=VLOOKUP(BX$2,$B:$H,7,0),BX58,)),0)</f>
        <v>0</v>
      </c>
      <c r="CA58" s="58">
        <f t="shared" ca="1" si="60"/>
        <v>0</v>
      </c>
      <c r="CD58" s="450">
        <f t="shared" ca="1" si="37"/>
        <v>89844185.914305776</v>
      </c>
      <c r="CE58" s="58">
        <f ca="1">(VLOOKUP(CD$2,$B$1:$F$32,5,0)*$L58)+(VLOOKUP($K58,'Withdrawal Working'!$AD:$AE,2,0)*(IFERROR(VLOOKUP(CD$2,$B$35:$C$42,2,0),0)))+SUMIFS('Key Life Events'!$I$3:$I$28,'Key Life Events'!$H$3:$H$28,"House",'Key Life Events'!$E$3:$E$28,'Yoy WAR OG'!K58)</f>
        <v>0</v>
      </c>
      <c r="CF58" s="58">
        <f>IFERROR(IF($K58&lt;VLOOKUP(CD$2,$B:$H,7,0),IF(CH$3=1,MIN($M58,CD58),IF(HLOOKUP(CONCATENATE("Balance",CH$3-1),'Withdrawal Working'!$A$2:$CD$78,MATCH('Yoy WAR OG'!$J58,'Withdrawal Working'!$A$2:$A$78,0),FALSE)&gt;0,MIN(HLOOKUP(CONCATENATE("Balance",CH$3-1),'Withdrawal Working'!$A$2:$CD$78,MATCH('Yoy WAR OG'!$J58,'Withdrawal Working'!$A$2:$A$78,0),0),CD58),0)),IF($K58=VLOOKUP(CD$2,$B:$H,7,0),CD58,)),0)</f>
        <v>0</v>
      </c>
      <c r="CG58" s="58">
        <f t="shared" ca="1" si="61"/>
        <v>92539511.491734952</v>
      </c>
      <c r="CJ58" s="450">
        <f t="shared" ca="1" si="38"/>
        <v>0</v>
      </c>
      <c r="CK58" s="58">
        <f ca="1">(VLOOKUP(CJ$2,$B$1:$F$32,5,0)*$L58)+(VLOOKUP($K58,'Withdrawal Working'!$AD:$AE,2,0)*(IFERROR(VLOOKUP(CJ$2,$B$35:$C$42,2,0),0)))+SUMIFS('Key Life Events'!$I$3:$I$28,'Key Life Events'!$H$3:$H$28,"House2",'Key Life Events'!$E$3:$E$28,'Yoy WAR OG'!K58)</f>
        <v>0</v>
      </c>
      <c r="CL58" s="58">
        <f ca="1">IF(IFERROR(IF($K58&lt;&gt;VLOOKUP(CJ$2,$B:$H,7,0),IF(CN$3=1,MIN($M58,CJ58),IF(HLOOKUP(CONCATENATE("Balance",CN$3-1),'Withdrawal Working'!$A$2:$CD$78,MATCH('Yoy WAR OG'!$J58,'Withdrawal Working'!$A$2:$A$78,0),FALSE)&gt;0,MIN(HLOOKUP(CONCATENATE("Balance",CN$3-1),'Withdrawal Working'!$A$2:$CD$78,MATCH('Yoy WAR OG'!$J58,'Withdrawal Working'!$A$2:$A$78,0),0),CJ58),0)),IF($K58=VLOOKUP(CJ$2,$B:$H,7,0),CJ58,)),0)&gt;0,CJ58,0)</f>
        <v>0</v>
      </c>
      <c r="CM58" s="58">
        <f t="shared" ca="1" si="62"/>
        <v>0</v>
      </c>
      <c r="CP58" s="450">
        <f t="shared" ca="1" si="39"/>
        <v>34846740.277080692</v>
      </c>
      <c r="CQ58" s="58">
        <f ca="1">(VLOOKUP(CP$2,$B$1:$F$32,5,0)*$L58)+(VLOOKUP($K58,'Withdrawal Working'!$AD:$AE,2,0)*(IFERROR(VLOOKUP(CP$2,$B$35:$C$42,2,0),0)))+SUMIFS('Key Life Events'!$I$3:$I$28,'Key Life Events'!$H$3:$H$28,"Land",'Key Life Events'!$E$3:$E$28,'Yoy WAR OG'!K58)</f>
        <v>0</v>
      </c>
      <c r="CR58" s="58">
        <f>IFERROR(IF($K58&lt;VLOOKUP(CP$2,$B:$H,7,0),IF(CT$3=1,MIN($M58,CP58),IF(HLOOKUP(CONCATENATE("Balance",CT$3-1),'Withdrawal Working'!$A$2:$CD$78,MATCH('Yoy WAR OG'!$J58,'Withdrawal Working'!$A$2:$A$78,0),FALSE)&gt;0,MIN(HLOOKUP(CONCATENATE("Balance",CT$3-1),'Withdrawal Working'!$A$2:$CD$78,MATCH('Yoy WAR OG'!$J58,'Withdrawal Working'!$A$2:$A$78,0),0),CP58),0)),IF($K58=VLOOKUP(CP$2,$B:$H,7,0),CP58,)),0)</f>
        <v>0</v>
      </c>
      <c r="CS58" s="58">
        <f t="shared" ca="1" si="63"/>
        <v>36589077.290934727</v>
      </c>
      <c r="CV58" s="450">
        <f t="shared" ca="1" si="40"/>
        <v>0</v>
      </c>
      <c r="CW58" s="58"/>
      <c r="CX58" s="58">
        <f>IFERROR(IF($K58&lt;VLOOKUP(CV$2,$B:$H,7,0),IF(CZ$3=1,MIN($M58,CV58),IF(HLOOKUP(CONCATENATE("Balance",CZ$3-1),'Withdrawal Working'!$A$2:$CD$78,MATCH('Yoy WAR OG'!$J58,'Withdrawal Working'!$A$2:$A$78,0),FALSE)&gt;0,MIN(HLOOKUP(CONCATENATE("Balance",CZ$3-1),'Withdrawal Working'!$A$2:$CD$78,MATCH('Yoy WAR OG'!$J58,'Withdrawal Working'!$A$2:$A$78,0),0),CV58),0)),IF($K58=VLOOKUP(CV$2,$B:$H,7,0),CV58,)),0)</f>
        <v>0</v>
      </c>
      <c r="CY58" s="58">
        <f t="shared" ca="1" si="64"/>
        <v>0</v>
      </c>
      <c r="DB58" s="450">
        <f t="shared" ca="1" si="41"/>
        <v>0</v>
      </c>
      <c r="DC58" s="58">
        <f ca="1">(VLOOKUP(DB$2,$B$1:$F$32,5,0)*$L58)+(VLOOKUP($K58,'Withdrawal Working'!$AD:$AE,2,0)*(IFERROR(VLOOKUP(DB$2,$B$35:$C$42,2,0),0)))</f>
        <v>0</v>
      </c>
      <c r="DD58" s="58">
        <f>IFERROR(IF($K58&lt;VLOOKUP(DB$2,$B:$H,7,0),IF(DF$3=1,MIN($M58,DB58),IF(HLOOKUP(CONCATENATE("Balance",DF$3-1),'Withdrawal Working'!$A$2:$CD$78,MATCH('Yoy WAR OG'!$J58,'Withdrawal Working'!$A$2:$A$78,0),FALSE)&gt;0,MIN(HLOOKUP(CONCATENATE("Balance",DF$3-1),'Withdrawal Working'!$A$2:$CD$78,MATCH('Yoy WAR OG'!$J58,'Withdrawal Working'!$A$2:$A$78,0),0),DB58),0)),IF($K58=VLOOKUP(DB$2,$B:$H,7,0),DB58,)),0)</f>
        <v>0</v>
      </c>
      <c r="DE58" s="58">
        <f t="shared" ca="1" si="65"/>
        <v>0</v>
      </c>
      <c r="DH58" s="450">
        <f t="shared" ca="1" si="42"/>
        <v>0</v>
      </c>
      <c r="DI58" s="58">
        <f>IF(OR(J58&gt;'NWGC - SCENARIOS'!$D$7,J58='NWGC - SCENARIOS'!$D$7),0,DI57*(1+'NWGC - SCENARIOS'!$L$5))</f>
        <v>0</v>
      </c>
      <c r="DJ58" s="58">
        <f>IFERROR(IF($K58&lt;VLOOKUP(DH$2,$B:$H,7,0),IF(DL$3=1,MIN($M58,DH58),IF(HLOOKUP(CONCATENATE("Balance",DL$3-1),'Withdrawal Working'!$A$2:$CD$78,MATCH('Yoy WAR OG'!$J58,'Withdrawal Working'!$A$2:$A$78,0),FALSE)&gt;0,MIN(HLOOKUP(CONCATENATE("Balance",DL$3-1),'Withdrawal Working'!$A$2:$CD$78,MATCH('Yoy WAR OG'!$J58,'Withdrawal Working'!$A$2:$A$78,0),0),DH58),0)),IF($K58=VLOOKUP(DH$2,$B:$H,7,0),DH58,)),0)</f>
        <v>0</v>
      </c>
      <c r="DK58" s="58">
        <f t="shared" ca="1" si="66"/>
        <v>0</v>
      </c>
      <c r="DN58" s="450">
        <f t="shared" ca="1" si="43"/>
        <v>0</v>
      </c>
      <c r="DO58" s="58">
        <f ca="1">(VLOOKUP(DN$2,$B$1:$F$32,5,0)*$L58)+(VLOOKUP($K58,'Withdrawal Working'!$AD:$AE,2,0)*(IFERROR(VLOOKUP(DN$2,$B$35:$C$42,2,0),0)))</f>
        <v>0</v>
      </c>
      <c r="DP58" s="58">
        <f>IFERROR(IF($K58&lt;VLOOKUP(DN$2,$B:$H,7,0),IF(DR$3=1,MIN($M58,DN58),IF(HLOOKUP(CONCATENATE("Balance",DR$3-1),'Withdrawal Working'!$A$2:$CD$78,MATCH('Yoy WAR OG'!$J58,'Withdrawal Working'!$A$2:$A$78,0),FALSE)&gt;0,MIN(HLOOKUP(CONCATENATE("Balance",DR$3-1),'Withdrawal Working'!$A$2:$CD$78,MATCH('Yoy WAR OG'!$J58,'Withdrawal Working'!$A$2:$A$78,0),0),DN58),0)),IF($K58=VLOOKUP(DN$2,$B:$H,7,0),DN58,)),0)</f>
        <v>0</v>
      </c>
      <c r="DQ58" s="58">
        <f t="shared" ca="1" si="67"/>
        <v>0</v>
      </c>
      <c r="DT58" s="450">
        <f t="shared" ca="1" si="44"/>
        <v>0</v>
      </c>
      <c r="DU58" s="58">
        <f ca="1">(VLOOKUP(DT$2,$B$1:$F$32,5,0)*$L58)+(VLOOKUP($K58,'Withdrawal Working'!$AD:$AE,2,0)*(IFERROR(VLOOKUP(DT$2,$B$35:$C$42,2,0),0)))</f>
        <v>0</v>
      </c>
      <c r="DV58" s="58">
        <f>IFERROR(IF($K58&lt;VLOOKUP(DT$2,$B:$H,7,0),IF(DX$3=1,MIN($M58,DT58),IF(HLOOKUP(CONCATENATE("Balance",DX$3-1),'Withdrawal Working'!$A$2:$CD$78,MATCH('Yoy WAR OG'!$J58,'Withdrawal Working'!$A$2:$A$78,0),FALSE)&gt;0,MIN(HLOOKUP(CONCATENATE("Balance",DX$3-1),'Withdrawal Working'!$A$2:$CD$78,MATCH('Yoy WAR OG'!$J58,'Withdrawal Working'!$A$2:$A$78,0),0),DT58),0)),IF($K58=VLOOKUP(DT$2,$B:$H,7,0),DT58,)),0)</f>
        <v>0</v>
      </c>
      <c r="DW58" s="58">
        <f t="shared" ca="1" si="68"/>
        <v>0</v>
      </c>
      <c r="DZ58" s="450">
        <f t="shared" ca="1" si="45"/>
        <v>0</v>
      </c>
      <c r="EA58" s="58">
        <f ca="1">(VLOOKUP(DZ$2,$B$1:$F$32,5,0)*$L58)+(VLOOKUP($K58,'Withdrawal Working'!$AD:$AE,2,0)*(IFERROR(VLOOKUP(DZ$2,$B$35:$C$42,2,0),0)))</f>
        <v>0</v>
      </c>
      <c r="EB58" s="58">
        <f>IFERROR(IF($K58&lt;VLOOKUP(DZ$2,$B:$H,7,0),IF(ED$3=1,MIN($M58,DZ58),IF(HLOOKUP(CONCATENATE("Balance",ED$3-1),'Withdrawal Working'!$A$2:$CD$78,MATCH('Yoy WAR OG'!$J58,'Withdrawal Working'!$A$2:$A$78,0),FALSE)&gt;0,MIN(HLOOKUP(CONCATENATE("Balance",ED$3-1),'Withdrawal Working'!$A$2:$CD$78,MATCH('Yoy WAR OG'!$J58,'Withdrawal Working'!$A$2:$A$78,0),0),DZ58),0)),IF($K58=VLOOKUP(DZ$2,$B:$H,7,0),DZ58,)),0)</f>
        <v>0</v>
      </c>
      <c r="EC58" s="58">
        <f t="shared" ca="1" si="69"/>
        <v>0</v>
      </c>
      <c r="EF58" s="450">
        <f t="shared" ca="1" si="46"/>
        <v>0</v>
      </c>
      <c r="EG58" s="58">
        <f ca="1">(VLOOKUP(EF$2,$B$1:$F$32,5,0)*$L58)+(VLOOKUP($K58,'Withdrawal Working'!$AD:$AE,2,0)*(IFERROR(VLOOKUP(EF$2,$B$35:$C$42,2,0),0)))</f>
        <v>0</v>
      </c>
      <c r="EH58" s="58">
        <f>IFERROR(IF($K58&lt;VLOOKUP(EF$2,$B:$H,7,0),IF(EJ$3=1,MIN($M58,EF58),IF(HLOOKUP(CONCATENATE("Balance",EJ$3-1),'Withdrawal Working'!$A$2:$CD$78,MATCH('Yoy WAR OG'!$J58,'Withdrawal Working'!$A$2:$A$78,0),FALSE)&gt;0,MIN(HLOOKUP(CONCATENATE("Balance",EJ$3-1),'Withdrawal Working'!$A$2:$CD$78,MATCH('Yoy WAR OG'!$J58,'Withdrawal Working'!$A$2:$A$78,0),0),EF58),0)),IF($K58=VLOOKUP(EF$2,$B:$H,7,0),EF58,)),0)</f>
        <v>0</v>
      </c>
      <c r="EI58" s="58">
        <f t="shared" ca="1" si="70"/>
        <v>0</v>
      </c>
      <c r="EL58" s="450">
        <f t="shared" ca="1" si="47"/>
        <v>0</v>
      </c>
      <c r="EM58" s="58">
        <f>IF(OR($J58&gt;'NWGC - SCENARIOS'!$D$7,$J58='NWGC - SCENARIOS'!$D$7),0,EM57)</f>
        <v>0</v>
      </c>
      <c r="EN58" s="58">
        <f>IFERROR(IF($K58&lt;VLOOKUP(EL$2,$B:$H,7,0),IF(EP$3=1,MIN($M58,EL58),IF(HLOOKUP(CONCATENATE("Balance",EP$3-1),'Withdrawal Working'!$A$2:$CD$78,MATCH('Yoy WAR OG'!$J58,'Withdrawal Working'!$A$2:$A$78,0),FALSE)&gt;0,MIN(HLOOKUP(CONCATENATE("Balance",EP$3-1),'Withdrawal Working'!$A$2:$CD$78,MATCH('Yoy WAR OG'!$J58,'Withdrawal Working'!$A$2:$A$78,0),0),EL58),0)),IF($K58=VLOOKUP(EL$2,$B:$H,7,0),EL58,)),0)</f>
        <v>0</v>
      </c>
      <c r="EO58" s="58">
        <f t="shared" ca="1" si="71"/>
        <v>0</v>
      </c>
      <c r="ER58" s="450">
        <f t="shared" ca="1" si="48"/>
        <v>0</v>
      </c>
      <c r="ES58" s="58">
        <f>IF(OR(J58&gt;'NWGC - SCENARIOS'!$D$7,J58='NWGC - SCENARIOS'!$D$7),0,ES57*(1+'NWGC - SCENARIOS'!$L$5))</f>
        <v>0</v>
      </c>
      <c r="ET58" s="58">
        <f>IFERROR(IF($K58&lt;VLOOKUP(ER$2,$B:$H,7,0),IF(EV$3=1,MIN($M58,ER58),IF(HLOOKUP(CONCATENATE("Balance",EV$3-1),'Withdrawal Working'!$A$2:$CD$78,MATCH('Yoy WAR OG'!$J58,'Withdrawal Working'!$A$2:$A$78,0),FALSE)&gt;0,MIN(HLOOKUP(CONCATENATE("Balance",EV$3-1),'Withdrawal Working'!$A$2:$CD$78,MATCH('Yoy WAR OG'!$J58,'Withdrawal Working'!$A$2:$A$78,0),0),ER58),0)),IF($K58=VLOOKUP(ER$2,$B:$H,7,0),ER58,)),0)</f>
        <v>0</v>
      </c>
      <c r="EU58" s="58">
        <f t="shared" ca="1" si="72"/>
        <v>0</v>
      </c>
      <c r="EX58" s="450">
        <f t="shared" ca="1" si="49"/>
        <v>0</v>
      </c>
      <c r="EY58" s="58">
        <f>IF(OR(J58&gt;'NWGC - SCENARIOS'!$D$7,J58='NWGC - SCENARIOS'!$D$7),0,EY57)</f>
        <v>0</v>
      </c>
      <c r="EZ58" s="58">
        <f>IFERROR(IF($K58&lt;VLOOKUP(EX$2,$B:$H,7,0),IF(FB$3=1,MIN($M58,EX58),IF(HLOOKUP(CONCATENATE("Balance",FB$3-1),'Withdrawal Working'!$A$2:$CD$78,MATCH('Yoy WAR OG'!$J58,'Withdrawal Working'!$A$2:$A$78,0),FALSE)&gt;0,MIN(HLOOKUP(CONCATENATE("Balance",FB$3-1),'Withdrawal Working'!$A$2:$CD$78,MATCH('Yoy WAR OG'!$J58,'Withdrawal Working'!$A$2:$A$78,0),0),EX58),0)),IF($K58=VLOOKUP(EX$2,$B:$H,7,0),EX58,)),0)</f>
        <v>0</v>
      </c>
      <c r="FA58" s="58">
        <f t="shared" ca="1" si="73"/>
        <v>0</v>
      </c>
    </row>
    <row r="59" spans="10:157" x14ac:dyDescent="0.3">
      <c r="J59">
        <f>IFERROR('NWGC - SCENARIOS'!B66,0)</f>
        <v>104</v>
      </c>
      <c r="K59">
        <f>IFERROR('NWGC - SCENARIOS'!C66,0)</f>
        <v>2080</v>
      </c>
      <c r="L59" s="449">
        <f ca="1">IF(('NWGC - SCENARIOS'!G66-working!G57)&gt;'NWGC - SCENARIOS'!H66,'NWGC - SCENARIOS'!G66-'NWGC - SCENARIOS'!H66-working!G57,0)</f>
        <v>0</v>
      </c>
      <c r="M59" s="449">
        <f ca="1">IF(('NWGC - SCENARIOS'!G66-working!G57)&gt;'NWGC - SCENARIOS'!H66,0,'NWGC - SCENARIOS'!H66-'NWGC - SCENARIOS'!G66+working!G57)</f>
        <v>152300317.13863859</v>
      </c>
      <c r="N59" s="58">
        <f t="shared" ca="1" si="50"/>
        <v>0</v>
      </c>
      <c r="O59" s="58">
        <f t="shared" ca="1" si="51"/>
        <v>310562434.34128034</v>
      </c>
      <c r="P59" s="58">
        <f t="shared" ca="1" si="74"/>
        <v>0</v>
      </c>
      <c r="Q59" s="58">
        <f ca="1">(VLOOKUP(P$2,$B$1:$F$32,5,0)*$L59)+(VLOOKUP($K59,'Withdrawal Working'!$AD:$AE,2,0)*(IFERROR(VLOOKUP(P$2,$B$35:$C$42,2,0),0)))</f>
        <v>0</v>
      </c>
      <c r="R59" s="58">
        <f>IFERROR(IF($K59&lt;VLOOKUP(P$2,$B:$H,7,0),IF(T$3=1,MIN($M59,P59),IF(HLOOKUP(CONCATENATE("Balance",T$3-1),'Withdrawal Working'!$A$2:$CD$78,MATCH('Yoy WAR OG'!$J59,'Withdrawal Working'!$A$2:$A$78,0),FALSE)&gt;0,MIN(HLOOKUP(CONCATENATE("Balance",T$3-1),'Withdrawal Working'!$A$2:$CD$78,MATCH('Yoy WAR OG'!$J59,'Withdrawal Working'!$A$2:$A$78,0),0),P59),0)),IF($K59=VLOOKUP(P$2,$B:$H,7,0),P59,)),0)</f>
        <v>0</v>
      </c>
      <c r="S59" s="58">
        <f t="shared" ca="1" si="75"/>
        <v>0</v>
      </c>
      <c r="T59" s="58"/>
      <c r="V59" s="58">
        <f t="shared" ca="1" si="27"/>
        <v>0</v>
      </c>
      <c r="W59" s="58">
        <f ca="1">(VLOOKUP(V$2,$B$1:$F$32,5,0)*$L59)+(VLOOKUP($K59,'Withdrawal Working'!$AD:$AE,2,0)*(IFERROR(VLOOKUP(V$2,$B$35:$C$42,2,0),0)))</f>
        <v>0</v>
      </c>
      <c r="X59" s="58">
        <f>IFERROR(IF($K59&lt;VLOOKUP(V$2,$B:$H,7,0),IF(Z$3=1,MIN($M59,V59),IF(HLOOKUP(CONCATENATE("Balance",Z$3-1),'Withdrawal Working'!$A$2:$CD$78,MATCH('Yoy WAR OG'!$J59,'Withdrawal Working'!$A$2:$A$78,0),FALSE)&gt;0,MIN(HLOOKUP(CONCATENATE("Balance",Z$3-1),'Withdrawal Working'!$A$2:$CD$78,MATCH('Yoy WAR OG'!$J59,'Withdrawal Working'!$A$2:$A$78,0),0),V59),0)),IF($K59=VLOOKUP(V$2,$B:$H,7,0),V59,)),0)</f>
        <v>0</v>
      </c>
      <c r="Y59" s="58">
        <f t="shared" ca="1" si="52"/>
        <v>0</v>
      </c>
      <c r="AB59" s="58">
        <f t="shared" ca="1" si="28"/>
        <v>0</v>
      </c>
      <c r="AC59" s="58">
        <f ca="1">(VLOOKUP(AB$2,$B$1:$F$32,5,0)*$L59)+(VLOOKUP($K59,'Withdrawal Working'!$AD:$AE,2,0)*(IFERROR(VLOOKUP(AB$2,$B$35:$C$42,2,0),0)))</f>
        <v>0</v>
      </c>
      <c r="AE59" s="58">
        <f t="shared" ca="1" si="53"/>
        <v>0</v>
      </c>
      <c r="AH59" s="58">
        <f t="shared" ca="1" si="29"/>
        <v>0</v>
      </c>
      <c r="AI59" s="58">
        <f ca="1">(VLOOKUP(AH$2,$B$1:$F$32,5,0)*$L59)+IF(J59&gt;'NWGC - SCENARIOS'!$D$7,0,(VLOOKUP($K59,'Withdrawal Working'!$AD:$AE,2,0)*(IFERROR(VLOOKUP(AH$2,$B$35:$C$42,2,0),0))))</f>
        <v>0</v>
      </c>
      <c r="AJ59" s="58">
        <f>IFERROR(IF($J59&gt;'NWGC - SCENARIOS'!$D$7,MIN('Yoy WAR OG'!AH59,VLOOKUP('Yoy WAR OG'!$J59,'Withdrawal Working'!BC:BD,2,0)),IF(AL$3=1,$M59,IF(HLOOKUP(CONCATENATE("Balance",AL$3-1),'Withdrawal Working'!$A$2:$CD$78,MATCH('Yoy WAR OG'!$J59,'Withdrawal Working'!$A$2:$A$78,0),FALSE)&gt;0,MIN(HLOOKUP(CONCATENATE("Balance",AL$3-1),'Withdrawal Working'!$A$2:$CD$78,MATCH('Yoy WAR OG'!$J59,'Withdrawal Working'!$A$2:$A$78,0),0),AH59),0))),0)</f>
        <v>0</v>
      </c>
      <c r="AK59" s="58">
        <f t="shared" ca="1" si="54"/>
        <v>0</v>
      </c>
      <c r="AN59" s="450">
        <f t="shared" ca="1" si="30"/>
        <v>120154649.44351973</v>
      </c>
      <c r="AO59" s="58">
        <f ca="1">IF(J59&gt;'NWGC - SCENARIOS'!$D$7,(IF(AJ59=0,0,'Yoy WAR OG'!AJ59)+(VLOOKUP(AN$2,$B$1:$F$32,5,0)*$L59)),(VLOOKUP(AN$2,$B$1:$F$32,5,0)*$L59)+(VLOOKUP($K59,'Withdrawal Working'!$AD:$AE,2,0)*(IFERROR(VLOOKUP(AN$2,$B$35:$C$42,2,0),0))))</f>
        <v>0</v>
      </c>
      <c r="AP59" s="470">
        <f ca="1">IFERROR(IF($K59&lt;&gt;VLOOKUP(AN$2,$B:$H,7,0),IF(AR$3=1,MIN($M59,AN59),IF(HLOOKUP(CONCATENATE("Balance",AR$3-1),'Withdrawal Working'!$A$2:$CD$78,MATCH('Yoy WAR OG'!$J59,'Withdrawal Working'!$A$2:$A$78,0),FALSE)&gt;0,MIN(HLOOKUP(CONCATENATE("Balance",AR$3-1),'Withdrawal Working'!$A$2:$CD$78,MATCH('Yoy WAR OG'!$J59,'Withdrawal Working'!$A$2:$A$78,0),0),AN59),0)),IF($K59=VLOOKUP(AN$2,$B:$H,7,0),AN59,)),0)</f>
        <v>120154649.44351973</v>
      </c>
      <c r="AQ59" s="58">
        <f ca="1">IF(AO59&lt;0,0,IF(J59&gt;'NWGC - SCENARIOS'!$D$7,((AN59-AP59+AO59)*(1+(IFERROR(VLOOKUP(AN$2,$B:$D,3,0),0)))),((AN59-AP59)*(1+(IFERROR(VLOOKUP(AN$2,$B:$D,3,0),0))))+AO59))</f>
        <v>0</v>
      </c>
      <c r="AT59" s="450">
        <f t="shared" ca="1" si="31"/>
        <v>0</v>
      </c>
      <c r="AU59" s="58">
        <f ca="1">(VLOOKUP(AT$2,$B$1:$F$32,5,0)*$L59)+(VLOOKUP($K59,'Withdrawal Working'!$AD:$AE,2,0)*(IFERROR(VLOOKUP(AT$2,$B$35:$C$42,2,0),0)))</f>
        <v>0</v>
      </c>
      <c r="AV59" s="58">
        <f>IFERROR(IF($K59&lt;VLOOKUP(AT$2,$B:$H,7,0),IF(AX$3=1,MIN($M59,AT59),IF(HLOOKUP(CONCATENATE("Balance",AX$3-1),'Withdrawal Working'!$A$2:$CD$78,MATCH('Yoy WAR OG'!$J59,'Withdrawal Working'!$A$2:$A$78,0),FALSE)&gt;0,MIN(HLOOKUP(CONCATENATE("Balance",AX$3-1),'Withdrawal Working'!$A$2:$CD$78,MATCH('Yoy WAR OG'!$J59,'Withdrawal Working'!$A$2:$A$78,0),0),AT59),0)),IF($K59=VLOOKUP(AT$2,$B:$H,7,0),AT59,)),0)</f>
        <v>0</v>
      </c>
      <c r="AW59" s="58">
        <f t="shared" ca="1" si="55"/>
        <v>0</v>
      </c>
      <c r="AZ59" s="450">
        <f t="shared" ca="1" si="32"/>
        <v>165260005.93393633</v>
      </c>
      <c r="BA59" s="58">
        <f ca="1">(VLOOKUP(AZ$2,$B$1:$F$32,5,0)*$L59)+(VLOOKUP($K59,'Withdrawal Working'!$AD:$AE,2,0)*(IFERROR(VLOOKUP(AZ$2,$B$35:$C$42,2,0),0)))</f>
        <v>0</v>
      </c>
      <c r="BB59" s="58">
        <f>IFERROR(IF($K59&lt;VLOOKUP(AZ$2,$B:$H,7,0),IF(BD$3=1,MIN($M59,AZ59),IF(HLOOKUP(CONCATENATE("Balance",BD$3-1),'Withdrawal Working'!$A$2:$CD$78,MATCH('Yoy WAR OG'!$J59,'Withdrawal Working'!$A$2:$A$78,0),FALSE)&gt;0,MIN(HLOOKUP(CONCATENATE("Balance",BD$3-1),'Withdrawal Working'!$A$2:$CD$78,MATCH('Yoy WAR OG'!$J59,'Withdrawal Working'!$A$2:$A$78,0),0),AZ59),0)),IF($K59=VLOOKUP(AZ$2,$B:$H,7,0),AZ59,)),0)</f>
        <v>0</v>
      </c>
      <c r="BC59" s="58">
        <f t="shared" ca="1" si="56"/>
        <v>176828206.34931189</v>
      </c>
      <c r="BF59" s="450">
        <f t="shared" ca="1" si="33"/>
        <v>0</v>
      </c>
      <c r="BG59" s="58">
        <f ca="1">(VLOOKUP(BF$2,$B$1:$F$32,5,0)*$L59)+(VLOOKUP($K59,'Withdrawal Working'!$AD:$AE,2,0)*(IFERROR(VLOOKUP(BF$2,$B$35:$C$42,2,0),0)))</f>
        <v>0</v>
      </c>
      <c r="BH59" s="58">
        <f>IFERROR(IF($K59&lt;VLOOKUP(BF$2,$B:$H,7,0),IF(BJ$3=1,MIN($M59,BF59),IF(HLOOKUP(CONCATENATE("Balance",BJ$3-1),'Withdrawal Working'!$A$2:$CD$78,MATCH('Yoy WAR OG'!$J59,'Withdrawal Working'!$A$2:$A$78,0),FALSE)&gt;0,MIN(HLOOKUP(CONCATENATE("Balance",BJ$3-1),'Withdrawal Working'!$A$2:$CD$78,MATCH('Yoy WAR OG'!$J59,'Withdrawal Working'!$A$2:$A$78,0),0),BF59),0)),IF($K59=VLOOKUP(BF$2,$B:$H,7,0),BF59,)),0)</f>
        <v>0</v>
      </c>
      <c r="BI59" s="58">
        <f t="shared" ca="1" si="57"/>
        <v>0</v>
      </c>
      <c r="BL59" s="450">
        <f t="shared" ca="1" si="34"/>
        <v>0</v>
      </c>
      <c r="BM59" s="58">
        <f ca="1">(VLOOKUP(BL$2,$B$1:$F$32,5,0)*$L59)+(VLOOKUP($K59,'Withdrawal Working'!$AD:$AE,2,0)*(IFERROR(VLOOKUP(BL$2,$B$35:$C$42,2,0),0)))</f>
        <v>0</v>
      </c>
      <c r="BN59" s="58">
        <f>IFERROR(IF($K59&lt;VLOOKUP(BL$2,$B:$H,7,0),IF(BP$3=1,MIN($M59,BL59),IF(HLOOKUP(CONCATENATE("Balance",BP$3-1),'Withdrawal Working'!$A$2:$CD$78,MATCH('Yoy WAR OG'!$J59,'Withdrawal Working'!$A$2:$A$78,0),FALSE)&gt;0,MIN(HLOOKUP(CONCATENATE("Balance",BP$3-1),'Withdrawal Working'!$A$2:$CD$78,MATCH('Yoy WAR OG'!$J59,'Withdrawal Working'!$A$2:$A$78,0),0),BL59),0)),IF($K59=VLOOKUP(BL$2,$B:$H,7,0),BL59,)),0)</f>
        <v>0</v>
      </c>
      <c r="BO59" s="58">
        <f t="shared" ca="1" si="58"/>
        <v>0</v>
      </c>
      <c r="BR59" s="450">
        <f t="shared" ca="1" si="35"/>
        <v>0</v>
      </c>
      <c r="BS59" s="58">
        <f ca="1">(VLOOKUP(BR$2,$B$1:$F$32,5,0)*$L59)+(VLOOKUP($K59,'Withdrawal Working'!$AD:$AE,2,0)*(IFERROR(VLOOKUP(BR$2,$B$35:$C$42,2,0),0)))</f>
        <v>0</v>
      </c>
      <c r="BT59" s="58">
        <f>IFERROR(IF($K59&lt;VLOOKUP(BR$2,$B:$H,7,0),IF(BV$3=1,MIN($M59,BR59),IF(HLOOKUP(CONCATENATE("Balance",BV$3-1),'Withdrawal Working'!$A$2:$CD$78,MATCH('Yoy WAR OG'!$J59,'Withdrawal Working'!$A$2:$A$78,0),FALSE)&gt;0,MIN(HLOOKUP(CONCATENATE("Balance",BV$3-1),'Withdrawal Working'!$A$2:$CD$78,MATCH('Yoy WAR OG'!$J59,'Withdrawal Working'!$A$2:$A$78,0),0),BR59),0)),IF($K59=VLOOKUP(BR$2,$B:$H,7,0),BR59,)),0)</f>
        <v>0</v>
      </c>
      <c r="BU59" s="58">
        <f t="shared" ca="1" si="59"/>
        <v>0</v>
      </c>
      <c r="BX59" s="450">
        <f t="shared" ca="1" si="36"/>
        <v>0</v>
      </c>
      <c r="BY59" s="58">
        <f ca="1">(VLOOKUP(BX$2,$B$1:$F$32,5,0)*$L59)+(VLOOKUP($K59,'Withdrawal Working'!$AD:$AE,2,0)*(IFERROR(VLOOKUP(BX$2,$B$35:$C$42,2,0),0)))</f>
        <v>0</v>
      </c>
      <c r="BZ59" s="58">
        <f>IFERROR(IF($K59&lt;VLOOKUP(BX$2,$B:$H,7,0),IF(CB$3=1,MIN($M59,BX59),IF(HLOOKUP(CONCATENATE("Balance",CB$3-1),'Withdrawal Working'!$A$2:$CD$78,MATCH('Yoy WAR OG'!$J59,'Withdrawal Working'!$A$2:$A$78,0),FALSE)&gt;0,MIN(HLOOKUP(CONCATENATE("Balance",CB$3-1),'Withdrawal Working'!$A$2:$CD$78,MATCH('Yoy WAR OG'!$J59,'Withdrawal Working'!$A$2:$A$78,0),0),BX59),0)),IF($K59=VLOOKUP(BX$2,$B:$H,7,0),BX59,)),0)</f>
        <v>0</v>
      </c>
      <c r="CA59" s="58">
        <f t="shared" ca="1" si="60"/>
        <v>0</v>
      </c>
      <c r="CD59" s="450">
        <f t="shared" ca="1" si="37"/>
        <v>92539511.491734952</v>
      </c>
      <c r="CE59" s="58">
        <f ca="1">(VLOOKUP(CD$2,$B$1:$F$32,5,0)*$L59)+(VLOOKUP($K59,'Withdrawal Working'!$AD:$AE,2,0)*(IFERROR(VLOOKUP(CD$2,$B$35:$C$42,2,0),0)))+SUMIFS('Key Life Events'!$I$3:$I$28,'Key Life Events'!$H$3:$H$28,"House",'Key Life Events'!$E$3:$E$28,'Yoy WAR OG'!K59)</f>
        <v>0</v>
      </c>
      <c r="CF59" s="58">
        <f>IFERROR(IF($K59&lt;VLOOKUP(CD$2,$B:$H,7,0),IF(CH$3=1,MIN($M59,CD59),IF(HLOOKUP(CONCATENATE("Balance",CH$3-1),'Withdrawal Working'!$A$2:$CD$78,MATCH('Yoy WAR OG'!$J59,'Withdrawal Working'!$A$2:$A$78,0),FALSE)&gt;0,MIN(HLOOKUP(CONCATENATE("Balance",CH$3-1),'Withdrawal Working'!$A$2:$CD$78,MATCH('Yoy WAR OG'!$J59,'Withdrawal Working'!$A$2:$A$78,0),0),CD59),0)),IF($K59=VLOOKUP(CD$2,$B:$H,7,0),CD59,)),0)</f>
        <v>0</v>
      </c>
      <c r="CG59" s="58">
        <f t="shared" ca="1" si="61"/>
        <v>95315696.83648701</v>
      </c>
      <c r="CJ59" s="450">
        <f t="shared" ca="1" si="38"/>
        <v>0</v>
      </c>
      <c r="CK59" s="58">
        <f ca="1">(VLOOKUP(CJ$2,$B$1:$F$32,5,0)*$L59)+(VLOOKUP($K59,'Withdrawal Working'!$AD:$AE,2,0)*(IFERROR(VLOOKUP(CJ$2,$B$35:$C$42,2,0),0)))+SUMIFS('Key Life Events'!$I$3:$I$28,'Key Life Events'!$H$3:$H$28,"House2",'Key Life Events'!$E$3:$E$28,'Yoy WAR OG'!K59)</f>
        <v>0</v>
      </c>
      <c r="CL59" s="58">
        <f ca="1">IF(IFERROR(IF($K59&lt;&gt;VLOOKUP(CJ$2,$B:$H,7,0),IF(CN$3=1,MIN($M59,CJ59),IF(HLOOKUP(CONCATENATE("Balance",CN$3-1),'Withdrawal Working'!$A$2:$CD$78,MATCH('Yoy WAR OG'!$J59,'Withdrawal Working'!$A$2:$A$78,0),FALSE)&gt;0,MIN(HLOOKUP(CONCATENATE("Balance",CN$3-1),'Withdrawal Working'!$A$2:$CD$78,MATCH('Yoy WAR OG'!$J59,'Withdrawal Working'!$A$2:$A$78,0),0),CJ59),0)),IF($K59=VLOOKUP(CJ$2,$B:$H,7,0),CJ59,)),0)&gt;0,CJ59,0)</f>
        <v>0</v>
      </c>
      <c r="CM59" s="58">
        <f t="shared" ca="1" si="62"/>
        <v>0</v>
      </c>
      <c r="CP59" s="450">
        <f t="shared" ca="1" si="39"/>
        <v>36589077.290934727</v>
      </c>
      <c r="CQ59" s="58">
        <f ca="1">(VLOOKUP(CP$2,$B$1:$F$32,5,0)*$L59)+(VLOOKUP($K59,'Withdrawal Working'!$AD:$AE,2,0)*(IFERROR(VLOOKUP(CP$2,$B$35:$C$42,2,0),0)))+SUMIFS('Key Life Events'!$I$3:$I$28,'Key Life Events'!$H$3:$H$28,"Land",'Key Life Events'!$E$3:$E$28,'Yoy WAR OG'!K59)</f>
        <v>0</v>
      </c>
      <c r="CR59" s="58">
        <f>IFERROR(IF($K59&lt;VLOOKUP(CP$2,$B:$H,7,0),IF(CT$3=1,MIN($M59,CP59),IF(HLOOKUP(CONCATENATE("Balance",CT$3-1),'Withdrawal Working'!$A$2:$CD$78,MATCH('Yoy WAR OG'!$J59,'Withdrawal Working'!$A$2:$A$78,0),FALSE)&gt;0,MIN(HLOOKUP(CONCATENATE("Balance",CT$3-1),'Withdrawal Working'!$A$2:$CD$78,MATCH('Yoy WAR OG'!$J59,'Withdrawal Working'!$A$2:$A$78,0),0),CP59),0)),IF($K59=VLOOKUP(CP$2,$B:$H,7,0),CP59,)),0)</f>
        <v>0</v>
      </c>
      <c r="CS59" s="58">
        <f t="shared" ca="1" si="63"/>
        <v>38418531.155481465</v>
      </c>
      <c r="CV59" s="450">
        <f t="shared" ca="1" si="40"/>
        <v>0</v>
      </c>
      <c r="CW59" s="58"/>
      <c r="CX59" s="58">
        <f>IFERROR(IF($K59&lt;VLOOKUP(CV$2,$B:$H,7,0),IF(CZ$3=1,MIN($M59,CV59),IF(HLOOKUP(CONCATENATE("Balance",CZ$3-1),'Withdrawal Working'!$A$2:$CD$78,MATCH('Yoy WAR OG'!$J59,'Withdrawal Working'!$A$2:$A$78,0),FALSE)&gt;0,MIN(HLOOKUP(CONCATENATE("Balance",CZ$3-1),'Withdrawal Working'!$A$2:$CD$78,MATCH('Yoy WAR OG'!$J59,'Withdrawal Working'!$A$2:$A$78,0),0),CV59),0)),IF($K59=VLOOKUP(CV$2,$B:$H,7,0),CV59,)),0)</f>
        <v>0</v>
      </c>
      <c r="CY59" s="58">
        <f t="shared" ca="1" si="64"/>
        <v>0</v>
      </c>
      <c r="DB59" s="450">
        <f t="shared" ca="1" si="41"/>
        <v>0</v>
      </c>
      <c r="DC59" s="58">
        <f ca="1">(VLOOKUP(DB$2,$B$1:$F$32,5,0)*$L59)+(VLOOKUP($K59,'Withdrawal Working'!$AD:$AE,2,0)*(IFERROR(VLOOKUP(DB$2,$B$35:$C$42,2,0),0)))</f>
        <v>0</v>
      </c>
      <c r="DD59" s="58">
        <f>IFERROR(IF($K59&lt;VLOOKUP(DB$2,$B:$H,7,0),IF(DF$3=1,MIN($M59,DB59),IF(HLOOKUP(CONCATENATE("Balance",DF$3-1),'Withdrawal Working'!$A$2:$CD$78,MATCH('Yoy WAR OG'!$J59,'Withdrawal Working'!$A$2:$A$78,0),FALSE)&gt;0,MIN(HLOOKUP(CONCATENATE("Balance",DF$3-1),'Withdrawal Working'!$A$2:$CD$78,MATCH('Yoy WAR OG'!$J59,'Withdrawal Working'!$A$2:$A$78,0),0),DB59),0)),IF($K59=VLOOKUP(DB$2,$B:$H,7,0),DB59,)),0)</f>
        <v>0</v>
      </c>
      <c r="DE59" s="58">
        <f t="shared" ca="1" si="65"/>
        <v>0</v>
      </c>
      <c r="DH59" s="450">
        <f t="shared" ca="1" si="42"/>
        <v>0</v>
      </c>
      <c r="DI59" s="58">
        <f>IF(OR(J59&gt;'NWGC - SCENARIOS'!$D$7,J59='NWGC - SCENARIOS'!$D$7),0,DI58*(1+'NWGC - SCENARIOS'!$L$5))</f>
        <v>0</v>
      </c>
      <c r="DJ59" s="58">
        <f>IFERROR(IF($K59&lt;VLOOKUP(DH$2,$B:$H,7,0),IF(DL$3=1,MIN($M59,DH59),IF(HLOOKUP(CONCATENATE("Balance",DL$3-1),'Withdrawal Working'!$A$2:$CD$78,MATCH('Yoy WAR OG'!$J59,'Withdrawal Working'!$A$2:$A$78,0),FALSE)&gt;0,MIN(HLOOKUP(CONCATENATE("Balance",DL$3-1),'Withdrawal Working'!$A$2:$CD$78,MATCH('Yoy WAR OG'!$J59,'Withdrawal Working'!$A$2:$A$78,0),0),DH59),0)),IF($K59=VLOOKUP(DH$2,$B:$H,7,0),DH59,)),0)</f>
        <v>0</v>
      </c>
      <c r="DK59" s="58">
        <f t="shared" ca="1" si="66"/>
        <v>0</v>
      </c>
      <c r="DN59" s="450">
        <f t="shared" ca="1" si="43"/>
        <v>0</v>
      </c>
      <c r="DO59" s="58">
        <f ca="1">(VLOOKUP(DN$2,$B$1:$F$32,5,0)*$L59)+(VLOOKUP($K59,'Withdrawal Working'!$AD:$AE,2,0)*(IFERROR(VLOOKUP(DN$2,$B$35:$C$42,2,0),0)))</f>
        <v>0</v>
      </c>
      <c r="DP59" s="58">
        <f>IFERROR(IF($K59&lt;VLOOKUP(DN$2,$B:$H,7,0),IF(DR$3=1,MIN($M59,DN59),IF(HLOOKUP(CONCATENATE("Balance",DR$3-1),'Withdrawal Working'!$A$2:$CD$78,MATCH('Yoy WAR OG'!$J59,'Withdrawal Working'!$A$2:$A$78,0),FALSE)&gt;0,MIN(HLOOKUP(CONCATENATE("Balance",DR$3-1),'Withdrawal Working'!$A$2:$CD$78,MATCH('Yoy WAR OG'!$J59,'Withdrawal Working'!$A$2:$A$78,0),0),DN59),0)),IF($K59=VLOOKUP(DN$2,$B:$H,7,0),DN59,)),0)</f>
        <v>0</v>
      </c>
      <c r="DQ59" s="58">
        <f t="shared" ca="1" si="67"/>
        <v>0</v>
      </c>
      <c r="DT59" s="450">
        <f t="shared" ca="1" si="44"/>
        <v>0</v>
      </c>
      <c r="DU59" s="58">
        <f ca="1">(VLOOKUP(DT$2,$B$1:$F$32,5,0)*$L59)+(VLOOKUP($K59,'Withdrawal Working'!$AD:$AE,2,0)*(IFERROR(VLOOKUP(DT$2,$B$35:$C$42,2,0),0)))</f>
        <v>0</v>
      </c>
      <c r="DV59" s="58">
        <f>IFERROR(IF($K59&lt;VLOOKUP(DT$2,$B:$H,7,0),IF(DX$3=1,MIN($M59,DT59),IF(HLOOKUP(CONCATENATE("Balance",DX$3-1),'Withdrawal Working'!$A$2:$CD$78,MATCH('Yoy WAR OG'!$J59,'Withdrawal Working'!$A$2:$A$78,0),FALSE)&gt;0,MIN(HLOOKUP(CONCATENATE("Balance",DX$3-1),'Withdrawal Working'!$A$2:$CD$78,MATCH('Yoy WAR OG'!$J59,'Withdrawal Working'!$A$2:$A$78,0),0),DT59),0)),IF($K59=VLOOKUP(DT$2,$B:$H,7,0),DT59,)),0)</f>
        <v>0</v>
      </c>
      <c r="DW59" s="58">
        <f t="shared" ca="1" si="68"/>
        <v>0</v>
      </c>
      <c r="DZ59" s="450">
        <f t="shared" ca="1" si="45"/>
        <v>0</v>
      </c>
      <c r="EA59" s="58">
        <f ca="1">(VLOOKUP(DZ$2,$B$1:$F$32,5,0)*$L59)+(VLOOKUP($K59,'Withdrawal Working'!$AD:$AE,2,0)*(IFERROR(VLOOKUP(DZ$2,$B$35:$C$42,2,0),0)))</f>
        <v>0</v>
      </c>
      <c r="EB59" s="58">
        <f>IFERROR(IF($K59&lt;VLOOKUP(DZ$2,$B:$H,7,0),IF(ED$3=1,MIN($M59,DZ59),IF(HLOOKUP(CONCATENATE("Balance",ED$3-1),'Withdrawal Working'!$A$2:$CD$78,MATCH('Yoy WAR OG'!$J59,'Withdrawal Working'!$A$2:$A$78,0),FALSE)&gt;0,MIN(HLOOKUP(CONCATENATE("Balance",ED$3-1),'Withdrawal Working'!$A$2:$CD$78,MATCH('Yoy WAR OG'!$J59,'Withdrawal Working'!$A$2:$A$78,0),0),DZ59),0)),IF($K59=VLOOKUP(DZ$2,$B:$H,7,0),DZ59,)),0)</f>
        <v>0</v>
      </c>
      <c r="EC59" s="58">
        <f t="shared" ca="1" si="69"/>
        <v>0</v>
      </c>
      <c r="EF59" s="450">
        <f t="shared" ca="1" si="46"/>
        <v>0</v>
      </c>
      <c r="EG59" s="58">
        <f ca="1">(VLOOKUP(EF$2,$B$1:$F$32,5,0)*$L59)+(VLOOKUP($K59,'Withdrawal Working'!$AD:$AE,2,0)*(IFERROR(VLOOKUP(EF$2,$B$35:$C$42,2,0),0)))</f>
        <v>0</v>
      </c>
      <c r="EH59" s="58">
        <f>IFERROR(IF($K59&lt;VLOOKUP(EF$2,$B:$H,7,0),IF(EJ$3=1,MIN($M59,EF59),IF(HLOOKUP(CONCATENATE("Balance",EJ$3-1),'Withdrawal Working'!$A$2:$CD$78,MATCH('Yoy WAR OG'!$J59,'Withdrawal Working'!$A$2:$A$78,0),FALSE)&gt;0,MIN(HLOOKUP(CONCATENATE("Balance",EJ$3-1),'Withdrawal Working'!$A$2:$CD$78,MATCH('Yoy WAR OG'!$J59,'Withdrawal Working'!$A$2:$A$78,0),0),EF59),0)),IF($K59=VLOOKUP(EF$2,$B:$H,7,0),EF59,)),0)</f>
        <v>0</v>
      </c>
      <c r="EI59" s="58">
        <f t="shared" ca="1" si="70"/>
        <v>0</v>
      </c>
      <c r="EL59" s="450">
        <f t="shared" ca="1" si="47"/>
        <v>0</v>
      </c>
      <c r="EM59" s="58">
        <f>IF(OR($J59&gt;'NWGC - SCENARIOS'!$D$7,$J59='NWGC - SCENARIOS'!$D$7),0,EM58)</f>
        <v>0</v>
      </c>
      <c r="EN59" s="58">
        <f>IFERROR(IF($K59&lt;VLOOKUP(EL$2,$B:$H,7,0),IF(EP$3=1,MIN($M59,EL59),IF(HLOOKUP(CONCATENATE("Balance",EP$3-1),'Withdrawal Working'!$A$2:$CD$78,MATCH('Yoy WAR OG'!$J59,'Withdrawal Working'!$A$2:$A$78,0),FALSE)&gt;0,MIN(HLOOKUP(CONCATENATE("Balance",EP$3-1),'Withdrawal Working'!$A$2:$CD$78,MATCH('Yoy WAR OG'!$J59,'Withdrawal Working'!$A$2:$A$78,0),0),EL59),0)),IF($K59=VLOOKUP(EL$2,$B:$H,7,0),EL59,)),0)</f>
        <v>0</v>
      </c>
      <c r="EO59" s="58">
        <f t="shared" ca="1" si="71"/>
        <v>0</v>
      </c>
      <c r="ER59" s="450">
        <f t="shared" ca="1" si="48"/>
        <v>0</v>
      </c>
      <c r="ES59" s="58">
        <f>IF(OR(J59&gt;'NWGC - SCENARIOS'!$D$7,J59='NWGC - SCENARIOS'!$D$7),0,ES58*(1+'NWGC - SCENARIOS'!$L$5))</f>
        <v>0</v>
      </c>
      <c r="ET59" s="58">
        <f>IFERROR(IF($K59&lt;VLOOKUP(ER$2,$B:$H,7,0),IF(EV$3=1,MIN($M59,ER59),IF(HLOOKUP(CONCATENATE("Balance",EV$3-1),'Withdrawal Working'!$A$2:$CD$78,MATCH('Yoy WAR OG'!$J59,'Withdrawal Working'!$A$2:$A$78,0),FALSE)&gt;0,MIN(HLOOKUP(CONCATENATE("Balance",EV$3-1),'Withdrawal Working'!$A$2:$CD$78,MATCH('Yoy WAR OG'!$J59,'Withdrawal Working'!$A$2:$A$78,0),0),ER59),0)),IF($K59=VLOOKUP(ER$2,$B:$H,7,0),ER59,)),0)</f>
        <v>0</v>
      </c>
      <c r="EU59" s="58">
        <f t="shared" ca="1" si="72"/>
        <v>0</v>
      </c>
      <c r="EX59" s="450">
        <f t="shared" ca="1" si="49"/>
        <v>0</v>
      </c>
      <c r="EY59" s="58">
        <f>IF(OR(J59&gt;'NWGC - SCENARIOS'!$D$7,J59='NWGC - SCENARIOS'!$D$7),0,EY58)</f>
        <v>0</v>
      </c>
      <c r="EZ59" s="58">
        <f>IFERROR(IF($K59&lt;VLOOKUP(EX$2,$B:$H,7,0),IF(FB$3=1,MIN($M59,EX59),IF(HLOOKUP(CONCATENATE("Balance",FB$3-1),'Withdrawal Working'!$A$2:$CD$78,MATCH('Yoy WAR OG'!$J59,'Withdrawal Working'!$A$2:$A$78,0),FALSE)&gt;0,MIN(HLOOKUP(CONCATENATE("Balance",FB$3-1),'Withdrawal Working'!$A$2:$CD$78,MATCH('Yoy WAR OG'!$J59,'Withdrawal Working'!$A$2:$A$78,0),0),EX59),0)),IF($K59=VLOOKUP(EX$2,$B:$H,7,0),EX59,)),0)</f>
        <v>0</v>
      </c>
      <c r="FA59" s="58">
        <f t="shared" ca="1" si="73"/>
        <v>0</v>
      </c>
    </row>
    <row r="60" spans="10:157" x14ac:dyDescent="0.3">
      <c r="J60">
        <f>IFERROR('NWGC - SCENARIOS'!B67,0)</f>
        <v>105</v>
      </c>
      <c r="K60">
        <f>IFERROR('NWGC - SCENARIOS'!C67,0)</f>
        <v>2081</v>
      </c>
      <c r="L60" s="449">
        <f ca="1">IF(('NWGC - SCENARIOS'!G67-working!G58)&gt;'NWGC - SCENARIOS'!H67,'NWGC - SCENARIOS'!G67-'NWGC - SCENARIOS'!H67-working!G58,0)</f>
        <v>0</v>
      </c>
      <c r="M60" s="449">
        <f ca="1">IF(('NWGC - SCENARIOS'!G67-working!G58)&gt;'NWGC - SCENARIOS'!H67,0,'NWGC - SCENARIOS'!H67-'NWGC - SCENARIOS'!G67+working!G58)</f>
        <v>164491062.50972965</v>
      </c>
      <c r="N60" s="58">
        <f t="shared" ca="1" si="50"/>
        <v>0</v>
      </c>
      <c r="O60" s="58">
        <f t="shared" ca="1" si="51"/>
        <v>327720806.24860084</v>
      </c>
      <c r="P60" s="58">
        <f t="shared" ca="1" si="74"/>
        <v>0</v>
      </c>
      <c r="Q60" s="58">
        <f ca="1">(VLOOKUP(P$2,$B$1:$F$32,5,0)*$L60)+(VLOOKUP($K60,'Withdrawal Working'!$AD:$AE,2,0)*(IFERROR(VLOOKUP(P$2,$B$35:$C$42,2,0),0)))</f>
        <v>0</v>
      </c>
      <c r="R60" s="58">
        <f>IFERROR(IF($K60&lt;VLOOKUP(P$2,$B:$H,7,0),IF(T$3=1,MIN($M60,P60),IF(HLOOKUP(CONCATENATE("Balance",T$3-1),'Withdrawal Working'!$A$2:$CD$78,MATCH('Yoy WAR OG'!$J60,'Withdrawal Working'!$A$2:$A$78,0),FALSE)&gt;0,MIN(HLOOKUP(CONCATENATE("Balance",T$3-1),'Withdrawal Working'!$A$2:$CD$78,MATCH('Yoy WAR OG'!$J60,'Withdrawal Working'!$A$2:$A$78,0),0),P60),0)),IF($K60=VLOOKUP(P$2,$B:$H,7,0),P60,)),0)</f>
        <v>0</v>
      </c>
      <c r="S60" s="58">
        <f t="shared" ca="1" si="75"/>
        <v>0</v>
      </c>
      <c r="T60" s="58"/>
      <c r="V60" s="58">
        <f t="shared" ca="1" si="27"/>
        <v>0</v>
      </c>
      <c r="W60" s="58">
        <f ca="1">(VLOOKUP(V$2,$B$1:$F$32,5,0)*$L60)+(VLOOKUP($K60,'Withdrawal Working'!$AD:$AE,2,0)*(IFERROR(VLOOKUP(V$2,$B$35:$C$42,2,0),0)))</f>
        <v>0</v>
      </c>
      <c r="X60" s="58">
        <f>IFERROR(IF($K60&lt;VLOOKUP(V$2,$B:$H,7,0),IF(Z$3=1,MIN($M60,V60),IF(HLOOKUP(CONCATENATE("Balance",Z$3-1),'Withdrawal Working'!$A$2:$CD$78,MATCH('Yoy WAR OG'!$J60,'Withdrawal Working'!$A$2:$A$78,0),FALSE)&gt;0,MIN(HLOOKUP(CONCATENATE("Balance",Z$3-1),'Withdrawal Working'!$A$2:$CD$78,MATCH('Yoy WAR OG'!$J60,'Withdrawal Working'!$A$2:$A$78,0),0),V60),0)),IF($K60=VLOOKUP(V$2,$B:$H,7,0),V60,)),0)</f>
        <v>0</v>
      </c>
      <c r="Y60" s="58">
        <f t="shared" ca="1" si="52"/>
        <v>0</v>
      </c>
      <c r="AB60" s="58">
        <f t="shared" ca="1" si="28"/>
        <v>0</v>
      </c>
      <c r="AC60" s="58">
        <f ca="1">(VLOOKUP(AB$2,$B$1:$F$32,5,0)*$L60)+(VLOOKUP($K60,'Withdrawal Working'!$AD:$AE,2,0)*(IFERROR(VLOOKUP(AB$2,$B$35:$C$42,2,0),0)))</f>
        <v>0</v>
      </c>
      <c r="AE60" s="58">
        <f t="shared" ca="1" si="53"/>
        <v>0</v>
      </c>
      <c r="AH60" s="58">
        <f t="shared" ca="1" si="29"/>
        <v>0</v>
      </c>
      <c r="AI60" s="58">
        <f ca="1">(VLOOKUP(AH$2,$B$1:$F$32,5,0)*$L60)+IF(J60&gt;'NWGC - SCENARIOS'!$D$7,0,(VLOOKUP($K60,'Withdrawal Working'!$AD:$AE,2,0)*(IFERROR(VLOOKUP(AH$2,$B$35:$C$42,2,0),0))))</f>
        <v>0</v>
      </c>
      <c r="AJ60" s="58">
        <f>IFERROR(IF($J60&gt;'NWGC - SCENARIOS'!$D$7,MIN('Yoy WAR OG'!AH60,VLOOKUP('Yoy WAR OG'!$J60,'Withdrawal Working'!BC:BD,2,0)),IF(AL$3=1,$M60,IF(HLOOKUP(CONCATENATE("Balance",AL$3-1),'Withdrawal Working'!$A$2:$CD$78,MATCH('Yoy WAR OG'!$J60,'Withdrawal Working'!$A$2:$A$78,0),FALSE)&gt;0,MIN(HLOOKUP(CONCATENATE("Balance",AL$3-1),'Withdrawal Working'!$A$2:$CD$78,MATCH('Yoy WAR OG'!$J60,'Withdrawal Working'!$A$2:$A$78,0),0),AH60),0))),0)</f>
        <v>0</v>
      </c>
      <c r="AK60" s="58">
        <f t="shared" ca="1" si="54"/>
        <v>0</v>
      </c>
      <c r="AN60" s="450">
        <f t="shared" ca="1" si="30"/>
        <v>0</v>
      </c>
      <c r="AO60" s="58">
        <f ca="1">IF(J60&gt;'NWGC - SCENARIOS'!$D$7,(IF(AJ60=0,0,'Yoy WAR OG'!AJ60)+(VLOOKUP(AN$2,$B$1:$F$32,5,0)*$L60)),(VLOOKUP(AN$2,$B$1:$F$32,5,0)*$L60)+(VLOOKUP($K60,'Withdrawal Working'!$AD:$AE,2,0)*(IFERROR(VLOOKUP(AN$2,$B$35:$C$42,2,0),0))))</f>
        <v>0</v>
      </c>
      <c r="AP60" s="470">
        <f ca="1">IFERROR(IF($K60&lt;&gt;VLOOKUP(AN$2,$B:$H,7,0),IF(AR$3=1,MIN($M60,AN60),IF(HLOOKUP(CONCATENATE("Balance",AR$3-1),'Withdrawal Working'!$A$2:$CD$78,MATCH('Yoy WAR OG'!$J60,'Withdrawal Working'!$A$2:$A$78,0),FALSE)&gt;0,MIN(HLOOKUP(CONCATENATE("Balance",AR$3-1),'Withdrawal Working'!$A$2:$CD$78,MATCH('Yoy WAR OG'!$J60,'Withdrawal Working'!$A$2:$A$78,0),0),AN60),0)),IF($K60=VLOOKUP(AN$2,$B:$H,7,0),AN60,)),0)</f>
        <v>0</v>
      </c>
      <c r="AQ60" s="58">
        <f ca="1">IF(AO60&lt;0,0,IF(J60&gt;'NWGC - SCENARIOS'!$D$7,((AN60-AP60+AO60)*(1+(IFERROR(VLOOKUP(AN$2,$B:$D,3,0),0)))),((AN60-AP60)*(1+(IFERROR(VLOOKUP(AN$2,$B:$D,3,0),0))))+AO60))</f>
        <v>0</v>
      </c>
      <c r="AT60" s="450">
        <f t="shared" ca="1" si="31"/>
        <v>0</v>
      </c>
      <c r="AU60" s="58">
        <f ca="1">(VLOOKUP(AT$2,$B$1:$F$32,5,0)*$L60)+(VLOOKUP($K60,'Withdrawal Working'!$AD:$AE,2,0)*(IFERROR(VLOOKUP(AT$2,$B$35:$C$42,2,0),0)))</f>
        <v>0</v>
      </c>
      <c r="AV60" s="58">
        <f>IFERROR(IF($K60&lt;VLOOKUP(AT$2,$B:$H,7,0),IF(AX$3=1,MIN($M60,AT60),IF(HLOOKUP(CONCATENATE("Balance",AX$3-1),'Withdrawal Working'!$A$2:$CD$78,MATCH('Yoy WAR OG'!$J60,'Withdrawal Working'!$A$2:$A$78,0),FALSE)&gt;0,MIN(HLOOKUP(CONCATENATE("Balance",AX$3-1),'Withdrawal Working'!$A$2:$CD$78,MATCH('Yoy WAR OG'!$J60,'Withdrawal Working'!$A$2:$A$78,0),0),AT60),0)),IF($K60=VLOOKUP(AT$2,$B:$H,7,0),AT60,)),0)</f>
        <v>0</v>
      </c>
      <c r="AW60" s="58">
        <f t="shared" ca="1" si="55"/>
        <v>0</v>
      </c>
      <c r="AZ60" s="450">
        <f t="shared" ca="1" si="32"/>
        <v>176828206.34931189</v>
      </c>
      <c r="BA60" s="58">
        <f ca="1">(VLOOKUP(AZ$2,$B$1:$F$32,5,0)*$L60)+(VLOOKUP($K60,'Withdrawal Working'!$AD:$AE,2,0)*(IFERROR(VLOOKUP(AZ$2,$B$35:$C$42,2,0),0)))</f>
        <v>0</v>
      </c>
      <c r="BB60" s="58">
        <f>IFERROR(IF($K60&lt;VLOOKUP(AZ$2,$B:$H,7,0),IF(BD$3=1,MIN($M60,AZ60),IF(HLOOKUP(CONCATENATE("Balance",BD$3-1),'Withdrawal Working'!$A$2:$CD$78,MATCH('Yoy WAR OG'!$J60,'Withdrawal Working'!$A$2:$A$78,0),FALSE)&gt;0,MIN(HLOOKUP(CONCATENATE("Balance",BD$3-1),'Withdrawal Working'!$A$2:$CD$78,MATCH('Yoy WAR OG'!$J60,'Withdrawal Working'!$A$2:$A$78,0),0),AZ60),0)),IF($K60=VLOOKUP(AZ$2,$B:$H,7,0),AZ60,)),0)</f>
        <v>0</v>
      </c>
      <c r="BC60" s="58">
        <f t="shared" ca="1" si="56"/>
        <v>189206180.79376373</v>
      </c>
      <c r="BF60" s="450">
        <f t="shared" ca="1" si="33"/>
        <v>0</v>
      </c>
      <c r="BG60" s="58">
        <f ca="1">(VLOOKUP(BF$2,$B$1:$F$32,5,0)*$L60)+(VLOOKUP($K60,'Withdrawal Working'!$AD:$AE,2,0)*(IFERROR(VLOOKUP(BF$2,$B$35:$C$42,2,0),0)))</f>
        <v>0</v>
      </c>
      <c r="BH60" s="58">
        <f>IFERROR(IF($K60&lt;VLOOKUP(BF$2,$B:$H,7,0),IF(BJ$3=1,MIN($M60,BF60),IF(HLOOKUP(CONCATENATE("Balance",BJ$3-1),'Withdrawal Working'!$A$2:$CD$78,MATCH('Yoy WAR OG'!$J60,'Withdrawal Working'!$A$2:$A$78,0),FALSE)&gt;0,MIN(HLOOKUP(CONCATENATE("Balance",BJ$3-1),'Withdrawal Working'!$A$2:$CD$78,MATCH('Yoy WAR OG'!$J60,'Withdrawal Working'!$A$2:$A$78,0),0),BF60),0)),IF($K60=VLOOKUP(BF$2,$B:$H,7,0),BF60,)),0)</f>
        <v>0</v>
      </c>
      <c r="BI60" s="58">
        <f t="shared" ca="1" si="57"/>
        <v>0</v>
      </c>
      <c r="BL60" s="450">
        <f t="shared" ca="1" si="34"/>
        <v>0</v>
      </c>
      <c r="BM60" s="58">
        <f ca="1">(VLOOKUP(BL$2,$B$1:$F$32,5,0)*$L60)+(VLOOKUP($K60,'Withdrawal Working'!$AD:$AE,2,0)*(IFERROR(VLOOKUP(BL$2,$B$35:$C$42,2,0),0)))</f>
        <v>0</v>
      </c>
      <c r="BN60" s="58">
        <f>IFERROR(IF($K60&lt;VLOOKUP(BL$2,$B:$H,7,0),IF(BP$3=1,MIN($M60,BL60),IF(HLOOKUP(CONCATENATE("Balance",BP$3-1),'Withdrawal Working'!$A$2:$CD$78,MATCH('Yoy WAR OG'!$J60,'Withdrawal Working'!$A$2:$A$78,0),FALSE)&gt;0,MIN(HLOOKUP(CONCATENATE("Balance",BP$3-1),'Withdrawal Working'!$A$2:$CD$78,MATCH('Yoy WAR OG'!$J60,'Withdrawal Working'!$A$2:$A$78,0),0),BL60),0)),IF($K60=VLOOKUP(BL$2,$B:$H,7,0),BL60,)),0)</f>
        <v>0</v>
      </c>
      <c r="BO60" s="58">
        <f t="shared" ca="1" si="58"/>
        <v>0</v>
      </c>
      <c r="BR60" s="450">
        <f t="shared" ca="1" si="35"/>
        <v>0</v>
      </c>
      <c r="BS60" s="58">
        <f ca="1">(VLOOKUP(BR$2,$B$1:$F$32,5,0)*$L60)+(VLOOKUP($K60,'Withdrawal Working'!$AD:$AE,2,0)*(IFERROR(VLOOKUP(BR$2,$B$35:$C$42,2,0),0)))</f>
        <v>0</v>
      </c>
      <c r="BT60" s="58">
        <f>IFERROR(IF($K60&lt;VLOOKUP(BR$2,$B:$H,7,0),IF(BV$3=1,MIN($M60,BR60),IF(HLOOKUP(CONCATENATE("Balance",BV$3-1),'Withdrawal Working'!$A$2:$CD$78,MATCH('Yoy WAR OG'!$J60,'Withdrawal Working'!$A$2:$A$78,0),FALSE)&gt;0,MIN(HLOOKUP(CONCATENATE("Balance",BV$3-1),'Withdrawal Working'!$A$2:$CD$78,MATCH('Yoy WAR OG'!$J60,'Withdrawal Working'!$A$2:$A$78,0),0),BR60),0)),IF($K60=VLOOKUP(BR$2,$B:$H,7,0),BR60,)),0)</f>
        <v>0</v>
      </c>
      <c r="BU60" s="58">
        <f t="shared" ca="1" si="59"/>
        <v>0</v>
      </c>
      <c r="BX60" s="450">
        <f t="shared" ca="1" si="36"/>
        <v>0</v>
      </c>
      <c r="BY60" s="58">
        <f ca="1">(VLOOKUP(BX$2,$B$1:$F$32,5,0)*$L60)+(VLOOKUP($K60,'Withdrawal Working'!$AD:$AE,2,0)*(IFERROR(VLOOKUP(BX$2,$B$35:$C$42,2,0),0)))</f>
        <v>0</v>
      </c>
      <c r="BZ60" s="58">
        <f>IFERROR(IF($K60&lt;VLOOKUP(BX$2,$B:$H,7,0),IF(CB$3=1,MIN($M60,BX60),IF(HLOOKUP(CONCATENATE("Balance",CB$3-1),'Withdrawal Working'!$A$2:$CD$78,MATCH('Yoy WAR OG'!$J60,'Withdrawal Working'!$A$2:$A$78,0),FALSE)&gt;0,MIN(HLOOKUP(CONCATENATE("Balance",CB$3-1),'Withdrawal Working'!$A$2:$CD$78,MATCH('Yoy WAR OG'!$J60,'Withdrawal Working'!$A$2:$A$78,0),0),BX60),0)),IF($K60=VLOOKUP(BX$2,$B:$H,7,0),BX60,)),0)</f>
        <v>0</v>
      </c>
      <c r="CA60" s="58">
        <f t="shared" ca="1" si="60"/>
        <v>0</v>
      </c>
      <c r="CD60" s="450">
        <f t="shared" ca="1" si="37"/>
        <v>95315696.83648701</v>
      </c>
      <c r="CE60" s="58">
        <f ca="1">(VLOOKUP(CD$2,$B$1:$F$32,5,0)*$L60)+(VLOOKUP($K60,'Withdrawal Working'!$AD:$AE,2,0)*(IFERROR(VLOOKUP(CD$2,$B$35:$C$42,2,0),0)))+SUMIFS('Key Life Events'!$I$3:$I$28,'Key Life Events'!$H$3:$H$28,"House",'Key Life Events'!$E$3:$E$28,'Yoy WAR OG'!K60)</f>
        <v>0</v>
      </c>
      <c r="CF60" s="58">
        <f>IFERROR(IF($K60&lt;VLOOKUP(CD$2,$B:$H,7,0),IF(CH$3=1,MIN($M60,CD60),IF(HLOOKUP(CONCATENATE("Balance",CH$3-1),'Withdrawal Working'!$A$2:$CD$78,MATCH('Yoy WAR OG'!$J60,'Withdrawal Working'!$A$2:$A$78,0),FALSE)&gt;0,MIN(HLOOKUP(CONCATENATE("Balance",CH$3-1),'Withdrawal Working'!$A$2:$CD$78,MATCH('Yoy WAR OG'!$J60,'Withdrawal Working'!$A$2:$A$78,0),0),CD60),0)),IF($K60=VLOOKUP(CD$2,$B:$H,7,0),CD60,)),0)</f>
        <v>0</v>
      </c>
      <c r="CG60" s="58">
        <f t="shared" ca="1" si="61"/>
        <v>98175167.741581619</v>
      </c>
      <c r="CJ60" s="450">
        <f t="shared" ca="1" si="38"/>
        <v>0</v>
      </c>
      <c r="CK60" s="58">
        <f ca="1">(VLOOKUP(CJ$2,$B$1:$F$32,5,0)*$L60)+(VLOOKUP($K60,'Withdrawal Working'!$AD:$AE,2,0)*(IFERROR(VLOOKUP(CJ$2,$B$35:$C$42,2,0),0)))+SUMIFS('Key Life Events'!$I$3:$I$28,'Key Life Events'!$H$3:$H$28,"House2",'Key Life Events'!$E$3:$E$28,'Yoy WAR OG'!K60)</f>
        <v>0</v>
      </c>
      <c r="CL60" s="58">
        <f ca="1">IF(IFERROR(IF($K60&lt;&gt;VLOOKUP(CJ$2,$B:$H,7,0),IF(CN$3=1,MIN($M60,CJ60),IF(HLOOKUP(CONCATENATE("Balance",CN$3-1),'Withdrawal Working'!$A$2:$CD$78,MATCH('Yoy WAR OG'!$J60,'Withdrawal Working'!$A$2:$A$78,0),FALSE)&gt;0,MIN(HLOOKUP(CONCATENATE("Balance",CN$3-1),'Withdrawal Working'!$A$2:$CD$78,MATCH('Yoy WAR OG'!$J60,'Withdrawal Working'!$A$2:$A$78,0),0),CJ60),0)),IF($K60=VLOOKUP(CJ$2,$B:$H,7,0),CJ60,)),0)&gt;0,CJ60,0)</f>
        <v>0</v>
      </c>
      <c r="CM60" s="58">
        <f t="shared" ca="1" si="62"/>
        <v>0</v>
      </c>
      <c r="CP60" s="450">
        <f t="shared" ca="1" si="39"/>
        <v>38418531.155481465</v>
      </c>
      <c r="CQ60" s="58">
        <f ca="1">(VLOOKUP(CP$2,$B$1:$F$32,5,0)*$L60)+(VLOOKUP($K60,'Withdrawal Working'!$AD:$AE,2,0)*(IFERROR(VLOOKUP(CP$2,$B$35:$C$42,2,0),0)))+SUMIFS('Key Life Events'!$I$3:$I$28,'Key Life Events'!$H$3:$H$28,"Land",'Key Life Events'!$E$3:$E$28,'Yoy WAR OG'!K60)</f>
        <v>0</v>
      </c>
      <c r="CR60" s="58">
        <f>IFERROR(IF($K60&lt;VLOOKUP(CP$2,$B:$H,7,0),IF(CT$3=1,MIN($M60,CP60),IF(HLOOKUP(CONCATENATE("Balance",CT$3-1),'Withdrawal Working'!$A$2:$CD$78,MATCH('Yoy WAR OG'!$J60,'Withdrawal Working'!$A$2:$A$78,0),FALSE)&gt;0,MIN(HLOOKUP(CONCATENATE("Balance",CT$3-1),'Withdrawal Working'!$A$2:$CD$78,MATCH('Yoy WAR OG'!$J60,'Withdrawal Working'!$A$2:$A$78,0),0),CP60),0)),IF($K60=VLOOKUP(CP$2,$B:$H,7,0),CP60,)),0)</f>
        <v>0</v>
      </c>
      <c r="CS60" s="58">
        <f t="shared" ca="1" si="63"/>
        <v>40339457.71325554</v>
      </c>
      <c r="CV60" s="450">
        <f t="shared" ca="1" si="40"/>
        <v>0</v>
      </c>
      <c r="CW60" s="58"/>
      <c r="CX60" s="58">
        <f>IFERROR(IF($K60&lt;VLOOKUP(CV$2,$B:$H,7,0),IF(CZ$3=1,MIN($M60,CV60),IF(HLOOKUP(CONCATENATE("Balance",CZ$3-1),'Withdrawal Working'!$A$2:$CD$78,MATCH('Yoy WAR OG'!$J60,'Withdrawal Working'!$A$2:$A$78,0),FALSE)&gt;0,MIN(HLOOKUP(CONCATENATE("Balance",CZ$3-1),'Withdrawal Working'!$A$2:$CD$78,MATCH('Yoy WAR OG'!$J60,'Withdrawal Working'!$A$2:$A$78,0),0),CV60),0)),IF($K60=VLOOKUP(CV$2,$B:$H,7,0),CV60,)),0)</f>
        <v>0</v>
      </c>
      <c r="CY60" s="58">
        <f t="shared" ca="1" si="64"/>
        <v>0</v>
      </c>
      <c r="DB60" s="450">
        <f t="shared" ca="1" si="41"/>
        <v>0</v>
      </c>
      <c r="DC60" s="58">
        <f ca="1">(VLOOKUP(DB$2,$B$1:$F$32,5,0)*$L60)+(VLOOKUP($K60,'Withdrawal Working'!$AD:$AE,2,0)*(IFERROR(VLOOKUP(DB$2,$B$35:$C$42,2,0),0)))</f>
        <v>0</v>
      </c>
      <c r="DD60" s="58">
        <f>IFERROR(IF($K60&lt;VLOOKUP(DB$2,$B:$H,7,0),IF(DF$3=1,MIN($M60,DB60),IF(HLOOKUP(CONCATENATE("Balance",DF$3-1),'Withdrawal Working'!$A$2:$CD$78,MATCH('Yoy WAR OG'!$J60,'Withdrawal Working'!$A$2:$A$78,0),FALSE)&gt;0,MIN(HLOOKUP(CONCATENATE("Balance",DF$3-1),'Withdrawal Working'!$A$2:$CD$78,MATCH('Yoy WAR OG'!$J60,'Withdrawal Working'!$A$2:$A$78,0),0),DB60),0)),IF($K60=VLOOKUP(DB$2,$B:$H,7,0),DB60,)),0)</f>
        <v>0</v>
      </c>
      <c r="DE60" s="58">
        <f t="shared" ca="1" si="65"/>
        <v>0</v>
      </c>
      <c r="DH60" s="450">
        <f t="shared" ca="1" si="42"/>
        <v>0</v>
      </c>
      <c r="DI60" s="58">
        <f>IF(OR(J60&gt;'NWGC - SCENARIOS'!$D$7,J60='NWGC - SCENARIOS'!$D$7),0,DI59*(1+'NWGC - SCENARIOS'!$L$5))</f>
        <v>0</v>
      </c>
      <c r="DJ60" s="58">
        <f>IFERROR(IF($K60&lt;VLOOKUP(DH$2,$B:$H,7,0),IF(DL$3=1,MIN($M60,DH60),IF(HLOOKUP(CONCATENATE("Balance",DL$3-1),'Withdrawal Working'!$A$2:$CD$78,MATCH('Yoy WAR OG'!$J60,'Withdrawal Working'!$A$2:$A$78,0),FALSE)&gt;0,MIN(HLOOKUP(CONCATENATE("Balance",DL$3-1),'Withdrawal Working'!$A$2:$CD$78,MATCH('Yoy WAR OG'!$J60,'Withdrawal Working'!$A$2:$A$78,0),0),DH60),0)),IF($K60=VLOOKUP(DH$2,$B:$H,7,0),DH60,)),0)</f>
        <v>0</v>
      </c>
      <c r="DK60" s="58">
        <f t="shared" ca="1" si="66"/>
        <v>0</v>
      </c>
      <c r="DN60" s="450">
        <f t="shared" ca="1" si="43"/>
        <v>0</v>
      </c>
      <c r="DO60" s="58">
        <f ca="1">(VLOOKUP(DN$2,$B$1:$F$32,5,0)*$L60)+(VLOOKUP($K60,'Withdrawal Working'!$AD:$AE,2,0)*(IFERROR(VLOOKUP(DN$2,$B$35:$C$42,2,0),0)))</f>
        <v>0</v>
      </c>
      <c r="DP60" s="58">
        <f>IFERROR(IF($K60&lt;VLOOKUP(DN$2,$B:$H,7,0),IF(DR$3=1,MIN($M60,DN60),IF(HLOOKUP(CONCATENATE("Balance",DR$3-1),'Withdrawal Working'!$A$2:$CD$78,MATCH('Yoy WAR OG'!$J60,'Withdrawal Working'!$A$2:$A$78,0),FALSE)&gt;0,MIN(HLOOKUP(CONCATENATE("Balance",DR$3-1),'Withdrawal Working'!$A$2:$CD$78,MATCH('Yoy WAR OG'!$J60,'Withdrawal Working'!$A$2:$A$78,0),0),DN60),0)),IF($K60=VLOOKUP(DN$2,$B:$H,7,0),DN60,)),0)</f>
        <v>0</v>
      </c>
      <c r="DQ60" s="58">
        <f t="shared" ca="1" si="67"/>
        <v>0</v>
      </c>
      <c r="DT60" s="450">
        <f t="shared" ca="1" si="44"/>
        <v>0</v>
      </c>
      <c r="DU60" s="58">
        <f ca="1">(VLOOKUP(DT$2,$B$1:$F$32,5,0)*$L60)+(VLOOKUP($K60,'Withdrawal Working'!$AD:$AE,2,0)*(IFERROR(VLOOKUP(DT$2,$B$35:$C$42,2,0),0)))</f>
        <v>0</v>
      </c>
      <c r="DV60" s="58">
        <f>IFERROR(IF($K60&lt;VLOOKUP(DT$2,$B:$H,7,0),IF(DX$3=1,MIN($M60,DT60),IF(HLOOKUP(CONCATENATE("Balance",DX$3-1),'Withdrawal Working'!$A$2:$CD$78,MATCH('Yoy WAR OG'!$J60,'Withdrawal Working'!$A$2:$A$78,0),FALSE)&gt;0,MIN(HLOOKUP(CONCATENATE("Balance",DX$3-1),'Withdrawal Working'!$A$2:$CD$78,MATCH('Yoy WAR OG'!$J60,'Withdrawal Working'!$A$2:$A$78,0),0),DT60),0)),IF($K60=VLOOKUP(DT$2,$B:$H,7,0),DT60,)),0)</f>
        <v>0</v>
      </c>
      <c r="DW60" s="58">
        <f t="shared" ca="1" si="68"/>
        <v>0</v>
      </c>
      <c r="DZ60" s="450">
        <f t="shared" ca="1" si="45"/>
        <v>0</v>
      </c>
      <c r="EA60" s="58">
        <f ca="1">(VLOOKUP(DZ$2,$B$1:$F$32,5,0)*$L60)+(VLOOKUP($K60,'Withdrawal Working'!$AD:$AE,2,0)*(IFERROR(VLOOKUP(DZ$2,$B$35:$C$42,2,0),0)))</f>
        <v>0</v>
      </c>
      <c r="EB60" s="58">
        <f>IFERROR(IF($K60&lt;VLOOKUP(DZ$2,$B:$H,7,0),IF(ED$3=1,MIN($M60,DZ60),IF(HLOOKUP(CONCATENATE("Balance",ED$3-1),'Withdrawal Working'!$A$2:$CD$78,MATCH('Yoy WAR OG'!$J60,'Withdrawal Working'!$A$2:$A$78,0),FALSE)&gt;0,MIN(HLOOKUP(CONCATENATE("Balance",ED$3-1),'Withdrawal Working'!$A$2:$CD$78,MATCH('Yoy WAR OG'!$J60,'Withdrawal Working'!$A$2:$A$78,0),0),DZ60),0)),IF($K60=VLOOKUP(DZ$2,$B:$H,7,0),DZ60,)),0)</f>
        <v>0</v>
      </c>
      <c r="EC60" s="58">
        <f t="shared" ca="1" si="69"/>
        <v>0</v>
      </c>
      <c r="EF60" s="450">
        <f t="shared" ca="1" si="46"/>
        <v>0</v>
      </c>
      <c r="EG60" s="58">
        <f ca="1">(VLOOKUP(EF$2,$B$1:$F$32,5,0)*$L60)+(VLOOKUP($K60,'Withdrawal Working'!$AD:$AE,2,0)*(IFERROR(VLOOKUP(EF$2,$B$35:$C$42,2,0),0)))</f>
        <v>0</v>
      </c>
      <c r="EH60" s="58">
        <f>IFERROR(IF($K60&lt;VLOOKUP(EF$2,$B:$H,7,0),IF(EJ$3=1,MIN($M60,EF60),IF(HLOOKUP(CONCATENATE("Balance",EJ$3-1),'Withdrawal Working'!$A$2:$CD$78,MATCH('Yoy WAR OG'!$J60,'Withdrawal Working'!$A$2:$A$78,0),FALSE)&gt;0,MIN(HLOOKUP(CONCATENATE("Balance",EJ$3-1),'Withdrawal Working'!$A$2:$CD$78,MATCH('Yoy WAR OG'!$J60,'Withdrawal Working'!$A$2:$A$78,0),0),EF60),0)),IF($K60=VLOOKUP(EF$2,$B:$H,7,0),EF60,)),0)</f>
        <v>0</v>
      </c>
      <c r="EI60" s="58">
        <f t="shared" ca="1" si="70"/>
        <v>0</v>
      </c>
      <c r="EL60" s="450">
        <f t="shared" ca="1" si="47"/>
        <v>0</v>
      </c>
      <c r="EM60" s="58">
        <f>IF(OR($J60&gt;'NWGC - SCENARIOS'!$D$7,$J60='NWGC - SCENARIOS'!$D$7),0,EM59)</f>
        <v>0</v>
      </c>
      <c r="EN60" s="58">
        <f>IFERROR(IF($K60&lt;VLOOKUP(EL$2,$B:$H,7,0),IF(EP$3=1,MIN($M60,EL60),IF(HLOOKUP(CONCATENATE("Balance",EP$3-1),'Withdrawal Working'!$A$2:$CD$78,MATCH('Yoy WAR OG'!$J60,'Withdrawal Working'!$A$2:$A$78,0),FALSE)&gt;0,MIN(HLOOKUP(CONCATENATE("Balance",EP$3-1),'Withdrawal Working'!$A$2:$CD$78,MATCH('Yoy WAR OG'!$J60,'Withdrawal Working'!$A$2:$A$78,0),0),EL60),0)),IF($K60=VLOOKUP(EL$2,$B:$H,7,0),EL60,)),0)</f>
        <v>0</v>
      </c>
      <c r="EO60" s="58">
        <f t="shared" ca="1" si="71"/>
        <v>0</v>
      </c>
      <c r="ER60" s="450">
        <f t="shared" ca="1" si="48"/>
        <v>0</v>
      </c>
      <c r="ES60" s="58">
        <f>IF(OR(J60&gt;'NWGC - SCENARIOS'!$D$7,J60='NWGC - SCENARIOS'!$D$7),0,ES59*(1+'NWGC - SCENARIOS'!$L$5))</f>
        <v>0</v>
      </c>
      <c r="ET60" s="58">
        <f>IFERROR(IF($K60&lt;VLOOKUP(ER$2,$B:$H,7,0),IF(EV$3=1,MIN($M60,ER60),IF(HLOOKUP(CONCATENATE("Balance",EV$3-1),'Withdrawal Working'!$A$2:$CD$78,MATCH('Yoy WAR OG'!$J60,'Withdrawal Working'!$A$2:$A$78,0),FALSE)&gt;0,MIN(HLOOKUP(CONCATENATE("Balance",EV$3-1),'Withdrawal Working'!$A$2:$CD$78,MATCH('Yoy WAR OG'!$J60,'Withdrawal Working'!$A$2:$A$78,0),0),ER60),0)),IF($K60=VLOOKUP(ER$2,$B:$H,7,0),ER60,)),0)</f>
        <v>0</v>
      </c>
      <c r="EU60" s="58">
        <f t="shared" ca="1" si="72"/>
        <v>0</v>
      </c>
      <c r="EX60" s="450">
        <f t="shared" ca="1" si="49"/>
        <v>0</v>
      </c>
      <c r="EY60" s="58">
        <f>IF(OR(J60&gt;'NWGC - SCENARIOS'!$D$7,J60='NWGC - SCENARIOS'!$D$7),0,EY59)</f>
        <v>0</v>
      </c>
      <c r="EZ60" s="58">
        <f>IFERROR(IF($K60&lt;VLOOKUP(EX$2,$B:$H,7,0),IF(FB$3=1,MIN($M60,EX60),IF(HLOOKUP(CONCATENATE("Balance",FB$3-1),'Withdrawal Working'!$A$2:$CD$78,MATCH('Yoy WAR OG'!$J60,'Withdrawal Working'!$A$2:$A$78,0),FALSE)&gt;0,MIN(HLOOKUP(CONCATENATE("Balance",FB$3-1),'Withdrawal Working'!$A$2:$CD$78,MATCH('Yoy WAR OG'!$J60,'Withdrawal Working'!$A$2:$A$78,0),0),EX60),0)),IF($K60=VLOOKUP(EX$2,$B:$H,7,0),EX60,)),0)</f>
        <v>0</v>
      </c>
      <c r="FA60" s="58">
        <f t="shared" ca="1" si="73"/>
        <v>0</v>
      </c>
    </row>
    <row r="61" spans="10:157" x14ac:dyDescent="0.3">
      <c r="J61">
        <f>IFERROR('NWGC - SCENARIOS'!#REF!,0)</f>
        <v>0</v>
      </c>
      <c r="K61">
        <f>IFERROR('NWGC - SCENARIOS'!#REF!,0)</f>
        <v>0</v>
      </c>
      <c r="L61" s="449" t="e">
        <f>IF(('NWGC - SCENARIOS'!#REF!-working!G59)&gt;'NWGC - SCENARIOS'!#REF!,'NWGC - SCENARIOS'!#REF!-'NWGC - SCENARIOS'!#REF!-working!G59,0)</f>
        <v>#REF!</v>
      </c>
      <c r="M61" s="449" t="e">
        <f>IF(('NWGC - SCENARIOS'!#REF!-working!G59)&gt;'NWGC - SCENARIOS'!#REF!,0,'NWGC - SCENARIOS'!#REF!-'NWGC - SCENARIOS'!#REF!+working!G59)</f>
        <v>#REF!</v>
      </c>
      <c r="N61" s="58" t="e">
        <f t="shared" ca="1" si="50"/>
        <v>#REF!</v>
      </c>
      <c r="O61" s="58" t="e">
        <f t="shared" ca="1" si="51"/>
        <v>#REF!</v>
      </c>
      <c r="P61" s="58">
        <f t="shared" ca="1" si="74"/>
        <v>0</v>
      </c>
      <c r="Q61" s="58" t="e">
        <f ca="1">(VLOOKUP(P$2,$B$1:$F$32,5,0)*$L61)+(VLOOKUP($K61,'Withdrawal Working'!$AD:$AE,2,0)*(IFERROR(VLOOKUP(P$2,$B$35:$C$42,2,0),0)))</f>
        <v>#REF!</v>
      </c>
      <c r="R61" s="58">
        <f>IFERROR(IF($K61&lt;VLOOKUP(P$2,$B:$H,7,0),IF(T$3=1,MIN($M61,P61),IF(HLOOKUP(CONCATENATE("Balance",T$3-1),'Withdrawal Working'!$A$2:$CD$78,MATCH('Yoy WAR OG'!$J61,'Withdrawal Working'!$A$2:$A$78,0),FALSE)&gt;0,MIN(HLOOKUP(CONCATENATE("Balance",T$3-1),'Withdrawal Working'!$A$2:$CD$78,MATCH('Yoy WAR OG'!$J61,'Withdrawal Working'!$A$2:$A$78,0),0),P61),0)),IF($K61=VLOOKUP(P$2,$B:$H,7,0),P61,)),0)</f>
        <v>0</v>
      </c>
      <c r="S61" s="58" t="e">
        <f t="shared" ca="1" si="75"/>
        <v>#REF!</v>
      </c>
      <c r="T61" s="58"/>
      <c r="V61" s="58">
        <f t="shared" ca="1" si="27"/>
        <v>0</v>
      </c>
      <c r="W61" s="58" t="e">
        <f ca="1">(VLOOKUP(V$2,$B$1:$F$32,5,0)*$L61)+(VLOOKUP($K61,'Withdrawal Working'!$AD:$AE,2,0)*(IFERROR(VLOOKUP(V$2,$B$35:$C$42,2,0),0)))</f>
        <v>#REF!</v>
      </c>
      <c r="X61" s="58">
        <f>IFERROR(IF($K61&lt;VLOOKUP(V$2,$B:$H,7,0),IF(Z$3=1,MIN($M61,V61),IF(HLOOKUP(CONCATENATE("Balance",Z$3-1),'Withdrawal Working'!$A$2:$CD$78,MATCH('Yoy WAR OG'!$J61,'Withdrawal Working'!$A$2:$A$78,0),FALSE)&gt;0,MIN(HLOOKUP(CONCATENATE("Balance",Z$3-1),'Withdrawal Working'!$A$2:$CD$78,MATCH('Yoy WAR OG'!$J61,'Withdrawal Working'!$A$2:$A$78,0),0),V61),0)),IF($K61=VLOOKUP(V$2,$B:$H,7,0),V61,)),0)</f>
        <v>0</v>
      </c>
      <c r="Y61" s="58" t="e">
        <f t="shared" ca="1" si="52"/>
        <v>#REF!</v>
      </c>
      <c r="AB61" s="58">
        <f t="shared" ca="1" si="28"/>
        <v>0</v>
      </c>
      <c r="AC61" s="58" t="e">
        <f ca="1">(VLOOKUP(AB$2,$B$1:$F$32,5,0)*$L61)+(VLOOKUP($K61,'Withdrawal Working'!$AD:$AE,2,0)*(IFERROR(VLOOKUP(AB$2,$B$35:$C$42,2,0),0)))</f>
        <v>#REF!</v>
      </c>
      <c r="AE61" s="58" t="e">
        <f t="shared" ca="1" si="53"/>
        <v>#REF!</v>
      </c>
      <c r="AH61" s="58">
        <f t="shared" ca="1" si="29"/>
        <v>0</v>
      </c>
      <c r="AI61" s="58" t="e">
        <f ca="1">(VLOOKUP(AH$2,$B$1:$F$32,5,0)*$L61)+IF(J61&gt;'NWGC - SCENARIOS'!$D$7,0,(VLOOKUP($K61,'Withdrawal Working'!$AD:$AE,2,0)*(IFERROR(VLOOKUP(AH$2,$B$35:$C$42,2,0),0))))</f>
        <v>#REF!</v>
      </c>
      <c r="AJ61" s="58">
        <f ca="1">IFERROR(IF($J61&gt;'NWGC - SCENARIOS'!$D$7,MIN('Yoy WAR OG'!AH61,VLOOKUP('Yoy WAR OG'!$J61,'Withdrawal Working'!BC:BD,2,0)),IF(AL$3=1,$M61,IF(HLOOKUP(CONCATENATE("Balance",AL$3-1),'Withdrawal Working'!$A$2:$CD$78,MATCH('Yoy WAR OG'!$J61,'Withdrawal Working'!$A$2:$A$78,0),FALSE)&gt;0,MIN(HLOOKUP(CONCATENATE("Balance",AL$3-1),'Withdrawal Working'!$A$2:$CD$78,MATCH('Yoy WAR OG'!$J61,'Withdrawal Working'!$A$2:$A$78,0),0),AH61),0))),0)</f>
        <v>0</v>
      </c>
      <c r="AK61" s="58" t="e">
        <f t="shared" ca="1" si="54"/>
        <v>#REF!</v>
      </c>
      <c r="AN61" s="450">
        <f t="shared" ca="1" si="30"/>
        <v>0</v>
      </c>
      <c r="AO61" s="58" t="e">
        <f ca="1">IF(J61&gt;'NWGC - SCENARIOS'!$D$7,(IF(AJ61=0,0,'Yoy WAR OG'!AJ61)+(VLOOKUP(AN$2,$B$1:$F$32,5,0)*$L61)),(VLOOKUP(AN$2,$B$1:$F$32,5,0)*$L61)+(VLOOKUP($K61,'Withdrawal Working'!$AD:$AE,2,0)*(IFERROR(VLOOKUP(AN$2,$B$35:$C$42,2,0),0))))</f>
        <v>#REF!</v>
      </c>
      <c r="AP61" s="470">
        <f ca="1">IFERROR(IF($K61&lt;&gt;VLOOKUP(AN$2,$B:$H,7,0),IF(AR$3=1,MIN($M61,AN61),IF(HLOOKUP(CONCATENATE("Balance",AR$3-1),'Withdrawal Working'!$A$2:$CD$78,MATCH('Yoy WAR OG'!$J61,'Withdrawal Working'!$A$2:$A$78,0),FALSE)&gt;0,MIN(HLOOKUP(CONCATENATE("Balance",AR$3-1),'Withdrawal Working'!$A$2:$CD$78,MATCH('Yoy WAR OG'!$J61,'Withdrawal Working'!$A$2:$A$78,0),0),AN61),0)),IF($K61=VLOOKUP(AN$2,$B:$H,7,0),AN61,)),0)</f>
        <v>0</v>
      </c>
      <c r="AQ61" s="58" t="e">
        <f ca="1">IF(AO61&lt;0,0,IF(J61&gt;'NWGC - SCENARIOS'!$D$7,((AN61-AP61+AO61)*(1+(IFERROR(VLOOKUP(AN$2,$B:$D,3,0),0)))),((AN61-AP61)*(1+(IFERROR(VLOOKUP(AN$2,$B:$D,3,0),0))))+AO61))</f>
        <v>#REF!</v>
      </c>
      <c r="AT61" s="450">
        <f t="shared" ca="1" si="31"/>
        <v>0</v>
      </c>
      <c r="AU61" s="58" t="e">
        <f ca="1">(VLOOKUP(AT$2,$B$1:$F$32,5,0)*$L61)+(VLOOKUP($K61,'Withdrawal Working'!$AD:$AE,2,0)*(IFERROR(VLOOKUP(AT$2,$B$35:$C$42,2,0),0)))</f>
        <v>#REF!</v>
      </c>
      <c r="AV61" s="58">
        <f>IFERROR(IF($K61&lt;VLOOKUP(AT$2,$B:$H,7,0),IF(AX$3=1,MIN($M61,AT61),IF(HLOOKUP(CONCATENATE("Balance",AX$3-1),'Withdrawal Working'!$A$2:$CD$78,MATCH('Yoy WAR OG'!$J61,'Withdrawal Working'!$A$2:$A$78,0),FALSE)&gt;0,MIN(HLOOKUP(CONCATENATE("Balance",AX$3-1),'Withdrawal Working'!$A$2:$CD$78,MATCH('Yoy WAR OG'!$J61,'Withdrawal Working'!$A$2:$A$78,0),0),AT61),0)),IF($K61=VLOOKUP(AT$2,$B:$H,7,0),AT61,)),0)</f>
        <v>0</v>
      </c>
      <c r="AW61" s="58" t="e">
        <f t="shared" ca="1" si="55"/>
        <v>#REF!</v>
      </c>
      <c r="AZ61" s="450">
        <f t="shared" ca="1" si="32"/>
        <v>189206180.79376373</v>
      </c>
      <c r="BA61" s="58" t="e">
        <f ca="1">(VLOOKUP(AZ$2,$B$1:$F$32,5,0)*$L61)+(VLOOKUP($K61,'Withdrawal Working'!$AD:$AE,2,0)*(IFERROR(VLOOKUP(AZ$2,$B$35:$C$42,2,0),0)))</f>
        <v>#REF!</v>
      </c>
      <c r="BB61" s="58">
        <f ca="1">IFERROR(IF($K61&lt;VLOOKUP(AZ$2,$B:$H,7,0),IF(BD$3=1,MIN($M61,AZ61),IF(HLOOKUP(CONCATENATE("Balance",BD$3-1),'Withdrawal Working'!$A$2:$CD$78,MATCH('Yoy WAR OG'!$J61,'Withdrawal Working'!$A$2:$A$78,0),FALSE)&gt;0,MIN(HLOOKUP(CONCATENATE("Balance",BD$3-1),'Withdrawal Working'!$A$2:$CD$78,MATCH('Yoy WAR OG'!$J61,'Withdrawal Working'!$A$2:$A$78,0),0),AZ61),0)),IF($K61=VLOOKUP(AZ$2,$B:$H,7,0),AZ61,)),0)</f>
        <v>189206180.79376373</v>
      </c>
      <c r="BC61" s="58" t="e">
        <f t="shared" ca="1" si="56"/>
        <v>#REF!</v>
      </c>
      <c r="BF61" s="450">
        <f t="shared" ca="1" si="33"/>
        <v>0</v>
      </c>
      <c r="BG61" s="58" t="e">
        <f ca="1">(VLOOKUP(BF$2,$B$1:$F$32,5,0)*$L61)+(VLOOKUP($K61,'Withdrawal Working'!$AD:$AE,2,0)*(IFERROR(VLOOKUP(BF$2,$B$35:$C$42,2,0),0)))</f>
        <v>#REF!</v>
      </c>
      <c r="BH61" s="58">
        <f>IFERROR(IF($K61&lt;VLOOKUP(BF$2,$B:$H,7,0),IF(BJ$3=1,MIN($M61,BF61),IF(HLOOKUP(CONCATENATE("Balance",BJ$3-1),'Withdrawal Working'!$A$2:$CD$78,MATCH('Yoy WAR OG'!$J61,'Withdrawal Working'!$A$2:$A$78,0),FALSE)&gt;0,MIN(HLOOKUP(CONCATENATE("Balance",BJ$3-1),'Withdrawal Working'!$A$2:$CD$78,MATCH('Yoy WAR OG'!$J61,'Withdrawal Working'!$A$2:$A$78,0),0),BF61),0)),IF($K61=VLOOKUP(BF$2,$B:$H,7,0),BF61,)),0)</f>
        <v>0</v>
      </c>
      <c r="BI61" s="58" t="e">
        <f t="shared" ca="1" si="57"/>
        <v>#REF!</v>
      </c>
      <c r="BL61" s="450">
        <f t="shared" ca="1" si="34"/>
        <v>0</v>
      </c>
      <c r="BM61" s="58" t="e">
        <f ca="1">(VLOOKUP(BL$2,$B$1:$F$32,5,0)*$L61)+(VLOOKUP($K61,'Withdrawal Working'!$AD:$AE,2,0)*(IFERROR(VLOOKUP(BL$2,$B$35:$C$42,2,0),0)))</f>
        <v>#REF!</v>
      </c>
      <c r="BN61" s="58">
        <f ca="1">IFERROR(IF($K61&lt;VLOOKUP(BL$2,$B:$H,7,0),IF(BP$3=1,MIN($M61,BL61),IF(HLOOKUP(CONCATENATE("Balance",BP$3-1),'Withdrawal Working'!$A$2:$CD$78,MATCH('Yoy WAR OG'!$J61,'Withdrawal Working'!$A$2:$A$78,0),FALSE)&gt;0,MIN(HLOOKUP(CONCATENATE("Balance",BP$3-1),'Withdrawal Working'!$A$2:$CD$78,MATCH('Yoy WAR OG'!$J61,'Withdrawal Working'!$A$2:$A$78,0),0),BL61),0)),IF($K61=VLOOKUP(BL$2,$B:$H,7,0),BL61,)),0)</f>
        <v>0</v>
      </c>
      <c r="BO61" s="58" t="e">
        <f t="shared" ca="1" si="58"/>
        <v>#REF!</v>
      </c>
      <c r="BR61" s="450">
        <f t="shared" ca="1" si="35"/>
        <v>0</v>
      </c>
      <c r="BS61" s="58" t="e">
        <f ca="1">(VLOOKUP(BR$2,$B$1:$F$32,5,0)*$L61)+(VLOOKUP($K61,'Withdrawal Working'!$AD:$AE,2,0)*(IFERROR(VLOOKUP(BR$2,$B$35:$C$42,2,0),0)))</f>
        <v>#REF!</v>
      </c>
      <c r="BT61" s="58">
        <f ca="1">IFERROR(IF($K61&lt;VLOOKUP(BR$2,$B:$H,7,0),IF(BV$3=1,MIN($M61,BR61),IF(HLOOKUP(CONCATENATE("Balance",BV$3-1),'Withdrawal Working'!$A$2:$CD$78,MATCH('Yoy WAR OG'!$J61,'Withdrawal Working'!$A$2:$A$78,0),FALSE)&gt;0,MIN(HLOOKUP(CONCATENATE("Balance",BV$3-1),'Withdrawal Working'!$A$2:$CD$78,MATCH('Yoy WAR OG'!$J61,'Withdrawal Working'!$A$2:$A$78,0),0),BR61),0)),IF($K61=VLOOKUP(BR$2,$B:$H,7,0),BR61,)),0)</f>
        <v>0</v>
      </c>
      <c r="BU61" s="58" t="e">
        <f t="shared" ca="1" si="59"/>
        <v>#REF!</v>
      </c>
      <c r="BX61" s="450">
        <f t="shared" ca="1" si="36"/>
        <v>0</v>
      </c>
      <c r="BY61" s="58" t="e">
        <f ca="1">(VLOOKUP(BX$2,$B$1:$F$32,5,0)*$L61)+(VLOOKUP($K61,'Withdrawal Working'!$AD:$AE,2,0)*(IFERROR(VLOOKUP(BX$2,$B$35:$C$42,2,0),0)))</f>
        <v>#REF!</v>
      </c>
      <c r="BZ61" s="58">
        <f ca="1">IFERROR(IF($K61&lt;VLOOKUP(BX$2,$B:$H,7,0),IF(CB$3=1,MIN($M61,BX61),IF(HLOOKUP(CONCATENATE("Balance",CB$3-1),'Withdrawal Working'!$A$2:$CD$78,MATCH('Yoy WAR OG'!$J61,'Withdrawal Working'!$A$2:$A$78,0),FALSE)&gt;0,MIN(HLOOKUP(CONCATENATE("Balance",CB$3-1),'Withdrawal Working'!$A$2:$CD$78,MATCH('Yoy WAR OG'!$J61,'Withdrawal Working'!$A$2:$A$78,0),0),BX61),0)),IF($K61=VLOOKUP(BX$2,$B:$H,7,0),BX61,)),0)</f>
        <v>0</v>
      </c>
      <c r="CA61" s="58" t="e">
        <f t="shared" ca="1" si="60"/>
        <v>#REF!</v>
      </c>
      <c r="CD61" s="450">
        <f t="shared" ca="1" si="37"/>
        <v>98175167.741581619</v>
      </c>
      <c r="CE61" s="58" t="e">
        <f ca="1">(VLOOKUP(CD$2,$B$1:$F$32,5,0)*$L61)+(VLOOKUP($K61,'Withdrawal Working'!$AD:$AE,2,0)*(IFERROR(VLOOKUP(CD$2,$B$35:$C$42,2,0),0)))+SUMIFS('Key Life Events'!$I$3:$I$28,'Key Life Events'!$H$3:$H$28,"House",'Key Life Events'!$E$3:$E$28,'Yoy WAR OG'!K61)</f>
        <v>#REF!</v>
      </c>
      <c r="CF61" s="58">
        <f ca="1">IFERROR(IF($K61&lt;VLOOKUP(CD$2,$B:$H,7,0),IF(CH$3=1,MIN($M61,CD61),IF(HLOOKUP(CONCATENATE("Balance",CH$3-1),'Withdrawal Working'!$A$2:$CD$78,MATCH('Yoy WAR OG'!$J61,'Withdrawal Working'!$A$2:$A$78,0),FALSE)&gt;0,MIN(HLOOKUP(CONCATENATE("Balance",CH$3-1),'Withdrawal Working'!$A$2:$CD$78,MATCH('Yoy WAR OG'!$J61,'Withdrawal Working'!$A$2:$A$78,0),0),CD61),0)),IF($K61=VLOOKUP(CD$2,$B:$H,7,0),CD61,)),0)</f>
        <v>98175167.741581619</v>
      </c>
      <c r="CG61" s="58" t="e">
        <f t="shared" ca="1" si="61"/>
        <v>#REF!</v>
      </c>
      <c r="CJ61" s="450">
        <f t="shared" ca="1" si="38"/>
        <v>0</v>
      </c>
      <c r="CK61" s="58" t="e">
        <f ca="1">(VLOOKUP(CJ$2,$B$1:$F$32,5,0)*$L61)+(VLOOKUP($K61,'Withdrawal Working'!$AD:$AE,2,0)*(IFERROR(VLOOKUP(CJ$2,$B$35:$C$42,2,0),0)))+SUMIFS('Key Life Events'!$I$3:$I$28,'Key Life Events'!$H$3:$H$28,"House2",'Key Life Events'!$E$3:$E$28,'Yoy WAR OG'!K61)</f>
        <v>#REF!</v>
      </c>
      <c r="CL61" s="58">
        <f ca="1">IF(IFERROR(IF($K61&lt;&gt;VLOOKUP(CJ$2,$B:$H,7,0),IF(CN$3=1,MIN($M61,CJ61),IF(HLOOKUP(CONCATENATE("Balance",CN$3-1),'Withdrawal Working'!$A$2:$CD$78,MATCH('Yoy WAR OG'!$J61,'Withdrawal Working'!$A$2:$A$78,0),FALSE)&gt;0,MIN(HLOOKUP(CONCATENATE("Balance",CN$3-1),'Withdrawal Working'!$A$2:$CD$78,MATCH('Yoy WAR OG'!$J61,'Withdrawal Working'!$A$2:$A$78,0),0),CJ61),0)),IF($K61=VLOOKUP(CJ$2,$B:$H,7,0),CJ61,)),0)&gt;0,CJ61,0)</f>
        <v>0</v>
      </c>
      <c r="CM61" s="58" t="e">
        <f t="shared" ca="1" si="62"/>
        <v>#REF!</v>
      </c>
      <c r="CP61" s="450">
        <f t="shared" ca="1" si="39"/>
        <v>40339457.71325554</v>
      </c>
      <c r="CQ61" s="58" t="e">
        <f ca="1">(VLOOKUP(CP$2,$B$1:$F$32,5,0)*$L61)+(VLOOKUP($K61,'Withdrawal Working'!$AD:$AE,2,0)*(IFERROR(VLOOKUP(CP$2,$B$35:$C$42,2,0),0)))+SUMIFS('Key Life Events'!$I$3:$I$28,'Key Life Events'!$H$3:$H$28,"Land",'Key Life Events'!$E$3:$E$28,'Yoy WAR OG'!K61)</f>
        <v>#REF!</v>
      </c>
      <c r="CR61" s="58">
        <f ca="1">IFERROR(IF($K61&lt;VLOOKUP(CP$2,$B:$H,7,0),IF(CT$3=1,MIN($M61,CP61),IF(HLOOKUP(CONCATENATE("Balance",CT$3-1),'Withdrawal Working'!$A$2:$CD$78,MATCH('Yoy WAR OG'!$J61,'Withdrawal Working'!$A$2:$A$78,0),FALSE)&gt;0,MIN(HLOOKUP(CONCATENATE("Balance",CT$3-1),'Withdrawal Working'!$A$2:$CD$78,MATCH('Yoy WAR OG'!$J61,'Withdrawal Working'!$A$2:$A$78,0),0),CP61),0)),IF($K61=VLOOKUP(CP$2,$B:$H,7,0),CP61,)),0)</f>
        <v>40339457.71325554</v>
      </c>
      <c r="CS61" s="58" t="e">
        <f t="shared" ca="1" si="63"/>
        <v>#REF!</v>
      </c>
      <c r="CV61" s="450">
        <f t="shared" ca="1" si="40"/>
        <v>0</v>
      </c>
      <c r="CW61" s="58"/>
      <c r="CX61" s="58">
        <f ca="1">IFERROR(IF($K61&lt;VLOOKUP(CV$2,$B:$H,7,0),IF(CZ$3=1,MIN($M61,CV61),IF(HLOOKUP(CONCATENATE("Balance",CZ$3-1),'Withdrawal Working'!$A$2:$CD$78,MATCH('Yoy WAR OG'!$J61,'Withdrawal Working'!$A$2:$A$78,0),FALSE)&gt;0,MIN(HLOOKUP(CONCATENATE("Balance",CZ$3-1),'Withdrawal Working'!$A$2:$CD$78,MATCH('Yoy WAR OG'!$J61,'Withdrawal Working'!$A$2:$A$78,0),0),CV61),0)),IF($K61=VLOOKUP(CV$2,$B:$H,7,0),CV61,)),0)</f>
        <v>0</v>
      </c>
      <c r="CY61" s="58">
        <f t="shared" ca="1" si="64"/>
        <v>0</v>
      </c>
      <c r="DB61" s="450">
        <f t="shared" ca="1" si="41"/>
        <v>0</v>
      </c>
      <c r="DC61" s="58" t="e">
        <f ca="1">(VLOOKUP(DB$2,$B$1:$F$32,5,0)*$L61)+(VLOOKUP($K61,'Withdrawal Working'!$AD:$AE,2,0)*(IFERROR(VLOOKUP(DB$2,$B$35:$C$42,2,0),0)))</f>
        <v>#REF!</v>
      </c>
      <c r="DD61" s="58">
        <f ca="1">IFERROR(IF($K61&lt;VLOOKUP(DB$2,$B:$H,7,0),IF(DF$3=1,MIN($M61,DB61),IF(HLOOKUP(CONCATENATE("Balance",DF$3-1),'Withdrawal Working'!$A$2:$CD$78,MATCH('Yoy WAR OG'!$J61,'Withdrawal Working'!$A$2:$A$78,0),FALSE)&gt;0,MIN(HLOOKUP(CONCATENATE("Balance",DF$3-1),'Withdrawal Working'!$A$2:$CD$78,MATCH('Yoy WAR OG'!$J61,'Withdrawal Working'!$A$2:$A$78,0),0),DB61),0)),IF($K61=VLOOKUP(DB$2,$B:$H,7,0),DB61,)),0)</f>
        <v>0</v>
      </c>
      <c r="DE61" s="58" t="e">
        <f t="shared" ca="1" si="65"/>
        <v>#REF!</v>
      </c>
      <c r="DH61" s="450">
        <f t="shared" ca="1" si="42"/>
        <v>0</v>
      </c>
      <c r="DI61" s="58">
        <f>IF(OR(J61&gt;'NWGC - SCENARIOS'!$D$7,J61='NWGC - SCENARIOS'!$D$7),0,DI60*(1+'NWGC - SCENARIOS'!$L$5))</f>
        <v>0</v>
      </c>
      <c r="DJ61" s="58">
        <f ca="1">IFERROR(IF($K61&lt;VLOOKUP(DH$2,$B:$H,7,0),IF(DL$3=1,MIN($M61,DH61),IF(HLOOKUP(CONCATENATE("Balance",DL$3-1),'Withdrawal Working'!$A$2:$CD$78,MATCH('Yoy WAR OG'!$J61,'Withdrawal Working'!$A$2:$A$78,0),FALSE)&gt;0,MIN(HLOOKUP(CONCATENATE("Balance",DL$3-1),'Withdrawal Working'!$A$2:$CD$78,MATCH('Yoy WAR OG'!$J61,'Withdrawal Working'!$A$2:$A$78,0),0),DH61),0)),IF($K61=VLOOKUP(DH$2,$B:$H,7,0),DH61,)),0)</f>
        <v>0</v>
      </c>
      <c r="DK61" s="58">
        <f t="shared" ca="1" si="66"/>
        <v>0</v>
      </c>
      <c r="DN61" s="450">
        <f t="shared" ca="1" si="43"/>
        <v>0</v>
      </c>
      <c r="DO61" s="58" t="e">
        <f ca="1">(VLOOKUP(DN$2,$B$1:$F$32,5,0)*$L61)+(VLOOKUP($K61,'Withdrawal Working'!$AD:$AE,2,0)*(IFERROR(VLOOKUP(DN$2,$B$35:$C$42,2,0),0)))</f>
        <v>#REF!</v>
      </c>
      <c r="DP61" s="58">
        <f ca="1">IFERROR(IF($K61&lt;VLOOKUP(DN$2,$B:$H,7,0),IF(DR$3=1,MIN($M61,DN61),IF(HLOOKUP(CONCATENATE("Balance",DR$3-1),'Withdrawal Working'!$A$2:$CD$78,MATCH('Yoy WAR OG'!$J61,'Withdrawal Working'!$A$2:$A$78,0),FALSE)&gt;0,MIN(HLOOKUP(CONCATENATE("Balance",DR$3-1),'Withdrawal Working'!$A$2:$CD$78,MATCH('Yoy WAR OG'!$J61,'Withdrawal Working'!$A$2:$A$78,0),0),DN61),0)),IF($K61=VLOOKUP(DN$2,$B:$H,7,0),DN61,)),0)</f>
        <v>0</v>
      </c>
      <c r="DQ61" s="58" t="e">
        <f t="shared" ca="1" si="67"/>
        <v>#REF!</v>
      </c>
      <c r="DT61" s="450">
        <f t="shared" ca="1" si="44"/>
        <v>0</v>
      </c>
      <c r="DU61" s="58" t="e">
        <f ca="1">(VLOOKUP(DT$2,$B$1:$F$32,5,0)*$L61)+(VLOOKUP($K61,'Withdrawal Working'!$AD:$AE,2,0)*(IFERROR(VLOOKUP(DT$2,$B$35:$C$42,2,0),0)))</f>
        <v>#REF!</v>
      </c>
      <c r="DV61" s="58">
        <f ca="1">IFERROR(IF($K61&lt;VLOOKUP(DT$2,$B:$H,7,0),IF(DX$3=1,MIN($M61,DT61),IF(HLOOKUP(CONCATENATE("Balance",DX$3-1),'Withdrawal Working'!$A$2:$CD$78,MATCH('Yoy WAR OG'!$J61,'Withdrawal Working'!$A$2:$A$78,0),FALSE)&gt;0,MIN(HLOOKUP(CONCATENATE("Balance",DX$3-1),'Withdrawal Working'!$A$2:$CD$78,MATCH('Yoy WAR OG'!$J61,'Withdrawal Working'!$A$2:$A$78,0),0),DT61),0)),IF($K61=VLOOKUP(DT$2,$B:$H,7,0),DT61,)),0)</f>
        <v>0</v>
      </c>
      <c r="DW61" s="58" t="e">
        <f t="shared" ca="1" si="68"/>
        <v>#REF!</v>
      </c>
      <c r="DZ61" s="450">
        <f t="shared" ca="1" si="45"/>
        <v>0</v>
      </c>
      <c r="EA61" s="58" t="e">
        <f ca="1">(VLOOKUP(DZ$2,$B$1:$F$32,5,0)*$L61)+(VLOOKUP($K61,'Withdrawal Working'!$AD:$AE,2,0)*(IFERROR(VLOOKUP(DZ$2,$B$35:$C$42,2,0),0)))</f>
        <v>#REF!</v>
      </c>
      <c r="EB61" s="58">
        <f ca="1">IFERROR(IF($K61&lt;VLOOKUP(DZ$2,$B:$H,7,0),IF(ED$3=1,MIN($M61,DZ61),IF(HLOOKUP(CONCATENATE("Balance",ED$3-1),'Withdrawal Working'!$A$2:$CD$78,MATCH('Yoy WAR OG'!$J61,'Withdrawal Working'!$A$2:$A$78,0),FALSE)&gt;0,MIN(HLOOKUP(CONCATENATE("Balance",ED$3-1),'Withdrawal Working'!$A$2:$CD$78,MATCH('Yoy WAR OG'!$J61,'Withdrawal Working'!$A$2:$A$78,0),0),DZ61),0)),IF($K61=VLOOKUP(DZ$2,$B:$H,7,0),DZ61,)),0)</f>
        <v>0</v>
      </c>
      <c r="EC61" s="58" t="e">
        <f t="shared" ca="1" si="69"/>
        <v>#REF!</v>
      </c>
      <c r="EF61" s="450">
        <f t="shared" ca="1" si="46"/>
        <v>0</v>
      </c>
      <c r="EG61" s="58" t="e">
        <f ca="1">(VLOOKUP(EF$2,$B$1:$F$32,5,0)*$L61)+(VLOOKUP($K61,'Withdrawal Working'!$AD:$AE,2,0)*(IFERROR(VLOOKUP(EF$2,$B$35:$C$42,2,0),0)))</f>
        <v>#REF!</v>
      </c>
      <c r="EH61" s="58">
        <f ca="1">IFERROR(IF($K61&lt;VLOOKUP(EF$2,$B:$H,7,0),IF(EJ$3=1,MIN($M61,EF61),IF(HLOOKUP(CONCATENATE("Balance",EJ$3-1),'Withdrawal Working'!$A$2:$CD$78,MATCH('Yoy WAR OG'!$J61,'Withdrawal Working'!$A$2:$A$78,0),FALSE)&gt;0,MIN(HLOOKUP(CONCATENATE("Balance",EJ$3-1),'Withdrawal Working'!$A$2:$CD$78,MATCH('Yoy WAR OG'!$J61,'Withdrawal Working'!$A$2:$A$78,0),0),EF61),0)),IF($K61=VLOOKUP(EF$2,$B:$H,7,0),EF61,)),0)</f>
        <v>0</v>
      </c>
      <c r="EI61" s="58" t="e">
        <f t="shared" ca="1" si="70"/>
        <v>#REF!</v>
      </c>
      <c r="EL61" s="450">
        <f t="shared" ca="1" si="47"/>
        <v>0</v>
      </c>
      <c r="EM61" s="58">
        <f>IF(OR($J61&gt;'NWGC - SCENARIOS'!$D$7,$J61='NWGC - SCENARIOS'!$D$7),0,EM60)</f>
        <v>0</v>
      </c>
      <c r="EN61" s="58">
        <f ca="1">IFERROR(IF($K61&lt;VLOOKUP(EL$2,$B:$H,7,0),IF(EP$3=1,MIN($M61,EL61),IF(HLOOKUP(CONCATENATE("Balance",EP$3-1),'Withdrawal Working'!$A$2:$CD$78,MATCH('Yoy WAR OG'!$J61,'Withdrawal Working'!$A$2:$A$78,0),FALSE)&gt;0,MIN(HLOOKUP(CONCATENATE("Balance",EP$3-1),'Withdrawal Working'!$A$2:$CD$78,MATCH('Yoy WAR OG'!$J61,'Withdrawal Working'!$A$2:$A$78,0),0),EL61),0)),IF($K61=VLOOKUP(EL$2,$B:$H,7,0),EL61,)),0)</f>
        <v>0</v>
      </c>
      <c r="EO61" s="58">
        <f t="shared" ca="1" si="71"/>
        <v>0</v>
      </c>
      <c r="ER61" s="450">
        <f t="shared" ca="1" si="48"/>
        <v>0</v>
      </c>
      <c r="ES61" s="58">
        <f>IF(OR(J61&gt;'NWGC - SCENARIOS'!$D$7,J61='NWGC - SCENARIOS'!$D$7),0,ES60*(1+'NWGC - SCENARIOS'!$L$5))</f>
        <v>0</v>
      </c>
      <c r="ET61" s="58">
        <f ca="1">IFERROR(IF($K61&lt;VLOOKUP(ER$2,$B:$H,7,0),IF(EV$3=1,MIN($M61,ER61),IF(HLOOKUP(CONCATENATE("Balance",EV$3-1),'Withdrawal Working'!$A$2:$CD$78,MATCH('Yoy WAR OG'!$J61,'Withdrawal Working'!$A$2:$A$78,0),FALSE)&gt;0,MIN(HLOOKUP(CONCATENATE("Balance",EV$3-1),'Withdrawal Working'!$A$2:$CD$78,MATCH('Yoy WAR OG'!$J61,'Withdrawal Working'!$A$2:$A$78,0),0),ER61),0)),IF($K61=VLOOKUP(ER$2,$B:$H,7,0),ER61,)),0)</f>
        <v>0</v>
      </c>
      <c r="EU61" s="58">
        <f t="shared" ca="1" si="72"/>
        <v>0</v>
      </c>
      <c r="EX61" s="450">
        <f t="shared" ca="1" si="49"/>
        <v>0</v>
      </c>
      <c r="EY61" s="58">
        <f>IF(OR(J61&gt;'NWGC - SCENARIOS'!$D$7,J61='NWGC - SCENARIOS'!$D$7),0,EY60)</f>
        <v>0</v>
      </c>
      <c r="EZ61" s="58">
        <f ca="1">IFERROR(IF($K61&lt;VLOOKUP(EX$2,$B:$H,7,0),IF(FB$3=1,MIN($M61,EX61),IF(HLOOKUP(CONCATENATE("Balance",FB$3-1),'Withdrawal Working'!$A$2:$CD$78,MATCH('Yoy WAR OG'!$J61,'Withdrawal Working'!$A$2:$A$78,0),FALSE)&gt;0,MIN(HLOOKUP(CONCATENATE("Balance",FB$3-1),'Withdrawal Working'!$A$2:$CD$78,MATCH('Yoy WAR OG'!$J61,'Withdrawal Working'!$A$2:$A$78,0),0),EX61),0)),IF($K61=VLOOKUP(EX$2,$B:$H,7,0),EX61,)),0)</f>
        <v>0</v>
      </c>
      <c r="FA61" s="58">
        <f t="shared" ca="1" si="73"/>
        <v>0</v>
      </c>
    </row>
    <row r="62" spans="10:157" x14ac:dyDescent="0.3">
      <c r="J62">
        <f>IFERROR('NWGC - SCENARIOS'!#REF!,0)</f>
        <v>0</v>
      </c>
      <c r="K62">
        <f>IFERROR('NWGC - SCENARIOS'!#REF!,0)</f>
        <v>0</v>
      </c>
      <c r="L62" s="449" t="e">
        <f>IF(('NWGC - SCENARIOS'!#REF!-working!G60)&gt;'NWGC - SCENARIOS'!#REF!,'NWGC - SCENARIOS'!#REF!-'NWGC - SCENARIOS'!#REF!-working!G60,0)</f>
        <v>#REF!</v>
      </c>
      <c r="M62" s="449" t="e">
        <f>IF(('NWGC - SCENARIOS'!#REF!-working!G60)&gt;'NWGC - SCENARIOS'!#REF!,0,'NWGC - SCENARIOS'!#REF!-'NWGC - SCENARIOS'!#REF!+working!G60)</f>
        <v>#REF!</v>
      </c>
      <c r="N62" s="58" t="e">
        <f t="shared" ca="1" si="50"/>
        <v>#REF!</v>
      </c>
      <c r="O62" s="58" t="e">
        <f t="shared" ca="1" si="51"/>
        <v>#REF!</v>
      </c>
      <c r="P62" s="58" t="e">
        <f t="shared" ca="1" si="74"/>
        <v>#REF!</v>
      </c>
      <c r="Q62" s="58" t="e">
        <f ca="1">(VLOOKUP(P$2,$B$1:$F$32,5,0)*$L62)+(VLOOKUP($K62,'Withdrawal Working'!$AD:$AE,2,0)*(IFERROR(VLOOKUP(P$2,$B$35:$C$42,2,0),0)))</f>
        <v>#REF!</v>
      </c>
      <c r="R62" s="58">
        <f>IFERROR(IF($K62&lt;VLOOKUP(P$2,$B:$H,7,0),IF(T$3=1,MIN($M62,P62),IF(HLOOKUP(CONCATENATE("Balance",T$3-1),'Withdrawal Working'!$A$2:$CD$78,MATCH('Yoy WAR OG'!$J62,'Withdrawal Working'!$A$2:$A$78,0),FALSE)&gt;0,MIN(HLOOKUP(CONCATENATE("Balance",T$3-1),'Withdrawal Working'!$A$2:$CD$78,MATCH('Yoy WAR OG'!$J62,'Withdrawal Working'!$A$2:$A$78,0),0),P62),0)),IF($K62=VLOOKUP(P$2,$B:$H,7,0),P62,)),0)</f>
        <v>0</v>
      </c>
      <c r="S62" s="58" t="e">
        <f t="shared" ca="1" si="75"/>
        <v>#REF!</v>
      </c>
      <c r="T62" s="58"/>
      <c r="V62" s="58" t="e">
        <f t="shared" ca="1" si="27"/>
        <v>#REF!</v>
      </c>
      <c r="W62" s="58" t="e">
        <f ca="1">(VLOOKUP(V$2,$B$1:$F$32,5,0)*$L62)+(VLOOKUP($K62,'Withdrawal Working'!$AD:$AE,2,0)*(IFERROR(VLOOKUP(V$2,$B$35:$C$42,2,0),0)))</f>
        <v>#REF!</v>
      </c>
      <c r="X62" s="58">
        <f>IFERROR(IF($K62&lt;VLOOKUP(V$2,$B:$H,7,0),IF(Z$3=1,MIN($M62,V62),IF(HLOOKUP(CONCATENATE("Balance",Z$3-1),'Withdrawal Working'!$A$2:$CD$78,MATCH('Yoy WAR OG'!$J62,'Withdrawal Working'!$A$2:$A$78,0),FALSE)&gt;0,MIN(HLOOKUP(CONCATENATE("Balance",Z$3-1),'Withdrawal Working'!$A$2:$CD$78,MATCH('Yoy WAR OG'!$J62,'Withdrawal Working'!$A$2:$A$78,0),0),V62),0)),IF($K62=VLOOKUP(V$2,$B:$H,7,0),V62,)),0)</f>
        <v>0</v>
      </c>
      <c r="Y62" s="58" t="e">
        <f t="shared" ca="1" si="52"/>
        <v>#REF!</v>
      </c>
      <c r="AB62" s="58" t="e">
        <f t="shared" ca="1" si="28"/>
        <v>#REF!</v>
      </c>
      <c r="AC62" s="58" t="e">
        <f ca="1">(VLOOKUP(AB$2,$B$1:$F$32,5,0)*$L62)+(VLOOKUP($K62,'Withdrawal Working'!$AD:$AE,2,0)*(IFERROR(VLOOKUP(AB$2,$B$35:$C$42,2,0),0)))</f>
        <v>#REF!</v>
      </c>
      <c r="AE62" s="58" t="e">
        <f t="shared" ca="1" si="53"/>
        <v>#REF!</v>
      </c>
      <c r="AH62" s="58" t="e">
        <f t="shared" ca="1" si="29"/>
        <v>#REF!</v>
      </c>
      <c r="AI62" s="58" t="e">
        <f ca="1">(VLOOKUP(AH$2,$B$1:$F$32,5,0)*$L62)+IF(J62&gt;'NWGC - SCENARIOS'!$D$7,0,(VLOOKUP($K62,'Withdrawal Working'!$AD:$AE,2,0)*(IFERROR(VLOOKUP(AH$2,$B$35:$C$42,2,0),0))))</f>
        <v>#REF!</v>
      </c>
      <c r="AJ62" s="58">
        <f ca="1">IFERROR(IF($J62&gt;'NWGC - SCENARIOS'!$D$7,MIN('Yoy WAR OG'!AH62,VLOOKUP('Yoy WAR OG'!$J62,'Withdrawal Working'!BC:BD,2,0)),IF(AL$3=1,$M62,IF(HLOOKUP(CONCATENATE("Balance",AL$3-1),'Withdrawal Working'!$A$2:$CD$78,MATCH('Yoy WAR OG'!$J62,'Withdrawal Working'!$A$2:$A$78,0),FALSE)&gt;0,MIN(HLOOKUP(CONCATENATE("Balance",AL$3-1),'Withdrawal Working'!$A$2:$CD$78,MATCH('Yoy WAR OG'!$J62,'Withdrawal Working'!$A$2:$A$78,0),0),AH62),0))),0)</f>
        <v>0</v>
      </c>
      <c r="AK62" s="58" t="e">
        <f t="shared" ca="1" si="54"/>
        <v>#REF!</v>
      </c>
      <c r="AN62" s="450" t="e">
        <f t="shared" ca="1" si="30"/>
        <v>#REF!</v>
      </c>
      <c r="AO62" s="58" t="e">
        <f ca="1">IF(J62&gt;'NWGC - SCENARIOS'!$D$7,(IF(AJ62=0,0,'Yoy WAR OG'!AJ62)+(VLOOKUP(AN$2,$B$1:$F$32,5,0)*$L62)),(VLOOKUP(AN$2,$B$1:$F$32,5,0)*$L62)+(VLOOKUP($K62,'Withdrawal Working'!$AD:$AE,2,0)*(IFERROR(VLOOKUP(AN$2,$B$35:$C$42,2,0),0))))</f>
        <v>#REF!</v>
      </c>
      <c r="AP62" s="470">
        <f ca="1">IFERROR(IF($K62&lt;&gt;VLOOKUP(AN$2,$B:$H,7,0),IF(AR$3=1,MIN($M62,AN62),IF(HLOOKUP(CONCATENATE("Balance",AR$3-1),'Withdrawal Working'!$A$2:$CD$78,MATCH('Yoy WAR OG'!$J62,'Withdrawal Working'!$A$2:$A$78,0),FALSE)&gt;0,MIN(HLOOKUP(CONCATENATE("Balance",AR$3-1),'Withdrawal Working'!$A$2:$CD$78,MATCH('Yoy WAR OG'!$J62,'Withdrawal Working'!$A$2:$A$78,0),0),AN62),0)),IF($K62=VLOOKUP(AN$2,$B:$H,7,0),AN62,)),0)</f>
        <v>0</v>
      </c>
      <c r="AQ62" s="58" t="e">
        <f ca="1">IF(AO62&lt;0,0,IF(J62&gt;'NWGC - SCENARIOS'!$D$7,((AN62-AP62+AO62)*(1+(IFERROR(VLOOKUP(AN$2,$B:$D,3,0),0)))),((AN62-AP62)*(1+(IFERROR(VLOOKUP(AN$2,$B:$D,3,0),0))))+AO62))</f>
        <v>#REF!</v>
      </c>
      <c r="AT62" s="450" t="e">
        <f t="shared" ca="1" si="31"/>
        <v>#REF!</v>
      </c>
      <c r="AU62" s="58" t="e">
        <f ca="1">(VLOOKUP(AT$2,$B$1:$F$32,5,0)*$L62)+(VLOOKUP($K62,'Withdrawal Working'!$AD:$AE,2,0)*(IFERROR(VLOOKUP(AT$2,$B$35:$C$42,2,0),0)))</f>
        <v>#REF!</v>
      </c>
      <c r="AV62" s="58">
        <f>IFERROR(IF($K62&lt;VLOOKUP(AT$2,$B:$H,7,0),IF(AX$3=1,MIN($M62,AT62),IF(HLOOKUP(CONCATENATE("Balance",AX$3-1),'Withdrawal Working'!$A$2:$CD$78,MATCH('Yoy WAR OG'!$J62,'Withdrawal Working'!$A$2:$A$78,0),FALSE)&gt;0,MIN(HLOOKUP(CONCATENATE("Balance",AX$3-1),'Withdrawal Working'!$A$2:$CD$78,MATCH('Yoy WAR OG'!$J62,'Withdrawal Working'!$A$2:$A$78,0),0),AT62),0)),IF($K62=VLOOKUP(AT$2,$B:$H,7,0),AT62,)),0)</f>
        <v>0</v>
      </c>
      <c r="AW62" s="58" t="e">
        <f t="shared" ca="1" si="55"/>
        <v>#REF!</v>
      </c>
      <c r="AZ62" s="450" t="e">
        <f t="shared" ca="1" si="32"/>
        <v>#REF!</v>
      </c>
      <c r="BA62" s="58" t="e">
        <f ca="1">(VLOOKUP(AZ$2,$B$1:$F$32,5,0)*$L62)+(VLOOKUP($K62,'Withdrawal Working'!$AD:$AE,2,0)*(IFERROR(VLOOKUP(AZ$2,$B$35:$C$42,2,0),0)))</f>
        <v>#REF!</v>
      </c>
      <c r="BB62" s="58">
        <f ca="1">IFERROR(IF($K62&lt;VLOOKUP(AZ$2,$B:$H,7,0),IF(BD$3=1,MIN($M62,AZ62),IF(HLOOKUP(CONCATENATE("Balance",BD$3-1),'Withdrawal Working'!$A$2:$CD$78,MATCH('Yoy WAR OG'!$J62,'Withdrawal Working'!$A$2:$A$78,0),FALSE)&gt;0,MIN(HLOOKUP(CONCATENATE("Balance",BD$3-1),'Withdrawal Working'!$A$2:$CD$78,MATCH('Yoy WAR OG'!$J62,'Withdrawal Working'!$A$2:$A$78,0),0),AZ62),0)),IF($K62=VLOOKUP(AZ$2,$B:$H,7,0),AZ62,)),0)</f>
        <v>0</v>
      </c>
      <c r="BC62" s="58" t="e">
        <f t="shared" ca="1" si="56"/>
        <v>#REF!</v>
      </c>
      <c r="BF62" s="450" t="e">
        <f t="shared" ca="1" si="33"/>
        <v>#REF!</v>
      </c>
      <c r="BG62" s="58" t="e">
        <f ca="1">(VLOOKUP(BF$2,$B$1:$F$32,5,0)*$L62)+(VLOOKUP($K62,'Withdrawal Working'!$AD:$AE,2,0)*(IFERROR(VLOOKUP(BF$2,$B$35:$C$42,2,0),0)))</f>
        <v>#REF!</v>
      </c>
      <c r="BH62" s="58">
        <f>IFERROR(IF($K62&lt;VLOOKUP(BF$2,$B:$H,7,0),IF(BJ$3=1,MIN($M62,BF62),IF(HLOOKUP(CONCATENATE("Balance",BJ$3-1),'Withdrawal Working'!$A$2:$CD$78,MATCH('Yoy WAR OG'!$J62,'Withdrawal Working'!$A$2:$A$78,0),FALSE)&gt;0,MIN(HLOOKUP(CONCATENATE("Balance",BJ$3-1),'Withdrawal Working'!$A$2:$CD$78,MATCH('Yoy WAR OG'!$J62,'Withdrawal Working'!$A$2:$A$78,0),0),BF62),0)),IF($K62=VLOOKUP(BF$2,$B:$H,7,0),BF62,)),0)</f>
        <v>0</v>
      </c>
      <c r="BI62" s="58" t="e">
        <f t="shared" ca="1" si="57"/>
        <v>#REF!</v>
      </c>
      <c r="BL62" s="450" t="e">
        <f t="shared" ca="1" si="34"/>
        <v>#REF!</v>
      </c>
      <c r="BM62" s="58" t="e">
        <f ca="1">(VLOOKUP(BL$2,$B$1:$F$32,5,0)*$L62)+(VLOOKUP($K62,'Withdrawal Working'!$AD:$AE,2,0)*(IFERROR(VLOOKUP(BL$2,$B$35:$C$42,2,0),0)))</f>
        <v>#REF!</v>
      </c>
      <c r="BN62" s="58">
        <f ca="1">IFERROR(IF($K62&lt;VLOOKUP(BL$2,$B:$H,7,0),IF(BP$3=1,MIN($M62,BL62),IF(HLOOKUP(CONCATENATE("Balance",BP$3-1),'Withdrawal Working'!$A$2:$CD$78,MATCH('Yoy WAR OG'!$J62,'Withdrawal Working'!$A$2:$A$78,0),FALSE)&gt;0,MIN(HLOOKUP(CONCATENATE("Balance",BP$3-1),'Withdrawal Working'!$A$2:$CD$78,MATCH('Yoy WAR OG'!$J62,'Withdrawal Working'!$A$2:$A$78,0),0),BL62),0)),IF($K62=VLOOKUP(BL$2,$B:$H,7,0),BL62,)),0)</f>
        <v>0</v>
      </c>
      <c r="BO62" s="58" t="e">
        <f t="shared" ca="1" si="58"/>
        <v>#REF!</v>
      </c>
      <c r="BR62" s="450" t="e">
        <f t="shared" ca="1" si="35"/>
        <v>#REF!</v>
      </c>
      <c r="BS62" s="58" t="e">
        <f ca="1">(VLOOKUP(BR$2,$B$1:$F$32,5,0)*$L62)+(VLOOKUP($K62,'Withdrawal Working'!$AD:$AE,2,0)*(IFERROR(VLOOKUP(BR$2,$B$35:$C$42,2,0),0)))</f>
        <v>#REF!</v>
      </c>
      <c r="BT62" s="58">
        <f ca="1">IFERROR(IF($K62&lt;VLOOKUP(BR$2,$B:$H,7,0),IF(BV$3=1,MIN($M62,BR62),IF(HLOOKUP(CONCATENATE("Balance",BV$3-1),'Withdrawal Working'!$A$2:$CD$78,MATCH('Yoy WAR OG'!$J62,'Withdrawal Working'!$A$2:$A$78,0),FALSE)&gt;0,MIN(HLOOKUP(CONCATENATE("Balance",BV$3-1),'Withdrawal Working'!$A$2:$CD$78,MATCH('Yoy WAR OG'!$J62,'Withdrawal Working'!$A$2:$A$78,0),0),BR62),0)),IF($K62=VLOOKUP(BR$2,$B:$H,7,0),BR62,)),0)</f>
        <v>0</v>
      </c>
      <c r="BU62" s="58" t="e">
        <f t="shared" ca="1" si="59"/>
        <v>#REF!</v>
      </c>
      <c r="BX62" s="450" t="e">
        <f t="shared" ca="1" si="36"/>
        <v>#REF!</v>
      </c>
      <c r="BY62" s="58" t="e">
        <f ca="1">(VLOOKUP(BX$2,$B$1:$F$32,5,0)*$L62)+(VLOOKUP($K62,'Withdrawal Working'!$AD:$AE,2,0)*(IFERROR(VLOOKUP(BX$2,$B$35:$C$42,2,0),0)))</f>
        <v>#REF!</v>
      </c>
      <c r="BZ62" s="58">
        <f ca="1">IFERROR(IF($K62&lt;VLOOKUP(BX$2,$B:$H,7,0),IF(CB$3=1,MIN($M62,BX62),IF(HLOOKUP(CONCATENATE("Balance",CB$3-1),'Withdrawal Working'!$A$2:$CD$78,MATCH('Yoy WAR OG'!$J62,'Withdrawal Working'!$A$2:$A$78,0),FALSE)&gt;0,MIN(HLOOKUP(CONCATENATE("Balance",CB$3-1),'Withdrawal Working'!$A$2:$CD$78,MATCH('Yoy WAR OG'!$J62,'Withdrawal Working'!$A$2:$A$78,0),0),BX62),0)),IF($K62=VLOOKUP(BX$2,$B:$H,7,0),BX62,)),0)</f>
        <v>0</v>
      </c>
      <c r="CA62" s="58" t="e">
        <f t="shared" ca="1" si="60"/>
        <v>#REF!</v>
      </c>
      <c r="CD62" s="450" t="e">
        <f t="shared" ca="1" si="37"/>
        <v>#REF!</v>
      </c>
      <c r="CE62" s="58" t="e">
        <f ca="1">(VLOOKUP(CD$2,$B$1:$F$32,5,0)*$L62)+(VLOOKUP($K62,'Withdrawal Working'!$AD:$AE,2,0)*(IFERROR(VLOOKUP(CD$2,$B$35:$C$42,2,0),0)))+SUMIFS('Key Life Events'!$I$3:$I$28,'Key Life Events'!$H$3:$H$28,"House",'Key Life Events'!$E$3:$E$28,'Yoy WAR OG'!K62)</f>
        <v>#REF!</v>
      </c>
      <c r="CF62" s="58">
        <f ca="1">IFERROR(IF($K62&lt;VLOOKUP(CD$2,$B:$H,7,0),IF(CH$3=1,MIN($M62,CD62),IF(HLOOKUP(CONCATENATE("Balance",CH$3-1),'Withdrawal Working'!$A$2:$CD$78,MATCH('Yoy WAR OG'!$J62,'Withdrawal Working'!$A$2:$A$78,0),FALSE)&gt;0,MIN(HLOOKUP(CONCATENATE("Balance",CH$3-1),'Withdrawal Working'!$A$2:$CD$78,MATCH('Yoy WAR OG'!$J62,'Withdrawal Working'!$A$2:$A$78,0),0),CD62),0)),IF($K62=VLOOKUP(CD$2,$B:$H,7,0),CD62,)),0)</f>
        <v>0</v>
      </c>
      <c r="CG62" s="58" t="e">
        <f t="shared" ca="1" si="61"/>
        <v>#REF!</v>
      </c>
      <c r="CJ62" s="450" t="e">
        <f t="shared" ca="1" si="38"/>
        <v>#REF!</v>
      </c>
      <c r="CK62" s="58" t="e">
        <f ca="1">(VLOOKUP(CJ$2,$B$1:$F$32,5,0)*$L62)+(VLOOKUP($K62,'Withdrawal Working'!$AD:$AE,2,0)*(IFERROR(VLOOKUP(CJ$2,$B$35:$C$42,2,0),0)))+SUMIFS('Key Life Events'!$I$3:$I$28,'Key Life Events'!$H$3:$H$28,"House2",'Key Life Events'!$E$3:$E$28,'Yoy WAR OG'!K62)</f>
        <v>#REF!</v>
      </c>
      <c r="CL62" s="58">
        <f ca="1">IF(IFERROR(IF($K62&lt;&gt;VLOOKUP(CJ$2,$B:$H,7,0),IF(CN$3=1,MIN($M62,CJ62),IF(HLOOKUP(CONCATENATE("Balance",CN$3-1),'Withdrawal Working'!$A$2:$CD$78,MATCH('Yoy WAR OG'!$J62,'Withdrawal Working'!$A$2:$A$78,0),FALSE)&gt;0,MIN(HLOOKUP(CONCATENATE("Balance",CN$3-1),'Withdrawal Working'!$A$2:$CD$78,MATCH('Yoy WAR OG'!$J62,'Withdrawal Working'!$A$2:$A$78,0),0),CJ62),0)),IF($K62=VLOOKUP(CJ$2,$B:$H,7,0),CJ62,)),0)&gt;0,CJ62,0)</f>
        <v>0</v>
      </c>
      <c r="CM62" s="58" t="e">
        <f t="shared" ca="1" si="62"/>
        <v>#REF!</v>
      </c>
      <c r="CP62" s="450" t="e">
        <f t="shared" ca="1" si="39"/>
        <v>#REF!</v>
      </c>
      <c r="CQ62" s="58" t="e">
        <f ca="1">(VLOOKUP(CP$2,$B$1:$F$32,5,0)*$L62)+(VLOOKUP($K62,'Withdrawal Working'!$AD:$AE,2,0)*(IFERROR(VLOOKUP(CP$2,$B$35:$C$42,2,0),0)))+SUMIFS('Key Life Events'!$I$3:$I$28,'Key Life Events'!$H$3:$H$28,"Land",'Key Life Events'!$E$3:$E$28,'Yoy WAR OG'!K62)</f>
        <v>#REF!</v>
      </c>
      <c r="CR62" s="58">
        <f ca="1">IFERROR(IF($K62&lt;VLOOKUP(CP$2,$B:$H,7,0),IF(CT$3=1,MIN($M62,CP62),IF(HLOOKUP(CONCATENATE("Balance",CT$3-1),'Withdrawal Working'!$A$2:$CD$78,MATCH('Yoy WAR OG'!$J62,'Withdrawal Working'!$A$2:$A$78,0),FALSE)&gt;0,MIN(HLOOKUP(CONCATENATE("Balance",CT$3-1),'Withdrawal Working'!$A$2:$CD$78,MATCH('Yoy WAR OG'!$J62,'Withdrawal Working'!$A$2:$A$78,0),0),CP62),0)),IF($K62=VLOOKUP(CP$2,$B:$H,7,0),CP62,)),0)</f>
        <v>0</v>
      </c>
      <c r="CS62" s="58" t="e">
        <f t="shared" ca="1" si="63"/>
        <v>#REF!</v>
      </c>
      <c r="CV62" s="450">
        <f t="shared" ca="1" si="40"/>
        <v>0</v>
      </c>
      <c r="CW62" s="58"/>
      <c r="CX62" s="58">
        <f ca="1">IFERROR(IF($K62&lt;VLOOKUP(CV$2,$B:$H,7,0),IF(CZ$3=1,MIN($M62,CV62),IF(HLOOKUP(CONCATENATE("Balance",CZ$3-1),'Withdrawal Working'!$A$2:$CD$78,MATCH('Yoy WAR OG'!$J62,'Withdrawal Working'!$A$2:$A$78,0),FALSE)&gt;0,MIN(HLOOKUP(CONCATENATE("Balance",CZ$3-1),'Withdrawal Working'!$A$2:$CD$78,MATCH('Yoy WAR OG'!$J62,'Withdrawal Working'!$A$2:$A$78,0),0),CV62),0)),IF($K62=VLOOKUP(CV$2,$B:$H,7,0),CV62,)),0)</f>
        <v>0</v>
      </c>
      <c r="CY62" s="58">
        <f t="shared" ca="1" si="64"/>
        <v>0</v>
      </c>
      <c r="DB62" s="450" t="e">
        <f t="shared" ca="1" si="41"/>
        <v>#REF!</v>
      </c>
      <c r="DC62" s="58" t="e">
        <f ca="1">(VLOOKUP(DB$2,$B$1:$F$32,5,0)*$L62)+(VLOOKUP($K62,'Withdrawal Working'!$AD:$AE,2,0)*(IFERROR(VLOOKUP(DB$2,$B$35:$C$42,2,0),0)))</f>
        <v>#REF!</v>
      </c>
      <c r="DD62" s="58">
        <f ca="1">IFERROR(IF($K62&lt;VLOOKUP(DB$2,$B:$H,7,0),IF(DF$3=1,MIN($M62,DB62),IF(HLOOKUP(CONCATENATE("Balance",DF$3-1),'Withdrawal Working'!$A$2:$CD$78,MATCH('Yoy WAR OG'!$J62,'Withdrawal Working'!$A$2:$A$78,0),FALSE)&gt;0,MIN(HLOOKUP(CONCATENATE("Balance",DF$3-1),'Withdrawal Working'!$A$2:$CD$78,MATCH('Yoy WAR OG'!$J62,'Withdrawal Working'!$A$2:$A$78,0),0),DB62),0)),IF($K62=VLOOKUP(DB$2,$B:$H,7,0),DB62,)),0)</f>
        <v>0</v>
      </c>
      <c r="DE62" s="58" t="e">
        <f t="shared" ca="1" si="65"/>
        <v>#REF!</v>
      </c>
      <c r="DH62" s="450">
        <f t="shared" ca="1" si="42"/>
        <v>0</v>
      </c>
      <c r="DI62" s="58">
        <f>IF(OR(J62&gt;'NWGC - SCENARIOS'!$D$7,J62='NWGC - SCENARIOS'!$D$7),0,DI61*(1+'NWGC - SCENARIOS'!$L$5))</f>
        <v>0</v>
      </c>
      <c r="DJ62" s="58">
        <f ca="1">IFERROR(IF($K62&lt;VLOOKUP(DH$2,$B:$H,7,0),IF(DL$3=1,MIN($M62,DH62),IF(HLOOKUP(CONCATENATE("Balance",DL$3-1),'Withdrawal Working'!$A$2:$CD$78,MATCH('Yoy WAR OG'!$J62,'Withdrawal Working'!$A$2:$A$78,0),FALSE)&gt;0,MIN(HLOOKUP(CONCATENATE("Balance",DL$3-1),'Withdrawal Working'!$A$2:$CD$78,MATCH('Yoy WAR OG'!$J62,'Withdrawal Working'!$A$2:$A$78,0),0),DH62),0)),IF($K62=VLOOKUP(DH$2,$B:$H,7,0),DH62,)),0)</f>
        <v>0</v>
      </c>
      <c r="DK62" s="58">
        <f t="shared" ca="1" si="66"/>
        <v>0</v>
      </c>
      <c r="DN62" s="450" t="e">
        <f t="shared" ca="1" si="43"/>
        <v>#REF!</v>
      </c>
      <c r="DO62" s="58" t="e">
        <f ca="1">(VLOOKUP(DN$2,$B$1:$F$32,5,0)*$L62)+(VLOOKUP($K62,'Withdrawal Working'!$AD:$AE,2,0)*(IFERROR(VLOOKUP(DN$2,$B$35:$C$42,2,0),0)))</f>
        <v>#REF!</v>
      </c>
      <c r="DP62" s="58">
        <f ca="1">IFERROR(IF($K62&lt;VLOOKUP(DN$2,$B:$H,7,0),IF(DR$3=1,MIN($M62,DN62),IF(HLOOKUP(CONCATENATE("Balance",DR$3-1),'Withdrawal Working'!$A$2:$CD$78,MATCH('Yoy WAR OG'!$J62,'Withdrawal Working'!$A$2:$A$78,0),FALSE)&gt;0,MIN(HLOOKUP(CONCATENATE("Balance",DR$3-1),'Withdrawal Working'!$A$2:$CD$78,MATCH('Yoy WAR OG'!$J62,'Withdrawal Working'!$A$2:$A$78,0),0),DN62),0)),IF($K62=VLOOKUP(DN$2,$B:$H,7,0),DN62,)),0)</f>
        <v>0</v>
      </c>
      <c r="DQ62" s="58" t="e">
        <f t="shared" ca="1" si="67"/>
        <v>#REF!</v>
      </c>
      <c r="DT62" s="450" t="e">
        <f t="shared" ca="1" si="44"/>
        <v>#REF!</v>
      </c>
      <c r="DU62" s="58" t="e">
        <f ca="1">(VLOOKUP(DT$2,$B$1:$F$32,5,0)*$L62)+(VLOOKUP($K62,'Withdrawal Working'!$AD:$AE,2,0)*(IFERROR(VLOOKUP(DT$2,$B$35:$C$42,2,0),0)))</f>
        <v>#REF!</v>
      </c>
      <c r="DV62" s="58">
        <f ca="1">IFERROR(IF($K62&lt;VLOOKUP(DT$2,$B:$H,7,0),IF(DX$3=1,MIN($M62,DT62),IF(HLOOKUP(CONCATENATE("Balance",DX$3-1),'Withdrawal Working'!$A$2:$CD$78,MATCH('Yoy WAR OG'!$J62,'Withdrawal Working'!$A$2:$A$78,0),FALSE)&gt;0,MIN(HLOOKUP(CONCATENATE("Balance",DX$3-1),'Withdrawal Working'!$A$2:$CD$78,MATCH('Yoy WAR OG'!$J62,'Withdrawal Working'!$A$2:$A$78,0),0),DT62),0)),IF($K62=VLOOKUP(DT$2,$B:$H,7,0),DT62,)),0)</f>
        <v>0</v>
      </c>
      <c r="DW62" s="58" t="e">
        <f t="shared" ca="1" si="68"/>
        <v>#REF!</v>
      </c>
      <c r="DZ62" s="450" t="e">
        <f t="shared" ca="1" si="45"/>
        <v>#REF!</v>
      </c>
      <c r="EA62" s="58" t="e">
        <f ca="1">(VLOOKUP(DZ$2,$B$1:$F$32,5,0)*$L62)+(VLOOKUP($K62,'Withdrawal Working'!$AD:$AE,2,0)*(IFERROR(VLOOKUP(DZ$2,$B$35:$C$42,2,0),0)))</f>
        <v>#REF!</v>
      </c>
      <c r="EB62" s="58">
        <f ca="1">IFERROR(IF($K62&lt;VLOOKUP(DZ$2,$B:$H,7,0),IF(ED$3=1,MIN($M62,DZ62),IF(HLOOKUP(CONCATENATE("Balance",ED$3-1),'Withdrawal Working'!$A$2:$CD$78,MATCH('Yoy WAR OG'!$J62,'Withdrawal Working'!$A$2:$A$78,0),FALSE)&gt;0,MIN(HLOOKUP(CONCATENATE("Balance",ED$3-1),'Withdrawal Working'!$A$2:$CD$78,MATCH('Yoy WAR OG'!$J62,'Withdrawal Working'!$A$2:$A$78,0),0),DZ62),0)),IF($K62=VLOOKUP(DZ$2,$B:$H,7,0),DZ62,)),0)</f>
        <v>0</v>
      </c>
      <c r="EC62" s="58" t="e">
        <f t="shared" ca="1" si="69"/>
        <v>#REF!</v>
      </c>
      <c r="EF62" s="450" t="e">
        <f t="shared" ca="1" si="46"/>
        <v>#REF!</v>
      </c>
      <c r="EG62" s="58" t="e">
        <f ca="1">(VLOOKUP(EF$2,$B$1:$F$32,5,0)*$L62)+(VLOOKUP($K62,'Withdrawal Working'!$AD:$AE,2,0)*(IFERROR(VLOOKUP(EF$2,$B$35:$C$42,2,0),0)))</f>
        <v>#REF!</v>
      </c>
      <c r="EH62" s="58">
        <f ca="1">IFERROR(IF($K62&lt;VLOOKUP(EF$2,$B:$H,7,0),IF(EJ$3=1,MIN($M62,EF62),IF(HLOOKUP(CONCATENATE("Balance",EJ$3-1),'Withdrawal Working'!$A$2:$CD$78,MATCH('Yoy WAR OG'!$J62,'Withdrawal Working'!$A$2:$A$78,0),FALSE)&gt;0,MIN(HLOOKUP(CONCATENATE("Balance",EJ$3-1),'Withdrawal Working'!$A$2:$CD$78,MATCH('Yoy WAR OG'!$J62,'Withdrawal Working'!$A$2:$A$78,0),0),EF62),0)),IF($K62=VLOOKUP(EF$2,$B:$H,7,0),EF62,)),0)</f>
        <v>0</v>
      </c>
      <c r="EI62" s="58" t="e">
        <f t="shared" ca="1" si="70"/>
        <v>#REF!</v>
      </c>
      <c r="EL62" s="450">
        <f t="shared" ca="1" si="47"/>
        <v>0</v>
      </c>
      <c r="EM62" s="58">
        <f>IF(OR($J62&gt;'NWGC - SCENARIOS'!$D$7,$J62='NWGC - SCENARIOS'!$D$7),0,EM61)</f>
        <v>0</v>
      </c>
      <c r="EN62" s="58">
        <f ca="1">IFERROR(IF($K62&lt;VLOOKUP(EL$2,$B:$H,7,0),IF(EP$3=1,MIN($M62,EL62),IF(HLOOKUP(CONCATENATE("Balance",EP$3-1),'Withdrawal Working'!$A$2:$CD$78,MATCH('Yoy WAR OG'!$J62,'Withdrawal Working'!$A$2:$A$78,0),FALSE)&gt;0,MIN(HLOOKUP(CONCATENATE("Balance",EP$3-1),'Withdrawal Working'!$A$2:$CD$78,MATCH('Yoy WAR OG'!$J62,'Withdrawal Working'!$A$2:$A$78,0),0),EL62),0)),IF($K62=VLOOKUP(EL$2,$B:$H,7,0),EL62,)),0)</f>
        <v>0</v>
      </c>
      <c r="EO62" s="58">
        <f t="shared" ca="1" si="71"/>
        <v>0</v>
      </c>
      <c r="ER62" s="450">
        <f t="shared" ca="1" si="48"/>
        <v>0</v>
      </c>
      <c r="ES62" s="58">
        <f>IF(OR(J62&gt;'NWGC - SCENARIOS'!$D$7,J62='NWGC - SCENARIOS'!$D$7),0,ES61*(1+'NWGC - SCENARIOS'!$L$5))</f>
        <v>0</v>
      </c>
      <c r="ET62" s="58">
        <f ca="1">IFERROR(IF($K62&lt;VLOOKUP(ER$2,$B:$H,7,0),IF(EV$3=1,MIN($M62,ER62),IF(HLOOKUP(CONCATENATE("Balance",EV$3-1),'Withdrawal Working'!$A$2:$CD$78,MATCH('Yoy WAR OG'!$J62,'Withdrawal Working'!$A$2:$A$78,0),FALSE)&gt;0,MIN(HLOOKUP(CONCATENATE("Balance",EV$3-1),'Withdrawal Working'!$A$2:$CD$78,MATCH('Yoy WAR OG'!$J62,'Withdrawal Working'!$A$2:$A$78,0),0),ER62),0)),IF($K62=VLOOKUP(ER$2,$B:$H,7,0),ER62,)),0)</f>
        <v>0</v>
      </c>
      <c r="EU62" s="58">
        <f t="shared" ca="1" si="72"/>
        <v>0</v>
      </c>
      <c r="EX62" s="450">
        <f t="shared" ca="1" si="49"/>
        <v>0</v>
      </c>
      <c r="EY62" s="58">
        <f>IF(OR(J62&gt;'NWGC - SCENARIOS'!$D$7,J62='NWGC - SCENARIOS'!$D$7),0,EY61)</f>
        <v>0</v>
      </c>
      <c r="EZ62" s="58">
        <f ca="1">IFERROR(IF($K62&lt;VLOOKUP(EX$2,$B:$H,7,0),IF(FB$3=1,MIN($M62,EX62),IF(HLOOKUP(CONCATENATE("Balance",FB$3-1),'Withdrawal Working'!$A$2:$CD$78,MATCH('Yoy WAR OG'!$J62,'Withdrawal Working'!$A$2:$A$78,0),FALSE)&gt;0,MIN(HLOOKUP(CONCATENATE("Balance",FB$3-1),'Withdrawal Working'!$A$2:$CD$78,MATCH('Yoy WAR OG'!$J62,'Withdrawal Working'!$A$2:$A$78,0),0),EX62),0)),IF($K62=VLOOKUP(EX$2,$B:$H,7,0),EX62,)),0)</f>
        <v>0</v>
      </c>
      <c r="FA62" s="58">
        <f t="shared" ca="1" si="73"/>
        <v>0</v>
      </c>
    </row>
    <row r="63" spans="10:157" x14ac:dyDescent="0.3">
      <c r="J63">
        <f>IFERROR('NWGC - SCENARIOS'!#REF!,0)</f>
        <v>0</v>
      </c>
      <c r="K63">
        <f>IFERROR('NWGC - SCENARIOS'!#REF!,0)</f>
        <v>0</v>
      </c>
      <c r="L63" s="449" t="e">
        <f>IF(('NWGC - SCENARIOS'!#REF!-working!G61)&gt;'NWGC - SCENARIOS'!#REF!,'NWGC - SCENARIOS'!#REF!-'NWGC - SCENARIOS'!#REF!-working!G61,0)</f>
        <v>#REF!</v>
      </c>
      <c r="M63" s="449" t="e">
        <f>IF(('NWGC - SCENARIOS'!#REF!-working!G61)&gt;'NWGC - SCENARIOS'!#REF!,0,'NWGC - SCENARIOS'!#REF!-'NWGC - SCENARIOS'!#REF!+working!G61)</f>
        <v>#REF!</v>
      </c>
      <c r="N63" s="58" t="e">
        <f t="shared" ca="1" si="50"/>
        <v>#REF!</v>
      </c>
      <c r="O63" s="58" t="e">
        <f t="shared" ca="1" si="51"/>
        <v>#REF!</v>
      </c>
      <c r="P63" s="58" t="e">
        <f t="shared" ca="1" si="74"/>
        <v>#REF!</v>
      </c>
      <c r="Q63" s="58" t="e">
        <f ca="1">(VLOOKUP(P$2,$B$1:$F$32,5,0)*$L63)+(VLOOKUP($K63,'Withdrawal Working'!$AD:$AE,2,0)*(IFERROR(VLOOKUP(P$2,$B$35:$C$42,2,0),0)))</f>
        <v>#REF!</v>
      </c>
      <c r="R63" s="58">
        <f>IFERROR(IF($K63&lt;VLOOKUP(P$2,$B:$H,7,0),IF(T$3=1,MIN($M63,P63),IF(HLOOKUP(CONCATENATE("Balance",T$3-1),'Withdrawal Working'!$A$2:$CD$78,MATCH('Yoy WAR OG'!$J63,'Withdrawal Working'!$A$2:$A$78,0),FALSE)&gt;0,MIN(HLOOKUP(CONCATENATE("Balance",T$3-1),'Withdrawal Working'!$A$2:$CD$78,MATCH('Yoy WAR OG'!$J63,'Withdrawal Working'!$A$2:$A$78,0),0),P63),0)),IF($K63=VLOOKUP(P$2,$B:$H,7,0),P63,)),0)</f>
        <v>0</v>
      </c>
      <c r="S63" s="58" t="e">
        <f t="shared" ca="1" si="75"/>
        <v>#REF!</v>
      </c>
      <c r="T63" s="58"/>
      <c r="V63" s="58" t="e">
        <f t="shared" ca="1" si="27"/>
        <v>#REF!</v>
      </c>
      <c r="W63" s="58" t="e">
        <f ca="1">(VLOOKUP(V$2,$B$1:$F$32,5,0)*$L63)+(VLOOKUP($K63,'Withdrawal Working'!$AD:$AE,2,0)*(IFERROR(VLOOKUP(V$2,$B$35:$C$42,2,0),0)))</f>
        <v>#REF!</v>
      </c>
      <c r="X63" s="58">
        <f>IFERROR(IF($K63&lt;VLOOKUP(V$2,$B:$H,7,0),IF(Z$3=1,MIN($M63,V63),IF(HLOOKUP(CONCATENATE("Balance",Z$3-1),'Withdrawal Working'!$A$2:$CD$78,MATCH('Yoy WAR OG'!$J63,'Withdrawal Working'!$A$2:$A$78,0),FALSE)&gt;0,MIN(HLOOKUP(CONCATENATE("Balance",Z$3-1),'Withdrawal Working'!$A$2:$CD$78,MATCH('Yoy WAR OG'!$J63,'Withdrawal Working'!$A$2:$A$78,0),0),V63),0)),IF($K63=VLOOKUP(V$2,$B:$H,7,0),V63,)),0)</f>
        <v>0</v>
      </c>
      <c r="Y63" s="58" t="e">
        <f t="shared" ca="1" si="52"/>
        <v>#REF!</v>
      </c>
      <c r="AB63" s="58" t="e">
        <f t="shared" ca="1" si="28"/>
        <v>#REF!</v>
      </c>
      <c r="AC63" s="58" t="e">
        <f ca="1">(VLOOKUP(AB$2,$B$1:$F$32,5,0)*$L63)+(VLOOKUP($K63,'Withdrawal Working'!$AD:$AE,2,0)*(IFERROR(VLOOKUP(AB$2,$B$35:$C$42,2,0),0)))</f>
        <v>#REF!</v>
      </c>
      <c r="AE63" s="58" t="e">
        <f t="shared" ca="1" si="53"/>
        <v>#REF!</v>
      </c>
      <c r="AH63" s="58" t="e">
        <f t="shared" ca="1" si="29"/>
        <v>#REF!</v>
      </c>
      <c r="AI63" s="58" t="e">
        <f ca="1">(VLOOKUP(AH$2,$B$1:$F$32,5,0)*$L63)+IF(J63&gt;'NWGC - SCENARIOS'!$D$7,0,(VLOOKUP($K63,'Withdrawal Working'!$AD:$AE,2,0)*(IFERROR(VLOOKUP(AH$2,$B$35:$C$42,2,0),0))))</f>
        <v>#REF!</v>
      </c>
      <c r="AJ63" s="58">
        <f ca="1">IFERROR(IF($J63&gt;'NWGC - SCENARIOS'!$D$7,MIN('Yoy WAR OG'!AH63,VLOOKUP('Yoy WAR OG'!$J63,'Withdrawal Working'!BC:BD,2,0)),IF(AL$3=1,$M63,IF(HLOOKUP(CONCATENATE("Balance",AL$3-1),'Withdrawal Working'!$A$2:$CD$78,MATCH('Yoy WAR OG'!$J63,'Withdrawal Working'!$A$2:$A$78,0),FALSE)&gt;0,MIN(HLOOKUP(CONCATENATE("Balance",AL$3-1),'Withdrawal Working'!$A$2:$CD$78,MATCH('Yoy WAR OG'!$J63,'Withdrawal Working'!$A$2:$A$78,0),0),AH63),0))),0)</f>
        <v>0</v>
      </c>
      <c r="AK63" s="58" t="e">
        <f t="shared" ca="1" si="54"/>
        <v>#REF!</v>
      </c>
      <c r="AN63" s="450" t="e">
        <f t="shared" ca="1" si="30"/>
        <v>#REF!</v>
      </c>
      <c r="AO63" s="58" t="e">
        <f ca="1">IF(J63&gt;'NWGC - SCENARIOS'!$D$7,(IF(AJ63=0,0,'Yoy WAR OG'!AJ63)+(VLOOKUP(AN$2,$B$1:$F$32,5,0)*$L63)),(VLOOKUP(AN$2,$B$1:$F$32,5,0)*$L63)+(VLOOKUP($K63,'Withdrawal Working'!$AD:$AE,2,0)*(IFERROR(VLOOKUP(AN$2,$B$35:$C$42,2,0),0))))</f>
        <v>#REF!</v>
      </c>
      <c r="AP63" s="470">
        <f ca="1">IFERROR(IF($K63&lt;&gt;VLOOKUP(AN$2,$B:$H,7,0),IF(AR$3=1,MIN($M63,AN63),IF(HLOOKUP(CONCATENATE("Balance",AR$3-1),'Withdrawal Working'!$A$2:$CD$78,MATCH('Yoy WAR OG'!$J63,'Withdrawal Working'!$A$2:$A$78,0),FALSE)&gt;0,MIN(HLOOKUP(CONCATENATE("Balance",AR$3-1),'Withdrawal Working'!$A$2:$CD$78,MATCH('Yoy WAR OG'!$J63,'Withdrawal Working'!$A$2:$A$78,0),0),AN63),0)),IF($K63=VLOOKUP(AN$2,$B:$H,7,0),AN63,)),0)</f>
        <v>0</v>
      </c>
      <c r="AQ63" s="58" t="e">
        <f ca="1">IF(AO63&lt;0,0,IF(J63&gt;'NWGC - SCENARIOS'!$D$7,((AN63-AP63+AO63)*(1+(IFERROR(VLOOKUP(AN$2,$B:$D,3,0),0)))),((AN63-AP63)*(1+(IFERROR(VLOOKUP(AN$2,$B:$D,3,0),0))))+AO63))</f>
        <v>#REF!</v>
      </c>
      <c r="AT63" s="450" t="e">
        <f t="shared" ca="1" si="31"/>
        <v>#REF!</v>
      </c>
      <c r="AU63" s="58" t="e">
        <f ca="1">(VLOOKUP(AT$2,$B$1:$F$32,5,0)*$L63)+(VLOOKUP($K63,'Withdrawal Working'!$AD:$AE,2,0)*(IFERROR(VLOOKUP(AT$2,$B$35:$C$42,2,0),0)))</f>
        <v>#REF!</v>
      </c>
      <c r="AV63" s="58">
        <f>IFERROR(IF($K63&lt;VLOOKUP(AT$2,$B:$H,7,0),IF(AX$3=1,MIN($M63,AT63),IF(HLOOKUP(CONCATENATE("Balance",AX$3-1),'Withdrawal Working'!$A$2:$CD$78,MATCH('Yoy WAR OG'!$J63,'Withdrawal Working'!$A$2:$A$78,0),FALSE)&gt;0,MIN(HLOOKUP(CONCATENATE("Balance",AX$3-1),'Withdrawal Working'!$A$2:$CD$78,MATCH('Yoy WAR OG'!$J63,'Withdrawal Working'!$A$2:$A$78,0),0),AT63),0)),IF($K63=VLOOKUP(AT$2,$B:$H,7,0),AT63,)),0)</f>
        <v>0</v>
      </c>
      <c r="AW63" s="58" t="e">
        <f t="shared" ca="1" si="55"/>
        <v>#REF!</v>
      </c>
      <c r="AZ63" s="450" t="e">
        <f t="shared" ca="1" si="32"/>
        <v>#REF!</v>
      </c>
      <c r="BA63" s="58" t="e">
        <f ca="1">(VLOOKUP(AZ$2,$B$1:$F$32,5,0)*$L63)+(VLOOKUP($K63,'Withdrawal Working'!$AD:$AE,2,0)*(IFERROR(VLOOKUP(AZ$2,$B$35:$C$42,2,0),0)))</f>
        <v>#REF!</v>
      </c>
      <c r="BB63" s="58">
        <f ca="1">IFERROR(IF($K63&lt;VLOOKUP(AZ$2,$B:$H,7,0),IF(BD$3=1,MIN($M63,AZ63),IF(HLOOKUP(CONCATENATE("Balance",BD$3-1),'Withdrawal Working'!$A$2:$CD$78,MATCH('Yoy WAR OG'!$J63,'Withdrawal Working'!$A$2:$A$78,0),FALSE)&gt;0,MIN(HLOOKUP(CONCATENATE("Balance",BD$3-1),'Withdrawal Working'!$A$2:$CD$78,MATCH('Yoy WAR OG'!$J63,'Withdrawal Working'!$A$2:$A$78,0),0),AZ63),0)),IF($K63=VLOOKUP(AZ$2,$B:$H,7,0),AZ63,)),0)</f>
        <v>0</v>
      </c>
      <c r="BC63" s="58" t="e">
        <f t="shared" ca="1" si="56"/>
        <v>#REF!</v>
      </c>
      <c r="BF63" s="450" t="e">
        <f t="shared" ca="1" si="33"/>
        <v>#REF!</v>
      </c>
      <c r="BG63" s="58" t="e">
        <f ca="1">(VLOOKUP(BF$2,$B$1:$F$32,5,0)*$L63)+(VLOOKUP($K63,'Withdrawal Working'!$AD:$AE,2,0)*(IFERROR(VLOOKUP(BF$2,$B$35:$C$42,2,0),0)))</f>
        <v>#REF!</v>
      </c>
      <c r="BH63" s="58">
        <f>IFERROR(IF($K63&lt;VLOOKUP(BF$2,$B:$H,7,0),IF(BJ$3=1,MIN($M63,BF63),IF(HLOOKUP(CONCATENATE("Balance",BJ$3-1),'Withdrawal Working'!$A$2:$CD$78,MATCH('Yoy WAR OG'!$J63,'Withdrawal Working'!$A$2:$A$78,0),FALSE)&gt;0,MIN(HLOOKUP(CONCATENATE("Balance",BJ$3-1),'Withdrawal Working'!$A$2:$CD$78,MATCH('Yoy WAR OG'!$J63,'Withdrawal Working'!$A$2:$A$78,0),0),BF63),0)),IF($K63=VLOOKUP(BF$2,$B:$H,7,0),BF63,)),0)</f>
        <v>0</v>
      </c>
      <c r="BI63" s="58" t="e">
        <f t="shared" ca="1" si="57"/>
        <v>#REF!</v>
      </c>
      <c r="BL63" s="450" t="e">
        <f t="shared" ca="1" si="34"/>
        <v>#REF!</v>
      </c>
      <c r="BM63" s="58" t="e">
        <f ca="1">(VLOOKUP(BL$2,$B$1:$F$32,5,0)*$L63)+(VLOOKUP($K63,'Withdrawal Working'!$AD:$AE,2,0)*(IFERROR(VLOOKUP(BL$2,$B$35:$C$42,2,0),0)))</f>
        <v>#REF!</v>
      </c>
      <c r="BN63" s="58">
        <f ca="1">IFERROR(IF($K63&lt;VLOOKUP(BL$2,$B:$H,7,0),IF(BP$3=1,MIN($M63,BL63),IF(HLOOKUP(CONCATENATE("Balance",BP$3-1),'Withdrawal Working'!$A$2:$CD$78,MATCH('Yoy WAR OG'!$J63,'Withdrawal Working'!$A$2:$A$78,0),FALSE)&gt;0,MIN(HLOOKUP(CONCATENATE("Balance",BP$3-1),'Withdrawal Working'!$A$2:$CD$78,MATCH('Yoy WAR OG'!$J63,'Withdrawal Working'!$A$2:$A$78,0),0),BL63),0)),IF($K63=VLOOKUP(BL$2,$B:$H,7,0),BL63,)),0)</f>
        <v>0</v>
      </c>
      <c r="BO63" s="58" t="e">
        <f t="shared" ca="1" si="58"/>
        <v>#REF!</v>
      </c>
      <c r="BR63" s="450" t="e">
        <f t="shared" ca="1" si="35"/>
        <v>#REF!</v>
      </c>
      <c r="BS63" s="58" t="e">
        <f ca="1">(VLOOKUP(BR$2,$B$1:$F$32,5,0)*$L63)+(VLOOKUP($K63,'Withdrawal Working'!$AD:$AE,2,0)*(IFERROR(VLOOKUP(BR$2,$B$35:$C$42,2,0),0)))</f>
        <v>#REF!</v>
      </c>
      <c r="BT63" s="58">
        <f ca="1">IFERROR(IF($K63&lt;VLOOKUP(BR$2,$B:$H,7,0),IF(BV$3=1,MIN($M63,BR63),IF(HLOOKUP(CONCATENATE("Balance",BV$3-1),'Withdrawal Working'!$A$2:$CD$78,MATCH('Yoy WAR OG'!$J63,'Withdrawal Working'!$A$2:$A$78,0),FALSE)&gt;0,MIN(HLOOKUP(CONCATENATE("Balance",BV$3-1),'Withdrawal Working'!$A$2:$CD$78,MATCH('Yoy WAR OG'!$J63,'Withdrawal Working'!$A$2:$A$78,0),0),BR63),0)),IF($K63=VLOOKUP(BR$2,$B:$H,7,0),BR63,)),0)</f>
        <v>0</v>
      </c>
      <c r="BU63" s="58" t="e">
        <f t="shared" ca="1" si="59"/>
        <v>#REF!</v>
      </c>
      <c r="BX63" s="450" t="e">
        <f t="shared" ca="1" si="36"/>
        <v>#REF!</v>
      </c>
      <c r="BY63" s="58" t="e">
        <f ca="1">(VLOOKUP(BX$2,$B$1:$F$32,5,0)*$L63)+(VLOOKUP($K63,'Withdrawal Working'!$AD:$AE,2,0)*(IFERROR(VLOOKUP(BX$2,$B$35:$C$42,2,0),0)))</f>
        <v>#REF!</v>
      </c>
      <c r="BZ63" s="58">
        <f ca="1">IFERROR(IF($K63&lt;VLOOKUP(BX$2,$B:$H,7,0),IF(CB$3=1,MIN($M63,BX63),IF(HLOOKUP(CONCATENATE("Balance",CB$3-1),'Withdrawal Working'!$A$2:$CD$78,MATCH('Yoy WAR OG'!$J63,'Withdrawal Working'!$A$2:$A$78,0),FALSE)&gt;0,MIN(HLOOKUP(CONCATENATE("Balance",CB$3-1),'Withdrawal Working'!$A$2:$CD$78,MATCH('Yoy WAR OG'!$J63,'Withdrawal Working'!$A$2:$A$78,0),0),BX63),0)),IF($K63=VLOOKUP(BX$2,$B:$H,7,0),BX63,)),0)</f>
        <v>0</v>
      </c>
      <c r="CA63" s="58" t="e">
        <f t="shared" ca="1" si="60"/>
        <v>#REF!</v>
      </c>
      <c r="CD63" s="450" t="e">
        <f t="shared" ca="1" si="37"/>
        <v>#REF!</v>
      </c>
      <c r="CE63" s="58" t="e">
        <f ca="1">(VLOOKUP(CD$2,$B$1:$F$32,5,0)*$L63)+(VLOOKUP($K63,'Withdrawal Working'!$AD:$AE,2,0)*(IFERROR(VLOOKUP(CD$2,$B$35:$C$42,2,0),0)))+SUMIFS('Key Life Events'!$I$3:$I$28,'Key Life Events'!$H$3:$H$28,"House",'Key Life Events'!$E$3:$E$28,'Yoy WAR OG'!K63)</f>
        <v>#REF!</v>
      </c>
      <c r="CF63" s="58">
        <f ca="1">IFERROR(IF($K63&lt;VLOOKUP(CD$2,$B:$H,7,0),IF(CH$3=1,MIN($M63,CD63),IF(HLOOKUP(CONCATENATE("Balance",CH$3-1),'Withdrawal Working'!$A$2:$CD$78,MATCH('Yoy WAR OG'!$J63,'Withdrawal Working'!$A$2:$A$78,0),FALSE)&gt;0,MIN(HLOOKUP(CONCATENATE("Balance",CH$3-1),'Withdrawal Working'!$A$2:$CD$78,MATCH('Yoy WAR OG'!$J63,'Withdrawal Working'!$A$2:$A$78,0),0),CD63),0)),IF($K63=VLOOKUP(CD$2,$B:$H,7,0),CD63,)),0)</f>
        <v>0</v>
      </c>
      <c r="CG63" s="58" t="e">
        <f t="shared" ca="1" si="61"/>
        <v>#REF!</v>
      </c>
      <c r="CJ63" s="450" t="e">
        <f t="shared" ca="1" si="38"/>
        <v>#REF!</v>
      </c>
      <c r="CK63" s="58" t="e">
        <f ca="1">(VLOOKUP(CJ$2,$B$1:$F$32,5,0)*$L63)+(VLOOKUP($K63,'Withdrawal Working'!$AD:$AE,2,0)*(IFERROR(VLOOKUP(CJ$2,$B$35:$C$42,2,0),0)))+SUMIFS('Key Life Events'!$I$3:$I$28,'Key Life Events'!$H$3:$H$28,"House2",'Key Life Events'!$E$3:$E$28,'Yoy WAR OG'!K63)</f>
        <v>#REF!</v>
      </c>
      <c r="CL63" s="58">
        <f ca="1">IF(IFERROR(IF($K63&lt;&gt;VLOOKUP(CJ$2,$B:$H,7,0),IF(CN$3=1,MIN($M63,CJ63),IF(HLOOKUP(CONCATENATE("Balance",CN$3-1),'Withdrawal Working'!$A$2:$CD$78,MATCH('Yoy WAR OG'!$J63,'Withdrawal Working'!$A$2:$A$78,0),FALSE)&gt;0,MIN(HLOOKUP(CONCATENATE("Balance",CN$3-1),'Withdrawal Working'!$A$2:$CD$78,MATCH('Yoy WAR OG'!$J63,'Withdrawal Working'!$A$2:$A$78,0),0),CJ63),0)),IF($K63=VLOOKUP(CJ$2,$B:$H,7,0),CJ63,)),0)&gt;0,CJ63,0)</f>
        <v>0</v>
      </c>
      <c r="CM63" s="58" t="e">
        <f t="shared" ca="1" si="62"/>
        <v>#REF!</v>
      </c>
      <c r="CP63" s="450" t="e">
        <f t="shared" ca="1" si="39"/>
        <v>#REF!</v>
      </c>
      <c r="CQ63" s="58" t="e">
        <f ca="1">(VLOOKUP(CP$2,$B$1:$F$32,5,0)*$L63)+(VLOOKUP($K63,'Withdrawal Working'!$AD:$AE,2,0)*(IFERROR(VLOOKUP(CP$2,$B$35:$C$42,2,0),0)))+SUMIFS('Key Life Events'!$I$3:$I$28,'Key Life Events'!$H$3:$H$28,"Land",'Key Life Events'!$E$3:$E$28,'Yoy WAR OG'!K63)</f>
        <v>#REF!</v>
      </c>
      <c r="CR63" s="58">
        <f ca="1">IFERROR(IF($K63&lt;VLOOKUP(CP$2,$B:$H,7,0),IF(CT$3=1,MIN($M63,CP63),IF(HLOOKUP(CONCATENATE("Balance",CT$3-1),'Withdrawal Working'!$A$2:$CD$78,MATCH('Yoy WAR OG'!$J63,'Withdrawal Working'!$A$2:$A$78,0),FALSE)&gt;0,MIN(HLOOKUP(CONCATENATE("Balance",CT$3-1),'Withdrawal Working'!$A$2:$CD$78,MATCH('Yoy WAR OG'!$J63,'Withdrawal Working'!$A$2:$A$78,0),0),CP63),0)),IF($K63=VLOOKUP(CP$2,$B:$H,7,0),CP63,)),0)</f>
        <v>0</v>
      </c>
      <c r="CS63" s="58" t="e">
        <f t="shared" ca="1" si="63"/>
        <v>#REF!</v>
      </c>
      <c r="CV63" s="450">
        <f t="shared" ca="1" si="40"/>
        <v>0</v>
      </c>
      <c r="CW63" s="58"/>
      <c r="CX63" s="58">
        <f ca="1">IFERROR(IF($K63&lt;VLOOKUP(CV$2,$B:$H,7,0),IF(CZ$3=1,MIN($M63,CV63),IF(HLOOKUP(CONCATENATE("Balance",CZ$3-1),'Withdrawal Working'!$A$2:$CD$78,MATCH('Yoy WAR OG'!$J63,'Withdrawal Working'!$A$2:$A$78,0),FALSE)&gt;0,MIN(HLOOKUP(CONCATENATE("Balance",CZ$3-1),'Withdrawal Working'!$A$2:$CD$78,MATCH('Yoy WAR OG'!$J63,'Withdrawal Working'!$A$2:$A$78,0),0),CV63),0)),IF($K63=VLOOKUP(CV$2,$B:$H,7,0),CV63,)),0)</f>
        <v>0</v>
      </c>
      <c r="CY63" s="58">
        <f t="shared" ca="1" si="64"/>
        <v>0</v>
      </c>
      <c r="DB63" s="450" t="e">
        <f t="shared" ca="1" si="41"/>
        <v>#REF!</v>
      </c>
      <c r="DC63" s="58" t="e">
        <f ca="1">(VLOOKUP(DB$2,$B$1:$F$32,5,0)*$L63)+(VLOOKUP($K63,'Withdrawal Working'!$AD:$AE,2,0)*(IFERROR(VLOOKUP(DB$2,$B$35:$C$42,2,0),0)))</f>
        <v>#REF!</v>
      </c>
      <c r="DD63" s="58">
        <f ca="1">IFERROR(IF($K63&lt;VLOOKUP(DB$2,$B:$H,7,0),IF(DF$3=1,MIN($M63,DB63),IF(HLOOKUP(CONCATENATE("Balance",DF$3-1),'Withdrawal Working'!$A$2:$CD$78,MATCH('Yoy WAR OG'!$J63,'Withdrawal Working'!$A$2:$A$78,0),FALSE)&gt;0,MIN(HLOOKUP(CONCATENATE("Balance",DF$3-1),'Withdrawal Working'!$A$2:$CD$78,MATCH('Yoy WAR OG'!$J63,'Withdrawal Working'!$A$2:$A$78,0),0),DB63),0)),IF($K63=VLOOKUP(DB$2,$B:$H,7,0),DB63,)),0)</f>
        <v>0</v>
      </c>
      <c r="DE63" s="58" t="e">
        <f t="shared" ca="1" si="65"/>
        <v>#REF!</v>
      </c>
      <c r="DH63" s="450">
        <f t="shared" ca="1" si="42"/>
        <v>0</v>
      </c>
      <c r="DI63" s="58">
        <f>IF(OR(J63&gt;'NWGC - SCENARIOS'!$D$7,J63='NWGC - SCENARIOS'!$D$7),0,DI62*(1+'NWGC - SCENARIOS'!$L$5))</f>
        <v>0</v>
      </c>
      <c r="DJ63" s="58">
        <f ca="1">IFERROR(IF($K63&lt;VLOOKUP(DH$2,$B:$H,7,0),IF(DL$3=1,MIN($M63,DH63),IF(HLOOKUP(CONCATENATE("Balance",DL$3-1),'Withdrawal Working'!$A$2:$CD$78,MATCH('Yoy WAR OG'!$J63,'Withdrawal Working'!$A$2:$A$78,0),FALSE)&gt;0,MIN(HLOOKUP(CONCATENATE("Balance",DL$3-1),'Withdrawal Working'!$A$2:$CD$78,MATCH('Yoy WAR OG'!$J63,'Withdrawal Working'!$A$2:$A$78,0),0),DH63),0)),IF($K63=VLOOKUP(DH$2,$B:$H,7,0),DH63,)),0)</f>
        <v>0</v>
      </c>
      <c r="DK63" s="58">
        <f t="shared" ca="1" si="66"/>
        <v>0</v>
      </c>
      <c r="DN63" s="450" t="e">
        <f t="shared" ca="1" si="43"/>
        <v>#REF!</v>
      </c>
      <c r="DO63" s="58" t="e">
        <f ca="1">(VLOOKUP(DN$2,$B$1:$F$32,5,0)*$L63)+(VLOOKUP($K63,'Withdrawal Working'!$AD:$AE,2,0)*(IFERROR(VLOOKUP(DN$2,$B$35:$C$42,2,0),0)))</f>
        <v>#REF!</v>
      </c>
      <c r="DP63" s="58">
        <f ca="1">IFERROR(IF($K63&lt;VLOOKUP(DN$2,$B:$H,7,0),IF(DR$3=1,MIN($M63,DN63),IF(HLOOKUP(CONCATENATE("Balance",DR$3-1),'Withdrawal Working'!$A$2:$CD$78,MATCH('Yoy WAR OG'!$J63,'Withdrawal Working'!$A$2:$A$78,0),FALSE)&gt;0,MIN(HLOOKUP(CONCATENATE("Balance",DR$3-1),'Withdrawal Working'!$A$2:$CD$78,MATCH('Yoy WAR OG'!$J63,'Withdrawal Working'!$A$2:$A$78,0),0),DN63),0)),IF($K63=VLOOKUP(DN$2,$B:$H,7,0),DN63,)),0)</f>
        <v>0</v>
      </c>
      <c r="DQ63" s="58" t="e">
        <f t="shared" ca="1" si="67"/>
        <v>#REF!</v>
      </c>
      <c r="DT63" s="450" t="e">
        <f t="shared" ca="1" si="44"/>
        <v>#REF!</v>
      </c>
      <c r="DU63" s="58" t="e">
        <f ca="1">(VLOOKUP(DT$2,$B$1:$F$32,5,0)*$L63)+(VLOOKUP($K63,'Withdrawal Working'!$AD:$AE,2,0)*(IFERROR(VLOOKUP(DT$2,$B$35:$C$42,2,0),0)))</f>
        <v>#REF!</v>
      </c>
      <c r="DV63" s="58">
        <f ca="1">IFERROR(IF($K63&lt;VLOOKUP(DT$2,$B:$H,7,0),IF(DX$3=1,MIN($M63,DT63),IF(HLOOKUP(CONCATENATE("Balance",DX$3-1),'Withdrawal Working'!$A$2:$CD$78,MATCH('Yoy WAR OG'!$J63,'Withdrawal Working'!$A$2:$A$78,0),FALSE)&gt;0,MIN(HLOOKUP(CONCATENATE("Balance",DX$3-1),'Withdrawal Working'!$A$2:$CD$78,MATCH('Yoy WAR OG'!$J63,'Withdrawal Working'!$A$2:$A$78,0),0),DT63),0)),IF($K63=VLOOKUP(DT$2,$B:$H,7,0),DT63,)),0)</f>
        <v>0</v>
      </c>
      <c r="DW63" s="58" t="e">
        <f t="shared" ca="1" si="68"/>
        <v>#REF!</v>
      </c>
      <c r="DZ63" s="450" t="e">
        <f t="shared" ca="1" si="45"/>
        <v>#REF!</v>
      </c>
      <c r="EA63" s="58" t="e">
        <f ca="1">(VLOOKUP(DZ$2,$B$1:$F$32,5,0)*$L63)+(VLOOKUP($K63,'Withdrawal Working'!$AD:$AE,2,0)*(IFERROR(VLOOKUP(DZ$2,$B$35:$C$42,2,0),0)))</f>
        <v>#REF!</v>
      </c>
      <c r="EB63" s="58">
        <f ca="1">IFERROR(IF($K63&lt;VLOOKUP(DZ$2,$B:$H,7,0),IF(ED$3=1,MIN($M63,DZ63),IF(HLOOKUP(CONCATENATE("Balance",ED$3-1),'Withdrawal Working'!$A$2:$CD$78,MATCH('Yoy WAR OG'!$J63,'Withdrawal Working'!$A$2:$A$78,0),FALSE)&gt;0,MIN(HLOOKUP(CONCATENATE("Balance",ED$3-1),'Withdrawal Working'!$A$2:$CD$78,MATCH('Yoy WAR OG'!$J63,'Withdrawal Working'!$A$2:$A$78,0),0),DZ63),0)),IF($K63=VLOOKUP(DZ$2,$B:$H,7,0),DZ63,)),0)</f>
        <v>0</v>
      </c>
      <c r="EC63" s="58" t="e">
        <f t="shared" ca="1" si="69"/>
        <v>#REF!</v>
      </c>
      <c r="EF63" s="450" t="e">
        <f t="shared" ca="1" si="46"/>
        <v>#REF!</v>
      </c>
      <c r="EG63" s="58" t="e">
        <f ca="1">(VLOOKUP(EF$2,$B$1:$F$32,5,0)*$L63)+(VLOOKUP($K63,'Withdrawal Working'!$AD:$AE,2,0)*(IFERROR(VLOOKUP(EF$2,$B$35:$C$42,2,0),0)))</f>
        <v>#REF!</v>
      </c>
      <c r="EH63" s="58">
        <f ca="1">IFERROR(IF($K63&lt;VLOOKUP(EF$2,$B:$H,7,0),IF(EJ$3=1,MIN($M63,EF63),IF(HLOOKUP(CONCATENATE("Balance",EJ$3-1),'Withdrawal Working'!$A$2:$CD$78,MATCH('Yoy WAR OG'!$J63,'Withdrawal Working'!$A$2:$A$78,0),FALSE)&gt;0,MIN(HLOOKUP(CONCATENATE("Balance",EJ$3-1),'Withdrawal Working'!$A$2:$CD$78,MATCH('Yoy WAR OG'!$J63,'Withdrawal Working'!$A$2:$A$78,0),0),EF63),0)),IF($K63=VLOOKUP(EF$2,$B:$H,7,0),EF63,)),0)</f>
        <v>0</v>
      </c>
      <c r="EI63" s="58" t="e">
        <f t="shared" ca="1" si="70"/>
        <v>#REF!</v>
      </c>
      <c r="EL63" s="450">
        <f t="shared" ca="1" si="47"/>
        <v>0</v>
      </c>
      <c r="EM63" s="58">
        <f>IF(OR($J63&gt;'NWGC - SCENARIOS'!$D$7,$J63='NWGC - SCENARIOS'!$D$7),0,EM62)</f>
        <v>0</v>
      </c>
      <c r="EN63" s="58">
        <f ca="1">IFERROR(IF($K63&lt;VLOOKUP(EL$2,$B:$H,7,0),IF(EP$3=1,MIN($M63,EL63),IF(HLOOKUP(CONCATENATE("Balance",EP$3-1),'Withdrawal Working'!$A$2:$CD$78,MATCH('Yoy WAR OG'!$J63,'Withdrawal Working'!$A$2:$A$78,0),FALSE)&gt;0,MIN(HLOOKUP(CONCATENATE("Balance",EP$3-1),'Withdrawal Working'!$A$2:$CD$78,MATCH('Yoy WAR OG'!$J63,'Withdrawal Working'!$A$2:$A$78,0),0),EL63),0)),IF($K63=VLOOKUP(EL$2,$B:$H,7,0),EL63,)),0)</f>
        <v>0</v>
      </c>
      <c r="EO63" s="58">
        <f t="shared" ca="1" si="71"/>
        <v>0</v>
      </c>
      <c r="ER63" s="450">
        <f t="shared" ca="1" si="48"/>
        <v>0</v>
      </c>
      <c r="ES63" s="58">
        <f>IF(OR(J63&gt;'NWGC - SCENARIOS'!$D$7,J63='NWGC - SCENARIOS'!$D$7),0,ES62*(1+'NWGC - SCENARIOS'!$L$5))</f>
        <v>0</v>
      </c>
      <c r="ET63" s="58">
        <f ca="1">IFERROR(IF($K63&lt;VLOOKUP(ER$2,$B:$H,7,0),IF(EV$3=1,MIN($M63,ER63),IF(HLOOKUP(CONCATENATE("Balance",EV$3-1),'Withdrawal Working'!$A$2:$CD$78,MATCH('Yoy WAR OG'!$J63,'Withdrawal Working'!$A$2:$A$78,0),FALSE)&gt;0,MIN(HLOOKUP(CONCATENATE("Balance",EV$3-1),'Withdrawal Working'!$A$2:$CD$78,MATCH('Yoy WAR OG'!$J63,'Withdrawal Working'!$A$2:$A$78,0),0),ER63),0)),IF($K63=VLOOKUP(ER$2,$B:$H,7,0),ER63,)),0)</f>
        <v>0</v>
      </c>
      <c r="EU63" s="58">
        <f t="shared" ca="1" si="72"/>
        <v>0</v>
      </c>
      <c r="EX63" s="450">
        <f t="shared" ca="1" si="49"/>
        <v>0</v>
      </c>
      <c r="EY63" s="58">
        <f>IF(OR(J63&gt;'NWGC - SCENARIOS'!$D$7,J63='NWGC - SCENARIOS'!$D$7),0,EY62)</f>
        <v>0</v>
      </c>
      <c r="EZ63" s="58">
        <f ca="1">IFERROR(IF($K63&lt;VLOOKUP(EX$2,$B:$H,7,0),IF(FB$3=1,MIN($M63,EX63),IF(HLOOKUP(CONCATENATE("Balance",FB$3-1),'Withdrawal Working'!$A$2:$CD$78,MATCH('Yoy WAR OG'!$J63,'Withdrawal Working'!$A$2:$A$78,0),FALSE)&gt;0,MIN(HLOOKUP(CONCATENATE("Balance",FB$3-1),'Withdrawal Working'!$A$2:$CD$78,MATCH('Yoy WAR OG'!$J63,'Withdrawal Working'!$A$2:$A$78,0),0),EX63),0)),IF($K63=VLOOKUP(EX$2,$B:$H,7,0),EX63,)),0)</f>
        <v>0</v>
      </c>
      <c r="FA63" s="58">
        <f t="shared" ca="1" si="73"/>
        <v>0</v>
      </c>
    </row>
    <row r="64" spans="10:157" x14ac:dyDescent="0.3">
      <c r="J64">
        <f>IFERROR('NWGC - SCENARIOS'!#REF!,0)</f>
        <v>0</v>
      </c>
      <c r="K64">
        <f>IFERROR('NWGC - SCENARIOS'!#REF!,0)</f>
        <v>0</v>
      </c>
      <c r="L64" s="449" t="e">
        <f>IF(('NWGC - SCENARIOS'!#REF!-working!G62)&gt;'NWGC - SCENARIOS'!#REF!,'NWGC - SCENARIOS'!#REF!-'NWGC - SCENARIOS'!#REF!-working!G62,0)</f>
        <v>#REF!</v>
      </c>
      <c r="M64" s="449" t="e">
        <f>IF(('NWGC - SCENARIOS'!#REF!-working!G62)&gt;'NWGC - SCENARIOS'!#REF!,0,'NWGC - SCENARIOS'!#REF!-'NWGC - SCENARIOS'!#REF!+working!G62)</f>
        <v>#REF!</v>
      </c>
      <c r="N64" s="58" t="e">
        <f t="shared" ca="1" si="50"/>
        <v>#REF!</v>
      </c>
      <c r="O64" s="58" t="e">
        <f t="shared" ca="1" si="51"/>
        <v>#REF!</v>
      </c>
      <c r="P64" s="58" t="e">
        <f t="shared" ca="1" si="74"/>
        <v>#REF!</v>
      </c>
      <c r="Q64" s="58" t="e">
        <f ca="1">(VLOOKUP(P$2,$B$1:$F$32,5,0)*$L64)+(VLOOKUP($K64,'Withdrawal Working'!$AD:$AE,2,0)*(IFERROR(VLOOKUP(P$2,$B$35:$C$42,2,0),0)))</f>
        <v>#REF!</v>
      </c>
      <c r="R64" s="58">
        <f>IFERROR(IF($K64&lt;VLOOKUP(P$2,$B:$H,7,0),IF(T$3=1,MIN($M64,P64),IF(HLOOKUP(CONCATENATE("Balance",T$3-1),'Withdrawal Working'!$A$2:$CD$78,MATCH('Yoy WAR OG'!$J64,'Withdrawal Working'!$A$2:$A$78,0),FALSE)&gt;0,MIN(HLOOKUP(CONCATENATE("Balance",T$3-1),'Withdrawal Working'!$A$2:$CD$78,MATCH('Yoy WAR OG'!$J64,'Withdrawal Working'!$A$2:$A$78,0),0),P64),0)),IF($K64=VLOOKUP(P$2,$B:$H,7,0),P64,)),0)</f>
        <v>0</v>
      </c>
      <c r="S64" s="58" t="e">
        <f t="shared" ca="1" si="75"/>
        <v>#REF!</v>
      </c>
      <c r="T64" s="58"/>
      <c r="V64" s="58" t="e">
        <f t="shared" ca="1" si="27"/>
        <v>#REF!</v>
      </c>
      <c r="W64" s="58" t="e">
        <f ca="1">(VLOOKUP(V$2,$B$1:$F$32,5,0)*$L64)+(VLOOKUP($K64,'Withdrawal Working'!$AD:$AE,2,0)*(IFERROR(VLOOKUP(V$2,$B$35:$C$42,2,0),0)))</f>
        <v>#REF!</v>
      </c>
      <c r="X64" s="58">
        <f>IFERROR(IF($K64&lt;VLOOKUP(V$2,$B:$H,7,0),IF(Z$3=1,MIN($M64,V64),IF(HLOOKUP(CONCATENATE("Balance",Z$3-1),'Withdrawal Working'!$A$2:$CD$78,MATCH('Yoy WAR OG'!$J64,'Withdrawal Working'!$A$2:$A$78,0),FALSE)&gt;0,MIN(HLOOKUP(CONCATENATE("Balance",Z$3-1),'Withdrawal Working'!$A$2:$CD$78,MATCH('Yoy WAR OG'!$J64,'Withdrawal Working'!$A$2:$A$78,0),0),V64),0)),IF($K64=VLOOKUP(V$2,$B:$H,7,0),V64,)),0)</f>
        <v>0</v>
      </c>
      <c r="Y64" s="58" t="e">
        <f t="shared" ca="1" si="52"/>
        <v>#REF!</v>
      </c>
      <c r="AB64" s="58" t="e">
        <f t="shared" ca="1" si="28"/>
        <v>#REF!</v>
      </c>
      <c r="AC64" s="58" t="e">
        <f ca="1">(VLOOKUP(AB$2,$B$1:$F$32,5,0)*$L64)+(VLOOKUP($K64,'Withdrawal Working'!$AD:$AE,2,0)*(IFERROR(VLOOKUP(AB$2,$B$35:$C$42,2,0),0)))</f>
        <v>#REF!</v>
      </c>
      <c r="AE64" s="58" t="e">
        <f t="shared" ca="1" si="53"/>
        <v>#REF!</v>
      </c>
      <c r="AH64" s="58" t="e">
        <f t="shared" ca="1" si="29"/>
        <v>#REF!</v>
      </c>
      <c r="AI64" s="58" t="e">
        <f ca="1">(VLOOKUP(AH$2,$B$1:$F$32,5,0)*$L64)+IF(J64&gt;'NWGC - SCENARIOS'!$D$7,0,(VLOOKUP($K64,'Withdrawal Working'!$AD:$AE,2,0)*(IFERROR(VLOOKUP(AH$2,$B$35:$C$42,2,0),0))))</f>
        <v>#REF!</v>
      </c>
      <c r="AJ64" s="58">
        <f ca="1">IFERROR(IF($J64&gt;'NWGC - SCENARIOS'!$D$7,MIN('Yoy WAR OG'!AH64,VLOOKUP('Yoy WAR OG'!$J64,'Withdrawal Working'!BC:BD,2,0)),IF(AL$3=1,$M64,IF(HLOOKUP(CONCATENATE("Balance",AL$3-1),'Withdrawal Working'!$A$2:$CD$78,MATCH('Yoy WAR OG'!$J64,'Withdrawal Working'!$A$2:$A$78,0),FALSE)&gt;0,MIN(HLOOKUP(CONCATENATE("Balance",AL$3-1),'Withdrawal Working'!$A$2:$CD$78,MATCH('Yoy WAR OG'!$J64,'Withdrawal Working'!$A$2:$A$78,0),0),AH64),0))),0)</f>
        <v>0</v>
      </c>
      <c r="AK64" s="58" t="e">
        <f t="shared" ca="1" si="54"/>
        <v>#REF!</v>
      </c>
      <c r="AN64" s="450" t="e">
        <f t="shared" ca="1" si="30"/>
        <v>#REF!</v>
      </c>
      <c r="AO64" s="58" t="e">
        <f ca="1">IF(J64&gt;'NWGC - SCENARIOS'!$D$7,(IF(AJ64=0,0,'Yoy WAR OG'!AJ64)+(VLOOKUP(AN$2,$B$1:$F$32,5,0)*$L64)),(VLOOKUP(AN$2,$B$1:$F$32,5,0)*$L64)+(VLOOKUP($K64,'Withdrawal Working'!$AD:$AE,2,0)*(IFERROR(VLOOKUP(AN$2,$B$35:$C$42,2,0),0))))</f>
        <v>#REF!</v>
      </c>
      <c r="AP64" s="470">
        <f ca="1">IFERROR(IF($K64&lt;&gt;VLOOKUP(AN$2,$B:$H,7,0),IF(AR$3=1,MIN($M64,AN64),IF(HLOOKUP(CONCATENATE("Balance",AR$3-1),'Withdrawal Working'!$A$2:$CD$78,MATCH('Yoy WAR OG'!$J64,'Withdrawal Working'!$A$2:$A$78,0),FALSE)&gt;0,MIN(HLOOKUP(CONCATENATE("Balance",AR$3-1),'Withdrawal Working'!$A$2:$CD$78,MATCH('Yoy WAR OG'!$J64,'Withdrawal Working'!$A$2:$A$78,0),0),AN64),0)),IF($K64=VLOOKUP(AN$2,$B:$H,7,0),AN64,)),0)</f>
        <v>0</v>
      </c>
      <c r="AQ64" s="58" t="e">
        <f ca="1">IF(AO64&lt;0,0,IF(J64&gt;'NWGC - SCENARIOS'!$D$7,((AN64-AP64+AO64)*(1+(IFERROR(VLOOKUP(AN$2,$B:$D,3,0),0)))),((AN64-AP64)*(1+(IFERROR(VLOOKUP(AN$2,$B:$D,3,0),0))))+AO64))</f>
        <v>#REF!</v>
      </c>
      <c r="AT64" s="450" t="e">
        <f t="shared" ca="1" si="31"/>
        <v>#REF!</v>
      </c>
      <c r="AU64" s="58" t="e">
        <f ca="1">(VLOOKUP(AT$2,$B$1:$F$32,5,0)*$L64)+(VLOOKUP($K64,'Withdrawal Working'!$AD:$AE,2,0)*(IFERROR(VLOOKUP(AT$2,$B$35:$C$42,2,0),0)))</f>
        <v>#REF!</v>
      </c>
      <c r="AV64" s="58">
        <f>IFERROR(IF($K64&lt;VLOOKUP(AT$2,$B:$H,7,0),IF(AX$3=1,MIN($M64,AT64),IF(HLOOKUP(CONCATENATE("Balance",AX$3-1),'Withdrawal Working'!$A$2:$CD$78,MATCH('Yoy WAR OG'!$J64,'Withdrawal Working'!$A$2:$A$78,0),FALSE)&gt;0,MIN(HLOOKUP(CONCATENATE("Balance",AX$3-1),'Withdrawal Working'!$A$2:$CD$78,MATCH('Yoy WAR OG'!$J64,'Withdrawal Working'!$A$2:$A$78,0),0),AT64),0)),IF($K64=VLOOKUP(AT$2,$B:$H,7,0),AT64,)),0)</f>
        <v>0</v>
      </c>
      <c r="AW64" s="58" t="e">
        <f t="shared" ca="1" si="55"/>
        <v>#REF!</v>
      </c>
      <c r="AZ64" s="450" t="e">
        <f t="shared" ca="1" si="32"/>
        <v>#REF!</v>
      </c>
      <c r="BA64" s="58" t="e">
        <f ca="1">(VLOOKUP(AZ$2,$B$1:$F$32,5,0)*$L64)+(VLOOKUP($K64,'Withdrawal Working'!$AD:$AE,2,0)*(IFERROR(VLOOKUP(AZ$2,$B$35:$C$42,2,0),0)))</f>
        <v>#REF!</v>
      </c>
      <c r="BB64" s="58">
        <f ca="1">IFERROR(IF($K64&lt;VLOOKUP(AZ$2,$B:$H,7,0),IF(BD$3=1,MIN($M64,AZ64),IF(HLOOKUP(CONCATENATE("Balance",BD$3-1),'Withdrawal Working'!$A$2:$CD$78,MATCH('Yoy WAR OG'!$J64,'Withdrawal Working'!$A$2:$A$78,0),FALSE)&gt;0,MIN(HLOOKUP(CONCATENATE("Balance",BD$3-1),'Withdrawal Working'!$A$2:$CD$78,MATCH('Yoy WAR OG'!$J64,'Withdrawal Working'!$A$2:$A$78,0),0),AZ64),0)),IF($K64=VLOOKUP(AZ$2,$B:$H,7,0),AZ64,)),0)</f>
        <v>0</v>
      </c>
      <c r="BC64" s="58" t="e">
        <f t="shared" ca="1" si="56"/>
        <v>#REF!</v>
      </c>
      <c r="BF64" s="450" t="e">
        <f t="shared" ca="1" si="33"/>
        <v>#REF!</v>
      </c>
      <c r="BG64" s="58" t="e">
        <f ca="1">(VLOOKUP(BF$2,$B$1:$F$32,5,0)*$L64)+(VLOOKUP($K64,'Withdrawal Working'!$AD:$AE,2,0)*(IFERROR(VLOOKUP(BF$2,$B$35:$C$42,2,0),0)))</f>
        <v>#REF!</v>
      </c>
      <c r="BH64" s="58">
        <f>IFERROR(IF($K64&lt;VLOOKUP(BF$2,$B:$H,7,0),IF(BJ$3=1,MIN($M64,BF64),IF(HLOOKUP(CONCATENATE("Balance",BJ$3-1),'Withdrawal Working'!$A$2:$CD$78,MATCH('Yoy WAR OG'!$J64,'Withdrawal Working'!$A$2:$A$78,0),FALSE)&gt;0,MIN(HLOOKUP(CONCATENATE("Balance",BJ$3-1),'Withdrawal Working'!$A$2:$CD$78,MATCH('Yoy WAR OG'!$J64,'Withdrawal Working'!$A$2:$A$78,0),0),BF64),0)),IF($K64=VLOOKUP(BF$2,$B:$H,7,0),BF64,)),0)</f>
        <v>0</v>
      </c>
      <c r="BI64" s="58" t="e">
        <f t="shared" ca="1" si="57"/>
        <v>#REF!</v>
      </c>
      <c r="BL64" s="450" t="e">
        <f t="shared" ca="1" si="34"/>
        <v>#REF!</v>
      </c>
      <c r="BM64" s="58" t="e">
        <f ca="1">(VLOOKUP(BL$2,$B$1:$F$32,5,0)*$L64)+(VLOOKUP($K64,'Withdrawal Working'!$AD:$AE,2,0)*(IFERROR(VLOOKUP(BL$2,$B$35:$C$42,2,0),0)))</f>
        <v>#REF!</v>
      </c>
      <c r="BN64" s="58">
        <f ca="1">IFERROR(IF($K64&lt;VLOOKUP(BL$2,$B:$H,7,0),IF(BP$3=1,MIN($M64,BL64),IF(HLOOKUP(CONCATENATE("Balance",BP$3-1),'Withdrawal Working'!$A$2:$CD$78,MATCH('Yoy WAR OG'!$J64,'Withdrawal Working'!$A$2:$A$78,0),FALSE)&gt;0,MIN(HLOOKUP(CONCATENATE("Balance",BP$3-1),'Withdrawal Working'!$A$2:$CD$78,MATCH('Yoy WAR OG'!$J64,'Withdrawal Working'!$A$2:$A$78,0),0),BL64),0)),IF($K64=VLOOKUP(BL$2,$B:$H,7,0),BL64,)),0)</f>
        <v>0</v>
      </c>
      <c r="BO64" s="58" t="e">
        <f t="shared" ca="1" si="58"/>
        <v>#REF!</v>
      </c>
      <c r="BR64" s="450" t="e">
        <f t="shared" ca="1" si="35"/>
        <v>#REF!</v>
      </c>
      <c r="BS64" s="58" t="e">
        <f ca="1">(VLOOKUP(BR$2,$B$1:$F$32,5,0)*$L64)+(VLOOKUP($K64,'Withdrawal Working'!$AD:$AE,2,0)*(IFERROR(VLOOKUP(BR$2,$B$35:$C$42,2,0),0)))</f>
        <v>#REF!</v>
      </c>
      <c r="BT64" s="58">
        <f ca="1">IFERROR(IF($K64&lt;VLOOKUP(BR$2,$B:$H,7,0),IF(BV$3=1,MIN($M64,BR64),IF(HLOOKUP(CONCATENATE("Balance",BV$3-1),'Withdrawal Working'!$A$2:$CD$78,MATCH('Yoy WAR OG'!$J64,'Withdrawal Working'!$A$2:$A$78,0),FALSE)&gt;0,MIN(HLOOKUP(CONCATENATE("Balance",BV$3-1),'Withdrawal Working'!$A$2:$CD$78,MATCH('Yoy WAR OG'!$J64,'Withdrawal Working'!$A$2:$A$78,0),0),BR64),0)),IF($K64=VLOOKUP(BR$2,$B:$H,7,0),BR64,)),0)</f>
        <v>0</v>
      </c>
      <c r="BU64" s="58" t="e">
        <f t="shared" ca="1" si="59"/>
        <v>#REF!</v>
      </c>
      <c r="BX64" s="450" t="e">
        <f t="shared" ca="1" si="36"/>
        <v>#REF!</v>
      </c>
      <c r="BY64" s="58" t="e">
        <f ca="1">(VLOOKUP(BX$2,$B$1:$F$32,5,0)*$L64)+(VLOOKUP($K64,'Withdrawal Working'!$AD:$AE,2,0)*(IFERROR(VLOOKUP(BX$2,$B$35:$C$42,2,0),0)))</f>
        <v>#REF!</v>
      </c>
      <c r="BZ64" s="58">
        <f ca="1">IFERROR(IF($K64&lt;VLOOKUP(BX$2,$B:$H,7,0),IF(CB$3=1,MIN($M64,BX64),IF(HLOOKUP(CONCATENATE("Balance",CB$3-1),'Withdrawal Working'!$A$2:$CD$78,MATCH('Yoy WAR OG'!$J64,'Withdrawal Working'!$A$2:$A$78,0),FALSE)&gt;0,MIN(HLOOKUP(CONCATENATE("Balance",CB$3-1),'Withdrawal Working'!$A$2:$CD$78,MATCH('Yoy WAR OG'!$J64,'Withdrawal Working'!$A$2:$A$78,0),0),BX64),0)),IF($K64=VLOOKUP(BX$2,$B:$H,7,0),BX64,)),0)</f>
        <v>0</v>
      </c>
      <c r="CA64" s="58" t="e">
        <f t="shared" ca="1" si="60"/>
        <v>#REF!</v>
      </c>
      <c r="CD64" s="450" t="e">
        <f t="shared" ca="1" si="37"/>
        <v>#REF!</v>
      </c>
      <c r="CE64" s="58" t="e">
        <f ca="1">(VLOOKUP(CD$2,$B$1:$F$32,5,0)*$L64)+(VLOOKUP($K64,'Withdrawal Working'!$AD:$AE,2,0)*(IFERROR(VLOOKUP(CD$2,$B$35:$C$42,2,0),0)))+SUMIFS('Key Life Events'!$I$3:$I$28,'Key Life Events'!$H$3:$H$28,"House",'Key Life Events'!$E$3:$E$28,'Yoy WAR OG'!K64)</f>
        <v>#REF!</v>
      </c>
      <c r="CF64" s="58">
        <f ca="1">IFERROR(IF($K64&lt;VLOOKUP(CD$2,$B:$H,7,0),IF(CH$3=1,MIN($M64,CD64),IF(HLOOKUP(CONCATENATE("Balance",CH$3-1),'Withdrawal Working'!$A$2:$CD$78,MATCH('Yoy WAR OG'!$J64,'Withdrawal Working'!$A$2:$A$78,0),FALSE)&gt;0,MIN(HLOOKUP(CONCATENATE("Balance",CH$3-1),'Withdrawal Working'!$A$2:$CD$78,MATCH('Yoy WAR OG'!$J64,'Withdrawal Working'!$A$2:$A$78,0),0),CD64),0)),IF($K64=VLOOKUP(CD$2,$B:$H,7,0),CD64,)),0)</f>
        <v>0</v>
      </c>
      <c r="CG64" s="58" t="e">
        <f t="shared" ca="1" si="61"/>
        <v>#REF!</v>
      </c>
      <c r="CJ64" s="450" t="e">
        <f t="shared" ca="1" si="38"/>
        <v>#REF!</v>
      </c>
      <c r="CK64" s="58" t="e">
        <f ca="1">(VLOOKUP(CJ$2,$B$1:$F$32,5,0)*$L64)+(VLOOKUP($K64,'Withdrawal Working'!$AD:$AE,2,0)*(IFERROR(VLOOKUP(CJ$2,$B$35:$C$42,2,0),0)))+SUMIFS('Key Life Events'!$I$3:$I$28,'Key Life Events'!$H$3:$H$28,"House2",'Key Life Events'!$E$3:$E$28,'Yoy WAR OG'!K64)</f>
        <v>#REF!</v>
      </c>
      <c r="CL64" s="58">
        <f ca="1">IF(IFERROR(IF($K64&lt;&gt;VLOOKUP(CJ$2,$B:$H,7,0),IF(CN$3=1,MIN($M64,CJ64),IF(HLOOKUP(CONCATENATE("Balance",CN$3-1),'Withdrawal Working'!$A$2:$CD$78,MATCH('Yoy WAR OG'!$J64,'Withdrawal Working'!$A$2:$A$78,0),FALSE)&gt;0,MIN(HLOOKUP(CONCATENATE("Balance",CN$3-1),'Withdrawal Working'!$A$2:$CD$78,MATCH('Yoy WAR OG'!$J64,'Withdrawal Working'!$A$2:$A$78,0),0),CJ64),0)),IF($K64=VLOOKUP(CJ$2,$B:$H,7,0),CJ64,)),0)&gt;0,CJ64,0)</f>
        <v>0</v>
      </c>
      <c r="CM64" s="58" t="e">
        <f t="shared" ca="1" si="62"/>
        <v>#REF!</v>
      </c>
      <c r="CP64" s="450" t="e">
        <f t="shared" ca="1" si="39"/>
        <v>#REF!</v>
      </c>
      <c r="CQ64" s="58" t="e">
        <f ca="1">(VLOOKUP(CP$2,$B$1:$F$32,5,0)*$L64)+(VLOOKUP($K64,'Withdrawal Working'!$AD:$AE,2,0)*(IFERROR(VLOOKUP(CP$2,$B$35:$C$42,2,0),0)))+SUMIFS('Key Life Events'!$I$3:$I$28,'Key Life Events'!$H$3:$H$28,"Land",'Key Life Events'!$E$3:$E$28,'Yoy WAR OG'!K64)</f>
        <v>#REF!</v>
      </c>
      <c r="CR64" s="58">
        <f ca="1">IFERROR(IF($K64&lt;VLOOKUP(CP$2,$B:$H,7,0),IF(CT$3=1,MIN($M64,CP64),IF(HLOOKUP(CONCATENATE("Balance",CT$3-1),'Withdrawal Working'!$A$2:$CD$78,MATCH('Yoy WAR OG'!$J64,'Withdrawal Working'!$A$2:$A$78,0),FALSE)&gt;0,MIN(HLOOKUP(CONCATENATE("Balance",CT$3-1),'Withdrawal Working'!$A$2:$CD$78,MATCH('Yoy WAR OG'!$J64,'Withdrawal Working'!$A$2:$A$78,0),0),CP64),0)),IF($K64=VLOOKUP(CP$2,$B:$H,7,0),CP64,)),0)</f>
        <v>0</v>
      </c>
      <c r="CS64" s="58" t="e">
        <f t="shared" ca="1" si="63"/>
        <v>#REF!</v>
      </c>
      <c r="CV64" s="450">
        <f t="shared" ca="1" si="40"/>
        <v>0</v>
      </c>
      <c r="CW64" s="58"/>
      <c r="CX64" s="58">
        <f ca="1">IFERROR(IF($K64&lt;VLOOKUP(CV$2,$B:$H,7,0),IF(CZ$3=1,MIN($M64,CV64),IF(HLOOKUP(CONCATENATE("Balance",CZ$3-1),'Withdrawal Working'!$A$2:$CD$78,MATCH('Yoy WAR OG'!$J64,'Withdrawal Working'!$A$2:$A$78,0),FALSE)&gt;0,MIN(HLOOKUP(CONCATENATE("Balance",CZ$3-1),'Withdrawal Working'!$A$2:$CD$78,MATCH('Yoy WAR OG'!$J64,'Withdrawal Working'!$A$2:$A$78,0),0),CV64),0)),IF($K64=VLOOKUP(CV$2,$B:$H,7,0),CV64,)),0)</f>
        <v>0</v>
      </c>
      <c r="CY64" s="58">
        <f t="shared" ca="1" si="64"/>
        <v>0</v>
      </c>
      <c r="DB64" s="450" t="e">
        <f t="shared" ca="1" si="41"/>
        <v>#REF!</v>
      </c>
      <c r="DC64" s="58" t="e">
        <f ca="1">(VLOOKUP(DB$2,$B$1:$F$32,5,0)*$L64)+(VLOOKUP($K64,'Withdrawal Working'!$AD:$AE,2,0)*(IFERROR(VLOOKUP(DB$2,$B$35:$C$42,2,0),0)))</f>
        <v>#REF!</v>
      </c>
      <c r="DD64" s="58">
        <f ca="1">IFERROR(IF($K64&lt;VLOOKUP(DB$2,$B:$H,7,0),IF(DF$3=1,MIN($M64,DB64),IF(HLOOKUP(CONCATENATE("Balance",DF$3-1),'Withdrawal Working'!$A$2:$CD$78,MATCH('Yoy WAR OG'!$J64,'Withdrawal Working'!$A$2:$A$78,0),FALSE)&gt;0,MIN(HLOOKUP(CONCATENATE("Balance",DF$3-1),'Withdrawal Working'!$A$2:$CD$78,MATCH('Yoy WAR OG'!$J64,'Withdrawal Working'!$A$2:$A$78,0),0),DB64),0)),IF($K64=VLOOKUP(DB$2,$B:$H,7,0),DB64,)),0)</f>
        <v>0</v>
      </c>
      <c r="DE64" s="58" t="e">
        <f t="shared" ca="1" si="65"/>
        <v>#REF!</v>
      </c>
      <c r="DH64" s="450">
        <f t="shared" ca="1" si="42"/>
        <v>0</v>
      </c>
      <c r="DI64" s="58">
        <f>IF(OR(J64&gt;'NWGC - SCENARIOS'!$D$7,J64='NWGC - SCENARIOS'!$D$7),0,DI63*(1+'NWGC - SCENARIOS'!$L$5))</f>
        <v>0</v>
      </c>
      <c r="DJ64" s="58">
        <f ca="1">IFERROR(IF($K64&lt;VLOOKUP(DH$2,$B:$H,7,0),IF(DL$3=1,MIN($M64,DH64),IF(HLOOKUP(CONCATENATE("Balance",DL$3-1),'Withdrawal Working'!$A$2:$CD$78,MATCH('Yoy WAR OG'!$J64,'Withdrawal Working'!$A$2:$A$78,0),FALSE)&gt;0,MIN(HLOOKUP(CONCATENATE("Balance",DL$3-1),'Withdrawal Working'!$A$2:$CD$78,MATCH('Yoy WAR OG'!$J64,'Withdrawal Working'!$A$2:$A$78,0),0),DH64),0)),IF($K64=VLOOKUP(DH$2,$B:$H,7,0),DH64,)),0)</f>
        <v>0</v>
      </c>
      <c r="DK64" s="58">
        <f t="shared" ca="1" si="66"/>
        <v>0</v>
      </c>
      <c r="DN64" s="450" t="e">
        <f t="shared" ca="1" si="43"/>
        <v>#REF!</v>
      </c>
      <c r="DO64" s="58" t="e">
        <f ca="1">(VLOOKUP(DN$2,$B$1:$F$32,5,0)*$L64)+(VLOOKUP($K64,'Withdrawal Working'!$AD:$AE,2,0)*(IFERROR(VLOOKUP(DN$2,$B$35:$C$42,2,0),0)))</f>
        <v>#REF!</v>
      </c>
      <c r="DP64" s="58">
        <f ca="1">IFERROR(IF($K64&lt;VLOOKUP(DN$2,$B:$H,7,0),IF(DR$3=1,MIN($M64,DN64),IF(HLOOKUP(CONCATENATE("Balance",DR$3-1),'Withdrawal Working'!$A$2:$CD$78,MATCH('Yoy WAR OG'!$J64,'Withdrawal Working'!$A$2:$A$78,0),FALSE)&gt;0,MIN(HLOOKUP(CONCATENATE("Balance",DR$3-1),'Withdrawal Working'!$A$2:$CD$78,MATCH('Yoy WAR OG'!$J64,'Withdrawal Working'!$A$2:$A$78,0),0),DN64),0)),IF($K64=VLOOKUP(DN$2,$B:$H,7,0),DN64,)),0)</f>
        <v>0</v>
      </c>
      <c r="DQ64" s="58" t="e">
        <f t="shared" ca="1" si="67"/>
        <v>#REF!</v>
      </c>
      <c r="DT64" s="450" t="e">
        <f t="shared" ca="1" si="44"/>
        <v>#REF!</v>
      </c>
      <c r="DU64" s="58" t="e">
        <f ca="1">(VLOOKUP(DT$2,$B$1:$F$32,5,0)*$L64)+(VLOOKUP($K64,'Withdrawal Working'!$AD:$AE,2,0)*(IFERROR(VLOOKUP(DT$2,$B$35:$C$42,2,0),0)))</f>
        <v>#REF!</v>
      </c>
      <c r="DV64" s="58">
        <f ca="1">IFERROR(IF($K64&lt;VLOOKUP(DT$2,$B:$H,7,0),IF(DX$3=1,MIN($M64,DT64),IF(HLOOKUP(CONCATENATE("Balance",DX$3-1),'Withdrawal Working'!$A$2:$CD$78,MATCH('Yoy WAR OG'!$J64,'Withdrawal Working'!$A$2:$A$78,0),FALSE)&gt;0,MIN(HLOOKUP(CONCATENATE("Balance",DX$3-1),'Withdrawal Working'!$A$2:$CD$78,MATCH('Yoy WAR OG'!$J64,'Withdrawal Working'!$A$2:$A$78,0),0),DT64),0)),IF($K64=VLOOKUP(DT$2,$B:$H,7,0),DT64,)),0)</f>
        <v>0</v>
      </c>
      <c r="DW64" s="58" t="e">
        <f t="shared" ca="1" si="68"/>
        <v>#REF!</v>
      </c>
      <c r="DZ64" s="450" t="e">
        <f t="shared" ca="1" si="45"/>
        <v>#REF!</v>
      </c>
      <c r="EA64" s="58" t="e">
        <f ca="1">(VLOOKUP(DZ$2,$B$1:$F$32,5,0)*$L64)+(VLOOKUP($K64,'Withdrawal Working'!$AD:$AE,2,0)*(IFERROR(VLOOKUP(DZ$2,$B$35:$C$42,2,0),0)))</f>
        <v>#REF!</v>
      </c>
      <c r="EB64" s="58">
        <f ca="1">IFERROR(IF($K64&lt;VLOOKUP(DZ$2,$B:$H,7,0),IF(ED$3=1,MIN($M64,DZ64),IF(HLOOKUP(CONCATENATE("Balance",ED$3-1),'Withdrawal Working'!$A$2:$CD$78,MATCH('Yoy WAR OG'!$J64,'Withdrawal Working'!$A$2:$A$78,0),FALSE)&gt;0,MIN(HLOOKUP(CONCATENATE("Balance",ED$3-1),'Withdrawal Working'!$A$2:$CD$78,MATCH('Yoy WAR OG'!$J64,'Withdrawal Working'!$A$2:$A$78,0),0),DZ64),0)),IF($K64=VLOOKUP(DZ$2,$B:$H,7,0),DZ64,)),0)</f>
        <v>0</v>
      </c>
      <c r="EC64" s="58" t="e">
        <f t="shared" ca="1" si="69"/>
        <v>#REF!</v>
      </c>
      <c r="EF64" s="450" t="e">
        <f t="shared" ca="1" si="46"/>
        <v>#REF!</v>
      </c>
      <c r="EG64" s="58" t="e">
        <f ca="1">(VLOOKUP(EF$2,$B$1:$F$32,5,0)*$L64)+(VLOOKUP($K64,'Withdrawal Working'!$AD:$AE,2,0)*(IFERROR(VLOOKUP(EF$2,$B$35:$C$42,2,0),0)))</f>
        <v>#REF!</v>
      </c>
      <c r="EH64" s="58">
        <f ca="1">IFERROR(IF($K64&lt;VLOOKUP(EF$2,$B:$H,7,0),IF(EJ$3=1,MIN($M64,EF64),IF(HLOOKUP(CONCATENATE("Balance",EJ$3-1),'Withdrawal Working'!$A$2:$CD$78,MATCH('Yoy WAR OG'!$J64,'Withdrawal Working'!$A$2:$A$78,0),FALSE)&gt;0,MIN(HLOOKUP(CONCATENATE("Balance",EJ$3-1),'Withdrawal Working'!$A$2:$CD$78,MATCH('Yoy WAR OG'!$J64,'Withdrawal Working'!$A$2:$A$78,0),0),EF64),0)),IF($K64=VLOOKUP(EF$2,$B:$H,7,0),EF64,)),0)</f>
        <v>0</v>
      </c>
      <c r="EI64" s="58" t="e">
        <f t="shared" ca="1" si="70"/>
        <v>#REF!</v>
      </c>
      <c r="EL64" s="450">
        <f t="shared" ca="1" si="47"/>
        <v>0</v>
      </c>
      <c r="EM64" s="58">
        <f>IF(OR($J64&gt;'NWGC - SCENARIOS'!$D$7,$J64='NWGC - SCENARIOS'!$D$7),0,EM63)</f>
        <v>0</v>
      </c>
      <c r="EN64" s="58">
        <f ca="1">IFERROR(IF($K64&lt;VLOOKUP(EL$2,$B:$H,7,0),IF(EP$3=1,MIN($M64,EL64),IF(HLOOKUP(CONCATENATE("Balance",EP$3-1),'Withdrawal Working'!$A$2:$CD$78,MATCH('Yoy WAR OG'!$J64,'Withdrawal Working'!$A$2:$A$78,0),FALSE)&gt;0,MIN(HLOOKUP(CONCATENATE("Balance",EP$3-1),'Withdrawal Working'!$A$2:$CD$78,MATCH('Yoy WAR OG'!$J64,'Withdrawal Working'!$A$2:$A$78,0),0),EL64),0)),IF($K64=VLOOKUP(EL$2,$B:$H,7,0),EL64,)),0)</f>
        <v>0</v>
      </c>
      <c r="EO64" s="58">
        <f t="shared" ca="1" si="71"/>
        <v>0</v>
      </c>
      <c r="ER64" s="450">
        <f t="shared" ca="1" si="48"/>
        <v>0</v>
      </c>
      <c r="ES64" s="58">
        <f>IF(OR(J64&gt;'NWGC - SCENARIOS'!$D$7,J64='NWGC - SCENARIOS'!$D$7),0,ES63*(1+'NWGC - SCENARIOS'!$L$5))</f>
        <v>0</v>
      </c>
      <c r="ET64" s="58">
        <f ca="1">IFERROR(IF($K64&lt;VLOOKUP(ER$2,$B:$H,7,0),IF(EV$3=1,MIN($M64,ER64),IF(HLOOKUP(CONCATENATE("Balance",EV$3-1),'Withdrawal Working'!$A$2:$CD$78,MATCH('Yoy WAR OG'!$J64,'Withdrawal Working'!$A$2:$A$78,0),FALSE)&gt;0,MIN(HLOOKUP(CONCATENATE("Balance",EV$3-1),'Withdrawal Working'!$A$2:$CD$78,MATCH('Yoy WAR OG'!$J64,'Withdrawal Working'!$A$2:$A$78,0),0),ER64),0)),IF($K64=VLOOKUP(ER$2,$B:$H,7,0),ER64,)),0)</f>
        <v>0</v>
      </c>
      <c r="EU64" s="58">
        <f t="shared" ca="1" si="72"/>
        <v>0</v>
      </c>
      <c r="EX64" s="450">
        <f t="shared" ca="1" si="49"/>
        <v>0</v>
      </c>
      <c r="EY64" s="58">
        <f>IF(OR(J64&gt;'NWGC - SCENARIOS'!$D$7,J64='NWGC - SCENARIOS'!$D$7),0,EY63)</f>
        <v>0</v>
      </c>
      <c r="EZ64" s="58">
        <f ca="1">IFERROR(IF($K64&lt;VLOOKUP(EX$2,$B:$H,7,0),IF(FB$3=1,MIN($M64,EX64),IF(HLOOKUP(CONCATENATE("Balance",FB$3-1),'Withdrawal Working'!$A$2:$CD$78,MATCH('Yoy WAR OG'!$J64,'Withdrawal Working'!$A$2:$A$78,0),FALSE)&gt;0,MIN(HLOOKUP(CONCATENATE("Balance",FB$3-1),'Withdrawal Working'!$A$2:$CD$78,MATCH('Yoy WAR OG'!$J64,'Withdrawal Working'!$A$2:$A$78,0),0),EX64),0)),IF($K64=VLOOKUP(EX$2,$B:$H,7,0),EX64,)),0)</f>
        <v>0</v>
      </c>
      <c r="FA64" s="58">
        <f t="shared" ca="1" si="73"/>
        <v>0</v>
      </c>
    </row>
    <row r="65" spans="10:157" x14ac:dyDescent="0.3">
      <c r="J65">
        <f>IFERROR('NWGC - SCENARIOS'!#REF!,0)</f>
        <v>0</v>
      </c>
      <c r="K65">
        <f>IFERROR('NWGC - SCENARIOS'!#REF!,0)</f>
        <v>0</v>
      </c>
      <c r="L65" s="449" t="e">
        <f>IF(('NWGC - SCENARIOS'!#REF!-working!G63)&gt;'NWGC - SCENARIOS'!#REF!,'NWGC - SCENARIOS'!#REF!-'NWGC - SCENARIOS'!#REF!-working!G63,0)</f>
        <v>#REF!</v>
      </c>
      <c r="M65" s="449" t="e">
        <f>IF(('NWGC - SCENARIOS'!#REF!-working!G63)&gt;'NWGC - SCENARIOS'!#REF!,0,'NWGC - SCENARIOS'!#REF!-'NWGC - SCENARIOS'!#REF!+working!G63)</f>
        <v>#REF!</v>
      </c>
      <c r="N65" s="58" t="e">
        <f t="shared" ca="1" si="50"/>
        <v>#REF!</v>
      </c>
      <c r="O65" s="58" t="e">
        <f t="shared" ca="1" si="51"/>
        <v>#REF!</v>
      </c>
      <c r="P65" s="58" t="e">
        <f t="shared" ca="1" si="74"/>
        <v>#REF!</v>
      </c>
      <c r="Q65" s="58" t="e">
        <f ca="1">(VLOOKUP(P$2,$B$1:$F$32,5,0)*$L65)+(VLOOKUP($K65,'Withdrawal Working'!$AD:$AE,2,0)*(IFERROR(VLOOKUP(P$2,$B$35:$C$42,2,0),0)))</f>
        <v>#REF!</v>
      </c>
      <c r="R65" s="58">
        <f>IFERROR(IF($K65&lt;VLOOKUP(P$2,$B:$H,7,0),IF(T$3=1,MIN($M65,P65),IF(HLOOKUP(CONCATENATE("Balance",T$3-1),'Withdrawal Working'!$A$2:$CD$78,MATCH('Yoy WAR OG'!$J65,'Withdrawal Working'!$A$2:$A$78,0),FALSE)&gt;0,MIN(HLOOKUP(CONCATENATE("Balance",T$3-1),'Withdrawal Working'!$A$2:$CD$78,MATCH('Yoy WAR OG'!$J65,'Withdrawal Working'!$A$2:$A$78,0),0),P65),0)),IF($K65=VLOOKUP(P$2,$B:$H,7,0),P65,)),0)</f>
        <v>0</v>
      </c>
      <c r="S65" s="58" t="e">
        <f t="shared" ca="1" si="75"/>
        <v>#REF!</v>
      </c>
      <c r="T65" s="58"/>
      <c r="V65" s="58" t="e">
        <f t="shared" ca="1" si="27"/>
        <v>#REF!</v>
      </c>
      <c r="W65" s="58" t="e">
        <f ca="1">(VLOOKUP(V$2,$B$1:$F$32,5,0)*$L65)+(VLOOKUP($K65,'Withdrawal Working'!$AD:$AE,2,0)*(IFERROR(VLOOKUP(V$2,$B$35:$C$42,2,0),0)))</f>
        <v>#REF!</v>
      </c>
      <c r="X65" s="58">
        <f>IFERROR(IF($K65&lt;VLOOKUP(V$2,$B:$H,7,0),IF(Z$3=1,MIN($M65,V65),IF(HLOOKUP(CONCATENATE("Balance",Z$3-1),'Withdrawal Working'!$A$2:$CD$78,MATCH('Yoy WAR OG'!$J65,'Withdrawal Working'!$A$2:$A$78,0),FALSE)&gt;0,MIN(HLOOKUP(CONCATENATE("Balance",Z$3-1),'Withdrawal Working'!$A$2:$CD$78,MATCH('Yoy WAR OG'!$J65,'Withdrawal Working'!$A$2:$A$78,0),0),V65),0)),IF($K65=VLOOKUP(V$2,$B:$H,7,0),V65,)),0)</f>
        <v>0</v>
      </c>
      <c r="Y65" s="58" t="e">
        <f t="shared" ca="1" si="52"/>
        <v>#REF!</v>
      </c>
      <c r="AB65" s="58" t="e">
        <f t="shared" ca="1" si="28"/>
        <v>#REF!</v>
      </c>
      <c r="AC65" s="58" t="e">
        <f ca="1">(VLOOKUP(AB$2,$B$1:$F$32,5,0)*$L65)+(VLOOKUP($K65,'Withdrawal Working'!$AD:$AE,2,0)*(IFERROR(VLOOKUP(AB$2,$B$35:$C$42,2,0),0)))</f>
        <v>#REF!</v>
      </c>
      <c r="AE65" s="58" t="e">
        <f t="shared" ca="1" si="53"/>
        <v>#REF!</v>
      </c>
      <c r="AH65" s="58" t="e">
        <f t="shared" ca="1" si="29"/>
        <v>#REF!</v>
      </c>
      <c r="AI65" s="58" t="e">
        <f ca="1">(VLOOKUP(AH$2,$B$1:$F$32,5,0)*$L65)+IF(J65&gt;'NWGC - SCENARIOS'!$D$7,0,(VLOOKUP($K65,'Withdrawal Working'!$AD:$AE,2,0)*(IFERROR(VLOOKUP(AH$2,$B$35:$C$42,2,0),0))))</f>
        <v>#REF!</v>
      </c>
      <c r="AJ65" s="58">
        <f ca="1">IFERROR(IF($J65&gt;'NWGC - SCENARIOS'!$D$7,MIN('Yoy WAR OG'!AH65,VLOOKUP('Yoy WAR OG'!$J65,'Withdrawal Working'!BC:BD,2,0)),IF(AL$3=1,$M65,IF(HLOOKUP(CONCATENATE("Balance",AL$3-1),'Withdrawal Working'!$A$2:$CD$78,MATCH('Yoy WAR OG'!$J65,'Withdrawal Working'!$A$2:$A$78,0),FALSE)&gt;0,MIN(HLOOKUP(CONCATENATE("Balance",AL$3-1),'Withdrawal Working'!$A$2:$CD$78,MATCH('Yoy WAR OG'!$J65,'Withdrawal Working'!$A$2:$A$78,0),0),AH65),0))),0)</f>
        <v>0</v>
      </c>
      <c r="AK65" s="58" t="e">
        <f t="shared" ca="1" si="54"/>
        <v>#REF!</v>
      </c>
      <c r="AN65" s="450" t="e">
        <f t="shared" ca="1" si="30"/>
        <v>#REF!</v>
      </c>
      <c r="AO65" s="58" t="e">
        <f ca="1">IF(J65&gt;'NWGC - SCENARIOS'!$D$7,(IF(AJ65=0,0,'Yoy WAR OG'!AJ65)+(VLOOKUP(AN$2,$B$1:$F$32,5,0)*$L65)),(VLOOKUP(AN$2,$B$1:$F$32,5,0)*$L65)+(VLOOKUP($K65,'Withdrawal Working'!$AD:$AE,2,0)*(IFERROR(VLOOKUP(AN$2,$B$35:$C$42,2,0),0))))</f>
        <v>#REF!</v>
      </c>
      <c r="AP65" s="470">
        <f ca="1">IFERROR(IF($K65&lt;&gt;VLOOKUP(AN$2,$B:$H,7,0),IF(AR$3=1,MIN($M65,AN65),IF(HLOOKUP(CONCATENATE("Balance",AR$3-1),'Withdrawal Working'!$A$2:$CD$78,MATCH('Yoy WAR OG'!$J65,'Withdrawal Working'!$A$2:$A$78,0),FALSE)&gt;0,MIN(HLOOKUP(CONCATENATE("Balance",AR$3-1),'Withdrawal Working'!$A$2:$CD$78,MATCH('Yoy WAR OG'!$J65,'Withdrawal Working'!$A$2:$A$78,0),0),AN65),0)),IF($K65=VLOOKUP(AN$2,$B:$H,7,0),AN65,)),0)</f>
        <v>0</v>
      </c>
      <c r="AQ65" s="58" t="e">
        <f ca="1">IF(AO65&lt;0,0,IF(J65&gt;'NWGC - SCENARIOS'!$D$7,((AN65-AP65+AO65)*(1+(IFERROR(VLOOKUP(AN$2,$B:$D,3,0),0)))),((AN65-AP65)*(1+(IFERROR(VLOOKUP(AN$2,$B:$D,3,0),0))))+AO65))</f>
        <v>#REF!</v>
      </c>
      <c r="AT65" s="450" t="e">
        <f t="shared" ca="1" si="31"/>
        <v>#REF!</v>
      </c>
      <c r="AU65" s="58" t="e">
        <f ca="1">(VLOOKUP(AT$2,$B$1:$F$32,5,0)*$L65)+(VLOOKUP($K65,'Withdrawal Working'!$AD:$AE,2,0)*(IFERROR(VLOOKUP(AT$2,$B$35:$C$42,2,0),0)))</f>
        <v>#REF!</v>
      </c>
      <c r="AV65" s="58">
        <f>IFERROR(IF($K65&lt;VLOOKUP(AT$2,$B:$H,7,0),IF(AX$3=1,MIN($M65,AT65),IF(HLOOKUP(CONCATENATE("Balance",AX$3-1),'Withdrawal Working'!$A$2:$CD$78,MATCH('Yoy WAR OG'!$J65,'Withdrawal Working'!$A$2:$A$78,0),FALSE)&gt;0,MIN(HLOOKUP(CONCATENATE("Balance",AX$3-1),'Withdrawal Working'!$A$2:$CD$78,MATCH('Yoy WAR OG'!$J65,'Withdrawal Working'!$A$2:$A$78,0),0),AT65),0)),IF($K65=VLOOKUP(AT$2,$B:$H,7,0),AT65,)),0)</f>
        <v>0</v>
      </c>
      <c r="AW65" s="58" t="e">
        <f t="shared" ca="1" si="55"/>
        <v>#REF!</v>
      </c>
      <c r="AZ65" s="450" t="e">
        <f t="shared" ca="1" si="32"/>
        <v>#REF!</v>
      </c>
      <c r="BA65" s="58" t="e">
        <f ca="1">(VLOOKUP(AZ$2,$B$1:$F$32,5,0)*$L65)+(VLOOKUP($K65,'Withdrawal Working'!$AD:$AE,2,0)*(IFERROR(VLOOKUP(AZ$2,$B$35:$C$42,2,0),0)))</f>
        <v>#REF!</v>
      </c>
      <c r="BB65" s="58">
        <f ca="1">IFERROR(IF($K65&lt;VLOOKUP(AZ$2,$B:$H,7,0),IF(BD$3=1,MIN($M65,AZ65),IF(HLOOKUP(CONCATENATE("Balance",BD$3-1),'Withdrawal Working'!$A$2:$CD$78,MATCH('Yoy WAR OG'!$J65,'Withdrawal Working'!$A$2:$A$78,0),FALSE)&gt;0,MIN(HLOOKUP(CONCATENATE("Balance",BD$3-1),'Withdrawal Working'!$A$2:$CD$78,MATCH('Yoy WAR OG'!$J65,'Withdrawal Working'!$A$2:$A$78,0),0),AZ65),0)),IF($K65=VLOOKUP(AZ$2,$B:$H,7,0),AZ65,)),0)</f>
        <v>0</v>
      </c>
      <c r="BC65" s="58" t="e">
        <f t="shared" ca="1" si="56"/>
        <v>#REF!</v>
      </c>
      <c r="BF65" s="450" t="e">
        <f t="shared" ca="1" si="33"/>
        <v>#REF!</v>
      </c>
      <c r="BG65" s="58" t="e">
        <f ca="1">(VLOOKUP(BF$2,$B$1:$F$32,5,0)*$L65)+(VLOOKUP($K65,'Withdrawal Working'!$AD:$AE,2,0)*(IFERROR(VLOOKUP(BF$2,$B$35:$C$42,2,0),0)))</f>
        <v>#REF!</v>
      </c>
      <c r="BH65" s="58">
        <f>IFERROR(IF($K65&lt;VLOOKUP(BF$2,$B:$H,7,0),IF(BJ$3=1,MIN($M65,BF65),IF(HLOOKUP(CONCATENATE("Balance",BJ$3-1),'Withdrawal Working'!$A$2:$CD$78,MATCH('Yoy WAR OG'!$J65,'Withdrawal Working'!$A$2:$A$78,0),FALSE)&gt;0,MIN(HLOOKUP(CONCATENATE("Balance",BJ$3-1),'Withdrawal Working'!$A$2:$CD$78,MATCH('Yoy WAR OG'!$J65,'Withdrawal Working'!$A$2:$A$78,0),0),BF65),0)),IF($K65=VLOOKUP(BF$2,$B:$H,7,0),BF65,)),0)</f>
        <v>0</v>
      </c>
      <c r="BI65" s="58" t="e">
        <f t="shared" ca="1" si="57"/>
        <v>#REF!</v>
      </c>
      <c r="BL65" s="450" t="e">
        <f t="shared" ca="1" si="34"/>
        <v>#REF!</v>
      </c>
      <c r="BM65" s="58" t="e">
        <f ca="1">(VLOOKUP(BL$2,$B$1:$F$32,5,0)*$L65)+(VLOOKUP($K65,'Withdrawal Working'!$AD:$AE,2,0)*(IFERROR(VLOOKUP(BL$2,$B$35:$C$42,2,0),0)))</f>
        <v>#REF!</v>
      </c>
      <c r="BN65" s="58">
        <f ca="1">IFERROR(IF($K65&lt;VLOOKUP(BL$2,$B:$H,7,0),IF(BP$3=1,MIN($M65,BL65),IF(HLOOKUP(CONCATENATE("Balance",BP$3-1),'Withdrawal Working'!$A$2:$CD$78,MATCH('Yoy WAR OG'!$J65,'Withdrawal Working'!$A$2:$A$78,0),FALSE)&gt;0,MIN(HLOOKUP(CONCATENATE("Balance",BP$3-1),'Withdrawal Working'!$A$2:$CD$78,MATCH('Yoy WAR OG'!$J65,'Withdrawal Working'!$A$2:$A$78,0),0),BL65),0)),IF($K65=VLOOKUP(BL$2,$B:$H,7,0),BL65,)),0)</f>
        <v>0</v>
      </c>
      <c r="BO65" s="58" t="e">
        <f t="shared" ca="1" si="58"/>
        <v>#REF!</v>
      </c>
      <c r="BR65" s="450" t="e">
        <f t="shared" ca="1" si="35"/>
        <v>#REF!</v>
      </c>
      <c r="BS65" s="58" t="e">
        <f ca="1">(VLOOKUP(BR$2,$B$1:$F$32,5,0)*$L65)+(VLOOKUP($K65,'Withdrawal Working'!$AD:$AE,2,0)*(IFERROR(VLOOKUP(BR$2,$B$35:$C$42,2,0),0)))</f>
        <v>#REF!</v>
      </c>
      <c r="BT65" s="58">
        <f ca="1">IFERROR(IF($K65&lt;VLOOKUP(BR$2,$B:$H,7,0),IF(BV$3=1,MIN($M65,BR65),IF(HLOOKUP(CONCATENATE("Balance",BV$3-1),'Withdrawal Working'!$A$2:$CD$78,MATCH('Yoy WAR OG'!$J65,'Withdrawal Working'!$A$2:$A$78,0),FALSE)&gt;0,MIN(HLOOKUP(CONCATENATE("Balance",BV$3-1),'Withdrawal Working'!$A$2:$CD$78,MATCH('Yoy WAR OG'!$J65,'Withdrawal Working'!$A$2:$A$78,0),0),BR65),0)),IF($K65=VLOOKUP(BR$2,$B:$H,7,0),BR65,)),0)</f>
        <v>0</v>
      </c>
      <c r="BU65" s="58" t="e">
        <f t="shared" ca="1" si="59"/>
        <v>#REF!</v>
      </c>
      <c r="BX65" s="450" t="e">
        <f t="shared" ca="1" si="36"/>
        <v>#REF!</v>
      </c>
      <c r="BY65" s="58" t="e">
        <f ca="1">(VLOOKUP(BX$2,$B$1:$F$32,5,0)*$L65)+(VLOOKUP($K65,'Withdrawal Working'!$AD:$AE,2,0)*(IFERROR(VLOOKUP(BX$2,$B$35:$C$42,2,0),0)))</f>
        <v>#REF!</v>
      </c>
      <c r="BZ65" s="58">
        <f ca="1">IFERROR(IF($K65&lt;VLOOKUP(BX$2,$B:$H,7,0),IF(CB$3=1,MIN($M65,BX65),IF(HLOOKUP(CONCATENATE("Balance",CB$3-1),'Withdrawal Working'!$A$2:$CD$78,MATCH('Yoy WAR OG'!$J65,'Withdrawal Working'!$A$2:$A$78,0),FALSE)&gt;0,MIN(HLOOKUP(CONCATENATE("Balance",CB$3-1),'Withdrawal Working'!$A$2:$CD$78,MATCH('Yoy WAR OG'!$J65,'Withdrawal Working'!$A$2:$A$78,0),0),BX65),0)),IF($K65=VLOOKUP(BX$2,$B:$H,7,0),BX65,)),0)</f>
        <v>0</v>
      </c>
      <c r="CA65" s="58" t="e">
        <f t="shared" ca="1" si="60"/>
        <v>#REF!</v>
      </c>
      <c r="CD65" s="450" t="e">
        <f t="shared" ca="1" si="37"/>
        <v>#REF!</v>
      </c>
      <c r="CE65" s="58" t="e">
        <f ca="1">(VLOOKUP(CD$2,$B$1:$F$32,5,0)*$L65)+(VLOOKUP($K65,'Withdrawal Working'!$AD:$AE,2,0)*(IFERROR(VLOOKUP(CD$2,$B$35:$C$42,2,0),0)))+SUMIFS('Key Life Events'!$I$3:$I$28,'Key Life Events'!$H$3:$H$28,"House",'Key Life Events'!$E$3:$E$28,'Yoy WAR OG'!K65)</f>
        <v>#REF!</v>
      </c>
      <c r="CF65" s="58">
        <f ca="1">IFERROR(IF($K65&lt;VLOOKUP(CD$2,$B:$H,7,0),IF(CH$3=1,MIN($M65,CD65),IF(HLOOKUP(CONCATENATE("Balance",CH$3-1),'Withdrawal Working'!$A$2:$CD$78,MATCH('Yoy WAR OG'!$J65,'Withdrawal Working'!$A$2:$A$78,0),FALSE)&gt;0,MIN(HLOOKUP(CONCATENATE("Balance",CH$3-1),'Withdrawal Working'!$A$2:$CD$78,MATCH('Yoy WAR OG'!$J65,'Withdrawal Working'!$A$2:$A$78,0),0),CD65),0)),IF($K65=VLOOKUP(CD$2,$B:$H,7,0),CD65,)),0)</f>
        <v>0</v>
      </c>
      <c r="CG65" s="58" t="e">
        <f t="shared" ca="1" si="61"/>
        <v>#REF!</v>
      </c>
      <c r="CJ65" s="450" t="e">
        <f t="shared" ca="1" si="38"/>
        <v>#REF!</v>
      </c>
      <c r="CK65" s="58" t="e">
        <f ca="1">(VLOOKUP(CJ$2,$B$1:$F$32,5,0)*$L65)+(VLOOKUP($K65,'Withdrawal Working'!$AD:$AE,2,0)*(IFERROR(VLOOKUP(CJ$2,$B$35:$C$42,2,0),0)))+SUMIFS('Key Life Events'!$I$3:$I$28,'Key Life Events'!$H$3:$H$28,"House2",'Key Life Events'!$E$3:$E$28,'Yoy WAR OG'!K65)</f>
        <v>#REF!</v>
      </c>
      <c r="CL65" s="58">
        <f ca="1">IF(IFERROR(IF($K65&lt;&gt;VLOOKUP(CJ$2,$B:$H,7,0),IF(CN$3=1,MIN($M65,CJ65),IF(HLOOKUP(CONCATENATE("Balance",CN$3-1),'Withdrawal Working'!$A$2:$CD$78,MATCH('Yoy WAR OG'!$J65,'Withdrawal Working'!$A$2:$A$78,0),FALSE)&gt;0,MIN(HLOOKUP(CONCATENATE("Balance",CN$3-1),'Withdrawal Working'!$A$2:$CD$78,MATCH('Yoy WAR OG'!$J65,'Withdrawal Working'!$A$2:$A$78,0),0),CJ65),0)),IF($K65=VLOOKUP(CJ$2,$B:$H,7,0),CJ65,)),0)&gt;0,CJ65,0)</f>
        <v>0</v>
      </c>
      <c r="CM65" s="58" t="e">
        <f t="shared" ca="1" si="62"/>
        <v>#REF!</v>
      </c>
      <c r="CP65" s="450" t="e">
        <f t="shared" ca="1" si="39"/>
        <v>#REF!</v>
      </c>
      <c r="CQ65" s="58" t="e">
        <f ca="1">(VLOOKUP(CP$2,$B$1:$F$32,5,0)*$L65)+(VLOOKUP($K65,'Withdrawal Working'!$AD:$AE,2,0)*(IFERROR(VLOOKUP(CP$2,$B$35:$C$42,2,0),0)))+SUMIFS('Key Life Events'!$I$3:$I$28,'Key Life Events'!$H$3:$H$28,"Land",'Key Life Events'!$E$3:$E$28,'Yoy WAR OG'!K65)</f>
        <v>#REF!</v>
      </c>
      <c r="CR65" s="58">
        <f ca="1">IFERROR(IF($K65&lt;VLOOKUP(CP$2,$B:$H,7,0),IF(CT$3=1,MIN($M65,CP65),IF(HLOOKUP(CONCATENATE("Balance",CT$3-1),'Withdrawal Working'!$A$2:$CD$78,MATCH('Yoy WAR OG'!$J65,'Withdrawal Working'!$A$2:$A$78,0),FALSE)&gt;0,MIN(HLOOKUP(CONCATENATE("Balance",CT$3-1),'Withdrawal Working'!$A$2:$CD$78,MATCH('Yoy WAR OG'!$J65,'Withdrawal Working'!$A$2:$A$78,0),0),CP65),0)),IF($K65=VLOOKUP(CP$2,$B:$H,7,0),CP65,)),0)</f>
        <v>0</v>
      </c>
      <c r="CS65" s="58" t="e">
        <f t="shared" ca="1" si="63"/>
        <v>#REF!</v>
      </c>
      <c r="CV65" s="450">
        <f t="shared" ca="1" si="40"/>
        <v>0</v>
      </c>
      <c r="CW65" s="58"/>
      <c r="CX65" s="58">
        <f ca="1">IFERROR(IF($K65&lt;VLOOKUP(CV$2,$B:$H,7,0),IF(CZ$3=1,MIN($M65,CV65),IF(HLOOKUP(CONCATENATE("Balance",CZ$3-1),'Withdrawal Working'!$A$2:$CD$78,MATCH('Yoy WAR OG'!$J65,'Withdrawal Working'!$A$2:$A$78,0),FALSE)&gt;0,MIN(HLOOKUP(CONCATENATE("Balance",CZ$3-1),'Withdrawal Working'!$A$2:$CD$78,MATCH('Yoy WAR OG'!$J65,'Withdrawal Working'!$A$2:$A$78,0),0),CV65),0)),IF($K65=VLOOKUP(CV$2,$B:$H,7,0),CV65,)),0)</f>
        <v>0</v>
      </c>
      <c r="CY65" s="58">
        <f t="shared" ca="1" si="64"/>
        <v>0</v>
      </c>
      <c r="DB65" s="450" t="e">
        <f t="shared" ca="1" si="41"/>
        <v>#REF!</v>
      </c>
      <c r="DC65" s="58" t="e">
        <f ca="1">(VLOOKUP(DB$2,$B$1:$F$32,5,0)*$L65)+(VLOOKUP($K65,'Withdrawal Working'!$AD:$AE,2,0)*(IFERROR(VLOOKUP(DB$2,$B$35:$C$42,2,0),0)))</f>
        <v>#REF!</v>
      </c>
      <c r="DD65" s="58">
        <f ca="1">IFERROR(IF($K65&lt;VLOOKUP(DB$2,$B:$H,7,0),IF(DF$3=1,MIN($M65,DB65),IF(HLOOKUP(CONCATENATE("Balance",DF$3-1),'Withdrawal Working'!$A$2:$CD$78,MATCH('Yoy WAR OG'!$J65,'Withdrawal Working'!$A$2:$A$78,0),FALSE)&gt;0,MIN(HLOOKUP(CONCATENATE("Balance",DF$3-1),'Withdrawal Working'!$A$2:$CD$78,MATCH('Yoy WAR OG'!$J65,'Withdrawal Working'!$A$2:$A$78,0),0),DB65),0)),IF($K65=VLOOKUP(DB$2,$B:$H,7,0),DB65,)),0)</f>
        <v>0</v>
      </c>
      <c r="DE65" s="58" t="e">
        <f t="shared" ca="1" si="65"/>
        <v>#REF!</v>
      </c>
      <c r="DH65" s="450">
        <f t="shared" ca="1" si="42"/>
        <v>0</v>
      </c>
      <c r="DI65" s="58">
        <f>IF(OR(J65&gt;'NWGC - SCENARIOS'!$D$7,J65='NWGC - SCENARIOS'!$D$7),0,DI64*(1+'NWGC - SCENARIOS'!$L$5))</f>
        <v>0</v>
      </c>
      <c r="DJ65" s="58">
        <f ca="1">IFERROR(IF($K65&lt;VLOOKUP(DH$2,$B:$H,7,0),IF(DL$3=1,MIN($M65,DH65),IF(HLOOKUP(CONCATENATE("Balance",DL$3-1),'Withdrawal Working'!$A$2:$CD$78,MATCH('Yoy WAR OG'!$J65,'Withdrawal Working'!$A$2:$A$78,0),FALSE)&gt;0,MIN(HLOOKUP(CONCATENATE("Balance",DL$3-1),'Withdrawal Working'!$A$2:$CD$78,MATCH('Yoy WAR OG'!$J65,'Withdrawal Working'!$A$2:$A$78,0),0),DH65),0)),IF($K65=VLOOKUP(DH$2,$B:$H,7,0),DH65,)),0)</f>
        <v>0</v>
      </c>
      <c r="DK65" s="58">
        <f t="shared" ca="1" si="66"/>
        <v>0</v>
      </c>
      <c r="DN65" s="450" t="e">
        <f t="shared" ca="1" si="43"/>
        <v>#REF!</v>
      </c>
      <c r="DO65" s="58" t="e">
        <f ca="1">(VLOOKUP(DN$2,$B$1:$F$32,5,0)*$L65)+(VLOOKUP($K65,'Withdrawal Working'!$AD:$AE,2,0)*(IFERROR(VLOOKUP(DN$2,$B$35:$C$42,2,0),0)))</f>
        <v>#REF!</v>
      </c>
      <c r="DP65" s="58">
        <f ca="1">IFERROR(IF($K65&lt;VLOOKUP(DN$2,$B:$H,7,0),IF(DR$3=1,MIN($M65,DN65),IF(HLOOKUP(CONCATENATE("Balance",DR$3-1),'Withdrawal Working'!$A$2:$CD$78,MATCH('Yoy WAR OG'!$J65,'Withdrawal Working'!$A$2:$A$78,0),FALSE)&gt;0,MIN(HLOOKUP(CONCATENATE("Balance",DR$3-1),'Withdrawal Working'!$A$2:$CD$78,MATCH('Yoy WAR OG'!$J65,'Withdrawal Working'!$A$2:$A$78,0),0),DN65),0)),IF($K65=VLOOKUP(DN$2,$B:$H,7,0),DN65,)),0)</f>
        <v>0</v>
      </c>
      <c r="DQ65" s="58" t="e">
        <f t="shared" ca="1" si="67"/>
        <v>#REF!</v>
      </c>
      <c r="DT65" s="450" t="e">
        <f t="shared" ca="1" si="44"/>
        <v>#REF!</v>
      </c>
      <c r="DU65" s="58" t="e">
        <f ca="1">(VLOOKUP(DT$2,$B$1:$F$32,5,0)*$L65)+(VLOOKUP($K65,'Withdrawal Working'!$AD:$AE,2,0)*(IFERROR(VLOOKUP(DT$2,$B$35:$C$42,2,0),0)))</f>
        <v>#REF!</v>
      </c>
      <c r="DV65" s="58">
        <f ca="1">IFERROR(IF($K65&lt;VLOOKUP(DT$2,$B:$H,7,0),IF(DX$3=1,MIN($M65,DT65),IF(HLOOKUP(CONCATENATE("Balance",DX$3-1),'Withdrawal Working'!$A$2:$CD$78,MATCH('Yoy WAR OG'!$J65,'Withdrawal Working'!$A$2:$A$78,0),FALSE)&gt;0,MIN(HLOOKUP(CONCATENATE("Balance",DX$3-1),'Withdrawal Working'!$A$2:$CD$78,MATCH('Yoy WAR OG'!$J65,'Withdrawal Working'!$A$2:$A$78,0),0),DT65),0)),IF($K65=VLOOKUP(DT$2,$B:$H,7,0),DT65,)),0)</f>
        <v>0</v>
      </c>
      <c r="DW65" s="58" t="e">
        <f t="shared" ca="1" si="68"/>
        <v>#REF!</v>
      </c>
      <c r="DZ65" s="450" t="e">
        <f t="shared" ca="1" si="45"/>
        <v>#REF!</v>
      </c>
      <c r="EA65" s="58" t="e">
        <f ca="1">(VLOOKUP(DZ$2,$B$1:$F$32,5,0)*$L65)+(VLOOKUP($K65,'Withdrawal Working'!$AD:$AE,2,0)*(IFERROR(VLOOKUP(DZ$2,$B$35:$C$42,2,0),0)))</f>
        <v>#REF!</v>
      </c>
      <c r="EB65" s="58">
        <f ca="1">IFERROR(IF($K65&lt;VLOOKUP(DZ$2,$B:$H,7,0),IF(ED$3=1,MIN($M65,DZ65),IF(HLOOKUP(CONCATENATE("Balance",ED$3-1),'Withdrawal Working'!$A$2:$CD$78,MATCH('Yoy WAR OG'!$J65,'Withdrawal Working'!$A$2:$A$78,0),FALSE)&gt;0,MIN(HLOOKUP(CONCATENATE("Balance",ED$3-1),'Withdrawal Working'!$A$2:$CD$78,MATCH('Yoy WAR OG'!$J65,'Withdrawal Working'!$A$2:$A$78,0),0),DZ65),0)),IF($K65=VLOOKUP(DZ$2,$B:$H,7,0),DZ65,)),0)</f>
        <v>0</v>
      </c>
      <c r="EC65" s="58" t="e">
        <f t="shared" ca="1" si="69"/>
        <v>#REF!</v>
      </c>
      <c r="EF65" s="450" t="e">
        <f t="shared" ca="1" si="46"/>
        <v>#REF!</v>
      </c>
      <c r="EG65" s="58" t="e">
        <f ca="1">(VLOOKUP(EF$2,$B$1:$F$32,5,0)*$L65)+(VLOOKUP($K65,'Withdrawal Working'!$AD:$AE,2,0)*(IFERROR(VLOOKUP(EF$2,$B$35:$C$42,2,0),0)))</f>
        <v>#REF!</v>
      </c>
      <c r="EH65" s="58">
        <f ca="1">IFERROR(IF($K65&lt;VLOOKUP(EF$2,$B:$H,7,0),IF(EJ$3=1,MIN($M65,EF65),IF(HLOOKUP(CONCATENATE("Balance",EJ$3-1),'Withdrawal Working'!$A$2:$CD$78,MATCH('Yoy WAR OG'!$J65,'Withdrawal Working'!$A$2:$A$78,0),FALSE)&gt;0,MIN(HLOOKUP(CONCATENATE("Balance",EJ$3-1),'Withdrawal Working'!$A$2:$CD$78,MATCH('Yoy WAR OG'!$J65,'Withdrawal Working'!$A$2:$A$78,0),0),EF65),0)),IF($K65=VLOOKUP(EF$2,$B:$H,7,0),EF65,)),0)</f>
        <v>0</v>
      </c>
      <c r="EI65" s="58" t="e">
        <f t="shared" ca="1" si="70"/>
        <v>#REF!</v>
      </c>
      <c r="EL65" s="450">
        <f t="shared" ca="1" si="47"/>
        <v>0</v>
      </c>
      <c r="EM65" s="58">
        <f>IF(OR($J65&gt;'NWGC - SCENARIOS'!$D$7,$J65='NWGC - SCENARIOS'!$D$7),0,EM64)</f>
        <v>0</v>
      </c>
      <c r="EN65" s="58">
        <f ca="1">IFERROR(IF($K65&lt;VLOOKUP(EL$2,$B:$H,7,0),IF(EP$3=1,MIN($M65,EL65),IF(HLOOKUP(CONCATENATE("Balance",EP$3-1),'Withdrawal Working'!$A$2:$CD$78,MATCH('Yoy WAR OG'!$J65,'Withdrawal Working'!$A$2:$A$78,0),FALSE)&gt;0,MIN(HLOOKUP(CONCATENATE("Balance",EP$3-1),'Withdrawal Working'!$A$2:$CD$78,MATCH('Yoy WAR OG'!$J65,'Withdrawal Working'!$A$2:$A$78,0),0),EL65),0)),IF($K65=VLOOKUP(EL$2,$B:$H,7,0),EL65,)),0)</f>
        <v>0</v>
      </c>
      <c r="EO65" s="58">
        <f t="shared" ca="1" si="71"/>
        <v>0</v>
      </c>
      <c r="ER65" s="450">
        <f t="shared" ca="1" si="48"/>
        <v>0</v>
      </c>
      <c r="ES65" s="58">
        <f>IF(OR(J65&gt;'NWGC - SCENARIOS'!$D$7,J65='NWGC - SCENARIOS'!$D$7),0,ES64*(1+'NWGC - SCENARIOS'!$L$5))</f>
        <v>0</v>
      </c>
      <c r="ET65" s="58">
        <f ca="1">IFERROR(IF($K65&lt;VLOOKUP(ER$2,$B:$H,7,0),IF(EV$3=1,MIN($M65,ER65),IF(HLOOKUP(CONCATENATE("Balance",EV$3-1),'Withdrawal Working'!$A$2:$CD$78,MATCH('Yoy WAR OG'!$J65,'Withdrawal Working'!$A$2:$A$78,0),FALSE)&gt;0,MIN(HLOOKUP(CONCATENATE("Balance",EV$3-1),'Withdrawal Working'!$A$2:$CD$78,MATCH('Yoy WAR OG'!$J65,'Withdrawal Working'!$A$2:$A$78,0),0),ER65),0)),IF($K65=VLOOKUP(ER$2,$B:$H,7,0),ER65,)),0)</f>
        <v>0</v>
      </c>
      <c r="EU65" s="58">
        <f t="shared" ca="1" si="72"/>
        <v>0</v>
      </c>
      <c r="EX65" s="450">
        <f t="shared" ca="1" si="49"/>
        <v>0</v>
      </c>
      <c r="EY65" s="58">
        <f>IF(OR(J65&gt;'NWGC - SCENARIOS'!$D$7,J65='NWGC - SCENARIOS'!$D$7),0,EY64)</f>
        <v>0</v>
      </c>
      <c r="EZ65" s="58">
        <f ca="1">IFERROR(IF($K65&lt;VLOOKUP(EX$2,$B:$H,7,0),IF(FB$3=1,MIN($M65,EX65),IF(HLOOKUP(CONCATENATE("Balance",FB$3-1),'Withdrawal Working'!$A$2:$CD$78,MATCH('Yoy WAR OG'!$J65,'Withdrawal Working'!$A$2:$A$78,0),FALSE)&gt;0,MIN(HLOOKUP(CONCATENATE("Balance",FB$3-1),'Withdrawal Working'!$A$2:$CD$78,MATCH('Yoy WAR OG'!$J65,'Withdrawal Working'!$A$2:$A$78,0),0),EX65),0)),IF($K65=VLOOKUP(EX$2,$B:$H,7,0),EX65,)),0)</f>
        <v>0</v>
      </c>
      <c r="FA65" s="58">
        <f t="shared" ca="1" si="73"/>
        <v>0</v>
      </c>
    </row>
    <row r="66" spans="10:157" x14ac:dyDescent="0.3">
      <c r="J66">
        <f>IFERROR('NWGC - SCENARIOS'!#REF!,0)</f>
        <v>0</v>
      </c>
      <c r="K66">
        <f>IFERROR('NWGC - SCENARIOS'!#REF!,0)</f>
        <v>0</v>
      </c>
      <c r="L66" s="449" t="e">
        <f>IF(('NWGC - SCENARIOS'!#REF!-working!G64)&gt;'NWGC - SCENARIOS'!#REF!,'NWGC - SCENARIOS'!#REF!-'NWGC - SCENARIOS'!#REF!-working!G64,0)</f>
        <v>#REF!</v>
      </c>
      <c r="M66" s="449" t="e">
        <f>IF(('NWGC - SCENARIOS'!#REF!-working!G64)&gt;'NWGC - SCENARIOS'!#REF!,0,'NWGC - SCENARIOS'!#REF!-'NWGC - SCENARIOS'!#REF!+working!G64)</f>
        <v>#REF!</v>
      </c>
      <c r="N66" s="58" t="e">
        <f t="shared" ca="1" si="50"/>
        <v>#REF!</v>
      </c>
      <c r="O66" s="58" t="e">
        <f t="shared" ca="1" si="51"/>
        <v>#REF!</v>
      </c>
      <c r="P66" s="58" t="e">
        <f t="shared" ref="P66:P80" ca="1" si="76">S65</f>
        <v>#REF!</v>
      </c>
      <c r="Q66" s="58" t="e">
        <f ca="1">(VLOOKUP(P$2,$B$1:$F$32,5,0)*$L66)+(VLOOKUP($K66,'Withdrawal Working'!$AD:$AE,2,0)*(IFERROR(VLOOKUP(P$2,$B$35:$C$42,2,0),0)))</f>
        <v>#REF!</v>
      </c>
      <c r="R66" s="58">
        <f>IFERROR(IF($K66&lt;VLOOKUP(P$2,$B:$H,7,0),IF(T$3=1,MIN($M66,P66),IF(HLOOKUP(CONCATENATE("Balance",T$3-1),'Withdrawal Working'!$A$2:$CD$78,MATCH('Yoy WAR OG'!$J66,'Withdrawal Working'!$A$2:$A$78,0),FALSE)&gt;0,MIN(HLOOKUP(CONCATENATE("Balance",T$3-1),'Withdrawal Working'!$A$2:$CD$78,MATCH('Yoy WAR OG'!$J66,'Withdrawal Working'!$A$2:$A$78,0),0),P66),0)),IF($K66=VLOOKUP(P$2,$B:$H,7,0),P66,)),0)</f>
        <v>0</v>
      </c>
      <c r="S66" s="58" t="e">
        <f t="shared" ca="1" si="75"/>
        <v>#REF!</v>
      </c>
      <c r="T66" s="58"/>
      <c r="V66" s="58" t="e">
        <f t="shared" ref="V66:V80" ca="1" si="77">Y65</f>
        <v>#REF!</v>
      </c>
      <c r="W66" s="58" t="e">
        <f ca="1">(VLOOKUP(V$2,$B$1:$F$32,5,0)*$L66)+(VLOOKUP($K66,'Withdrawal Working'!$AD:$AE,2,0)*(IFERROR(VLOOKUP(V$2,$B$35:$C$42,2,0),0)))</f>
        <v>#REF!</v>
      </c>
      <c r="X66" s="58">
        <f>IFERROR(IF($K66&lt;VLOOKUP(V$2,$B:$H,7,0),IF(Z$3=1,MIN($M66,V66),IF(HLOOKUP(CONCATENATE("Balance",Z$3-1),'Withdrawal Working'!$A$2:$CD$78,MATCH('Yoy WAR OG'!$J66,'Withdrawal Working'!$A$2:$A$78,0),FALSE)&gt;0,MIN(HLOOKUP(CONCATENATE("Balance",Z$3-1),'Withdrawal Working'!$A$2:$CD$78,MATCH('Yoy WAR OG'!$J66,'Withdrawal Working'!$A$2:$A$78,0),0),V66),0)),IF($K66=VLOOKUP(V$2,$B:$H,7,0),V66,)),0)</f>
        <v>0</v>
      </c>
      <c r="Y66" s="58" t="e">
        <f t="shared" ca="1" si="52"/>
        <v>#REF!</v>
      </c>
      <c r="AB66" s="58" t="e">
        <f t="shared" ref="AB66:AB80" ca="1" si="78">AE65</f>
        <v>#REF!</v>
      </c>
      <c r="AC66" s="58" t="e">
        <f ca="1">(VLOOKUP(AB$2,$B$1:$F$32,5,0)*$L66)+(VLOOKUP($K66,'Withdrawal Working'!$AD:$AE,2,0)*(IFERROR(VLOOKUP(AB$2,$B$35:$C$42,2,0),0)))</f>
        <v>#REF!</v>
      </c>
      <c r="AE66" s="58" t="e">
        <f t="shared" ca="1" si="53"/>
        <v>#REF!</v>
      </c>
      <c r="AH66" s="58" t="e">
        <f t="shared" ref="AH66:AH80" ca="1" si="79">AK65</f>
        <v>#REF!</v>
      </c>
      <c r="AI66" s="58" t="e">
        <f ca="1">(VLOOKUP(AH$2,$B$1:$F$32,5,0)*$L66)+IF(J66&gt;'NWGC - SCENARIOS'!$D$7,0,(VLOOKUP($K66,'Withdrawal Working'!$AD:$AE,2,0)*(IFERROR(VLOOKUP(AH$2,$B$35:$C$42,2,0),0))))</f>
        <v>#REF!</v>
      </c>
      <c r="AJ66" s="58">
        <f ca="1">IFERROR(IF($J66&gt;'NWGC - SCENARIOS'!$D$7,MIN('Yoy WAR OG'!AH66,VLOOKUP('Yoy WAR OG'!$J66,'Withdrawal Working'!BC:BD,2,0)),IF(AL$3=1,$M66,IF(HLOOKUP(CONCATENATE("Balance",AL$3-1),'Withdrawal Working'!$A$2:$CD$78,MATCH('Yoy WAR OG'!$J66,'Withdrawal Working'!$A$2:$A$78,0),FALSE)&gt;0,MIN(HLOOKUP(CONCATENATE("Balance",AL$3-1),'Withdrawal Working'!$A$2:$CD$78,MATCH('Yoy WAR OG'!$J66,'Withdrawal Working'!$A$2:$A$78,0),0),AH66),0))),0)</f>
        <v>0</v>
      </c>
      <c r="AK66" s="58" t="e">
        <f t="shared" ca="1" si="54"/>
        <v>#REF!</v>
      </c>
      <c r="AN66" s="450" t="e">
        <f t="shared" ref="AN66:AN80" ca="1" si="80">AQ65</f>
        <v>#REF!</v>
      </c>
      <c r="AO66" s="58" t="e">
        <f ca="1">IF(J66&gt;'NWGC - SCENARIOS'!$D$7,(IF(AJ66=0,0,'Yoy WAR OG'!AJ66)+(VLOOKUP(AN$2,$B$1:$F$32,5,0)*$L66)),(VLOOKUP(AN$2,$B$1:$F$32,5,0)*$L66)+(VLOOKUP($K66,'Withdrawal Working'!$AD:$AE,2,0)*(IFERROR(VLOOKUP(AN$2,$B$35:$C$42,2,0),0))))</f>
        <v>#REF!</v>
      </c>
      <c r="AP66" s="470">
        <f ca="1">IFERROR(IF($K66&lt;&gt;VLOOKUP(AN$2,$B:$H,7,0),IF(AR$3=1,MIN($M66,AN66),IF(HLOOKUP(CONCATENATE("Balance",AR$3-1),'Withdrawal Working'!$A$2:$CD$78,MATCH('Yoy WAR OG'!$J66,'Withdrawal Working'!$A$2:$A$78,0),FALSE)&gt;0,MIN(HLOOKUP(CONCATENATE("Balance",AR$3-1),'Withdrawal Working'!$A$2:$CD$78,MATCH('Yoy WAR OG'!$J66,'Withdrawal Working'!$A$2:$A$78,0),0),AN66),0)),IF($K66=VLOOKUP(AN$2,$B:$H,7,0),AN66,)),0)</f>
        <v>0</v>
      </c>
      <c r="AQ66" s="58" t="e">
        <f ca="1">IF(AO66&lt;0,0,IF(J66&gt;'NWGC - SCENARIOS'!$D$7,((AN66-AP66+AO66)*(1+(IFERROR(VLOOKUP(AN$2,$B:$D,3,0),0)))),((AN66-AP66)*(1+(IFERROR(VLOOKUP(AN$2,$B:$D,3,0),0))))+AO66))</f>
        <v>#REF!</v>
      </c>
      <c r="AT66" s="450" t="e">
        <f t="shared" ref="AT66:AT80" ca="1" si="81">AW65</f>
        <v>#REF!</v>
      </c>
      <c r="AU66" s="58" t="e">
        <f ca="1">(VLOOKUP(AT$2,$B$1:$F$32,5,0)*$L66)+(VLOOKUP($K66,'Withdrawal Working'!$AD:$AE,2,0)*(IFERROR(VLOOKUP(AT$2,$B$35:$C$42,2,0),0)))</f>
        <v>#REF!</v>
      </c>
      <c r="AV66" s="58">
        <f>IFERROR(IF($K66&lt;VLOOKUP(AT$2,$B:$H,7,0),IF(AX$3=1,MIN($M66,AT66),IF(HLOOKUP(CONCATENATE("Balance",AX$3-1),'Withdrawal Working'!$A$2:$CD$78,MATCH('Yoy WAR OG'!$J66,'Withdrawal Working'!$A$2:$A$78,0),FALSE)&gt;0,MIN(HLOOKUP(CONCATENATE("Balance",AX$3-1),'Withdrawal Working'!$A$2:$CD$78,MATCH('Yoy WAR OG'!$J66,'Withdrawal Working'!$A$2:$A$78,0),0),AT66),0)),IF($K66=VLOOKUP(AT$2,$B:$H,7,0),AT66,)),0)</f>
        <v>0</v>
      </c>
      <c r="AW66" s="58" t="e">
        <f t="shared" ca="1" si="55"/>
        <v>#REF!</v>
      </c>
      <c r="AZ66" s="450" t="e">
        <f t="shared" ref="AZ66:AZ80" ca="1" si="82">BC65</f>
        <v>#REF!</v>
      </c>
      <c r="BA66" s="58" t="e">
        <f ca="1">(VLOOKUP(AZ$2,$B$1:$F$32,5,0)*$L66)+(VLOOKUP($K66,'Withdrawal Working'!$AD:$AE,2,0)*(IFERROR(VLOOKUP(AZ$2,$B$35:$C$42,2,0),0)))</f>
        <v>#REF!</v>
      </c>
      <c r="BB66" s="58">
        <f ca="1">IFERROR(IF($K66&lt;VLOOKUP(AZ$2,$B:$H,7,0),IF(BD$3=1,MIN($M66,AZ66),IF(HLOOKUP(CONCATENATE("Balance",BD$3-1),'Withdrawal Working'!$A$2:$CD$78,MATCH('Yoy WAR OG'!$J66,'Withdrawal Working'!$A$2:$A$78,0),FALSE)&gt;0,MIN(HLOOKUP(CONCATENATE("Balance",BD$3-1),'Withdrawal Working'!$A$2:$CD$78,MATCH('Yoy WAR OG'!$J66,'Withdrawal Working'!$A$2:$A$78,0),0),AZ66),0)),IF($K66=VLOOKUP(AZ$2,$B:$H,7,0),AZ66,)),0)</f>
        <v>0</v>
      </c>
      <c r="BC66" s="58" t="e">
        <f t="shared" ca="1" si="56"/>
        <v>#REF!</v>
      </c>
      <c r="BF66" s="450" t="e">
        <f t="shared" ref="BF66:BF80" ca="1" si="83">BI65</f>
        <v>#REF!</v>
      </c>
      <c r="BG66" s="58" t="e">
        <f ca="1">(VLOOKUP(BF$2,$B$1:$F$32,5,0)*$L66)+(VLOOKUP($K66,'Withdrawal Working'!$AD:$AE,2,0)*(IFERROR(VLOOKUP(BF$2,$B$35:$C$42,2,0),0)))</f>
        <v>#REF!</v>
      </c>
      <c r="BH66" s="58">
        <f>IFERROR(IF($K66&lt;VLOOKUP(BF$2,$B:$H,7,0),IF(BJ$3=1,MIN($M66,BF66),IF(HLOOKUP(CONCATENATE("Balance",BJ$3-1),'Withdrawal Working'!$A$2:$CD$78,MATCH('Yoy WAR OG'!$J66,'Withdrawal Working'!$A$2:$A$78,0),FALSE)&gt;0,MIN(HLOOKUP(CONCATENATE("Balance",BJ$3-1),'Withdrawal Working'!$A$2:$CD$78,MATCH('Yoy WAR OG'!$J66,'Withdrawal Working'!$A$2:$A$78,0),0),BF66),0)),IF($K66=VLOOKUP(BF$2,$B:$H,7,0),BF66,)),0)</f>
        <v>0</v>
      </c>
      <c r="BI66" s="58" t="e">
        <f t="shared" ca="1" si="57"/>
        <v>#REF!</v>
      </c>
      <c r="BL66" s="450" t="e">
        <f t="shared" ref="BL66:BL80" ca="1" si="84">BO65</f>
        <v>#REF!</v>
      </c>
      <c r="BM66" s="58" t="e">
        <f ca="1">(VLOOKUP(BL$2,$B$1:$F$32,5,0)*$L66)+(VLOOKUP($K66,'Withdrawal Working'!$AD:$AE,2,0)*(IFERROR(VLOOKUP(BL$2,$B$35:$C$42,2,0),0)))</f>
        <v>#REF!</v>
      </c>
      <c r="BN66" s="58">
        <f ca="1">IFERROR(IF($K66&lt;VLOOKUP(BL$2,$B:$H,7,0),IF(BP$3=1,MIN($M66,BL66),IF(HLOOKUP(CONCATENATE("Balance",BP$3-1),'Withdrawal Working'!$A$2:$CD$78,MATCH('Yoy WAR OG'!$J66,'Withdrawal Working'!$A$2:$A$78,0),FALSE)&gt;0,MIN(HLOOKUP(CONCATENATE("Balance",BP$3-1),'Withdrawal Working'!$A$2:$CD$78,MATCH('Yoy WAR OG'!$J66,'Withdrawal Working'!$A$2:$A$78,0),0),BL66),0)),IF($K66=VLOOKUP(BL$2,$B:$H,7,0),BL66,)),0)</f>
        <v>0</v>
      </c>
      <c r="BO66" s="58" t="e">
        <f t="shared" ca="1" si="58"/>
        <v>#REF!</v>
      </c>
      <c r="BR66" s="450" t="e">
        <f t="shared" ref="BR66:BR80" ca="1" si="85">BU65</f>
        <v>#REF!</v>
      </c>
      <c r="BS66" s="58" t="e">
        <f ca="1">(VLOOKUP(BR$2,$B$1:$F$32,5,0)*$L66)+(VLOOKUP($K66,'Withdrawal Working'!$AD:$AE,2,0)*(IFERROR(VLOOKUP(BR$2,$B$35:$C$42,2,0),0)))</f>
        <v>#REF!</v>
      </c>
      <c r="BT66" s="58">
        <f ca="1">IFERROR(IF($K66&lt;VLOOKUP(BR$2,$B:$H,7,0),IF(BV$3=1,MIN($M66,BR66),IF(HLOOKUP(CONCATENATE("Balance",BV$3-1),'Withdrawal Working'!$A$2:$CD$78,MATCH('Yoy WAR OG'!$J66,'Withdrawal Working'!$A$2:$A$78,0),FALSE)&gt;0,MIN(HLOOKUP(CONCATENATE("Balance",BV$3-1),'Withdrawal Working'!$A$2:$CD$78,MATCH('Yoy WAR OG'!$J66,'Withdrawal Working'!$A$2:$A$78,0),0),BR66),0)),IF($K66=VLOOKUP(BR$2,$B:$H,7,0),BR66,)),0)</f>
        <v>0</v>
      </c>
      <c r="BU66" s="58" t="e">
        <f t="shared" ca="1" si="59"/>
        <v>#REF!</v>
      </c>
      <c r="BX66" s="450" t="e">
        <f t="shared" ref="BX66:BX80" ca="1" si="86">CA65</f>
        <v>#REF!</v>
      </c>
      <c r="BY66" s="58" t="e">
        <f ca="1">(VLOOKUP(BX$2,$B$1:$F$32,5,0)*$L66)+(VLOOKUP($K66,'Withdrawal Working'!$AD:$AE,2,0)*(IFERROR(VLOOKUP(BX$2,$B$35:$C$42,2,0),0)))</f>
        <v>#REF!</v>
      </c>
      <c r="BZ66" s="58">
        <f ca="1">IFERROR(IF($K66&lt;VLOOKUP(BX$2,$B:$H,7,0),IF(CB$3=1,MIN($M66,BX66),IF(HLOOKUP(CONCATENATE("Balance",CB$3-1),'Withdrawal Working'!$A$2:$CD$78,MATCH('Yoy WAR OG'!$J66,'Withdrawal Working'!$A$2:$A$78,0),FALSE)&gt;0,MIN(HLOOKUP(CONCATENATE("Balance",CB$3-1),'Withdrawal Working'!$A$2:$CD$78,MATCH('Yoy WAR OG'!$J66,'Withdrawal Working'!$A$2:$A$78,0),0),BX66),0)),IF($K66=VLOOKUP(BX$2,$B:$H,7,0),BX66,)),0)</f>
        <v>0</v>
      </c>
      <c r="CA66" s="58" t="e">
        <f t="shared" ca="1" si="60"/>
        <v>#REF!</v>
      </c>
      <c r="CD66" s="450" t="e">
        <f t="shared" ref="CD66:CD80" ca="1" si="87">CG65</f>
        <v>#REF!</v>
      </c>
      <c r="CE66" s="58" t="e">
        <f ca="1">(VLOOKUP(CD$2,$B$1:$F$32,5,0)*$L66)+(VLOOKUP($K66,'Withdrawal Working'!$AD:$AE,2,0)*(IFERROR(VLOOKUP(CD$2,$B$35:$C$42,2,0),0)))+SUMIFS('Key Life Events'!$I$3:$I$28,'Key Life Events'!$H$3:$H$28,"House",'Key Life Events'!$E$3:$E$28,'Yoy WAR OG'!K66)</f>
        <v>#REF!</v>
      </c>
      <c r="CF66" s="58">
        <f ca="1">IFERROR(IF($K66&lt;VLOOKUP(CD$2,$B:$H,7,0),IF(CH$3=1,MIN($M66,CD66),IF(HLOOKUP(CONCATENATE("Balance",CH$3-1),'Withdrawal Working'!$A$2:$CD$78,MATCH('Yoy WAR OG'!$J66,'Withdrawal Working'!$A$2:$A$78,0),FALSE)&gt;0,MIN(HLOOKUP(CONCATENATE("Balance",CH$3-1),'Withdrawal Working'!$A$2:$CD$78,MATCH('Yoy WAR OG'!$J66,'Withdrawal Working'!$A$2:$A$78,0),0),CD66),0)),IF($K66=VLOOKUP(CD$2,$B:$H,7,0),CD66,)),0)</f>
        <v>0</v>
      </c>
      <c r="CG66" s="58" t="e">
        <f t="shared" ca="1" si="61"/>
        <v>#REF!</v>
      </c>
      <c r="CJ66" s="450" t="e">
        <f t="shared" ref="CJ66:CJ80" ca="1" si="88">CM65</f>
        <v>#REF!</v>
      </c>
      <c r="CK66" s="58" t="e">
        <f ca="1">(VLOOKUP(CJ$2,$B$1:$F$32,5,0)*$L66)+(VLOOKUP($K66,'Withdrawal Working'!$AD:$AE,2,0)*(IFERROR(VLOOKUP(CJ$2,$B$35:$C$42,2,0),0)))+SUMIFS('Key Life Events'!$I$3:$I$28,'Key Life Events'!$H$3:$H$28,"House2",'Key Life Events'!$E$3:$E$28,'Yoy WAR OG'!K66)</f>
        <v>#REF!</v>
      </c>
      <c r="CL66" s="58">
        <f ca="1">IF(IFERROR(IF($K66&lt;&gt;VLOOKUP(CJ$2,$B:$H,7,0),IF(CN$3=1,MIN($M66,CJ66),IF(HLOOKUP(CONCATENATE("Balance",CN$3-1),'Withdrawal Working'!$A$2:$CD$78,MATCH('Yoy WAR OG'!$J66,'Withdrawal Working'!$A$2:$A$78,0),FALSE)&gt;0,MIN(HLOOKUP(CONCATENATE("Balance",CN$3-1),'Withdrawal Working'!$A$2:$CD$78,MATCH('Yoy WAR OG'!$J66,'Withdrawal Working'!$A$2:$A$78,0),0),CJ66),0)),IF($K66=VLOOKUP(CJ$2,$B:$H,7,0),CJ66,)),0)&gt;0,CJ66,0)</f>
        <v>0</v>
      </c>
      <c r="CM66" s="58" t="e">
        <f t="shared" ca="1" si="62"/>
        <v>#REF!</v>
      </c>
      <c r="CP66" s="450" t="e">
        <f t="shared" ref="CP66:CP80" ca="1" si="89">CS65</f>
        <v>#REF!</v>
      </c>
      <c r="CQ66" s="58" t="e">
        <f ca="1">(VLOOKUP(CP$2,$B$1:$F$32,5,0)*$L66)+(VLOOKUP($K66,'Withdrawal Working'!$AD:$AE,2,0)*(IFERROR(VLOOKUP(CP$2,$B$35:$C$42,2,0),0)))+SUMIFS('Key Life Events'!$I$3:$I$28,'Key Life Events'!$H$3:$H$28,"Land",'Key Life Events'!$E$3:$E$28,'Yoy WAR OG'!K66)</f>
        <v>#REF!</v>
      </c>
      <c r="CR66" s="58">
        <f ca="1">IFERROR(IF($K66&lt;VLOOKUP(CP$2,$B:$H,7,0),IF(CT$3=1,MIN($M66,CP66),IF(HLOOKUP(CONCATENATE("Balance",CT$3-1),'Withdrawal Working'!$A$2:$CD$78,MATCH('Yoy WAR OG'!$J66,'Withdrawal Working'!$A$2:$A$78,0),FALSE)&gt;0,MIN(HLOOKUP(CONCATENATE("Balance",CT$3-1),'Withdrawal Working'!$A$2:$CD$78,MATCH('Yoy WAR OG'!$J66,'Withdrawal Working'!$A$2:$A$78,0),0),CP66),0)),IF($K66=VLOOKUP(CP$2,$B:$H,7,0),CP66,)),0)</f>
        <v>0</v>
      </c>
      <c r="CS66" s="58" t="e">
        <f t="shared" ca="1" si="63"/>
        <v>#REF!</v>
      </c>
      <c r="CV66" s="450">
        <f t="shared" ref="CV66:CV80" ca="1" si="90">CY65</f>
        <v>0</v>
      </c>
      <c r="CW66" s="58"/>
      <c r="CX66" s="58">
        <f ca="1">IFERROR(IF($K66&lt;VLOOKUP(CV$2,$B:$H,7,0),IF(CZ$3=1,MIN($M66,CV66),IF(HLOOKUP(CONCATENATE("Balance",CZ$3-1),'Withdrawal Working'!$A$2:$CD$78,MATCH('Yoy WAR OG'!$J66,'Withdrawal Working'!$A$2:$A$78,0),FALSE)&gt;0,MIN(HLOOKUP(CONCATENATE("Balance",CZ$3-1),'Withdrawal Working'!$A$2:$CD$78,MATCH('Yoy WAR OG'!$J66,'Withdrawal Working'!$A$2:$A$78,0),0),CV66),0)),IF($K66=VLOOKUP(CV$2,$B:$H,7,0),CV66,)),0)</f>
        <v>0</v>
      </c>
      <c r="CY66" s="58">
        <f t="shared" ca="1" si="64"/>
        <v>0</v>
      </c>
      <c r="DB66" s="450" t="e">
        <f t="shared" ref="DB66:DB80" ca="1" si="91">DE65</f>
        <v>#REF!</v>
      </c>
      <c r="DC66" s="58" t="e">
        <f ca="1">(VLOOKUP(DB$2,$B$1:$F$32,5,0)*$L66)+(VLOOKUP($K66,'Withdrawal Working'!$AD:$AE,2,0)*(IFERROR(VLOOKUP(DB$2,$B$35:$C$42,2,0),0)))</f>
        <v>#REF!</v>
      </c>
      <c r="DD66" s="58">
        <f ca="1">IFERROR(IF($K66&lt;VLOOKUP(DB$2,$B:$H,7,0),IF(DF$3=1,MIN($M66,DB66),IF(HLOOKUP(CONCATENATE("Balance",DF$3-1),'Withdrawal Working'!$A$2:$CD$78,MATCH('Yoy WAR OG'!$J66,'Withdrawal Working'!$A$2:$A$78,0),FALSE)&gt;0,MIN(HLOOKUP(CONCATENATE("Balance",DF$3-1),'Withdrawal Working'!$A$2:$CD$78,MATCH('Yoy WAR OG'!$J66,'Withdrawal Working'!$A$2:$A$78,0),0),DB66),0)),IF($K66=VLOOKUP(DB$2,$B:$H,7,0),DB66,)),0)</f>
        <v>0</v>
      </c>
      <c r="DE66" s="58" t="e">
        <f t="shared" ca="1" si="65"/>
        <v>#REF!</v>
      </c>
      <c r="DH66" s="450">
        <f t="shared" ref="DH66:DH80" ca="1" si="92">DK65</f>
        <v>0</v>
      </c>
      <c r="DI66" s="58">
        <f>IF(OR(J66&gt;'NWGC - SCENARIOS'!$D$7,J66='NWGC - SCENARIOS'!$D$7),0,DI65*(1+'NWGC - SCENARIOS'!$L$5))</f>
        <v>0</v>
      </c>
      <c r="DJ66" s="58">
        <f ca="1">IFERROR(IF($K66&lt;VLOOKUP(DH$2,$B:$H,7,0),IF(DL$3=1,MIN($M66,DH66),IF(HLOOKUP(CONCATENATE("Balance",DL$3-1),'Withdrawal Working'!$A$2:$CD$78,MATCH('Yoy WAR OG'!$J66,'Withdrawal Working'!$A$2:$A$78,0),FALSE)&gt;0,MIN(HLOOKUP(CONCATENATE("Balance",DL$3-1),'Withdrawal Working'!$A$2:$CD$78,MATCH('Yoy WAR OG'!$J66,'Withdrawal Working'!$A$2:$A$78,0),0),DH66),0)),IF($K66=VLOOKUP(DH$2,$B:$H,7,0),DH66,)),0)</f>
        <v>0</v>
      </c>
      <c r="DK66" s="58">
        <f t="shared" ca="1" si="66"/>
        <v>0</v>
      </c>
      <c r="DN66" s="450" t="e">
        <f t="shared" ref="DN66:DN80" ca="1" si="93">DQ65</f>
        <v>#REF!</v>
      </c>
      <c r="DO66" s="58" t="e">
        <f ca="1">(VLOOKUP(DN$2,$B$1:$F$32,5,0)*$L66)+(VLOOKUP($K66,'Withdrawal Working'!$AD:$AE,2,0)*(IFERROR(VLOOKUP(DN$2,$B$35:$C$42,2,0),0)))</f>
        <v>#REF!</v>
      </c>
      <c r="DP66" s="58">
        <f ca="1">IFERROR(IF($K66&lt;VLOOKUP(DN$2,$B:$H,7,0),IF(DR$3=1,MIN($M66,DN66),IF(HLOOKUP(CONCATENATE("Balance",DR$3-1),'Withdrawal Working'!$A$2:$CD$78,MATCH('Yoy WAR OG'!$J66,'Withdrawal Working'!$A$2:$A$78,0),FALSE)&gt;0,MIN(HLOOKUP(CONCATENATE("Balance",DR$3-1),'Withdrawal Working'!$A$2:$CD$78,MATCH('Yoy WAR OG'!$J66,'Withdrawal Working'!$A$2:$A$78,0),0),DN66),0)),IF($K66=VLOOKUP(DN$2,$B:$H,7,0),DN66,)),0)</f>
        <v>0</v>
      </c>
      <c r="DQ66" s="58" t="e">
        <f t="shared" ca="1" si="67"/>
        <v>#REF!</v>
      </c>
      <c r="DT66" s="450" t="e">
        <f t="shared" ref="DT66:DT80" ca="1" si="94">DW65</f>
        <v>#REF!</v>
      </c>
      <c r="DU66" s="58" t="e">
        <f ca="1">(VLOOKUP(DT$2,$B$1:$F$32,5,0)*$L66)+(VLOOKUP($K66,'Withdrawal Working'!$AD:$AE,2,0)*(IFERROR(VLOOKUP(DT$2,$B$35:$C$42,2,0),0)))</f>
        <v>#REF!</v>
      </c>
      <c r="DV66" s="58">
        <f ca="1">IFERROR(IF($K66&lt;VLOOKUP(DT$2,$B:$H,7,0),IF(DX$3=1,MIN($M66,DT66),IF(HLOOKUP(CONCATENATE("Balance",DX$3-1),'Withdrawal Working'!$A$2:$CD$78,MATCH('Yoy WAR OG'!$J66,'Withdrawal Working'!$A$2:$A$78,0),FALSE)&gt;0,MIN(HLOOKUP(CONCATENATE("Balance",DX$3-1),'Withdrawal Working'!$A$2:$CD$78,MATCH('Yoy WAR OG'!$J66,'Withdrawal Working'!$A$2:$A$78,0),0),DT66),0)),IF($K66=VLOOKUP(DT$2,$B:$H,7,0),DT66,)),0)</f>
        <v>0</v>
      </c>
      <c r="DW66" s="58" t="e">
        <f t="shared" ca="1" si="68"/>
        <v>#REF!</v>
      </c>
      <c r="DZ66" s="450" t="e">
        <f t="shared" ref="DZ66:DZ80" ca="1" si="95">EC65</f>
        <v>#REF!</v>
      </c>
      <c r="EA66" s="58" t="e">
        <f ca="1">(VLOOKUP(DZ$2,$B$1:$F$32,5,0)*$L66)+(VLOOKUP($K66,'Withdrawal Working'!$AD:$AE,2,0)*(IFERROR(VLOOKUP(DZ$2,$B$35:$C$42,2,0),0)))</f>
        <v>#REF!</v>
      </c>
      <c r="EB66" s="58">
        <f ca="1">IFERROR(IF($K66&lt;VLOOKUP(DZ$2,$B:$H,7,0),IF(ED$3=1,MIN($M66,DZ66),IF(HLOOKUP(CONCATENATE("Balance",ED$3-1),'Withdrawal Working'!$A$2:$CD$78,MATCH('Yoy WAR OG'!$J66,'Withdrawal Working'!$A$2:$A$78,0),FALSE)&gt;0,MIN(HLOOKUP(CONCATENATE("Balance",ED$3-1),'Withdrawal Working'!$A$2:$CD$78,MATCH('Yoy WAR OG'!$J66,'Withdrawal Working'!$A$2:$A$78,0),0),DZ66),0)),IF($K66=VLOOKUP(DZ$2,$B:$H,7,0),DZ66,)),0)</f>
        <v>0</v>
      </c>
      <c r="EC66" s="58" t="e">
        <f t="shared" ca="1" si="69"/>
        <v>#REF!</v>
      </c>
      <c r="EF66" s="450" t="e">
        <f t="shared" ref="EF66:EF80" ca="1" si="96">EI65</f>
        <v>#REF!</v>
      </c>
      <c r="EG66" s="58" t="e">
        <f ca="1">(VLOOKUP(EF$2,$B$1:$F$32,5,0)*$L66)+(VLOOKUP($K66,'Withdrawal Working'!$AD:$AE,2,0)*(IFERROR(VLOOKUP(EF$2,$B$35:$C$42,2,0),0)))</f>
        <v>#REF!</v>
      </c>
      <c r="EH66" s="58">
        <f ca="1">IFERROR(IF($K66&lt;VLOOKUP(EF$2,$B:$H,7,0),IF(EJ$3=1,MIN($M66,EF66),IF(HLOOKUP(CONCATENATE("Balance",EJ$3-1),'Withdrawal Working'!$A$2:$CD$78,MATCH('Yoy WAR OG'!$J66,'Withdrawal Working'!$A$2:$A$78,0),FALSE)&gt;0,MIN(HLOOKUP(CONCATENATE("Balance",EJ$3-1),'Withdrawal Working'!$A$2:$CD$78,MATCH('Yoy WAR OG'!$J66,'Withdrawal Working'!$A$2:$A$78,0),0),EF66),0)),IF($K66=VLOOKUP(EF$2,$B:$H,7,0),EF66,)),0)</f>
        <v>0</v>
      </c>
      <c r="EI66" s="58" t="e">
        <f t="shared" ca="1" si="70"/>
        <v>#REF!</v>
      </c>
      <c r="EL66" s="450">
        <f t="shared" ref="EL66:EL80" ca="1" si="97">EO65</f>
        <v>0</v>
      </c>
      <c r="EM66" s="58">
        <f>IF(OR($J66&gt;'NWGC - SCENARIOS'!$D$7,$J66='NWGC - SCENARIOS'!$D$7),0,EM65)</f>
        <v>0</v>
      </c>
      <c r="EN66" s="58">
        <f ca="1">IFERROR(IF($K66&lt;VLOOKUP(EL$2,$B:$H,7,0),IF(EP$3=1,MIN($M66,EL66),IF(HLOOKUP(CONCATENATE("Balance",EP$3-1),'Withdrawal Working'!$A$2:$CD$78,MATCH('Yoy WAR OG'!$J66,'Withdrawal Working'!$A$2:$A$78,0),FALSE)&gt;0,MIN(HLOOKUP(CONCATENATE("Balance",EP$3-1),'Withdrawal Working'!$A$2:$CD$78,MATCH('Yoy WAR OG'!$J66,'Withdrawal Working'!$A$2:$A$78,0),0),EL66),0)),IF($K66=VLOOKUP(EL$2,$B:$H,7,0),EL66,)),0)</f>
        <v>0</v>
      </c>
      <c r="EO66" s="58">
        <f t="shared" ca="1" si="71"/>
        <v>0</v>
      </c>
      <c r="ER66" s="450">
        <f t="shared" ref="ER66:ER80" ca="1" si="98">EU65</f>
        <v>0</v>
      </c>
      <c r="ES66" s="58">
        <f>IF(OR(J66&gt;'NWGC - SCENARIOS'!$D$7,J66='NWGC - SCENARIOS'!$D$7),0,ES65*(1+'NWGC - SCENARIOS'!$L$5))</f>
        <v>0</v>
      </c>
      <c r="ET66" s="58">
        <f ca="1">IFERROR(IF($K66&lt;VLOOKUP(ER$2,$B:$H,7,0),IF(EV$3=1,MIN($M66,ER66),IF(HLOOKUP(CONCATENATE("Balance",EV$3-1),'Withdrawal Working'!$A$2:$CD$78,MATCH('Yoy WAR OG'!$J66,'Withdrawal Working'!$A$2:$A$78,0),FALSE)&gt;0,MIN(HLOOKUP(CONCATENATE("Balance",EV$3-1),'Withdrawal Working'!$A$2:$CD$78,MATCH('Yoy WAR OG'!$J66,'Withdrawal Working'!$A$2:$A$78,0),0),ER66),0)),IF($K66=VLOOKUP(ER$2,$B:$H,7,0),ER66,)),0)</f>
        <v>0</v>
      </c>
      <c r="EU66" s="58">
        <f t="shared" ca="1" si="72"/>
        <v>0</v>
      </c>
      <c r="EX66" s="450">
        <f t="shared" ref="EX66:EX80" ca="1" si="99">FA65</f>
        <v>0</v>
      </c>
      <c r="EY66" s="58">
        <f>IF(OR(J66&gt;'NWGC - SCENARIOS'!$D$7,J66='NWGC - SCENARIOS'!$D$7),0,EY65)</f>
        <v>0</v>
      </c>
      <c r="EZ66" s="58">
        <f ca="1">IFERROR(IF($K66&lt;VLOOKUP(EX$2,$B:$H,7,0),IF(FB$3=1,MIN($M66,EX66),IF(HLOOKUP(CONCATENATE("Balance",FB$3-1),'Withdrawal Working'!$A$2:$CD$78,MATCH('Yoy WAR OG'!$J66,'Withdrawal Working'!$A$2:$A$78,0),FALSE)&gt;0,MIN(HLOOKUP(CONCATENATE("Balance",FB$3-1),'Withdrawal Working'!$A$2:$CD$78,MATCH('Yoy WAR OG'!$J66,'Withdrawal Working'!$A$2:$A$78,0),0),EX66),0)),IF($K66=VLOOKUP(EX$2,$B:$H,7,0),EX66,)),0)</f>
        <v>0</v>
      </c>
      <c r="FA66" s="58">
        <f t="shared" ca="1" si="73"/>
        <v>0</v>
      </c>
    </row>
    <row r="67" spans="10:157" x14ac:dyDescent="0.3">
      <c r="J67">
        <f>IFERROR('NWGC - SCENARIOS'!#REF!,0)</f>
        <v>0</v>
      </c>
      <c r="K67">
        <f>IFERROR('NWGC - SCENARIOS'!#REF!,0)</f>
        <v>0</v>
      </c>
      <c r="L67" s="449" t="e">
        <f>IF(('NWGC - SCENARIOS'!#REF!-working!G65)&gt;'NWGC - SCENARIOS'!#REF!,'NWGC - SCENARIOS'!#REF!-'NWGC - SCENARIOS'!#REF!-working!G65,0)</f>
        <v>#REF!</v>
      </c>
      <c r="M67" s="449" t="e">
        <f>IF(('NWGC - SCENARIOS'!#REF!-working!G65)&gt;'NWGC - SCENARIOS'!#REF!,0,'NWGC - SCENARIOS'!#REF!-'NWGC - SCENARIOS'!#REF!+working!G65)</f>
        <v>#REF!</v>
      </c>
      <c r="N67" s="58" t="e">
        <f t="shared" ca="1" si="50"/>
        <v>#REF!</v>
      </c>
      <c r="O67" s="58" t="e">
        <f t="shared" ca="1" si="51"/>
        <v>#REF!</v>
      </c>
      <c r="P67" s="58" t="e">
        <f t="shared" ca="1" si="76"/>
        <v>#REF!</v>
      </c>
      <c r="Q67" s="58" t="e">
        <f ca="1">(VLOOKUP(P$2,$B$1:$F$32,5,0)*$L67)+(VLOOKUP($K67,'Withdrawal Working'!$AD:$AE,2,0)*(IFERROR(VLOOKUP(P$2,$B$35:$C$42,2,0),0)))</f>
        <v>#REF!</v>
      </c>
      <c r="R67" s="58">
        <f>IFERROR(IF($K67&lt;VLOOKUP(P$2,$B:$H,7,0),IF(T$3=1,MIN($M67,P67),IF(HLOOKUP(CONCATENATE("Balance",T$3-1),'Withdrawal Working'!$A$2:$CD$78,MATCH('Yoy WAR OG'!$J67,'Withdrawal Working'!$A$2:$A$78,0),FALSE)&gt;0,MIN(HLOOKUP(CONCATENATE("Balance",T$3-1),'Withdrawal Working'!$A$2:$CD$78,MATCH('Yoy WAR OG'!$J67,'Withdrawal Working'!$A$2:$A$78,0),0),P67),0)),IF($K67=VLOOKUP(P$2,$B:$H,7,0),P67,)),0)</f>
        <v>0</v>
      </c>
      <c r="S67" s="58" t="e">
        <f t="shared" ca="1" si="75"/>
        <v>#REF!</v>
      </c>
      <c r="T67" s="58"/>
      <c r="V67" s="58" t="e">
        <f t="shared" ca="1" si="77"/>
        <v>#REF!</v>
      </c>
      <c r="W67" s="58" t="e">
        <f ca="1">(VLOOKUP(V$2,$B$1:$F$32,5,0)*$L67)+(VLOOKUP($K67,'Withdrawal Working'!$AD:$AE,2,0)*(IFERROR(VLOOKUP(V$2,$B$35:$C$42,2,0),0)))</f>
        <v>#REF!</v>
      </c>
      <c r="X67" s="58">
        <f>IFERROR(IF($K67&lt;VLOOKUP(V$2,$B:$H,7,0),IF(Z$3=1,MIN($M67,V67),IF(HLOOKUP(CONCATENATE("Balance",Z$3-1),'Withdrawal Working'!$A$2:$CD$78,MATCH('Yoy WAR OG'!$J67,'Withdrawal Working'!$A$2:$A$78,0),FALSE)&gt;0,MIN(HLOOKUP(CONCATENATE("Balance",Z$3-1),'Withdrawal Working'!$A$2:$CD$78,MATCH('Yoy WAR OG'!$J67,'Withdrawal Working'!$A$2:$A$78,0),0),V67),0)),IF($K67=VLOOKUP(V$2,$B:$H,7,0),V67,)),0)</f>
        <v>0</v>
      </c>
      <c r="Y67" s="58" t="e">
        <f t="shared" ca="1" si="52"/>
        <v>#REF!</v>
      </c>
      <c r="AB67" s="58" t="e">
        <f t="shared" ca="1" si="78"/>
        <v>#REF!</v>
      </c>
      <c r="AC67" s="58" t="e">
        <f ca="1">(VLOOKUP(AB$2,$B$1:$F$32,5,0)*$L67)+(VLOOKUP($K67,'Withdrawal Working'!$AD:$AE,2,0)*(IFERROR(VLOOKUP(AB$2,$B$35:$C$42,2,0),0)))</f>
        <v>#REF!</v>
      </c>
      <c r="AE67" s="58" t="e">
        <f t="shared" ca="1" si="53"/>
        <v>#REF!</v>
      </c>
      <c r="AH67" s="58" t="e">
        <f t="shared" ca="1" si="79"/>
        <v>#REF!</v>
      </c>
      <c r="AI67" s="58" t="e">
        <f ca="1">(VLOOKUP(AH$2,$B$1:$F$32,5,0)*$L67)+IF(J67&gt;'NWGC - SCENARIOS'!$D$7,0,(VLOOKUP($K67,'Withdrawal Working'!$AD:$AE,2,0)*(IFERROR(VLOOKUP(AH$2,$B$35:$C$42,2,0),0))))</f>
        <v>#REF!</v>
      </c>
      <c r="AJ67" s="58">
        <f ca="1">IFERROR(IF($J67&gt;'NWGC - SCENARIOS'!$D$7,MIN('Yoy WAR OG'!AH67,VLOOKUP('Yoy WAR OG'!$J67,'Withdrawal Working'!BC:BD,2,0)),IF(AL$3=1,$M67,IF(HLOOKUP(CONCATENATE("Balance",AL$3-1),'Withdrawal Working'!$A$2:$CD$78,MATCH('Yoy WAR OG'!$J67,'Withdrawal Working'!$A$2:$A$78,0),FALSE)&gt;0,MIN(HLOOKUP(CONCATENATE("Balance",AL$3-1),'Withdrawal Working'!$A$2:$CD$78,MATCH('Yoy WAR OG'!$J67,'Withdrawal Working'!$A$2:$A$78,0),0),AH67),0))),0)</f>
        <v>0</v>
      </c>
      <c r="AK67" s="58" t="e">
        <f t="shared" ca="1" si="54"/>
        <v>#REF!</v>
      </c>
      <c r="AN67" s="450" t="e">
        <f t="shared" ca="1" si="80"/>
        <v>#REF!</v>
      </c>
      <c r="AO67" s="58" t="e">
        <f ca="1">IF(J67&gt;'NWGC - SCENARIOS'!$D$7,(IF(AJ67=0,0,'Yoy WAR OG'!AJ67)+(VLOOKUP(AN$2,$B$1:$F$32,5,0)*$L67)),(VLOOKUP(AN$2,$B$1:$F$32,5,0)*$L67)+(VLOOKUP($K67,'Withdrawal Working'!$AD:$AE,2,0)*(IFERROR(VLOOKUP(AN$2,$B$35:$C$42,2,0),0))))</f>
        <v>#REF!</v>
      </c>
      <c r="AP67" s="470">
        <f ca="1">IFERROR(IF($K67&lt;&gt;VLOOKUP(AN$2,$B:$H,7,0),IF(AR$3=1,MIN($M67,AN67),IF(HLOOKUP(CONCATENATE("Balance",AR$3-1),'Withdrawal Working'!$A$2:$CD$78,MATCH('Yoy WAR OG'!$J67,'Withdrawal Working'!$A$2:$A$78,0),FALSE)&gt;0,MIN(HLOOKUP(CONCATENATE("Balance",AR$3-1),'Withdrawal Working'!$A$2:$CD$78,MATCH('Yoy WAR OG'!$J67,'Withdrawal Working'!$A$2:$A$78,0),0),AN67),0)),IF($K67=VLOOKUP(AN$2,$B:$H,7,0),AN67,)),0)</f>
        <v>0</v>
      </c>
      <c r="AQ67" s="58" t="e">
        <f ca="1">IF(AO67&lt;0,0,IF(J67&gt;'NWGC - SCENARIOS'!$D$7,((AN67-AP67+AO67)*(1+(IFERROR(VLOOKUP(AN$2,$B:$D,3,0),0)))),((AN67-AP67)*(1+(IFERROR(VLOOKUP(AN$2,$B:$D,3,0),0))))+AO67))</f>
        <v>#REF!</v>
      </c>
      <c r="AT67" s="450" t="e">
        <f t="shared" ca="1" si="81"/>
        <v>#REF!</v>
      </c>
      <c r="AU67" s="58" t="e">
        <f ca="1">(VLOOKUP(AT$2,$B$1:$F$32,5,0)*$L67)+(VLOOKUP($K67,'Withdrawal Working'!$AD:$AE,2,0)*(IFERROR(VLOOKUP(AT$2,$B$35:$C$42,2,0),0)))</f>
        <v>#REF!</v>
      </c>
      <c r="AV67" s="58">
        <f>IFERROR(IF($K67&lt;VLOOKUP(AT$2,$B:$H,7,0),IF(AX$3=1,MIN($M67,AT67),IF(HLOOKUP(CONCATENATE("Balance",AX$3-1),'Withdrawal Working'!$A$2:$CD$78,MATCH('Yoy WAR OG'!$J67,'Withdrawal Working'!$A$2:$A$78,0),FALSE)&gt;0,MIN(HLOOKUP(CONCATENATE("Balance",AX$3-1),'Withdrawal Working'!$A$2:$CD$78,MATCH('Yoy WAR OG'!$J67,'Withdrawal Working'!$A$2:$A$78,0),0),AT67),0)),IF($K67=VLOOKUP(AT$2,$B:$H,7,0),AT67,)),0)</f>
        <v>0</v>
      </c>
      <c r="AW67" s="58" t="e">
        <f t="shared" ca="1" si="55"/>
        <v>#REF!</v>
      </c>
      <c r="AZ67" s="450" t="e">
        <f t="shared" ca="1" si="82"/>
        <v>#REF!</v>
      </c>
      <c r="BA67" s="58" t="e">
        <f ca="1">(VLOOKUP(AZ$2,$B$1:$F$32,5,0)*$L67)+(VLOOKUP($K67,'Withdrawal Working'!$AD:$AE,2,0)*(IFERROR(VLOOKUP(AZ$2,$B$35:$C$42,2,0),0)))</f>
        <v>#REF!</v>
      </c>
      <c r="BB67" s="58">
        <f ca="1">IFERROR(IF($K67&lt;VLOOKUP(AZ$2,$B:$H,7,0),IF(BD$3=1,MIN($M67,AZ67),IF(HLOOKUP(CONCATENATE("Balance",BD$3-1),'Withdrawal Working'!$A$2:$CD$78,MATCH('Yoy WAR OG'!$J67,'Withdrawal Working'!$A$2:$A$78,0),FALSE)&gt;0,MIN(HLOOKUP(CONCATENATE("Balance",BD$3-1),'Withdrawal Working'!$A$2:$CD$78,MATCH('Yoy WAR OG'!$J67,'Withdrawal Working'!$A$2:$A$78,0),0),AZ67),0)),IF($K67=VLOOKUP(AZ$2,$B:$H,7,0),AZ67,)),0)</f>
        <v>0</v>
      </c>
      <c r="BC67" s="58" t="e">
        <f t="shared" ca="1" si="56"/>
        <v>#REF!</v>
      </c>
      <c r="BF67" s="450" t="e">
        <f t="shared" ca="1" si="83"/>
        <v>#REF!</v>
      </c>
      <c r="BG67" s="58" t="e">
        <f ca="1">(VLOOKUP(BF$2,$B$1:$F$32,5,0)*$L67)+(VLOOKUP($K67,'Withdrawal Working'!$AD:$AE,2,0)*(IFERROR(VLOOKUP(BF$2,$B$35:$C$42,2,0),0)))</f>
        <v>#REF!</v>
      </c>
      <c r="BH67" s="58">
        <f>IFERROR(IF($K67&lt;VLOOKUP(BF$2,$B:$H,7,0),IF(BJ$3=1,MIN($M67,BF67),IF(HLOOKUP(CONCATENATE("Balance",BJ$3-1),'Withdrawal Working'!$A$2:$CD$78,MATCH('Yoy WAR OG'!$J67,'Withdrawal Working'!$A$2:$A$78,0),FALSE)&gt;0,MIN(HLOOKUP(CONCATENATE("Balance",BJ$3-1),'Withdrawal Working'!$A$2:$CD$78,MATCH('Yoy WAR OG'!$J67,'Withdrawal Working'!$A$2:$A$78,0),0),BF67),0)),IF($K67=VLOOKUP(BF$2,$B:$H,7,0),BF67,)),0)</f>
        <v>0</v>
      </c>
      <c r="BI67" s="58" t="e">
        <f t="shared" ca="1" si="57"/>
        <v>#REF!</v>
      </c>
      <c r="BL67" s="450" t="e">
        <f t="shared" ca="1" si="84"/>
        <v>#REF!</v>
      </c>
      <c r="BM67" s="58" t="e">
        <f ca="1">(VLOOKUP(BL$2,$B$1:$F$32,5,0)*$L67)+(VLOOKUP($K67,'Withdrawal Working'!$AD:$AE,2,0)*(IFERROR(VLOOKUP(BL$2,$B$35:$C$42,2,0),0)))</f>
        <v>#REF!</v>
      </c>
      <c r="BN67" s="58">
        <f ca="1">IFERROR(IF($K67&lt;VLOOKUP(BL$2,$B:$H,7,0),IF(BP$3=1,MIN($M67,BL67),IF(HLOOKUP(CONCATENATE("Balance",BP$3-1),'Withdrawal Working'!$A$2:$CD$78,MATCH('Yoy WAR OG'!$J67,'Withdrawal Working'!$A$2:$A$78,0),FALSE)&gt;0,MIN(HLOOKUP(CONCATENATE("Balance",BP$3-1),'Withdrawal Working'!$A$2:$CD$78,MATCH('Yoy WAR OG'!$J67,'Withdrawal Working'!$A$2:$A$78,0),0),BL67),0)),IF($K67=VLOOKUP(BL$2,$B:$H,7,0),BL67,)),0)</f>
        <v>0</v>
      </c>
      <c r="BO67" s="58" t="e">
        <f t="shared" ca="1" si="58"/>
        <v>#REF!</v>
      </c>
      <c r="BR67" s="450" t="e">
        <f t="shared" ca="1" si="85"/>
        <v>#REF!</v>
      </c>
      <c r="BS67" s="58" t="e">
        <f ca="1">(VLOOKUP(BR$2,$B$1:$F$32,5,0)*$L67)+(VLOOKUP($K67,'Withdrawal Working'!$AD:$AE,2,0)*(IFERROR(VLOOKUP(BR$2,$B$35:$C$42,2,0),0)))</f>
        <v>#REF!</v>
      </c>
      <c r="BT67" s="58">
        <f ca="1">IFERROR(IF($K67&lt;VLOOKUP(BR$2,$B:$H,7,0),IF(BV$3=1,MIN($M67,BR67),IF(HLOOKUP(CONCATENATE("Balance",BV$3-1),'Withdrawal Working'!$A$2:$CD$78,MATCH('Yoy WAR OG'!$J67,'Withdrawal Working'!$A$2:$A$78,0),FALSE)&gt;0,MIN(HLOOKUP(CONCATENATE("Balance",BV$3-1),'Withdrawal Working'!$A$2:$CD$78,MATCH('Yoy WAR OG'!$J67,'Withdrawal Working'!$A$2:$A$78,0),0),BR67),0)),IF($K67=VLOOKUP(BR$2,$B:$H,7,0),BR67,)),0)</f>
        <v>0</v>
      </c>
      <c r="BU67" s="58" t="e">
        <f t="shared" ca="1" si="59"/>
        <v>#REF!</v>
      </c>
      <c r="BX67" s="450" t="e">
        <f t="shared" ca="1" si="86"/>
        <v>#REF!</v>
      </c>
      <c r="BY67" s="58" t="e">
        <f ca="1">(VLOOKUP(BX$2,$B$1:$F$32,5,0)*$L67)+(VLOOKUP($K67,'Withdrawal Working'!$AD:$AE,2,0)*(IFERROR(VLOOKUP(BX$2,$B$35:$C$42,2,0),0)))</f>
        <v>#REF!</v>
      </c>
      <c r="BZ67" s="58">
        <f ca="1">IFERROR(IF($K67&lt;VLOOKUP(BX$2,$B:$H,7,0),IF(CB$3=1,MIN($M67,BX67),IF(HLOOKUP(CONCATENATE("Balance",CB$3-1),'Withdrawal Working'!$A$2:$CD$78,MATCH('Yoy WAR OG'!$J67,'Withdrawal Working'!$A$2:$A$78,0),FALSE)&gt;0,MIN(HLOOKUP(CONCATENATE("Balance",CB$3-1),'Withdrawal Working'!$A$2:$CD$78,MATCH('Yoy WAR OG'!$J67,'Withdrawal Working'!$A$2:$A$78,0),0),BX67),0)),IF($K67=VLOOKUP(BX$2,$B:$H,7,0),BX67,)),0)</f>
        <v>0</v>
      </c>
      <c r="CA67" s="58" t="e">
        <f t="shared" ca="1" si="60"/>
        <v>#REF!</v>
      </c>
      <c r="CD67" s="450" t="e">
        <f t="shared" ca="1" si="87"/>
        <v>#REF!</v>
      </c>
      <c r="CE67" s="58" t="e">
        <f ca="1">(VLOOKUP(CD$2,$B$1:$F$32,5,0)*$L67)+(VLOOKUP($K67,'Withdrawal Working'!$AD:$AE,2,0)*(IFERROR(VLOOKUP(CD$2,$B$35:$C$42,2,0),0)))+SUMIFS('Key Life Events'!$I$3:$I$28,'Key Life Events'!$H$3:$H$28,"House",'Key Life Events'!$E$3:$E$28,'Yoy WAR OG'!K67)</f>
        <v>#REF!</v>
      </c>
      <c r="CF67" s="58">
        <f ca="1">IFERROR(IF($K67&lt;VLOOKUP(CD$2,$B:$H,7,0),IF(CH$3=1,MIN($M67,CD67),IF(HLOOKUP(CONCATENATE("Balance",CH$3-1),'Withdrawal Working'!$A$2:$CD$78,MATCH('Yoy WAR OG'!$J67,'Withdrawal Working'!$A$2:$A$78,0),FALSE)&gt;0,MIN(HLOOKUP(CONCATENATE("Balance",CH$3-1),'Withdrawal Working'!$A$2:$CD$78,MATCH('Yoy WAR OG'!$J67,'Withdrawal Working'!$A$2:$A$78,0),0),CD67),0)),IF($K67=VLOOKUP(CD$2,$B:$H,7,0),CD67,)),0)</f>
        <v>0</v>
      </c>
      <c r="CG67" s="58" t="e">
        <f t="shared" ca="1" si="61"/>
        <v>#REF!</v>
      </c>
      <c r="CJ67" s="450" t="e">
        <f t="shared" ca="1" si="88"/>
        <v>#REF!</v>
      </c>
      <c r="CK67" s="58" t="e">
        <f ca="1">(VLOOKUP(CJ$2,$B$1:$F$32,5,0)*$L67)+(VLOOKUP($K67,'Withdrawal Working'!$AD:$AE,2,0)*(IFERROR(VLOOKUP(CJ$2,$B$35:$C$42,2,0),0)))+SUMIFS('Key Life Events'!$I$3:$I$28,'Key Life Events'!$H$3:$H$28,"House2",'Key Life Events'!$E$3:$E$28,'Yoy WAR OG'!K67)</f>
        <v>#REF!</v>
      </c>
      <c r="CL67" s="58">
        <f ca="1">IF(IFERROR(IF($K67&lt;&gt;VLOOKUP(CJ$2,$B:$H,7,0),IF(CN$3=1,MIN($M67,CJ67),IF(HLOOKUP(CONCATENATE("Balance",CN$3-1),'Withdrawal Working'!$A$2:$CD$78,MATCH('Yoy WAR OG'!$J67,'Withdrawal Working'!$A$2:$A$78,0),FALSE)&gt;0,MIN(HLOOKUP(CONCATENATE("Balance",CN$3-1),'Withdrawal Working'!$A$2:$CD$78,MATCH('Yoy WAR OG'!$J67,'Withdrawal Working'!$A$2:$A$78,0),0),CJ67),0)),IF($K67=VLOOKUP(CJ$2,$B:$H,7,0),CJ67,)),0)&gt;0,CJ67,0)</f>
        <v>0</v>
      </c>
      <c r="CM67" s="58" t="e">
        <f t="shared" ca="1" si="62"/>
        <v>#REF!</v>
      </c>
      <c r="CP67" s="450" t="e">
        <f t="shared" ca="1" si="89"/>
        <v>#REF!</v>
      </c>
      <c r="CQ67" s="58" t="e">
        <f ca="1">(VLOOKUP(CP$2,$B$1:$F$32,5,0)*$L67)+(VLOOKUP($K67,'Withdrawal Working'!$AD:$AE,2,0)*(IFERROR(VLOOKUP(CP$2,$B$35:$C$42,2,0),0)))+SUMIFS('Key Life Events'!$I$3:$I$28,'Key Life Events'!$H$3:$H$28,"Land",'Key Life Events'!$E$3:$E$28,'Yoy WAR OG'!K67)</f>
        <v>#REF!</v>
      </c>
      <c r="CR67" s="58">
        <f ca="1">IFERROR(IF($K67&lt;VLOOKUP(CP$2,$B:$H,7,0),IF(CT$3=1,MIN($M67,CP67),IF(HLOOKUP(CONCATENATE("Balance",CT$3-1),'Withdrawal Working'!$A$2:$CD$78,MATCH('Yoy WAR OG'!$J67,'Withdrawal Working'!$A$2:$A$78,0),FALSE)&gt;0,MIN(HLOOKUP(CONCATENATE("Balance",CT$3-1),'Withdrawal Working'!$A$2:$CD$78,MATCH('Yoy WAR OG'!$J67,'Withdrawal Working'!$A$2:$A$78,0),0),CP67),0)),IF($K67=VLOOKUP(CP$2,$B:$H,7,0),CP67,)),0)</f>
        <v>0</v>
      </c>
      <c r="CS67" s="58" t="e">
        <f t="shared" ca="1" si="63"/>
        <v>#REF!</v>
      </c>
      <c r="CV67" s="450">
        <f t="shared" ca="1" si="90"/>
        <v>0</v>
      </c>
      <c r="CW67" s="58"/>
      <c r="CX67" s="58">
        <f ca="1">IFERROR(IF($K67&lt;VLOOKUP(CV$2,$B:$H,7,0),IF(CZ$3=1,MIN($M67,CV67),IF(HLOOKUP(CONCATENATE("Balance",CZ$3-1),'Withdrawal Working'!$A$2:$CD$78,MATCH('Yoy WAR OG'!$J67,'Withdrawal Working'!$A$2:$A$78,0),FALSE)&gt;0,MIN(HLOOKUP(CONCATENATE("Balance",CZ$3-1),'Withdrawal Working'!$A$2:$CD$78,MATCH('Yoy WAR OG'!$J67,'Withdrawal Working'!$A$2:$A$78,0),0),CV67),0)),IF($K67=VLOOKUP(CV$2,$B:$H,7,0),CV67,)),0)</f>
        <v>0</v>
      </c>
      <c r="CY67" s="58">
        <f t="shared" ca="1" si="64"/>
        <v>0</v>
      </c>
      <c r="DB67" s="450" t="e">
        <f t="shared" ca="1" si="91"/>
        <v>#REF!</v>
      </c>
      <c r="DC67" s="58" t="e">
        <f ca="1">(VLOOKUP(DB$2,$B$1:$F$32,5,0)*$L67)+(VLOOKUP($K67,'Withdrawal Working'!$AD:$AE,2,0)*(IFERROR(VLOOKUP(DB$2,$B$35:$C$42,2,0),0)))</f>
        <v>#REF!</v>
      </c>
      <c r="DD67" s="58">
        <f ca="1">IFERROR(IF($K67&lt;VLOOKUP(DB$2,$B:$H,7,0),IF(DF$3=1,MIN($M67,DB67),IF(HLOOKUP(CONCATENATE("Balance",DF$3-1),'Withdrawal Working'!$A$2:$CD$78,MATCH('Yoy WAR OG'!$J67,'Withdrawal Working'!$A$2:$A$78,0),FALSE)&gt;0,MIN(HLOOKUP(CONCATENATE("Balance",DF$3-1),'Withdrawal Working'!$A$2:$CD$78,MATCH('Yoy WAR OG'!$J67,'Withdrawal Working'!$A$2:$A$78,0),0),DB67),0)),IF($K67=VLOOKUP(DB$2,$B:$H,7,0),DB67,)),0)</f>
        <v>0</v>
      </c>
      <c r="DE67" s="58" t="e">
        <f t="shared" ca="1" si="65"/>
        <v>#REF!</v>
      </c>
      <c r="DH67" s="450">
        <f t="shared" ca="1" si="92"/>
        <v>0</v>
      </c>
      <c r="DI67" s="58">
        <f>IF(OR(J67&gt;'NWGC - SCENARIOS'!$D$7,J67='NWGC - SCENARIOS'!$D$7),0,DI66*(1+'NWGC - SCENARIOS'!$L$5))</f>
        <v>0</v>
      </c>
      <c r="DJ67" s="58">
        <f ca="1">IFERROR(IF($K67&lt;VLOOKUP(DH$2,$B:$H,7,0),IF(DL$3=1,MIN($M67,DH67),IF(HLOOKUP(CONCATENATE("Balance",DL$3-1),'Withdrawal Working'!$A$2:$CD$78,MATCH('Yoy WAR OG'!$J67,'Withdrawal Working'!$A$2:$A$78,0),FALSE)&gt;0,MIN(HLOOKUP(CONCATENATE("Balance",DL$3-1),'Withdrawal Working'!$A$2:$CD$78,MATCH('Yoy WAR OG'!$J67,'Withdrawal Working'!$A$2:$A$78,0),0),DH67),0)),IF($K67=VLOOKUP(DH$2,$B:$H,7,0),DH67,)),0)</f>
        <v>0</v>
      </c>
      <c r="DK67" s="58">
        <f t="shared" ca="1" si="66"/>
        <v>0</v>
      </c>
      <c r="DN67" s="450" t="e">
        <f t="shared" ca="1" si="93"/>
        <v>#REF!</v>
      </c>
      <c r="DO67" s="58" t="e">
        <f ca="1">(VLOOKUP(DN$2,$B$1:$F$32,5,0)*$L67)+(VLOOKUP($K67,'Withdrawal Working'!$AD:$AE,2,0)*(IFERROR(VLOOKUP(DN$2,$B$35:$C$42,2,0),0)))</f>
        <v>#REF!</v>
      </c>
      <c r="DP67" s="58">
        <f ca="1">IFERROR(IF($K67&lt;VLOOKUP(DN$2,$B:$H,7,0),IF(DR$3=1,MIN($M67,DN67),IF(HLOOKUP(CONCATENATE("Balance",DR$3-1),'Withdrawal Working'!$A$2:$CD$78,MATCH('Yoy WAR OG'!$J67,'Withdrawal Working'!$A$2:$A$78,0),FALSE)&gt;0,MIN(HLOOKUP(CONCATENATE("Balance",DR$3-1),'Withdrawal Working'!$A$2:$CD$78,MATCH('Yoy WAR OG'!$J67,'Withdrawal Working'!$A$2:$A$78,0),0),DN67),0)),IF($K67=VLOOKUP(DN$2,$B:$H,7,0),DN67,)),0)</f>
        <v>0</v>
      </c>
      <c r="DQ67" s="58" t="e">
        <f t="shared" ca="1" si="67"/>
        <v>#REF!</v>
      </c>
      <c r="DT67" s="450" t="e">
        <f t="shared" ca="1" si="94"/>
        <v>#REF!</v>
      </c>
      <c r="DU67" s="58" t="e">
        <f ca="1">(VLOOKUP(DT$2,$B$1:$F$32,5,0)*$L67)+(VLOOKUP($K67,'Withdrawal Working'!$AD:$AE,2,0)*(IFERROR(VLOOKUP(DT$2,$B$35:$C$42,2,0),0)))</f>
        <v>#REF!</v>
      </c>
      <c r="DV67" s="58">
        <f ca="1">IFERROR(IF($K67&lt;VLOOKUP(DT$2,$B:$H,7,0),IF(DX$3=1,MIN($M67,DT67),IF(HLOOKUP(CONCATENATE("Balance",DX$3-1),'Withdrawal Working'!$A$2:$CD$78,MATCH('Yoy WAR OG'!$J67,'Withdrawal Working'!$A$2:$A$78,0),FALSE)&gt;0,MIN(HLOOKUP(CONCATENATE("Balance",DX$3-1),'Withdrawal Working'!$A$2:$CD$78,MATCH('Yoy WAR OG'!$J67,'Withdrawal Working'!$A$2:$A$78,0),0),DT67),0)),IF($K67=VLOOKUP(DT$2,$B:$H,7,0),DT67,)),0)</f>
        <v>0</v>
      </c>
      <c r="DW67" s="58" t="e">
        <f t="shared" ca="1" si="68"/>
        <v>#REF!</v>
      </c>
      <c r="DZ67" s="450" t="e">
        <f t="shared" ca="1" si="95"/>
        <v>#REF!</v>
      </c>
      <c r="EA67" s="58" t="e">
        <f ca="1">(VLOOKUP(DZ$2,$B$1:$F$32,5,0)*$L67)+(VLOOKUP($K67,'Withdrawal Working'!$AD:$AE,2,0)*(IFERROR(VLOOKUP(DZ$2,$B$35:$C$42,2,0),0)))</f>
        <v>#REF!</v>
      </c>
      <c r="EB67" s="58">
        <f ca="1">IFERROR(IF($K67&lt;VLOOKUP(DZ$2,$B:$H,7,0),IF(ED$3=1,MIN($M67,DZ67),IF(HLOOKUP(CONCATENATE("Balance",ED$3-1),'Withdrawal Working'!$A$2:$CD$78,MATCH('Yoy WAR OG'!$J67,'Withdrawal Working'!$A$2:$A$78,0),FALSE)&gt;0,MIN(HLOOKUP(CONCATENATE("Balance",ED$3-1),'Withdrawal Working'!$A$2:$CD$78,MATCH('Yoy WAR OG'!$J67,'Withdrawal Working'!$A$2:$A$78,0),0),DZ67),0)),IF($K67=VLOOKUP(DZ$2,$B:$H,7,0),DZ67,)),0)</f>
        <v>0</v>
      </c>
      <c r="EC67" s="58" t="e">
        <f t="shared" ca="1" si="69"/>
        <v>#REF!</v>
      </c>
      <c r="EF67" s="450" t="e">
        <f t="shared" ca="1" si="96"/>
        <v>#REF!</v>
      </c>
      <c r="EG67" s="58" t="e">
        <f ca="1">(VLOOKUP(EF$2,$B$1:$F$32,5,0)*$L67)+(VLOOKUP($K67,'Withdrawal Working'!$AD:$AE,2,0)*(IFERROR(VLOOKUP(EF$2,$B$35:$C$42,2,0),0)))</f>
        <v>#REF!</v>
      </c>
      <c r="EH67" s="58">
        <f ca="1">IFERROR(IF($K67&lt;VLOOKUP(EF$2,$B:$H,7,0),IF(EJ$3=1,MIN($M67,EF67),IF(HLOOKUP(CONCATENATE("Balance",EJ$3-1),'Withdrawal Working'!$A$2:$CD$78,MATCH('Yoy WAR OG'!$J67,'Withdrawal Working'!$A$2:$A$78,0),FALSE)&gt;0,MIN(HLOOKUP(CONCATENATE("Balance",EJ$3-1),'Withdrawal Working'!$A$2:$CD$78,MATCH('Yoy WAR OG'!$J67,'Withdrawal Working'!$A$2:$A$78,0),0),EF67),0)),IF($K67=VLOOKUP(EF$2,$B:$H,7,0),EF67,)),0)</f>
        <v>0</v>
      </c>
      <c r="EI67" s="58" t="e">
        <f t="shared" ca="1" si="70"/>
        <v>#REF!</v>
      </c>
      <c r="EL67" s="450">
        <f t="shared" ca="1" si="97"/>
        <v>0</v>
      </c>
      <c r="EM67" s="58">
        <f>IF(OR($J67&gt;'NWGC - SCENARIOS'!$D$7,$J67='NWGC - SCENARIOS'!$D$7),0,EM66)</f>
        <v>0</v>
      </c>
      <c r="EN67" s="58">
        <f ca="1">IFERROR(IF($K67&lt;VLOOKUP(EL$2,$B:$H,7,0),IF(EP$3=1,MIN($M67,EL67),IF(HLOOKUP(CONCATENATE("Balance",EP$3-1),'Withdrawal Working'!$A$2:$CD$78,MATCH('Yoy WAR OG'!$J67,'Withdrawal Working'!$A$2:$A$78,0),FALSE)&gt;0,MIN(HLOOKUP(CONCATENATE("Balance",EP$3-1),'Withdrawal Working'!$A$2:$CD$78,MATCH('Yoy WAR OG'!$J67,'Withdrawal Working'!$A$2:$A$78,0),0),EL67),0)),IF($K67=VLOOKUP(EL$2,$B:$H,7,0),EL67,)),0)</f>
        <v>0</v>
      </c>
      <c r="EO67" s="58">
        <f t="shared" ca="1" si="71"/>
        <v>0</v>
      </c>
      <c r="ER67" s="450">
        <f t="shared" ca="1" si="98"/>
        <v>0</v>
      </c>
      <c r="ES67" s="58">
        <f>IF(OR(J67&gt;'NWGC - SCENARIOS'!$D$7,J67='NWGC - SCENARIOS'!$D$7),0,ES66*(1+'NWGC - SCENARIOS'!$L$5))</f>
        <v>0</v>
      </c>
      <c r="ET67" s="58">
        <f ca="1">IFERROR(IF($K67&lt;VLOOKUP(ER$2,$B:$H,7,0),IF(EV$3=1,MIN($M67,ER67),IF(HLOOKUP(CONCATENATE("Balance",EV$3-1),'Withdrawal Working'!$A$2:$CD$78,MATCH('Yoy WAR OG'!$J67,'Withdrawal Working'!$A$2:$A$78,0),FALSE)&gt;0,MIN(HLOOKUP(CONCATENATE("Balance",EV$3-1),'Withdrawal Working'!$A$2:$CD$78,MATCH('Yoy WAR OG'!$J67,'Withdrawal Working'!$A$2:$A$78,0),0),ER67),0)),IF($K67=VLOOKUP(ER$2,$B:$H,7,0),ER67,)),0)</f>
        <v>0</v>
      </c>
      <c r="EU67" s="58">
        <f t="shared" ca="1" si="72"/>
        <v>0</v>
      </c>
      <c r="EX67" s="450">
        <f t="shared" ca="1" si="99"/>
        <v>0</v>
      </c>
      <c r="EY67" s="58">
        <f>IF(OR(J67&gt;'NWGC - SCENARIOS'!$D$7,J67='NWGC - SCENARIOS'!$D$7),0,EY66)</f>
        <v>0</v>
      </c>
      <c r="EZ67" s="58">
        <f ca="1">IFERROR(IF($K67&lt;VLOOKUP(EX$2,$B:$H,7,0),IF(FB$3=1,MIN($M67,EX67),IF(HLOOKUP(CONCATENATE("Balance",FB$3-1),'Withdrawal Working'!$A$2:$CD$78,MATCH('Yoy WAR OG'!$J67,'Withdrawal Working'!$A$2:$A$78,0),FALSE)&gt;0,MIN(HLOOKUP(CONCATENATE("Balance",FB$3-1),'Withdrawal Working'!$A$2:$CD$78,MATCH('Yoy WAR OG'!$J67,'Withdrawal Working'!$A$2:$A$78,0),0),EX67),0)),IF($K67=VLOOKUP(EX$2,$B:$H,7,0),EX67,)),0)</f>
        <v>0</v>
      </c>
      <c r="FA67" s="58">
        <f t="shared" ca="1" si="73"/>
        <v>0</v>
      </c>
    </row>
    <row r="68" spans="10:157" x14ac:dyDescent="0.3">
      <c r="J68">
        <f>IFERROR('NWGC - SCENARIOS'!#REF!,0)</f>
        <v>0</v>
      </c>
      <c r="K68">
        <f>IFERROR('NWGC - SCENARIOS'!#REF!,0)</f>
        <v>0</v>
      </c>
      <c r="L68" s="449" t="e">
        <f>IF(('NWGC - SCENARIOS'!#REF!-working!G66)&gt;'NWGC - SCENARIOS'!#REF!,'NWGC - SCENARIOS'!#REF!-'NWGC - SCENARIOS'!#REF!-working!G66,0)</f>
        <v>#REF!</v>
      </c>
      <c r="M68" s="449" t="e">
        <f>IF(('NWGC - SCENARIOS'!#REF!-working!G66)&gt;'NWGC - SCENARIOS'!#REF!,0,'NWGC - SCENARIOS'!#REF!-'NWGC - SCENARIOS'!#REF!+working!G66)</f>
        <v>#REF!</v>
      </c>
      <c r="N68" s="58" t="e">
        <f t="shared" ca="1" si="50"/>
        <v>#REF!</v>
      </c>
      <c r="O68" s="58" t="e">
        <f t="shared" ca="1" si="51"/>
        <v>#REF!</v>
      </c>
      <c r="P68" s="58" t="e">
        <f t="shared" ca="1" si="76"/>
        <v>#REF!</v>
      </c>
      <c r="Q68" s="58" t="e">
        <f ca="1">(VLOOKUP(P$2,$B$1:$F$32,5,0)*$L68)+(VLOOKUP($K68,'Withdrawal Working'!$AD:$AE,2,0)*(IFERROR(VLOOKUP(P$2,$B$35:$C$42,2,0),0)))</f>
        <v>#REF!</v>
      </c>
      <c r="R68" s="58">
        <f>IFERROR(IF($K68&lt;VLOOKUP(P$2,$B:$H,7,0),IF(T$3=1,MIN($M68,P68),IF(HLOOKUP(CONCATENATE("Balance",T$3-1),'Withdrawal Working'!$A$2:$CD$78,MATCH('Yoy WAR OG'!$J68,'Withdrawal Working'!$A$2:$A$78,0),FALSE)&gt;0,MIN(HLOOKUP(CONCATENATE("Balance",T$3-1),'Withdrawal Working'!$A$2:$CD$78,MATCH('Yoy WAR OG'!$J68,'Withdrawal Working'!$A$2:$A$78,0),0),P68),0)),IF($K68=VLOOKUP(P$2,$B:$H,7,0),P68,)),0)</f>
        <v>0</v>
      </c>
      <c r="S68" s="58" t="e">
        <f t="shared" ca="1" si="75"/>
        <v>#REF!</v>
      </c>
      <c r="T68" s="58"/>
      <c r="V68" s="58" t="e">
        <f t="shared" ca="1" si="77"/>
        <v>#REF!</v>
      </c>
      <c r="W68" s="58" t="e">
        <f ca="1">(VLOOKUP(V$2,$B$1:$F$32,5,0)*$L68)+(VLOOKUP($K68,'Withdrawal Working'!$AD:$AE,2,0)*(IFERROR(VLOOKUP(V$2,$B$35:$C$42,2,0),0)))</f>
        <v>#REF!</v>
      </c>
      <c r="X68" s="58">
        <f>IFERROR(IF($K68&lt;VLOOKUP(V$2,$B:$H,7,0),IF(Z$3=1,MIN($M68,V68),IF(HLOOKUP(CONCATENATE("Balance",Z$3-1),'Withdrawal Working'!$A$2:$CD$78,MATCH('Yoy WAR OG'!$J68,'Withdrawal Working'!$A$2:$A$78,0),FALSE)&gt;0,MIN(HLOOKUP(CONCATENATE("Balance",Z$3-1),'Withdrawal Working'!$A$2:$CD$78,MATCH('Yoy WAR OG'!$J68,'Withdrawal Working'!$A$2:$A$78,0),0),V68),0)),IF($K68=VLOOKUP(V$2,$B:$H,7,0),V68,)),0)</f>
        <v>0</v>
      </c>
      <c r="Y68" s="58" t="e">
        <f t="shared" ref="Y68:Y80" ca="1" si="100">((V68-X68)*(1+(IFERROR(VLOOKUP(V$2,$B:$D,3,0),0))))+W68</f>
        <v>#REF!</v>
      </c>
      <c r="AB68" s="58" t="e">
        <f t="shared" ca="1" si="78"/>
        <v>#REF!</v>
      </c>
      <c r="AC68" s="58" t="e">
        <f ca="1">(VLOOKUP(AB$2,$B$1:$F$32,5,0)*$L68)+(VLOOKUP($K68,'Withdrawal Working'!$AD:$AE,2,0)*(IFERROR(VLOOKUP(AB$2,$B$35:$C$42,2,0),0)))</f>
        <v>#REF!</v>
      </c>
      <c r="AE68" s="58" t="e">
        <f t="shared" ref="AE68:AE80" ca="1" si="101">((AB68-AD68)*(1+(IFERROR(VLOOKUP(AB$2,$B:$D,3,0),0))))+AC68</f>
        <v>#REF!</v>
      </c>
      <c r="AH68" s="58" t="e">
        <f t="shared" ca="1" si="79"/>
        <v>#REF!</v>
      </c>
      <c r="AI68" s="58" t="e">
        <f ca="1">(VLOOKUP(AH$2,$B$1:$F$32,5,0)*$L68)+IF(J68&gt;'NWGC - SCENARIOS'!$D$7,0,(VLOOKUP($K68,'Withdrawal Working'!$AD:$AE,2,0)*(IFERROR(VLOOKUP(AH$2,$B$35:$C$42,2,0),0))))</f>
        <v>#REF!</v>
      </c>
      <c r="AJ68" s="58">
        <f ca="1">IFERROR(IF($J68&gt;'NWGC - SCENARIOS'!$D$7,MIN('Yoy WAR OG'!AH68,VLOOKUP('Yoy WAR OG'!$J68,'Withdrawal Working'!BC:BD,2,0)),IF(AL$3=1,$M68,IF(HLOOKUP(CONCATENATE("Balance",AL$3-1),'Withdrawal Working'!$A$2:$CD$78,MATCH('Yoy WAR OG'!$J68,'Withdrawal Working'!$A$2:$A$78,0),FALSE)&gt;0,MIN(HLOOKUP(CONCATENATE("Balance",AL$3-1),'Withdrawal Working'!$A$2:$CD$78,MATCH('Yoy WAR OG'!$J68,'Withdrawal Working'!$A$2:$A$78,0),0),AH68),0))),0)</f>
        <v>0</v>
      </c>
      <c r="AK68" s="58" t="e">
        <f t="shared" ref="AK68:AK80" ca="1" si="102">((AH68-AJ68)*(1+(IFERROR(VLOOKUP(AH$2,$B:$D,3,0),0))))+AI68</f>
        <v>#REF!</v>
      </c>
      <c r="AN68" s="450" t="e">
        <f t="shared" ca="1" si="80"/>
        <v>#REF!</v>
      </c>
      <c r="AO68" s="58" t="e">
        <f ca="1">IF(J68&gt;'NWGC - SCENARIOS'!$D$7,(IF(AJ68=0,0,'Yoy WAR OG'!AJ68)+(VLOOKUP(AN$2,$B$1:$F$32,5,0)*$L68)),(VLOOKUP(AN$2,$B$1:$F$32,5,0)*$L68)+(VLOOKUP($K68,'Withdrawal Working'!$AD:$AE,2,0)*(IFERROR(VLOOKUP(AN$2,$B$35:$C$42,2,0),0))))</f>
        <v>#REF!</v>
      </c>
      <c r="AP68" s="470">
        <f ca="1">IFERROR(IF($K68&lt;&gt;VLOOKUP(AN$2,$B:$H,7,0),IF(AR$3=1,MIN($M68,AN68),IF(HLOOKUP(CONCATENATE("Balance",AR$3-1),'Withdrawal Working'!$A$2:$CD$78,MATCH('Yoy WAR OG'!$J68,'Withdrawal Working'!$A$2:$A$78,0),FALSE)&gt;0,MIN(HLOOKUP(CONCATENATE("Balance",AR$3-1),'Withdrawal Working'!$A$2:$CD$78,MATCH('Yoy WAR OG'!$J68,'Withdrawal Working'!$A$2:$A$78,0),0),AN68),0)),IF($K68=VLOOKUP(AN$2,$B:$H,7,0),AN68,)),0)</f>
        <v>0</v>
      </c>
      <c r="AQ68" s="58" t="e">
        <f ca="1">IF(AO68&lt;0,0,IF(J68&gt;'NWGC - SCENARIOS'!$D$7,((AN68-AP68+AO68)*(1+(IFERROR(VLOOKUP(AN$2,$B:$D,3,0),0)))),((AN68-AP68)*(1+(IFERROR(VLOOKUP(AN$2,$B:$D,3,0),0))))+AO68))</f>
        <v>#REF!</v>
      </c>
      <c r="AT68" s="450" t="e">
        <f t="shared" ca="1" si="81"/>
        <v>#REF!</v>
      </c>
      <c r="AU68" s="58" t="e">
        <f ca="1">(VLOOKUP(AT$2,$B$1:$F$32,5,0)*$L68)+(VLOOKUP($K68,'Withdrawal Working'!$AD:$AE,2,0)*(IFERROR(VLOOKUP(AT$2,$B$35:$C$42,2,0),0)))</f>
        <v>#REF!</v>
      </c>
      <c r="AV68" s="58">
        <f>IFERROR(IF($K68&lt;VLOOKUP(AT$2,$B:$H,7,0),IF(AX$3=1,MIN($M68,AT68),IF(HLOOKUP(CONCATENATE("Balance",AX$3-1),'Withdrawal Working'!$A$2:$CD$78,MATCH('Yoy WAR OG'!$J68,'Withdrawal Working'!$A$2:$A$78,0),FALSE)&gt;0,MIN(HLOOKUP(CONCATENATE("Balance",AX$3-1),'Withdrawal Working'!$A$2:$CD$78,MATCH('Yoy WAR OG'!$J68,'Withdrawal Working'!$A$2:$A$78,0),0),AT68),0)),IF($K68=VLOOKUP(AT$2,$B:$H,7,0),AT68,)),0)</f>
        <v>0</v>
      </c>
      <c r="AW68" s="58" t="e">
        <f t="shared" ref="AW68:AW80" ca="1" si="103">((AT68-AV68)*(1+(IFERROR(VLOOKUP(AT$2,$B:$D,3,0),0))))+AU68</f>
        <v>#REF!</v>
      </c>
      <c r="AZ68" s="450" t="e">
        <f t="shared" ca="1" si="82"/>
        <v>#REF!</v>
      </c>
      <c r="BA68" s="58" t="e">
        <f ca="1">(VLOOKUP(AZ$2,$B$1:$F$32,5,0)*$L68)+(VLOOKUP($K68,'Withdrawal Working'!$AD:$AE,2,0)*(IFERROR(VLOOKUP(AZ$2,$B$35:$C$42,2,0),0)))</f>
        <v>#REF!</v>
      </c>
      <c r="BB68" s="58">
        <f ca="1">IFERROR(IF($K68&lt;VLOOKUP(AZ$2,$B:$H,7,0),IF(BD$3=1,MIN($M68,AZ68),IF(HLOOKUP(CONCATENATE("Balance",BD$3-1),'Withdrawal Working'!$A$2:$CD$78,MATCH('Yoy WAR OG'!$J68,'Withdrawal Working'!$A$2:$A$78,0),FALSE)&gt;0,MIN(HLOOKUP(CONCATENATE("Balance",BD$3-1),'Withdrawal Working'!$A$2:$CD$78,MATCH('Yoy WAR OG'!$J68,'Withdrawal Working'!$A$2:$A$78,0),0),AZ68),0)),IF($K68=VLOOKUP(AZ$2,$B:$H,7,0),AZ68,)),0)</f>
        <v>0</v>
      </c>
      <c r="BC68" s="58" t="e">
        <f t="shared" ref="BC68:BC80" ca="1" si="104">((AZ68-BB68)*(1+(IFERROR(VLOOKUP(AZ$2,$B:$D,3,0),0))))+BA68</f>
        <v>#REF!</v>
      </c>
      <c r="BF68" s="450" t="e">
        <f t="shared" ca="1" si="83"/>
        <v>#REF!</v>
      </c>
      <c r="BG68" s="58" t="e">
        <f ca="1">(VLOOKUP(BF$2,$B$1:$F$32,5,0)*$L68)+(VLOOKUP($K68,'Withdrawal Working'!$AD:$AE,2,0)*(IFERROR(VLOOKUP(BF$2,$B$35:$C$42,2,0),0)))</f>
        <v>#REF!</v>
      </c>
      <c r="BH68" s="58">
        <f>IFERROR(IF($K68&lt;VLOOKUP(BF$2,$B:$H,7,0),IF(BJ$3=1,MIN($M68,BF68),IF(HLOOKUP(CONCATENATE("Balance",BJ$3-1),'Withdrawal Working'!$A$2:$CD$78,MATCH('Yoy WAR OG'!$J68,'Withdrawal Working'!$A$2:$A$78,0),FALSE)&gt;0,MIN(HLOOKUP(CONCATENATE("Balance",BJ$3-1),'Withdrawal Working'!$A$2:$CD$78,MATCH('Yoy WAR OG'!$J68,'Withdrawal Working'!$A$2:$A$78,0),0),BF68),0)),IF($K68=VLOOKUP(BF$2,$B:$H,7,0),BF68,)),0)</f>
        <v>0</v>
      </c>
      <c r="BI68" s="58" t="e">
        <f t="shared" ref="BI68:BI80" ca="1" si="105">((BF68-BH68)*(1+(IFERROR(VLOOKUP(BF$2,$B:$D,3,0),0))))+BG68</f>
        <v>#REF!</v>
      </c>
      <c r="BL68" s="450" t="e">
        <f t="shared" ca="1" si="84"/>
        <v>#REF!</v>
      </c>
      <c r="BM68" s="58" t="e">
        <f ca="1">(VLOOKUP(BL$2,$B$1:$F$32,5,0)*$L68)+(VLOOKUP($K68,'Withdrawal Working'!$AD:$AE,2,0)*(IFERROR(VLOOKUP(BL$2,$B$35:$C$42,2,0),0)))</f>
        <v>#REF!</v>
      </c>
      <c r="BN68" s="58">
        <f ca="1">IFERROR(IF($K68&lt;VLOOKUP(BL$2,$B:$H,7,0),IF(BP$3=1,MIN($M68,BL68),IF(HLOOKUP(CONCATENATE("Balance",BP$3-1),'Withdrawal Working'!$A$2:$CD$78,MATCH('Yoy WAR OG'!$J68,'Withdrawal Working'!$A$2:$A$78,0),FALSE)&gt;0,MIN(HLOOKUP(CONCATENATE("Balance",BP$3-1),'Withdrawal Working'!$A$2:$CD$78,MATCH('Yoy WAR OG'!$J68,'Withdrawal Working'!$A$2:$A$78,0),0),BL68),0)),IF($K68=VLOOKUP(BL$2,$B:$H,7,0),BL68,)),0)</f>
        <v>0</v>
      </c>
      <c r="BO68" s="58" t="e">
        <f t="shared" ref="BO68:BO80" ca="1" si="106">((BL68-BN68)*(1+(IFERROR(VLOOKUP(BL$2,$B:$D,3,0),0))))+BM68</f>
        <v>#REF!</v>
      </c>
      <c r="BR68" s="450" t="e">
        <f t="shared" ca="1" si="85"/>
        <v>#REF!</v>
      </c>
      <c r="BS68" s="58" t="e">
        <f ca="1">(VLOOKUP(BR$2,$B$1:$F$32,5,0)*$L68)+(VLOOKUP($K68,'Withdrawal Working'!$AD:$AE,2,0)*(IFERROR(VLOOKUP(BR$2,$B$35:$C$42,2,0),0)))</f>
        <v>#REF!</v>
      </c>
      <c r="BT68" s="58">
        <f ca="1">IFERROR(IF($K68&lt;VLOOKUP(BR$2,$B:$H,7,0),IF(BV$3=1,MIN($M68,BR68),IF(HLOOKUP(CONCATENATE("Balance",BV$3-1),'Withdrawal Working'!$A$2:$CD$78,MATCH('Yoy WAR OG'!$J68,'Withdrawal Working'!$A$2:$A$78,0),FALSE)&gt;0,MIN(HLOOKUP(CONCATENATE("Balance",BV$3-1),'Withdrawal Working'!$A$2:$CD$78,MATCH('Yoy WAR OG'!$J68,'Withdrawal Working'!$A$2:$A$78,0),0),BR68),0)),IF($K68=VLOOKUP(BR$2,$B:$H,7,0),BR68,)),0)</f>
        <v>0</v>
      </c>
      <c r="BU68" s="58" t="e">
        <f t="shared" ref="BU68:BU80" ca="1" si="107">((BR68-BT68)*(1+(IFERROR(VLOOKUP(BR$2,$B:$D,3,0),0))))+BS68</f>
        <v>#REF!</v>
      </c>
      <c r="BX68" s="450" t="e">
        <f t="shared" ca="1" si="86"/>
        <v>#REF!</v>
      </c>
      <c r="BY68" s="58" t="e">
        <f ca="1">(VLOOKUP(BX$2,$B$1:$F$32,5,0)*$L68)+(VLOOKUP($K68,'Withdrawal Working'!$AD:$AE,2,0)*(IFERROR(VLOOKUP(BX$2,$B$35:$C$42,2,0),0)))</f>
        <v>#REF!</v>
      </c>
      <c r="BZ68" s="58">
        <f ca="1">IFERROR(IF($K68&lt;VLOOKUP(BX$2,$B:$H,7,0),IF(CB$3=1,MIN($M68,BX68),IF(HLOOKUP(CONCATENATE("Balance",CB$3-1),'Withdrawal Working'!$A$2:$CD$78,MATCH('Yoy WAR OG'!$J68,'Withdrawal Working'!$A$2:$A$78,0),FALSE)&gt;0,MIN(HLOOKUP(CONCATENATE("Balance",CB$3-1),'Withdrawal Working'!$A$2:$CD$78,MATCH('Yoy WAR OG'!$J68,'Withdrawal Working'!$A$2:$A$78,0),0),BX68),0)),IF($K68=VLOOKUP(BX$2,$B:$H,7,0),BX68,)),0)</f>
        <v>0</v>
      </c>
      <c r="CA68" s="58" t="e">
        <f t="shared" ref="CA68:CA80" ca="1" si="108">((BX68-BZ68)*(1+(IFERROR(VLOOKUP(BX$2,$B:$D,3,0),0))))+BY68</f>
        <v>#REF!</v>
      </c>
      <c r="CD68" s="450" t="e">
        <f t="shared" ca="1" si="87"/>
        <v>#REF!</v>
      </c>
      <c r="CE68" s="58" t="e">
        <f ca="1">(VLOOKUP(CD$2,$B$1:$F$32,5,0)*$L68)+(VLOOKUP($K68,'Withdrawal Working'!$AD:$AE,2,0)*(IFERROR(VLOOKUP(CD$2,$B$35:$C$42,2,0),0)))+SUMIFS('Key Life Events'!$I$3:$I$28,'Key Life Events'!$H$3:$H$28,"House",'Key Life Events'!$E$3:$E$28,'Yoy WAR OG'!K68)</f>
        <v>#REF!</v>
      </c>
      <c r="CF68" s="58">
        <f ca="1">IFERROR(IF($K68&lt;VLOOKUP(CD$2,$B:$H,7,0),IF(CH$3=1,MIN($M68,CD68),IF(HLOOKUP(CONCATENATE("Balance",CH$3-1),'Withdrawal Working'!$A$2:$CD$78,MATCH('Yoy WAR OG'!$J68,'Withdrawal Working'!$A$2:$A$78,0),FALSE)&gt;0,MIN(HLOOKUP(CONCATENATE("Balance",CH$3-1),'Withdrawal Working'!$A$2:$CD$78,MATCH('Yoy WAR OG'!$J68,'Withdrawal Working'!$A$2:$A$78,0),0),CD68),0)),IF($K68=VLOOKUP(CD$2,$B:$H,7,0),CD68,)),0)</f>
        <v>0</v>
      </c>
      <c r="CG68" s="58" t="e">
        <f t="shared" ref="CG68:CG80" ca="1" si="109">((CD68-CF68)*(1+(IFERROR(VLOOKUP(CD$2,$B:$D,3,0),0))))+CE68</f>
        <v>#REF!</v>
      </c>
      <c r="CJ68" s="450" t="e">
        <f t="shared" ca="1" si="88"/>
        <v>#REF!</v>
      </c>
      <c r="CK68" s="58" t="e">
        <f ca="1">(VLOOKUP(CJ$2,$B$1:$F$32,5,0)*$L68)+(VLOOKUP($K68,'Withdrawal Working'!$AD:$AE,2,0)*(IFERROR(VLOOKUP(CJ$2,$B$35:$C$42,2,0),0)))+SUMIFS('Key Life Events'!$I$3:$I$28,'Key Life Events'!$H$3:$H$28,"House2",'Key Life Events'!$E$3:$E$28,'Yoy WAR OG'!K68)</f>
        <v>#REF!</v>
      </c>
      <c r="CL68" s="58">
        <f ca="1">IF(IFERROR(IF($K68&lt;&gt;VLOOKUP(CJ$2,$B:$H,7,0),IF(CN$3=1,MIN($M68,CJ68),IF(HLOOKUP(CONCATENATE("Balance",CN$3-1),'Withdrawal Working'!$A$2:$CD$78,MATCH('Yoy WAR OG'!$J68,'Withdrawal Working'!$A$2:$A$78,0),FALSE)&gt;0,MIN(HLOOKUP(CONCATENATE("Balance",CN$3-1),'Withdrawal Working'!$A$2:$CD$78,MATCH('Yoy WAR OG'!$J68,'Withdrawal Working'!$A$2:$A$78,0),0),CJ68),0)),IF($K68=VLOOKUP(CJ$2,$B:$H,7,0),CJ68,)),0)&gt;0,CJ68,0)</f>
        <v>0</v>
      </c>
      <c r="CM68" s="58" t="e">
        <f t="shared" ref="CM68:CM80" ca="1" si="110">((CJ68-CL68)*(1+(IFERROR(VLOOKUP(CJ$2,$B:$D,3,0),0))))+CK68</f>
        <v>#REF!</v>
      </c>
      <c r="CP68" s="450" t="e">
        <f t="shared" ca="1" si="89"/>
        <v>#REF!</v>
      </c>
      <c r="CQ68" s="58" t="e">
        <f ca="1">(VLOOKUP(CP$2,$B$1:$F$32,5,0)*$L68)+(VLOOKUP($K68,'Withdrawal Working'!$AD:$AE,2,0)*(IFERROR(VLOOKUP(CP$2,$B$35:$C$42,2,0),0)))+SUMIFS('Key Life Events'!$I$3:$I$28,'Key Life Events'!$H$3:$H$28,"Land",'Key Life Events'!$E$3:$E$28,'Yoy WAR OG'!K68)</f>
        <v>#REF!</v>
      </c>
      <c r="CR68" s="58">
        <f ca="1">IFERROR(IF($K68&lt;VLOOKUP(CP$2,$B:$H,7,0),IF(CT$3=1,MIN($M68,CP68),IF(HLOOKUP(CONCATENATE("Balance",CT$3-1),'Withdrawal Working'!$A$2:$CD$78,MATCH('Yoy WAR OG'!$J68,'Withdrawal Working'!$A$2:$A$78,0),FALSE)&gt;0,MIN(HLOOKUP(CONCATENATE("Balance",CT$3-1),'Withdrawal Working'!$A$2:$CD$78,MATCH('Yoy WAR OG'!$J68,'Withdrawal Working'!$A$2:$A$78,0),0),CP68),0)),IF($K68=VLOOKUP(CP$2,$B:$H,7,0),CP68,)),0)</f>
        <v>0</v>
      </c>
      <c r="CS68" s="58" t="e">
        <f t="shared" ref="CS68:CS80" ca="1" si="111">((CP68-CR68)*(1+(IFERROR(VLOOKUP(CP$2,$B:$D,3,0),0))))+CQ68</f>
        <v>#REF!</v>
      </c>
      <c r="CV68" s="450">
        <f t="shared" ca="1" si="90"/>
        <v>0</v>
      </c>
      <c r="CW68" s="58"/>
      <c r="CX68" s="58">
        <f ca="1">IFERROR(IF($K68&lt;VLOOKUP(CV$2,$B:$H,7,0),IF(CZ$3=1,MIN($M68,CV68),IF(HLOOKUP(CONCATENATE("Balance",CZ$3-1),'Withdrawal Working'!$A$2:$CD$78,MATCH('Yoy WAR OG'!$J68,'Withdrawal Working'!$A$2:$A$78,0),FALSE)&gt;0,MIN(HLOOKUP(CONCATENATE("Balance",CZ$3-1),'Withdrawal Working'!$A$2:$CD$78,MATCH('Yoy WAR OG'!$J68,'Withdrawal Working'!$A$2:$A$78,0),0),CV68),0)),IF($K68=VLOOKUP(CV$2,$B:$H,7,0),CV68,)),0)</f>
        <v>0</v>
      </c>
      <c r="CY68" s="58">
        <f t="shared" ref="CY68:CY80" ca="1" si="112">((CV68-CX68)*(1+(IFERROR(VLOOKUP(CV$2,$B:$D,3,0),0))))+CW68</f>
        <v>0</v>
      </c>
      <c r="DB68" s="450" t="e">
        <f t="shared" ca="1" si="91"/>
        <v>#REF!</v>
      </c>
      <c r="DC68" s="58" t="e">
        <f ca="1">(VLOOKUP(DB$2,$B$1:$F$32,5,0)*$L68)+(VLOOKUP($K68,'Withdrawal Working'!$AD:$AE,2,0)*(IFERROR(VLOOKUP(DB$2,$B$35:$C$42,2,0),0)))</f>
        <v>#REF!</v>
      </c>
      <c r="DD68" s="58">
        <f ca="1">IFERROR(IF($K68&lt;VLOOKUP(DB$2,$B:$H,7,0),IF(DF$3=1,MIN($M68,DB68),IF(HLOOKUP(CONCATENATE("Balance",DF$3-1),'Withdrawal Working'!$A$2:$CD$78,MATCH('Yoy WAR OG'!$J68,'Withdrawal Working'!$A$2:$A$78,0),FALSE)&gt;0,MIN(HLOOKUP(CONCATENATE("Balance",DF$3-1),'Withdrawal Working'!$A$2:$CD$78,MATCH('Yoy WAR OG'!$J68,'Withdrawal Working'!$A$2:$A$78,0),0),DB68),0)),IF($K68=VLOOKUP(DB$2,$B:$H,7,0),DB68,)),0)</f>
        <v>0</v>
      </c>
      <c r="DE68" s="58" t="e">
        <f t="shared" ref="DE68:DE80" ca="1" si="113">((DB68-DD68)*(1+(IFERROR(VLOOKUP(DB$2,$B:$D,3,0),0))))+DC68</f>
        <v>#REF!</v>
      </c>
      <c r="DH68" s="450">
        <f t="shared" ca="1" si="92"/>
        <v>0</v>
      </c>
      <c r="DI68" s="58">
        <f>IF(OR(J68&gt;'NWGC - SCENARIOS'!$D$7,J68='NWGC - SCENARIOS'!$D$7),0,DI67*(1+'NWGC - SCENARIOS'!$L$5))</f>
        <v>0</v>
      </c>
      <c r="DJ68" s="58">
        <f ca="1">IFERROR(IF($K68&lt;VLOOKUP(DH$2,$B:$H,7,0),IF(DL$3=1,MIN($M68,DH68),IF(HLOOKUP(CONCATENATE("Balance",DL$3-1),'Withdrawal Working'!$A$2:$CD$78,MATCH('Yoy WAR OG'!$J68,'Withdrawal Working'!$A$2:$A$78,0),FALSE)&gt;0,MIN(HLOOKUP(CONCATENATE("Balance",DL$3-1),'Withdrawal Working'!$A$2:$CD$78,MATCH('Yoy WAR OG'!$J68,'Withdrawal Working'!$A$2:$A$78,0),0),DH68),0)),IF($K68=VLOOKUP(DH$2,$B:$H,7,0),DH68,)),0)</f>
        <v>0</v>
      </c>
      <c r="DK68" s="58">
        <f t="shared" ref="DK68:DK80" ca="1" si="114">((DH68-DJ68)*(1+(IFERROR(VLOOKUP(DH$2,$B:$D,3,0),0))))+DI68</f>
        <v>0</v>
      </c>
      <c r="DN68" s="450" t="e">
        <f t="shared" ca="1" si="93"/>
        <v>#REF!</v>
      </c>
      <c r="DO68" s="58" t="e">
        <f ca="1">(VLOOKUP(DN$2,$B$1:$F$32,5,0)*$L68)+(VLOOKUP($K68,'Withdrawal Working'!$AD:$AE,2,0)*(IFERROR(VLOOKUP(DN$2,$B$35:$C$42,2,0),0)))</f>
        <v>#REF!</v>
      </c>
      <c r="DP68" s="58">
        <f ca="1">IFERROR(IF($K68&lt;VLOOKUP(DN$2,$B:$H,7,0),IF(DR$3=1,MIN($M68,DN68),IF(HLOOKUP(CONCATENATE("Balance",DR$3-1),'Withdrawal Working'!$A$2:$CD$78,MATCH('Yoy WAR OG'!$J68,'Withdrawal Working'!$A$2:$A$78,0),FALSE)&gt;0,MIN(HLOOKUP(CONCATENATE("Balance",DR$3-1),'Withdrawal Working'!$A$2:$CD$78,MATCH('Yoy WAR OG'!$J68,'Withdrawal Working'!$A$2:$A$78,0),0),DN68),0)),IF($K68=VLOOKUP(DN$2,$B:$H,7,0),DN68,)),0)</f>
        <v>0</v>
      </c>
      <c r="DQ68" s="58" t="e">
        <f t="shared" ref="DQ68:DQ80" ca="1" si="115">((DN68-DP68)*(1+(IFERROR(VLOOKUP(DN$2,$B:$D,3,0),0))))+DO68</f>
        <v>#REF!</v>
      </c>
      <c r="DT68" s="450" t="e">
        <f t="shared" ca="1" si="94"/>
        <v>#REF!</v>
      </c>
      <c r="DU68" s="58" t="e">
        <f ca="1">(VLOOKUP(DT$2,$B$1:$F$32,5,0)*$L68)+(VLOOKUP($K68,'Withdrawal Working'!$AD:$AE,2,0)*(IFERROR(VLOOKUP(DT$2,$B$35:$C$42,2,0),0)))</f>
        <v>#REF!</v>
      </c>
      <c r="DV68" s="58">
        <f ca="1">IFERROR(IF($K68&lt;VLOOKUP(DT$2,$B:$H,7,0),IF(DX$3=1,MIN($M68,DT68),IF(HLOOKUP(CONCATENATE("Balance",DX$3-1),'Withdrawal Working'!$A$2:$CD$78,MATCH('Yoy WAR OG'!$J68,'Withdrawal Working'!$A$2:$A$78,0),FALSE)&gt;0,MIN(HLOOKUP(CONCATENATE("Balance",DX$3-1),'Withdrawal Working'!$A$2:$CD$78,MATCH('Yoy WAR OG'!$J68,'Withdrawal Working'!$A$2:$A$78,0),0),DT68),0)),IF($K68=VLOOKUP(DT$2,$B:$H,7,0),DT68,)),0)</f>
        <v>0</v>
      </c>
      <c r="DW68" s="58" t="e">
        <f t="shared" ref="DW68:DW80" ca="1" si="116">((DT68-DV68)*(1+(IFERROR(VLOOKUP(DT$2,$B:$D,3,0),0))))+DU68</f>
        <v>#REF!</v>
      </c>
      <c r="DZ68" s="450" t="e">
        <f t="shared" ca="1" si="95"/>
        <v>#REF!</v>
      </c>
      <c r="EA68" s="58" t="e">
        <f ca="1">(VLOOKUP(DZ$2,$B$1:$F$32,5,0)*$L68)+(VLOOKUP($K68,'Withdrawal Working'!$AD:$AE,2,0)*(IFERROR(VLOOKUP(DZ$2,$B$35:$C$42,2,0),0)))</f>
        <v>#REF!</v>
      </c>
      <c r="EB68" s="58">
        <f ca="1">IFERROR(IF($K68&lt;VLOOKUP(DZ$2,$B:$H,7,0),IF(ED$3=1,MIN($M68,DZ68),IF(HLOOKUP(CONCATENATE("Balance",ED$3-1),'Withdrawal Working'!$A$2:$CD$78,MATCH('Yoy WAR OG'!$J68,'Withdrawal Working'!$A$2:$A$78,0),FALSE)&gt;0,MIN(HLOOKUP(CONCATENATE("Balance",ED$3-1),'Withdrawal Working'!$A$2:$CD$78,MATCH('Yoy WAR OG'!$J68,'Withdrawal Working'!$A$2:$A$78,0),0),DZ68),0)),IF($K68=VLOOKUP(DZ$2,$B:$H,7,0),DZ68,)),0)</f>
        <v>0</v>
      </c>
      <c r="EC68" s="58" t="e">
        <f t="shared" ref="EC68:EC80" ca="1" si="117">((DZ68-EB68)*(1+(IFERROR(VLOOKUP(DZ$2,$B:$D,3,0),0))))+EA68</f>
        <v>#REF!</v>
      </c>
      <c r="EF68" s="450" t="e">
        <f t="shared" ca="1" si="96"/>
        <v>#REF!</v>
      </c>
      <c r="EG68" s="58" t="e">
        <f ca="1">(VLOOKUP(EF$2,$B$1:$F$32,5,0)*$L68)+(VLOOKUP($K68,'Withdrawal Working'!$AD:$AE,2,0)*(IFERROR(VLOOKUP(EF$2,$B$35:$C$42,2,0),0)))</f>
        <v>#REF!</v>
      </c>
      <c r="EH68" s="58">
        <f ca="1">IFERROR(IF($K68&lt;VLOOKUP(EF$2,$B:$H,7,0),IF(EJ$3=1,MIN($M68,EF68),IF(HLOOKUP(CONCATENATE("Balance",EJ$3-1),'Withdrawal Working'!$A$2:$CD$78,MATCH('Yoy WAR OG'!$J68,'Withdrawal Working'!$A$2:$A$78,0),FALSE)&gt;0,MIN(HLOOKUP(CONCATENATE("Balance",EJ$3-1),'Withdrawal Working'!$A$2:$CD$78,MATCH('Yoy WAR OG'!$J68,'Withdrawal Working'!$A$2:$A$78,0),0),EF68),0)),IF($K68=VLOOKUP(EF$2,$B:$H,7,0),EF68,)),0)</f>
        <v>0</v>
      </c>
      <c r="EI68" s="58" t="e">
        <f t="shared" ref="EI68:EI80" ca="1" si="118">((EF68-EH68)*(1+(IFERROR(VLOOKUP(EF$2,$B:$D,3,0),0))))+EG68</f>
        <v>#REF!</v>
      </c>
      <c r="EL68" s="450">
        <f t="shared" ca="1" si="97"/>
        <v>0</v>
      </c>
      <c r="EM68" s="58">
        <f>IF(OR($J68&gt;'NWGC - SCENARIOS'!$D$7,$J68='NWGC - SCENARIOS'!$D$7),0,EM67)</f>
        <v>0</v>
      </c>
      <c r="EN68" s="58">
        <f ca="1">IFERROR(IF($K68&lt;VLOOKUP(EL$2,$B:$H,7,0),IF(EP$3=1,MIN($M68,EL68),IF(HLOOKUP(CONCATENATE("Balance",EP$3-1),'Withdrawal Working'!$A$2:$CD$78,MATCH('Yoy WAR OG'!$J68,'Withdrawal Working'!$A$2:$A$78,0),FALSE)&gt;0,MIN(HLOOKUP(CONCATENATE("Balance",EP$3-1),'Withdrawal Working'!$A$2:$CD$78,MATCH('Yoy WAR OG'!$J68,'Withdrawal Working'!$A$2:$A$78,0),0),EL68),0)),IF($K68=VLOOKUP(EL$2,$B:$H,7,0),EL68,)),0)</f>
        <v>0</v>
      </c>
      <c r="EO68" s="58">
        <f t="shared" ref="EO68:EO80" ca="1" si="119">((EL68-EN68)*(1+(IFERROR(VLOOKUP(EL$2,$B:$D,3,0),0))))+EM68</f>
        <v>0</v>
      </c>
      <c r="ER68" s="450">
        <f t="shared" ca="1" si="98"/>
        <v>0</v>
      </c>
      <c r="ES68" s="58">
        <f>IF(OR(J68&gt;'NWGC - SCENARIOS'!$D$7,J68='NWGC - SCENARIOS'!$D$7),0,ES67*(1+'NWGC - SCENARIOS'!$L$5))</f>
        <v>0</v>
      </c>
      <c r="ET68" s="58">
        <f ca="1">IFERROR(IF($K68&lt;VLOOKUP(ER$2,$B:$H,7,0),IF(EV$3=1,MIN($M68,ER68),IF(HLOOKUP(CONCATENATE("Balance",EV$3-1),'Withdrawal Working'!$A$2:$CD$78,MATCH('Yoy WAR OG'!$J68,'Withdrawal Working'!$A$2:$A$78,0),FALSE)&gt;0,MIN(HLOOKUP(CONCATENATE("Balance",EV$3-1),'Withdrawal Working'!$A$2:$CD$78,MATCH('Yoy WAR OG'!$J68,'Withdrawal Working'!$A$2:$A$78,0),0),ER68),0)),IF($K68=VLOOKUP(ER$2,$B:$H,7,0),ER68,)),0)</f>
        <v>0</v>
      </c>
      <c r="EU68" s="58">
        <f t="shared" ref="EU68:EU80" ca="1" si="120">((ER68-ET68)*(1+(IFERROR(VLOOKUP(ER$2,$B:$D,3,0),0))))+ES68</f>
        <v>0</v>
      </c>
      <c r="EX68" s="450">
        <f t="shared" ca="1" si="99"/>
        <v>0</v>
      </c>
      <c r="EY68" s="58">
        <f>IF(OR(J68&gt;'NWGC - SCENARIOS'!$D$7,J68='NWGC - SCENARIOS'!$D$7),0,EY67)</f>
        <v>0</v>
      </c>
      <c r="EZ68" s="58">
        <f ca="1">IFERROR(IF($K68&lt;VLOOKUP(EX$2,$B:$H,7,0),IF(FB$3=1,MIN($M68,EX68),IF(HLOOKUP(CONCATENATE("Balance",FB$3-1),'Withdrawal Working'!$A$2:$CD$78,MATCH('Yoy WAR OG'!$J68,'Withdrawal Working'!$A$2:$A$78,0),FALSE)&gt;0,MIN(HLOOKUP(CONCATENATE("Balance",FB$3-1),'Withdrawal Working'!$A$2:$CD$78,MATCH('Yoy WAR OG'!$J68,'Withdrawal Working'!$A$2:$A$78,0),0),EX68),0)),IF($K68=VLOOKUP(EX$2,$B:$H,7,0),EX68,)),0)</f>
        <v>0</v>
      </c>
      <c r="FA68" s="58">
        <f t="shared" ref="FA68:FA80" ca="1" si="121">((EX68-EZ68)*(1+(IFERROR(VLOOKUP(EX$2,$B:$D,3,0),0))))+EY68</f>
        <v>0</v>
      </c>
    </row>
    <row r="69" spans="10:157" x14ac:dyDescent="0.3">
      <c r="J69">
        <f>IFERROR('NWGC - SCENARIOS'!#REF!,0)</f>
        <v>0</v>
      </c>
      <c r="K69">
        <f>IFERROR('NWGC - SCENARIOS'!#REF!,0)</f>
        <v>0</v>
      </c>
      <c r="L69" s="449" t="e">
        <f>IF(('NWGC - SCENARIOS'!#REF!-working!G67)&gt;'NWGC - SCENARIOS'!#REF!,'NWGC - SCENARIOS'!#REF!-'NWGC - SCENARIOS'!#REF!-working!G67,0)</f>
        <v>#REF!</v>
      </c>
      <c r="M69" s="449" t="e">
        <f>IF(('NWGC - SCENARIOS'!#REF!-working!G67)&gt;'NWGC - SCENARIOS'!#REF!,0,'NWGC - SCENARIOS'!#REF!-'NWGC - SCENARIOS'!#REF!+working!G67)</f>
        <v>#REF!</v>
      </c>
      <c r="N69" s="58" t="e">
        <f t="shared" ca="1" si="50"/>
        <v>#REF!</v>
      </c>
      <c r="O69" s="58" t="e">
        <f t="shared" ca="1" si="51"/>
        <v>#REF!</v>
      </c>
      <c r="P69" s="58" t="e">
        <f t="shared" ca="1" si="76"/>
        <v>#REF!</v>
      </c>
      <c r="Q69" s="58" t="e">
        <f ca="1">(VLOOKUP(P$2,$B$1:$F$32,5,0)*$L69)+(VLOOKUP($K69,'Withdrawal Working'!$AD:$AE,2,0)*(IFERROR(VLOOKUP(P$2,$B$35:$C$42,2,0),0)))</f>
        <v>#REF!</v>
      </c>
      <c r="R69" s="58">
        <f>IFERROR(IF($K69&lt;VLOOKUP(P$2,$B:$H,7,0),IF(T$3=1,MIN($M69,P69),IF(HLOOKUP(CONCATENATE("Balance",T$3-1),'Withdrawal Working'!$A$2:$CD$78,MATCH('Yoy WAR OG'!$J69,'Withdrawal Working'!$A$2:$A$78,0),FALSE)&gt;0,MIN(HLOOKUP(CONCATENATE("Balance",T$3-1),'Withdrawal Working'!$A$2:$CD$78,MATCH('Yoy WAR OG'!$J69,'Withdrawal Working'!$A$2:$A$78,0),0),P69),0)),IF($K69=VLOOKUP(P$2,$B:$H,7,0),P69,)),0)</f>
        <v>0</v>
      </c>
      <c r="S69" s="58" t="e">
        <f t="shared" ca="1" si="75"/>
        <v>#REF!</v>
      </c>
      <c r="T69" s="58"/>
      <c r="V69" s="58" t="e">
        <f t="shared" ca="1" si="77"/>
        <v>#REF!</v>
      </c>
      <c r="W69" s="58" t="e">
        <f ca="1">(VLOOKUP(V$2,$B$1:$F$32,5,0)*$L69)+(VLOOKUP($K69,'Withdrawal Working'!$AD:$AE,2,0)*(IFERROR(VLOOKUP(V$2,$B$35:$C$42,2,0),0)))</f>
        <v>#REF!</v>
      </c>
      <c r="X69" s="58">
        <f>IFERROR(IF($K69&lt;VLOOKUP(V$2,$B:$H,7,0),IF(Z$3=1,MIN($M69,V69),IF(HLOOKUP(CONCATENATE("Balance",Z$3-1),'Withdrawal Working'!$A$2:$CD$78,MATCH('Yoy WAR OG'!$J69,'Withdrawal Working'!$A$2:$A$78,0),FALSE)&gt;0,MIN(HLOOKUP(CONCATENATE("Balance",Z$3-1),'Withdrawal Working'!$A$2:$CD$78,MATCH('Yoy WAR OG'!$J69,'Withdrawal Working'!$A$2:$A$78,0),0),V69),0)),IF($K69=VLOOKUP(V$2,$B:$H,7,0),V69,)),0)</f>
        <v>0</v>
      </c>
      <c r="Y69" s="58" t="e">
        <f t="shared" ca="1" si="100"/>
        <v>#REF!</v>
      </c>
      <c r="AB69" s="58" t="e">
        <f t="shared" ca="1" si="78"/>
        <v>#REF!</v>
      </c>
      <c r="AC69" s="58" t="e">
        <f ca="1">(VLOOKUP(AB$2,$B$1:$F$32,5,0)*$L69)+(VLOOKUP($K69,'Withdrawal Working'!$AD:$AE,2,0)*(IFERROR(VLOOKUP(AB$2,$B$35:$C$42,2,0),0)))</f>
        <v>#REF!</v>
      </c>
      <c r="AE69" s="58" t="e">
        <f t="shared" ca="1" si="101"/>
        <v>#REF!</v>
      </c>
      <c r="AH69" s="58" t="e">
        <f t="shared" ca="1" si="79"/>
        <v>#REF!</v>
      </c>
      <c r="AI69" s="58" t="e">
        <f ca="1">(VLOOKUP(AH$2,$B$1:$F$32,5,0)*$L69)+IF(J69&gt;'NWGC - SCENARIOS'!$D$7,0,(VLOOKUP($K69,'Withdrawal Working'!$AD:$AE,2,0)*(IFERROR(VLOOKUP(AH$2,$B$35:$C$42,2,0),0))))</f>
        <v>#REF!</v>
      </c>
      <c r="AJ69" s="58">
        <f ca="1">IFERROR(IF($J69&gt;'NWGC - SCENARIOS'!$D$7,MIN('Yoy WAR OG'!AH69,VLOOKUP('Yoy WAR OG'!$J69,'Withdrawal Working'!BC:BD,2,0)),IF(AL$3=1,$M69,IF(HLOOKUP(CONCATENATE("Balance",AL$3-1),'Withdrawal Working'!$A$2:$CD$78,MATCH('Yoy WAR OG'!$J69,'Withdrawal Working'!$A$2:$A$78,0),FALSE)&gt;0,MIN(HLOOKUP(CONCATENATE("Balance",AL$3-1),'Withdrawal Working'!$A$2:$CD$78,MATCH('Yoy WAR OG'!$J69,'Withdrawal Working'!$A$2:$A$78,0),0),AH69),0))),0)</f>
        <v>0</v>
      </c>
      <c r="AK69" s="58" t="e">
        <f t="shared" ca="1" si="102"/>
        <v>#REF!</v>
      </c>
      <c r="AN69" s="450" t="e">
        <f t="shared" ca="1" si="80"/>
        <v>#REF!</v>
      </c>
      <c r="AO69" s="58" t="e">
        <f ca="1">IF(J69&gt;'NWGC - SCENARIOS'!$D$7,(IF(AJ69=0,0,'Yoy WAR OG'!AJ69)+(VLOOKUP(AN$2,$B$1:$F$32,5,0)*$L69)),(VLOOKUP(AN$2,$B$1:$F$32,5,0)*$L69)+(VLOOKUP($K69,'Withdrawal Working'!$AD:$AE,2,0)*(IFERROR(VLOOKUP(AN$2,$B$35:$C$42,2,0),0))))</f>
        <v>#REF!</v>
      </c>
      <c r="AP69" s="470">
        <f ca="1">IFERROR(IF($K69&lt;&gt;VLOOKUP(AN$2,$B:$H,7,0),IF(AR$3=1,MIN($M69,AN69),IF(HLOOKUP(CONCATENATE("Balance",AR$3-1),'Withdrawal Working'!$A$2:$CD$78,MATCH('Yoy WAR OG'!$J69,'Withdrawal Working'!$A$2:$A$78,0),FALSE)&gt;0,MIN(HLOOKUP(CONCATENATE("Balance",AR$3-1),'Withdrawal Working'!$A$2:$CD$78,MATCH('Yoy WAR OG'!$J69,'Withdrawal Working'!$A$2:$A$78,0),0),AN69),0)),IF($K69=VLOOKUP(AN$2,$B:$H,7,0),AN69,)),0)</f>
        <v>0</v>
      </c>
      <c r="AQ69" s="58" t="e">
        <f ca="1">IF(AO69&lt;0,0,IF(J69&gt;'NWGC - SCENARIOS'!$D$7,((AN69-AP69+AO69)*(1+(IFERROR(VLOOKUP(AN$2,$B:$D,3,0),0)))),((AN69-AP69)*(1+(IFERROR(VLOOKUP(AN$2,$B:$D,3,0),0))))+AO69))</f>
        <v>#REF!</v>
      </c>
      <c r="AT69" s="450" t="e">
        <f t="shared" ca="1" si="81"/>
        <v>#REF!</v>
      </c>
      <c r="AU69" s="58" t="e">
        <f ca="1">(VLOOKUP(AT$2,$B$1:$F$32,5,0)*$L69)+(VLOOKUP($K69,'Withdrawal Working'!$AD:$AE,2,0)*(IFERROR(VLOOKUP(AT$2,$B$35:$C$42,2,0),0)))</f>
        <v>#REF!</v>
      </c>
      <c r="AV69" s="58">
        <f>IFERROR(IF($K69&lt;VLOOKUP(AT$2,$B:$H,7,0),IF(AX$3=1,MIN($M69,AT69),IF(HLOOKUP(CONCATENATE("Balance",AX$3-1),'Withdrawal Working'!$A$2:$CD$78,MATCH('Yoy WAR OG'!$J69,'Withdrawal Working'!$A$2:$A$78,0),FALSE)&gt;0,MIN(HLOOKUP(CONCATENATE("Balance",AX$3-1),'Withdrawal Working'!$A$2:$CD$78,MATCH('Yoy WAR OG'!$J69,'Withdrawal Working'!$A$2:$A$78,0),0),AT69),0)),IF($K69=VLOOKUP(AT$2,$B:$H,7,0),AT69,)),0)</f>
        <v>0</v>
      </c>
      <c r="AW69" s="58" t="e">
        <f t="shared" ca="1" si="103"/>
        <v>#REF!</v>
      </c>
      <c r="AZ69" s="450" t="e">
        <f t="shared" ca="1" si="82"/>
        <v>#REF!</v>
      </c>
      <c r="BA69" s="58" t="e">
        <f ca="1">(VLOOKUP(AZ$2,$B$1:$F$32,5,0)*$L69)+(VLOOKUP($K69,'Withdrawal Working'!$AD:$AE,2,0)*(IFERROR(VLOOKUP(AZ$2,$B$35:$C$42,2,0),0)))</f>
        <v>#REF!</v>
      </c>
      <c r="BB69" s="58">
        <f ca="1">IFERROR(IF($K69&lt;VLOOKUP(AZ$2,$B:$H,7,0),IF(BD$3=1,MIN($M69,AZ69),IF(HLOOKUP(CONCATENATE("Balance",BD$3-1),'Withdrawal Working'!$A$2:$CD$78,MATCH('Yoy WAR OG'!$J69,'Withdrawal Working'!$A$2:$A$78,0),FALSE)&gt;0,MIN(HLOOKUP(CONCATENATE("Balance",BD$3-1),'Withdrawal Working'!$A$2:$CD$78,MATCH('Yoy WAR OG'!$J69,'Withdrawal Working'!$A$2:$A$78,0),0),AZ69),0)),IF($K69=VLOOKUP(AZ$2,$B:$H,7,0),AZ69,)),0)</f>
        <v>0</v>
      </c>
      <c r="BC69" s="58" t="e">
        <f t="shared" ca="1" si="104"/>
        <v>#REF!</v>
      </c>
      <c r="BF69" s="450" t="e">
        <f t="shared" ca="1" si="83"/>
        <v>#REF!</v>
      </c>
      <c r="BG69" s="58" t="e">
        <f ca="1">(VLOOKUP(BF$2,$B$1:$F$32,5,0)*$L69)+(VLOOKUP($K69,'Withdrawal Working'!$AD:$AE,2,0)*(IFERROR(VLOOKUP(BF$2,$B$35:$C$42,2,0),0)))</f>
        <v>#REF!</v>
      </c>
      <c r="BH69" s="58">
        <f>IFERROR(IF($K69&lt;VLOOKUP(BF$2,$B:$H,7,0),IF(BJ$3=1,MIN($M69,BF69),IF(HLOOKUP(CONCATENATE("Balance",BJ$3-1),'Withdrawal Working'!$A$2:$CD$78,MATCH('Yoy WAR OG'!$J69,'Withdrawal Working'!$A$2:$A$78,0),FALSE)&gt;0,MIN(HLOOKUP(CONCATENATE("Balance",BJ$3-1),'Withdrawal Working'!$A$2:$CD$78,MATCH('Yoy WAR OG'!$J69,'Withdrawal Working'!$A$2:$A$78,0),0),BF69),0)),IF($K69=VLOOKUP(BF$2,$B:$H,7,0),BF69,)),0)</f>
        <v>0</v>
      </c>
      <c r="BI69" s="58" t="e">
        <f t="shared" ca="1" si="105"/>
        <v>#REF!</v>
      </c>
      <c r="BL69" s="450" t="e">
        <f t="shared" ca="1" si="84"/>
        <v>#REF!</v>
      </c>
      <c r="BM69" s="58" t="e">
        <f ca="1">(VLOOKUP(BL$2,$B$1:$F$32,5,0)*$L69)+(VLOOKUP($K69,'Withdrawal Working'!$AD:$AE,2,0)*(IFERROR(VLOOKUP(BL$2,$B$35:$C$42,2,0),0)))</f>
        <v>#REF!</v>
      </c>
      <c r="BN69" s="58">
        <f ca="1">IFERROR(IF($K69&lt;VLOOKUP(BL$2,$B:$H,7,0),IF(BP$3=1,MIN($M69,BL69),IF(HLOOKUP(CONCATENATE("Balance",BP$3-1),'Withdrawal Working'!$A$2:$CD$78,MATCH('Yoy WAR OG'!$J69,'Withdrawal Working'!$A$2:$A$78,0),FALSE)&gt;0,MIN(HLOOKUP(CONCATENATE("Balance",BP$3-1),'Withdrawal Working'!$A$2:$CD$78,MATCH('Yoy WAR OG'!$J69,'Withdrawal Working'!$A$2:$A$78,0),0),BL69),0)),IF($K69=VLOOKUP(BL$2,$B:$H,7,0),BL69,)),0)</f>
        <v>0</v>
      </c>
      <c r="BO69" s="58" t="e">
        <f t="shared" ca="1" si="106"/>
        <v>#REF!</v>
      </c>
      <c r="BR69" s="450" t="e">
        <f t="shared" ca="1" si="85"/>
        <v>#REF!</v>
      </c>
      <c r="BS69" s="58" t="e">
        <f ca="1">(VLOOKUP(BR$2,$B$1:$F$32,5,0)*$L69)+(VLOOKUP($K69,'Withdrawal Working'!$AD:$AE,2,0)*(IFERROR(VLOOKUP(BR$2,$B$35:$C$42,2,0),0)))</f>
        <v>#REF!</v>
      </c>
      <c r="BT69" s="58">
        <f ca="1">IFERROR(IF($K69&lt;VLOOKUP(BR$2,$B:$H,7,0),IF(BV$3=1,MIN($M69,BR69),IF(HLOOKUP(CONCATENATE("Balance",BV$3-1),'Withdrawal Working'!$A$2:$CD$78,MATCH('Yoy WAR OG'!$J69,'Withdrawal Working'!$A$2:$A$78,0),FALSE)&gt;0,MIN(HLOOKUP(CONCATENATE("Balance",BV$3-1),'Withdrawal Working'!$A$2:$CD$78,MATCH('Yoy WAR OG'!$J69,'Withdrawal Working'!$A$2:$A$78,0),0),BR69),0)),IF($K69=VLOOKUP(BR$2,$B:$H,7,0),BR69,)),0)</f>
        <v>0</v>
      </c>
      <c r="BU69" s="58" t="e">
        <f t="shared" ca="1" si="107"/>
        <v>#REF!</v>
      </c>
      <c r="BX69" s="450" t="e">
        <f t="shared" ca="1" si="86"/>
        <v>#REF!</v>
      </c>
      <c r="BY69" s="58" t="e">
        <f ca="1">(VLOOKUP(BX$2,$B$1:$F$32,5,0)*$L69)+(VLOOKUP($K69,'Withdrawal Working'!$AD:$AE,2,0)*(IFERROR(VLOOKUP(BX$2,$B$35:$C$42,2,0),0)))</f>
        <v>#REF!</v>
      </c>
      <c r="BZ69" s="58">
        <f ca="1">IFERROR(IF($K69&lt;VLOOKUP(BX$2,$B:$H,7,0),IF(CB$3=1,MIN($M69,BX69),IF(HLOOKUP(CONCATENATE("Balance",CB$3-1),'Withdrawal Working'!$A$2:$CD$78,MATCH('Yoy WAR OG'!$J69,'Withdrawal Working'!$A$2:$A$78,0),FALSE)&gt;0,MIN(HLOOKUP(CONCATENATE("Balance",CB$3-1),'Withdrawal Working'!$A$2:$CD$78,MATCH('Yoy WAR OG'!$J69,'Withdrawal Working'!$A$2:$A$78,0),0),BX69),0)),IF($K69=VLOOKUP(BX$2,$B:$H,7,0),BX69,)),0)</f>
        <v>0</v>
      </c>
      <c r="CA69" s="58" t="e">
        <f t="shared" ca="1" si="108"/>
        <v>#REF!</v>
      </c>
      <c r="CD69" s="450" t="e">
        <f t="shared" ca="1" si="87"/>
        <v>#REF!</v>
      </c>
      <c r="CE69" s="58" t="e">
        <f ca="1">(VLOOKUP(CD$2,$B$1:$F$32,5,0)*$L69)+(VLOOKUP($K69,'Withdrawal Working'!$AD:$AE,2,0)*(IFERROR(VLOOKUP(CD$2,$B$35:$C$42,2,0),0)))+SUMIFS('Key Life Events'!$I$3:$I$28,'Key Life Events'!$H$3:$H$28,"House",'Key Life Events'!$E$3:$E$28,'Yoy WAR OG'!K69)</f>
        <v>#REF!</v>
      </c>
      <c r="CF69" s="58">
        <f ca="1">IFERROR(IF($K69&lt;VLOOKUP(CD$2,$B:$H,7,0),IF(CH$3=1,MIN($M69,CD69),IF(HLOOKUP(CONCATENATE("Balance",CH$3-1),'Withdrawal Working'!$A$2:$CD$78,MATCH('Yoy WAR OG'!$J69,'Withdrawal Working'!$A$2:$A$78,0),FALSE)&gt;0,MIN(HLOOKUP(CONCATENATE("Balance",CH$3-1),'Withdrawal Working'!$A$2:$CD$78,MATCH('Yoy WAR OG'!$J69,'Withdrawal Working'!$A$2:$A$78,0),0),CD69),0)),IF($K69=VLOOKUP(CD$2,$B:$H,7,0),CD69,)),0)</f>
        <v>0</v>
      </c>
      <c r="CG69" s="58" t="e">
        <f t="shared" ca="1" si="109"/>
        <v>#REF!</v>
      </c>
      <c r="CJ69" s="450" t="e">
        <f t="shared" ca="1" si="88"/>
        <v>#REF!</v>
      </c>
      <c r="CK69" s="58" t="e">
        <f ca="1">(VLOOKUP(CJ$2,$B$1:$F$32,5,0)*$L69)+(VLOOKUP($K69,'Withdrawal Working'!$AD:$AE,2,0)*(IFERROR(VLOOKUP(CJ$2,$B$35:$C$42,2,0),0)))+SUMIFS('Key Life Events'!$I$3:$I$28,'Key Life Events'!$H$3:$H$28,"House2",'Key Life Events'!$E$3:$E$28,'Yoy WAR OG'!K69)</f>
        <v>#REF!</v>
      </c>
      <c r="CL69" s="58">
        <f ca="1">IF(IFERROR(IF($K69&lt;&gt;VLOOKUP(CJ$2,$B:$H,7,0),IF(CN$3=1,MIN($M69,CJ69),IF(HLOOKUP(CONCATENATE("Balance",CN$3-1),'Withdrawal Working'!$A$2:$CD$78,MATCH('Yoy WAR OG'!$J69,'Withdrawal Working'!$A$2:$A$78,0),FALSE)&gt;0,MIN(HLOOKUP(CONCATENATE("Balance",CN$3-1),'Withdrawal Working'!$A$2:$CD$78,MATCH('Yoy WAR OG'!$J69,'Withdrawal Working'!$A$2:$A$78,0),0),CJ69),0)),IF($K69=VLOOKUP(CJ$2,$B:$H,7,0),CJ69,)),0)&gt;0,CJ69,0)</f>
        <v>0</v>
      </c>
      <c r="CM69" s="58" t="e">
        <f t="shared" ca="1" si="110"/>
        <v>#REF!</v>
      </c>
      <c r="CP69" s="450" t="e">
        <f t="shared" ca="1" si="89"/>
        <v>#REF!</v>
      </c>
      <c r="CQ69" s="58" t="e">
        <f ca="1">(VLOOKUP(CP$2,$B$1:$F$32,5,0)*$L69)+(VLOOKUP($K69,'Withdrawal Working'!$AD:$AE,2,0)*(IFERROR(VLOOKUP(CP$2,$B$35:$C$42,2,0),0)))+SUMIFS('Key Life Events'!$I$3:$I$28,'Key Life Events'!$H$3:$H$28,"Land",'Key Life Events'!$E$3:$E$28,'Yoy WAR OG'!K69)</f>
        <v>#REF!</v>
      </c>
      <c r="CR69" s="58">
        <f ca="1">IFERROR(IF($K69&lt;VLOOKUP(CP$2,$B:$H,7,0),IF(CT$3=1,MIN($M69,CP69),IF(HLOOKUP(CONCATENATE("Balance",CT$3-1),'Withdrawal Working'!$A$2:$CD$78,MATCH('Yoy WAR OG'!$J69,'Withdrawal Working'!$A$2:$A$78,0),FALSE)&gt;0,MIN(HLOOKUP(CONCATENATE("Balance",CT$3-1),'Withdrawal Working'!$A$2:$CD$78,MATCH('Yoy WAR OG'!$J69,'Withdrawal Working'!$A$2:$A$78,0),0),CP69),0)),IF($K69=VLOOKUP(CP$2,$B:$H,7,0),CP69,)),0)</f>
        <v>0</v>
      </c>
      <c r="CS69" s="58" t="e">
        <f t="shared" ca="1" si="111"/>
        <v>#REF!</v>
      </c>
      <c r="CV69" s="450">
        <f t="shared" ca="1" si="90"/>
        <v>0</v>
      </c>
      <c r="CW69" s="58"/>
      <c r="CX69" s="58">
        <f ca="1">IFERROR(IF($K69&lt;VLOOKUP(CV$2,$B:$H,7,0),IF(CZ$3=1,MIN($M69,CV69),IF(HLOOKUP(CONCATENATE("Balance",CZ$3-1),'Withdrawal Working'!$A$2:$CD$78,MATCH('Yoy WAR OG'!$J69,'Withdrawal Working'!$A$2:$A$78,0),FALSE)&gt;0,MIN(HLOOKUP(CONCATENATE("Balance",CZ$3-1),'Withdrawal Working'!$A$2:$CD$78,MATCH('Yoy WAR OG'!$J69,'Withdrawal Working'!$A$2:$A$78,0),0),CV69),0)),IF($K69=VLOOKUP(CV$2,$B:$H,7,0),CV69,)),0)</f>
        <v>0</v>
      </c>
      <c r="CY69" s="58">
        <f t="shared" ca="1" si="112"/>
        <v>0</v>
      </c>
      <c r="DB69" s="450" t="e">
        <f t="shared" ca="1" si="91"/>
        <v>#REF!</v>
      </c>
      <c r="DC69" s="58" t="e">
        <f ca="1">(VLOOKUP(DB$2,$B$1:$F$32,5,0)*$L69)+(VLOOKUP($K69,'Withdrawal Working'!$AD:$AE,2,0)*(IFERROR(VLOOKUP(DB$2,$B$35:$C$42,2,0),0)))</f>
        <v>#REF!</v>
      </c>
      <c r="DD69" s="58">
        <f ca="1">IFERROR(IF($K69&lt;VLOOKUP(DB$2,$B:$H,7,0),IF(DF$3=1,MIN($M69,DB69),IF(HLOOKUP(CONCATENATE("Balance",DF$3-1),'Withdrawal Working'!$A$2:$CD$78,MATCH('Yoy WAR OG'!$J69,'Withdrawal Working'!$A$2:$A$78,0),FALSE)&gt;0,MIN(HLOOKUP(CONCATENATE("Balance",DF$3-1),'Withdrawal Working'!$A$2:$CD$78,MATCH('Yoy WAR OG'!$J69,'Withdrawal Working'!$A$2:$A$78,0),0),DB69),0)),IF($K69=VLOOKUP(DB$2,$B:$H,7,0),DB69,)),0)</f>
        <v>0</v>
      </c>
      <c r="DE69" s="58" t="e">
        <f t="shared" ca="1" si="113"/>
        <v>#REF!</v>
      </c>
      <c r="DH69" s="450">
        <f t="shared" ca="1" si="92"/>
        <v>0</v>
      </c>
      <c r="DI69" s="58">
        <f>IF(OR(J69&gt;'NWGC - SCENARIOS'!$D$7,J69='NWGC - SCENARIOS'!$D$7),0,DI68*(1+'NWGC - SCENARIOS'!$L$5))</f>
        <v>0</v>
      </c>
      <c r="DJ69" s="58">
        <f ca="1">IFERROR(IF($K69&lt;VLOOKUP(DH$2,$B:$H,7,0),IF(DL$3=1,MIN($M69,DH69),IF(HLOOKUP(CONCATENATE("Balance",DL$3-1),'Withdrawal Working'!$A$2:$CD$78,MATCH('Yoy WAR OG'!$J69,'Withdrawal Working'!$A$2:$A$78,0),FALSE)&gt;0,MIN(HLOOKUP(CONCATENATE("Balance",DL$3-1),'Withdrawal Working'!$A$2:$CD$78,MATCH('Yoy WAR OG'!$J69,'Withdrawal Working'!$A$2:$A$78,0),0),DH69),0)),IF($K69=VLOOKUP(DH$2,$B:$H,7,0),DH69,)),0)</f>
        <v>0</v>
      </c>
      <c r="DK69" s="58">
        <f t="shared" ca="1" si="114"/>
        <v>0</v>
      </c>
      <c r="DN69" s="450" t="e">
        <f t="shared" ca="1" si="93"/>
        <v>#REF!</v>
      </c>
      <c r="DO69" s="58" t="e">
        <f ca="1">(VLOOKUP(DN$2,$B$1:$F$32,5,0)*$L69)+(VLOOKUP($K69,'Withdrawal Working'!$AD:$AE,2,0)*(IFERROR(VLOOKUP(DN$2,$B$35:$C$42,2,0),0)))</f>
        <v>#REF!</v>
      </c>
      <c r="DP69" s="58">
        <f ca="1">IFERROR(IF($K69&lt;VLOOKUP(DN$2,$B:$H,7,0),IF(DR$3=1,MIN($M69,DN69),IF(HLOOKUP(CONCATENATE("Balance",DR$3-1),'Withdrawal Working'!$A$2:$CD$78,MATCH('Yoy WAR OG'!$J69,'Withdrawal Working'!$A$2:$A$78,0),FALSE)&gt;0,MIN(HLOOKUP(CONCATENATE("Balance",DR$3-1),'Withdrawal Working'!$A$2:$CD$78,MATCH('Yoy WAR OG'!$J69,'Withdrawal Working'!$A$2:$A$78,0),0),DN69),0)),IF($K69=VLOOKUP(DN$2,$B:$H,7,0),DN69,)),0)</f>
        <v>0</v>
      </c>
      <c r="DQ69" s="58" t="e">
        <f t="shared" ca="1" si="115"/>
        <v>#REF!</v>
      </c>
      <c r="DT69" s="450" t="e">
        <f t="shared" ca="1" si="94"/>
        <v>#REF!</v>
      </c>
      <c r="DU69" s="58" t="e">
        <f ca="1">(VLOOKUP(DT$2,$B$1:$F$32,5,0)*$L69)+(VLOOKUP($K69,'Withdrawal Working'!$AD:$AE,2,0)*(IFERROR(VLOOKUP(DT$2,$B$35:$C$42,2,0),0)))</f>
        <v>#REF!</v>
      </c>
      <c r="DV69" s="58">
        <f ca="1">IFERROR(IF($K69&lt;VLOOKUP(DT$2,$B:$H,7,0),IF(DX$3=1,MIN($M69,DT69),IF(HLOOKUP(CONCATENATE("Balance",DX$3-1),'Withdrawal Working'!$A$2:$CD$78,MATCH('Yoy WAR OG'!$J69,'Withdrawal Working'!$A$2:$A$78,0),FALSE)&gt;0,MIN(HLOOKUP(CONCATENATE("Balance",DX$3-1),'Withdrawal Working'!$A$2:$CD$78,MATCH('Yoy WAR OG'!$J69,'Withdrawal Working'!$A$2:$A$78,0),0),DT69),0)),IF($K69=VLOOKUP(DT$2,$B:$H,7,0),DT69,)),0)</f>
        <v>0</v>
      </c>
      <c r="DW69" s="58" t="e">
        <f t="shared" ca="1" si="116"/>
        <v>#REF!</v>
      </c>
      <c r="DZ69" s="450" t="e">
        <f t="shared" ca="1" si="95"/>
        <v>#REF!</v>
      </c>
      <c r="EA69" s="58" t="e">
        <f ca="1">(VLOOKUP(DZ$2,$B$1:$F$32,5,0)*$L69)+(VLOOKUP($K69,'Withdrawal Working'!$AD:$AE,2,0)*(IFERROR(VLOOKUP(DZ$2,$B$35:$C$42,2,0),0)))</f>
        <v>#REF!</v>
      </c>
      <c r="EB69" s="58">
        <f ca="1">IFERROR(IF($K69&lt;VLOOKUP(DZ$2,$B:$H,7,0),IF(ED$3=1,MIN($M69,DZ69),IF(HLOOKUP(CONCATENATE("Balance",ED$3-1),'Withdrawal Working'!$A$2:$CD$78,MATCH('Yoy WAR OG'!$J69,'Withdrawal Working'!$A$2:$A$78,0),FALSE)&gt;0,MIN(HLOOKUP(CONCATENATE("Balance",ED$3-1),'Withdrawal Working'!$A$2:$CD$78,MATCH('Yoy WAR OG'!$J69,'Withdrawal Working'!$A$2:$A$78,0),0),DZ69),0)),IF($K69=VLOOKUP(DZ$2,$B:$H,7,0),DZ69,)),0)</f>
        <v>0</v>
      </c>
      <c r="EC69" s="58" t="e">
        <f t="shared" ca="1" si="117"/>
        <v>#REF!</v>
      </c>
      <c r="EF69" s="450" t="e">
        <f t="shared" ca="1" si="96"/>
        <v>#REF!</v>
      </c>
      <c r="EG69" s="58" t="e">
        <f ca="1">(VLOOKUP(EF$2,$B$1:$F$32,5,0)*$L69)+(VLOOKUP($K69,'Withdrawal Working'!$AD:$AE,2,0)*(IFERROR(VLOOKUP(EF$2,$B$35:$C$42,2,0),0)))</f>
        <v>#REF!</v>
      </c>
      <c r="EH69" s="58">
        <f ca="1">IFERROR(IF($K69&lt;VLOOKUP(EF$2,$B:$H,7,0),IF(EJ$3=1,MIN($M69,EF69),IF(HLOOKUP(CONCATENATE("Balance",EJ$3-1),'Withdrawal Working'!$A$2:$CD$78,MATCH('Yoy WAR OG'!$J69,'Withdrawal Working'!$A$2:$A$78,0),FALSE)&gt;0,MIN(HLOOKUP(CONCATENATE("Balance",EJ$3-1),'Withdrawal Working'!$A$2:$CD$78,MATCH('Yoy WAR OG'!$J69,'Withdrawal Working'!$A$2:$A$78,0),0),EF69),0)),IF($K69=VLOOKUP(EF$2,$B:$H,7,0),EF69,)),0)</f>
        <v>0</v>
      </c>
      <c r="EI69" s="58" t="e">
        <f t="shared" ca="1" si="118"/>
        <v>#REF!</v>
      </c>
      <c r="EL69" s="450">
        <f t="shared" ca="1" si="97"/>
        <v>0</v>
      </c>
      <c r="EM69" s="58">
        <f>IF(OR($J69&gt;'NWGC - SCENARIOS'!$D$7,$J69='NWGC - SCENARIOS'!$D$7),0,EM68)</f>
        <v>0</v>
      </c>
      <c r="EN69" s="58">
        <f ca="1">IFERROR(IF($K69&lt;VLOOKUP(EL$2,$B:$H,7,0),IF(EP$3=1,MIN($M69,EL69),IF(HLOOKUP(CONCATENATE("Balance",EP$3-1),'Withdrawal Working'!$A$2:$CD$78,MATCH('Yoy WAR OG'!$J69,'Withdrawal Working'!$A$2:$A$78,0),FALSE)&gt;0,MIN(HLOOKUP(CONCATENATE("Balance",EP$3-1),'Withdrawal Working'!$A$2:$CD$78,MATCH('Yoy WAR OG'!$J69,'Withdrawal Working'!$A$2:$A$78,0),0),EL69),0)),IF($K69=VLOOKUP(EL$2,$B:$H,7,0),EL69,)),0)</f>
        <v>0</v>
      </c>
      <c r="EO69" s="58">
        <f t="shared" ca="1" si="119"/>
        <v>0</v>
      </c>
      <c r="ER69" s="450">
        <f t="shared" ca="1" si="98"/>
        <v>0</v>
      </c>
      <c r="ES69" s="58">
        <f>IF(OR(J69&gt;'NWGC - SCENARIOS'!$D$7,J69='NWGC - SCENARIOS'!$D$7),0,ES68*(1+'NWGC - SCENARIOS'!$L$5))</f>
        <v>0</v>
      </c>
      <c r="ET69" s="58">
        <f ca="1">IFERROR(IF($K69&lt;VLOOKUP(ER$2,$B:$H,7,0),IF(EV$3=1,MIN($M69,ER69),IF(HLOOKUP(CONCATENATE("Balance",EV$3-1),'Withdrawal Working'!$A$2:$CD$78,MATCH('Yoy WAR OG'!$J69,'Withdrawal Working'!$A$2:$A$78,0),FALSE)&gt;0,MIN(HLOOKUP(CONCATENATE("Balance",EV$3-1),'Withdrawal Working'!$A$2:$CD$78,MATCH('Yoy WAR OG'!$J69,'Withdrawal Working'!$A$2:$A$78,0),0),ER69),0)),IF($K69=VLOOKUP(ER$2,$B:$H,7,0),ER69,)),0)</f>
        <v>0</v>
      </c>
      <c r="EU69" s="58">
        <f t="shared" ca="1" si="120"/>
        <v>0</v>
      </c>
      <c r="EX69" s="450">
        <f t="shared" ca="1" si="99"/>
        <v>0</v>
      </c>
      <c r="EY69" s="58">
        <f>IF(OR(J69&gt;'NWGC - SCENARIOS'!$D$7,J69='NWGC - SCENARIOS'!$D$7),0,EY68)</f>
        <v>0</v>
      </c>
      <c r="EZ69" s="58">
        <f ca="1">IFERROR(IF($K69&lt;VLOOKUP(EX$2,$B:$H,7,0),IF(FB$3=1,MIN($M69,EX69),IF(HLOOKUP(CONCATENATE("Balance",FB$3-1),'Withdrawal Working'!$A$2:$CD$78,MATCH('Yoy WAR OG'!$J69,'Withdrawal Working'!$A$2:$A$78,0),FALSE)&gt;0,MIN(HLOOKUP(CONCATENATE("Balance",FB$3-1),'Withdrawal Working'!$A$2:$CD$78,MATCH('Yoy WAR OG'!$J69,'Withdrawal Working'!$A$2:$A$78,0),0),EX69),0)),IF($K69=VLOOKUP(EX$2,$B:$H,7,0),EX69,)),0)</f>
        <v>0</v>
      </c>
      <c r="FA69" s="58">
        <f t="shared" ca="1" si="121"/>
        <v>0</v>
      </c>
    </row>
    <row r="70" spans="10:157" x14ac:dyDescent="0.3">
      <c r="J70">
        <f>IFERROR('NWGC - SCENARIOS'!#REF!,0)</f>
        <v>0</v>
      </c>
      <c r="K70">
        <f>IFERROR('NWGC - SCENARIOS'!#REF!,0)</f>
        <v>0</v>
      </c>
      <c r="L70" s="449" t="e">
        <f>IF(('NWGC - SCENARIOS'!#REF!-working!G68)&gt;'NWGC - SCENARIOS'!#REF!,'NWGC - SCENARIOS'!#REF!-'NWGC - SCENARIOS'!#REF!-working!G68,0)</f>
        <v>#REF!</v>
      </c>
      <c r="M70" s="449" t="e">
        <f>IF(('NWGC - SCENARIOS'!#REF!-working!G68)&gt;'NWGC - SCENARIOS'!#REF!,0,'NWGC - SCENARIOS'!#REF!-'NWGC - SCENARIOS'!#REF!+working!G68)</f>
        <v>#REF!</v>
      </c>
      <c r="N70" s="58" t="e">
        <f t="shared" ca="1" si="50"/>
        <v>#REF!</v>
      </c>
      <c r="O70" s="58" t="e">
        <f t="shared" ca="1" si="51"/>
        <v>#REF!</v>
      </c>
      <c r="P70" s="58" t="e">
        <f t="shared" ca="1" si="76"/>
        <v>#REF!</v>
      </c>
      <c r="Q70" s="58" t="e">
        <f ca="1">(VLOOKUP(P$2,$B$1:$F$32,5,0)*$L70)+(VLOOKUP($K70,'Withdrawal Working'!$AD:$AE,2,0)*(IFERROR(VLOOKUP(P$2,$B$35:$C$42,2,0),0)))</f>
        <v>#REF!</v>
      </c>
      <c r="R70" s="58">
        <f>IFERROR(IF($K70&lt;VLOOKUP(P$2,$B:$H,7,0),IF(T$3=1,MIN($M70,P70),IF(HLOOKUP(CONCATENATE("Balance",T$3-1),'Withdrawal Working'!$A$2:$CD$78,MATCH('Yoy WAR OG'!$J70,'Withdrawal Working'!$A$2:$A$78,0),FALSE)&gt;0,MIN(HLOOKUP(CONCATENATE("Balance",T$3-1),'Withdrawal Working'!$A$2:$CD$78,MATCH('Yoy WAR OG'!$J70,'Withdrawal Working'!$A$2:$A$78,0),0),P70),0)),IF($K70=VLOOKUP(P$2,$B:$H,7,0),P70,)),0)</f>
        <v>0</v>
      </c>
      <c r="S70" s="58" t="e">
        <f t="shared" ref="S70:S80" ca="1" si="122">((P70-R70)*(1+(IFERROR(VLOOKUP(P$2,B:D,3,0),0))))+Q70</f>
        <v>#REF!</v>
      </c>
      <c r="T70" s="58"/>
      <c r="V70" s="58" t="e">
        <f t="shared" ca="1" si="77"/>
        <v>#REF!</v>
      </c>
      <c r="W70" s="58" t="e">
        <f ca="1">(VLOOKUP(V$2,$B$1:$F$32,5,0)*$L70)+(VLOOKUP($K70,'Withdrawal Working'!$AD:$AE,2,0)*(IFERROR(VLOOKUP(V$2,$B$35:$C$42,2,0),0)))</f>
        <v>#REF!</v>
      </c>
      <c r="X70" s="58">
        <f>IFERROR(IF($K70&lt;VLOOKUP(V$2,$B:$H,7,0),IF(Z$3=1,MIN($M70,V70),IF(HLOOKUP(CONCATENATE("Balance",Z$3-1),'Withdrawal Working'!$A$2:$CD$78,MATCH('Yoy WAR OG'!$J70,'Withdrawal Working'!$A$2:$A$78,0),FALSE)&gt;0,MIN(HLOOKUP(CONCATENATE("Balance",Z$3-1),'Withdrawal Working'!$A$2:$CD$78,MATCH('Yoy WAR OG'!$J70,'Withdrawal Working'!$A$2:$A$78,0),0),V70),0)),IF($K70=VLOOKUP(V$2,$B:$H,7,0),V70,)),0)</f>
        <v>0</v>
      </c>
      <c r="Y70" s="58" t="e">
        <f t="shared" ca="1" si="100"/>
        <v>#REF!</v>
      </c>
      <c r="AB70" s="58" t="e">
        <f t="shared" ca="1" si="78"/>
        <v>#REF!</v>
      </c>
      <c r="AC70" s="58" t="e">
        <f ca="1">(VLOOKUP(AB$2,$B$1:$F$32,5,0)*$L70)+(VLOOKUP($K70,'Withdrawal Working'!$AD:$AE,2,0)*(IFERROR(VLOOKUP(AB$2,$B$35:$C$42,2,0),0)))</f>
        <v>#REF!</v>
      </c>
      <c r="AE70" s="58" t="e">
        <f t="shared" ca="1" si="101"/>
        <v>#REF!</v>
      </c>
      <c r="AH70" s="58" t="e">
        <f t="shared" ca="1" si="79"/>
        <v>#REF!</v>
      </c>
      <c r="AI70" s="58" t="e">
        <f ca="1">(VLOOKUP(AH$2,$B$1:$F$32,5,0)*$L70)+IF(J70&gt;'NWGC - SCENARIOS'!$D$7,0,(VLOOKUP($K70,'Withdrawal Working'!$AD:$AE,2,0)*(IFERROR(VLOOKUP(AH$2,$B$35:$C$42,2,0),0))))</f>
        <v>#REF!</v>
      </c>
      <c r="AJ70" s="58">
        <f ca="1">IFERROR(IF($J70&gt;'NWGC - SCENARIOS'!$D$7,MIN('Yoy WAR OG'!AH70,VLOOKUP('Yoy WAR OG'!$J70,'Withdrawal Working'!BC:BD,2,0)),IF(AL$3=1,$M70,IF(HLOOKUP(CONCATENATE("Balance",AL$3-1),'Withdrawal Working'!$A$2:$CD$78,MATCH('Yoy WAR OG'!$J70,'Withdrawal Working'!$A$2:$A$78,0),FALSE)&gt;0,MIN(HLOOKUP(CONCATENATE("Balance",AL$3-1),'Withdrawal Working'!$A$2:$CD$78,MATCH('Yoy WAR OG'!$J70,'Withdrawal Working'!$A$2:$A$78,0),0),AH70),0))),0)</f>
        <v>0</v>
      </c>
      <c r="AK70" s="58" t="e">
        <f t="shared" ca="1" si="102"/>
        <v>#REF!</v>
      </c>
      <c r="AN70" s="450" t="e">
        <f t="shared" ca="1" si="80"/>
        <v>#REF!</v>
      </c>
      <c r="AO70" s="58" t="e">
        <f ca="1">IF(J70&gt;'NWGC - SCENARIOS'!$D$7,(IF(AJ70=0,0,'Yoy WAR OG'!AJ70)+(VLOOKUP(AN$2,$B$1:$F$32,5,0)*$L70)),(VLOOKUP(AN$2,$B$1:$F$32,5,0)*$L70)+(VLOOKUP($K70,'Withdrawal Working'!$AD:$AE,2,0)*(IFERROR(VLOOKUP(AN$2,$B$35:$C$42,2,0),0))))</f>
        <v>#REF!</v>
      </c>
      <c r="AP70" s="470">
        <f ca="1">IFERROR(IF($K70&lt;&gt;VLOOKUP(AN$2,$B:$H,7,0),IF(AR$3=1,MIN($M70,AN70),IF(HLOOKUP(CONCATENATE("Balance",AR$3-1),'Withdrawal Working'!$A$2:$CD$78,MATCH('Yoy WAR OG'!$J70,'Withdrawal Working'!$A$2:$A$78,0),FALSE)&gt;0,MIN(HLOOKUP(CONCATENATE("Balance",AR$3-1),'Withdrawal Working'!$A$2:$CD$78,MATCH('Yoy WAR OG'!$J70,'Withdrawal Working'!$A$2:$A$78,0),0),AN70),0)),IF($K70=VLOOKUP(AN$2,$B:$H,7,0),AN70,)),0)</f>
        <v>0</v>
      </c>
      <c r="AQ70" s="58" t="e">
        <f ca="1">IF(AO70&lt;0,0,IF(J70&gt;'NWGC - SCENARIOS'!$D$7,((AN70-AP70+AO70)*(1+(IFERROR(VLOOKUP(AN$2,$B:$D,3,0),0)))),((AN70-AP70)*(1+(IFERROR(VLOOKUP(AN$2,$B:$D,3,0),0))))+AO70))</f>
        <v>#REF!</v>
      </c>
      <c r="AT70" s="450" t="e">
        <f t="shared" ca="1" si="81"/>
        <v>#REF!</v>
      </c>
      <c r="AU70" s="58" t="e">
        <f ca="1">(VLOOKUP(AT$2,$B$1:$F$32,5,0)*$L70)+(VLOOKUP($K70,'Withdrawal Working'!$AD:$AE,2,0)*(IFERROR(VLOOKUP(AT$2,$B$35:$C$42,2,0),0)))</f>
        <v>#REF!</v>
      </c>
      <c r="AV70" s="58">
        <f>IFERROR(IF($K70&lt;VLOOKUP(AT$2,$B:$H,7,0),IF(AX$3=1,MIN($M70,AT70),IF(HLOOKUP(CONCATENATE("Balance",AX$3-1),'Withdrawal Working'!$A$2:$CD$78,MATCH('Yoy WAR OG'!$J70,'Withdrawal Working'!$A$2:$A$78,0),FALSE)&gt;0,MIN(HLOOKUP(CONCATENATE("Balance",AX$3-1),'Withdrawal Working'!$A$2:$CD$78,MATCH('Yoy WAR OG'!$J70,'Withdrawal Working'!$A$2:$A$78,0),0),AT70),0)),IF($K70=VLOOKUP(AT$2,$B:$H,7,0),AT70,)),0)</f>
        <v>0</v>
      </c>
      <c r="AW70" s="58" t="e">
        <f t="shared" ca="1" si="103"/>
        <v>#REF!</v>
      </c>
      <c r="AZ70" s="450" t="e">
        <f t="shared" ca="1" si="82"/>
        <v>#REF!</v>
      </c>
      <c r="BA70" s="58" t="e">
        <f ca="1">(VLOOKUP(AZ$2,$B$1:$F$32,5,0)*$L70)+(VLOOKUP($K70,'Withdrawal Working'!$AD:$AE,2,0)*(IFERROR(VLOOKUP(AZ$2,$B$35:$C$42,2,0),0)))</f>
        <v>#REF!</v>
      </c>
      <c r="BB70" s="58">
        <f ca="1">IFERROR(IF($K70&lt;VLOOKUP(AZ$2,$B:$H,7,0),IF(BD$3=1,MIN($M70,AZ70),IF(HLOOKUP(CONCATENATE("Balance",BD$3-1),'Withdrawal Working'!$A$2:$CD$78,MATCH('Yoy WAR OG'!$J70,'Withdrawal Working'!$A$2:$A$78,0),FALSE)&gt;0,MIN(HLOOKUP(CONCATENATE("Balance",BD$3-1),'Withdrawal Working'!$A$2:$CD$78,MATCH('Yoy WAR OG'!$J70,'Withdrawal Working'!$A$2:$A$78,0),0),AZ70),0)),IF($K70=VLOOKUP(AZ$2,$B:$H,7,0),AZ70,)),0)</f>
        <v>0</v>
      </c>
      <c r="BC70" s="58" t="e">
        <f t="shared" ca="1" si="104"/>
        <v>#REF!</v>
      </c>
      <c r="BF70" s="450" t="e">
        <f t="shared" ca="1" si="83"/>
        <v>#REF!</v>
      </c>
      <c r="BG70" s="58" t="e">
        <f ca="1">(VLOOKUP(BF$2,$B$1:$F$32,5,0)*$L70)+(VLOOKUP($K70,'Withdrawal Working'!$AD:$AE,2,0)*(IFERROR(VLOOKUP(BF$2,$B$35:$C$42,2,0),0)))</f>
        <v>#REF!</v>
      </c>
      <c r="BH70" s="58">
        <f>IFERROR(IF($K70&lt;VLOOKUP(BF$2,$B:$H,7,0),IF(BJ$3=1,MIN($M70,BF70),IF(HLOOKUP(CONCATENATE("Balance",BJ$3-1),'Withdrawal Working'!$A$2:$CD$78,MATCH('Yoy WAR OG'!$J70,'Withdrawal Working'!$A$2:$A$78,0),FALSE)&gt;0,MIN(HLOOKUP(CONCATENATE("Balance",BJ$3-1),'Withdrawal Working'!$A$2:$CD$78,MATCH('Yoy WAR OG'!$J70,'Withdrawal Working'!$A$2:$A$78,0),0),BF70),0)),IF($K70=VLOOKUP(BF$2,$B:$H,7,0),BF70,)),0)</f>
        <v>0</v>
      </c>
      <c r="BI70" s="58" t="e">
        <f t="shared" ca="1" si="105"/>
        <v>#REF!</v>
      </c>
      <c r="BL70" s="450" t="e">
        <f t="shared" ca="1" si="84"/>
        <v>#REF!</v>
      </c>
      <c r="BM70" s="58" t="e">
        <f ca="1">(VLOOKUP(BL$2,$B$1:$F$32,5,0)*$L70)+(VLOOKUP($K70,'Withdrawal Working'!$AD:$AE,2,0)*(IFERROR(VLOOKUP(BL$2,$B$35:$C$42,2,0),0)))</f>
        <v>#REF!</v>
      </c>
      <c r="BN70" s="58">
        <f ca="1">IFERROR(IF($K70&lt;VLOOKUP(BL$2,$B:$H,7,0),IF(BP$3=1,MIN($M70,BL70),IF(HLOOKUP(CONCATENATE("Balance",BP$3-1),'Withdrawal Working'!$A$2:$CD$78,MATCH('Yoy WAR OG'!$J70,'Withdrawal Working'!$A$2:$A$78,0),FALSE)&gt;0,MIN(HLOOKUP(CONCATENATE("Balance",BP$3-1),'Withdrawal Working'!$A$2:$CD$78,MATCH('Yoy WAR OG'!$J70,'Withdrawal Working'!$A$2:$A$78,0),0),BL70),0)),IF($K70=VLOOKUP(BL$2,$B:$H,7,0),BL70,)),0)</f>
        <v>0</v>
      </c>
      <c r="BO70" s="58" t="e">
        <f t="shared" ca="1" si="106"/>
        <v>#REF!</v>
      </c>
      <c r="BR70" s="450" t="e">
        <f t="shared" ca="1" si="85"/>
        <v>#REF!</v>
      </c>
      <c r="BS70" s="58" t="e">
        <f ca="1">(VLOOKUP(BR$2,$B$1:$F$32,5,0)*$L70)+(VLOOKUP($K70,'Withdrawal Working'!$AD:$AE,2,0)*(IFERROR(VLOOKUP(BR$2,$B$35:$C$42,2,0),0)))</f>
        <v>#REF!</v>
      </c>
      <c r="BT70" s="58">
        <f ca="1">IFERROR(IF($K70&lt;VLOOKUP(BR$2,$B:$H,7,0),IF(BV$3=1,MIN($M70,BR70),IF(HLOOKUP(CONCATENATE("Balance",BV$3-1),'Withdrawal Working'!$A$2:$CD$78,MATCH('Yoy WAR OG'!$J70,'Withdrawal Working'!$A$2:$A$78,0),FALSE)&gt;0,MIN(HLOOKUP(CONCATENATE("Balance",BV$3-1),'Withdrawal Working'!$A$2:$CD$78,MATCH('Yoy WAR OG'!$J70,'Withdrawal Working'!$A$2:$A$78,0),0),BR70),0)),IF($K70=VLOOKUP(BR$2,$B:$H,7,0),BR70,)),0)</f>
        <v>0</v>
      </c>
      <c r="BU70" s="58" t="e">
        <f t="shared" ca="1" si="107"/>
        <v>#REF!</v>
      </c>
      <c r="BX70" s="450" t="e">
        <f t="shared" ca="1" si="86"/>
        <v>#REF!</v>
      </c>
      <c r="BY70" s="58" t="e">
        <f ca="1">(VLOOKUP(BX$2,$B$1:$F$32,5,0)*$L70)+(VLOOKUP($K70,'Withdrawal Working'!$AD:$AE,2,0)*(IFERROR(VLOOKUP(BX$2,$B$35:$C$42,2,0),0)))</f>
        <v>#REF!</v>
      </c>
      <c r="BZ70" s="58">
        <f ca="1">IFERROR(IF($K70&lt;VLOOKUP(BX$2,$B:$H,7,0),IF(CB$3=1,MIN($M70,BX70),IF(HLOOKUP(CONCATENATE("Balance",CB$3-1),'Withdrawal Working'!$A$2:$CD$78,MATCH('Yoy WAR OG'!$J70,'Withdrawal Working'!$A$2:$A$78,0),FALSE)&gt;0,MIN(HLOOKUP(CONCATENATE("Balance",CB$3-1),'Withdrawal Working'!$A$2:$CD$78,MATCH('Yoy WAR OG'!$J70,'Withdrawal Working'!$A$2:$A$78,0),0),BX70),0)),IF($K70=VLOOKUP(BX$2,$B:$H,7,0),BX70,)),0)</f>
        <v>0</v>
      </c>
      <c r="CA70" s="58" t="e">
        <f t="shared" ca="1" si="108"/>
        <v>#REF!</v>
      </c>
      <c r="CD70" s="450" t="e">
        <f t="shared" ca="1" si="87"/>
        <v>#REF!</v>
      </c>
      <c r="CE70" s="58" t="e">
        <f ca="1">(VLOOKUP(CD$2,$B$1:$F$32,5,0)*$L70)+(VLOOKUP($K70,'Withdrawal Working'!$AD:$AE,2,0)*(IFERROR(VLOOKUP(CD$2,$B$35:$C$42,2,0),0)))+SUMIFS('Key Life Events'!$I$3:$I$28,'Key Life Events'!$H$3:$H$28,"House",'Key Life Events'!$E$3:$E$28,'Yoy WAR OG'!K70)</f>
        <v>#REF!</v>
      </c>
      <c r="CF70" s="58">
        <f ca="1">IFERROR(IF($K70&lt;VLOOKUP(CD$2,$B:$H,7,0),IF(CH$3=1,MIN($M70,CD70),IF(HLOOKUP(CONCATENATE("Balance",CH$3-1),'Withdrawal Working'!$A$2:$CD$78,MATCH('Yoy WAR OG'!$J70,'Withdrawal Working'!$A$2:$A$78,0),FALSE)&gt;0,MIN(HLOOKUP(CONCATENATE("Balance",CH$3-1),'Withdrawal Working'!$A$2:$CD$78,MATCH('Yoy WAR OG'!$J70,'Withdrawal Working'!$A$2:$A$78,0),0),CD70),0)),IF($K70=VLOOKUP(CD$2,$B:$H,7,0),CD70,)),0)</f>
        <v>0</v>
      </c>
      <c r="CG70" s="58" t="e">
        <f t="shared" ca="1" si="109"/>
        <v>#REF!</v>
      </c>
      <c r="CJ70" s="450" t="e">
        <f t="shared" ca="1" si="88"/>
        <v>#REF!</v>
      </c>
      <c r="CK70" s="58" t="e">
        <f ca="1">(VLOOKUP(CJ$2,$B$1:$F$32,5,0)*$L70)+(VLOOKUP($K70,'Withdrawal Working'!$AD:$AE,2,0)*(IFERROR(VLOOKUP(CJ$2,$B$35:$C$42,2,0),0)))+SUMIFS('Key Life Events'!$I$3:$I$28,'Key Life Events'!$H$3:$H$28,"House2",'Key Life Events'!$E$3:$E$28,'Yoy WAR OG'!K70)</f>
        <v>#REF!</v>
      </c>
      <c r="CL70" s="58">
        <f ca="1">IF(IFERROR(IF($K70&lt;&gt;VLOOKUP(CJ$2,$B:$H,7,0),IF(CN$3=1,MIN($M70,CJ70),IF(HLOOKUP(CONCATENATE("Balance",CN$3-1),'Withdrawal Working'!$A$2:$CD$78,MATCH('Yoy WAR OG'!$J70,'Withdrawal Working'!$A$2:$A$78,0),FALSE)&gt;0,MIN(HLOOKUP(CONCATENATE("Balance",CN$3-1),'Withdrawal Working'!$A$2:$CD$78,MATCH('Yoy WAR OG'!$J70,'Withdrawal Working'!$A$2:$A$78,0),0),CJ70),0)),IF($K70=VLOOKUP(CJ$2,$B:$H,7,0),CJ70,)),0)&gt;0,CJ70,0)</f>
        <v>0</v>
      </c>
      <c r="CM70" s="58" t="e">
        <f t="shared" ca="1" si="110"/>
        <v>#REF!</v>
      </c>
      <c r="CP70" s="450" t="e">
        <f t="shared" ca="1" si="89"/>
        <v>#REF!</v>
      </c>
      <c r="CQ70" s="58" t="e">
        <f ca="1">(VLOOKUP(CP$2,$B$1:$F$32,5,0)*$L70)+(VLOOKUP($K70,'Withdrawal Working'!$AD:$AE,2,0)*(IFERROR(VLOOKUP(CP$2,$B$35:$C$42,2,0),0)))+SUMIFS('Key Life Events'!$I$3:$I$28,'Key Life Events'!$H$3:$H$28,"Land",'Key Life Events'!$E$3:$E$28,'Yoy WAR OG'!K70)</f>
        <v>#REF!</v>
      </c>
      <c r="CR70" s="58">
        <f ca="1">IFERROR(IF($K70&lt;VLOOKUP(CP$2,$B:$H,7,0),IF(CT$3=1,MIN($M70,CP70),IF(HLOOKUP(CONCATENATE("Balance",CT$3-1),'Withdrawal Working'!$A$2:$CD$78,MATCH('Yoy WAR OG'!$J70,'Withdrawal Working'!$A$2:$A$78,0),FALSE)&gt;0,MIN(HLOOKUP(CONCATENATE("Balance",CT$3-1),'Withdrawal Working'!$A$2:$CD$78,MATCH('Yoy WAR OG'!$J70,'Withdrawal Working'!$A$2:$A$78,0),0),CP70),0)),IF($K70=VLOOKUP(CP$2,$B:$H,7,0),CP70,)),0)</f>
        <v>0</v>
      </c>
      <c r="CS70" s="58" t="e">
        <f t="shared" ca="1" si="111"/>
        <v>#REF!</v>
      </c>
      <c r="CV70" s="450">
        <f t="shared" ca="1" si="90"/>
        <v>0</v>
      </c>
      <c r="CW70" s="58"/>
      <c r="CX70" s="58">
        <f ca="1">IFERROR(IF($K70&lt;VLOOKUP(CV$2,$B:$H,7,0),IF(CZ$3=1,MIN($M70,CV70),IF(HLOOKUP(CONCATENATE("Balance",CZ$3-1),'Withdrawal Working'!$A$2:$CD$78,MATCH('Yoy WAR OG'!$J70,'Withdrawal Working'!$A$2:$A$78,0),FALSE)&gt;0,MIN(HLOOKUP(CONCATENATE("Balance",CZ$3-1),'Withdrawal Working'!$A$2:$CD$78,MATCH('Yoy WAR OG'!$J70,'Withdrawal Working'!$A$2:$A$78,0),0),CV70),0)),IF($K70=VLOOKUP(CV$2,$B:$H,7,0),CV70,)),0)</f>
        <v>0</v>
      </c>
      <c r="CY70" s="58">
        <f t="shared" ca="1" si="112"/>
        <v>0</v>
      </c>
      <c r="DB70" s="450" t="e">
        <f t="shared" ca="1" si="91"/>
        <v>#REF!</v>
      </c>
      <c r="DC70" s="58" t="e">
        <f ca="1">(VLOOKUP(DB$2,$B$1:$F$32,5,0)*$L70)+(VLOOKUP($K70,'Withdrawal Working'!$AD:$AE,2,0)*(IFERROR(VLOOKUP(DB$2,$B$35:$C$42,2,0),0)))</f>
        <v>#REF!</v>
      </c>
      <c r="DD70" s="58">
        <f ca="1">IFERROR(IF($K70&lt;VLOOKUP(DB$2,$B:$H,7,0),IF(DF$3=1,MIN($M70,DB70),IF(HLOOKUP(CONCATENATE("Balance",DF$3-1),'Withdrawal Working'!$A$2:$CD$78,MATCH('Yoy WAR OG'!$J70,'Withdrawal Working'!$A$2:$A$78,0),FALSE)&gt;0,MIN(HLOOKUP(CONCATENATE("Balance",DF$3-1),'Withdrawal Working'!$A$2:$CD$78,MATCH('Yoy WAR OG'!$J70,'Withdrawal Working'!$A$2:$A$78,0),0),DB70),0)),IF($K70=VLOOKUP(DB$2,$B:$H,7,0),DB70,)),0)</f>
        <v>0</v>
      </c>
      <c r="DE70" s="58" t="e">
        <f t="shared" ca="1" si="113"/>
        <v>#REF!</v>
      </c>
      <c r="DH70" s="450">
        <f t="shared" ca="1" si="92"/>
        <v>0</v>
      </c>
      <c r="DI70" s="58">
        <f>IF(OR(J70&gt;'NWGC - SCENARIOS'!$D$7,J70='NWGC - SCENARIOS'!$D$7),0,DI69*(1+'NWGC - SCENARIOS'!$L$5))</f>
        <v>0</v>
      </c>
      <c r="DJ70" s="58">
        <f ca="1">IFERROR(IF($K70&lt;VLOOKUP(DH$2,$B:$H,7,0),IF(DL$3=1,MIN($M70,DH70),IF(HLOOKUP(CONCATENATE("Balance",DL$3-1),'Withdrawal Working'!$A$2:$CD$78,MATCH('Yoy WAR OG'!$J70,'Withdrawal Working'!$A$2:$A$78,0),FALSE)&gt;0,MIN(HLOOKUP(CONCATENATE("Balance",DL$3-1),'Withdrawal Working'!$A$2:$CD$78,MATCH('Yoy WAR OG'!$J70,'Withdrawal Working'!$A$2:$A$78,0),0),DH70),0)),IF($K70=VLOOKUP(DH$2,$B:$H,7,0),DH70,)),0)</f>
        <v>0</v>
      </c>
      <c r="DK70" s="58">
        <f t="shared" ca="1" si="114"/>
        <v>0</v>
      </c>
      <c r="DN70" s="450" t="e">
        <f t="shared" ca="1" si="93"/>
        <v>#REF!</v>
      </c>
      <c r="DO70" s="58" t="e">
        <f ca="1">(VLOOKUP(DN$2,$B$1:$F$32,5,0)*$L70)+(VLOOKUP($K70,'Withdrawal Working'!$AD:$AE,2,0)*(IFERROR(VLOOKUP(DN$2,$B$35:$C$42,2,0),0)))</f>
        <v>#REF!</v>
      </c>
      <c r="DP70" s="58">
        <f ca="1">IFERROR(IF($K70&lt;VLOOKUP(DN$2,$B:$H,7,0),IF(DR$3=1,MIN($M70,DN70),IF(HLOOKUP(CONCATENATE("Balance",DR$3-1),'Withdrawal Working'!$A$2:$CD$78,MATCH('Yoy WAR OG'!$J70,'Withdrawal Working'!$A$2:$A$78,0),FALSE)&gt;0,MIN(HLOOKUP(CONCATENATE("Balance",DR$3-1),'Withdrawal Working'!$A$2:$CD$78,MATCH('Yoy WAR OG'!$J70,'Withdrawal Working'!$A$2:$A$78,0),0),DN70),0)),IF($K70=VLOOKUP(DN$2,$B:$H,7,0),DN70,)),0)</f>
        <v>0</v>
      </c>
      <c r="DQ70" s="58" t="e">
        <f t="shared" ca="1" si="115"/>
        <v>#REF!</v>
      </c>
      <c r="DT70" s="450" t="e">
        <f t="shared" ca="1" si="94"/>
        <v>#REF!</v>
      </c>
      <c r="DU70" s="58" t="e">
        <f ca="1">(VLOOKUP(DT$2,$B$1:$F$32,5,0)*$L70)+(VLOOKUP($K70,'Withdrawal Working'!$AD:$AE,2,0)*(IFERROR(VLOOKUP(DT$2,$B$35:$C$42,2,0),0)))</f>
        <v>#REF!</v>
      </c>
      <c r="DV70" s="58">
        <f ca="1">IFERROR(IF($K70&lt;VLOOKUP(DT$2,$B:$H,7,0),IF(DX$3=1,MIN($M70,DT70),IF(HLOOKUP(CONCATENATE("Balance",DX$3-1),'Withdrawal Working'!$A$2:$CD$78,MATCH('Yoy WAR OG'!$J70,'Withdrawal Working'!$A$2:$A$78,0),FALSE)&gt;0,MIN(HLOOKUP(CONCATENATE("Balance",DX$3-1),'Withdrawal Working'!$A$2:$CD$78,MATCH('Yoy WAR OG'!$J70,'Withdrawal Working'!$A$2:$A$78,0),0),DT70),0)),IF($K70=VLOOKUP(DT$2,$B:$H,7,0),DT70,)),0)</f>
        <v>0</v>
      </c>
      <c r="DW70" s="58" t="e">
        <f t="shared" ca="1" si="116"/>
        <v>#REF!</v>
      </c>
      <c r="DZ70" s="450" t="e">
        <f t="shared" ca="1" si="95"/>
        <v>#REF!</v>
      </c>
      <c r="EA70" s="58" t="e">
        <f ca="1">(VLOOKUP(DZ$2,$B$1:$F$32,5,0)*$L70)+(VLOOKUP($K70,'Withdrawal Working'!$AD:$AE,2,0)*(IFERROR(VLOOKUP(DZ$2,$B$35:$C$42,2,0),0)))</f>
        <v>#REF!</v>
      </c>
      <c r="EB70" s="58">
        <f ca="1">IFERROR(IF($K70&lt;VLOOKUP(DZ$2,$B:$H,7,0),IF(ED$3=1,MIN($M70,DZ70),IF(HLOOKUP(CONCATENATE("Balance",ED$3-1),'Withdrawal Working'!$A$2:$CD$78,MATCH('Yoy WAR OG'!$J70,'Withdrawal Working'!$A$2:$A$78,0),FALSE)&gt;0,MIN(HLOOKUP(CONCATENATE("Balance",ED$3-1),'Withdrawal Working'!$A$2:$CD$78,MATCH('Yoy WAR OG'!$J70,'Withdrawal Working'!$A$2:$A$78,0),0),DZ70),0)),IF($K70=VLOOKUP(DZ$2,$B:$H,7,0),DZ70,)),0)</f>
        <v>0</v>
      </c>
      <c r="EC70" s="58" t="e">
        <f t="shared" ca="1" si="117"/>
        <v>#REF!</v>
      </c>
      <c r="EF70" s="450" t="e">
        <f t="shared" ca="1" si="96"/>
        <v>#REF!</v>
      </c>
      <c r="EG70" s="58" t="e">
        <f ca="1">(VLOOKUP(EF$2,$B$1:$F$32,5,0)*$L70)+(VLOOKUP($K70,'Withdrawal Working'!$AD:$AE,2,0)*(IFERROR(VLOOKUP(EF$2,$B$35:$C$42,2,0),0)))</f>
        <v>#REF!</v>
      </c>
      <c r="EH70" s="58">
        <f ca="1">IFERROR(IF($K70&lt;VLOOKUP(EF$2,$B:$H,7,0),IF(EJ$3=1,MIN($M70,EF70),IF(HLOOKUP(CONCATENATE("Balance",EJ$3-1),'Withdrawal Working'!$A$2:$CD$78,MATCH('Yoy WAR OG'!$J70,'Withdrawal Working'!$A$2:$A$78,0),FALSE)&gt;0,MIN(HLOOKUP(CONCATENATE("Balance",EJ$3-1),'Withdrawal Working'!$A$2:$CD$78,MATCH('Yoy WAR OG'!$J70,'Withdrawal Working'!$A$2:$A$78,0),0),EF70),0)),IF($K70=VLOOKUP(EF$2,$B:$H,7,0),EF70,)),0)</f>
        <v>0</v>
      </c>
      <c r="EI70" s="58" t="e">
        <f t="shared" ca="1" si="118"/>
        <v>#REF!</v>
      </c>
      <c r="EL70" s="450">
        <f t="shared" ca="1" si="97"/>
        <v>0</v>
      </c>
      <c r="EM70" s="58">
        <f>IF(OR($J70&gt;'NWGC - SCENARIOS'!$D$7,$J70='NWGC - SCENARIOS'!$D$7),0,EM69)</f>
        <v>0</v>
      </c>
      <c r="EN70" s="58">
        <f ca="1">IFERROR(IF($K70&lt;VLOOKUP(EL$2,$B:$H,7,0),IF(EP$3=1,MIN($M70,EL70),IF(HLOOKUP(CONCATENATE("Balance",EP$3-1),'Withdrawal Working'!$A$2:$CD$78,MATCH('Yoy WAR OG'!$J70,'Withdrawal Working'!$A$2:$A$78,0),FALSE)&gt;0,MIN(HLOOKUP(CONCATENATE("Balance",EP$3-1),'Withdrawal Working'!$A$2:$CD$78,MATCH('Yoy WAR OG'!$J70,'Withdrawal Working'!$A$2:$A$78,0),0),EL70),0)),IF($K70=VLOOKUP(EL$2,$B:$H,7,0),EL70,)),0)</f>
        <v>0</v>
      </c>
      <c r="EO70" s="58">
        <f t="shared" ca="1" si="119"/>
        <v>0</v>
      </c>
      <c r="ER70" s="450">
        <f t="shared" ca="1" si="98"/>
        <v>0</v>
      </c>
      <c r="ES70" s="58">
        <f>IF(OR(J70&gt;'NWGC - SCENARIOS'!$D$7,J70='NWGC - SCENARIOS'!$D$7),0,ES69*(1+'NWGC - SCENARIOS'!$L$5))</f>
        <v>0</v>
      </c>
      <c r="ET70" s="58">
        <f ca="1">IFERROR(IF($K70&lt;VLOOKUP(ER$2,$B:$H,7,0),IF(EV$3=1,MIN($M70,ER70),IF(HLOOKUP(CONCATENATE("Balance",EV$3-1),'Withdrawal Working'!$A$2:$CD$78,MATCH('Yoy WAR OG'!$J70,'Withdrawal Working'!$A$2:$A$78,0),FALSE)&gt;0,MIN(HLOOKUP(CONCATENATE("Balance",EV$3-1),'Withdrawal Working'!$A$2:$CD$78,MATCH('Yoy WAR OG'!$J70,'Withdrawal Working'!$A$2:$A$78,0),0),ER70),0)),IF($K70=VLOOKUP(ER$2,$B:$H,7,0),ER70,)),0)</f>
        <v>0</v>
      </c>
      <c r="EU70" s="58">
        <f t="shared" ca="1" si="120"/>
        <v>0</v>
      </c>
      <c r="EX70" s="450">
        <f t="shared" ca="1" si="99"/>
        <v>0</v>
      </c>
      <c r="EY70" s="58">
        <f>IF(OR(J70&gt;'NWGC - SCENARIOS'!$D$7,J70='NWGC - SCENARIOS'!$D$7),0,EY69)</f>
        <v>0</v>
      </c>
      <c r="EZ70" s="58">
        <f ca="1">IFERROR(IF($K70&lt;VLOOKUP(EX$2,$B:$H,7,0),IF(FB$3=1,MIN($M70,EX70),IF(HLOOKUP(CONCATENATE("Balance",FB$3-1),'Withdrawal Working'!$A$2:$CD$78,MATCH('Yoy WAR OG'!$J70,'Withdrawal Working'!$A$2:$A$78,0),FALSE)&gt;0,MIN(HLOOKUP(CONCATENATE("Balance",FB$3-1),'Withdrawal Working'!$A$2:$CD$78,MATCH('Yoy WAR OG'!$J70,'Withdrawal Working'!$A$2:$A$78,0),0),EX70),0)),IF($K70=VLOOKUP(EX$2,$B:$H,7,0),EX70,)),0)</f>
        <v>0</v>
      </c>
      <c r="FA70" s="58">
        <f t="shared" ca="1" si="121"/>
        <v>0</v>
      </c>
    </row>
    <row r="71" spans="10:157" x14ac:dyDescent="0.3">
      <c r="J71">
        <f>IFERROR('NWGC - SCENARIOS'!#REF!,0)</f>
        <v>0</v>
      </c>
      <c r="K71">
        <f>IFERROR('NWGC - SCENARIOS'!#REF!,0)</f>
        <v>0</v>
      </c>
      <c r="L71" s="449" t="e">
        <f>IF(('NWGC - SCENARIOS'!#REF!-working!G69)&gt;'NWGC - SCENARIOS'!#REF!,'NWGC - SCENARIOS'!#REF!-'NWGC - SCENARIOS'!#REF!-working!G69,0)</f>
        <v>#REF!</v>
      </c>
      <c r="M71" s="449" t="e">
        <f>IF(('NWGC - SCENARIOS'!#REF!-working!G69)&gt;'NWGC - SCENARIOS'!#REF!,0,'NWGC - SCENARIOS'!#REF!-'NWGC - SCENARIOS'!#REF!+working!G69)</f>
        <v>#REF!</v>
      </c>
      <c r="N71" s="58" t="e">
        <f t="shared" ca="1" si="50"/>
        <v>#REF!</v>
      </c>
      <c r="O71" s="58" t="e">
        <f t="shared" ca="1" si="51"/>
        <v>#REF!</v>
      </c>
      <c r="P71" s="58" t="e">
        <f t="shared" ca="1" si="76"/>
        <v>#REF!</v>
      </c>
      <c r="Q71" s="58" t="e">
        <f ca="1">(VLOOKUP(P$2,$B$1:$F$32,5,0)*$L71)+(VLOOKUP($K71,'Withdrawal Working'!$AD:$AE,2,0)*(IFERROR(VLOOKUP(P$2,$B$35:$C$42,2,0),0)))</f>
        <v>#REF!</v>
      </c>
      <c r="R71" s="58">
        <f>IFERROR(IF($K71&lt;VLOOKUP(P$2,$B:$H,7,0),IF(T$3=1,MIN($M71,P71),IF(HLOOKUP(CONCATENATE("Balance",T$3-1),'Withdrawal Working'!$A$2:$CD$78,MATCH('Yoy WAR OG'!$J71,'Withdrawal Working'!$A$2:$A$78,0),FALSE)&gt;0,MIN(HLOOKUP(CONCATENATE("Balance",T$3-1),'Withdrawal Working'!$A$2:$CD$78,MATCH('Yoy WAR OG'!$J71,'Withdrawal Working'!$A$2:$A$78,0),0),P71),0)),IF($K71=VLOOKUP(P$2,$B:$H,7,0),P71,)),0)</f>
        <v>0</v>
      </c>
      <c r="S71" s="58" t="e">
        <f t="shared" ca="1" si="122"/>
        <v>#REF!</v>
      </c>
      <c r="T71" s="58"/>
      <c r="V71" s="58" t="e">
        <f t="shared" ca="1" si="77"/>
        <v>#REF!</v>
      </c>
      <c r="W71" s="58" t="e">
        <f ca="1">(VLOOKUP(V$2,$B$1:$F$32,5,0)*$L71)+(VLOOKUP($K71,'Withdrawal Working'!$AD:$AE,2,0)*(IFERROR(VLOOKUP(V$2,$B$35:$C$42,2,0),0)))</f>
        <v>#REF!</v>
      </c>
      <c r="X71" s="58">
        <f>IFERROR(IF($K71&lt;VLOOKUP(V$2,$B:$H,7,0),IF(Z$3=1,MIN($M71,V71),IF(HLOOKUP(CONCATENATE("Balance",Z$3-1),'Withdrawal Working'!$A$2:$CD$78,MATCH('Yoy WAR OG'!$J71,'Withdrawal Working'!$A$2:$A$78,0),FALSE)&gt;0,MIN(HLOOKUP(CONCATENATE("Balance",Z$3-1),'Withdrawal Working'!$A$2:$CD$78,MATCH('Yoy WAR OG'!$J71,'Withdrawal Working'!$A$2:$A$78,0),0),V71),0)),IF($K71=VLOOKUP(V$2,$B:$H,7,0),V71,)),0)</f>
        <v>0</v>
      </c>
      <c r="Y71" s="58" t="e">
        <f t="shared" ca="1" si="100"/>
        <v>#REF!</v>
      </c>
      <c r="AB71" s="58" t="e">
        <f t="shared" ca="1" si="78"/>
        <v>#REF!</v>
      </c>
      <c r="AC71" s="58" t="e">
        <f ca="1">(VLOOKUP(AB$2,$B$1:$F$32,5,0)*$L71)+(VLOOKUP($K71,'Withdrawal Working'!$AD:$AE,2,0)*(IFERROR(VLOOKUP(AB$2,$B$35:$C$42,2,0),0)))</f>
        <v>#REF!</v>
      </c>
      <c r="AE71" s="58" t="e">
        <f t="shared" ca="1" si="101"/>
        <v>#REF!</v>
      </c>
      <c r="AH71" s="58" t="e">
        <f t="shared" ca="1" si="79"/>
        <v>#REF!</v>
      </c>
      <c r="AI71" s="58" t="e">
        <f ca="1">(VLOOKUP(AH$2,$B$1:$F$32,5,0)*$L71)+IF(J71&gt;'NWGC - SCENARIOS'!$D$7,0,(VLOOKUP($K71,'Withdrawal Working'!$AD:$AE,2,0)*(IFERROR(VLOOKUP(AH$2,$B$35:$C$42,2,0),0))))</f>
        <v>#REF!</v>
      </c>
      <c r="AJ71" s="58">
        <f ca="1">IFERROR(IF($J71&gt;'NWGC - SCENARIOS'!$D$7,MIN('Yoy WAR OG'!AH71,VLOOKUP('Yoy WAR OG'!$J71,'Withdrawal Working'!BC:BD,2,0)),IF(AL$3=1,$M71,IF(HLOOKUP(CONCATENATE("Balance",AL$3-1),'Withdrawal Working'!$A$2:$CD$78,MATCH('Yoy WAR OG'!$J71,'Withdrawal Working'!$A$2:$A$78,0),FALSE)&gt;0,MIN(HLOOKUP(CONCATENATE("Balance",AL$3-1),'Withdrawal Working'!$A$2:$CD$78,MATCH('Yoy WAR OG'!$J71,'Withdrawal Working'!$A$2:$A$78,0),0),AH71),0))),0)</f>
        <v>0</v>
      </c>
      <c r="AK71" s="58" t="e">
        <f t="shared" ca="1" si="102"/>
        <v>#REF!</v>
      </c>
      <c r="AN71" s="450" t="e">
        <f t="shared" ca="1" si="80"/>
        <v>#REF!</v>
      </c>
      <c r="AO71" s="58" t="e">
        <f ca="1">IF(J71&gt;'NWGC - SCENARIOS'!$D$7,(IF(AJ71=0,0,'Yoy WAR OG'!AJ71)+(VLOOKUP(AN$2,$B$1:$F$32,5,0)*$L71)),(VLOOKUP(AN$2,$B$1:$F$32,5,0)*$L71)+(VLOOKUP($K71,'Withdrawal Working'!$AD:$AE,2,0)*(IFERROR(VLOOKUP(AN$2,$B$35:$C$42,2,0),0))))</f>
        <v>#REF!</v>
      </c>
      <c r="AP71" s="470">
        <f ca="1">IFERROR(IF($K71&lt;&gt;VLOOKUP(AN$2,$B:$H,7,0),IF(AR$3=1,MIN($M71,AN71),IF(HLOOKUP(CONCATENATE("Balance",AR$3-1),'Withdrawal Working'!$A$2:$CD$78,MATCH('Yoy WAR OG'!$J71,'Withdrawal Working'!$A$2:$A$78,0),FALSE)&gt;0,MIN(HLOOKUP(CONCATENATE("Balance",AR$3-1),'Withdrawal Working'!$A$2:$CD$78,MATCH('Yoy WAR OG'!$J71,'Withdrawal Working'!$A$2:$A$78,0),0),AN71),0)),IF($K71=VLOOKUP(AN$2,$B:$H,7,0),AN71,)),0)</f>
        <v>0</v>
      </c>
      <c r="AQ71" s="58" t="e">
        <f ca="1">IF(AO71&lt;0,0,IF(J71&gt;'NWGC - SCENARIOS'!$D$7,((AN71-AP71+AO71)*(1+(IFERROR(VLOOKUP(AN$2,$B:$D,3,0),0)))),((AN71-AP71)*(1+(IFERROR(VLOOKUP(AN$2,$B:$D,3,0),0))))+AO71))</f>
        <v>#REF!</v>
      </c>
      <c r="AT71" s="450" t="e">
        <f t="shared" ca="1" si="81"/>
        <v>#REF!</v>
      </c>
      <c r="AU71" s="58" t="e">
        <f ca="1">(VLOOKUP(AT$2,$B$1:$F$32,5,0)*$L71)+(VLOOKUP($K71,'Withdrawal Working'!$AD:$AE,2,0)*(IFERROR(VLOOKUP(AT$2,$B$35:$C$42,2,0),0)))</f>
        <v>#REF!</v>
      </c>
      <c r="AV71" s="58">
        <f>IFERROR(IF($K71&lt;VLOOKUP(AT$2,$B:$H,7,0),IF(AX$3=1,MIN($M71,AT71),IF(HLOOKUP(CONCATENATE("Balance",AX$3-1),'Withdrawal Working'!$A$2:$CD$78,MATCH('Yoy WAR OG'!$J71,'Withdrawal Working'!$A$2:$A$78,0),FALSE)&gt;0,MIN(HLOOKUP(CONCATENATE("Balance",AX$3-1),'Withdrawal Working'!$A$2:$CD$78,MATCH('Yoy WAR OG'!$J71,'Withdrawal Working'!$A$2:$A$78,0),0),AT71),0)),IF($K71=VLOOKUP(AT$2,$B:$H,7,0),AT71,)),0)</f>
        <v>0</v>
      </c>
      <c r="AW71" s="58" t="e">
        <f t="shared" ca="1" si="103"/>
        <v>#REF!</v>
      </c>
      <c r="AZ71" s="450" t="e">
        <f t="shared" ca="1" si="82"/>
        <v>#REF!</v>
      </c>
      <c r="BA71" s="58" t="e">
        <f ca="1">(VLOOKUP(AZ$2,$B$1:$F$32,5,0)*$L71)+(VLOOKUP($K71,'Withdrawal Working'!$AD:$AE,2,0)*(IFERROR(VLOOKUP(AZ$2,$B$35:$C$42,2,0),0)))</f>
        <v>#REF!</v>
      </c>
      <c r="BB71" s="58">
        <f ca="1">IFERROR(IF($K71&lt;VLOOKUP(AZ$2,$B:$H,7,0),IF(BD$3=1,MIN($M71,AZ71),IF(HLOOKUP(CONCATENATE("Balance",BD$3-1),'Withdrawal Working'!$A$2:$CD$78,MATCH('Yoy WAR OG'!$J71,'Withdrawal Working'!$A$2:$A$78,0),FALSE)&gt;0,MIN(HLOOKUP(CONCATENATE("Balance",BD$3-1),'Withdrawal Working'!$A$2:$CD$78,MATCH('Yoy WAR OG'!$J71,'Withdrawal Working'!$A$2:$A$78,0),0),AZ71),0)),IF($K71=VLOOKUP(AZ$2,$B:$H,7,0),AZ71,)),0)</f>
        <v>0</v>
      </c>
      <c r="BC71" s="58" t="e">
        <f t="shared" ca="1" si="104"/>
        <v>#REF!</v>
      </c>
      <c r="BF71" s="450" t="e">
        <f t="shared" ca="1" si="83"/>
        <v>#REF!</v>
      </c>
      <c r="BG71" s="58" t="e">
        <f ca="1">(VLOOKUP(BF$2,$B$1:$F$32,5,0)*$L71)+(VLOOKUP($K71,'Withdrawal Working'!$AD:$AE,2,0)*(IFERROR(VLOOKUP(BF$2,$B$35:$C$42,2,0),0)))</f>
        <v>#REF!</v>
      </c>
      <c r="BH71" s="58">
        <f>IFERROR(IF($K71&lt;VLOOKUP(BF$2,$B:$H,7,0),IF(BJ$3=1,MIN($M71,BF71),IF(HLOOKUP(CONCATENATE("Balance",BJ$3-1),'Withdrawal Working'!$A$2:$CD$78,MATCH('Yoy WAR OG'!$J71,'Withdrawal Working'!$A$2:$A$78,0),FALSE)&gt;0,MIN(HLOOKUP(CONCATENATE("Balance",BJ$3-1),'Withdrawal Working'!$A$2:$CD$78,MATCH('Yoy WAR OG'!$J71,'Withdrawal Working'!$A$2:$A$78,0),0),BF71),0)),IF($K71=VLOOKUP(BF$2,$B:$H,7,0),BF71,)),0)</f>
        <v>0</v>
      </c>
      <c r="BI71" s="58" t="e">
        <f t="shared" ca="1" si="105"/>
        <v>#REF!</v>
      </c>
      <c r="BL71" s="450" t="e">
        <f t="shared" ca="1" si="84"/>
        <v>#REF!</v>
      </c>
      <c r="BM71" s="58" t="e">
        <f ca="1">(VLOOKUP(BL$2,$B$1:$F$32,5,0)*$L71)+(VLOOKUP($K71,'Withdrawal Working'!$AD:$AE,2,0)*(IFERROR(VLOOKUP(BL$2,$B$35:$C$42,2,0),0)))</f>
        <v>#REF!</v>
      </c>
      <c r="BN71" s="58">
        <f ca="1">IFERROR(IF($K71&lt;VLOOKUP(BL$2,$B:$H,7,0),IF(BP$3=1,MIN($M71,BL71),IF(HLOOKUP(CONCATENATE("Balance",BP$3-1),'Withdrawal Working'!$A$2:$CD$78,MATCH('Yoy WAR OG'!$J71,'Withdrawal Working'!$A$2:$A$78,0),FALSE)&gt;0,MIN(HLOOKUP(CONCATENATE("Balance",BP$3-1),'Withdrawal Working'!$A$2:$CD$78,MATCH('Yoy WAR OG'!$J71,'Withdrawal Working'!$A$2:$A$78,0),0),BL71),0)),IF($K71=VLOOKUP(BL$2,$B:$H,7,0),BL71,)),0)</f>
        <v>0</v>
      </c>
      <c r="BO71" s="58" t="e">
        <f t="shared" ca="1" si="106"/>
        <v>#REF!</v>
      </c>
      <c r="BR71" s="450" t="e">
        <f t="shared" ca="1" si="85"/>
        <v>#REF!</v>
      </c>
      <c r="BS71" s="58" t="e">
        <f ca="1">(VLOOKUP(BR$2,$B$1:$F$32,5,0)*$L71)+(VLOOKUP($K71,'Withdrawal Working'!$AD:$AE,2,0)*(IFERROR(VLOOKUP(BR$2,$B$35:$C$42,2,0),0)))</f>
        <v>#REF!</v>
      </c>
      <c r="BT71" s="58">
        <f ca="1">IFERROR(IF($K71&lt;VLOOKUP(BR$2,$B:$H,7,0),IF(BV$3=1,MIN($M71,BR71),IF(HLOOKUP(CONCATENATE("Balance",BV$3-1),'Withdrawal Working'!$A$2:$CD$78,MATCH('Yoy WAR OG'!$J71,'Withdrawal Working'!$A$2:$A$78,0),FALSE)&gt;0,MIN(HLOOKUP(CONCATENATE("Balance",BV$3-1),'Withdrawal Working'!$A$2:$CD$78,MATCH('Yoy WAR OG'!$J71,'Withdrawal Working'!$A$2:$A$78,0),0),BR71),0)),IF($K71=VLOOKUP(BR$2,$B:$H,7,0),BR71,)),0)</f>
        <v>0</v>
      </c>
      <c r="BU71" s="58" t="e">
        <f t="shared" ca="1" si="107"/>
        <v>#REF!</v>
      </c>
      <c r="BX71" s="450" t="e">
        <f t="shared" ca="1" si="86"/>
        <v>#REF!</v>
      </c>
      <c r="BY71" s="58" t="e">
        <f ca="1">(VLOOKUP(BX$2,$B$1:$F$32,5,0)*$L71)+(VLOOKUP($K71,'Withdrawal Working'!$AD:$AE,2,0)*(IFERROR(VLOOKUP(BX$2,$B$35:$C$42,2,0),0)))</f>
        <v>#REF!</v>
      </c>
      <c r="BZ71" s="58">
        <f ca="1">IFERROR(IF($K71&lt;VLOOKUP(BX$2,$B:$H,7,0),IF(CB$3=1,MIN($M71,BX71),IF(HLOOKUP(CONCATENATE("Balance",CB$3-1),'Withdrawal Working'!$A$2:$CD$78,MATCH('Yoy WAR OG'!$J71,'Withdrawal Working'!$A$2:$A$78,0),FALSE)&gt;0,MIN(HLOOKUP(CONCATENATE("Balance",CB$3-1),'Withdrawal Working'!$A$2:$CD$78,MATCH('Yoy WAR OG'!$J71,'Withdrawal Working'!$A$2:$A$78,0),0),BX71),0)),IF($K71=VLOOKUP(BX$2,$B:$H,7,0),BX71,)),0)</f>
        <v>0</v>
      </c>
      <c r="CA71" s="58" t="e">
        <f t="shared" ca="1" si="108"/>
        <v>#REF!</v>
      </c>
      <c r="CD71" s="450" t="e">
        <f t="shared" ca="1" si="87"/>
        <v>#REF!</v>
      </c>
      <c r="CE71" s="58" t="e">
        <f ca="1">(VLOOKUP(CD$2,$B$1:$F$32,5,0)*$L71)+(VLOOKUP($K71,'Withdrawal Working'!$AD:$AE,2,0)*(IFERROR(VLOOKUP(CD$2,$B$35:$C$42,2,0),0)))+SUMIFS('Key Life Events'!$I$3:$I$28,'Key Life Events'!$H$3:$H$28,"House",'Key Life Events'!$E$3:$E$28,'Yoy WAR OG'!K71)</f>
        <v>#REF!</v>
      </c>
      <c r="CF71" s="58">
        <f ca="1">IFERROR(IF($K71&lt;VLOOKUP(CD$2,$B:$H,7,0),IF(CH$3=1,MIN($M71,CD71),IF(HLOOKUP(CONCATENATE("Balance",CH$3-1),'Withdrawal Working'!$A$2:$CD$78,MATCH('Yoy WAR OG'!$J71,'Withdrawal Working'!$A$2:$A$78,0),FALSE)&gt;0,MIN(HLOOKUP(CONCATENATE("Balance",CH$3-1),'Withdrawal Working'!$A$2:$CD$78,MATCH('Yoy WAR OG'!$J71,'Withdrawal Working'!$A$2:$A$78,0),0),CD71),0)),IF($K71=VLOOKUP(CD$2,$B:$H,7,0),CD71,)),0)</f>
        <v>0</v>
      </c>
      <c r="CG71" s="58" t="e">
        <f t="shared" ca="1" si="109"/>
        <v>#REF!</v>
      </c>
      <c r="CJ71" s="450" t="e">
        <f t="shared" ca="1" si="88"/>
        <v>#REF!</v>
      </c>
      <c r="CK71" s="58" t="e">
        <f ca="1">(VLOOKUP(CJ$2,$B$1:$F$32,5,0)*$L71)+(VLOOKUP($K71,'Withdrawal Working'!$AD:$AE,2,0)*(IFERROR(VLOOKUP(CJ$2,$B$35:$C$42,2,0),0)))+SUMIFS('Key Life Events'!$I$3:$I$28,'Key Life Events'!$H$3:$H$28,"House2",'Key Life Events'!$E$3:$E$28,'Yoy WAR OG'!K71)</f>
        <v>#REF!</v>
      </c>
      <c r="CL71" s="58">
        <f ca="1">IF(IFERROR(IF($K71&lt;&gt;VLOOKUP(CJ$2,$B:$H,7,0),IF(CN$3=1,MIN($M71,CJ71),IF(HLOOKUP(CONCATENATE("Balance",CN$3-1),'Withdrawal Working'!$A$2:$CD$78,MATCH('Yoy WAR OG'!$J71,'Withdrawal Working'!$A$2:$A$78,0),FALSE)&gt;0,MIN(HLOOKUP(CONCATENATE("Balance",CN$3-1),'Withdrawal Working'!$A$2:$CD$78,MATCH('Yoy WAR OG'!$J71,'Withdrawal Working'!$A$2:$A$78,0),0),CJ71),0)),IF($K71=VLOOKUP(CJ$2,$B:$H,7,0),CJ71,)),0)&gt;0,CJ71,0)</f>
        <v>0</v>
      </c>
      <c r="CM71" s="58" t="e">
        <f t="shared" ca="1" si="110"/>
        <v>#REF!</v>
      </c>
      <c r="CP71" s="450" t="e">
        <f t="shared" ca="1" si="89"/>
        <v>#REF!</v>
      </c>
      <c r="CQ71" s="58" t="e">
        <f ca="1">(VLOOKUP(CP$2,$B$1:$F$32,5,0)*$L71)+(VLOOKUP($K71,'Withdrawal Working'!$AD:$AE,2,0)*(IFERROR(VLOOKUP(CP$2,$B$35:$C$42,2,0),0)))+SUMIFS('Key Life Events'!$I$3:$I$28,'Key Life Events'!$H$3:$H$28,"Land",'Key Life Events'!$E$3:$E$28,'Yoy WAR OG'!K71)</f>
        <v>#REF!</v>
      </c>
      <c r="CR71" s="58">
        <f ca="1">IFERROR(IF($K71&lt;VLOOKUP(CP$2,$B:$H,7,0),IF(CT$3=1,MIN($M71,CP71),IF(HLOOKUP(CONCATENATE("Balance",CT$3-1),'Withdrawal Working'!$A$2:$CD$78,MATCH('Yoy WAR OG'!$J71,'Withdrawal Working'!$A$2:$A$78,0),FALSE)&gt;0,MIN(HLOOKUP(CONCATENATE("Balance",CT$3-1),'Withdrawal Working'!$A$2:$CD$78,MATCH('Yoy WAR OG'!$J71,'Withdrawal Working'!$A$2:$A$78,0),0),CP71),0)),IF($K71=VLOOKUP(CP$2,$B:$H,7,0),CP71,)),0)</f>
        <v>0</v>
      </c>
      <c r="CS71" s="58" t="e">
        <f t="shared" ca="1" si="111"/>
        <v>#REF!</v>
      </c>
      <c r="CV71" s="450">
        <f t="shared" ca="1" si="90"/>
        <v>0</v>
      </c>
      <c r="CW71" s="58"/>
      <c r="CX71" s="58">
        <f ca="1">IFERROR(IF($K71&lt;VLOOKUP(CV$2,$B:$H,7,0),IF(CZ$3=1,MIN($M71,CV71),IF(HLOOKUP(CONCATENATE("Balance",CZ$3-1),'Withdrawal Working'!$A$2:$CD$78,MATCH('Yoy WAR OG'!$J71,'Withdrawal Working'!$A$2:$A$78,0),FALSE)&gt;0,MIN(HLOOKUP(CONCATENATE("Balance",CZ$3-1),'Withdrawal Working'!$A$2:$CD$78,MATCH('Yoy WAR OG'!$J71,'Withdrawal Working'!$A$2:$A$78,0),0),CV71),0)),IF($K71=VLOOKUP(CV$2,$B:$H,7,0),CV71,)),0)</f>
        <v>0</v>
      </c>
      <c r="CY71" s="58">
        <f t="shared" ca="1" si="112"/>
        <v>0</v>
      </c>
      <c r="DB71" s="450" t="e">
        <f t="shared" ca="1" si="91"/>
        <v>#REF!</v>
      </c>
      <c r="DC71" s="58" t="e">
        <f ca="1">(VLOOKUP(DB$2,$B$1:$F$32,5,0)*$L71)+(VLOOKUP($K71,'Withdrawal Working'!$AD:$AE,2,0)*(IFERROR(VLOOKUP(DB$2,$B$35:$C$42,2,0),0)))</f>
        <v>#REF!</v>
      </c>
      <c r="DD71" s="58">
        <f ca="1">IFERROR(IF($K71&lt;VLOOKUP(DB$2,$B:$H,7,0),IF(DF$3=1,MIN($M71,DB71),IF(HLOOKUP(CONCATENATE("Balance",DF$3-1),'Withdrawal Working'!$A$2:$CD$78,MATCH('Yoy WAR OG'!$J71,'Withdrawal Working'!$A$2:$A$78,0),FALSE)&gt;0,MIN(HLOOKUP(CONCATENATE("Balance",DF$3-1),'Withdrawal Working'!$A$2:$CD$78,MATCH('Yoy WAR OG'!$J71,'Withdrawal Working'!$A$2:$A$78,0),0),DB71),0)),IF($K71=VLOOKUP(DB$2,$B:$H,7,0),DB71,)),0)</f>
        <v>0</v>
      </c>
      <c r="DE71" s="58" t="e">
        <f t="shared" ca="1" si="113"/>
        <v>#REF!</v>
      </c>
      <c r="DH71" s="450">
        <f t="shared" ca="1" si="92"/>
        <v>0</v>
      </c>
      <c r="DI71" s="58">
        <f>IF(OR(J71&gt;'NWGC - SCENARIOS'!$D$7,J71='NWGC - SCENARIOS'!$D$7),0,DI70*(1+'NWGC - SCENARIOS'!$L$5))</f>
        <v>0</v>
      </c>
      <c r="DJ71" s="58">
        <f ca="1">IFERROR(IF($K71&lt;VLOOKUP(DH$2,$B:$H,7,0),IF(DL$3=1,MIN($M71,DH71),IF(HLOOKUP(CONCATENATE("Balance",DL$3-1),'Withdrawal Working'!$A$2:$CD$78,MATCH('Yoy WAR OG'!$J71,'Withdrawal Working'!$A$2:$A$78,0),FALSE)&gt;0,MIN(HLOOKUP(CONCATENATE("Balance",DL$3-1),'Withdrawal Working'!$A$2:$CD$78,MATCH('Yoy WAR OG'!$J71,'Withdrawal Working'!$A$2:$A$78,0),0),DH71),0)),IF($K71=VLOOKUP(DH$2,$B:$H,7,0),DH71,)),0)</f>
        <v>0</v>
      </c>
      <c r="DK71" s="58">
        <f t="shared" ca="1" si="114"/>
        <v>0</v>
      </c>
      <c r="DN71" s="450" t="e">
        <f t="shared" ca="1" si="93"/>
        <v>#REF!</v>
      </c>
      <c r="DO71" s="58" t="e">
        <f ca="1">(VLOOKUP(DN$2,$B$1:$F$32,5,0)*$L71)+(VLOOKUP($K71,'Withdrawal Working'!$AD:$AE,2,0)*(IFERROR(VLOOKUP(DN$2,$B$35:$C$42,2,0),0)))</f>
        <v>#REF!</v>
      </c>
      <c r="DP71" s="58">
        <f ca="1">IFERROR(IF($K71&lt;VLOOKUP(DN$2,$B:$H,7,0),IF(DR$3=1,MIN($M71,DN71),IF(HLOOKUP(CONCATENATE("Balance",DR$3-1),'Withdrawal Working'!$A$2:$CD$78,MATCH('Yoy WAR OG'!$J71,'Withdrawal Working'!$A$2:$A$78,0),FALSE)&gt;0,MIN(HLOOKUP(CONCATENATE("Balance",DR$3-1),'Withdrawal Working'!$A$2:$CD$78,MATCH('Yoy WAR OG'!$J71,'Withdrawal Working'!$A$2:$A$78,0),0),DN71),0)),IF($K71=VLOOKUP(DN$2,$B:$H,7,0),DN71,)),0)</f>
        <v>0</v>
      </c>
      <c r="DQ71" s="58" t="e">
        <f t="shared" ca="1" si="115"/>
        <v>#REF!</v>
      </c>
      <c r="DT71" s="450" t="e">
        <f t="shared" ca="1" si="94"/>
        <v>#REF!</v>
      </c>
      <c r="DU71" s="58" t="e">
        <f ca="1">(VLOOKUP(DT$2,$B$1:$F$32,5,0)*$L71)+(VLOOKUP($K71,'Withdrawal Working'!$AD:$AE,2,0)*(IFERROR(VLOOKUP(DT$2,$B$35:$C$42,2,0),0)))</f>
        <v>#REF!</v>
      </c>
      <c r="DV71" s="58">
        <f ca="1">IFERROR(IF($K71&lt;VLOOKUP(DT$2,$B:$H,7,0),IF(DX$3=1,MIN($M71,DT71),IF(HLOOKUP(CONCATENATE("Balance",DX$3-1),'Withdrawal Working'!$A$2:$CD$78,MATCH('Yoy WAR OG'!$J71,'Withdrawal Working'!$A$2:$A$78,0),FALSE)&gt;0,MIN(HLOOKUP(CONCATENATE("Balance",DX$3-1),'Withdrawal Working'!$A$2:$CD$78,MATCH('Yoy WAR OG'!$J71,'Withdrawal Working'!$A$2:$A$78,0),0),DT71),0)),IF($K71=VLOOKUP(DT$2,$B:$H,7,0),DT71,)),0)</f>
        <v>0</v>
      </c>
      <c r="DW71" s="58" t="e">
        <f t="shared" ca="1" si="116"/>
        <v>#REF!</v>
      </c>
      <c r="DZ71" s="450" t="e">
        <f t="shared" ca="1" si="95"/>
        <v>#REF!</v>
      </c>
      <c r="EA71" s="58" t="e">
        <f ca="1">(VLOOKUP(DZ$2,$B$1:$F$32,5,0)*$L71)+(VLOOKUP($K71,'Withdrawal Working'!$AD:$AE,2,0)*(IFERROR(VLOOKUP(DZ$2,$B$35:$C$42,2,0),0)))</f>
        <v>#REF!</v>
      </c>
      <c r="EB71" s="58">
        <f ca="1">IFERROR(IF($K71&lt;VLOOKUP(DZ$2,$B:$H,7,0),IF(ED$3=1,MIN($M71,DZ71),IF(HLOOKUP(CONCATENATE("Balance",ED$3-1),'Withdrawal Working'!$A$2:$CD$78,MATCH('Yoy WAR OG'!$J71,'Withdrawal Working'!$A$2:$A$78,0),FALSE)&gt;0,MIN(HLOOKUP(CONCATENATE("Balance",ED$3-1),'Withdrawal Working'!$A$2:$CD$78,MATCH('Yoy WAR OG'!$J71,'Withdrawal Working'!$A$2:$A$78,0),0),DZ71),0)),IF($K71=VLOOKUP(DZ$2,$B:$H,7,0),DZ71,)),0)</f>
        <v>0</v>
      </c>
      <c r="EC71" s="58" t="e">
        <f t="shared" ca="1" si="117"/>
        <v>#REF!</v>
      </c>
      <c r="EF71" s="450" t="e">
        <f t="shared" ca="1" si="96"/>
        <v>#REF!</v>
      </c>
      <c r="EG71" s="58" t="e">
        <f ca="1">(VLOOKUP(EF$2,$B$1:$F$32,5,0)*$L71)+(VLOOKUP($K71,'Withdrawal Working'!$AD:$AE,2,0)*(IFERROR(VLOOKUP(EF$2,$B$35:$C$42,2,0),0)))</f>
        <v>#REF!</v>
      </c>
      <c r="EH71" s="58">
        <f ca="1">IFERROR(IF($K71&lt;VLOOKUP(EF$2,$B:$H,7,0),IF(EJ$3=1,MIN($M71,EF71),IF(HLOOKUP(CONCATENATE("Balance",EJ$3-1),'Withdrawal Working'!$A$2:$CD$78,MATCH('Yoy WAR OG'!$J71,'Withdrawal Working'!$A$2:$A$78,0),FALSE)&gt;0,MIN(HLOOKUP(CONCATENATE("Balance",EJ$3-1),'Withdrawal Working'!$A$2:$CD$78,MATCH('Yoy WAR OG'!$J71,'Withdrawal Working'!$A$2:$A$78,0),0),EF71),0)),IF($K71=VLOOKUP(EF$2,$B:$H,7,0),EF71,)),0)</f>
        <v>0</v>
      </c>
      <c r="EI71" s="58" t="e">
        <f t="shared" ca="1" si="118"/>
        <v>#REF!</v>
      </c>
      <c r="EL71" s="450">
        <f t="shared" ca="1" si="97"/>
        <v>0</v>
      </c>
      <c r="EM71" s="58">
        <f>IF(OR($J71&gt;'NWGC - SCENARIOS'!$D$7,$J71='NWGC - SCENARIOS'!$D$7),0,EM70)</f>
        <v>0</v>
      </c>
      <c r="EN71" s="58">
        <f ca="1">IFERROR(IF($K71&lt;VLOOKUP(EL$2,$B:$H,7,0),IF(EP$3=1,MIN($M71,EL71),IF(HLOOKUP(CONCATENATE("Balance",EP$3-1),'Withdrawal Working'!$A$2:$CD$78,MATCH('Yoy WAR OG'!$J71,'Withdrawal Working'!$A$2:$A$78,0),FALSE)&gt;0,MIN(HLOOKUP(CONCATENATE("Balance",EP$3-1),'Withdrawal Working'!$A$2:$CD$78,MATCH('Yoy WAR OG'!$J71,'Withdrawal Working'!$A$2:$A$78,0),0),EL71),0)),IF($K71=VLOOKUP(EL$2,$B:$H,7,0),EL71,)),0)</f>
        <v>0</v>
      </c>
      <c r="EO71" s="58">
        <f t="shared" ca="1" si="119"/>
        <v>0</v>
      </c>
      <c r="ER71" s="450">
        <f t="shared" ca="1" si="98"/>
        <v>0</v>
      </c>
      <c r="ES71" s="58">
        <f>IF(OR(J71&gt;'NWGC - SCENARIOS'!$D$7,J71='NWGC - SCENARIOS'!$D$7),0,ES70*(1+'NWGC - SCENARIOS'!$L$5))</f>
        <v>0</v>
      </c>
      <c r="ET71" s="58">
        <f ca="1">IFERROR(IF($K71&lt;VLOOKUP(ER$2,$B:$H,7,0),IF(EV$3=1,MIN($M71,ER71),IF(HLOOKUP(CONCATENATE("Balance",EV$3-1),'Withdrawal Working'!$A$2:$CD$78,MATCH('Yoy WAR OG'!$J71,'Withdrawal Working'!$A$2:$A$78,0),FALSE)&gt;0,MIN(HLOOKUP(CONCATENATE("Balance",EV$3-1),'Withdrawal Working'!$A$2:$CD$78,MATCH('Yoy WAR OG'!$J71,'Withdrawal Working'!$A$2:$A$78,0),0),ER71),0)),IF($K71=VLOOKUP(ER$2,$B:$H,7,0),ER71,)),0)</f>
        <v>0</v>
      </c>
      <c r="EU71" s="58">
        <f t="shared" ca="1" si="120"/>
        <v>0</v>
      </c>
      <c r="EX71" s="450">
        <f t="shared" ca="1" si="99"/>
        <v>0</v>
      </c>
      <c r="EY71" s="58">
        <f>IF(OR(J71&gt;'NWGC - SCENARIOS'!$D$7,J71='NWGC - SCENARIOS'!$D$7),0,EY70)</f>
        <v>0</v>
      </c>
      <c r="EZ71" s="58">
        <f ca="1">IFERROR(IF($K71&lt;VLOOKUP(EX$2,$B:$H,7,0),IF(FB$3=1,MIN($M71,EX71),IF(HLOOKUP(CONCATENATE("Balance",FB$3-1),'Withdrawal Working'!$A$2:$CD$78,MATCH('Yoy WAR OG'!$J71,'Withdrawal Working'!$A$2:$A$78,0),FALSE)&gt;0,MIN(HLOOKUP(CONCATENATE("Balance",FB$3-1),'Withdrawal Working'!$A$2:$CD$78,MATCH('Yoy WAR OG'!$J71,'Withdrawal Working'!$A$2:$A$78,0),0),EX71),0)),IF($K71=VLOOKUP(EX$2,$B:$H,7,0),EX71,)),0)</f>
        <v>0</v>
      </c>
      <c r="FA71" s="58">
        <f t="shared" ca="1" si="121"/>
        <v>0</v>
      </c>
    </row>
    <row r="72" spans="10:157" x14ac:dyDescent="0.3">
      <c r="J72">
        <f>IFERROR('NWGC - SCENARIOS'!#REF!,0)</f>
        <v>0</v>
      </c>
      <c r="K72">
        <f>IFERROR('NWGC - SCENARIOS'!#REF!,0)</f>
        <v>0</v>
      </c>
      <c r="L72" s="449" t="e">
        <f>IF(('NWGC - SCENARIOS'!#REF!-working!G70)&gt;'NWGC - SCENARIOS'!#REF!,'NWGC - SCENARIOS'!#REF!-'NWGC - SCENARIOS'!#REF!-working!G70,0)</f>
        <v>#REF!</v>
      </c>
      <c r="M72" s="449" t="e">
        <f>IF(('NWGC - SCENARIOS'!#REF!-working!G70)&gt;'NWGC - SCENARIOS'!#REF!,0,'NWGC - SCENARIOS'!#REF!-'NWGC - SCENARIOS'!#REF!+working!G70)</f>
        <v>#REF!</v>
      </c>
      <c r="N72" s="58" t="e">
        <f t="shared" ca="1" si="50"/>
        <v>#REF!</v>
      </c>
      <c r="O72" s="58" t="e">
        <f t="shared" ca="1" si="51"/>
        <v>#REF!</v>
      </c>
      <c r="P72" s="58" t="e">
        <f t="shared" ca="1" si="76"/>
        <v>#REF!</v>
      </c>
      <c r="Q72" s="58" t="e">
        <f ca="1">(VLOOKUP(P$2,$B$1:$F$32,5,0)*$L72)+(VLOOKUP($K72,'Withdrawal Working'!$AD:$AE,2,0)*(IFERROR(VLOOKUP(P$2,$B$35:$C$42,2,0),0)))</f>
        <v>#REF!</v>
      </c>
      <c r="R72" s="58">
        <f>IFERROR(IF($K72&lt;VLOOKUP(P$2,$B:$H,7,0),IF(T$3=1,MIN($M72,P72),IF(HLOOKUP(CONCATENATE("Balance",T$3-1),'Withdrawal Working'!$A$2:$CD$78,MATCH('Yoy WAR OG'!$J72,'Withdrawal Working'!$A$2:$A$78,0),FALSE)&gt;0,MIN(HLOOKUP(CONCATENATE("Balance",T$3-1),'Withdrawal Working'!$A$2:$CD$78,MATCH('Yoy WAR OG'!$J72,'Withdrawal Working'!$A$2:$A$78,0),0),P72),0)),IF($K72=VLOOKUP(P$2,$B:$H,7,0),P72,)),0)</f>
        <v>0</v>
      </c>
      <c r="S72" s="58" t="e">
        <f t="shared" ca="1" si="122"/>
        <v>#REF!</v>
      </c>
      <c r="T72" s="58"/>
      <c r="V72" s="58" t="e">
        <f t="shared" ca="1" si="77"/>
        <v>#REF!</v>
      </c>
      <c r="W72" s="58" t="e">
        <f ca="1">(VLOOKUP(V$2,$B$1:$F$32,5,0)*$L72)+(VLOOKUP($K72,'Withdrawal Working'!$AD:$AE,2,0)*(IFERROR(VLOOKUP(V$2,$B$35:$C$42,2,0),0)))</f>
        <v>#REF!</v>
      </c>
      <c r="X72" s="58">
        <f>IFERROR(IF($K72&lt;VLOOKUP(V$2,$B:$H,7,0),IF(Z$3=1,MIN($M72,V72),IF(HLOOKUP(CONCATENATE("Balance",Z$3-1),'Withdrawal Working'!$A$2:$CD$78,MATCH('Yoy WAR OG'!$J72,'Withdrawal Working'!$A$2:$A$78,0),FALSE)&gt;0,MIN(HLOOKUP(CONCATENATE("Balance",Z$3-1),'Withdrawal Working'!$A$2:$CD$78,MATCH('Yoy WAR OG'!$J72,'Withdrawal Working'!$A$2:$A$78,0),0),V72),0)),IF($K72=VLOOKUP(V$2,$B:$H,7,0),V72,)),0)</f>
        <v>0</v>
      </c>
      <c r="Y72" s="58" t="e">
        <f t="shared" ca="1" si="100"/>
        <v>#REF!</v>
      </c>
      <c r="AB72" s="58" t="e">
        <f t="shared" ca="1" si="78"/>
        <v>#REF!</v>
      </c>
      <c r="AC72" s="58" t="e">
        <f ca="1">(VLOOKUP(AB$2,$B$1:$F$32,5,0)*$L72)+(VLOOKUP($K72,'Withdrawal Working'!$AD:$AE,2,0)*(IFERROR(VLOOKUP(AB$2,$B$35:$C$42,2,0),0)))</f>
        <v>#REF!</v>
      </c>
      <c r="AE72" s="58" t="e">
        <f t="shared" ca="1" si="101"/>
        <v>#REF!</v>
      </c>
      <c r="AH72" s="58" t="e">
        <f t="shared" ca="1" si="79"/>
        <v>#REF!</v>
      </c>
      <c r="AI72" s="58" t="e">
        <f ca="1">(VLOOKUP(AH$2,$B$1:$F$32,5,0)*$L72)+IF(J72&gt;'NWGC - SCENARIOS'!$D$7,0,(VLOOKUP($K72,'Withdrawal Working'!$AD:$AE,2,0)*(IFERROR(VLOOKUP(AH$2,$B$35:$C$42,2,0),0))))</f>
        <v>#REF!</v>
      </c>
      <c r="AJ72" s="58">
        <f ca="1">IFERROR(IF($J72&gt;'NWGC - SCENARIOS'!$D$7,MIN('Yoy WAR OG'!AH72,VLOOKUP('Yoy WAR OG'!$J72,'Withdrawal Working'!BC:BD,2,0)),IF(AL$3=1,$M72,IF(HLOOKUP(CONCATENATE("Balance",AL$3-1),'Withdrawal Working'!$A$2:$CD$78,MATCH('Yoy WAR OG'!$J72,'Withdrawal Working'!$A$2:$A$78,0),FALSE)&gt;0,MIN(HLOOKUP(CONCATENATE("Balance",AL$3-1),'Withdrawal Working'!$A$2:$CD$78,MATCH('Yoy WAR OG'!$J72,'Withdrawal Working'!$A$2:$A$78,0),0),AH72),0))),0)</f>
        <v>0</v>
      </c>
      <c r="AK72" s="58" t="e">
        <f t="shared" ca="1" si="102"/>
        <v>#REF!</v>
      </c>
      <c r="AN72" s="450" t="e">
        <f t="shared" ca="1" si="80"/>
        <v>#REF!</v>
      </c>
      <c r="AO72" s="58" t="e">
        <f ca="1">IF(J72&gt;'NWGC - SCENARIOS'!$D$7,(IF(AJ72=0,0,'Yoy WAR OG'!AJ72)+(VLOOKUP(AN$2,$B$1:$F$32,5,0)*$L72)),(VLOOKUP(AN$2,$B$1:$F$32,5,0)*$L72)+(VLOOKUP($K72,'Withdrawal Working'!$AD:$AE,2,0)*(IFERROR(VLOOKUP(AN$2,$B$35:$C$42,2,0),0))))</f>
        <v>#REF!</v>
      </c>
      <c r="AP72" s="470">
        <f ca="1">IFERROR(IF($K72&lt;&gt;VLOOKUP(AN$2,$B:$H,7,0),IF(AR$3=1,MIN($M72,AN72),IF(HLOOKUP(CONCATENATE("Balance",AR$3-1),'Withdrawal Working'!$A$2:$CD$78,MATCH('Yoy WAR OG'!$J72,'Withdrawal Working'!$A$2:$A$78,0),FALSE)&gt;0,MIN(HLOOKUP(CONCATENATE("Balance",AR$3-1),'Withdrawal Working'!$A$2:$CD$78,MATCH('Yoy WAR OG'!$J72,'Withdrawal Working'!$A$2:$A$78,0),0),AN72),0)),IF($K72=VLOOKUP(AN$2,$B:$H,7,0),AN72,)),0)</f>
        <v>0</v>
      </c>
      <c r="AQ72" s="58" t="e">
        <f ca="1">IF(AO72&lt;0,0,IF(J72&gt;'NWGC - SCENARIOS'!$D$7,((AN72-AP72+AO72)*(1+(IFERROR(VLOOKUP(AN$2,$B:$D,3,0),0)))),((AN72-AP72)*(1+(IFERROR(VLOOKUP(AN$2,$B:$D,3,0),0))))+AO72))</f>
        <v>#REF!</v>
      </c>
      <c r="AT72" s="450" t="e">
        <f t="shared" ca="1" si="81"/>
        <v>#REF!</v>
      </c>
      <c r="AU72" s="58" t="e">
        <f ca="1">(VLOOKUP(AT$2,$B$1:$F$32,5,0)*$L72)+(VLOOKUP($K72,'Withdrawal Working'!$AD:$AE,2,0)*(IFERROR(VLOOKUP(AT$2,$B$35:$C$42,2,0),0)))</f>
        <v>#REF!</v>
      </c>
      <c r="AV72" s="58">
        <f>IFERROR(IF($K72&lt;VLOOKUP(AT$2,$B:$H,7,0),IF(AX$3=1,MIN($M72,AT72),IF(HLOOKUP(CONCATENATE("Balance",AX$3-1),'Withdrawal Working'!$A$2:$CD$78,MATCH('Yoy WAR OG'!$J72,'Withdrawal Working'!$A$2:$A$78,0),FALSE)&gt;0,MIN(HLOOKUP(CONCATENATE("Balance",AX$3-1),'Withdrawal Working'!$A$2:$CD$78,MATCH('Yoy WAR OG'!$J72,'Withdrawal Working'!$A$2:$A$78,0),0),AT72),0)),IF($K72=VLOOKUP(AT$2,$B:$H,7,0),AT72,)),0)</f>
        <v>0</v>
      </c>
      <c r="AW72" s="58" t="e">
        <f t="shared" ca="1" si="103"/>
        <v>#REF!</v>
      </c>
      <c r="AZ72" s="450" t="e">
        <f t="shared" ca="1" si="82"/>
        <v>#REF!</v>
      </c>
      <c r="BA72" s="58" t="e">
        <f ca="1">(VLOOKUP(AZ$2,$B$1:$F$32,5,0)*$L72)+(VLOOKUP($K72,'Withdrawal Working'!$AD:$AE,2,0)*(IFERROR(VLOOKUP(AZ$2,$B$35:$C$42,2,0),0)))</f>
        <v>#REF!</v>
      </c>
      <c r="BB72" s="58">
        <f ca="1">IFERROR(IF($K72&lt;VLOOKUP(AZ$2,$B:$H,7,0),IF(BD$3=1,MIN($M72,AZ72),IF(HLOOKUP(CONCATENATE("Balance",BD$3-1),'Withdrawal Working'!$A$2:$CD$78,MATCH('Yoy WAR OG'!$J72,'Withdrawal Working'!$A$2:$A$78,0),FALSE)&gt;0,MIN(HLOOKUP(CONCATENATE("Balance",BD$3-1),'Withdrawal Working'!$A$2:$CD$78,MATCH('Yoy WAR OG'!$J72,'Withdrawal Working'!$A$2:$A$78,0),0),AZ72),0)),IF($K72=VLOOKUP(AZ$2,$B:$H,7,0),AZ72,)),0)</f>
        <v>0</v>
      </c>
      <c r="BC72" s="58" t="e">
        <f t="shared" ca="1" si="104"/>
        <v>#REF!</v>
      </c>
      <c r="BF72" s="450" t="e">
        <f t="shared" ca="1" si="83"/>
        <v>#REF!</v>
      </c>
      <c r="BG72" s="58" t="e">
        <f ca="1">(VLOOKUP(BF$2,$B$1:$F$32,5,0)*$L72)+(VLOOKUP($K72,'Withdrawal Working'!$AD:$AE,2,0)*(IFERROR(VLOOKUP(BF$2,$B$35:$C$42,2,0),0)))</f>
        <v>#REF!</v>
      </c>
      <c r="BH72" s="58">
        <f>IFERROR(IF($K72&lt;VLOOKUP(BF$2,$B:$H,7,0),IF(BJ$3=1,MIN($M72,BF72),IF(HLOOKUP(CONCATENATE("Balance",BJ$3-1),'Withdrawal Working'!$A$2:$CD$78,MATCH('Yoy WAR OG'!$J72,'Withdrawal Working'!$A$2:$A$78,0),FALSE)&gt;0,MIN(HLOOKUP(CONCATENATE("Balance",BJ$3-1),'Withdrawal Working'!$A$2:$CD$78,MATCH('Yoy WAR OG'!$J72,'Withdrawal Working'!$A$2:$A$78,0),0),BF72),0)),IF($K72=VLOOKUP(BF$2,$B:$H,7,0),BF72,)),0)</f>
        <v>0</v>
      </c>
      <c r="BI72" s="58" t="e">
        <f t="shared" ca="1" si="105"/>
        <v>#REF!</v>
      </c>
      <c r="BL72" s="450" t="e">
        <f t="shared" ca="1" si="84"/>
        <v>#REF!</v>
      </c>
      <c r="BM72" s="58" t="e">
        <f ca="1">(VLOOKUP(BL$2,$B$1:$F$32,5,0)*$L72)+(VLOOKUP($K72,'Withdrawal Working'!$AD:$AE,2,0)*(IFERROR(VLOOKUP(BL$2,$B$35:$C$42,2,0),0)))</f>
        <v>#REF!</v>
      </c>
      <c r="BN72" s="58">
        <f ca="1">IFERROR(IF($K72&lt;VLOOKUP(BL$2,$B:$H,7,0),IF(BP$3=1,MIN($M72,BL72),IF(HLOOKUP(CONCATENATE("Balance",BP$3-1),'Withdrawal Working'!$A$2:$CD$78,MATCH('Yoy WAR OG'!$J72,'Withdrawal Working'!$A$2:$A$78,0),FALSE)&gt;0,MIN(HLOOKUP(CONCATENATE("Balance",BP$3-1),'Withdrawal Working'!$A$2:$CD$78,MATCH('Yoy WAR OG'!$J72,'Withdrawal Working'!$A$2:$A$78,0),0),BL72),0)),IF($K72=VLOOKUP(BL$2,$B:$H,7,0),BL72,)),0)</f>
        <v>0</v>
      </c>
      <c r="BO72" s="58" t="e">
        <f t="shared" ca="1" si="106"/>
        <v>#REF!</v>
      </c>
      <c r="BR72" s="450" t="e">
        <f t="shared" ca="1" si="85"/>
        <v>#REF!</v>
      </c>
      <c r="BS72" s="58" t="e">
        <f ca="1">(VLOOKUP(BR$2,$B$1:$F$32,5,0)*$L72)+(VLOOKUP($K72,'Withdrawal Working'!$AD:$AE,2,0)*(IFERROR(VLOOKUP(BR$2,$B$35:$C$42,2,0),0)))</f>
        <v>#REF!</v>
      </c>
      <c r="BT72" s="58">
        <f ca="1">IFERROR(IF($K72&lt;VLOOKUP(BR$2,$B:$H,7,0),IF(BV$3=1,MIN($M72,BR72),IF(HLOOKUP(CONCATENATE("Balance",BV$3-1),'Withdrawal Working'!$A$2:$CD$78,MATCH('Yoy WAR OG'!$J72,'Withdrawal Working'!$A$2:$A$78,0),FALSE)&gt;0,MIN(HLOOKUP(CONCATENATE("Balance",BV$3-1),'Withdrawal Working'!$A$2:$CD$78,MATCH('Yoy WAR OG'!$J72,'Withdrawal Working'!$A$2:$A$78,0),0),BR72),0)),IF($K72=VLOOKUP(BR$2,$B:$H,7,0),BR72,)),0)</f>
        <v>0</v>
      </c>
      <c r="BU72" s="58" t="e">
        <f t="shared" ca="1" si="107"/>
        <v>#REF!</v>
      </c>
      <c r="BX72" s="450" t="e">
        <f t="shared" ca="1" si="86"/>
        <v>#REF!</v>
      </c>
      <c r="BY72" s="58" t="e">
        <f ca="1">(VLOOKUP(BX$2,$B$1:$F$32,5,0)*$L72)+(VLOOKUP($K72,'Withdrawal Working'!$AD:$AE,2,0)*(IFERROR(VLOOKUP(BX$2,$B$35:$C$42,2,0),0)))</f>
        <v>#REF!</v>
      </c>
      <c r="BZ72" s="58">
        <f ca="1">IFERROR(IF($K72&lt;VLOOKUP(BX$2,$B:$H,7,0),IF(CB$3=1,MIN($M72,BX72),IF(HLOOKUP(CONCATENATE("Balance",CB$3-1),'Withdrawal Working'!$A$2:$CD$78,MATCH('Yoy WAR OG'!$J72,'Withdrawal Working'!$A$2:$A$78,0),FALSE)&gt;0,MIN(HLOOKUP(CONCATENATE("Balance",CB$3-1),'Withdrawal Working'!$A$2:$CD$78,MATCH('Yoy WAR OG'!$J72,'Withdrawal Working'!$A$2:$A$78,0),0),BX72),0)),IF($K72=VLOOKUP(BX$2,$B:$H,7,0),BX72,)),0)</f>
        <v>0</v>
      </c>
      <c r="CA72" s="58" t="e">
        <f t="shared" ca="1" si="108"/>
        <v>#REF!</v>
      </c>
      <c r="CD72" s="450" t="e">
        <f t="shared" ca="1" si="87"/>
        <v>#REF!</v>
      </c>
      <c r="CE72" s="58" t="e">
        <f ca="1">(VLOOKUP(CD$2,$B$1:$F$32,5,0)*$L72)+(VLOOKUP($K72,'Withdrawal Working'!$AD:$AE,2,0)*(IFERROR(VLOOKUP(CD$2,$B$35:$C$42,2,0),0)))+SUMIFS('Key Life Events'!$I$3:$I$28,'Key Life Events'!$H$3:$H$28,"House",'Key Life Events'!$E$3:$E$28,'Yoy WAR OG'!K72)</f>
        <v>#REF!</v>
      </c>
      <c r="CF72" s="58">
        <f ca="1">IFERROR(IF($K72&lt;VLOOKUP(CD$2,$B:$H,7,0),IF(CH$3=1,MIN($M72,CD72),IF(HLOOKUP(CONCATENATE("Balance",CH$3-1),'Withdrawal Working'!$A$2:$CD$78,MATCH('Yoy WAR OG'!$J72,'Withdrawal Working'!$A$2:$A$78,0),FALSE)&gt;0,MIN(HLOOKUP(CONCATENATE("Balance",CH$3-1),'Withdrawal Working'!$A$2:$CD$78,MATCH('Yoy WAR OG'!$J72,'Withdrawal Working'!$A$2:$A$78,0),0),CD72),0)),IF($K72=VLOOKUP(CD$2,$B:$H,7,0),CD72,)),0)</f>
        <v>0</v>
      </c>
      <c r="CG72" s="58" t="e">
        <f t="shared" ca="1" si="109"/>
        <v>#REF!</v>
      </c>
      <c r="CJ72" s="450" t="e">
        <f t="shared" ca="1" si="88"/>
        <v>#REF!</v>
      </c>
      <c r="CK72" s="58" t="e">
        <f ca="1">(VLOOKUP(CJ$2,$B$1:$F$32,5,0)*$L72)+(VLOOKUP($K72,'Withdrawal Working'!$AD:$AE,2,0)*(IFERROR(VLOOKUP(CJ$2,$B$35:$C$42,2,0),0)))+SUMIFS('Key Life Events'!$I$3:$I$28,'Key Life Events'!$H$3:$H$28,"House2",'Key Life Events'!$E$3:$E$28,'Yoy WAR OG'!K72)</f>
        <v>#REF!</v>
      </c>
      <c r="CL72" s="58">
        <f ca="1">IF(IFERROR(IF($K72&lt;&gt;VLOOKUP(CJ$2,$B:$H,7,0),IF(CN$3=1,MIN($M72,CJ72),IF(HLOOKUP(CONCATENATE("Balance",CN$3-1),'Withdrawal Working'!$A$2:$CD$78,MATCH('Yoy WAR OG'!$J72,'Withdrawal Working'!$A$2:$A$78,0),FALSE)&gt;0,MIN(HLOOKUP(CONCATENATE("Balance",CN$3-1),'Withdrawal Working'!$A$2:$CD$78,MATCH('Yoy WAR OG'!$J72,'Withdrawal Working'!$A$2:$A$78,0),0),CJ72),0)),IF($K72=VLOOKUP(CJ$2,$B:$H,7,0),CJ72,)),0)&gt;0,CJ72,0)</f>
        <v>0</v>
      </c>
      <c r="CM72" s="58" t="e">
        <f t="shared" ca="1" si="110"/>
        <v>#REF!</v>
      </c>
      <c r="CP72" s="450" t="e">
        <f t="shared" ca="1" si="89"/>
        <v>#REF!</v>
      </c>
      <c r="CQ72" s="58" t="e">
        <f ca="1">(VLOOKUP(CP$2,$B$1:$F$32,5,0)*$L72)+(VLOOKUP($K72,'Withdrawal Working'!$AD:$AE,2,0)*(IFERROR(VLOOKUP(CP$2,$B$35:$C$42,2,0),0)))+SUMIFS('Key Life Events'!$I$3:$I$28,'Key Life Events'!$H$3:$H$28,"Land",'Key Life Events'!$E$3:$E$28,'Yoy WAR OG'!K72)</f>
        <v>#REF!</v>
      </c>
      <c r="CR72" s="58">
        <f ca="1">IFERROR(IF($K72&lt;VLOOKUP(CP$2,$B:$H,7,0),IF(CT$3=1,MIN($M72,CP72),IF(HLOOKUP(CONCATENATE("Balance",CT$3-1),'Withdrawal Working'!$A$2:$CD$78,MATCH('Yoy WAR OG'!$J72,'Withdrawal Working'!$A$2:$A$78,0),FALSE)&gt;0,MIN(HLOOKUP(CONCATENATE("Balance",CT$3-1),'Withdrawal Working'!$A$2:$CD$78,MATCH('Yoy WAR OG'!$J72,'Withdrawal Working'!$A$2:$A$78,0),0),CP72),0)),IF($K72=VLOOKUP(CP$2,$B:$H,7,0),CP72,)),0)</f>
        <v>0</v>
      </c>
      <c r="CS72" s="58" t="e">
        <f t="shared" ca="1" si="111"/>
        <v>#REF!</v>
      </c>
      <c r="CV72" s="450">
        <f t="shared" ca="1" si="90"/>
        <v>0</v>
      </c>
      <c r="CW72" s="58"/>
      <c r="CX72" s="58">
        <f ca="1">IFERROR(IF($K72&lt;VLOOKUP(CV$2,$B:$H,7,0),IF(CZ$3=1,MIN($M72,CV72),IF(HLOOKUP(CONCATENATE("Balance",CZ$3-1),'Withdrawal Working'!$A$2:$CD$78,MATCH('Yoy WAR OG'!$J72,'Withdrawal Working'!$A$2:$A$78,0),FALSE)&gt;0,MIN(HLOOKUP(CONCATENATE("Balance",CZ$3-1),'Withdrawal Working'!$A$2:$CD$78,MATCH('Yoy WAR OG'!$J72,'Withdrawal Working'!$A$2:$A$78,0),0),CV72),0)),IF($K72=VLOOKUP(CV$2,$B:$H,7,0),CV72,)),0)</f>
        <v>0</v>
      </c>
      <c r="CY72" s="58">
        <f t="shared" ca="1" si="112"/>
        <v>0</v>
      </c>
      <c r="DB72" s="450" t="e">
        <f t="shared" ca="1" si="91"/>
        <v>#REF!</v>
      </c>
      <c r="DC72" s="58" t="e">
        <f ca="1">(VLOOKUP(DB$2,$B$1:$F$32,5,0)*$L72)+(VLOOKUP($K72,'Withdrawal Working'!$AD:$AE,2,0)*(IFERROR(VLOOKUP(DB$2,$B$35:$C$42,2,0),0)))</f>
        <v>#REF!</v>
      </c>
      <c r="DD72" s="58">
        <f ca="1">IFERROR(IF($K72&lt;VLOOKUP(DB$2,$B:$H,7,0),IF(DF$3=1,MIN($M72,DB72),IF(HLOOKUP(CONCATENATE("Balance",DF$3-1),'Withdrawal Working'!$A$2:$CD$78,MATCH('Yoy WAR OG'!$J72,'Withdrawal Working'!$A$2:$A$78,0),FALSE)&gt;0,MIN(HLOOKUP(CONCATENATE("Balance",DF$3-1),'Withdrawal Working'!$A$2:$CD$78,MATCH('Yoy WAR OG'!$J72,'Withdrawal Working'!$A$2:$A$78,0),0),DB72),0)),IF($K72=VLOOKUP(DB$2,$B:$H,7,0),DB72,)),0)</f>
        <v>0</v>
      </c>
      <c r="DE72" s="58" t="e">
        <f t="shared" ca="1" si="113"/>
        <v>#REF!</v>
      </c>
      <c r="DH72" s="450">
        <f t="shared" ca="1" si="92"/>
        <v>0</v>
      </c>
      <c r="DI72" s="58">
        <f>IF(OR(J72&gt;'NWGC - SCENARIOS'!$D$7,J72='NWGC - SCENARIOS'!$D$7),0,DI71*(1+'NWGC - SCENARIOS'!$L$5))</f>
        <v>0</v>
      </c>
      <c r="DJ72" s="58">
        <f ca="1">IFERROR(IF($K72&lt;VLOOKUP(DH$2,$B:$H,7,0),IF(DL$3=1,MIN($M72,DH72),IF(HLOOKUP(CONCATENATE("Balance",DL$3-1),'Withdrawal Working'!$A$2:$CD$78,MATCH('Yoy WAR OG'!$J72,'Withdrawal Working'!$A$2:$A$78,0),FALSE)&gt;0,MIN(HLOOKUP(CONCATENATE("Balance",DL$3-1),'Withdrawal Working'!$A$2:$CD$78,MATCH('Yoy WAR OG'!$J72,'Withdrawal Working'!$A$2:$A$78,0),0),DH72),0)),IF($K72=VLOOKUP(DH$2,$B:$H,7,0),DH72,)),0)</f>
        <v>0</v>
      </c>
      <c r="DK72" s="58">
        <f t="shared" ca="1" si="114"/>
        <v>0</v>
      </c>
      <c r="DN72" s="450" t="e">
        <f t="shared" ca="1" si="93"/>
        <v>#REF!</v>
      </c>
      <c r="DO72" s="58" t="e">
        <f ca="1">(VLOOKUP(DN$2,$B$1:$F$32,5,0)*$L72)+(VLOOKUP($K72,'Withdrawal Working'!$AD:$AE,2,0)*(IFERROR(VLOOKUP(DN$2,$B$35:$C$42,2,0),0)))</f>
        <v>#REF!</v>
      </c>
      <c r="DP72" s="58">
        <f ca="1">IFERROR(IF($K72&lt;VLOOKUP(DN$2,$B:$H,7,0),IF(DR$3=1,MIN($M72,DN72),IF(HLOOKUP(CONCATENATE("Balance",DR$3-1),'Withdrawal Working'!$A$2:$CD$78,MATCH('Yoy WAR OG'!$J72,'Withdrawal Working'!$A$2:$A$78,0),FALSE)&gt;0,MIN(HLOOKUP(CONCATENATE("Balance",DR$3-1),'Withdrawal Working'!$A$2:$CD$78,MATCH('Yoy WAR OG'!$J72,'Withdrawal Working'!$A$2:$A$78,0),0),DN72),0)),IF($K72=VLOOKUP(DN$2,$B:$H,7,0),DN72,)),0)</f>
        <v>0</v>
      </c>
      <c r="DQ72" s="58" t="e">
        <f t="shared" ca="1" si="115"/>
        <v>#REF!</v>
      </c>
      <c r="DT72" s="450" t="e">
        <f t="shared" ca="1" si="94"/>
        <v>#REF!</v>
      </c>
      <c r="DU72" s="58" t="e">
        <f ca="1">(VLOOKUP(DT$2,$B$1:$F$32,5,0)*$L72)+(VLOOKUP($K72,'Withdrawal Working'!$AD:$AE,2,0)*(IFERROR(VLOOKUP(DT$2,$B$35:$C$42,2,0),0)))</f>
        <v>#REF!</v>
      </c>
      <c r="DV72" s="58">
        <f ca="1">IFERROR(IF($K72&lt;VLOOKUP(DT$2,$B:$H,7,0),IF(DX$3=1,MIN($M72,DT72),IF(HLOOKUP(CONCATENATE("Balance",DX$3-1),'Withdrawal Working'!$A$2:$CD$78,MATCH('Yoy WAR OG'!$J72,'Withdrawal Working'!$A$2:$A$78,0),FALSE)&gt;0,MIN(HLOOKUP(CONCATENATE("Balance",DX$3-1),'Withdrawal Working'!$A$2:$CD$78,MATCH('Yoy WAR OG'!$J72,'Withdrawal Working'!$A$2:$A$78,0),0),DT72),0)),IF($K72=VLOOKUP(DT$2,$B:$H,7,0),DT72,)),0)</f>
        <v>0</v>
      </c>
      <c r="DW72" s="58" t="e">
        <f t="shared" ca="1" si="116"/>
        <v>#REF!</v>
      </c>
      <c r="DZ72" s="450" t="e">
        <f t="shared" ca="1" si="95"/>
        <v>#REF!</v>
      </c>
      <c r="EA72" s="58" t="e">
        <f ca="1">(VLOOKUP(DZ$2,$B$1:$F$32,5,0)*$L72)+(VLOOKUP($K72,'Withdrawal Working'!$AD:$AE,2,0)*(IFERROR(VLOOKUP(DZ$2,$B$35:$C$42,2,0),0)))</f>
        <v>#REF!</v>
      </c>
      <c r="EB72" s="58">
        <f ca="1">IFERROR(IF($K72&lt;VLOOKUP(DZ$2,$B:$H,7,0),IF(ED$3=1,MIN($M72,DZ72),IF(HLOOKUP(CONCATENATE("Balance",ED$3-1),'Withdrawal Working'!$A$2:$CD$78,MATCH('Yoy WAR OG'!$J72,'Withdrawal Working'!$A$2:$A$78,0),FALSE)&gt;0,MIN(HLOOKUP(CONCATENATE("Balance",ED$3-1),'Withdrawal Working'!$A$2:$CD$78,MATCH('Yoy WAR OG'!$J72,'Withdrawal Working'!$A$2:$A$78,0),0),DZ72),0)),IF($K72=VLOOKUP(DZ$2,$B:$H,7,0),DZ72,)),0)</f>
        <v>0</v>
      </c>
      <c r="EC72" s="58" t="e">
        <f t="shared" ca="1" si="117"/>
        <v>#REF!</v>
      </c>
      <c r="EF72" s="450" t="e">
        <f t="shared" ca="1" si="96"/>
        <v>#REF!</v>
      </c>
      <c r="EG72" s="58" t="e">
        <f ca="1">(VLOOKUP(EF$2,$B$1:$F$32,5,0)*$L72)+(VLOOKUP($K72,'Withdrawal Working'!$AD:$AE,2,0)*(IFERROR(VLOOKUP(EF$2,$B$35:$C$42,2,0),0)))</f>
        <v>#REF!</v>
      </c>
      <c r="EH72" s="58">
        <f ca="1">IFERROR(IF($K72&lt;VLOOKUP(EF$2,$B:$H,7,0),IF(EJ$3=1,MIN($M72,EF72),IF(HLOOKUP(CONCATENATE("Balance",EJ$3-1),'Withdrawal Working'!$A$2:$CD$78,MATCH('Yoy WAR OG'!$J72,'Withdrawal Working'!$A$2:$A$78,0),FALSE)&gt;0,MIN(HLOOKUP(CONCATENATE("Balance",EJ$3-1),'Withdrawal Working'!$A$2:$CD$78,MATCH('Yoy WAR OG'!$J72,'Withdrawal Working'!$A$2:$A$78,0),0),EF72),0)),IF($K72=VLOOKUP(EF$2,$B:$H,7,0),EF72,)),0)</f>
        <v>0</v>
      </c>
      <c r="EI72" s="58" t="e">
        <f t="shared" ca="1" si="118"/>
        <v>#REF!</v>
      </c>
      <c r="EL72" s="450">
        <f t="shared" ca="1" si="97"/>
        <v>0</v>
      </c>
      <c r="EM72" s="58">
        <f>IF(OR($J72&gt;'NWGC - SCENARIOS'!$D$7,$J72='NWGC - SCENARIOS'!$D$7),0,EM71)</f>
        <v>0</v>
      </c>
      <c r="EN72" s="58">
        <f ca="1">IFERROR(IF($K72&lt;VLOOKUP(EL$2,$B:$H,7,0),IF(EP$3=1,MIN($M72,EL72),IF(HLOOKUP(CONCATENATE("Balance",EP$3-1),'Withdrawal Working'!$A$2:$CD$78,MATCH('Yoy WAR OG'!$J72,'Withdrawal Working'!$A$2:$A$78,0),FALSE)&gt;0,MIN(HLOOKUP(CONCATENATE("Balance",EP$3-1),'Withdrawal Working'!$A$2:$CD$78,MATCH('Yoy WAR OG'!$J72,'Withdrawal Working'!$A$2:$A$78,0),0),EL72),0)),IF($K72=VLOOKUP(EL$2,$B:$H,7,0),EL72,)),0)</f>
        <v>0</v>
      </c>
      <c r="EO72" s="58">
        <f t="shared" ca="1" si="119"/>
        <v>0</v>
      </c>
      <c r="ER72" s="450">
        <f t="shared" ca="1" si="98"/>
        <v>0</v>
      </c>
      <c r="ES72" s="58">
        <f>IF(OR(J72&gt;'NWGC - SCENARIOS'!$D$7,J72='NWGC - SCENARIOS'!$D$7),0,ES71*(1+'NWGC - SCENARIOS'!$L$5))</f>
        <v>0</v>
      </c>
      <c r="ET72" s="58">
        <f ca="1">IFERROR(IF($K72&lt;VLOOKUP(ER$2,$B:$H,7,0),IF(EV$3=1,MIN($M72,ER72),IF(HLOOKUP(CONCATENATE("Balance",EV$3-1),'Withdrawal Working'!$A$2:$CD$78,MATCH('Yoy WAR OG'!$J72,'Withdrawal Working'!$A$2:$A$78,0),FALSE)&gt;0,MIN(HLOOKUP(CONCATENATE("Balance",EV$3-1),'Withdrawal Working'!$A$2:$CD$78,MATCH('Yoy WAR OG'!$J72,'Withdrawal Working'!$A$2:$A$78,0),0),ER72),0)),IF($K72=VLOOKUP(ER$2,$B:$H,7,0),ER72,)),0)</f>
        <v>0</v>
      </c>
      <c r="EU72" s="58">
        <f t="shared" ca="1" si="120"/>
        <v>0</v>
      </c>
      <c r="EX72" s="450">
        <f t="shared" ca="1" si="99"/>
        <v>0</v>
      </c>
      <c r="EY72" s="58">
        <f>IF(OR(J72&gt;'NWGC - SCENARIOS'!$D$7,J72='NWGC - SCENARIOS'!$D$7),0,EY71)</f>
        <v>0</v>
      </c>
      <c r="EZ72" s="58">
        <f ca="1">IFERROR(IF($K72&lt;VLOOKUP(EX$2,$B:$H,7,0),IF(FB$3=1,MIN($M72,EX72),IF(HLOOKUP(CONCATENATE("Balance",FB$3-1),'Withdrawal Working'!$A$2:$CD$78,MATCH('Yoy WAR OG'!$J72,'Withdrawal Working'!$A$2:$A$78,0),FALSE)&gt;0,MIN(HLOOKUP(CONCATENATE("Balance",FB$3-1),'Withdrawal Working'!$A$2:$CD$78,MATCH('Yoy WAR OG'!$J72,'Withdrawal Working'!$A$2:$A$78,0),0),EX72),0)),IF($K72=VLOOKUP(EX$2,$B:$H,7,0),EX72,)),0)</f>
        <v>0</v>
      </c>
      <c r="FA72" s="58">
        <f t="shared" ca="1" si="121"/>
        <v>0</v>
      </c>
    </row>
    <row r="73" spans="10:157" x14ac:dyDescent="0.3">
      <c r="J73">
        <f>IFERROR('NWGC - SCENARIOS'!#REF!,0)</f>
        <v>0</v>
      </c>
      <c r="K73">
        <f>IFERROR('NWGC - SCENARIOS'!#REF!,0)</f>
        <v>0</v>
      </c>
      <c r="L73" s="449" t="e">
        <f>IF(('NWGC - SCENARIOS'!#REF!-working!G71)&gt;'NWGC - SCENARIOS'!#REF!,'NWGC - SCENARIOS'!#REF!-'NWGC - SCENARIOS'!#REF!-working!G71,0)</f>
        <v>#REF!</v>
      </c>
      <c r="M73" s="449" t="e">
        <f>IF(('NWGC - SCENARIOS'!#REF!-working!G71)&gt;'NWGC - SCENARIOS'!#REF!,0,'NWGC - SCENARIOS'!#REF!-'NWGC - SCENARIOS'!#REF!+working!G71)</f>
        <v>#REF!</v>
      </c>
      <c r="N73" s="58" t="e">
        <f t="shared" ca="1" si="50"/>
        <v>#REF!</v>
      </c>
      <c r="O73" s="58" t="e">
        <f t="shared" ca="1" si="51"/>
        <v>#REF!</v>
      </c>
      <c r="P73" s="58" t="e">
        <f t="shared" ca="1" si="76"/>
        <v>#REF!</v>
      </c>
      <c r="Q73" s="58" t="e">
        <f ca="1">(VLOOKUP(P$2,$B$1:$F$32,5,0)*$L73)+(VLOOKUP($K73,'Withdrawal Working'!$AD:$AE,2,0)*(IFERROR(VLOOKUP(P$2,$B$35:$C$42,2,0),0)))</f>
        <v>#REF!</v>
      </c>
      <c r="R73" s="58">
        <f>IFERROR(IF($K73&lt;VLOOKUP(P$2,$B:$H,7,0),IF(T$3=1,MIN($M73,P73),IF(HLOOKUP(CONCATENATE("Balance",T$3-1),'Withdrawal Working'!$A$2:$CD$78,MATCH('Yoy WAR OG'!$J73,'Withdrawal Working'!$A$2:$A$78,0),FALSE)&gt;0,MIN(HLOOKUP(CONCATENATE("Balance",T$3-1),'Withdrawal Working'!$A$2:$CD$78,MATCH('Yoy WAR OG'!$J73,'Withdrawal Working'!$A$2:$A$78,0),0),P73),0)),IF($K73=VLOOKUP(P$2,$B:$H,7,0),P73,)),0)</f>
        <v>0</v>
      </c>
      <c r="S73" s="58" t="e">
        <f t="shared" ca="1" si="122"/>
        <v>#REF!</v>
      </c>
      <c r="T73" s="58"/>
      <c r="V73" s="58" t="e">
        <f t="shared" ca="1" si="77"/>
        <v>#REF!</v>
      </c>
      <c r="W73" s="58" t="e">
        <f ca="1">(VLOOKUP(V$2,$B$1:$F$32,5,0)*$L73)+(VLOOKUP($K73,'Withdrawal Working'!$AD:$AE,2,0)*(IFERROR(VLOOKUP(V$2,$B$35:$C$42,2,0),0)))</f>
        <v>#REF!</v>
      </c>
      <c r="X73" s="58">
        <f>IFERROR(IF($K73&lt;VLOOKUP(V$2,$B:$H,7,0),IF(Z$3=1,MIN($M73,V73),IF(HLOOKUP(CONCATENATE("Balance",Z$3-1),'Withdrawal Working'!$A$2:$CD$78,MATCH('Yoy WAR OG'!$J73,'Withdrawal Working'!$A$2:$A$78,0),FALSE)&gt;0,MIN(HLOOKUP(CONCATENATE("Balance",Z$3-1),'Withdrawal Working'!$A$2:$CD$78,MATCH('Yoy WAR OG'!$J73,'Withdrawal Working'!$A$2:$A$78,0),0),V73),0)),IF($K73=VLOOKUP(V$2,$B:$H,7,0),V73,)),0)</f>
        <v>0</v>
      </c>
      <c r="Y73" s="58" t="e">
        <f t="shared" ca="1" si="100"/>
        <v>#REF!</v>
      </c>
      <c r="AB73" s="58" t="e">
        <f t="shared" ca="1" si="78"/>
        <v>#REF!</v>
      </c>
      <c r="AC73" s="58" t="e">
        <f ca="1">(VLOOKUP(AB$2,$B$1:$F$32,5,0)*$L73)+(VLOOKUP($K73,'Withdrawal Working'!$AD:$AE,2,0)*(IFERROR(VLOOKUP(AB$2,$B$35:$C$42,2,0),0)))</f>
        <v>#REF!</v>
      </c>
      <c r="AE73" s="58" t="e">
        <f t="shared" ca="1" si="101"/>
        <v>#REF!</v>
      </c>
      <c r="AH73" s="58" t="e">
        <f t="shared" ca="1" si="79"/>
        <v>#REF!</v>
      </c>
      <c r="AI73" s="58" t="e">
        <f ca="1">(VLOOKUP(AH$2,$B$1:$F$32,5,0)*$L73)+IF(J73&gt;'NWGC - SCENARIOS'!$D$7,0,(VLOOKUP($K73,'Withdrawal Working'!$AD:$AE,2,0)*(IFERROR(VLOOKUP(AH$2,$B$35:$C$42,2,0),0))))</f>
        <v>#REF!</v>
      </c>
      <c r="AJ73" s="58">
        <f ca="1">IFERROR(IF($J73&gt;'NWGC - SCENARIOS'!$D$7,MIN('Yoy WAR OG'!AH73,VLOOKUP('Yoy WAR OG'!$J73,'Withdrawal Working'!BC:BD,2,0)),IF(AL$3=1,$M73,IF(HLOOKUP(CONCATENATE("Balance",AL$3-1),'Withdrawal Working'!$A$2:$CD$78,MATCH('Yoy WAR OG'!$J73,'Withdrawal Working'!$A$2:$A$78,0),FALSE)&gt;0,MIN(HLOOKUP(CONCATENATE("Balance",AL$3-1),'Withdrawal Working'!$A$2:$CD$78,MATCH('Yoy WAR OG'!$J73,'Withdrawal Working'!$A$2:$A$78,0),0),AH73),0))),0)</f>
        <v>0</v>
      </c>
      <c r="AK73" s="58" t="e">
        <f t="shared" ca="1" si="102"/>
        <v>#REF!</v>
      </c>
      <c r="AN73" s="450" t="e">
        <f t="shared" ca="1" si="80"/>
        <v>#REF!</v>
      </c>
      <c r="AO73" s="58" t="e">
        <f ca="1">IF(J73&gt;'NWGC - SCENARIOS'!$D$7,(IF(AJ73=0,0,'Yoy WAR OG'!AJ73)+(VLOOKUP(AN$2,$B$1:$F$32,5,0)*$L73)),(VLOOKUP(AN$2,$B$1:$F$32,5,0)*$L73)+(VLOOKUP($K73,'Withdrawal Working'!$AD:$AE,2,0)*(IFERROR(VLOOKUP(AN$2,$B$35:$C$42,2,0),0))))</f>
        <v>#REF!</v>
      </c>
      <c r="AP73" s="470">
        <f ca="1">IFERROR(IF($K73&lt;&gt;VLOOKUP(AN$2,$B:$H,7,0),IF(AR$3=1,MIN($M73,AN73),IF(HLOOKUP(CONCATENATE("Balance",AR$3-1),'Withdrawal Working'!$A$2:$CD$78,MATCH('Yoy WAR OG'!$J73,'Withdrawal Working'!$A$2:$A$78,0),FALSE)&gt;0,MIN(HLOOKUP(CONCATENATE("Balance",AR$3-1),'Withdrawal Working'!$A$2:$CD$78,MATCH('Yoy WAR OG'!$J73,'Withdrawal Working'!$A$2:$A$78,0),0),AN73),0)),IF($K73=VLOOKUP(AN$2,$B:$H,7,0),AN73,)),0)</f>
        <v>0</v>
      </c>
      <c r="AQ73" s="58" t="e">
        <f ca="1">IF(AO73&lt;0,0,IF(J73&gt;'NWGC - SCENARIOS'!$D$7,((AN73-AP73+AO73)*(1+(IFERROR(VLOOKUP(AN$2,$B:$D,3,0),0)))),((AN73-AP73)*(1+(IFERROR(VLOOKUP(AN$2,$B:$D,3,0),0))))+AO73))</f>
        <v>#REF!</v>
      </c>
      <c r="AT73" s="450" t="e">
        <f t="shared" ca="1" si="81"/>
        <v>#REF!</v>
      </c>
      <c r="AU73" s="58" t="e">
        <f ca="1">(VLOOKUP(AT$2,$B$1:$F$32,5,0)*$L73)+(VLOOKUP($K73,'Withdrawal Working'!$AD:$AE,2,0)*(IFERROR(VLOOKUP(AT$2,$B$35:$C$42,2,0),0)))</f>
        <v>#REF!</v>
      </c>
      <c r="AV73" s="58">
        <f>IFERROR(IF($K73&lt;VLOOKUP(AT$2,$B:$H,7,0),IF(AX$3=1,MIN($M73,AT73),IF(HLOOKUP(CONCATENATE("Balance",AX$3-1),'Withdrawal Working'!$A$2:$CD$78,MATCH('Yoy WAR OG'!$J73,'Withdrawal Working'!$A$2:$A$78,0),FALSE)&gt;0,MIN(HLOOKUP(CONCATENATE("Balance",AX$3-1),'Withdrawal Working'!$A$2:$CD$78,MATCH('Yoy WAR OG'!$J73,'Withdrawal Working'!$A$2:$A$78,0),0),AT73),0)),IF($K73=VLOOKUP(AT$2,$B:$H,7,0),AT73,)),0)</f>
        <v>0</v>
      </c>
      <c r="AW73" s="58" t="e">
        <f t="shared" ca="1" si="103"/>
        <v>#REF!</v>
      </c>
      <c r="AZ73" s="450" t="e">
        <f t="shared" ca="1" si="82"/>
        <v>#REF!</v>
      </c>
      <c r="BA73" s="58" t="e">
        <f ca="1">(VLOOKUP(AZ$2,$B$1:$F$32,5,0)*$L73)+(VLOOKUP($K73,'Withdrawal Working'!$AD:$AE,2,0)*(IFERROR(VLOOKUP(AZ$2,$B$35:$C$42,2,0),0)))</f>
        <v>#REF!</v>
      </c>
      <c r="BB73" s="58">
        <f ca="1">IFERROR(IF($K73&lt;VLOOKUP(AZ$2,$B:$H,7,0),IF(BD$3=1,MIN($M73,AZ73),IF(HLOOKUP(CONCATENATE("Balance",BD$3-1),'Withdrawal Working'!$A$2:$CD$78,MATCH('Yoy WAR OG'!$J73,'Withdrawal Working'!$A$2:$A$78,0),FALSE)&gt;0,MIN(HLOOKUP(CONCATENATE("Balance",BD$3-1),'Withdrawal Working'!$A$2:$CD$78,MATCH('Yoy WAR OG'!$J73,'Withdrawal Working'!$A$2:$A$78,0),0),AZ73),0)),IF($K73=VLOOKUP(AZ$2,$B:$H,7,0),AZ73,)),0)</f>
        <v>0</v>
      </c>
      <c r="BC73" s="58" t="e">
        <f t="shared" ca="1" si="104"/>
        <v>#REF!</v>
      </c>
      <c r="BF73" s="450" t="e">
        <f t="shared" ca="1" si="83"/>
        <v>#REF!</v>
      </c>
      <c r="BG73" s="58" t="e">
        <f ca="1">(VLOOKUP(BF$2,$B$1:$F$32,5,0)*$L73)+(VLOOKUP($K73,'Withdrawal Working'!$AD:$AE,2,0)*(IFERROR(VLOOKUP(BF$2,$B$35:$C$42,2,0),0)))</f>
        <v>#REF!</v>
      </c>
      <c r="BH73" s="58">
        <f>IFERROR(IF($K73&lt;VLOOKUP(BF$2,$B:$H,7,0),IF(BJ$3=1,MIN($M73,BF73),IF(HLOOKUP(CONCATENATE("Balance",BJ$3-1),'Withdrawal Working'!$A$2:$CD$78,MATCH('Yoy WAR OG'!$J73,'Withdrawal Working'!$A$2:$A$78,0),FALSE)&gt;0,MIN(HLOOKUP(CONCATENATE("Balance",BJ$3-1),'Withdrawal Working'!$A$2:$CD$78,MATCH('Yoy WAR OG'!$J73,'Withdrawal Working'!$A$2:$A$78,0),0),BF73),0)),IF($K73=VLOOKUP(BF$2,$B:$H,7,0),BF73,)),0)</f>
        <v>0</v>
      </c>
      <c r="BI73" s="58" t="e">
        <f t="shared" ca="1" si="105"/>
        <v>#REF!</v>
      </c>
      <c r="BL73" s="450" t="e">
        <f t="shared" ca="1" si="84"/>
        <v>#REF!</v>
      </c>
      <c r="BM73" s="58" t="e">
        <f ca="1">(VLOOKUP(BL$2,$B$1:$F$32,5,0)*$L73)+(VLOOKUP($K73,'Withdrawal Working'!$AD:$AE,2,0)*(IFERROR(VLOOKUP(BL$2,$B$35:$C$42,2,0),0)))</f>
        <v>#REF!</v>
      </c>
      <c r="BN73" s="58">
        <f ca="1">IFERROR(IF($K73&lt;VLOOKUP(BL$2,$B:$H,7,0),IF(BP$3=1,MIN($M73,BL73),IF(HLOOKUP(CONCATENATE("Balance",BP$3-1),'Withdrawal Working'!$A$2:$CD$78,MATCH('Yoy WAR OG'!$J73,'Withdrawal Working'!$A$2:$A$78,0),FALSE)&gt;0,MIN(HLOOKUP(CONCATENATE("Balance",BP$3-1),'Withdrawal Working'!$A$2:$CD$78,MATCH('Yoy WAR OG'!$J73,'Withdrawal Working'!$A$2:$A$78,0),0),BL73),0)),IF($K73=VLOOKUP(BL$2,$B:$H,7,0),BL73,)),0)</f>
        <v>0</v>
      </c>
      <c r="BO73" s="58" t="e">
        <f t="shared" ca="1" si="106"/>
        <v>#REF!</v>
      </c>
      <c r="BR73" s="450" t="e">
        <f t="shared" ca="1" si="85"/>
        <v>#REF!</v>
      </c>
      <c r="BS73" s="58" t="e">
        <f ca="1">(VLOOKUP(BR$2,$B$1:$F$32,5,0)*$L73)+(VLOOKUP($K73,'Withdrawal Working'!$AD:$AE,2,0)*(IFERROR(VLOOKUP(BR$2,$B$35:$C$42,2,0),0)))</f>
        <v>#REF!</v>
      </c>
      <c r="BT73" s="58">
        <f ca="1">IFERROR(IF($K73&lt;VLOOKUP(BR$2,$B:$H,7,0),IF(BV$3=1,MIN($M73,BR73),IF(HLOOKUP(CONCATENATE("Balance",BV$3-1),'Withdrawal Working'!$A$2:$CD$78,MATCH('Yoy WAR OG'!$J73,'Withdrawal Working'!$A$2:$A$78,0),FALSE)&gt;0,MIN(HLOOKUP(CONCATENATE("Balance",BV$3-1),'Withdrawal Working'!$A$2:$CD$78,MATCH('Yoy WAR OG'!$J73,'Withdrawal Working'!$A$2:$A$78,0),0),BR73),0)),IF($K73=VLOOKUP(BR$2,$B:$H,7,0),BR73,)),0)</f>
        <v>0</v>
      </c>
      <c r="BU73" s="58" t="e">
        <f t="shared" ca="1" si="107"/>
        <v>#REF!</v>
      </c>
      <c r="BX73" s="450" t="e">
        <f t="shared" ca="1" si="86"/>
        <v>#REF!</v>
      </c>
      <c r="BY73" s="58" t="e">
        <f ca="1">(VLOOKUP(BX$2,$B$1:$F$32,5,0)*$L73)+(VLOOKUP($K73,'Withdrawal Working'!$AD:$AE,2,0)*(IFERROR(VLOOKUP(BX$2,$B$35:$C$42,2,0),0)))</f>
        <v>#REF!</v>
      </c>
      <c r="BZ73" s="58">
        <f ca="1">IFERROR(IF($K73&lt;VLOOKUP(BX$2,$B:$H,7,0),IF(CB$3=1,MIN($M73,BX73),IF(HLOOKUP(CONCATENATE("Balance",CB$3-1),'Withdrawal Working'!$A$2:$CD$78,MATCH('Yoy WAR OG'!$J73,'Withdrawal Working'!$A$2:$A$78,0),FALSE)&gt;0,MIN(HLOOKUP(CONCATENATE("Balance",CB$3-1),'Withdrawal Working'!$A$2:$CD$78,MATCH('Yoy WAR OG'!$J73,'Withdrawal Working'!$A$2:$A$78,0),0),BX73),0)),IF($K73=VLOOKUP(BX$2,$B:$H,7,0),BX73,)),0)</f>
        <v>0</v>
      </c>
      <c r="CA73" s="58" t="e">
        <f t="shared" ca="1" si="108"/>
        <v>#REF!</v>
      </c>
      <c r="CD73" s="450" t="e">
        <f t="shared" ca="1" si="87"/>
        <v>#REF!</v>
      </c>
      <c r="CE73" s="58" t="e">
        <f ca="1">(VLOOKUP(CD$2,$B$1:$F$32,5,0)*$L73)+(VLOOKUP($K73,'Withdrawal Working'!$AD:$AE,2,0)*(IFERROR(VLOOKUP(CD$2,$B$35:$C$42,2,0),0)))+SUMIFS('Key Life Events'!$I$3:$I$28,'Key Life Events'!$H$3:$H$28,"House",'Key Life Events'!$E$3:$E$28,'Yoy WAR OG'!K73)</f>
        <v>#REF!</v>
      </c>
      <c r="CF73" s="58">
        <f ca="1">IFERROR(IF($K73&lt;VLOOKUP(CD$2,$B:$H,7,0),IF(CH$3=1,MIN($M73,CD73),IF(HLOOKUP(CONCATENATE("Balance",CH$3-1),'Withdrawal Working'!$A$2:$CD$78,MATCH('Yoy WAR OG'!$J73,'Withdrawal Working'!$A$2:$A$78,0),FALSE)&gt;0,MIN(HLOOKUP(CONCATENATE("Balance",CH$3-1),'Withdrawal Working'!$A$2:$CD$78,MATCH('Yoy WAR OG'!$J73,'Withdrawal Working'!$A$2:$A$78,0),0),CD73),0)),IF($K73=VLOOKUP(CD$2,$B:$H,7,0),CD73,)),0)</f>
        <v>0</v>
      </c>
      <c r="CG73" s="58" t="e">
        <f t="shared" ca="1" si="109"/>
        <v>#REF!</v>
      </c>
      <c r="CJ73" s="450" t="e">
        <f t="shared" ca="1" si="88"/>
        <v>#REF!</v>
      </c>
      <c r="CK73" s="58" t="e">
        <f ca="1">(VLOOKUP(CJ$2,$B$1:$F$32,5,0)*$L73)+(VLOOKUP($K73,'Withdrawal Working'!$AD:$AE,2,0)*(IFERROR(VLOOKUP(CJ$2,$B$35:$C$42,2,0),0)))+SUMIFS('Key Life Events'!$I$3:$I$28,'Key Life Events'!$H$3:$H$28,"House2",'Key Life Events'!$E$3:$E$28,'Yoy WAR OG'!K73)</f>
        <v>#REF!</v>
      </c>
      <c r="CL73" s="58">
        <f ca="1">IF(IFERROR(IF($K73&lt;&gt;VLOOKUP(CJ$2,$B:$H,7,0),IF(CN$3=1,MIN($M73,CJ73),IF(HLOOKUP(CONCATENATE("Balance",CN$3-1),'Withdrawal Working'!$A$2:$CD$78,MATCH('Yoy WAR OG'!$J73,'Withdrawal Working'!$A$2:$A$78,0),FALSE)&gt;0,MIN(HLOOKUP(CONCATENATE("Balance",CN$3-1),'Withdrawal Working'!$A$2:$CD$78,MATCH('Yoy WAR OG'!$J73,'Withdrawal Working'!$A$2:$A$78,0),0),CJ73),0)),IF($K73=VLOOKUP(CJ$2,$B:$H,7,0),CJ73,)),0)&gt;0,CJ73,0)</f>
        <v>0</v>
      </c>
      <c r="CM73" s="58" t="e">
        <f t="shared" ca="1" si="110"/>
        <v>#REF!</v>
      </c>
      <c r="CP73" s="450" t="e">
        <f t="shared" ca="1" si="89"/>
        <v>#REF!</v>
      </c>
      <c r="CQ73" s="58" t="e">
        <f ca="1">(VLOOKUP(CP$2,$B$1:$F$32,5,0)*$L73)+(VLOOKUP($K73,'Withdrawal Working'!$AD:$AE,2,0)*(IFERROR(VLOOKUP(CP$2,$B$35:$C$42,2,0),0)))+SUMIFS('Key Life Events'!$I$3:$I$28,'Key Life Events'!$H$3:$H$28,"Land",'Key Life Events'!$E$3:$E$28,'Yoy WAR OG'!K73)</f>
        <v>#REF!</v>
      </c>
      <c r="CR73" s="58">
        <f ca="1">IFERROR(IF($K73&lt;VLOOKUP(CP$2,$B:$H,7,0),IF(CT$3=1,MIN($M73,CP73),IF(HLOOKUP(CONCATENATE("Balance",CT$3-1),'Withdrawal Working'!$A$2:$CD$78,MATCH('Yoy WAR OG'!$J73,'Withdrawal Working'!$A$2:$A$78,0),FALSE)&gt;0,MIN(HLOOKUP(CONCATENATE("Balance",CT$3-1),'Withdrawal Working'!$A$2:$CD$78,MATCH('Yoy WAR OG'!$J73,'Withdrawal Working'!$A$2:$A$78,0),0),CP73),0)),IF($K73=VLOOKUP(CP$2,$B:$H,7,0),CP73,)),0)</f>
        <v>0</v>
      </c>
      <c r="CS73" s="58" t="e">
        <f t="shared" ca="1" si="111"/>
        <v>#REF!</v>
      </c>
      <c r="CV73" s="450">
        <f t="shared" ca="1" si="90"/>
        <v>0</v>
      </c>
      <c r="CW73" s="58"/>
      <c r="CX73" s="58">
        <f ca="1">IFERROR(IF($K73&lt;VLOOKUP(CV$2,$B:$H,7,0),IF(CZ$3=1,MIN($M73,CV73),IF(HLOOKUP(CONCATENATE("Balance",CZ$3-1),'Withdrawal Working'!$A$2:$CD$78,MATCH('Yoy WAR OG'!$J73,'Withdrawal Working'!$A$2:$A$78,0),FALSE)&gt;0,MIN(HLOOKUP(CONCATENATE("Balance",CZ$3-1),'Withdrawal Working'!$A$2:$CD$78,MATCH('Yoy WAR OG'!$J73,'Withdrawal Working'!$A$2:$A$78,0),0),CV73),0)),IF($K73=VLOOKUP(CV$2,$B:$H,7,0),CV73,)),0)</f>
        <v>0</v>
      </c>
      <c r="CY73" s="58">
        <f t="shared" ca="1" si="112"/>
        <v>0</v>
      </c>
      <c r="DB73" s="450" t="e">
        <f t="shared" ca="1" si="91"/>
        <v>#REF!</v>
      </c>
      <c r="DC73" s="58" t="e">
        <f ca="1">(VLOOKUP(DB$2,$B$1:$F$32,5,0)*$L73)+(VLOOKUP($K73,'Withdrawal Working'!$AD:$AE,2,0)*(IFERROR(VLOOKUP(DB$2,$B$35:$C$42,2,0),0)))</f>
        <v>#REF!</v>
      </c>
      <c r="DD73" s="58">
        <f ca="1">IFERROR(IF($K73&lt;VLOOKUP(DB$2,$B:$H,7,0),IF(DF$3=1,MIN($M73,DB73),IF(HLOOKUP(CONCATENATE("Balance",DF$3-1),'Withdrawal Working'!$A$2:$CD$78,MATCH('Yoy WAR OG'!$J73,'Withdrawal Working'!$A$2:$A$78,0),FALSE)&gt;0,MIN(HLOOKUP(CONCATENATE("Balance",DF$3-1),'Withdrawal Working'!$A$2:$CD$78,MATCH('Yoy WAR OG'!$J73,'Withdrawal Working'!$A$2:$A$78,0),0),DB73),0)),IF($K73=VLOOKUP(DB$2,$B:$H,7,0),DB73,)),0)</f>
        <v>0</v>
      </c>
      <c r="DE73" s="58" t="e">
        <f t="shared" ca="1" si="113"/>
        <v>#REF!</v>
      </c>
      <c r="DH73" s="450">
        <f t="shared" ca="1" si="92"/>
        <v>0</v>
      </c>
      <c r="DI73" s="58">
        <f>IF(OR(J73&gt;'NWGC - SCENARIOS'!$D$7,J73='NWGC - SCENARIOS'!$D$7),0,DI72*(1+'NWGC - SCENARIOS'!$L$5))</f>
        <v>0</v>
      </c>
      <c r="DJ73" s="58">
        <f ca="1">IFERROR(IF($K73&lt;VLOOKUP(DH$2,$B:$H,7,0),IF(DL$3=1,MIN($M73,DH73),IF(HLOOKUP(CONCATENATE("Balance",DL$3-1),'Withdrawal Working'!$A$2:$CD$78,MATCH('Yoy WAR OG'!$J73,'Withdrawal Working'!$A$2:$A$78,0),FALSE)&gt;0,MIN(HLOOKUP(CONCATENATE("Balance",DL$3-1),'Withdrawal Working'!$A$2:$CD$78,MATCH('Yoy WAR OG'!$J73,'Withdrawal Working'!$A$2:$A$78,0),0),DH73),0)),IF($K73=VLOOKUP(DH$2,$B:$H,7,0),DH73,)),0)</f>
        <v>0</v>
      </c>
      <c r="DK73" s="58">
        <f t="shared" ca="1" si="114"/>
        <v>0</v>
      </c>
      <c r="DN73" s="450" t="e">
        <f t="shared" ca="1" si="93"/>
        <v>#REF!</v>
      </c>
      <c r="DO73" s="58" t="e">
        <f ca="1">(VLOOKUP(DN$2,$B$1:$F$32,5,0)*$L73)+(VLOOKUP($K73,'Withdrawal Working'!$AD:$AE,2,0)*(IFERROR(VLOOKUP(DN$2,$B$35:$C$42,2,0),0)))</f>
        <v>#REF!</v>
      </c>
      <c r="DP73" s="58">
        <f ca="1">IFERROR(IF($K73&lt;VLOOKUP(DN$2,$B:$H,7,0),IF(DR$3=1,MIN($M73,DN73),IF(HLOOKUP(CONCATENATE("Balance",DR$3-1),'Withdrawal Working'!$A$2:$CD$78,MATCH('Yoy WAR OG'!$J73,'Withdrawal Working'!$A$2:$A$78,0),FALSE)&gt;0,MIN(HLOOKUP(CONCATENATE("Balance",DR$3-1),'Withdrawal Working'!$A$2:$CD$78,MATCH('Yoy WAR OG'!$J73,'Withdrawal Working'!$A$2:$A$78,0),0),DN73),0)),IF($K73=VLOOKUP(DN$2,$B:$H,7,0),DN73,)),0)</f>
        <v>0</v>
      </c>
      <c r="DQ73" s="58" t="e">
        <f t="shared" ca="1" si="115"/>
        <v>#REF!</v>
      </c>
      <c r="DT73" s="450" t="e">
        <f t="shared" ca="1" si="94"/>
        <v>#REF!</v>
      </c>
      <c r="DU73" s="58" t="e">
        <f ca="1">(VLOOKUP(DT$2,$B$1:$F$32,5,0)*$L73)+(VLOOKUP($K73,'Withdrawal Working'!$AD:$AE,2,0)*(IFERROR(VLOOKUP(DT$2,$B$35:$C$42,2,0),0)))</f>
        <v>#REF!</v>
      </c>
      <c r="DV73" s="58">
        <f ca="1">IFERROR(IF($K73&lt;VLOOKUP(DT$2,$B:$H,7,0),IF(DX$3=1,MIN($M73,DT73),IF(HLOOKUP(CONCATENATE("Balance",DX$3-1),'Withdrawal Working'!$A$2:$CD$78,MATCH('Yoy WAR OG'!$J73,'Withdrawal Working'!$A$2:$A$78,0),FALSE)&gt;0,MIN(HLOOKUP(CONCATENATE("Balance",DX$3-1),'Withdrawal Working'!$A$2:$CD$78,MATCH('Yoy WAR OG'!$J73,'Withdrawal Working'!$A$2:$A$78,0),0),DT73),0)),IF($K73=VLOOKUP(DT$2,$B:$H,7,0),DT73,)),0)</f>
        <v>0</v>
      </c>
      <c r="DW73" s="58" t="e">
        <f t="shared" ca="1" si="116"/>
        <v>#REF!</v>
      </c>
      <c r="DZ73" s="450" t="e">
        <f t="shared" ca="1" si="95"/>
        <v>#REF!</v>
      </c>
      <c r="EA73" s="58" t="e">
        <f ca="1">(VLOOKUP(DZ$2,$B$1:$F$32,5,0)*$L73)+(VLOOKUP($K73,'Withdrawal Working'!$AD:$AE,2,0)*(IFERROR(VLOOKUP(DZ$2,$B$35:$C$42,2,0),0)))</f>
        <v>#REF!</v>
      </c>
      <c r="EB73" s="58">
        <f ca="1">IFERROR(IF($K73&lt;VLOOKUP(DZ$2,$B:$H,7,0),IF(ED$3=1,MIN($M73,DZ73),IF(HLOOKUP(CONCATENATE("Balance",ED$3-1),'Withdrawal Working'!$A$2:$CD$78,MATCH('Yoy WAR OG'!$J73,'Withdrawal Working'!$A$2:$A$78,0),FALSE)&gt;0,MIN(HLOOKUP(CONCATENATE("Balance",ED$3-1),'Withdrawal Working'!$A$2:$CD$78,MATCH('Yoy WAR OG'!$J73,'Withdrawal Working'!$A$2:$A$78,0),0),DZ73),0)),IF($K73=VLOOKUP(DZ$2,$B:$H,7,0),DZ73,)),0)</f>
        <v>0</v>
      </c>
      <c r="EC73" s="58" t="e">
        <f t="shared" ca="1" si="117"/>
        <v>#REF!</v>
      </c>
      <c r="EF73" s="450" t="e">
        <f t="shared" ca="1" si="96"/>
        <v>#REF!</v>
      </c>
      <c r="EG73" s="58" t="e">
        <f ca="1">(VLOOKUP(EF$2,$B$1:$F$32,5,0)*$L73)+(VLOOKUP($K73,'Withdrawal Working'!$AD:$AE,2,0)*(IFERROR(VLOOKUP(EF$2,$B$35:$C$42,2,0),0)))</f>
        <v>#REF!</v>
      </c>
      <c r="EH73" s="58">
        <f ca="1">IFERROR(IF($K73&lt;VLOOKUP(EF$2,$B:$H,7,0),IF(EJ$3=1,MIN($M73,EF73),IF(HLOOKUP(CONCATENATE("Balance",EJ$3-1),'Withdrawal Working'!$A$2:$CD$78,MATCH('Yoy WAR OG'!$J73,'Withdrawal Working'!$A$2:$A$78,0),FALSE)&gt;0,MIN(HLOOKUP(CONCATENATE("Balance",EJ$3-1),'Withdrawal Working'!$A$2:$CD$78,MATCH('Yoy WAR OG'!$J73,'Withdrawal Working'!$A$2:$A$78,0),0),EF73),0)),IF($K73=VLOOKUP(EF$2,$B:$H,7,0),EF73,)),0)</f>
        <v>0</v>
      </c>
      <c r="EI73" s="58" t="e">
        <f t="shared" ca="1" si="118"/>
        <v>#REF!</v>
      </c>
      <c r="EL73" s="450">
        <f t="shared" ca="1" si="97"/>
        <v>0</v>
      </c>
      <c r="EM73" s="58">
        <f>IF(OR($J73&gt;'NWGC - SCENARIOS'!$D$7,$J73='NWGC - SCENARIOS'!$D$7),0,EM72)</f>
        <v>0</v>
      </c>
      <c r="EN73" s="58">
        <f ca="1">IFERROR(IF($K73&lt;VLOOKUP(EL$2,$B:$H,7,0),IF(EP$3=1,MIN($M73,EL73),IF(HLOOKUP(CONCATENATE("Balance",EP$3-1),'Withdrawal Working'!$A$2:$CD$78,MATCH('Yoy WAR OG'!$J73,'Withdrawal Working'!$A$2:$A$78,0),FALSE)&gt;0,MIN(HLOOKUP(CONCATENATE("Balance",EP$3-1),'Withdrawal Working'!$A$2:$CD$78,MATCH('Yoy WAR OG'!$J73,'Withdrawal Working'!$A$2:$A$78,0),0),EL73),0)),IF($K73=VLOOKUP(EL$2,$B:$H,7,0),EL73,)),0)</f>
        <v>0</v>
      </c>
      <c r="EO73" s="58">
        <f t="shared" ca="1" si="119"/>
        <v>0</v>
      </c>
      <c r="ER73" s="450">
        <f t="shared" ca="1" si="98"/>
        <v>0</v>
      </c>
      <c r="ES73" s="58">
        <f>IF(OR(J73&gt;'NWGC - SCENARIOS'!$D$7,J73='NWGC - SCENARIOS'!$D$7),0,ES72*(1+'NWGC - SCENARIOS'!$L$5))</f>
        <v>0</v>
      </c>
      <c r="ET73" s="58">
        <f ca="1">IFERROR(IF($K73&lt;VLOOKUP(ER$2,$B:$H,7,0),IF(EV$3=1,MIN($M73,ER73),IF(HLOOKUP(CONCATENATE("Balance",EV$3-1),'Withdrawal Working'!$A$2:$CD$78,MATCH('Yoy WAR OG'!$J73,'Withdrawal Working'!$A$2:$A$78,0),FALSE)&gt;0,MIN(HLOOKUP(CONCATENATE("Balance",EV$3-1),'Withdrawal Working'!$A$2:$CD$78,MATCH('Yoy WAR OG'!$J73,'Withdrawal Working'!$A$2:$A$78,0),0),ER73),0)),IF($K73=VLOOKUP(ER$2,$B:$H,7,0),ER73,)),0)</f>
        <v>0</v>
      </c>
      <c r="EU73" s="58">
        <f t="shared" ca="1" si="120"/>
        <v>0</v>
      </c>
      <c r="EX73" s="450">
        <f t="shared" ca="1" si="99"/>
        <v>0</v>
      </c>
      <c r="EY73" s="58">
        <f>IF(OR(J73&gt;'NWGC - SCENARIOS'!$D$7,J73='NWGC - SCENARIOS'!$D$7),0,EY72)</f>
        <v>0</v>
      </c>
      <c r="EZ73" s="58">
        <f ca="1">IFERROR(IF($K73&lt;VLOOKUP(EX$2,$B:$H,7,0),IF(FB$3=1,MIN($M73,EX73),IF(HLOOKUP(CONCATENATE("Balance",FB$3-1),'Withdrawal Working'!$A$2:$CD$78,MATCH('Yoy WAR OG'!$J73,'Withdrawal Working'!$A$2:$A$78,0),FALSE)&gt;0,MIN(HLOOKUP(CONCATENATE("Balance",FB$3-1),'Withdrawal Working'!$A$2:$CD$78,MATCH('Yoy WAR OG'!$J73,'Withdrawal Working'!$A$2:$A$78,0),0),EX73),0)),IF($K73=VLOOKUP(EX$2,$B:$H,7,0),EX73,)),0)</f>
        <v>0</v>
      </c>
      <c r="FA73" s="58">
        <f t="shared" ca="1" si="121"/>
        <v>0</v>
      </c>
    </row>
    <row r="74" spans="10:157" x14ac:dyDescent="0.3">
      <c r="J74">
        <f>IFERROR('NWGC - SCENARIOS'!#REF!,0)</f>
        <v>0</v>
      </c>
      <c r="K74">
        <f>IFERROR('NWGC - SCENARIOS'!#REF!,0)</f>
        <v>0</v>
      </c>
      <c r="L74" s="449" t="e">
        <f>IF(('NWGC - SCENARIOS'!#REF!-working!G72)&gt;'NWGC - SCENARIOS'!#REF!,'NWGC - SCENARIOS'!#REF!-'NWGC - SCENARIOS'!#REF!-working!G72,0)</f>
        <v>#REF!</v>
      </c>
      <c r="M74" s="449" t="e">
        <f>IF(('NWGC - SCENARIOS'!#REF!-working!G72)&gt;'NWGC - SCENARIOS'!#REF!,0,'NWGC - SCENARIOS'!#REF!-'NWGC - SCENARIOS'!#REF!+working!G72)</f>
        <v>#REF!</v>
      </c>
      <c r="N74" s="58" t="e">
        <f t="shared" ca="1" si="50"/>
        <v>#REF!</v>
      </c>
      <c r="O74" s="58" t="e">
        <f t="shared" ca="1" si="51"/>
        <v>#REF!</v>
      </c>
      <c r="P74" s="58" t="e">
        <f t="shared" ca="1" si="76"/>
        <v>#REF!</v>
      </c>
      <c r="Q74" s="58" t="e">
        <f ca="1">(VLOOKUP(P$2,$B$1:$F$32,5,0)*$L74)+(VLOOKUP($K74,'Withdrawal Working'!$AD:$AE,2,0)*(IFERROR(VLOOKUP(P$2,$B$35:$C$42,2,0),0)))</f>
        <v>#REF!</v>
      </c>
      <c r="R74" s="58">
        <f>IFERROR(IF($K74&lt;VLOOKUP(P$2,$B:$H,7,0),IF(T$3=1,MIN($M74,P74),IF(HLOOKUP(CONCATENATE("Balance",T$3-1),'Withdrawal Working'!$A$2:$CD$78,MATCH('Yoy WAR OG'!$J74,'Withdrawal Working'!$A$2:$A$78,0),FALSE)&gt;0,MIN(HLOOKUP(CONCATENATE("Balance",T$3-1),'Withdrawal Working'!$A$2:$CD$78,MATCH('Yoy WAR OG'!$J74,'Withdrawal Working'!$A$2:$A$78,0),0),P74),0)),IF($K74=VLOOKUP(P$2,$B:$H,7,0),P74,)),0)</f>
        <v>0</v>
      </c>
      <c r="S74" s="58" t="e">
        <f t="shared" ca="1" si="122"/>
        <v>#REF!</v>
      </c>
      <c r="T74" s="58"/>
      <c r="V74" s="58" t="e">
        <f t="shared" ca="1" si="77"/>
        <v>#REF!</v>
      </c>
      <c r="W74" s="58" t="e">
        <f ca="1">(VLOOKUP(V$2,$B$1:$F$32,5,0)*$L74)+(VLOOKUP($K74,'Withdrawal Working'!$AD:$AE,2,0)*(IFERROR(VLOOKUP(V$2,$B$35:$C$42,2,0),0)))</f>
        <v>#REF!</v>
      </c>
      <c r="X74" s="58">
        <f>IFERROR(IF($K74&lt;VLOOKUP(V$2,$B:$H,7,0),IF(Z$3=1,MIN($M74,V74),IF(HLOOKUP(CONCATENATE("Balance",Z$3-1),'Withdrawal Working'!$A$2:$CD$78,MATCH('Yoy WAR OG'!$J74,'Withdrawal Working'!$A$2:$A$78,0),FALSE)&gt;0,MIN(HLOOKUP(CONCATENATE("Balance",Z$3-1),'Withdrawal Working'!$A$2:$CD$78,MATCH('Yoy WAR OG'!$J74,'Withdrawal Working'!$A$2:$A$78,0),0),V74),0)),IF($K74=VLOOKUP(V$2,$B:$H,7,0),V74,)),0)</f>
        <v>0</v>
      </c>
      <c r="Y74" s="58" t="e">
        <f t="shared" ca="1" si="100"/>
        <v>#REF!</v>
      </c>
      <c r="AB74" s="58" t="e">
        <f t="shared" ca="1" si="78"/>
        <v>#REF!</v>
      </c>
      <c r="AC74" s="58" t="e">
        <f ca="1">(VLOOKUP(AB$2,$B$1:$F$32,5,0)*$L74)+(VLOOKUP($K74,'Withdrawal Working'!$AD:$AE,2,0)*(IFERROR(VLOOKUP(AB$2,$B$35:$C$42,2,0),0)))</f>
        <v>#REF!</v>
      </c>
      <c r="AE74" s="58" t="e">
        <f t="shared" ca="1" si="101"/>
        <v>#REF!</v>
      </c>
      <c r="AH74" s="58" t="e">
        <f t="shared" ca="1" si="79"/>
        <v>#REF!</v>
      </c>
      <c r="AI74" s="58" t="e">
        <f ca="1">(VLOOKUP(AH$2,$B$1:$F$32,5,0)*$L74)+IF(J74&gt;'NWGC - SCENARIOS'!$D$7,0,(VLOOKUP($K74,'Withdrawal Working'!$AD:$AE,2,0)*(IFERROR(VLOOKUP(AH$2,$B$35:$C$42,2,0),0))))</f>
        <v>#REF!</v>
      </c>
      <c r="AJ74" s="58">
        <f ca="1">IFERROR(IF($J74&gt;'NWGC - SCENARIOS'!$D$7,MIN('Yoy WAR OG'!AH74,VLOOKUP('Yoy WAR OG'!$J74,'Withdrawal Working'!BC:BD,2,0)),IF(AL$3=1,$M74,IF(HLOOKUP(CONCATENATE("Balance",AL$3-1),'Withdrawal Working'!$A$2:$CD$78,MATCH('Yoy WAR OG'!$J74,'Withdrawal Working'!$A$2:$A$78,0),FALSE)&gt;0,MIN(HLOOKUP(CONCATENATE("Balance",AL$3-1),'Withdrawal Working'!$A$2:$CD$78,MATCH('Yoy WAR OG'!$J74,'Withdrawal Working'!$A$2:$A$78,0),0),AH74),0))),0)</f>
        <v>0</v>
      </c>
      <c r="AK74" s="58" t="e">
        <f t="shared" ca="1" si="102"/>
        <v>#REF!</v>
      </c>
      <c r="AN74" s="450" t="e">
        <f t="shared" ca="1" si="80"/>
        <v>#REF!</v>
      </c>
      <c r="AO74" s="58" t="e">
        <f ca="1">IF(J74&gt;'NWGC - SCENARIOS'!$D$7,(IF(AJ74=0,0,'Yoy WAR OG'!AJ74)+(VLOOKUP(AN$2,$B$1:$F$32,5,0)*$L74)),(VLOOKUP(AN$2,$B$1:$F$32,5,0)*$L74)+(VLOOKUP($K74,'Withdrawal Working'!$AD:$AE,2,0)*(IFERROR(VLOOKUP(AN$2,$B$35:$C$42,2,0),0))))</f>
        <v>#REF!</v>
      </c>
      <c r="AP74" s="470">
        <f ca="1">IFERROR(IF($K74&lt;&gt;VLOOKUP(AN$2,$B:$H,7,0),IF(AR$3=1,MIN($M74,AN74),IF(HLOOKUP(CONCATENATE("Balance",AR$3-1),'Withdrawal Working'!$A$2:$CD$78,MATCH('Yoy WAR OG'!$J74,'Withdrawal Working'!$A$2:$A$78,0),FALSE)&gt;0,MIN(HLOOKUP(CONCATENATE("Balance",AR$3-1),'Withdrawal Working'!$A$2:$CD$78,MATCH('Yoy WAR OG'!$J74,'Withdrawal Working'!$A$2:$A$78,0),0),AN74),0)),IF($K74=VLOOKUP(AN$2,$B:$H,7,0),AN74,)),0)</f>
        <v>0</v>
      </c>
      <c r="AQ74" s="58" t="e">
        <f ca="1">IF(AO74&lt;0,0,IF(J74&gt;'NWGC - SCENARIOS'!$D$7,((AN74-AP74+AO74)*(1+(IFERROR(VLOOKUP(AN$2,$B:$D,3,0),0)))),((AN74-AP74)*(1+(IFERROR(VLOOKUP(AN$2,$B:$D,3,0),0))))+AO74))</f>
        <v>#REF!</v>
      </c>
      <c r="AT74" s="450" t="e">
        <f t="shared" ca="1" si="81"/>
        <v>#REF!</v>
      </c>
      <c r="AU74" s="58" t="e">
        <f ca="1">(VLOOKUP(AT$2,$B$1:$F$32,5,0)*$L74)+(VLOOKUP($K74,'Withdrawal Working'!$AD:$AE,2,0)*(IFERROR(VLOOKUP(AT$2,$B$35:$C$42,2,0),0)))</f>
        <v>#REF!</v>
      </c>
      <c r="AV74" s="58">
        <f>IFERROR(IF($K74&lt;VLOOKUP(AT$2,$B:$H,7,0),IF(AX$3=1,MIN($M74,AT74),IF(HLOOKUP(CONCATENATE("Balance",AX$3-1),'Withdrawal Working'!$A$2:$CD$78,MATCH('Yoy WAR OG'!$J74,'Withdrawal Working'!$A$2:$A$78,0),FALSE)&gt;0,MIN(HLOOKUP(CONCATENATE("Balance",AX$3-1),'Withdrawal Working'!$A$2:$CD$78,MATCH('Yoy WAR OG'!$J74,'Withdrawal Working'!$A$2:$A$78,0),0),AT74),0)),IF($K74=VLOOKUP(AT$2,$B:$H,7,0),AT74,)),0)</f>
        <v>0</v>
      </c>
      <c r="AW74" s="58" t="e">
        <f t="shared" ca="1" si="103"/>
        <v>#REF!</v>
      </c>
      <c r="AZ74" s="450" t="e">
        <f t="shared" ca="1" si="82"/>
        <v>#REF!</v>
      </c>
      <c r="BA74" s="58" t="e">
        <f ca="1">(VLOOKUP(AZ$2,$B$1:$F$32,5,0)*$L74)+(VLOOKUP($K74,'Withdrawal Working'!$AD:$AE,2,0)*(IFERROR(VLOOKUP(AZ$2,$B$35:$C$42,2,0),0)))</f>
        <v>#REF!</v>
      </c>
      <c r="BB74" s="58">
        <f ca="1">IFERROR(IF($K74&lt;VLOOKUP(AZ$2,$B:$H,7,0),IF(BD$3=1,MIN($M74,AZ74),IF(HLOOKUP(CONCATENATE("Balance",BD$3-1),'Withdrawal Working'!$A$2:$CD$78,MATCH('Yoy WAR OG'!$J74,'Withdrawal Working'!$A$2:$A$78,0),FALSE)&gt;0,MIN(HLOOKUP(CONCATENATE("Balance",BD$3-1),'Withdrawal Working'!$A$2:$CD$78,MATCH('Yoy WAR OG'!$J74,'Withdrawal Working'!$A$2:$A$78,0),0),AZ74),0)),IF($K74=VLOOKUP(AZ$2,$B:$H,7,0),AZ74,)),0)</f>
        <v>0</v>
      </c>
      <c r="BC74" s="58" t="e">
        <f t="shared" ca="1" si="104"/>
        <v>#REF!</v>
      </c>
      <c r="BF74" s="450" t="e">
        <f t="shared" ca="1" si="83"/>
        <v>#REF!</v>
      </c>
      <c r="BG74" s="58" t="e">
        <f ca="1">(VLOOKUP(BF$2,$B$1:$F$32,5,0)*$L74)+(VLOOKUP($K74,'Withdrawal Working'!$AD:$AE,2,0)*(IFERROR(VLOOKUP(BF$2,$B$35:$C$42,2,0),0)))</f>
        <v>#REF!</v>
      </c>
      <c r="BH74" s="58">
        <f>IFERROR(IF($K74&lt;VLOOKUP(BF$2,$B:$H,7,0),IF(BJ$3=1,MIN($M74,BF74),IF(HLOOKUP(CONCATENATE("Balance",BJ$3-1),'Withdrawal Working'!$A$2:$CD$78,MATCH('Yoy WAR OG'!$J74,'Withdrawal Working'!$A$2:$A$78,0),FALSE)&gt;0,MIN(HLOOKUP(CONCATENATE("Balance",BJ$3-1),'Withdrawal Working'!$A$2:$CD$78,MATCH('Yoy WAR OG'!$J74,'Withdrawal Working'!$A$2:$A$78,0),0),BF74),0)),IF($K74=VLOOKUP(BF$2,$B:$H,7,0),BF74,)),0)</f>
        <v>0</v>
      </c>
      <c r="BI74" s="58" t="e">
        <f t="shared" ca="1" si="105"/>
        <v>#REF!</v>
      </c>
      <c r="BL74" s="450" t="e">
        <f t="shared" ca="1" si="84"/>
        <v>#REF!</v>
      </c>
      <c r="BM74" s="58" t="e">
        <f ca="1">(VLOOKUP(BL$2,$B$1:$F$32,5,0)*$L74)+(VLOOKUP($K74,'Withdrawal Working'!$AD:$AE,2,0)*(IFERROR(VLOOKUP(BL$2,$B$35:$C$42,2,0),0)))</f>
        <v>#REF!</v>
      </c>
      <c r="BN74" s="58">
        <f ca="1">IFERROR(IF($K74&lt;VLOOKUP(BL$2,$B:$H,7,0),IF(BP$3=1,MIN($M74,BL74),IF(HLOOKUP(CONCATENATE("Balance",BP$3-1),'Withdrawal Working'!$A$2:$CD$78,MATCH('Yoy WAR OG'!$J74,'Withdrawal Working'!$A$2:$A$78,0),FALSE)&gt;0,MIN(HLOOKUP(CONCATENATE("Balance",BP$3-1),'Withdrawal Working'!$A$2:$CD$78,MATCH('Yoy WAR OG'!$J74,'Withdrawal Working'!$A$2:$A$78,0),0),BL74),0)),IF($K74=VLOOKUP(BL$2,$B:$H,7,0),BL74,)),0)</f>
        <v>0</v>
      </c>
      <c r="BO74" s="58" t="e">
        <f t="shared" ca="1" si="106"/>
        <v>#REF!</v>
      </c>
      <c r="BR74" s="450" t="e">
        <f t="shared" ca="1" si="85"/>
        <v>#REF!</v>
      </c>
      <c r="BS74" s="58" t="e">
        <f ca="1">(VLOOKUP(BR$2,$B$1:$F$32,5,0)*$L74)+(VLOOKUP($K74,'Withdrawal Working'!$AD:$AE,2,0)*(IFERROR(VLOOKUP(BR$2,$B$35:$C$42,2,0),0)))</f>
        <v>#REF!</v>
      </c>
      <c r="BT74" s="58">
        <f ca="1">IFERROR(IF($K74&lt;VLOOKUP(BR$2,$B:$H,7,0),IF(BV$3=1,MIN($M74,BR74),IF(HLOOKUP(CONCATENATE("Balance",BV$3-1),'Withdrawal Working'!$A$2:$CD$78,MATCH('Yoy WAR OG'!$J74,'Withdrawal Working'!$A$2:$A$78,0),FALSE)&gt;0,MIN(HLOOKUP(CONCATENATE("Balance",BV$3-1),'Withdrawal Working'!$A$2:$CD$78,MATCH('Yoy WAR OG'!$J74,'Withdrawal Working'!$A$2:$A$78,0),0),BR74),0)),IF($K74=VLOOKUP(BR$2,$B:$H,7,0),BR74,)),0)</f>
        <v>0</v>
      </c>
      <c r="BU74" s="58" t="e">
        <f t="shared" ca="1" si="107"/>
        <v>#REF!</v>
      </c>
      <c r="BX74" s="450" t="e">
        <f t="shared" ca="1" si="86"/>
        <v>#REF!</v>
      </c>
      <c r="BY74" s="58" t="e">
        <f ca="1">(VLOOKUP(BX$2,$B$1:$F$32,5,0)*$L74)+(VLOOKUP($K74,'Withdrawal Working'!$AD:$AE,2,0)*(IFERROR(VLOOKUP(BX$2,$B$35:$C$42,2,0),0)))</f>
        <v>#REF!</v>
      </c>
      <c r="BZ74" s="58">
        <f ca="1">IFERROR(IF($K74&lt;VLOOKUP(BX$2,$B:$H,7,0),IF(CB$3=1,MIN($M74,BX74),IF(HLOOKUP(CONCATENATE("Balance",CB$3-1),'Withdrawal Working'!$A$2:$CD$78,MATCH('Yoy WAR OG'!$J74,'Withdrawal Working'!$A$2:$A$78,0),FALSE)&gt;0,MIN(HLOOKUP(CONCATENATE("Balance",CB$3-1),'Withdrawal Working'!$A$2:$CD$78,MATCH('Yoy WAR OG'!$J74,'Withdrawal Working'!$A$2:$A$78,0),0),BX74),0)),IF($K74=VLOOKUP(BX$2,$B:$H,7,0),BX74,)),0)</f>
        <v>0</v>
      </c>
      <c r="CA74" s="58" t="e">
        <f t="shared" ca="1" si="108"/>
        <v>#REF!</v>
      </c>
      <c r="CD74" s="450" t="e">
        <f t="shared" ca="1" si="87"/>
        <v>#REF!</v>
      </c>
      <c r="CE74" s="58" t="e">
        <f ca="1">(VLOOKUP(CD$2,$B$1:$F$32,5,0)*$L74)+(VLOOKUP($K74,'Withdrawal Working'!$AD:$AE,2,0)*(IFERROR(VLOOKUP(CD$2,$B$35:$C$42,2,0),0)))+SUMIFS('Key Life Events'!$I$3:$I$28,'Key Life Events'!$H$3:$H$28,"House",'Key Life Events'!$E$3:$E$28,'Yoy WAR OG'!K74)</f>
        <v>#REF!</v>
      </c>
      <c r="CF74" s="58">
        <f ca="1">IFERROR(IF($K74&lt;VLOOKUP(CD$2,$B:$H,7,0),IF(CH$3=1,MIN($M74,CD74),IF(HLOOKUP(CONCATENATE("Balance",CH$3-1),'Withdrawal Working'!$A$2:$CD$78,MATCH('Yoy WAR OG'!$J74,'Withdrawal Working'!$A$2:$A$78,0),FALSE)&gt;0,MIN(HLOOKUP(CONCATENATE("Balance",CH$3-1),'Withdrawal Working'!$A$2:$CD$78,MATCH('Yoy WAR OG'!$J74,'Withdrawal Working'!$A$2:$A$78,0),0),CD74),0)),IF($K74=VLOOKUP(CD$2,$B:$H,7,0),CD74,)),0)</f>
        <v>0</v>
      </c>
      <c r="CG74" s="58" t="e">
        <f t="shared" ca="1" si="109"/>
        <v>#REF!</v>
      </c>
      <c r="CJ74" s="450" t="e">
        <f t="shared" ca="1" si="88"/>
        <v>#REF!</v>
      </c>
      <c r="CK74" s="58" t="e">
        <f ca="1">(VLOOKUP(CJ$2,$B$1:$F$32,5,0)*$L74)+(VLOOKUP($K74,'Withdrawal Working'!$AD:$AE,2,0)*(IFERROR(VLOOKUP(CJ$2,$B$35:$C$42,2,0),0)))+SUMIFS('Key Life Events'!$I$3:$I$28,'Key Life Events'!$H$3:$H$28,"House2",'Key Life Events'!$E$3:$E$28,'Yoy WAR OG'!K74)</f>
        <v>#REF!</v>
      </c>
      <c r="CL74" s="58">
        <f ca="1">IF(IFERROR(IF($K74&lt;&gt;VLOOKUP(CJ$2,$B:$H,7,0),IF(CN$3=1,MIN($M74,CJ74),IF(HLOOKUP(CONCATENATE("Balance",CN$3-1),'Withdrawal Working'!$A$2:$CD$78,MATCH('Yoy WAR OG'!$J74,'Withdrawal Working'!$A$2:$A$78,0),FALSE)&gt;0,MIN(HLOOKUP(CONCATENATE("Balance",CN$3-1),'Withdrawal Working'!$A$2:$CD$78,MATCH('Yoy WAR OG'!$J74,'Withdrawal Working'!$A$2:$A$78,0),0),CJ74),0)),IF($K74=VLOOKUP(CJ$2,$B:$H,7,0),CJ74,)),0)&gt;0,CJ74,0)</f>
        <v>0</v>
      </c>
      <c r="CM74" s="58" t="e">
        <f t="shared" ca="1" si="110"/>
        <v>#REF!</v>
      </c>
      <c r="CP74" s="450" t="e">
        <f t="shared" ca="1" si="89"/>
        <v>#REF!</v>
      </c>
      <c r="CQ74" s="58" t="e">
        <f ca="1">(VLOOKUP(CP$2,$B$1:$F$32,5,0)*$L74)+(VLOOKUP($K74,'Withdrawal Working'!$AD:$AE,2,0)*(IFERROR(VLOOKUP(CP$2,$B$35:$C$42,2,0),0)))+SUMIFS('Key Life Events'!$I$3:$I$28,'Key Life Events'!$H$3:$H$28,"Land",'Key Life Events'!$E$3:$E$28,'Yoy WAR OG'!K74)</f>
        <v>#REF!</v>
      </c>
      <c r="CR74" s="58">
        <f ca="1">IFERROR(IF($K74&lt;VLOOKUP(CP$2,$B:$H,7,0),IF(CT$3=1,MIN($M74,CP74),IF(HLOOKUP(CONCATENATE("Balance",CT$3-1),'Withdrawal Working'!$A$2:$CD$78,MATCH('Yoy WAR OG'!$J74,'Withdrawal Working'!$A$2:$A$78,0),FALSE)&gt;0,MIN(HLOOKUP(CONCATENATE("Balance",CT$3-1),'Withdrawal Working'!$A$2:$CD$78,MATCH('Yoy WAR OG'!$J74,'Withdrawal Working'!$A$2:$A$78,0),0),CP74),0)),IF($K74=VLOOKUP(CP$2,$B:$H,7,0),CP74,)),0)</f>
        <v>0</v>
      </c>
      <c r="CS74" s="58" t="e">
        <f t="shared" ca="1" si="111"/>
        <v>#REF!</v>
      </c>
      <c r="CV74" s="450">
        <f t="shared" ca="1" si="90"/>
        <v>0</v>
      </c>
      <c r="CW74" s="58"/>
      <c r="CX74" s="58">
        <f ca="1">IFERROR(IF($K74&lt;VLOOKUP(CV$2,$B:$H,7,0),IF(CZ$3=1,MIN($M74,CV74),IF(HLOOKUP(CONCATENATE("Balance",CZ$3-1),'Withdrawal Working'!$A$2:$CD$78,MATCH('Yoy WAR OG'!$J74,'Withdrawal Working'!$A$2:$A$78,0),FALSE)&gt;0,MIN(HLOOKUP(CONCATENATE("Balance",CZ$3-1),'Withdrawal Working'!$A$2:$CD$78,MATCH('Yoy WAR OG'!$J74,'Withdrawal Working'!$A$2:$A$78,0),0),CV74),0)),IF($K74=VLOOKUP(CV$2,$B:$H,7,0),CV74,)),0)</f>
        <v>0</v>
      </c>
      <c r="CY74" s="58">
        <f t="shared" ca="1" si="112"/>
        <v>0</v>
      </c>
      <c r="DB74" s="450" t="e">
        <f t="shared" ca="1" si="91"/>
        <v>#REF!</v>
      </c>
      <c r="DC74" s="58" t="e">
        <f ca="1">(VLOOKUP(DB$2,$B$1:$F$32,5,0)*$L74)+(VLOOKUP($K74,'Withdrawal Working'!$AD:$AE,2,0)*(IFERROR(VLOOKUP(DB$2,$B$35:$C$42,2,0),0)))</f>
        <v>#REF!</v>
      </c>
      <c r="DD74" s="58">
        <f ca="1">IFERROR(IF($K74&lt;VLOOKUP(DB$2,$B:$H,7,0),IF(DF$3=1,MIN($M74,DB74),IF(HLOOKUP(CONCATENATE("Balance",DF$3-1),'Withdrawal Working'!$A$2:$CD$78,MATCH('Yoy WAR OG'!$J74,'Withdrawal Working'!$A$2:$A$78,0),FALSE)&gt;0,MIN(HLOOKUP(CONCATENATE("Balance",DF$3-1),'Withdrawal Working'!$A$2:$CD$78,MATCH('Yoy WAR OG'!$J74,'Withdrawal Working'!$A$2:$A$78,0),0),DB74),0)),IF($K74=VLOOKUP(DB$2,$B:$H,7,0),DB74,)),0)</f>
        <v>0</v>
      </c>
      <c r="DE74" s="58" t="e">
        <f t="shared" ca="1" si="113"/>
        <v>#REF!</v>
      </c>
      <c r="DH74" s="450">
        <f t="shared" ca="1" si="92"/>
        <v>0</v>
      </c>
      <c r="DI74" s="58">
        <f>IF(OR(J74&gt;'NWGC - SCENARIOS'!$D$7,J74='NWGC - SCENARIOS'!$D$7),0,DI73*(1+'NWGC - SCENARIOS'!$L$5))</f>
        <v>0</v>
      </c>
      <c r="DJ74" s="58">
        <f ca="1">IFERROR(IF($K74&lt;VLOOKUP(DH$2,$B:$H,7,0),IF(DL$3=1,MIN($M74,DH74),IF(HLOOKUP(CONCATENATE("Balance",DL$3-1),'Withdrawal Working'!$A$2:$CD$78,MATCH('Yoy WAR OG'!$J74,'Withdrawal Working'!$A$2:$A$78,0),FALSE)&gt;0,MIN(HLOOKUP(CONCATENATE("Balance",DL$3-1),'Withdrawal Working'!$A$2:$CD$78,MATCH('Yoy WAR OG'!$J74,'Withdrawal Working'!$A$2:$A$78,0),0),DH74),0)),IF($K74=VLOOKUP(DH$2,$B:$H,7,0),DH74,)),0)</f>
        <v>0</v>
      </c>
      <c r="DK74" s="58">
        <f t="shared" ca="1" si="114"/>
        <v>0</v>
      </c>
      <c r="DN74" s="450" t="e">
        <f t="shared" ca="1" si="93"/>
        <v>#REF!</v>
      </c>
      <c r="DO74" s="58" t="e">
        <f ca="1">(VLOOKUP(DN$2,$B$1:$F$32,5,0)*$L74)+(VLOOKUP($K74,'Withdrawal Working'!$AD:$AE,2,0)*(IFERROR(VLOOKUP(DN$2,$B$35:$C$42,2,0),0)))</f>
        <v>#REF!</v>
      </c>
      <c r="DP74" s="58">
        <f ca="1">IFERROR(IF($K74&lt;VLOOKUP(DN$2,$B:$H,7,0),IF(DR$3=1,MIN($M74,DN74),IF(HLOOKUP(CONCATENATE("Balance",DR$3-1),'Withdrawal Working'!$A$2:$CD$78,MATCH('Yoy WAR OG'!$J74,'Withdrawal Working'!$A$2:$A$78,0),FALSE)&gt;0,MIN(HLOOKUP(CONCATENATE("Balance",DR$3-1),'Withdrawal Working'!$A$2:$CD$78,MATCH('Yoy WAR OG'!$J74,'Withdrawal Working'!$A$2:$A$78,0),0),DN74),0)),IF($K74=VLOOKUP(DN$2,$B:$H,7,0),DN74,)),0)</f>
        <v>0</v>
      </c>
      <c r="DQ74" s="58" t="e">
        <f t="shared" ca="1" si="115"/>
        <v>#REF!</v>
      </c>
      <c r="DT74" s="450" t="e">
        <f t="shared" ca="1" si="94"/>
        <v>#REF!</v>
      </c>
      <c r="DU74" s="58" t="e">
        <f ca="1">(VLOOKUP(DT$2,$B$1:$F$32,5,0)*$L74)+(VLOOKUP($K74,'Withdrawal Working'!$AD:$AE,2,0)*(IFERROR(VLOOKUP(DT$2,$B$35:$C$42,2,0),0)))</f>
        <v>#REF!</v>
      </c>
      <c r="DV74" s="58">
        <f ca="1">IFERROR(IF($K74&lt;VLOOKUP(DT$2,$B:$H,7,0),IF(DX$3=1,MIN($M74,DT74),IF(HLOOKUP(CONCATENATE("Balance",DX$3-1),'Withdrawal Working'!$A$2:$CD$78,MATCH('Yoy WAR OG'!$J74,'Withdrawal Working'!$A$2:$A$78,0),FALSE)&gt;0,MIN(HLOOKUP(CONCATENATE("Balance",DX$3-1),'Withdrawal Working'!$A$2:$CD$78,MATCH('Yoy WAR OG'!$J74,'Withdrawal Working'!$A$2:$A$78,0),0),DT74),0)),IF($K74=VLOOKUP(DT$2,$B:$H,7,0),DT74,)),0)</f>
        <v>0</v>
      </c>
      <c r="DW74" s="58" t="e">
        <f t="shared" ca="1" si="116"/>
        <v>#REF!</v>
      </c>
      <c r="DZ74" s="450" t="e">
        <f t="shared" ca="1" si="95"/>
        <v>#REF!</v>
      </c>
      <c r="EA74" s="58" t="e">
        <f ca="1">(VLOOKUP(DZ$2,$B$1:$F$32,5,0)*$L74)+(VLOOKUP($K74,'Withdrawal Working'!$AD:$AE,2,0)*(IFERROR(VLOOKUP(DZ$2,$B$35:$C$42,2,0),0)))</f>
        <v>#REF!</v>
      </c>
      <c r="EB74" s="58">
        <f ca="1">IFERROR(IF($K74&lt;VLOOKUP(DZ$2,$B:$H,7,0),IF(ED$3=1,MIN($M74,DZ74),IF(HLOOKUP(CONCATENATE("Balance",ED$3-1),'Withdrawal Working'!$A$2:$CD$78,MATCH('Yoy WAR OG'!$J74,'Withdrawal Working'!$A$2:$A$78,0),FALSE)&gt;0,MIN(HLOOKUP(CONCATENATE("Balance",ED$3-1),'Withdrawal Working'!$A$2:$CD$78,MATCH('Yoy WAR OG'!$J74,'Withdrawal Working'!$A$2:$A$78,0),0),DZ74),0)),IF($K74=VLOOKUP(DZ$2,$B:$H,7,0),DZ74,)),0)</f>
        <v>0</v>
      </c>
      <c r="EC74" s="58" t="e">
        <f t="shared" ca="1" si="117"/>
        <v>#REF!</v>
      </c>
      <c r="EF74" s="450" t="e">
        <f t="shared" ca="1" si="96"/>
        <v>#REF!</v>
      </c>
      <c r="EG74" s="58" t="e">
        <f ca="1">(VLOOKUP(EF$2,$B$1:$F$32,5,0)*$L74)+(VLOOKUP($K74,'Withdrawal Working'!$AD:$AE,2,0)*(IFERROR(VLOOKUP(EF$2,$B$35:$C$42,2,0),0)))</f>
        <v>#REF!</v>
      </c>
      <c r="EH74" s="58">
        <f ca="1">IFERROR(IF($K74&lt;VLOOKUP(EF$2,$B:$H,7,0),IF(EJ$3=1,MIN($M74,EF74),IF(HLOOKUP(CONCATENATE("Balance",EJ$3-1),'Withdrawal Working'!$A$2:$CD$78,MATCH('Yoy WAR OG'!$J74,'Withdrawal Working'!$A$2:$A$78,0),FALSE)&gt;0,MIN(HLOOKUP(CONCATENATE("Balance",EJ$3-1),'Withdrawal Working'!$A$2:$CD$78,MATCH('Yoy WAR OG'!$J74,'Withdrawal Working'!$A$2:$A$78,0),0),EF74),0)),IF($K74=VLOOKUP(EF$2,$B:$H,7,0),EF74,)),0)</f>
        <v>0</v>
      </c>
      <c r="EI74" s="58" t="e">
        <f t="shared" ca="1" si="118"/>
        <v>#REF!</v>
      </c>
      <c r="EL74" s="450">
        <f t="shared" ca="1" si="97"/>
        <v>0</v>
      </c>
      <c r="EM74" s="58">
        <f>IF(OR($J74&gt;'NWGC - SCENARIOS'!$D$7,$J74='NWGC - SCENARIOS'!$D$7),0,EM73)</f>
        <v>0</v>
      </c>
      <c r="EN74" s="58">
        <f ca="1">IFERROR(IF($K74&lt;VLOOKUP(EL$2,$B:$H,7,0),IF(EP$3=1,MIN($M74,EL74),IF(HLOOKUP(CONCATENATE("Balance",EP$3-1),'Withdrawal Working'!$A$2:$CD$78,MATCH('Yoy WAR OG'!$J74,'Withdrawal Working'!$A$2:$A$78,0),FALSE)&gt;0,MIN(HLOOKUP(CONCATENATE("Balance",EP$3-1),'Withdrawal Working'!$A$2:$CD$78,MATCH('Yoy WAR OG'!$J74,'Withdrawal Working'!$A$2:$A$78,0),0),EL74),0)),IF($K74=VLOOKUP(EL$2,$B:$H,7,0),EL74,)),0)</f>
        <v>0</v>
      </c>
      <c r="EO74" s="58">
        <f t="shared" ca="1" si="119"/>
        <v>0</v>
      </c>
      <c r="ER74" s="450">
        <f t="shared" ca="1" si="98"/>
        <v>0</v>
      </c>
      <c r="ES74" s="58">
        <f>IF(OR(J74&gt;'NWGC - SCENARIOS'!$D$7,J74='NWGC - SCENARIOS'!$D$7),0,ES73*(1+'NWGC - SCENARIOS'!$L$5))</f>
        <v>0</v>
      </c>
      <c r="ET74" s="58">
        <f ca="1">IFERROR(IF($K74&lt;VLOOKUP(ER$2,$B:$H,7,0),IF(EV$3=1,MIN($M74,ER74),IF(HLOOKUP(CONCATENATE("Balance",EV$3-1),'Withdrawal Working'!$A$2:$CD$78,MATCH('Yoy WAR OG'!$J74,'Withdrawal Working'!$A$2:$A$78,0),FALSE)&gt;0,MIN(HLOOKUP(CONCATENATE("Balance",EV$3-1),'Withdrawal Working'!$A$2:$CD$78,MATCH('Yoy WAR OG'!$J74,'Withdrawal Working'!$A$2:$A$78,0),0),ER74),0)),IF($K74=VLOOKUP(ER$2,$B:$H,7,0),ER74,)),0)</f>
        <v>0</v>
      </c>
      <c r="EU74" s="58">
        <f t="shared" ca="1" si="120"/>
        <v>0</v>
      </c>
      <c r="EX74" s="450">
        <f t="shared" ca="1" si="99"/>
        <v>0</v>
      </c>
      <c r="EY74" s="58">
        <f>IF(OR(J74&gt;'NWGC - SCENARIOS'!$D$7,J74='NWGC - SCENARIOS'!$D$7),0,EY73)</f>
        <v>0</v>
      </c>
      <c r="EZ74" s="58">
        <f ca="1">IFERROR(IF($K74&lt;VLOOKUP(EX$2,$B:$H,7,0),IF(FB$3=1,MIN($M74,EX74),IF(HLOOKUP(CONCATENATE("Balance",FB$3-1),'Withdrawal Working'!$A$2:$CD$78,MATCH('Yoy WAR OG'!$J74,'Withdrawal Working'!$A$2:$A$78,0),FALSE)&gt;0,MIN(HLOOKUP(CONCATENATE("Balance",FB$3-1),'Withdrawal Working'!$A$2:$CD$78,MATCH('Yoy WAR OG'!$J74,'Withdrawal Working'!$A$2:$A$78,0),0),EX74),0)),IF($K74=VLOOKUP(EX$2,$B:$H,7,0),EX74,)),0)</f>
        <v>0</v>
      </c>
      <c r="FA74" s="58">
        <f t="shared" ca="1" si="121"/>
        <v>0</v>
      </c>
    </row>
    <row r="75" spans="10:157" x14ac:dyDescent="0.3">
      <c r="J75">
        <f>IFERROR('NWGC - SCENARIOS'!#REF!,0)</f>
        <v>0</v>
      </c>
      <c r="K75">
        <f>IFERROR('NWGC - SCENARIOS'!#REF!,0)</f>
        <v>0</v>
      </c>
      <c r="L75" s="449" t="e">
        <f>IF(('NWGC - SCENARIOS'!#REF!-working!G73)&gt;'NWGC - SCENARIOS'!#REF!,'NWGC - SCENARIOS'!#REF!-'NWGC - SCENARIOS'!#REF!-working!G73,0)</f>
        <v>#REF!</v>
      </c>
      <c r="M75" s="449" t="e">
        <f>IF(('NWGC - SCENARIOS'!#REF!-working!G73)&gt;'NWGC - SCENARIOS'!#REF!,0,'NWGC - SCENARIOS'!#REF!-'NWGC - SCENARIOS'!#REF!+working!G73)</f>
        <v>#REF!</v>
      </c>
      <c r="N75" s="58" t="e">
        <f t="shared" ca="1" si="50"/>
        <v>#REF!</v>
      </c>
      <c r="O75" s="58" t="e">
        <f t="shared" ca="1" si="51"/>
        <v>#REF!</v>
      </c>
      <c r="P75" s="58" t="e">
        <f t="shared" ca="1" si="76"/>
        <v>#REF!</v>
      </c>
      <c r="Q75" s="58" t="e">
        <f ca="1">(VLOOKUP(P$2,$B$1:$F$32,5,0)*$L75)+(VLOOKUP($K75,'Withdrawal Working'!$AD:$AE,2,0)*(IFERROR(VLOOKUP(P$2,$B$35:$C$42,2,0),0)))</f>
        <v>#REF!</v>
      </c>
      <c r="R75" s="58">
        <f>IFERROR(IF($K75&lt;VLOOKUP(P$2,$B:$H,7,0),IF(T$3=1,MIN($M75,P75),IF(HLOOKUP(CONCATENATE("Balance",T$3-1),'Withdrawal Working'!$A$2:$CD$78,MATCH('Yoy WAR OG'!$J75,'Withdrawal Working'!$A$2:$A$78,0),FALSE)&gt;0,MIN(HLOOKUP(CONCATENATE("Balance",T$3-1),'Withdrawal Working'!$A$2:$CD$78,MATCH('Yoy WAR OG'!$J75,'Withdrawal Working'!$A$2:$A$78,0),0),P75),0)),IF($K75=VLOOKUP(P$2,$B:$H,7,0),P75,)),0)</f>
        <v>0</v>
      </c>
      <c r="S75" s="58" t="e">
        <f t="shared" ca="1" si="122"/>
        <v>#REF!</v>
      </c>
      <c r="T75" s="58"/>
      <c r="V75" s="58" t="e">
        <f t="shared" ca="1" si="77"/>
        <v>#REF!</v>
      </c>
      <c r="W75" s="58" t="e">
        <f ca="1">(VLOOKUP(V$2,$B$1:$F$32,5,0)*$L75)+(VLOOKUP($K75,'Withdrawal Working'!$AD:$AE,2,0)*(IFERROR(VLOOKUP(V$2,$B$35:$C$42,2,0),0)))</f>
        <v>#REF!</v>
      </c>
      <c r="X75" s="58">
        <f>IFERROR(IF($K75&lt;VLOOKUP(V$2,$B:$H,7,0),IF(Z$3=1,MIN($M75,V75),IF(HLOOKUP(CONCATENATE("Balance",Z$3-1),'Withdrawal Working'!$A$2:$CD$78,MATCH('Yoy WAR OG'!$J75,'Withdrawal Working'!$A$2:$A$78,0),FALSE)&gt;0,MIN(HLOOKUP(CONCATENATE("Balance",Z$3-1),'Withdrawal Working'!$A$2:$CD$78,MATCH('Yoy WAR OG'!$J75,'Withdrawal Working'!$A$2:$A$78,0),0),V75),0)),IF($K75=VLOOKUP(V$2,$B:$H,7,0),V75,)),0)</f>
        <v>0</v>
      </c>
      <c r="Y75" s="58" t="e">
        <f t="shared" ca="1" si="100"/>
        <v>#REF!</v>
      </c>
      <c r="AB75" s="58" t="e">
        <f t="shared" ca="1" si="78"/>
        <v>#REF!</v>
      </c>
      <c r="AC75" s="58" t="e">
        <f ca="1">(VLOOKUP(AB$2,$B$1:$F$32,5,0)*$L75)+(VLOOKUP($K75,'Withdrawal Working'!$AD:$AE,2,0)*(IFERROR(VLOOKUP(AB$2,$B$35:$C$42,2,0),0)))</f>
        <v>#REF!</v>
      </c>
      <c r="AE75" s="58" t="e">
        <f t="shared" ca="1" si="101"/>
        <v>#REF!</v>
      </c>
      <c r="AH75" s="58" t="e">
        <f t="shared" ca="1" si="79"/>
        <v>#REF!</v>
      </c>
      <c r="AI75" s="58" t="e">
        <f ca="1">(VLOOKUP(AH$2,$B$1:$F$32,5,0)*$L75)+IF(J75&gt;'NWGC - SCENARIOS'!$D$7,0,(VLOOKUP($K75,'Withdrawal Working'!$AD:$AE,2,0)*(IFERROR(VLOOKUP(AH$2,$B$35:$C$42,2,0),0))))</f>
        <v>#REF!</v>
      </c>
      <c r="AJ75" s="58">
        <f ca="1">IFERROR(IF($J75&gt;'NWGC - SCENARIOS'!$D$7,MIN('Yoy WAR OG'!AH75,VLOOKUP('Yoy WAR OG'!$J75,'Withdrawal Working'!BC:BD,2,0)),IF(AL$3=1,$M75,IF(HLOOKUP(CONCATENATE("Balance",AL$3-1),'Withdrawal Working'!$A$2:$CD$78,MATCH('Yoy WAR OG'!$J75,'Withdrawal Working'!$A$2:$A$78,0),FALSE)&gt;0,MIN(HLOOKUP(CONCATENATE("Balance",AL$3-1),'Withdrawal Working'!$A$2:$CD$78,MATCH('Yoy WAR OG'!$J75,'Withdrawal Working'!$A$2:$A$78,0),0),AH75),0))),0)</f>
        <v>0</v>
      </c>
      <c r="AK75" s="58" t="e">
        <f t="shared" ca="1" si="102"/>
        <v>#REF!</v>
      </c>
      <c r="AN75" s="450" t="e">
        <f t="shared" ca="1" si="80"/>
        <v>#REF!</v>
      </c>
      <c r="AO75" s="58" t="e">
        <f ca="1">IF(J75&gt;'NWGC - SCENARIOS'!$D$7,(IF(AJ75=0,0,'Yoy WAR OG'!AJ75)+(VLOOKUP(AN$2,$B$1:$F$32,5,0)*$L75)),(VLOOKUP(AN$2,$B$1:$F$32,5,0)*$L75)+(VLOOKUP($K75,'Withdrawal Working'!$AD:$AE,2,0)*(IFERROR(VLOOKUP(AN$2,$B$35:$C$42,2,0),0))))</f>
        <v>#REF!</v>
      </c>
      <c r="AP75" s="470">
        <f ca="1">IFERROR(IF($K75&lt;&gt;VLOOKUP(AN$2,$B:$H,7,0),IF(AR$3=1,MIN($M75,AN75),IF(HLOOKUP(CONCATENATE("Balance",AR$3-1),'Withdrawal Working'!$A$2:$CD$78,MATCH('Yoy WAR OG'!$J75,'Withdrawal Working'!$A$2:$A$78,0),FALSE)&gt;0,MIN(HLOOKUP(CONCATENATE("Balance",AR$3-1),'Withdrawal Working'!$A$2:$CD$78,MATCH('Yoy WAR OG'!$J75,'Withdrawal Working'!$A$2:$A$78,0),0),AN75),0)),IF($K75=VLOOKUP(AN$2,$B:$H,7,0),AN75,)),0)</f>
        <v>0</v>
      </c>
      <c r="AQ75" s="58" t="e">
        <f ca="1">IF(AO75&lt;0,0,IF(J75&gt;'NWGC - SCENARIOS'!$D$7,((AN75-AP75+AO75)*(1+(IFERROR(VLOOKUP(AN$2,$B:$D,3,0),0)))),((AN75-AP75)*(1+(IFERROR(VLOOKUP(AN$2,$B:$D,3,0),0))))+AO75))</f>
        <v>#REF!</v>
      </c>
      <c r="AT75" s="450" t="e">
        <f t="shared" ca="1" si="81"/>
        <v>#REF!</v>
      </c>
      <c r="AU75" s="58" t="e">
        <f ca="1">(VLOOKUP(AT$2,$B$1:$F$32,5,0)*$L75)+(VLOOKUP($K75,'Withdrawal Working'!$AD:$AE,2,0)*(IFERROR(VLOOKUP(AT$2,$B$35:$C$42,2,0),0)))</f>
        <v>#REF!</v>
      </c>
      <c r="AV75" s="58">
        <f>IFERROR(IF($K75&lt;VLOOKUP(AT$2,$B:$H,7,0),IF(AX$3=1,MIN($M75,AT75),IF(HLOOKUP(CONCATENATE("Balance",AX$3-1),'Withdrawal Working'!$A$2:$CD$78,MATCH('Yoy WAR OG'!$J75,'Withdrawal Working'!$A$2:$A$78,0),FALSE)&gt;0,MIN(HLOOKUP(CONCATENATE("Balance",AX$3-1),'Withdrawal Working'!$A$2:$CD$78,MATCH('Yoy WAR OG'!$J75,'Withdrawal Working'!$A$2:$A$78,0),0),AT75),0)),IF($K75=VLOOKUP(AT$2,$B:$H,7,0),AT75,)),0)</f>
        <v>0</v>
      </c>
      <c r="AW75" s="58" t="e">
        <f t="shared" ca="1" si="103"/>
        <v>#REF!</v>
      </c>
      <c r="AZ75" s="450" t="e">
        <f t="shared" ca="1" si="82"/>
        <v>#REF!</v>
      </c>
      <c r="BA75" s="58" t="e">
        <f ca="1">(VLOOKUP(AZ$2,$B$1:$F$32,5,0)*$L75)+(VLOOKUP($K75,'Withdrawal Working'!$AD:$AE,2,0)*(IFERROR(VLOOKUP(AZ$2,$B$35:$C$42,2,0),0)))</f>
        <v>#REF!</v>
      </c>
      <c r="BB75" s="58">
        <f ca="1">IFERROR(IF($K75&lt;VLOOKUP(AZ$2,$B:$H,7,0),IF(BD$3=1,MIN($M75,AZ75),IF(HLOOKUP(CONCATENATE("Balance",BD$3-1),'Withdrawal Working'!$A$2:$CD$78,MATCH('Yoy WAR OG'!$J75,'Withdrawal Working'!$A$2:$A$78,0),FALSE)&gt;0,MIN(HLOOKUP(CONCATENATE("Balance",BD$3-1),'Withdrawal Working'!$A$2:$CD$78,MATCH('Yoy WAR OG'!$J75,'Withdrawal Working'!$A$2:$A$78,0),0),AZ75),0)),IF($K75=VLOOKUP(AZ$2,$B:$H,7,0),AZ75,)),0)</f>
        <v>0</v>
      </c>
      <c r="BC75" s="58" t="e">
        <f t="shared" ca="1" si="104"/>
        <v>#REF!</v>
      </c>
      <c r="BF75" s="450" t="e">
        <f t="shared" ca="1" si="83"/>
        <v>#REF!</v>
      </c>
      <c r="BG75" s="58" t="e">
        <f ca="1">(VLOOKUP(BF$2,$B$1:$F$32,5,0)*$L75)+(VLOOKUP($K75,'Withdrawal Working'!$AD:$AE,2,0)*(IFERROR(VLOOKUP(BF$2,$B$35:$C$42,2,0),0)))</f>
        <v>#REF!</v>
      </c>
      <c r="BH75" s="58">
        <f>IFERROR(IF($K75&lt;VLOOKUP(BF$2,$B:$H,7,0),IF(BJ$3=1,MIN($M75,BF75),IF(HLOOKUP(CONCATENATE("Balance",BJ$3-1),'Withdrawal Working'!$A$2:$CD$78,MATCH('Yoy WAR OG'!$J75,'Withdrawal Working'!$A$2:$A$78,0),FALSE)&gt;0,MIN(HLOOKUP(CONCATENATE("Balance",BJ$3-1),'Withdrawal Working'!$A$2:$CD$78,MATCH('Yoy WAR OG'!$J75,'Withdrawal Working'!$A$2:$A$78,0),0),BF75),0)),IF($K75=VLOOKUP(BF$2,$B:$H,7,0),BF75,)),0)</f>
        <v>0</v>
      </c>
      <c r="BI75" s="58" t="e">
        <f t="shared" ca="1" si="105"/>
        <v>#REF!</v>
      </c>
      <c r="BL75" s="450" t="e">
        <f t="shared" ca="1" si="84"/>
        <v>#REF!</v>
      </c>
      <c r="BM75" s="58" t="e">
        <f ca="1">(VLOOKUP(BL$2,$B$1:$F$32,5,0)*$L75)+(VLOOKUP($K75,'Withdrawal Working'!$AD:$AE,2,0)*(IFERROR(VLOOKUP(BL$2,$B$35:$C$42,2,0),0)))</f>
        <v>#REF!</v>
      </c>
      <c r="BN75" s="58">
        <f ca="1">IFERROR(IF($K75&lt;VLOOKUP(BL$2,$B:$H,7,0),IF(BP$3=1,MIN($M75,BL75),IF(HLOOKUP(CONCATENATE("Balance",BP$3-1),'Withdrawal Working'!$A$2:$CD$78,MATCH('Yoy WAR OG'!$J75,'Withdrawal Working'!$A$2:$A$78,0),FALSE)&gt;0,MIN(HLOOKUP(CONCATENATE("Balance",BP$3-1),'Withdrawal Working'!$A$2:$CD$78,MATCH('Yoy WAR OG'!$J75,'Withdrawal Working'!$A$2:$A$78,0),0),BL75),0)),IF($K75=VLOOKUP(BL$2,$B:$H,7,0),BL75,)),0)</f>
        <v>0</v>
      </c>
      <c r="BO75" s="58" t="e">
        <f t="shared" ca="1" si="106"/>
        <v>#REF!</v>
      </c>
      <c r="BR75" s="450" t="e">
        <f t="shared" ca="1" si="85"/>
        <v>#REF!</v>
      </c>
      <c r="BS75" s="58" t="e">
        <f ca="1">(VLOOKUP(BR$2,$B$1:$F$32,5,0)*$L75)+(VLOOKUP($K75,'Withdrawal Working'!$AD:$AE,2,0)*(IFERROR(VLOOKUP(BR$2,$B$35:$C$42,2,0),0)))</f>
        <v>#REF!</v>
      </c>
      <c r="BT75" s="58">
        <f ca="1">IFERROR(IF($K75&lt;VLOOKUP(BR$2,$B:$H,7,0),IF(BV$3=1,MIN($M75,BR75),IF(HLOOKUP(CONCATENATE("Balance",BV$3-1),'Withdrawal Working'!$A$2:$CD$78,MATCH('Yoy WAR OG'!$J75,'Withdrawal Working'!$A$2:$A$78,0),FALSE)&gt;0,MIN(HLOOKUP(CONCATENATE("Balance",BV$3-1),'Withdrawal Working'!$A$2:$CD$78,MATCH('Yoy WAR OG'!$J75,'Withdrawal Working'!$A$2:$A$78,0),0),BR75),0)),IF($K75=VLOOKUP(BR$2,$B:$H,7,0),BR75,)),0)</f>
        <v>0</v>
      </c>
      <c r="BU75" s="58" t="e">
        <f t="shared" ca="1" si="107"/>
        <v>#REF!</v>
      </c>
      <c r="BX75" s="450" t="e">
        <f t="shared" ca="1" si="86"/>
        <v>#REF!</v>
      </c>
      <c r="BY75" s="58" t="e">
        <f ca="1">(VLOOKUP(BX$2,$B$1:$F$32,5,0)*$L75)+(VLOOKUP($K75,'Withdrawal Working'!$AD:$AE,2,0)*(IFERROR(VLOOKUP(BX$2,$B$35:$C$42,2,0),0)))</f>
        <v>#REF!</v>
      </c>
      <c r="BZ75" s="58">
        <f ca="1">IFERROR(IF($K75&lt;VLOOKUP(BX$2,$B:$H,7,0),IF(CB$3=1,MIN($M75,BX75),IF(HLOOKUP(CONCATENATE("Balance",CB$3-1),'Withdrawal Working'!$A$2:$CD$78,MATCH('Yoy WAR OG'!$J75,'Withdrawal Working'!$A$2:$A$78,0),FALSE)&gt;0,MIN(HLOOKUP(CONCATENATE("Balance",CB$3-1),'Withdrawal Working'!$A$2:$CD$78,MATCH('Yoy WAR OG'!$J75,'Withdrawal Working'!$A$2:$A$78,0),0),BX75),0)),IF($K75=VLOOKUP(BX$2,$B:$H,7,0),BX75,)),0)</f>
        <v>0</v>
      </c>
      <c r="CA75" s="58" t="e">
        <f t="shared" ca="1" si="108"/>
        <v>#REF!</v>
      </c>
      <c r="CD75" s="450" t="e">
        <f t="shared" ca="1" si="87"/>
        <v>#REF!</v>
      </c>
      <c r="CE75" s="58" t="e">
        <f ca="1">(VLOOKUP(CD$2,$B$1:$F$32,5,0)*$L75)+(VLOOKUP($K75,'Withdrawal Working'!$AD:$AE,2,0)*(IFERROR(VLOOKUP(CD$2,$B$35:$C$42,2,0),0)))+SUMIFS('Key Life Events'!$I$3:$I$28,'Key Life Events'!$H$3:$H$28,"House",'Key Life Events'!$E$3:$E$28,'Yoy WAR OG'!K75)</f>
        <v>#REF!</v>
      </c>
      <c r="CF75" s="58">
        <f ca="1">IFERROR(IF($K75&lt;VLOOKUP(CD$2,$B:$H,7,0),IF(CH$3=1,MIN($M75,CD75),IF(HLOOKUP(CONCATENATE("Balance",CH$3-1),'Withdrawal Working'!$A$2:$CD$78,MATCH('Yoy WAR OG'!$J75,'Withdrawal Working'!$A$2:$A$78,0),FALSE)&gt;0,MIN(HLOOKUP(CONCATENATE("Balance",CH$3-1),'Withdrawal Working'!$A$2:$CD$78,MATCH('Yoy WAR OG'!$J75,'Withdrawal Working'!$A$2:$A$78,0),0),CD75),0)),IF($K75=VLOOKUP(CD$2,$B:$H,7,0),CD75,)),0)</f>
        <v>0</v>
      </c>
      <c r="CG75" s="58" t="e">
        <f t="shared" ca="1" si="109"/>
        <v>#REF!</v>
      </c>
      <c r="CJ75" s="450" t="e">
        <f t="shared" ca="1" si="88"/>
        <v>#REF!</v>
      </c>
      <c r="CK75" s="58" t="e">
        <f ca="1">(VLOOKUP(CJ$2,$B$1:$F$32,5,0)*$L75)+(VLOOKUP($K75,'Withdrawal Working'!$AD:$AE,2,0)*(IFERROR(VLOOKUP(CJ$2,$B$35:$C$42,2,0),0)))+SUMIFS('Key Life Events'!$I$3:$I$28,'Key Life Events'!$H$3:$H$28,"House2",'Key Life Events'!$E$3:$E$28,'Yoy WAR OG'!K75)</f>
        <v>#REF!</v>
      </c>
      <c r="CL75" s="58">
        <f ca="1">IF(IFERROR(IF($K75&lt;&gt;VLOOKUP(CJ$2,$B:$H,7,0),IF(CN$3=1,MIN($M75,CJ75),IF(HLOOKUP(CONCATENATE("Balance",CN$3-1),'Withdrawal Working'!$A$2:$CD$78,MATCH('Yoy WAR OG'!$J75,'Withdrawal Working'!$A$2:$A$78,0),FALSE)&gt;0,MIN(HLOOKUP(CONCATENATE("Balance",CN$3-1),'Withdrawal Working'!$A$2:$CD$78,MATCH('Yoy WAR OG'!$J75,'Withdrawal Working'!$A$2:$A$78,0),0),CJ75),0)),IF($K75=VLOOKUP(CJ$2,$B:$H,7,0),CJ75,)),0)&gt;0,CJ75,0)</f>
        <v>0</v>
      </c>
      <c r="CM75" s="58" t="e">
        <f t="shared" ca="1" si="110"/>
        <v>#REF!</v>
      </c>
      <c r="CP75" s="450" t="e">
        <f t="shared" ca="1" si="89"/>
        <v>#REF!</v>
      </c>
      <c r="CQ75" s="58" t="e">
        <f ca="1">(VLOOKUP(CP$2,$B$1:$F$32,5,0)*$L75)+(VLOOKUP($K75,'Withdrawal Working'!$AD:$AE,2,0)*(IFERROR(VLOOKUP(CP$2,$B$35:$C$42,2,0),0)))+SUMIFS('Key Life Events'!$I$3:$I$28,'Key Life Events'!$H$3:$H$28,"Land",'Key Life Events'!$E$3:$E$28,'Yoy WAR OG'!K75)</f>
        <v>#REF!</v>
      </c>
      <c r="CR75" s="58">
        <f ca="1">IFERROR(IF($K75&lt;VLOOKUP(CP$2,$B:$H,7,0),IF(CT$3=1,MIN($M75,CP75),IF(HLOOKUP(CONCATENATE("Balance",CT$3-1),'Withdrawal Working'!$A$2:$CD$78,MATCH('Yoy WAR OG'!$J75,'Withdrawal Working'!$A$2:$A$78,0),FALSE)&gt;0,MIN(HLOOKUP(CONCATENATE("Balance",CT$3-1),'Withdrawal Working'!$A$2:$CD$78,MATCH('Yoy WAR OG'!$J75,'Withdrawal Working'!$A$2:$A$78,0),0),CP75),0)),IF($K75=VLOOKUP(CP$2,$B:$H,7,0),CP75,)),0)</f>
        <v>0</v>
      </c>
      <c r="CS75" s="58" t="e">
        <f t="shared" ca="1" si="111"/>
        <v>#REF!</v>
      </c>
      <c r="CV75" s="450">
        <f t="shared" ca="1" si="90"/>
        <v>0</v>
      </c>
      <c r="CW75" s="58"/>
      <c r="CX75" s="58">
        <f ca="1">IFERROR(IF($K75&lt;VLOOKUP(CV$2,$B:$H,7,0),IF(CZ$3=1,MIN($M75,CV75),IF(HLOOKUP(CONCATENATE("Balance",CZ$3-1),'Withdrawal Working'!$A$2:$CD$78,MATCH('Yoy WAR OG'!$J75,'Withdrawal Working'!$A$2:$A$78,0),FALSE)&gt;0,MIN(HLOOKUP(CONCATENATE("Balance",CZ$3-1),'Withdrawal Working'!$A$2:$CD$78,MATCH('Yoy WAR OG'!$J75,'Withdrawal Working'!$A$2:$A$78,0),0),CV75),0)),IF($K75=VLOOKUP(CV$2,$B:$H,7,0),CV75,)),0)</f>
        <v>0</v>
      </c>
      <c r="CY75" s="58">
        <f t="shared" ca="1" si="112"/>
        <v>0</v>
      </c>
      <c r="DB75" s="450" t="e">
        <f t="shared" ca="1" si="91"/>
        <v>#REF!</v>
      </c>
      <c r="DC75" s="58" t="e">
        <f ca="1">(VLOOKUP(DB$2,$B$1:$F$32,5,0)*$L75)+(VLOOKUP($K75,'Withdrawal Working'!$AD:$AE,2,0)*(IFERROR(VLOOKUP(DB$2,$B$35:$C$42,2,0),0)))</f>
        <v>#REF!</v>
      </c>
      <c r="DD75" s="58">
        <f ca="1">IFERROR(IF($K75&lt;VLOOKUP(DB$2,$B:$H,7,0),IF(DF$3=1,MIN($M75,DB75),IF(HLOOKUP(CONCATENATE("Balance",DF$3-1),'Withdrawal Working'!$A$2:$CD$78,MATCH('Yoy WAR OG'!$J75,'Withdrawal Working'!$A$2:$A$78,0),FALSE)&gt;0,MIN(HLOOKUP(CONCATENATE("Balance",DF$3-1),'Withdrawal Working'!$A$2:$CD$78,MATCH('Yoy WAR OG'!$J75,'Withdrawal Working'!$A$2:$A$78,0),0),DB75),0)),IF($K75=VLOOKUP(DB$2,$B:$H,7,0),DB75,)),0)</f>
        <v>0</v>
      </c>
      <c r="DE75" s="58" t="e">
        <f t="shared" ca="1" si="113"/>
        <v>#REF!</v>
      </c>
      <c r="DH75" s="450">
        <f t="shared" ca="1" si="92"/>
        <v>0</v>
      </c>
      <c r="DI75" s="58">
        <f>IF(OR(J75&gt;'NWGC - SCENARIOS'!$D$7,J75='NWGC - SCENARIOS'!$D$7),0,DI74*(1+'NWGC - SCENARIOS'!$L$5))</f>
        <v>0</v>
      </c>
      <c r="DJ75" s="58">
        <f ca="1">IFERROR(IF($K75&lt;VLOOKUP(DH$2,$B:$H,7,0),IF(DL$3=1,MIN($M75,DH75),IF(HLOOKUP(CONCATENATE("Balance",DL$3-1),'Withdrawal Working'!$A$2:$CD$78,MATCH('Yoy WAR OG'!$J75,'Withdrawal Working'!$A$2:$A$78,0),FALSE)&gt;0,MIN(HLOOKUP(CONCATENATE("Balance",DL$3-1),'Withdrawal Working'!$A$2:$CD$78,MATCH('Yoy WAR OG'!$J75,'Withdrawal Working'!$A$2:$A$78,0),0),DH75),0)),IF($K75=VLOOKUP(DH$2,$B:$H,7,0),DH75,)),0)</f>
        <v>0</v>
      </c>
      <c r="DK75" s="58">
        <f t="shared" ca="1" si="114"/>
        <v>0</v>
      </c>
      <c r="DN75" s="450" t="e">
        <f t="shared" ca="1" si="93"/>
        <v>#REF!</v>
      </c>
      <c r="DO75" s="58" t="e">
        <f ca="1">(VLOOKUP(DN$2,$B$1:$F$32,5,0)*$L75)+(VLOOKUP($K75,'Withdrawal Working'!$AD:$AE,2,0)*(IFERROR(VLOOKUP(DN$2,$B$35:$C$42,2,0),0)))</f>
        <v>#REF!</v>
      </c>
      <c r="DP75" s="58">
        <f ca="1">IFERROR(IF($K75&lt;VLOOKUP(DN$2,$B:$H,7,0),IF(DR$3=1,MIN($M75,DN75),IF(HLOOKUP(CONCATENATE("Balance",DR$3-1),'Withdrawal Working'!$A$2:$CD$78,MATCH('Yoy WAR OG'!$J75,'Withdrawal Working'!$A$2:$A$78,0),FALSE)&gt;0,MIN(HLOOKUP(CONCATENATE("Balance",DR$3-1),'Withdrawal Working'!$A$2:$CD$78,MATCH('Yoy WAR OG'!$J75,'Withdrawal Working'!$A$2:$A$78,0),0),DN75),0)),IF($K75=VLOOKUP(DN$2,$B:$H,7,0),DN75,)),0)</f>
        <v>0</v>
      </c>
      <c r="DQ75" s="58" t="e">
        <f t="shared" ca="1" si="115"/>
        <v>#REF!</v>
      </c>
      <c r="DT75" s="450" t="e">
        <f t="shared" ca="1" si="94"/>
        <v>#REF!</v>
      </c>
      <c r="DU75" s="58" t="e">
        <f ca="1">(VLOOKUP(DT$2,$B$1:$F$32,5,0)*$L75)+(VLOOKUP($K75,'Withdrawal Working'!$AD:$AE,2,0)*(IFERROR(VLOOKUP(DT$2,$B$35:$C$42,2,0),0)))</f>
        <v>#REF!</v>
      </c>
      <c r="DV75" s="58">
        <f ca="1">IFERROR(IF($K75&lt;VLOOKUP(DT$2,$B:$H,7,0),IF(DX$3=1,MIN($M75,DT75),IF(HLOOKUP(CONCATENATE("Balance",DX$3-1),'Withdrawal Working'!$A$2:$CD$78,MATCH('Yoy WAR OG'!$J75,'Withdrawal Working'!$A$2:$A$78,0),FALSE)&gt;0,MIN(HLOOKUP(CONCATENATE("Balance",DX$3-1),'Withdrawal Working'!$A$2:$CD$78,MATCH('Yoy WAR OG'!$J75,'Withdrawal Working'!$A$2:$A$78,0),0),DT75),0)),IF($K75=VLOOKUP(DT$2,$B:$H,7,0),DT75,)),0)</f>
        <v>0</v>
      </c>
      <c r="DW75" s="58" t="e">
        <f t="shared" ca="1" si="116"/>
        <v>#REF!</v>
      </c>
      <c r="DZ75" s="450" t="e">
        <f t="shared" ca="1" si="95"/>
        <v>#REF!</v>
      </c>
      <c r="EA75" s="58" t="e">
        <f ca="1">(VLOOKUP(DZ$2,$B$1:$F$32,5,0)*$L75)+(VLOOKUP($K75,'Withdrawal Working'!$AD:$AE,2,0)*(IFERROR(VLOOKUP(DZ$2,$B$35:$C$42,2,0),0)))</f>
        <v>#REF!</v>
      </c>
      <c r="EB75" s="58">
        <f ca="1">IFERROR(IF($K75&lt;VLOOKUP(DZ$2,$B:$H,7,0),IF(ED$3=1,MIN($M75,DZ75),IF(HLOOKUP(CONCATENATE("Balance",ED$3-1),'Withdrawal Working'!$A$2:$CD$78,MATCH('Yoy WAR OG'!$J75,'Withdrawal Working'!$A$2:$A$78,0),FALSE)&gt;0,MIN(HLOOKUP(CONCATENATE("Balance",ED$3-1),'Withdrawal Working'!$A$2:$CD$78,MATCH('Yoy WAR OG'!$J75,'Withdrawal Working'!$A$2:$A$78,0),0),DZ75),0)),IF($K75=VLOOKUP(DZ$2,$B:$H,7,0),DZ75,)),0)</f>
        <v>0</v>
      </c>
      <c r="EC75" s="58" t="e">
        <f t="shared" ca="1" si="117"/>
        <v>#REF!</v>
      </c>
      <c r="EF75" s="450" t="e">
        <f t="shared" ca="1" si="96"/>
        <v>#REF!</v>
      </c>
      <c r="EG75" s="58" t="e">
        <f ca="1">(VLOOKUP(EF$2,$B$1:$F$32,5,0)*$L75)+(VLOOKUP($K75,'Withdrawal Working'!$AD:$AE,2,0)*(IFERROR(VLOOKUP(EF$2,$B$35:$C$42,2,0),0)))</f>
        <v>#REF!</v>
      </c>
      <c r="EH75" s="58">
        <f ca="1">IFERROR(IF($K75&lt;VLOOKUP(EF$2,$B:$H,7,0),IF(EJ$3=1,MIN($M75,EF75),IF(HLOOKUP(CONCATENATE("Balance",EJ$3-1),'Withdrawal Working'!$A$2:$CD$78,MATCH('Yoy WAR OG'!$J75,'Withdrawal Working'!$A$2:$A$78,0),FALSE)&gt;0,MIN(HLOOKUP(CONCATENATE("Balance",EJ$3-1),'Withdrawal Working'!$A$2:$CD$78,MATCH('Yoy WAR OG'!$J75,'Withdrawal Working'!$A$2:$A$78,0),0),EF75),0)),IF($K75=VLOOKUP(EF$2,$B:$H,7,0),EF75,)),0)</f>
        <v>0</v>
      </c>
      <c r="EI75" s="58" t="e">
        <f t="shared" ca="1" si="118"/>
        <v>#REF!</v>
      </c>
      <c r="EL75" s="450">
        <f t="shared" ca="1" si="97"/>
        <v>0</v>
      </c>
      <c r="EM75" s="58">
        <f>IF(OR($J75&gt;'NWGC - SCENARIOS'!$D$7,$J75='NWGC - SCENARIOS'!$D$7),0,EM74)</f>
        <v>0</v>
      </c>
      <c r="EN75" s="58">
        <f ca="1">IFERROR(IF($K75&lt;VLOOKUP(EL$2,$B:$H,7,0),IF(EP$3=1,MIN($M75,EL75),IF(HLOOKUP(CONCATENATE("Balance",EP$3-1),'Withdrawal Working'!$A$2:$CD$78,MATCH('Yoy WAR OG'!$J75,'Withdrawal Working'!$A$2:$A$78,0),FALSE)&gt;0,MIN(HLOOKUP(CONCATENATE("Balance",EP$3-1),'Withdrawal Working'!$A$2:$CD$78,MATCH('Yoy WAR OG'!$J75,'Withdrawal Working'!$A$2:$A$78,0),0),EL75),0)),IF($K75=VLOOKUP(EL$2,$B:$H,7,0),EL75,)),0)</f>
        <v>0</v>
      </c>
      <c r="EO75" s="58">
        <f t="shared" ca="1" si="119"/>
        <v>0</v>
      </c>
      <c r="ER75" s="450">
        <f t="shared" ca="1" si="98"/>
        <v>0</v>
      </c>
      <c r="ES75" s="58">
        <f>IF(OR(J75&gt;'NWGC - SCENARIOS'!$D$7,J75='NWGC - SCENARIOS'!$D$7),0,ES74*(1+'NWGC - SCENARIOS'!$L$5))</f>
        <v>0</v>
      </c>
      <c r="ET75" s="58">
        <f ca="1">IFERROR(IF($K75&lt;VLOOKUP(ER$2,$B:$H,7,0),IF(EV$3=1,MIN($M75,ER75),IF(HLOOKUP(CONCATENATE("Balance",EV$3-1),'Withdrawal Working'!$A$2:$CD$78,MATCH('Yoy WAR OG'!$J75,'Withdrawal Working'!$A$2:$A$78,0),FALSE)&gt;0,MIN(HLOOKUP(CONCATENATE("Balance",EV$3-1),'Withdrawal Working'!$A$2:$CD$78,MATCH('Yoy WAR OG'!$J75,'Withdrawal Working'!$A$2:$A$78,0),0),ER75),0)),IF($K75=VLOOKUP(ER$2,$B:$H,7,0),ER75,)),0)</f>
        <v>0</v>
      </c>
      <c r="EU75" s="58">
        <f t="shared" ca="1" si="120"/>
        <v>0</v>
      </c>
      <c r="EX75" s="450">
        <f t="shared" ca="1" si="99"/>
        <v>0</v>
      </c>
      <c r="EY75" s="58">
        <f>IF(OR(J75&gt;'NWGC - SCENARIOS'!$D$7,J75='NWGC - SCENARIOS'!$D$7),0,EY74)</f>
        <v>0</v>
      </c>
      <c r="EZ75" s="58">
        <f ca="1">IFERROR(IF($K75&lt;VLOOKUP(EX$2,$B:$H,7,0),IF(FB$3=1,MIN($M75,EX75),IF(HLOOKUP(CONCATENATE("Balance",FB$3-1),'Withdrawal Working'!$A$2:$CD$78,MATCH('Yoy WAR OG'!$J75,'Withdrawal Working'!$A$2:$A$78,0),FALSE)&gt;0,MIN(HLOOKUP(CONCATENATE("Balance",FB$3-1),'Withdrawal Working'!$A$2:$CD$78,MATCH('Yoy WAR OG'!$J75,'Withdrawal Working'!$A$2:$A$78,0),0),EX75),0)),IF($K75=VLOOKUP(EX$2,$B:$H,7,0),EX75,)),0)</f>
        <v>0</v>
      </c>
      <c r="FA75" s="58">
        <f t="shared" ca="1" si="121"/>
        <v>0</v>
      </c>
    </row>
    <row r="76" spans="10:157" x14ac:dyDescent="0.3">
      <c r="J76">
        <f>IFERROR('NWGC - SCENARIOS'!#REF!,0)</f>
        <v>0</v>
      </c>
      <c r="K76">
        <f>IFERROR('NWGC - SCENARIOS'!#REF!,0)</f>
        <v>0</v>
      </c>
      <c r="L76" s="449" t="e">
        <f>IF(('NWGC - SCENARIOS'!#REF!-working!G74)&gt;'NWGC - SCENARIOS'!#REF!,'NWGC - SCENARIOS'!#REF!-'NWGC - SCENARIOS'!#REF!-working!G74,0)</f>
        <v>#REF!</v>
      </c>
      <c r="M76" s="449" t="e">
        <f>IF(('NWGC - SCENARIOS'!#REF!-working!G74)&gt;'NWGC - SCENARIOS'!#REF!,0,'NWGC - SCENARIOS'!#REF!-'NWGC - SCENARIOS'!#REF!+working!G74)</f>
        <v>#REF!</v>
      </c>
      <c r="N76" s="58" t="e">
        <f t="shared" ca="1" si="50"/>
        <v>#REF!</v>
      </c>
      <c r="O76" s="58" t="e">
        <f t="shared" ca="1" si="51"/>
        <v>#REF!</v>
      </c>
      <c r="P76" s="58" t="e">
        <f t="shared" ca="1" si="76"/>
        <v>#REF!</v>
      </c>
      <c r="Q76" s="58" t="e">
        <f ca="1">(VLOOKUP(P$2,$B$1:$F$32,5,0)*$L76)+(VLOOKUP($K76,'Withdrawal Working'!$AD:$AE,2,0)*(IFERROR(VLOOKUP(P$2,$B$35:$C$42,2,0),0)))</f>
        <v>#REF!</v>
      </c>
      <c r="R76" s="58">
        <f>IFERROR(IF($K76&lt;VLOOKUP(P$2,$B:$H,7,0),IF(T$3=1,MIN($M76,P76),IF(HLOOKUP(CONCATENATE("Balance",T$3-1),'Withdrawal Working'!$A$2:$CD$78,MATCH('Yoy WAR OG'!$J76,'Withdrawal Working'!$A$2:$A$78,0),FALSE)&gt;0,MIN(HLOOKUP(CONCATENATE("Balance",T$3-1),'Withdrawal Working'!$A$2:$CD$78,MATCH('Yoy WAR OG'!$J76,'Withdrawal Working'!$A$2:$A$78,0),0),P76),0)),IF($K76=VLOOKUP(P$2,$B:$H,7,0),P76,)),0)</f>
        <v>0</v>
      </c>
      <c r="S76" s="58" t="e">
        <f t="shared" ca="1" si="122"/>
        <v>#REF!</v>
      </c>
      <c r="T76" s="58"/>
      <c r="V76" s="58" t="e">
        <f t="shared" ca="1" si="77"/>
        <v>#REF!</v>
      </c>
      <c r="W76" s="58" t="e">
        <f ca="1">(VLOOKUP(V$2,$B$1:$F$32,5,0)*$L76)+(VLOOKUP($K76,'Withdrawal Working'!$AD:$AE,2,0)*(IFERROR(VLOOKUP(V$2,$B$35:$C$42,2,0),0)))</f>
        <v>#REF!</v>
      </c>
      <c r="X76" s="58">
        <f>IFERROR(IF($K76&lt;VLOOKUP(V$2,$B:$H,7,0),IF(Z$3=1,MIN($M76,V76),IF(HLOOKUP(CONCATENATE("Balance",Z$3-1),'Withdrawal Working'!$A$2:$CD$78,MATCH('Yoy WAR OG'!$J76,'Withdrawal Working'!$A$2:$A$78,0),FALSE)&gt;0,MIN(HLOOKUP(CONCATENATE("Balance",Z$3-1),'Withdrawal Working'!$A$2:$CD$78,MATCH('Yoy WAR OG'!$J76,'Withdrawal Working'!$A$2:$A$78,0),0),V76),0)),IF($K76=VLOOKUP(V$2,$B:$H,7,0),V76,)),0)</f>
        <v>0</v>
      </c>
      <c r="Y76" s="58" t="e">
        <f t="shared" ca="1" si="100"/>
        <v>#REF!</v>
      </c>
      <c r="AB76" s="58" t="e">
        <f t="shared" ca="1" si="78"/>
        <v>#REF!</v>
      </c>
      <c r="AC76" s="58" t="e">
        <f ca="1">(VLOOKUP(AB$2,$B$1:$F$32,5,0)*$L76)+(VLOOKUP($K76,'Withdrawal Working'!$AD:$AE,2,0)*(IFERROR(VLOOKUP(AB$2,$B$35:$C$42,2,0),0)))</f>
        <v>#REF!</v>
      </c>
      <c r="AE76" s="58" t="e">
        <f t="shared" ca="1" si="101"/>
        <v>#REF!</v>
      </c>
      <c r="AH76" s="58" t="e">
        <f t="shared" ca="1" si="79"/>
        <v>#REF!</v>
      </c>
      <c r="AI76" s="58" t="e">
        <f ca="1">(VLOOKUP(AH$2,$B$1:$F$32,5,0)*$L76)+IF(J76&gt;'NWGC - SCENARIOS'!$D$7,0,(VLOOKUP($K76,'Withdrawal Working'!$AD:$AE,2,0)*(IFERROR(VLOOKUP(AH$2,$B$35:$C$42,2,0),0))))</f>
        <v>#REF!</v>
      </c>
      <c r="AJ76" s="58">
        <f ca="1">IFERROR(IF($J76&gt;'NWGC - SCENARIOS'!$D$7,MIN('Yoy WAR OG'!AH76,VLOOKUP('Yoy WAR OG'!$J76,'Withdrawal Working'!BC:BD,2,0)),IF(AL$3=1,$M76,IF(HLOOKUP(CONCATENATE("Balance",AL$3-1),'Withdrawal Working'!$A$2:$CD$78,MATCH('Yoy WAR OG'!$J76,'Withdrawal Working'!$A$2:$A$78,0),FALSE)&gt;0,MIN(HLOOKUP(CONCATENATE("Balance",AL$3-1),'Withdrawal Working'!$A$2:$CD$78,MATCH('Yoy WAR OG'!$J76,'Withdrawal Working'!$A$2:$A$78,0),0),AH76),0))),0)</f>
        <v>0</v>
      </c>
      <c r="AK76" s="58" t="e">
        <f t="shared" ca="1" si="102"/>
        <v>#REF!</v>
      </c>
      <c r="AN76" s="450" t="e">
        <f t="shared" ca="1" si="80"/>
        <v>#REF!</v>
      </c>
      <c r="AO76" s="58" t="e">
        <f ca="1">IF(J76&gt;'NWGC - SCENARIOS'!$D$7,(IF(AJ76=0,0,'Yoy WAR OG'!AJ76)+(VLOOKUP(AN$2,$B$1:$F$32,5,0)*$L76)),(VLOOKUP(AN$2,$B$1:$F$32,5,0)*$L76)+(VLOOKUP($K76,'Withdrawal Working'!$AD:$AE,2,0)*(IFERROR(VLOOKUP(AN$2,$B$35:$C$42,2,0),0))))</f>
        <v>#REF!</v>
      </c>
      <c r="AP76" s="470">
        <f ca="1">IFERROR(IF($K76&lt;&gt;VLOOKUP(AN$2,$B:$H,7,0),IF(AR$3=1,MIN($M76,AN76),IF(HLOOKUP(CONCATENATE("Balance",AR$3-1),'Withdrawal Working'!$A$2:$CD$78,MATCH('Yoy WAR OG'!$J76,'Withdrawal Working'!$A$2:$A$78,0),FALSE)&gt;0,MIN(HLOOKUP(CONCATENATE("Balance",AR$3-1),'Withdrawal Working'!$A$2:$CD$78,MATCH('Yoy WAR OG'!$J76,'Withdrawal Working'!$A$2:$A$78,0),0),AN76),0)),IF($K76=VLOOKUP(AN$2,$B:$H,7,0),AN76,)),0)</f>
        <v>0</v>
      </c>
      <c r="AQ76" s="58" t="e">
        <f ca="1">IF(AO76&lt;0,0,IF(J76&gt;'NWGC - SCENARIOS'!$D$7,((AN76-AP76+AO76)*(1+(IFERROR(VLOOKUP(AN$2,$B:$D,3,0),0)))),((AN76-AP76)*(1+(IFERROR(VLOOKUP(AN$2,$B:$D,3,0),0))))+AO76))</f>
        <v>#REF!</v>
      </c>
      <c r="AT76" s="450" t="e">
        <f t="shared" ca="1" si="81"/>
        <v>#REF!</v>
      </c>
      <c r="AU76" s="58" t="e">
        <f ca="1">(VLOOKUP(AT$2,$B$1:$F$32,5,0)*$L76)+(VLOOKUP($K76,'Withdrawal Working'!$AD:$AE,2,0)*(IFERROR(VLOOKUP(AT$2,$B$35:$C$42,2,0),0)))</f>
        <v>#REF!</v>
      </c>
      <c r="AV76" s="58">
        <f>IFERROR(IF($K76&lt;VLOOKUP(AT$2,$B:$H,7,0),IF(AX$3=1,MIN($M76,AT76),IF(HLOOKUP(CONCATENATE("Balance",AX$3-1),'Withdrawal Working'!$A$2:$CD$78,MATCH('Yoy WAR OG'!$J76,'Withdrawal Working'!$A$2:$A$78,0),FALSE)&gt;0,MIN(HLOOKUP(CONCATENATE("Balance",AX$3-1),'Withdrawal Working'!$A$2:$CD$78,MATCH('Yoy WAR OG'!$J76,'Withdrawal Working'!$A$2:$A$78,0),0),AT76),0)),IF($K76=VLOOKUP(AT$2,$B:$H,7,0),AT76,)),0)</f>
        <v>0</v>
      </c>
      <c r="AW76" s="58" t="e">
        <f t="shared" ca="1" si="103"/>
        <v>#REF!</v>
      </c>
      <c r="AZ76" s="450" t="e">
        <f t="shared" ca="1" si="82"/>
        <v>#REF!</v>
      </c>
      <c r="BA76" s="58" t="e">
        <f ca="1">(VLOOKUP(AZ$2,$B$1:$F$32,5,0)*$L76)+(VLOOKUP($K76,'Withdrawal Working'!$AD:$AE,2,0)*(IFERROR(VLOOKUP(AZ$2,$B$35:$C$42,2,0),0)))</f>
        <v>#REF!</v>
      </c>
      <c r="BB76" s="58">
        <f ca="1">IFERROR(IF($K76&lt;VLOOKUP(AZ$2,$B:$H,7,0),IF(BD$3=1,MIN($M76,AZ76),IF(HLOOKUP(CONCATENATE("Balance",BD$3-1),'Withdrawal Working'!$A$2:$CD$78,MATCH('Yoy WAR OG'!$J76,'Withdrawal Working'!$A$2:$A$78,0),FALSE)&gt;0,MIN(HLOOKUP(CONCATENATE("Balance",BD$3-1),'Withdrawal Working'!$A$2:$CD$78,MATCH('Yoy WAR OG'!$J76,'Withdrawal Working'!$A$2:$A$78,0),0),AZ76),0)),IF($K76=VLOOKUP(AZ$2,$B:$H,7,0),AZ76,)),0)</f>
        <v>0</v>
      </c>
      <c r="BC76" s="58" t="e">
        <f t="shared" ca="1" si="104"/>
        <v>#REF!</v>
      </c>
      <c r="BF76" s="450" t="e">
        <f t="shared" ca="1" si="83"/>
        <v>#REF!</v>
      </c>
      <c r="BG76" s="58" t="e">
        <f ca="1">(VLOOKUP(BF$2,$B$1:$F$32,5,0)*$L76)+(VLOOKUP($K76,'Withdrawal Working'!$AD:$AE,2,0)*(IFERROR(VLOOKUP(BF$2,$B$35:$C$42,2,0),0)))</f>
        <v>#REF!</v>
      </c>
      <c r="BH76" s="58">
        <f>IFERROR(IF($K76&lt;VLOOKUP(BF$2,$B:$H,7,0),IF(BJ$3=1,MIN($M76,BF76),IF(HLOOKUP(CONCATENATE("Balance",BJ$3-1),'Withdrawal Working'!$A$2:$CD$78,MATCH('Yoy WAR OG'!$J76,'Withdrawal Working'!$A$2:$A$78,0),FALSE)&gt;0,MIN(HLOOKUP(CONCATENATE("Balance",BJ$3-1),'Withdrawal Working'!$A$2:$CD$78,MATCH('Yoy WAR OG'!$J76,'Withdrawal Working'!$A$2:$A$78,0),0),BF76),0)),IF($K76=VLOOKUP(BF$2,$B:$H,7,0),BF76,)),0)</f>
        <v>0</v>
      </c>
      <c r="BI76" s="58" t="e">
        <f t="shared" ca="1" si="105"/>
        <v>#REF!</v>
      </c>
      <c r="BL76" s="450" t="e">
        <f t="shared" ca="1" si="84"/>
        <v>#REF!</v>
      </c>
      <c r="BM76" s="58" t="e">
        <f ca="1">(VLOOKUP(BL$2,$B$1:$F$32,5,0)*$L76)+(VLOOKUP($K76,'Withdrawal Working'!$AD:$AE,2,0)*(IFERROR(VLOOKUP(BL$2,$B$35:$C$42,2,0),0)))</f>
        <v>#REF!</v>
      </c>
      <c r="BN76" s="58">
        <f ca="1">IFERROR(IF($K76&lt;VLOOKUP(BL$2,$B:$H,7,0),IF(BP$3=1,MIN($M76,BL76),IF(HLOOKUP(CONCATENATE("Balance",BP$3-1),'Withdrawal Working'!$A$2:$CD$78,MATCH('Yoy WAR OG'!$J76,'Withdrawal Working'!$A$2:$A$78,0),FALSE)&gt;0,MIN(HLOOKUP(CONCATENATE("Balance",BP$3-1),'Withdrawal Working'!$A$2:$CD$78,MATCH('Yoy WAR OG'!$J76,'Withdrawal Working'!$A$2:$A$78,0),0),BL76),0)),IF($K76=VLOOKUP(BL$2,$B:$H,7,0),BL76,)),0)</f>
        <v>0</v>
      </c>
      <c r="BO76" s="58" t="e">
        <f t="shared" ca="1" si="106"/>
        <v>#REF!</v>
      </c>
      <c r="BR76" s="450" t="e">
        <f t="shared" ca="1" si="85"/>
        <v>#REF!</v>
      </c>
      <c r="BS76" s="58" t="e">
        <f ca="1">(VLOOKUP(BR$2,$B$1:$F$32,5,0)*$L76)+(VLOOKUP($K76,'Withdrawal Working'!$AD:$AE,2,0)*(IFERROR(VLOOKUP(BR$2,$B$35:$C$42,2,0),0)))</f>
        <v>#REF!</v>
      </c>
      <c r="BT76" s="58">
        <f ca="1">IFERROR(IF($K76&lt;VLOOKUP(BR$2,$B:$H,7,0),IF(BV$3=1,MIN($M76,BR76),IF(HLOOKUP(CONCATENATE("Balance",BV$3-1),'Withdrawal Working'!$A$2:$CD$78,MATCH('Yoy WAR OG'!$J76,'Withdrawal Working'!$A$2:$A$78,0),FALSE)&gt;0,MIN(HLOOKUP(CONCATENATE("Balance",BV$3-1),'Withdrawal Working'!$A$2:$CD$78,MATCH('Yoy WAR OG'!$J76,'Withdrawal Working'!$A$2:$A$78,0),0),BR76),0)),IF($K76=VLOOKUP(BR$2,$B:$H,7,0),BR76,)),0)</f>
        <v>0</v>
      </c>
      <c r="BU76" s="58" t="e">
        <f t="shared" ca="1" si="107"/>
        <v>#REF!</v>
      </c>
      <c r="BX76" s="450" t="e">
        <f t="shared" ca="1" si="86"/>
        <v>#REF!</v>
      </c>
      <c r="BY76" s="58" t="e">
        <f ca="1">(VLOOKUP(BX$2,$B$1:$F$32,5,0)*$L76)+(VLOOKUP($K76,'Withdrawal Working'!$AD:$AE,2,0)*(IFERROR(VLOOKUP(BX$2,$B$35:$C$42,2,0),0)))</f>
        <v>#REF!</v>
      </c>
      <c r="BZ76" s="58">
        <f ca="1">IFERROR(IF($K76&lt;VLOOKUP(BX$2,$B:$H,7,0),IF(CB$3=1,MIN($M76,BX76),IF(HLOOKUP(CONCATENATE("Balance",CB$3-1),'Withdrawal Working'!$A$2:$CD$78,MATCH('Yoy WAR OG'!$J76,'Withdrawal Working'!$A$2:$A$78,0),FALSE)&gt;0,MIN(HLOOKUP(CONCATENATE("Balance",CB$3-1),'Withdrawal Working'!$A$2:$CD$78,MATCH('Yoy WAR OG'!$J76,'Withdrawal Working'!$A$2:$A$78,0),0),BX76),0)),IF($K76=VLOOKUP(BX$2,$B:$H,7,0),BX76,)),0)</f>
        <v>0</v>
      </c>
      <c r="CA76" s="58" t="e">
        <f t="shared" ca="1" si="108"/>
        <v>#REF!</v>
      </c>
      <c r="CD76" s="450" t="e">
        <f t="shared" ca="1" si="87"/>
        <v>#REF!</v>
      </c>
      <c r="CE76" s="58" t="e">
        <f ca="1">(VLOOKUP(CD$2,$B$1:$F$32,5,0)*$L76)+(VLOOKUP($K76,'Withdrawal Working'!$AD:$AE,2,0)*(IFERROR(VLOOKUP(CD$2,$B$35:$C$42,2,0),0)))+SUMIFS('Key Life Events'!$I$3:$I$28,'Key Life Events'!$H$3:$H$28,"House",'Key Life Events'!$E$3:$E$28,'Yoy WAR OG'!K76)</f>
        <v>#REF!</v>
      </c>
      <c r="CF76" s="58">
        <f ca="1">IFERROR(IF($K76&lt;VLOOKUP(CD$2,$B:$H,7,0),IF(CH$3=1,MIN($M76,CD76),IF(HLOOKUP(CONCATENATE("Balance",CH$3-1),'Withdrawal Working'!$A$2:$CD$78,MATCH('Yoy WAR OG'!$J76,'Withdrawal Working'!$A$2:$A$78,0),FALSE)&gt;0,MIN(HLOOKUP(CONCATENATE("Balance",CH$3-1),'Withdrawal Working'!$A$2:$CD$78,MATCH('Yoy WAR OG'!$J76,'Withdrawal Working'!$A$2:$A$78,0),0),CD76),0)),IF($K76=VLOOKUP(CD$2,$B:$H,7,0),CD76,)),0)</f>
        <v>0</v>
      </c>
      <c r="CG76" s="58" t="e">
        <f t="shared" ca="1" si="109"/>
        <v>#REF!</v>
      </c>
      <c r="CJ76" s="450" t="e">
        <f t="shared" ca="1" si="88"/>
        <v>#REF!</v>
      </c>
      <c r="CK76" s="58" t="e">
        <f ca="1">(VLOOKUP(CJ$2,$B$1:$F$32,5,0)*$L76)+(VLOOKUP($K76,'Withdrawal Working'!$AD:$AE,2,0)*(IFERROR(VLOOKUP(CJ$2,$B$35:$C$42,2,0),0)))+SUMIFS('Key Life Events'!$I$3:$I$28,'Key Life Events'!$H$3:$H$28,"House2",'Key Life Events'!$E$3:$E$28,'Yoy WAR OG'!K76)</f>
        <v>#REF!</v>
      </c>
      <c r="CL76" s="58">
        <f ca="1">IF(IFERROR(IF($K76&lt;&gt;VLOOKUP(CJ$2,$B:$H,7,0),IF(CN$3=1,MIN($M76,CJ76),IF(HLOOKUP(CONCATENATE("Balance",CN$3-1),'Withdrawal Working'!$A$2:$CD$78,MATCH('Yoy WAR OG'!$J76,'Withdrawal Working'!$A$2:$A$78,0),FALSE)&gt;0,MIN(HLOOKUP(CONCATENATE("Balance",CN$3-1),'Withdrawal Working'!$A$2:$CD$78,MATCH('Yoy WAR OG'!$J76,'Withdrawal Working'!$A$2:$A$78,0),0),CJ76),0)),IF($K76=VLOOKUP(CJ$2,$B:$H,7,0),CJ76,)),0)&gt;0,CJ76,0)</f>
        <v>0</v>
      </c>
      <c r="CM76" s="58" t="e">
        <f t="shared" ca="1" si="110"/>
        <v>#REF!</v>
      </c>
      <c r="CP76" s="450" t="e">
        <f t="shared" ca="1" si="89"/>
        <v>#REF!</v>
      </c>
      <c r="CQ76" s="58" t="e">
        <f ca="1">(VLOOKUP(CP$2,$B$1:$F$32,5,0)*$L76)+(VLOOKUP($K76,'Withdrawal Working'!$AD:$AE,2,0)*(IFERROR(VLOOKUP(CP$2,$B$35:$C$42,2,0),0)))+SUMIFS('Key Life Events'!$I$3:$I$28,'Key Life Events'!$H$3:$H$28,"Land",'Key Life Events'!$E$3:$E$28,'Yoy WAR OG'!K76)</f>
        <v>#REF!</v>
      </c>
      <c r="CR76" s="58">
        <f ca="1">IFERROR(IF($K76&lt;VLOOKUP(CP$2,$B:$H,7,0),IF(CT$3=1,MIN($M76,CP76),IF(HLOOKUP(CONCATENATE("Balance",CT$3-1),'Withdrawal Working'!$A$2:$CD$78,MATCH('Yoy WAR OG'!$J76,'Withdrawal Working'!$A$2:$A$78,0),FALSE)&gt;0,MIN(HLOOKUP(CONCATENATE("Balance",CT$3-1),'Withdrawal Working'!$A$2:$CD$78,MATCH('Yoy WAR OG'!$J76,'Withdrawal Working'!$A$2:$A$78,0),0),CP76),0)),IF($K76=VLOOKUP(CP$2,$B:$H,7,0),CP76,)),0)</f>
        <v>0</v>
      </c>
      <c r="CS76" s="58" t="e">
        <f t="shared" ca="1" si="111"/>
        <v>#REF!</v>
      </c>
      <c r="CV76" s="450">
        <f t="shared" ca="1" si="90"/>
        <v>0</v>
      </c>
      <c r="CW76" s="58"/>
      <c r="CX76" s="58">
        <f ca="1">IFERROR(IF($K76&lt;VLOOKUP(CV$2,$B:$H,7,0),IF(CZ$3=1,MIN($M76,CV76),IF(HLOOKUP(CONCATENATE("Balance",CZ$3-1),'Withdrawal Working'!$A$2:$CD$78,MATCH('Yoy WAR OG'!$J76,'Withdrawal Working'!$A$2:$A$78,0),FALSE)&gt;0,MIN(HLOOKUP(CONCATENATE("Balance",CZ$3-1),'Withdrawal Working'!$A$2:$CD$78,MATCH('Yoy WAR OG'!$J76,'Withdrawal Working'!$A$2:$A$78,0),0),CV76),0)),IF($K76=VLOOKUP(CV$2,$B:$H,7,0),CV76,)),0)</f>
        <v>0</v>
      </c>
      <c r="CY76" s="58">
        <f t="shared" ca="1" si="112"/>
        <v>0</v>
      </c>
      <c r="DB76" s="450" t="e">
        <f t="shared" ca="1" si="91"/>
        <v>#REF!</v>
      </c>
      <c r="DC76" s="58" t="e">
        <f ca="1">(VLOOKUP(DB$2,$B$1:$F$32,5,0)*$L76)+(VLOOKUP($K76,'Withdrawal Working'!$AD:$AE,2,0)*(IFERROR(VLOOKUP(DB$2,$B$35:$C$42,2,0),0)))</f>
        <v>#REF!</v>
      </c>
      <c r="DD76" s="58">
        <f ca="1">IFERROR(IF($K76&lt;VLOOKUP(DB$2,$B:$H,7,0),IF(DF$3=1,MIN($M76,DB76),IF(HLOOKUP(CONCATENATE("Balance",DF$3-1),'Withdrawal Working'!$A$2:$CD$78,MATCH('Yoy WAR OG'!$J76,'Withdrawal Working'!$A$2:$A$78,0),FALSE)&gt;0,MIN(HLOOKUP(CONCATENATE("Balance",DF$3-1),'Withdrawal Working'!$A$2:$CD$78,MATCH('Yoy WAR OG'!$J76,'Withdrawal Working'!$A$2:$A$78,0),0),DB76),0)),IF($K76=VLOOKUP(DB$2,$B:$H,7,0),DB76,)),0)</f>
        <v>0</v>
      </c>
      <c r="DE76" s="58" t="e">
        <f t="shared" ca="1" si="113"/>
        <v>#REF!</v>
      </c>
      <c r="DH76" s="450">
        <f t="shared" ca="1" si="92"/>
        <v>0</v>
      </c>
      <c r="DI76" s="58">
        <f>IF(OR(J76&gt;'NWGC - SCENARIOS'!$D$7,J76='NWGC - SCENARIOS'!$D$7),0,DI75*(1+'NWGC - SCENARIOS'!$L$5))</f>
        <v>0</v>
      </c>
      <c r="DJ76" s="58">
        <f ca="1">IFERROR(IF($K76&lt;VLOOKUP(DH$2,$B:$H,7,0),IF(DL$3=1,MIN($M76,DH76),IF(HLOOKUP(CONCATENATE("Balance",DL$3-1),'Withdrawal Working'!$A$2:$CD$78,MATCH('Yoy WAR OG'!$J76,'Withdrawal Working'!$A$2:$A$78,0),FALSE)&gt;0,MIN(HLOOKUP(CONCATENATE("Balance",DL$3-1),'Withdrawal Working'!$A$2:$CD$78,MATCH('Yoy WAR OG'!$J76,'Withdrawal Working'!$A$2:$A$78,0),0),DH76),0)),IF($K76=VLOOKUP(DH$2,$B:$H,7,0),DH76,)),0)</f>
        <v>0</v>
      </c>
      <c r="DK76" s="58">
        <f t="shared" ca="1" si="114"/>
        <v>0</v>
      </c>
      <c r="DN76" s="450" t="e">
        <f t="shared" ca="1" si="93"/>
        <v>#REF!</v>
      </c>
      <c r="DO76" s="58" t="e">
        <f ca="1">(VLOOKUP(DN$2,$B$1:$F$32,5,0)*$L76)+(VLOOKUP($K76,'Withdrawal Working'!$AD:$AE,2,0)*(IFERROR(VLOOKUP(DN$2,$B$35:$C$42,2,0),0)))</f>
        <v>#REF!</v>
      </c>
      <c r="DP76" s="58">
        <f ca="1">IFERROR(IF($K76&lt;VLOOKUP(DN$2,$B:$H,7,0),IF(DR$3=1,MIN($M76,DN76),IF(HLOOKUP(CONCATENATE("Balance",DR$3-1),'Withdrawal Working'!$A$2:$CD$78,MATCH('Yoy WAR OG'!$J76,'Withdrawal Working'!$A$2:$A$78,0),FALSE)&gt;0,MIN(HLOOKUP(CONCATENATE("Balance",DR$3-1),'Withdrawal Working'!$A$2:$CD$78,MATCH('Yoy WAR OG'!$J76,'Withdrawal Working'!$A$2:$A$78,0),0),DN76),0)),IF($K76=VLOOKUP(DN$2,$B:$H,7,0),DN76,)),0)</f>
        <v>0</v>
      </c>
      <c r="DQ76" s="58" t="e">
        <f t="shared" ca="1" si="115"/>
        <v>#REF!</v>
      </c>
      <c r="DT76" s="450" t="e">
        <f t="shared" ca="1" si="94"/>
        <v>#REF!</v>
      </c>
      <c r="DU76" s="58" t="e">
        <f ca="1">(VLOOKUP(DT$2,$B$1:$F$32,5,0)*$L76)+(VLOOKUP($K76,'Withdrawal Working'!$AD:$AE,2,0)*(IFERROR(VLOOKUP(DT$2,$B$35:$C$42,2,0),0)))</f>
        <v>#REF!</v>
      </c>
      <c r="DV76" s="58">
        <f ca="1">IFERROR(IF($K76&lt;VLOOKUP(DT$2,$B:$H,7,0),IF(DX$3=1,MIN($M76,DT76),IF(HLOOKUP(CONCATENATE("Balance",DX$3-1),'Withdrawal Working'!$A$2:$CD$78,MATCH('Yoy WAR OG'!$J76,'Withdrawal Working'!$A$2:$A$78,0),FALSE)&gt;0,MIN(HLOOKUP(CONCATENATE("Balance",DX$3-1),'Withdrawal Working'!$A$2:$CD$78,MATCH('Yoy WAR OG'!$J76,'Withdrawal Working'!$A$2:$A$78,0),0),DT76),0)),IF($K76=VLOOKUP(DT$2,$B:$H,7,0),DT76,)),0)</f>
        <v>0</v>
      </c>
      <c r="DW76" s="58" t="e">
        <f t="shared" ca="1" si="116"/>
        <v>#REF!</v>
      </c>
      <c r="DZ76" s="450" t="e">
        <f t="shared" ca="1" si="95"/>
        <v>#REF!</v>
      </c>
      <c r="EA76" s="58" t="e">
        <f ca="1">(VLOOKUP(DZ$2,$B$1:$F$32,5,0)*$L76)+(VLOOKUP($K76,'Withdrawal Working'!$AD:$AE,2,0)*(IFERROR(VLOOKUP(DZ$2,$B$35:$C$42,2,0),0)))</f>
        <v>#REF!</v>
      </c>
      <c r="EB76" s="58">
        <f ca="1">IFERROR(IF($K76&lt;VLOOKUP(DZ$2,$B:$H,7,0),IF(ED$3=1,MIN($M76,DZ76),IF(HLOOKUP(CONCATENATE("Balance",ED$3-1),'Withdrawal Working'!$A$2:$CD$78,MATCH('Yoy WAR OG'!$J76,'Withdrawal Working'!$A$2:$A$78,0),FALSE)&gt;0,MIN(HLOOKUP(CONCATENATE("Balance",ED$3-1),'Withdrawal Working'!$A$2:$CD$78,MATCH('Yoy WAR OG'!$J76,'Withdrawal Working'!$A$2:$A$78,0),0),DZ76),0)),IF($K76=VLOOKUP(DZ$2,$B:$H,7,0),DZ76,)),0)</f>
        <v>0</v>
      </c>
      <c r="EC76" s="58" t="e">
        <f t="shared" ca="1" si="117"/>
        <v>#REF!</v>
      </c>
      <c r="EF76" s="450" t="e">
        <f t="shared" ca="1" si="96"/>
        <v>#REF!</v>
      </c>
      <c r="EG76" s="58" t="e">
        <f ca="1">(VLOOKUP(EF$2,$B$1:$F$32,5,0)*$L76)+(VLOOKUP($K76,'Withdrawal Working'!$AD:$AE,2,0)*(IFERROR(VLOOKUP(EF$2,$B$35:$C$42,2,0),0)))</f>
        <v>#REF!</v>
      </c>
      <c r="EH76" s="58">
        <f ca="1">IFERROR(IF($K76&lt;VLOOKUP(EF$2,$B:$H,7,0),IF(EJ$3=1,MIN($M76,EF76),IF(HLOOKUP(CONCATENATE("Balance",EJ$3-1),'Withdrawal Working'!$A$2:$CD$78,MATCH('Yoy WAR OG'!$J76,'Withdrawal Working'!$A$2:$A$78,0),FALSE)&gt;0,MIN(HLOOKUP(CONCATENATE("Balance",EJ$3-1),'Withdrawal Working'!$A$2:$CD$78,MATCH('Yoy WAR OG'!$J76,'Withdrawal Working'!$A$2:$A$78,0),0),EF76),0)),IF($K76=VLOOKUP(EF$2,$B:$H,7,0),EF76,)),0)</f>
        <v>0</v>
      </c>
      <c r="EI76" s="58" t="e">
        <f t="shared" ca="1" si="118"/>
        <v>#REF!</v>
      </c>
      <c r="EL76" s="450">
        <f t="shared" ca="1" si="97"/>
        <v>0</v>
      </c>
      <c r="EM76" s="58">
        <f>IF(OR($J76&gt;'NWGC - SCENARIOS'!$D$7,$J76='NWGC - SCENARIOS'!$D$7),0,EM75)</f>
        <v>0</v>
      </c>
      <c r="EN76" s="58">
        <f ca="1">IFERROR(IF($K76&lt;VLOOKUP(EL$2,$B:$H,7,0),IF(EP$3=1,MIN($M76,EL76),IF(HLOOKUP(CONCATENATE("Balance",EP$3-1),'Withdrawal Working'!$A$2:$CD$78,MATCH('Yoy WAR OG'!$J76,'Withdrawal Working'!$A$2:$A$78,0),FALSE)&gt;0,MIN(HLOOKUP(CONCATENATE("Balance",EP$3-1),'Withdrawal Working'!$A$2:$CD$78,MATCH('Yoy WAR OG'!$J76,'Withdrawal Working'!$A$2:$A$78,0),0),EL76),0)),IF($K76=VLOOKUP(EL$2,$B:$H,7,0),EL76,)),0)</f>
        <v>0</v>
      </c>
      <c r="EO76" s="58">
        <f t="shared" ca="1" si="119"/>
        <v>0</v>
      </c>
      <c r="ER76" s="450">
        <f t="shared" ca="1" si="98"/>
        <v>0</v>
      </c>
      <c r="ES76" s="58">
        <f>IF(OR(J76&gt;'NWGC - SCENARIOS'!$D$7,J76='NWGC - SCENARIOS'!$D$7),0,ES75*(1+'NWGC - SCENARIOS'!$L$5))</f>
        <v>0</v>
      </c>
      <c r="ET76" s="58">
        <f ca="1">IFERROR(IF($K76&lt;VLOOKUP(ER$2,$B:$H,7,0),IF(EV$3=1,MIN($M76,ER76),IF(HLOOKUP(CONCATENATE("Balance",EV$3-1),'Withdrawal Working'!$A$2:$CD$78,MATCH('Yoy WAR OG'!$J76,'Withdrawal Working'!$A$2:$A$78,0),FALSE)&gt;0,MIN(HLOOKUP(CONCATENATE("Balance",EV$3-1),'Withdrawal Working'!$A$2:$CD$78,MATCH('Yoy WAR OG'!$J76,'Withdrawal Working'!$A$2:$A$78,0),0),ER76),0)),IF($K76=VLOOKUP(ER$2,$B:$H,7,0),ER76,)),0)</f>
        <v>0</v>
      </c>
      <c r="EU76" s="58">
        <f t="shared" ca="1" si="120"/>
        <v>0</v>
      </c>
      <c r="EX76" s="450">
        <f t="shared" ca="1" si="99"/>
        <v>0</v>
      </c>
      <c r="EY76" s="58">
        <f>IF(OR(J76&gt;'NWGC - SCENARIOS'!$D$7,J76='NWGC - SCENARIOS'!$D$7),0,EY75)</f>
        <v>0</v>
      </c>
      <c r="EZ76" s="58">
        <f ca="1">IFERROR(IF($K76&lt;VLOOKUP(EX$2,$B:$H,7,0),IF(FB$3=1,MIN($M76,EX76),IF(HLOOKUP(CONCATENATE("Balance",FB$3-1),'Withdrawal Working'!$A$2:$CD$78,MATCH('Yoy WAR OG'!$J76,'Withdrawal Working'!$A$2:$A$78,0),FALSE)&gt;0,MIN(HLOOKUP(CONCATENATE("Balance",FB$3-1),'Withdrawal Working'!$A$2:$CD$78,MATCH('Yoy WAR OG'!$J76,'Withdrawal Working'!$A$2:$A$78,0),0),EX76),0)),IF($K76=VLOOKUP(EX$2,$B:$H,7,0),EX76,)),0)</f>
        <v>0</v>
      </c>
      <c r="FA76" s="58">
        <f t="shared" ca="1" si="121"/>
        <v>0</v>
      </c>
    </row>
    <row r="77" spans="10:157" x14ac:dyDescent="0.3">
      <c r="J77">
        <f>IFERROR('NWGC - SCENARIOS'!#REF!,0)</f>
        <v>0</v>
      </c>
      <c r="K77">
        <f>IFERROR('NWGC - SCENARIOS'!#REF!,0)</f>
        <v>0</v>
      </c>
      <c r="L77" s="449" t="e">
        <f>IF(('NWGC - SCENARIOS'!#REF!-working!G75)&gt;'NWGC - SCENARIOS'!#REF!,'NWGC - SCENARIOS'!#REF!-'NWGC - SCENARIOS'!#REF!-working!G75,0)</f>
        <v>#REF!</v>
      </c>
      <c r="M77" s="449" t="e">
        <f>IF(('NWGC - SCENARIOS'!#REF!-working!G75)&gt;'NWGC - SCENARIOS'!#REF!,0,'NWGC - SCENARIOS'!#REF!-'NWGC - SCENARIOS'!#REF!+working!G75)</f>
        <v>#REF!</v>
      </c>
      <c r="N77" s="58" t="e">
        <f t="shared" ca="1" si="50"/>
        <v>#REF!</v>
      </c>
      <c r="O77" s="58" t="e">
        <f t="shared" ca="1" si="51"/>
        <v>#REF!</v>
      </c>
      <c r="P77" s="58" t="e">
        <f t="shared" ca="1" si="76"/>
        <v>#REF!</v>
      </c>
      <c r="Q77" s="58" t="e">
        <f ca="1">(VLOOKUP(P$2,$B$1:$F$32,5,0)*$L77)+(VLOOKUP($K77,'Withdrawal Working'!$AD:$AE,2,0)*(IFERROR(VLOOKUP(P$2,$B$35:$C$42,2,0),0)))</f>
        <v>#REF!</v>
      </c>
      <c r="R77" s="58">
        <f>IFERROR(IF($K77&lt;VLOOKUP(P$2,$B:$H,7,0),IF(T$3=1,MIN($M77,P77),IF(HLOOKUP(CONCATENATE("Balance",T$3-1),'Withdrawal Working'!$A$2:$CD$78,MATCH('Yoy WAR OG'!$J77,'Withdrawal Working'!$A$2:$A$78,0),FALSE)&gt;0,MIN(HLOOKUP(CONCATENATE("Balance",T$3-1),'Withdrawal Working'!$A$2:$CD$78,MATCH('Yoy WAR OG'!$J77,'Withdrawal Working'!$A$2:$A$78,0),0),P77),0)),IF($K77=VLOOKUP(P$2,$B:$H,7,0),P77,)),0)</f>
        <v>0</v>
      </c>
      <c r="S77" s="58" t="e">
        <f t="shared" ca="1" si="122"/>
        <v>#REF!</v>
      </c>
      <c r="T77" s="58"/>
      <c r="V77" s="58" t="e">
        <f t="shared" ca="1" si="77"/>
        <v>#REF!</v>
      </c>
      <c r="W77" s="58" t="e">
        <f ca="1">(VLOOKUP(V$2,$B$1:$F$32,5,0)*$L77)+(VLOOKUP($K77,'Withdrawal Working'!$AD:$AE,2,0)*(IFERROR(VLOOKUP(V$2,$B$35:$C$42,2,0),0)))</f>
        <v>#REF!</v>
      </c>
      <c r="X77" s="58">
        <f>IFERROR(IF($K77&lt;VLOOKUP(V$2,$B:$H,7,0),IF(Z$3=1,MIN($M77,V77),IF(HLOOKUP(CONCATENATE("Balance",Z$3-1),'Withdrawal Working'!$A$2:$CD$78,MATCH('Yoy WAR OG'!$J77,'Withdrawal Working'!$A$2:$A$78,0),FALSE)&gt;0,MIN(HLOOKUP(CONCATENATE("Balance",Z$3-1),'Withdrawal Working'!$A$2:$CD$78,MATCH('Yoy WAR OG'!$J77,'Withdrawal Working'!$A$2:$A$78,0),0),V77),0)),IF($K77=VLOOKUP(V$2,$B:$H,7,0),V77,)),0)</f>
        <v>0</v>
      </c>
      <c r="Y77" s="58" t="e">
        <f t="shared" ca="1" si="100"/>
        <v>#REF!</v>
      </c>
      <c r="AB77" s="58" t="e">
        <f t="shared" ca="1" si="78"/>
        <v>#REF!</v>
      </c>
      <c r="AC77" s="58" t="e">
        <f ca="1">(VLOOKUP(AB$2,$B$1:$F$32,5,0)*$L77)+(VLOOKUP($K77,'Withdrawal Working'!$AD:$AE,2,0)*(IFERROR(VLOOKUP(AB$2,$B$35:$C$42,2,0),0)))</f>
        <v>#REF!</v>
      </c>
      <c r="AE77" s="58" t="e">
        <f t="shared" ca="1" si="101"/>
        <v>#REF!</v>
      </c>
      <c r="AH77" s="58" t="e">
        <f t="shared" ca="1" si="79"/>
        <v>#REF!</v>
      </c>
      <c r="AI77" s="58" t="e">
        <f ca="1">(VLOOKUP(AH$2,$B$1:$F$32,5,0)*$L77)+IF(J77&gt;'NWGC - SCENARIOS'!$D$7,0,(VLOOKUP($K77,'Withdrawal Working'!$AD:$AE,2,0)*(IFERROR(VLOOKUP(AH$2,$B$35:$C$42,2,0),0))))</f>
        <v>#REF!</v>
      </c>
      <c r="AJ77" s="58">
        <f ca="1">IFERROR(IF($J77&gt;'NWGC - SCENARIOS'!$D$7,MIN('Yoy WAR OG'!AH77,VLOOKUP('Yoy WAR OG'!$J77,'Withdrawal Working'!BC:BD,2,0)),IF(AL$3=1,$M77,IF(HLOOKUP(CONCATENATE("Balance",AL$3-1),'Withdrawal Working'!$A$2:$CD$78,MATCH('Yoy WAR OG'!$J77,'Withdrawal Working'!$A$2:$A$78,0),FALSE)&gt;0,MIN(HLOOKUP(CONCATENATE("Balance",AL$3-1),'Withdrawal Working'!$A$2:$CD$78,MATCH('Yoy WAR OG'!$J77,'Withdrawal Working'!$A$2:$A$78,0),0),AH77),0))),0)</f>
        <v>0</v>
      </c>
      <c r="AK77" s="58" t="e">
        <f t="shared" ca="1" si="102"/>
        <v>#REF!</v>
      </c>
      <c r="AN77" s="450" t="e">
        <f t="shared" ca="1" si="80"/>
        <v>#REF!</v>
      </c>
      <c r="AO77" s="58" t="e">
        <f ca="1">IF(J77&gt;'NWGC - SCENARIOS'!$D$7,(IF(AJ77=0,0,'Yoy WAR OG'!AJ77)+(VLOOKUP(AN$2,$B$1:$F$32,5,0)*$L77)),(VLOOKUP(AN$2,$B$1:$F$32,5,0)*$L77)+(VLOOKUP($K77,'Withdrawal Working'!$AD:$AE,2,0)*(IFERROR(VLOOKUP(AN$2,$B$35:$C$42,2,0),0))))</f>
        <v>#REF!</v>
      </c>
      <c r="AP77" s="470">
        <f ca="1">IFERROR(IF($K77&lt;&gt;VLOOKUP(AN$2,$B:$H,7,0),IF(AR$3=1,MIN($M77,AN77),IF(HLOOKUP(CONCATENATE("Balance",AR$3-1),'Withdrawal Working'!$A$2:$CD$78,MATCH('Yoy WAR OG'!$J77,'Withdrawal Working'!$A$2:$A$78,0),FALSE)&gt;0,MIN(HLOOKUP(CONCATENATE("Balance",AR$3-1),'Withdrawal Working'!$A$2:$CD$78,MATCH('Yoy WAR OG'!$J77,'Withdrawal Working'!$A$2:$A$78,0),0),AN77),0)),IF($K77=VLOOKUP(AN$2,$B:$H,7,0),AN77,)),0)</f>
        <v>0</v>
      </c>
      <c r="AQ77" s="58" t="e">
        <f ca="1">IF(AO77&lt;0,0,IF(J77&gt;'NWGC - SCENARIOS'!$D$7,((AN77-AP77+AO77)*(1+(IFERROR(VLOOKUP(AN$2,$B:$D,3,0),0)))),((AN77-AP77)*(1+(IFERROR(VLOOKUP(AN$2,$B:$D,3,0),0))))+AO77))</f>
        <v>#REF!</v>
      </c>
      <c r="AT77" s="450" t="e">
        <f t="shared" ca="1" si="81"/>
        <v>#REF!</v>
      </c>
      <c r="AU77" s="58" t="e">
        <f ca="1">(VLOOKUP(AT$2,$B$1:$F$32,5,0)*$L77)+(VLOOKUP($K77,'Withdrawal Working'!$AD:$AE,2,0)*(IFERROR(VLOOKUP(AT$2,$B$35:$C$42,2,0),0)))</f>
        <v>#REF!</v>
      </c>
      <c r="AV77" s="58">
        <f>IFERROR(IF($K77&lt;VLOOKUP(AT$2,$B:$H,7,0),IF(AX$3=1,MIN($M77,AT77),IF(HLOOKUP(CONCATENATE("Balance",AX$3-1),'Withdrawal Working'!$A$2:$CD$78,MATCH('Yoy WAR OG'!$J77,'Withdrawal Working'!$A$2:$A$78,0),FALSE)&gt;0,MIN(HLOOKUP(CONCATENATE("Balance",AX$3-1),'Withdrawal Working'!$A$2:$CD$78,MATCH('Yoy WAR OG'!$J77,'Withdrawal Working'!$A$2:$A$78,0),0),AT77),0)),IF($K77=VLOOKUP(AT$2,$B:$H,7,0),AT77,)),0)</f>
        <v>0</v>
      </c>
      <c r="AW77" s="58" t="e">
        <f t="shared" ca="1" si="103"/>
        <v>#REF!</v>
      </c>
      <c r="AZ77" s="450" t="e">
        <f t="shared" ca="1" si="82"/>
        <v>#REF!</v>
      </c>
      <c r="BA77" s="58" t="e">
        <f ca="1">(VLOOKUP(AZ$2,$B$1:$F$32,5,0)*$L77)+(VLOOKUP($K77,'Withdrawal Working'!$AD:$AE,2,0)*(IFERROR(VLOOKUP(AZ$2,$B$35:$C$42,2,0),0)))</f>
        <v>#REF!</v>
      </c>
      <c r="BB77" s="58">
        <f ca="1">IFERROR(IF($K77&lt;VLOOKUP(AZ$2,$B:$H,7,0),IF(BD$3=1,MIN($M77,AZ77),IF(HLOOKUP(CONCATENATE("Balance",BD$3-1),'Withdrawal Working'!$A$2:$CD$78,MATCH('Yoy WAR OG'!$J77,'Withdrawal Working'!$A$2:$A$78,0),FALSE)&gt;0,MIN(HLOOKUP(CONCATENATE("Balance",BD$3-1),'Withdrawal Working'!$A$2:$CD$78,MATCH('Yoy WAR OG'!$J77,'Withdrawal Working'!$A$2:$A$78,0),0),AZ77),0)),IF($K77=VLOOKUP(AZ$2,$B:$H,7,0),AZ77,)),0)</f>
        <v>0</v>
      </c>
      <c r="BC77" s="58" t="e">
        <f t="shared" ca="1" si="104"/>
        <v>#REF!</v>
      </c>
      <c r="BF77" s="450" t="e">
        <f t="shared" ca="1" si="83"/>
        <v>#REF!</v>
      </c>
      <c r="BG77" s="58" t="e">
        <f ca="1">(VLOOKUP(BF$2,$B$1:$F$32,5,0)*$L77)+(VLOOKUP($K77,'Withdrawal Working'!$AD:$AE,2,0)*(IFERROR(VLOOKUP(BF$2,$B$35:$C$42,2,0),0)))</f>
        <v>#REF!</v>
      </c>
      <c r="BH77" s="58">
        <f>IFERROR(IF($K77&lt;VLOOKUP(BF$2,$B:$H,7,0),IF(BJ$3=1,MIN($M77,BF77),IF(HLOOKUP(CONCATENATE("Balance",BJ$3-1),'Withdrawal Working'!$A$2:$CD$78,MATCH('Yoy WAR OG'!$J77,'Withdrawal Working'!$A$2:$A$78,0),FALSE)&gt;0,MIN(HLOOKUP(CONCATENATE("Balance",BJ$3-1),'Withdrawal Working'!$A$2:$CD$78,MATCH('Yoy WAR OG'!$J77,'Withdrawal Working'!$A$2:$A$78,0),0),BF77),0)),IF($K77=VLOOKUP(BF$2,$B:$H,7,0),BF77,)),0)</f>
        <v>0</v>
      </c>
      <c r="BI77" s="58" t="e">
        <f t="shared" ca="1" si="105"/>
        <v>#REF!</v>
      </c>
      <c r="BL77" s="450" t="e">
        <f t="shared" ca="1" si="84"/>
        <v>#REF!</v>
      </c>
      <c r="BM77" s="58" t="e">
        <f ca="1">(VLOOKUP(BL$2,$B$1:$F$32,5,0)*$L77)+(VLOOKUP($K77,'Withdrawal Working'!$AD:$AE,2,0)*(IFERROR(VLOOKUP(BL$2,$B$35:$C$42,2,0),0)))</f>
        <v>#REF!</v>
      </c>
      <c r="BN77" s="58">
        <f ca="1">IFERROR(IF($K77&lt;VLOOKUP(BL$2,$B:$H,7,0),IF(BP$3=1,MIN($M77,BL77),IF(HLOOKUP(CONCATENATE("Balance",BP$3-1),'Withdrawal Working'!$A$2:$CD$78,MATCH('Yoy WAR OG'!$J77,'Withdrawal Working'!$A$2:$A$78,0),FALSE)&gt;0,MIN(HLOOKUP(CONCATENATE("Balance",BP$3-1),'Withdrawal Working'!$A$2:$CD$78,MATCH('Yoy WAR OG'!$J77,'Withdrawal Working'!$A$2:$A$78,0),0),BL77),0)),IF($K77=VLOOKUP(BL$2,$B:$H,7,0),BL77,)),0)</f>
        <v>0</v>
      </c>
      <c r="BO77" s="58" t="e">
        <f t="shared" ca="1" si="106"/>
        <v>#REF!</v>
      </c>
      <c r="BR77" s="450" t="e">
        <f t="shared" ca="1" si="85"/>
        <v>#REF!</v>
      </c>
      <c r="BS77" s="58" t="e">
        <f ca="1">(VLOOKUP(BR$2,$B$1:$F$32,5,0)*$L77)+(VLOOKUP($K77,'Withdrawal Working'!$AD:$AE,2,0)*(IFERROR(VLOOKUP(BR$2,$B$35:$C$42,2,0),0)))</f>
        <v>#REF!</v>
      </c>
      <c r="BT77" s="58">
        <f ca="1">IFERROR(IF($K77&lt;VLOOKUP(BR$2,$B:$H,7,0),IF(BV$3=1,MIN($M77,BR77),IF(HLOOKUP(CONCATENATE("Balance",BV$3-1),'Withdrawal Working'!$A$2:$CD$78,MATCH('Yoy WAR OG'!$J77,'Withdrawal Working'!$A$2:$A$78,0),FALSE)&gt;0,MIN(HLOOKUP(CONCATENATE("Balance",BV$3-1),'Withdrawal Working'!$A$2:$CD$78,MATCH('Yoy WAR OG'!$J77,'Withdrawal Working'!$A$2:$A$78,0),0),BR77),0)),IF($K77=VLOOKUP(BR$2,$B:$H,7,0),BR77,)),0)</f>
        <v>0</v>
      </c>
      <c r="BU77" s="58" t="e">
        <f t="shared" ca="1" si="107"/>
        <v>#REF!</v>
      </c>
      <c r="BX77" s="450" t="e">
        <f t="shared" ca="1" si="86"/>
        <v>#REF!</v>
      </c>
      <c r="BY77" s="58" t="e">
        <f ca="1">(VLOOKUP(BX$2,$B$1:$F$32,5,0)*$L77)+(VLOOKUP($K77,'Withdrawal Working'!$AD:$AE,2,0)*(IFERROR(VLOOKUP(BX$2,$B$35:$C$42,2,0),0)))</f>
        <v>#REF!</v>
      </c>
      <c r="BZ77" s="58">
        <f ca="1">IFERROR(IF($K77&lt;VLOOKUP(BX$2,$B:$H,7,0),IF(CB$3=1,MIN($M77,BX77),IF(HLOOKUP(CONCATENATE("Balance",CB$3-1),'Withdrawal Working'!$A$2:$CD$78,MATCH('Yoy WAR OG'!$J77,'Withdrawal Working'!$A$2:$A$78,0),FALSE)&gt;0,MIN(HLOOKUP(CONCATENATE("Balance",CB$3-1),'Withdrawal Working'!$A$2:$CD$78,MATCH('Yoy WAR OG'!$J77,'Withdrawal Working'!$A$2:$A$78,0),0),BX77),0)),IF($K77=VLOOKUP(BX$2,$B:$H,7,0),BX77,)),0)</f>
        <v>0</v>
      </c>
      <c r="CA77" s="58" t="e">
        <f t="shared" ca="1" si="108"/>
        <v>#REF!</v>
      </c>
      <c r="CD77" s="450" t="e">
        <f t="shared" ca="1" si="87"/>
        <v>#REF!</v>
      </c>
      <c r="CE77" s="58" t="e">
        <f ca="1">(VLOOKUP(CD$2,$B$1:$F$32,5,0)*$L77)+(VLOOKUP($K77,'Withdrawal Working'!$AD:$AE,2,0)*(IFERROR(VLOOKUP(CD$2,$B$35:$C$42,2,0),0)))+SUMIFS('Key Life Events'!$I$3:$I$28,'Key Life Events'!$H$3:$H$28,"House",'Key Life Events'!$E$3:$E$28,'Yoy WAR OG'!K77)</f>
        <v>#REF!</v>
      </c>
      <c r="CF77" s="58">
        <f ca="1">IFERROR(IF($K77&lt;VLOOKUP(CD$2,$B:$H,7,0),IF(CH$3=1,MIN($M77,CD77),IF(HLOOKUP(CONCATENATE("Balance",CH$3-1),'Withdrawal Working'!$A$2:$CD$78,MATCH('Yoy WAR OG'!$J77,'Withdrawal Working'!$A$2:$A$78,0),FALSE)&gt;0,MIN(HLOOKUP(CONCATENATE("Balance",CH$3-1),'Withdrawal Working'!$A$2:$CD$78,MATCH('Yoy WAR OG'!$J77,'Withdrawal Working'!$A$2:$A$78,0),0),CD77),0)),IF($K77=VLOOKUP(CD$2,$B:$H,7,0),CD77,)),0)</f>
        <v>0</v>
      </c>
      <c r="CG77" s="58" t="e">
        <f t="shared" ca="1" si="109"/>
        <v>#REF!</v>
      </c>
      <c r="CJ77" s="450" t="e">
        <f t="shared" ca="1" si="88"/>
        <v>#REF!</v>
      </c>
      <c r="CK77" s="58" t="e">
        <f ca="1">(VLOOKUP(CJ$2,$B$1:$F$32,5,0)*$L77)+(VLOOKUP($K77,'Withdrawal Working'!$AD:$AE,2,0)*(IFERROR(VLOOKUP(CJ$2,$B$35:$C$42,2,0),0)))+SUMIFS('Key Life Events'!$I$3:$I$28,'Key Life Events'!$H$3:$H$28,"House2",'Key Life Events'!$E$3:$E$28,'Yoy WAR OG'!K77)</f>
        <v>#REF!</v>
      </c>
      <c r="CL77" s="58">
        <f ca="1">IF(IFERROR(IF($K77&lt;&gt;VLOOKUP(CJ$2,$B:$H,7,0),IF(CN$3=1,MIN($M77,CJ77),IF(HLOOKUP(CONCATENATE("Balance",CN$3-1),'Withdrawal Working'!$A$2:$CD$78,MATCH('Yoy WAR OG'!$J77,'Withdrawal Working'!$A$2:$A$78,0),FALSE)&gt;0,MIN(HLOOKUP(CONCATENATE("Balance",CN$3-1),'Withdrawal Working'!$A$2:$CD$78,MATCH('Yoy WAR OG'!$J77,'Withdrawal Working'!$A$2:$A$78,0),0),CJ77),0)),IF($K77=VLOOKUP(CJ$2,$B:$H,7,0),CJ77,)),0)&gt;0,CJ77,0)</f>
        <v>0</v>
      </c>
      <c r="CM77" s="58" t="e">
        <f t="shared" ca="1" si="110"/>
        <v>#REF!</v>
      </c>
      <c r="CP77" s="450" t="e">
        <f t="shared" ca="1" si="89"/>
        <v>#REF!</v>
      </c>
      <c r="CQ77" s="58" t="e">
        <f ca="1">(VLOOKUP(CP$2,$B$1:$F$32,5,0)*$L77)+(VLOOKUP($K77,'Withdrawal Working'!$AD:$AE,2,0)*(IFERROR(VLOOKUP(CP$2,$B$35:$C$42,2,0),0)))+SUMIFS('Key Life Events'!$I$3:$I$28,'Key Life Events'!$H$3:$H$28,"Land",'Key Life Events'!$E$3:$E$28,'Yoy WAR OG'!K77)</f>
        <v>#REF!</v>
      </c>
      <c r="CR77" s="58">
        <f ca="1">IFERROR(IF($K77&lt;VLOOKUP(CP$2,$B:$H,7,0),IF(CT$3=1,MIN($M77,CP77),IF(HLOOKUP(CONCATENATE("Balance",CT$3-1),'Withdrawal Working'!$A$2:$CD$78,MATCH('Yoy WAR OG'!$J77,'Withdrawal Working'!$A$2:$A$78,0),FALSE)&gt;0,MIN(HLOOKUP(CONCATENATE("Balance",CT$3-1),'Withdrawal Working'!$A$2:$CD$78,MATCH('Yoy WAR OG'!$J77,'Withdrawal Working'!$A$2:$A$78,0),0),CP77),0)),IF($K77=VLOOKUP(CP$2,$B:$H,7,0),CP77,)),0)</f>
        <v>0</v>
      </c>
      <c r="CS77" s="58" t="e">
        <f t="shared" ca="1" si="111"/>
        <v>#REF!</v>
      </c>
      <c r="CV77" s="450">
        <f t="shared" ca="1" si="90"/>
        <v>0</v>
      </c>
      <c r="CW77" s="58"/>
      <c r="CX77" s="58">
        <f ca="1">IFERROR(IF($K77&lt;VLOOKUP(CV$2,$B:$H,7,0),IF(CZ$3=1,MIN($M77,CV77),IF(HLOOKUP(CONCATENATE("Balance",CZ$3-1),'Withdrawal Working'!$A$2:$CD$78,MATCH('Yoy WAR OG'!$J77,'Withdrawal Working'!$A$2:$A$78,0),FALSE)&gt;0,MIN(HLOOKUP(CONCATENATE("Balance",CZ$3-1),'Withdrawal Working'!$A$2:$CD$78,MATCH('Yoy WAR OG'!$J77,'Withdrawal Working'!$A$2:$A$78,0),0),CV77),0)),IF($K77=VLOOKUP(CV$2,$B:$H,7,0),CV77,)),0)</f>
        <v>0</v>
      </c>
      <c r="CY77" s="58">
        <f t="shared" ca="1" si="112"/>
        <v>0</v>
      </c>
      <c r="DB77" s="450" t="e">
        <f t="shared" ca="1" si="91"/>
        <v>#REF!</v>
      </c>
      <c r="DC77" s="58" t="e">
        <f ca="1">(VLOOKUP(DB$2,$B$1:$F$32,5,0)*$L77)+(VLOOKUP($K77,'Withdrawal Working'!$AD:$AE,2,0)*(IFERROR(VLOOKUP(DB$2,$B$35:$C$42,2,0),0)))</f>
        <v>#REF!</v>
      </c>
      <c r="DD77" s="58">
        <f ca="1">IFERROR(IF($K77&lt;VLOOKUP(DB$2,$B:$H,7,0),IF(DF$3=1,MIN($M77,DB77),IF(HLOOKUP(CONCATENATE("Balance",DF$3-1),'Withdrawal Working'!$A$2:$CD$78,MATCH('Yoy WAR OG'!$J77,'Withdrawal Working'!$A$2:$A$78,0),FALSE)&gt;0,MIN(HLOOKUP(CONCATENATE("Balance",DF$3-1),'Withdrawal Working'!$A$2:$CD$78,MATCH('Yoy WAR OG'!$J77,'Withdrawal Working'!$A$2:$A$78,0),0),DB77),0)),IF($K77=VLOOKUP(DB$2,$B:$H,7,0),DB77,)),0)</f>
        <v>0</v>
      </c>
      <c r="DE77" s="58" t="e">
        <f t="shared" ca="1" si="113"/>
        <v>#REF!</v>
      </c>
      <c r="DH77" s="450">
        <f t="shared" ca="1" si="92"/>
        <v>0</v>
      </c>
      <c r="DI77" s="58">
        <f>IF(OR(J77&gt;'NWGC - SCENARIOS'!$D$7,J77='NWGC - SCENARIOS'!$D$7),0,DI76*(1+'NWGC - SCENARIOS'!$L$5))</f>
        <v>0</v>
      </c>
      <c r="DJ77" s="58">
        <f ca="1">IFERROR(IF($K77&lt;VLOOKUP(DH$2,$B:$H,7,0),IF(DL$3=1,MIN($M77,DH77),IF(HLOOKUP(CONCATENATE("Balance",DL$3-1),'Withdrawal Working'!$A$2:$CD$78,MATCH('Yoy WAR OG'!$J77,'Withdrawal Working'!$A$2:$A$78,0),FALSE)&gt;0,MIN(HLOOKUP(CONCATENATE("Balance",DL$3-1),'Withdrawal Working'!$A$2:$CD$78,MATCH('Yoy WAR OG'!$J77,'Withdrawal Working'!$A$2:$A$78,0),0),DH77),0)),IF($K77=VLOOKUP(DH$2,$B:$H,7,0),DH77,)),0)</f>
        <v>0</v>
      </c>
      <c r="DK77" s="58">
        <f t="shared" ca="1" si="114"/>
        <v>0</v>
      </c>
      <c r="DN77" s="450" t="e">
        <f t="shared" ca="1" si="93"/>
        <v>#REF!</v>
      </c>
      <c r="DO77" s="58" t="e">
        <f ca="1">(VLOOKUP(DN$2,$B$1:$F$32,5,0)*$L77)+(VLOOKUP($K77,'Withdrawal Working'!$AD:$AE,2,0)*(IFERROR(VLOOKUP(DN$2,$B$35:$C$42,2,0),0)))</f>
        <v>#REF!</v>
      </c>
      <c r="DP77" s="58">
        <f ca="1">IFERROR(IF($K77&lt;VLOOKUP(DN$2,$B:$H,7,0),IF(DR$3=1,MIN($M77,DN77),IF(HLOOKUP(CONCATENATE("Balance",DR$3-1),'Withdrawal Working'!$A$2:$CD$78,MATCH('Yoy WAR OG'!$J77,'Withdrawal Working'!$A$2:$A$78,0),FALSE)&gt;0,MIN(HLOOKUP(CONCATENATE("Balance",DR$3-1),'Withdrawal Working'!$A$2:$CD$78,MATCH('Yoy WAR OG'!$J77,'Withdrawal Working'!$A$2:$A$78,0),0),DN77),0)),IF($K77=VLOOKUP(DN$2,$B:$H,7,0),DN77,)),0)</f>
        <v>0</v>
      </c>
      <c r="DQ77" s="58" t="e">
        <f t="shared" ca="1" si="115"/>
        <v>#REF!</v>
      </c>
      <c r="DT77" s="450" t="e">
        <f t="shared" ca="1" si="94"/>
        <v>#REF!</v>
      </c>
      <c r="DU77" s="58" t="e">
        <f ca="1">(VLOOKUP(DT$2,$B$1:$F$32,5,0)*$L77)+(VLOOKUP($K77,'Withdrawal Working'!$AD:$AE,2,0)*(IFERROR(VLOOKUP(DT$2,$B$35:$C$42,2,0),0)))</f>
        <v>#REF!</v>
      </c>
      <c r="DV77" s="58">
        <f ca="1">IFERROR(IF($K77&lt;VLOOKUP(DT$2,$B:$H,7,0),IF(DX$3=1,MIN($M77,DT77),IF(HLOOKUP(CONCATENATE("Balance",DX$3-1),'Withdrawal Working'!$A$2:$CD$78,MATCH('Yoy WAR OG'!$J77,'Withdrawal Working'!$A$2:$A$78,0),FALSE)&gt;0,MIN(HLOOKUP(CONCATENATE("Balance",DX$3-1),'Withdrawal Working'!$A$2:$CD$78,MATCH('Yoy WAR OG'!$J77,'Withdrawal Working'!$A$2:$A$78,0),0),DT77),0)),IF($K77=VLOOKUP(DT$2,$B:$H,7,0),DT77,)),0)</f>
        <v>0</v>
      </c>
      <c r="DW77" s="58" t="e">
        <f t="shared" ca="1" si="116"/>
        <v>#REF!</v>
      </c>
      <c r="DZ77" s="450" t="e">
        <f t="shared" ca="1" si="95"/>
        <v>#REF!</v>
      </c>
      <c r="EA77" s="58" t="e">
        <f ca="1">(VLOOKUP(DZ$2,$B$1:$F$32,5,0)*$L77)+(VLOOKUP($K77,'Withdrawal Working'!$AD:$AE,2,0)*(IFERROR(VLOOKUP(DZ$2,$B$35:$C$42,2,0),0)))</f>
        <v>#REF!</v>
      </c>
      <c r="EB77" s="58">
        <f ca="1">IFERROR(IF($K77&lt;VLOOKUP(DZ$2,$B:$H,7,0),IF(ED$3=1,MIN($M77,DZ77),IF(HLOOKUP(CONCATENATE("Balance",ED$3-1),'Withdrawal Working'!$A$2:$CD$78,MATCH('Yoy WAR OG'!$J77,'Withdrawal Working'!$A$2:$A$78,0),FALSE)&gt;0,MIN(HLOOKUP(CONCATENATE("Balance",ED$3-1),'Withdrawal Working'!$A$2:$CD$78,MATCH('Yoy WAR OG'!$J77,'Withdrawal Working'!$A$2:$A$78,0),0),DZ77),0)),IF($K77=VLOOKUP(DZ$2,$B:$H,7,0),DZ77,)),0)</f>
        <v>0</v>
      </c>
      <c r="EC77" s="58" t="e">
        <f t="shared" ca="1" si="117"/>
        <v>#REF!</v>
      </c>
      <c r="EF77" s="450" t="e">
        <f t="shared" ca="1" si="96"/>
        <v>#REF!</v>
      </c>
      <c r="EG77" s="58" t="e">
        <f ca="1">(VLOOKUP(EF$2,$B$1:$F$32,5,0)*$L77)+(VLOOKUP($K77,'Withdrawal Working'!$AD:$AE,2,0)*(IFERROR(VLOOKUP(EF$2,$B$35:$C$42,2,0),0)))</f>
        <v>#REF!</v>
      </c>
      <c r="EH77" s="58">
        <f ca="1">IFERROR(IF($K77&lt;VLOOKUP(EF$2,$B:$H,7,0),IF(EJ$3=1,MIN($M77,EF77),IF(HLOOKUP(CONCATENATE("Balance",EJ$3-1),'Withdrawal Working'!$A$2:$CD$78,MATCH('Yoy WAR OG'!$J77,'Withdrawal Working'!$A$2:$A$78,0),FALSE)&gt;0,MIN(HLOOKUP(CONCATENATE("Balance",EJ$3-1),'Withdrawal Working'!$A$2:$CD$78,MATCH('Yoy WAR OG'!$J77,'Withdrawal Working'!$A$2:$A$78,0),0),EF77),0)),IF($K77=VLOOKUP(EF$2,$B:$H,7,0),EF77,)),0)</f>
        <v>0</v>
      </c>
      <c r="EI77" s="58" t="e">
        <f t="shared" ca="1" si="118"/>
        <v>#REF!</v>
      </c>
      <c r="EL77" s="450">
        <f t="shared" ca="1" si="97"/>
        <v>0</v>
      </c>
      <c r="EM77" s="58">
        <f>IF(OR($J77&gt;'NWGC - SCENARIOS'!$D$7,$J77='NWGC - SCENARIOS'!$D$7),0,EM76)</f>
        <v>0</v>
      </c>
      <c r="EN77" s="58">
        <f ca="1">IFERROR(IF($K77&lt;VLOOKUP(EL$2,$B:$H,7,0),IF(EP$3=1,MIN($M77,EL77),IF(HLOOKUP(CONCATENATE("Balance",EP$3-1),'Withdrawal Working'!$A$2:$CD$78,MATCH('Yoy WAR OG'!$J77,'Withdrawal Working'!$A$2:$A$78,0),FALSE)&gt;0,MIN(HLOOKUP(CONCATENATE("Balance",EP$3-1),'Withdrawal Working'!$A$2:$CD$78,MATCH('Yoy WAR OG'!$J77,'Withdrawal Working'!$A$2:$A$78,0),0),EL77),0)),IF($K77=VLOOKUP(EL$2,$B:$H,7,0),EL77,)),0)</f>
        <v>0</v>
      </c>
      <c r="EO77" s="58">
        <f t="shared" ca="1" si="119"/>
        <v>0</v>
      </c>
      <c r="ER77" s="450">
        <f t="shared" ca="1" si="98"/>
        <v>0</v>
      </c>
      <c r="ES77" s="58">
        <f>IF(OR(J77&gt;'NWGC - SCENARIOS'!$D$7,J77='NWGC - SCENARIOS'!$D$7),0,ES76*(1+'NWGC - SCENARIOS'!$L$5))</f>
        <v>0</v>
      </c>
      <c r="ET77" s="58">
        <f ca="1">IFERROR(IF($K77&lt;VLOOKUP(ER$2,$B:$H,7,0),IF(EV$3=1,MIN($M77,ER77),IF(HLOOKUP(CONCATENATE("Balance",EV$3-1),'Withdrawal Working'!$A$2:$CD$78,MATCH('Yoy WAR OG'!$J77,'Withdrawal Working'!$A$2:$A$78,0),FALSE)&gt;0,MIN(HLOOKUP(CONCATENATE("Balance",EV$3-1),'Withdrawal Working'!$A$2:$CD$78,MATCH('Yoy WAR OG'!$J77,'Withdrawal Working'!$A$2:$A$78,0),0),ER77),0)),IF($K77=VLOOKUP(ER$2,$B:$H,7,0),ER77,)),0)</f>
        <v>0</v>
      </c>
      <c r="EU77" s="58">
        <f t="shared" ca="1" si="120"/>
        <v>0</v>
      </c>
      <c r="EX77" s="450">
        <f t="shared" ca="1" si="99"/>
        <v>0</v>
      </c>
      <c r="EY77" s="58">
        <f>IF(OR(J77&gt;'NWGC - SCENARIOS'!$D$7,J77='NWGC - SCENARIOS'!$D$7),0,EY76)</f>
        <v>0</v>
      </c>
      <c r="EZ77" s="58">
        <f ca="1">IFERROR(IF($K77&lt;VLOOKUP(EX$2,$B:$H,7,0),IF(FB$3=1,MIN($M77,EX77),IF(HLOOKUP(CONCATENATE("Balance",FB$3-1),'Withdrawal Working'!$A$2:$CD$78,MATCH('Yoy WAR OG'!$J77,'Withdrawal Working'!$A$2:$A$78,0),FALSE)&gt;0,MIN(HLOOKUP(CONCATENATE("Balance",FB$3-1),'Withdrawal Working'!$A$2:$CD$78,MATCH('Yoy WAR OG'!$J77,'Withdrawal Working'!$A$2:$A$78,0),0),EX77),0)),IF($K77=VLOOKUP(EX$2,$B:$H,7,0),EX77,)),0)</f>
        <v>0</v>
      </c>
      <c r="FA77" s="58">
        <f t="shared" ca="1" si="121"/>
        <v>0</v>
      </c>
    </row>
    <row r="78" spans="10:157" x14ac:dyDescent="0.3">
      <c r="J78">
        <f>IFERROR('NWGC - SCENARIOS'!#REF!,0)</f>
        <v>0</v>
      </c>
      <c r="K78">
        <f>IFERROR('NWGC - SCENARIOS'!#REF!,0)</f>
        <v>0</v>
      </c>
      <c r="L78" s="449" t="e">
        <f>IF(('NWGC - SCENARIOS'!#REF!-working!G76)&gt;'NWGC - SCENARIOS'!#REF!,'NWGC - SCENARIOS'!#REF!-'NWGC - SCENARIOS'!#REF!-working!G76,0)</f>
        <v>#REF!</v>
      </c>
      <c r="M78" s="449" t="e">
        <f>IF(('NWGC - SCENARIOS'!#REF!-working!G76)&gt;'NWGC - SCENARIOS'!#REF!,0,'NWGC - SCENARIOS'!#REF!-'NWGC - SCENARIOS'!#REF!+working!G76)</f>
        <v>#REF!</v>
      </c>
      <c r="N78" s="58" t="e">
        <f t="shared" ca="1" si="50"/>
        <v>#REF!</v>
      </c>
      <c r="O78" s="58" t="e">
        <f t="shared" ca="1" si="51"/>
        <v>#REF!</v>
      </c>
      <c r="P78" s="58" t="e">
        <f t="shared" ca="1" si="76"/>
        <v>#REF!</v>
      </c>
      <c r="Q78" s="58" t="e">
        <f ca="1">(VLOOKUP(P$2,$B$1:$F$32,5,0)*$L78)+(VLOOKUP($K78,'Withdrawal Working'!$AD:$AE,2,0)*(IFERROR(VLOOKUP(P$2,$B$35:$C$42,2,0),0)))</f>
        <v>#REF!</v>
      </c>
      <c r="R78" s="58">
        <f>IFERROR(IF($K78&lt;VLOOKUP(P$2,$B:$H,7,0),IF(T$3=1,MIN($M78,P78),IF(HLOOKUP(CONCATENATE("Balance",T$3-1),'Withdrawal Working'!$A$2:$CD$78,MATCH('Yoy WAR OG'!$J78,'Withdrawal Working'!$A$2:$A$78,0),FALSE)&gt;0,MIN(HLOOKUP(CONCATENATE("Balance",T$3-1),'Withdrawal Working'!$A$2:$CD$78,MATCH('Yoy WAR OG'!$J78,'Withdrawal Working'!$A$2:$A$78,0),0),P78),0)),IF($K78=VLOOKUP(P$2,$B:$H,7,0),P78,)),0)</f>
        <v>0</v>
      </c>
      <c r="S78" s="58" t="e">
        <f t="shared" ca="1" si="122"/>
        <v>#REF!</v>
      </c>
      <c r="T78" s="58"/>
      <c r="V78" s="58" t="e">
        <f t="shared" ca="1" si="77"/>
        <v>#REF!</v>
      </c>
      <c r="W78" s="58" t="e">
        <f ca="1">(VLOOKUP(V$2,$B$1:$F$32,5,0)*$L78)+(VLOOKUP($K78,'Withdrawal Working'!$AD:$AE,2,0)*(IFERROR(VLOOKUP(V$2,$B$35:$C$42,2,0),0)))</f>
        <v>#REF!</v>
      </c>
      <c r="X78" s="58">
        <f>IFERROR(IF($K78&lt;VLOOKUP(V$2,$B:$H,7,0),IF(Z$3=1,MIN($M78,V78),IF(HLOOKUP(CONCATENATE("Balance",Z$3-1),'Withdrawal Working'!$A$2:$CD$78,MATCH('Yoy WAR OG'!$J78,'Withdrawal Working'!$A$2:$A$78,0),FALSE)&gt;0,MIN(HLOOKUP(CONCATENATE("Balance",Z$3-1),'Withdrawal Working'!$A$2:$CD$78,MATCH('Yoy WAR OG'!$J78,'Withdrawal Working'!$A$2:$A$78,0),0),V78),0)),IF($K78=VLOOKUP(V$2,$B:$H,7,0),V78,)),0)</f>
        <v>0</v>
      </c>
      <c r="Y78" s="58" t="e">
        <f t="shared" ca="1" si="100"/>
        <v>#REF!</v>
      </c>
      <c r="AB78" s="58" t="e">
        <f t="shared" ca="1" si="78"/>
        <v>#REF!</v>
      </c>
      <c r="AC78" s="58" t="e">
        <f ca="1">(VLOOKUP(AB$2,$B$1:$F$32,5,0)*$L78)+(VLOOKUP($K78,'Withdrawal Working'!$AD:$AE,2,0)*(IFERROR(VLOOKUP(AB$2,$B$35:$C$42,2,0),0)))</f>
        <v>#REF!</v>
      </c>
      <c r="AE78" s="58" t="e">
        <f t="shared" ca="1" si="101"/>
        <v>#REF!</v>
      </c>
      <c r="AH78" s="58" t="e">
        <f t="shared" ca="1" si="79"/>
        <v>#REF!</v>
      </c>
      <c r="AI78" s="58" t="e">
        <f ca="1">(VLOOKUP(AH$2,$B$1:$F$32,5,0)*$L78)+IF(J78&gt;'NWGC - SCENARIOS'!$D$7,0,(VLOOKUP($K78,'Withdrawal Working'!$AD:$AE,2,0)*(IFERROR(VLOOKUP(AH$2,$B$35:$C$42,2,0),0))))</f>
        <v>#REF!</v>
      </c>
      <c r="AJ78" s="58">
        <f ca="1">IFERROR(IF($J78&gt;'NWGC - SCENARIOS'!$D$7,MIN('Yoy WAR OG'!AH78,VLOOKUP('Yoy WAR OG'!$J78,'Withdrawal Working'!BC:BD,2,0)),IF(AL$3=1,$M78,IF(HLOOKUP(CONCATENATE("Balance",AL$3-1),'Withdrawal Working'!$A$2:$CD$78,MATCH('Yoy WAR OG'!$J78,'Withdrawal Working'!$A$2:$A$78,0),FALSE)&gt;0,MIN(HLOOKUP(CONCATENATE("Balance",AL$3-1),'Withdrawal Working'!$A$2:$CD$78,MATCH('Yoy WAR OG'!$J78,'Withdrawal Working'!$A$2:$A$78,0),0),AH78),0))),0)</f>
        <v>0</v>
      </c>
      <c r="AK78" s="58" t="e">
        <f t="shared" ca="1" si="102"/>
        <v>#REF!</v>
      </c>
      <c r="AN78" s="450" t="e">
        <f t="shared" ca="1" si="80"/>
        <v>#REF!</v>
      </c>
      <c r="AO78" s="58" t="e">
        <f ca="1">IF(J78&gt;'NWGC - SCENARIOS'!$D$7,(IF(AJ78=0,0,'Yoy WAR OG'!AJ78)+(VLOOKUP(AN$2,$B$1:$F$32,5,0)*$L78)),(VLOOKUP(AN$2,$B$1:$F$32,5,0)*$L78)+(VLOOKUP($K78,'Withdrawal Working'!$AD:$AE,2,0)*(IFERROR(VLOOKUP(AN$2,$B$35:$C$42,2,0),0))))</f>
        <v>#REF!</v>
      </c>
      <c r="AP78" s="470">
        <f ca="1">IFERROR(IF($K78&lt;&gt;VLOOKUP(AN$2,$B:$H,7,0),IF(AR$3=1,MIN($M78,AN78),IF(HLOOKUP(CONCATENATE("Balance",AR$3-1),'Withdrawal Working'!$A$2:$CD$78,MATCH('Yoy WAR OG'!$J78,'Withdrawal Working'!$A$2:$A$78,0),FALSE)&gt;0,MIN(HLOOKUP(CONCATENATE("Balance",AR$3-1),'Withdrawal Working'!$A$2:$CD$78,MATCH('Yoy WAR OG'!$J78,'Withdrawal Working'!$A$2:$A$78,0),0),AN78),0)),IF($K78=VLOOKUP(AN$2,$B:$H,7,0),AN78,)),0)</f>
        <v>0</v>
      </c>
      <c r="AQ78" s="58" t="e">
        <f ca="1">IF(AO78&lt;0,0,IF(J78&gt;'NWGC - SCENARIOS'!$D$7,((AN78-AP78+AO78)*(1+(IFERROR(VLOOKUP(AN$2,$B:$D,3,0),0)))),((AN78-AP78)*(1+(IFERROR(VLOOKUP(AN$2,$B:$D,3,0),0))))+AO78))</f>
        <v>#REF!</v>
      </c>
      <c r="AT78" s="450" t="e">
        <f t="shared" ca="1" si="81"/>
        <v>#REF!</v>
      </c>
      <c r="AU78" s="58" t="e">
        <f ca="1">(VLOOKUP(AT$2,$B$1:$F$32,5,0)*$L78)+(VLOOKUP($K78,'Withdrawal Working'!$AD:$AE,2,0)*(IFERROR(VLOOKUP(AT$2,$B$35:$C$42,2,0),0)))</f>
        <v>#REF!</v>
      </c>
      <c r="AV78" s="58">
        <f>IFERROR(IF($K78&lt;VLOOKUP(AT$2,$B:$H,7,0),IF(AX$3=1,MIN($M78,AT78),IF(HLOOKUP(CONCATENATE("Balance",AX$3-1),'Withdrawal Working'!$A$2:$CD$78,MATCH('Yoy WAR OG'!$J78,'Withdrawal Working'!$A$2:$A$78,0),FALSE)&gt;0,MIN(HLOOKUP(CONCATENATE("Balance",AX$3-1),'Withdrawal Working'!$A$2:$CD$78,MATCH('Yoy WAR OG'!$J78,'Withdrawal Working'!$A$2:$A$78,0),0),AT78),0)),IF($K78=VLOOKUP(AT$2,$B:$H,7,0),AT78,)),0)</f>
        <v>0</v>
      </c>
      <c r="AW78" s="58" t="e">
        <f t="shared" ca="1" si="103"/>
        <v>#REF!</v>
      </c>
      <c r="AZ78" s="450" t="e">
        <f t="shared" ca="1" si="82"/>
        <v>#REF!</v>
      </c>
      <c r="BA78" s="58" t="e">
        <f ca="1">(VLOOKUP(AZ$2,$B$1:$F$32,5,0)*$L78)+(VLOOKUP($K78,'Withdrawal Working'!$AD:$AE,2,0)*(IFERROR(VLOOKUP(AZ$2,$B$35:$C$42,2,0),0)))</f>
        <v>#REF!</v>
      </c>
      <c r="BB78" s="58">
        <f ca="1">IFERROR(IF($K78&lt;VLOOKUP(AZ$2,$B:$H,7,0),IF(BD$3=1,MIN($M78,AZ78),IF(HLOOKUP(CONCATENATE("Balance",BD$3-1),'Withdrawal Working'!$A$2:$CD$78,MATCH('Yoy WAR OG'!$J78,'Withdrawal Working'!$A$2:$A$78,0),FALSE)&gt;0,MIN(HLOOKUP(CONCATENATE("Balance",BD$3-1),'Withdrawal Working'!$A$2:$CD$78,MATCH('Yoy WAR OG'!$J78,'Withdrawal Working'!$A$2:$A$78,0),0),AZ78),0)),IF($K78=VLOOKUP(AZ$2,$B:$H,7,0),AZ78,)),0)</f>
        <v>0</v>
      </c>
      <c r="BC78" s="58" t="e">
        <f t="shared" ca="1" si="104"/>
        <v>#REF!</v>
      </c>
      <c r="BF78" s="450" t="e">
        <f t="shared" ca="1" si="83"/>
        <v>#REF!</v>
      </c>
      <c r="BG78" s="58" t="e">
        <f ca="1">(VLOOKUP(BF$2,$B$1:$F$32,5,0)*$L78)+(VLOOKUP($K78,'Withdrawal Working'!$AD:$AE,2,0)*(IFERROR(VLOOKUP(BF$2,$B$35:$C$42,2,0),0)))</f>
        <v>#REF!</v>
      </c>
      <c r="BH78" s="58">
        <f>IFERROR(IF($K78&lt;VLOOKUP(BF$2,$B:$H,7,0),IF(BJ$3=1,MIN($M78,BF78),IF(HLOOKUP(CONCATENATE("Balance",BJ$3-1),'Withdrawal Working'!$A$2:$CD$78,MATCH('Yoy WAR OG'!$J78,'Withdrawal Working'!$A$2:$A$78,0),FALSE)&gt;0,MIN(HLOOKUP(CONCATENATE("Balance",BJ$3-1),'Withdrawal Working'!$A$2:$CD$78,MATCH('Yoy WAR OG'!$J78,'Withdrawal Working'!$A$2:$A$78,0),0),BF78),0)),IF($K78=VLOOKUP(BF$2,$B:$H,7,0),BF78,)),0)</f>
        <v>0</v>
      </c>
      <c r="BI78" s="58" t="e">
        <f t="shared" ca="1" si="105"/>
        <v>#REF!</v>
      </c>
      <c r="BL78" s="450" t="e">
        <f t="shared" ca="1" si="84"/>
        <v>#REF!</v>
      </c>
      <c r="BM78" s="58" t="e">
        <f ca="1">(VLOOKUP(BL$2,$B$1:$F$32,5,0)*$L78)+(VLOOKUP($K78,'Withdrawal Working'!$AD:$AE,2,0)*(IFERROR(VLOOKUP(BL$2,$B$35:$C$42,2,0),0)))</f>
        <v>#REF!</v>
      </c>
      <c r="BN78" s="58">
        <f ca="1">IFERROR(IF($K78&lt;VLOOKUP(BL$2,$B:$H,7,0),IF(BP$3=1,MIN($M78,BL78),IF(HLOOKUP(CONCATENATE("Balance",BP$3-1),'Withdrawal Working'!$A$2:$CD$78,MATCH('Yoy WAR OG'!$J78,'Withdrawal Working'!$A$2:$A$78,0),FALSE)&gt;0,MIN(HLOOKUP(CONCATENATE("Balance",BP$3-1),'Withdrawal Working'!$A$2:$CD$78,MATCH('Yoy WAR OG'!$J78,'Withdrawal Working'!$A$2:$A$78,0),0),BL78),0)),IF($K78=VLOOKUP(BL$2,$B:$H,7,0),BL78,)),0)</f>
        <v>0</v>
      </c>
      <c r="BO78" s="58" t="e">
        <f t="shared" ca="1" si="106"/>
        <v>#REF!</v>
      </c>
      <c r="BR78" s="450" t="e">
        <f t="shared" ca="1" si="85"/>
        <v>#REF!</v>
      </c>
      <c r="BS78" s="58" t="e">
        <f ca="1">(VLOOKUP(BR$2,$B$1:$F$32,5,0)*$L78)+(VLOOKUP($K78,'Withdrawal Working'!$AD:$AE,2,0)*(IFERROR(VLOOKUP(BR$2,$B$35:$C$42,2,0),0)))</f>
        <v>#REF!</v>
      </c>
      <c r="BT78" s="58">
        <f ca="1">IFERROR(IF($K78&lt;VLOOKUP(BR$2,$B:$H,7,0),IF(BV$3=1,MIN($M78,BR78),IF(HLOOKUP(CONCATENATE("Balance",BV$3-1),'Withdrawal Working'!$A$2:$CD$78,MATCH('Yoy WAR OG'!$J78,'Withdrawal Working'!$A$2:$A$78,0),FALSE)&gt;0,MIN(HLOOKUP(CONCATENATE("Balance",BV$3-1),'Withdrawal Working'!$A$2:$CD$78,MATCH('Yoy WAR OG'!$J78,'Withdrawal Working'!$A$2:$A$78,0),0),BR78),0)),IF($K78=VLOOKUP(BR$2,$B:$H,7,0),BR78,)),0)</f>
        <v>0</v>
      </c>
      <c r="BU78" s="58" t="e">
        <f t="shared" ca="1" si="107"/>
        <v>#REF!</v>
      </c>
      <c r="BX78" s="450" t="e">
        <f t="shared" ca="1" si="86"/>
        <v>#REF!</v>
      </c>
      <c r="BY78" s="58" t="e">
        <f ca="1">(VLOOKUP(BX$2,$B$1:$F$32,5,0)*$L78)+(VLOOKUP($K78,'Withdrawal Working'!$AD:$AE,2,0)*(IFERROR(VLOOKUP(BX$2,$B$35:$C$42,2,0),0)))</f>
        <v>#REF!</v>
      </c>
      <c r="BZ78" s="58">
        <f ca="1">IFERROR(IF($K78&lt;VLOOKUP(BX$2,$B:$H,7,0),IF(CB$3=1,MIN($M78,BX78),IF(HLOOKUP(CONCATENATE("Balance",CB$3-1),'Withdrawal Working'!$A$2:$CD$78,MATCH('Yoy WAR OG'!$J78,'Withdrawal Working'!$A$2:$A$78,0),FALSE)&gt;0,MIN(HLOOKUP(CONCATENATE("Balance",CB$3-1),'Withdrawal Working'!$A$2:$CD$78,MATCH('Yoy WAR OG'!$J78,'Withdrawal Working'!$A$2:$A$78,0),0),BX78),0)),IF($K78=VLOOKUP(BX$2,$B:$H,7,0),BX78,)),0)</f>
        <v>0</v>
      </c>
      <c r="CA78" s="58" t="e">
        <f t="shared" ca="1" si="108"/>
        <v>#REF!</v>
      </c>
      <c r="CD78" s="450" t="e">
        <f t="shared" ca="1" si="87"/>
        <v>#REF!</v>
      </c>
      <c r="CE78" s="58" t="e">
        <f ca="1">(VLOOKUP(CD$2,$B$1:$F$32,5,0)*$L78)+(VLOOKUP($K78,'Withdrawal Working'!$AD:$AE,2,0)*(IFERROR(VLOOKUP(CD$2,$B$35:$C$42,2,0),0)))+SUMIFS('Key Life Events'!$I$3:$I$28,'Key Life Events'!$H$3:$H$28,"House",'Key Life Events'!$E$3:$E$28,'Yoy WAR OG'!K78)</f>
        <v>#REF!</v>
      </c>
      <c r="CF78" s="58">
        <f ca="1">IFERROR(IF($K78&lt;VLOOKUP(CD$2,$B:$H,7,0),IF(CH$3=1,MIN($M78,CD78),IF(HLOOKUP(CONCATENATE("Balance",CH$3-1),'Withdrawal Working'!$A$2:$CD$78,MATCH('Yoy WAR OG'!$J78,'Withdrawal Working'!$A$2:$A$78,0),FALSE)&gt;0,MIN(HLOOKUP(CONCATENATE("Balance",CH$3-1),'Withdrawal Working'!$A$2:$CD$78,MATCH('Yoy WAR OG'!$J78,'Withdrawal Working'!$A$2:$A$78,0),0),CD78),0)),IF($K78=VLOOKUP(CD$2,$B:$H,7,0),CD78,)),0)</f>
        <v>0</v>
      </c>
      <c r="CG78" s="58" t="e">
        <f t="shared" ca="1" si="109"/>
        <v>#REF!</v>
      </c>
      <c r="CJ78" s="450" t="e">
        <f t="shared" ca="1" si="88"/>
        <v>#REF!</v>
      </c>
      <c r="CK78" s="58" t="e">
        <f ca="1">(VLOOKUP(CJ$2,$B$1:$F$32,5,0)*$L78)+(VLOOKUP($K78,'Withdrawal Working'!$AD:$AE,2,0)*(IFERROR(VLOOKUP(CJ$2,$B$35:$C$42,2,0),0)))+SUMIFS('Key Life Events'!$I$3:$I$28,'Key Life Events'!$H$3:$H$28,"House2",'Key Life Events'!$E$3:$E$28,'Yoy WAR OG'!K78)</f>
        <v>#REF!</v>
      </c>
      <c r="CL78" s="58">
        <f ca="1">IF(IFERROR(IF($K78&lt;&gt;VLOOKUP(CJ$2,$B:$H,7,0),IF(CN$3=1,MIN($M78,CJ78),IF(HLOOKUP(CONCATENATE("Balance",CN$3-1),'Withdrawal Working'!$A$2:$CD$78,MATCH('Yoy WAR OG'!$J78,'Withdrawal Working'!$A$2:$A$78,0),FALSE)&gt;0,MIN(HLOOKUP(CONCATENATE("Balance",CN$3-1),'Withdrawal Working'!$A$2:$CD$78,MATCH('Yoy WAR OG'!$J78,'Withdrawal Working'!$A$2:$A$78,0),0),CJ78),0)),IF($K78=VLOOKUP(CJ$2,$B:$H,7,0),CJ78,)),0)&gt;0,CJ78,0)</f>
        <v>0</v>
      </c>
      <c r="CM78" s="58" t="e">
        <f t="shared" ca="1" si="110"/>
        <v>#REF!</v>
      </c>
      <c r="CP78" s="450" t="e">
        <f t="shared" ca="1" si="89"/>
        <v>#REF!</v>
      </c>
      <c r="CQ78" s="58" t="e">
        <f ca="1">(VLOOKUP(CP$2,$B$1:$F$32,5,0)*$L78)+(VLOOKUP($K78,'Withdrawal Working'!$AD:$AE,2,0)*(IFERROR(VLOOKUP(CP$2,$B$35:$C$42,2,0),0)))+SUMIFS('Key Life Events'!$I$3:$I$28,'Key Life Events'!$H$3:$H$28,"Land",'Key Life Events'!$E$3:$E$28,'Yoy WAR OG'!K78)</f>
        <v>#REF!</v>
      </c>
      <c r="CR78" s="58">
        <f ca="1">IFERROR(IF($K78&lt;VLOOKUP(CP$2,$B:$H,7,0),IF(CT$3=1,MIN($M78,CP78),IF(HLOOKUP(CONCATENATE("Balance",CT$3-1),'Withdrawal Working'!$A$2:$CD$78,MATCH('Yoy WAR OG'!$J78,'Withdrawal Working'!$A$2:$A$78,0),FALSE)&gt;0,MIN(HLOOKUP(CONCATENATE("Balance",CT$3-1),'Withdrawal Working'!$A$2:$CD$78,MATCH('Yoy WAR OG'!$J78,'Withdrawal Working'!$A$2:$A$78,0),0),CP78),0)),IF($K78=VLOOKUP(CP$2,$B:$H,7,0),CP78,)),0)</f>
        <v>0</v>
      </c>
      <c r="CS78" s="58" t="e">
        <f t="shared" ca="1" si="111"/>
        <v>#REF!</v>
      </c>
      <c r="CV78" s="450">
        <f t="shared" ca="1" si="90"/>
        <v>0</v>
      </c>
      <c r="CW78" s="58"/>
      <c r="CX78" s="58">
        <f ca="1">IFERROR(IF($K78&lt;VLOOKUP(CV$2,$B:$H,7,0),IF(CZ$3=1,MIN($M78,CV78),IF(HLOOKUP(CONCATENATE("Balance",CZ$3-1),'Withdrawal Working'!$A$2:$CD$78,MATCH('Yoy WAR OG'!$J78,'Withdrawal Working'!$A$2:$A$78,0),FALSE)&gt;0,MIN(HLOOKUP(CONCATENATE("Balance",CZ$3-1),'Withdrawal Working'!$A$2:$CD$78,MATCH('Yoy WAR OG'!$J78,'Withdrawal Working'!$A$2:$A$78,0),0),CV78),0)),IF($K78=VLOOKUP(CV$2,$B:$H,7,0),CV78,)),0)</f>
        <v>0</v>
      </c>
      <c r="CY78" s="58">
        <f t="shared" ca="1" si="112"/>
        <v>0</v>
      </c>
      <c r="DB78" s="450" t="e">
        <f t="shared" ca="1" si="91"/>
        <v>#REF!</v>
      </c>
      <c r="DC78" s="58" t="e">
        <f ca="1">(VLOOKUP(DB$2,$B$1:$F$32,5,0)*$L78)+(VLOOKUP($K78,'Withdrawal Working'!$AD:$AE,2,0)*(IFERROR(VLOOKUP(DB$2,$B$35:$C$42,2,0),0)))</f>
        <v>#REF!</v>
      </c>
      <c r="DD78" s="58">
        <f ca="1">IFERROR(IF($K78&lt;VLOOKUP(DB$2,$B:$H,7,0),IF(DF$3=1,MIN($M78,DB78),IF(HLOOKUP(CONCATENATE("Balance",DF$3-1),'Withdrawal Working'!$A$2:$CD$78,MATCH('Yoy WAR OG'!$J78,'Withdrawal Working'!$A$2:$A$78,0),FALSE)&gt;0,MIN(HLOOKUP(CONCATENATE("Balance",DF$3-1),'Withdrawal Working'!$A$2:$CD$78,MATCH('Yoy WAR OG'!$J78,'Withdrawal Working'!$A$2:$A$78,0),0),DB78),0)),IF($K78=VLOOKUP(DB$2,$B:$H,7,0),DB78,)),0)</f>
        <v>0</v>
      </c>
      <c r="DE78" s="58" t="e">
        <f t="shared" ca="1" si="113"/>
        <v>#REF!</v>
      </c>
      <c r="DH78" s="450">
        <f t="shared" ca="1" si="92"/>
        <v>0</v>
      </c>
      <c r="DI78" s="58">
        <f>IF(OR(J78&gt;'NWGC - SCENARIOS'!$D$7,J78='NWGC - SCENARIOS'!$D$7),0,DI77*(1+'NWGC - SCENARIOS'!$L$5))</f>
        <v>0</v>
      </c>
      <c r="DJ78" s="58">
        <f ca="1">IFERROR(IF($K78&lt;VLOOKUP(DH$2,$B:$H,7,0),IF(DL$3=1,MIN($M78,DH78),IF(HLOOKUP(CONCATENATE("Balance",DL$3-1),'Withdrawal Working'!$A$2:$CD$78,MATCH('Yoy WAR OG'!$J78,'Withdrawal Working'!$A$2:$A$78,0),FALSE)&gt;0,MIN(HLOOKUP(CONCATENATE("Balance",DL$3-1),'Withdrawal Working'!$A$2:$CD$78,MATCH('Yoy WAR OG'!$J78,'Withdrawal Working'!$A$2:$A$78,0),0),DH78),0)),IF($K78=VLOOKUP(DH$2,$B:$H,7,0),DH78,)),0)</f>
        <v>0</v>
      </c>
      <c r="DK78" s="58">
        <f t="shared" ca="1" si="114"/>
        <v>0</v>
      </c>
      <c r="DN78" s="450" t="e">
        <f t="shared" ca="1" si="93"/>
        <v>#REF!</v>
      </c>
      <c r="DO78" s="58" t="e">
        <f ca="1">(VLOOKUP(DN$2,$B$1:$F$32,5,0)*$L78)+(VLOOKUP($K78,'Withdrawal Working'!$AD:$AE,2,0)*(IFERROR(VLOOKUP(DN$2,$B$35:$C$42,2,0),0)))</f>
        <v>#REF!</v>
      </c>
      <c r="DP78" s="58">
        <f ca="1">IFERROR(IF($K78&lt;VLOOKUP(DN$2,$B:$H,7,0),IF(DR$3=1,MIN($M78,DN78),IF(HLOOKUP(CONCATENATE("Balance",DR$3-1),'Withdrawal Working'!$A$2:$CD$78,MATCH('Yoy WAR OG'!$J78,'Withdrawal Working'!$A$2:$A$78,0),FALSE)&gt;0,MIN(HLOOKUP(CONCATENATE("Balance",DR$3-1),'Withdrawal Working'!$A$2:$CD$78,MATCH('Yoy WAR OG'!$J78,'Withdrawal Working'!$A$2:$A$78,0),0),DN78),0)),IF($K78=VLOOKUP(DN$2,$B:$H,7,0),DN78,)),0)</f>
        <v>0</v>
      </c>
      <c r="DQ78" s="58" t="e">
        <f t="shared" ca="1" si="115"/>
        <v>#REF!</v>
      </c>
      <c r="DT78" s="450" t="e">
        <f t="shared" ca="1" si="94"/>
        <v>#REF!</v>
      </c>
      <c r="DU78" s="58" t="e">
        <f ca="1">(VLOOKUP(DT$2,$B$1:$F$32,5,0)*$L78)+(VLOOKUP($K78,'Withdrawal Working'!$AD:$AE,2,0)*(IFERROR(VLOOKUP(DT$2,$B$35:$C$42,2,0),0)))</f>
        <v>#REF!</v>
      </c>
      <c r="DV78" s="58">
        <f ca="1">IFERROR(IF($K78&lt;VLOOKUP(DT$2,$B:$H,7,0),IF(DX$3=1,MIN($M78,DT78),IF(HLOOKUP(CONCATENATE("Balance",DX$3-1),'Withdrawal Working'!$A$2:$CD$78,MATCH('Yoy WAR OG'!$J78,'Withdrawal Working'!$A$2:$A$78,0),FALSE)&gt;0,MIN(HLOOKUP(CONCATENATE("Balance",DX$3-1),'Withdrawal Working'!$A$2:$CD$78,MATCH('Yoy WAR OG'!$J78,'Withdrawal Working'!$A$2:$A$78,0),0),DT78),0)),IF($K78=VLOOKUP(DT$2,$B:$H,7,0),DT78,)),0)</f>
        <v>0</v>
      </c>
      <c r="DW78" s="58" t="e">
        <f t="shared" ca="1" si="116"/>
        <v>#REF!</v>
      </c>
      <c r="DZ78" s="450" t="e">
        <f t="shared" ca="1" si="95"/>
        <v>#REF!</v>
      </c>
      <c r="EA78" s="58" t="e">
        <f ca="1">(VLOOKUP(DZ$2,$B$1:$F$32,5,0)*$L78)+(VLOOKUP($K78,'Withdrawal Working'!$AD:$AE,2,0)*(IFERROR(VLOOKUP(DZ$2,$B$35:$C$42,2,0),0)))</f>
        <v>#REF!</v>
      </c>
      <c r="EB78" s="58">
        <f ca="1">IFERROR(IF($K78&lt;VLOOKUP(DZ$2,$B:$H,7,0),IF(ED$3=1,MIN($M78,DZ78),IF(HLOOKUP(CONCATENATE("Balance",ED$3-1),'Withdrawal Working'!$A$2:$CD$78,MATCH('Yoy WAR OG'!$J78,'Withdrawal Working'!$A$2:$A$78,0),FALSE)&gt;0,MIN(HLOOKUP(CONCATENATE("Balance",ED$3-1),'Withdrawal Working'!$A$2:$CD$78,MATCH('Yoy WAR OG'!$J78,'Withdrawal Working'!$A$2:$A$78,0),0),DZ78),0)),IF($K78=VLOOKUP(DZ$2,$B:$H,7,0),DZ78,)),0)</f>
        <v>0</v>
      </c>
      <c r="EC78" s="58" t="e">
        <f t="shared" ca="1" si="117"/>
        <v>#REF!</v>
      </c>
      <c r="EF78" s="450" t="e">
        <f t="shared" ca="1" si="96"/>
        <v>#REF!</v>
      </c>
      <c r="EG78" s="58" t="e">
        <f ca="1">(VLOOKUP(EF$2,$B$1:$F$32,5,0)*$L78)+(VLOOKUP($K78,'Withdrawal Working'!$AD:$AE,2,0)*(IFERROR(VLOOKUP(EF$2,$B$35:$C$42,2,0),0)))</f>
        <v>#REF!</v>
      </c>
      <c r="EH78" s="58">
        <f ca="1">IFERROR(IF($K78&lt;VLOOKUP(EF$2,$B:$H,7,0),IF(EJ$3=1,MIN($M78,EF78),IF(HLOOKUP(CONCATENATE("Balance",EJ$3-1),'Withdrawal Working'!$A$2:$CD$78,MATCH('Yoy WAR OG'!$J78,'Withdrawal Working'!$A$2:$A$78,0),FALSE)&gt;0,MIN(HLOOKUP(CONCATENATE("Balance",EJ$3-1),'Withdrawal Working'!$A$2:$CD$78,MATCH('Yoy WAR OG'!$J78,'Withdrawal Working'!$A$2:$A$78,0),0),EF78),0)),IF($K78=VLOOKUP(EF$2,$B:$H,7,0),EF78,)),0)</f>
        <v>0</v>
      </c>
      <c r="EI78" s="58" t="e">
        <f t="shared" ca="1" si="118"/>
        <v>#REF!</v>
      </c>
      <c r="EL78" s="450">
        <f t="shared" ca="1" si="97"/>
        <v>0</v>
      </c>
      <c r="EM78" s="58">
        <f>IF(OR($J78&gt;'NWGC - SCENARIOS'!$D$7,$J78='NWGC - SCENARIOS'!$D$7),0,EM77)</f>
        <v>0</v>
      </c>
      <c r="EN78" s="58">
        <f ca="1">IFERROR(IF($K78&lt;VLOOKUP(EL$2,$B:$H,7,0),IF(EP$3=1,MIN($M78,EL78),IF(HLOOKUP(CONCATENATE("Balance",EP$3-1),'Withdrawal Working'!$A$2:$CD$78,MATCH('Yoy WAR OG'!$J78,'Withdrawal Working'!$A$2:$A$78,0),FALSE)&gt;0,MIN(HLOOKUP(CONCATENATE("Balance",EP$3-1),'Withdrawal Working'!$A$2:$CD$78,MATCH('Yoy WAR OG'!$J78,'Withdrawal Working'!$A$2:$A$78,0),0),EL78),0)),IF($K78=VLOOKUP(EL$2,$B:$H,7,0),EL78,)),0)</f>
        <v>0</v>
      </c>
      <c r="EO78" s="58">
        <f t="shared" ca="1" si="119"/>
        <v>0</v>
      </c>
      <c r="ER78" s="450">
        <f t="shared" ca="1" si="98"/>
        <v>0</v>
      </c>
      <c r="ES78" s="58">
        <f>IF(OR(J78&gt;'NWGC - SCENARIOS'!$D$7,J78='NWGC - SCENARIOS'!$D$7),0,ES77*(1+'NWGC - SCENARIOS'!$L$5))</f>
        <v>0</v>
      </c>
      <c r="ET78" s="58">
        <f ca="1">IFERROR(IF($K78&lt;VLOOKUP(ER$2,$B:$H,7,0),IF(EV$3=1,MIN($M78,ER78),IF(HLOOKUP(CONCATENATE("Balance",EV$3-1),'Withdrawal Working'!$A$2:$CD$78,MATCH('Yoy WAR OG'!$J78,'Withdrawal Working'!$A$2:$A$78,0),FALSE)&gt;0,MIN(HLOOKUP(CONCATENATE("Balance",EV$3-1),'Withdrawal Working'!$A$2:$CD$78,MATCH('Yoy WAR OG'!$J78,'Withdrawal Working'!$A$2:$A$78,0),0),ER78),0)),IF($K78=VLOOKUP(ER$2,$B:$H,7,0),ER78,)),0)</f>
        <v>0</v>
      </c>
      <c r="EU78" s="58">
        <f t="shared" ca="1" si="120"/>
        <v>0</v>
      </c>
      <c r="EX78" s="450">
        <f t="shared" ca="1" si="99"/>
        <v>0</v>
      </c>
      <c r="EY78" s="58">
        <f>IF(OR(J78&gt;'NWGC - SCENARIOS'!$D$7,J78='NWGC - SCENARIOS'!$D$7),0,EY77)</f>
        <v>0</v>
      </c>
      <c r="EZ78" s="58">
        <f ca="1">IFERROR(IF($K78&lt;VLOOKUP(EX$2,$B:$H,7,0),IF(FB$3=1,MIN($M78,EX78),IF(HLOOKUP(CONCATENATE("Balance",FB$3-1),'Withdrawal Working'!$A$2:$CD$78,MATCH('Yoy WAR OG'!$J78,'Withdrawal Working'!$A$2:$A$78,0),FALSE)&gt;0,MIN(HLOOKUP(CONCATENATE("Balance",FB$3-1),'Withdrawal Working'!$A$2:$CD$78,MATCH('Yoy WAR OG'!$J78,'Withdrawal Working'!$A$2:$A$78,0),0),EX78),0)),IF($K78=VLOOKUP(EX$2,$B:$H,7,0),EX78,)),0)</f>
        <v>0</v>
      </c>
      <c r="FA78" s="58">
        <f t="shared" ca="1" si="121"/>
        <v>0</v>
      </c>
    </row>
    <row r="79" spans="10:157" x14ac:dyDescent="0.3">
      <c r="J79">
        <f>IFERROR('NWGC - SCENARIOS'!#REF!,0)</f>
        <v>0</v>
      </c>
      <c r="K79">
        <f>IFERROR('NWGC - SCENARIOS'!#REF!,0)</f>
        <v>0</v>
      </c>
      <c r="L79" s="449" t="e">
        <f>IF(('NWGC - SCENARIOS'!#REF!-working!G77)&gt;'NWGC - SCENARIOS'!#REF!,'NWGC - SCENARIOS'!#REF!-'NWGC - SCENARIOS'!#REF!-working!G77,0)</f>
        <v>#REF!</v>
      </c>
      <c r="M79" s="449" t="e">
        <f>IF(('NWGC - SCENARIOS'!#REF!-working!G77)&gt;'NWGC - SCENARIOS'!#REF!,0,'NWGC - SCENARIOS'!#REF!-'NWGC - SCENARIOS'!#REF!+working!G77)</f>
        <v>#REF!</v>
      </c>
      <c r="N79" s="58" t="e">
        <f t="shared" ca="1" si="50"/>
        <v>#REF!</v>
      </c>
      <c r="O79" s="58" t="e">
        <f t="shared" ca="1" si="51"/>
        <v>#REF!</v>
      </c>
      <c r="P79" s="58" t="e">
        <f t="shared" ca="1" si="76"/>
        <v>#REF!</v>
      </c>
      <c r="Q79" s="58" t="e">
        <f ca="1">(VLOOKUP(P$2,$B$1:$F$32,5,0)*$L79)+(VLOOKUP($K79,'Withdrawal Working'!$AD:$AE,2,0)*(IFERROR(VLOOKUP(P$2,$B$35:$C$42,2,0),0)))</f>
        <v>#REF!</v>
      </c>
      <c r="R79" s="58">
        <f>IFERROR(IF($K79&lt;VLOOKUP(P$2,$B:$H,7,0),IF(T$3=1,MIN($M79,P79),IF(HLOOKUP(CONCATENATE("Balance",T$3-1),'Withdrawal Working'!$A$2:$CD$78,MATCH('Yoy WAR OG'!$J79,'Withdrawal Working'!$A$2:$A$78,0),FALSE)&gt;0,MIN(HLOOKUP(CONCATENATE("Balance",T$3-1),'Withdrawal Working'!$A$2:$CD$78,MATCH('Yoy WAR OG'!$J79,'Withdrawal Working'!$A$2:$A$78,0),0),P79),0)),IF($K79=VLOOKUP(P$2,$B:$H,7,0),P79,)),0)</f>
        <v>0</v>
      </c>
      <c r="S79" s="58" t="e">
        <f t="shared" ca="1" si="122"/>
        <v>#REF!</v>
      </c>
      <c r="T79" s="58"/>
      <c r="V79" s="58" t="e">
        <f t="shared" ca="1" si="77"/>
        <v>#REF!</v>
      </c>
      <c r="W79" s="58" t="e">
        <f ca="1">(VLOOKUP(V$2,$B$1:$F$32,5,0)*$L79)+(VLOOKUP($K79,'Withdrawal Working'!$AD:$AE,2,0)*(IFERROR(VLOOKUP(V$2,$B$35:$C$42,2,0),0)))</f>
        <v>#REF!</v>
      </c>
      <c r="X79" s="58">
        <f>IFERROR(IF($K79&lt;VLOOKUP(V$2,$B:$H,7,0),IF(Z$3=1,MIN($M79,V79),IF(HLOOKUP(CONCATENATE("Balance",Z$3-1),'Withdrawal Working'!$A$2:$CD$78,MATCH('Yoy WAR OG'!$J79,'Withdrawal Working'!$A$2:$A$78,0),FALSE)&gt;0,MIN(HLOOKUP(CONCATENATE("Balance",Z$3-1),'Withdrawal Working'!$A$2:$CD$78,MATCH('Yoy WAR OG'!$J79,'Withdrawal Working'!$A$2:$A$78,0),0),V79),0)),IF($K79=VLOOKUP(V$2,$B:$H,7,0),V79,)),0)</f>
        <v>0</v>
      </c>
      <c r="Y79" s="58" t="e">
        <f t="shared" ca="1" si="100"/>
        <v>#REF!</v>
      </c>
      <c r="AB79" s="58" t="e">
        <f t="shared" ca="1" si="78"/>
        <v>#REF!</v>
      </c>
      <c r="AC79" s="58" t="e">
        <f ca="1">(VLOOKUP(AB$2,$B$1:$F$32,5,0)*$L79)+(VLOOKUP($K79,'Withdrawal Working'!$AD:$AE,2,0)*(IFERROR(VLOOKUP(AB$2,$B$35:$C$42,2,0),0)))</f>
        <v>#REF!</v>
      </c>
      <c r="AE79" s="58" t="e">
        <f t="shared" ca="1" si="101"/>
        <v>#REF!</v>
      </c>
      <c r="AH79" s="58" t="e">
        <f t="shared" ca="1" si="79"/>
        <v>#REF!</v>
      </c>
      <c r="AI79" s="58" t="e">
        <f ca="1">(VLOOKUP(AH$2,$B$1:$F$32,5,0)*$L79)+IF(J79&gt;'NWGC - SCENARIOS'!$D$7,0,(VLOOKUP($K79,'Withdrawal Working'!$AD:$AE,2,0)*(IFERROR(VLOOKUP(AH$2,$B$35:$C$42,2,0),0))))</f>
        <v>#REF!</v>
      </c>
      <c r="AJ79" s="58">
        <f ca="1">IFERROR(IF($J79&gt;'NWGC - SCENARIOS'!$D$7,MIN('Yoy WAR OG'!AH79,VLOOKUP('Yoy WAR OG'!$J79,'Withdrawal Working'!BC:BD,2,0)),IF(AL$3=1,$M79,IF(HLOOKUP(CONCATENATE("Balance",AL$3-1),'Withdrawal Working'!$A$2:$CD$78,MATCH('Yoy WAR OG'!$J79,'Withdrawal Working'!$A$2:$A$78,0),FALSE)&gt;0,MIN(HLOOKUP(CONCATENATE("Balance",AL$3-1),'Withdrawal Working'!$A$2:$CD$78,MATCH('Yoy WAR OG'!$J79,'Withdrawal Working'!$A$2:$A$78,0),0),AH79),0))),0)</f>
        <v>0</v>
      </c>
      <c r="AK79" s="58" t="e">
        <f t="shared" ca="1" si="102"/>
        <v>#REF!</v>
      </c>
      <c r="AN79" s="450" t="e">
        <f t="shared" ca="1" si="80"/>
        <v>#REF!</v>
      </c>
      <c r="AO79" s="58" t="e">
        <f ca="1">IF(J79&gt;'NWGC - SCENARIOS'!$D$7,(IF(AJ79=0,0,'Yoy WAR OG'!AJ79)+(VLOOKUP(AN$2,$B$1:$F$32,5,0)*$L79)),(VLOOKUP(AN$2,$B$1:$F$32,5,0)*$L79)+(VLOOKUP($K79,'Withdrawal Working'!$AD:$AE,2,0)*(IFERROR(VLOOKUP(AN$2,$B$35:$C$42,2,0),0))))</f>
        <v>#REF!</v>
      </c>
      <c r="AP79" s="470">
        <f ca="1">IFERROR(IF($K79&lt;&gt;VLOOKUP(AN$2,$B:$H,7,0),IF(AR$3=1,MIN($M79,AN79),IF(HLOOKUP(CONCATENATE("Balance",AR$3-1),'Withdrawal Working'!$A$2:$CD$78,MATCH('Yoy WAR OG'!$J79,'Withdrawal Working'!$A$2:$A$78,0),FALSE)&gt;0,MIN(HLOOKUP(CONCATENATE("Balance",AR$3-1),'Withdrawal Working'!$A$2:$CD$78,MATCH('Yoy WAR OG'!$J79,'Withdrawal Working'!$A$2:$A$78,0),0),AN79),0)),IF($K79=VLOOKUP(AN$2,$B:$H,7,0),AN79,)),0)</f>
        <v>0</v>
      </c>
      <c r="AQ79" s="58" t="e">
        <f ca="1">IF(AO79&lt;0,0,IF(J79&gt;'NWGC - SCENARIOS'!$D$7,((AN79-AP79+AO79)*(1+(IFERROR(VLOOKUP(AN$2,$B:$D,3,0),0)))),((AN79-AP79)*(1+(IFERROR(VLOOKUP(AN$2,$B:$D,3,0),0))))+AO79))</f>
        <v>#REF!</v>
      </c>
      <c r="AT79" s="450" t="e">
        <f t="shared" ca="1" si="81"/>
        <v>#REF!</v>
      </c>
      <c r="AU79" s="58" t="e">
        <f ca="1">(VLOOKUP(AT$2,$B$1:$F$32,5,0)*$L79)+(VLOOKUP($K79,'Withdrawal Working'!$AD:$AE,2,0)*(IFERROR(VLOOKUP(AT$2,$B$35:$C$42,2,0),0)))</f>
        <v>#REF!</v>
      </c>
      <c r="AV79" s="58">
        <f>IFERROR(IF($K79&lt;VLOOKUP(AT$2,$B:$H,7,0),IF(AX$3=1,MIN($M79,AT79),IF(HLOOKUP(CONCATENATE("Balance",AX$3-1),'Withdrawal Working'!$A$2:$CD$78,MATCH('Yoy WAR OG'!$J79,'Withdrawal Working'!$A$2:$A$78,0),FALSE)&gt;0,MIN(HLOOKUP(CONCATENATE("Balance",AX$3-1),'Withdrawal Working'!$A$2:$CD$78,MATCH('Yoy WAR OG'!$J79,'Withdrawal Working'!$A$2:$A$78,0),0),AT79),0)),IF($K79=VLOOKUP(AT$2,$B:$H,7,0),AT79,)),0)</f>
        <v>0</v>
      </c>
      <c r="AW79" s="58" t="e">
        <f t="shared" ca="1" si="103"/>
        <v>#REF!</v>
      </c>
      <c r="AZ79" s="450" t="e">
        <f t="shared" ca="1" si="82"/>
        <v>#REF!</v>
      </c>
      <c r="BA79" s="58" t="e">
        <f ca="1">(VLOOKUP(AZ$2,$B$1:$F$32,5,0)*$L79)+(VLOOKUP($K79,'Withdrawal Working'!$AD:$AE,2,0)*(IFERROR(VLOOKUP(AZ$2,$B$35:$C$42,2,0),0)))</f>
        <v>#REF!</v>
      </c>
      <c r="BB79" s="58">
        <f ca="1">IFERROR(IF($K79&lt;VLOOKUP(AZ$2,$B:$H,7,0),IF(BD$3=1,MIN($M79,AZ79),IF(HLOOKUP(CONCATENATE("Balance",BD$3-1),'Withdrawal Working'!$A$2:$CD$78,MATCH('Yoy WAR OG'!$J79,'Withdrawal Working'!$A$2:$A$78,0),FALSE)&gt;0,MIN(HLOOKUP(CONCATENATE("Balance",BD$3-1),'Withdrawal Working'!$A$2:$CD$78,MATCH('Yoy WAR OG'!$J79,'Withdrawal Working'!$A$2:$A$78,0),0),AZ79),0)),IF($K79=VLOOKUP(AZ$2,$B:$H,7,0),AZ79,)),0)</f>
        <v>0</v>
      </c>
      <c r="BC79" s="58" t="e">
        <f t="shared" ca="1" si="104"/>
        <v>#REF!</v>
      </c>
      <c r="BF79" s="450" t="e">
        <f t="shared" ca="1" si="83"/>
        <v>#REF!</v>
      </c>
      <c r="BG79" s="58" t="e">
        <f ca="1">(VLOOKUP(BF$2,$B$1:$F$32,5,0)*$L79)+(VLOOKUP($K79,'Withdrawal Working'!$AD:$AE,2,0)*(IFERROR(VLOOKUP(BF$2,$B$35:$C$42,2,0),0)))</f>
        <v>#REF!</v>
      </c>
      <c r="BH79" s="58">
        <f>IFERROR(IF($K79&lt;VLOOKUP(BF$2,$B:$H,7,0),IF(BJ$3=1,MIN($M79,BF79),IF(HLOOKUP(CONCATENATE("Balance",BJ$3-1),'Withdrawal Working'!$A$2:$CD$78,MATCH('Yoy WAR OG'!$J79,'Withdrawal Working'!$A$2:$A$78,0),FALSE)&gt;0,MIN(HLOOKUP(CONCATENATE("Balance",BJ$3-1),'Withdrawal Working'!$A$2:$CD$78,MATCH('Yoy WAR OG'!$J79,'Withdrawal Working'!$A$2:$A$78,0),0),BF79),0)),IF($K79=VLOOKUP(BF$2,$B:$H,7,0),BF79,)),0)</f>
        <v>0</v>
      </c>
      <c r="BI79" s="58" t="e">
        <f t="shared" ca="1" si="105"/>
        <v>#REF!</v>
      </c>
      <c r="BL79" s="450" t="e">
        <f t="shared" ca="1" si="84"/>
        <v>#REF!</v>
      </c>
      <c r="BM79" s="58" t="e">
        <f ca="1">(VLOOKUP(BL$2,$B$1:$F$32,5,0)*$L79)+(VLOOKUP($K79,'Withdrawal Working'!$AD:$AE,2,0)*(IFERROR(VLOOKUP(BL$2,$B$35:$C$42,2,0),0)))</f>
        <v>#REF!</v>
      </c>
      <c r="BN79" s="58">
        <f ca="1">IFERROR(IF($K79&lt;VLOOKUP(BL$2,$B:$H,7,0),IF(BP$3=1,MIN($M79,BL79),IF(HLOOKUP(CONCATENATE("Balance",BP$3-1),'Withdrawal Working'!$A$2:$CD$78,MATCH('Yoy WAR OG'!$J79,'Withdrawal Working'!$A$2:$A$78,0),FALSE)&gt;0,MIN(HLOOKUP(CONCATENATE("Balance",BP$3-1),'Withdrawal Working'!$A$2:$CD$78,MATCH('Yoy WAR OG'!$J79,'Withdrawal Working'!$A$2:$A$78,0),0),BL79),0)),IF($K79=VLOOKUP(BL$2,$B:$H,7,0),BL79,)),0)</f>
        <v>0</v>
      </c>
      <c r="BO79" s="58" t="e">
        <f t="shared" ca="1" si="106"/>
        <v>#REF!</v>
      </c>
      <c r="BR79" s="450" t="e">
        <f t="shared" ca="1" si="85"/>
        <v>#REF!</v>
      </c>
      <c r="BS79" s="58" t="e">
        <f ca="1">(VLOOKUP(BR$2,$B$1:$F$32,5,0)*$L79)+(VLOOKUP($K79,'Withdrawal Working'!$AD:$AE,2,0)*(IFERROR(VLOOKUP(BR$2,$B$35:$C$42,2,0),0)))</f>
        <v>#REF!</v>
      </c>
      <c r="BT79" s="58">
        <f ca="1">IFERROR(IF($K79&lt;VLOOKUP(BR$2,$B:$H,7,0),IF(BV$3=1,MIN($M79,BR79),IF(HLOOKUP(CONCATENATE("Balance",BV$3-1),'Withdrawal Working'!$A$2:$CD$78,MATCH('Yoy WAR OG'!$J79,'Withdrawal Working'!$A$2:$A$78,0),FALSE)&gt;0,MIN(HLOOKUP(CONCATENATE("Balance",BV$3-1),'Withdrawal Working'!$A$2:$CD$78,MATCH('Yoy WAR OG'!$J79,'Withdrawal Working'!$A$2:$A$78,0),0),BR79),0)),IF($K79=VLOOKUP(BR$2,$B:$H,7,0),BR79,)),0)</f>
        <v>0</v>
      </c>
      <c r="BU79" s="58" t="e">
        <f t="shared" ca="1" si="107"/>
        <v>#REF!</v>
      </c>
      <c r="BX79" s="450" t="e">
        <f t="shared" ca="1" si="86"/>
        <v>#REF!</v>
      </c>
      <c r="BY79" s="58" t="e">
        <f ca="1">(VLOOKUP(BX$2,$B$1:$F$32,5,0)*$L79)+(VLOOKUP($K79,'Withdrawal Working'!$AD:$AE,2,0)*(IFERROR(VLOOKUP(BX$2,$B$35:$C$42,2,0),0)))</f>
        <v>#REF!</v>
      </c>
      <c r="BZ79" s="58">
        <f ca="1">IFERROR(IF($K79&lt;VLOOKUP(BX$2,$B:$H,7,0),IF(CB$3=1,MIN($M79,BX79),IF(HLOOKUP(CONCATENATE("Balance",CB$3-1),'Withdrawal Working'!$A$2:$CD$78,MATCH('Yoy WAR OG'!$J79,'Withdrawal Working'!$A$2:$A$78,0),FALSE)&gt;0,MIN(HLOOKUP(CONCATENATE("Balance",CB$3-1),'Withdrawal Working'!$A$2:$CD$78,MATCH('Yoy WAR OG'!$J79,'Withdrawal Working'!$A$2:$A$78,0),0),BX79),0)),IF($K79=VLOOKUP(BX$2,$B:$H,7,0),BX79,)),0)</f>
        <v>0</v>
      </c>
      <c r="CA79" s="58" t="e">
        <f t="shared" ca="1" si="108"/>
        <v>#REF!</v>
      </c>
      <c r="CD79" s="450" t="e">
        <f t="shared" ca="1" si="87"/>
        <v>#REF!</v>
      </c>
      <c r="CE79" s="58" t="e">
        <f ca="1">(VLOOKUP(CD$2,$B$1:$F$32,5,0)*$L79)+(VLOOKUP($K79,'Withdrawal Working'!$AD:$AE,2,0)*(IFERROR(VLOOKUP(CD$2,$B$35:$C$42,2,0),0)))+SUMIFS('Key Life Events'!$I$3:$I$28,'Key Life Events'!$H$3:$H$28,"House",'Key Life Events'!$E$3:$E$28,'Yoy WAR OG'!K79)</f>
        <v>#REF!</v>
      </c>
      <c r="CF79" s="58">
        <f ca="1">IFERROR(IF($K79&lt;VLOOKUP(CD$2,$B:$H,7,0),IF(CH$3=1,MIN($M79,CD79),IF(HLOOKUP(CONCATENATE("Balance",CH$3-1),'Withdrawal Working'!$A$2:$CD$78,MATCH('Yoy WAR OG'!$J79,'Withdrawal Working'!$A$2:$A$78,0),FALSE)&gt;0,MIN(HLOOKUP(CONCATENATE("Balance",CH$3-1),'Withdrawal Working'!$A$2:$CD$78,MATCH('Yoy WAR OG'!$J79,'Withdrawal Working'!$A$2:$A$78,0),0),CD79),0)),IF($K79=VLOOKUP(CD$2,$B:$H,7,0),CD79,)),0)</f>
        <v>0</v>
      </c>
      <c r="CG79" s="58" t="e">
        <f t="shared" ca="1" si="109"/>
        <v>#REF!</v>
      </c>
      <c r="CJ79" s="450" t="e">
        <f t="shared" ca="1" si="88"/>
        <v>#REF!</v>
      </c>
      <c r="CK79" s="58" t="e">
        <f ca="1">(VLOOKUP(CJ$2,$B$1:$F$32,5,0)*$L79)+(VLOOKUP($K79,'Withdrawal Working'!$AD:$AE,2,0)*(IFERROR(VLOOKUP(CJ$2,$B$35:$C$42,2,0),0)))+SUMIFS('Key Life Events'!$I$3:$I$28,'Key Life Events'!$H$3:$H$28,"House2",'Key Life Events'!$E$3:$E$28,'Yoy WAR OG'!K79)</f>
        <v>#REF!</v>
      </c>
      <c r="CL79" s="58">
        <f ca="1">IF(IFERROR(IF($K79&lt;&gt;VLOOKUP(CJ$2,$B:$H,7,0),IF(CN$3=1,MIN($M79,CJ79),IF(HLOOKUP(CONCATENATE("Balance",CN$3-1),'Withdrawal Working'!$A$2:$CD$78,MATCH('Yoy WAR OG'!$J79,'Withdrawal Working'!$A$2:$A$78,0),FALSE)&gt;0,MIN(HLOOKUP(CONCATENATE("Balance",CN$3-1),'Withdrawal Working'!$A$2:$CD$78,MATCH('Yoy WAR OG'!$J79,'Withdrawal Working'!$A$2:$A$78,0),0),CJ79),0)),IF($K79=VLOOKUP(CJ$2,$B:$H,7,0),CJ79,)),0)&gt;0,CJ79,0)</f>
        <v>0</v>
      </c>
      <c r="CM79" s="58" t="e">
        <f t="shared" ca="1" si="110"/>
        <v>#REF!</v>
      </c>
      <c r="CP79" s="450" t="e">
        <f t="shared" ca="1" si="89"/>
        <v>#REF!</v>
      </c>
      <c r="CQ79" s="58" t="e">
        <f ca="1">(VLOOKUP(CP$2,$B$1:$F$32,5,0)*$L79)+(VLOOKUP($K79,'Withdrawal Working'!$AD:$AE,2,0)*(IFERROR(VLOOKUP(CP$2,$B$35:$C$42,2,0),0)))+SUMIFS('Key Life Events'!$I$3:$I$28,'Key Life Events'!$H$3:$H$28,"Land",'Key Life Events'!$E$3:$E$28,'Yoy WAR OG'!K79)</f>
        <v>#REF!</v>
      </c>
      <c r="CR79" s="58">
        <f ca="1">IFERROR(IF($K79&lt;VLOOKUP(CP$2,$B:$H,7,0),IF(CT$3=1,MIN($M79,CP79),IF(HLOOKUP(CONCATENATE("Balance",CT$3-1),'Withdrawal Working'!$A$2:$CD$78,MATCH('Yoy WAR OG'!$J79,'Withdrawal Working'!$A$2:$A$78,0),FALSE)&gt;0,MIN(HLOOKUP(CONCATENATE("Balance",CT$3-1),'Withdrawal Working'!$A$2:$CD$78,MATCH('Yoy WAR OG'!$J79,'Withdrawal Working'!$A$2:$A$78,0),0),CP79),0)),IF($K79=VLOOKUP(CP$2,$B:$H,7,0),CP79,)),0)</f>
        <v>0</v>
      </c>
      <c r="CS79" s="58" t="e">
        <f t="shared" ca="1" si="111"/>
        <v>#REF!</v>
      </c>
      <c r="CV79" s="450">
        <f t="shared" ca="1" si="90"/>
        <v>0</v>
      </c>
      <c r="CW79" s="58"/>
      <c r="CX79" s="58">
        <f ca="1">IFERROR(IF($K79&lt;VLOOKUP(CV$2,$B:$H,7,0),IF(CZ$3=1,MIN($M79,CV79),IF(HLOOKUP(CONCATENATE("Balance",CZ$3-1),'Withdrawal Working'!$A$2:$CD$78,MATCH('Yoy WAR OG'!$J79,'Withdrawal Working'!$A$2:$A$78,0),FALSE)&gt;0,MIN(HLOOKUP(CONCATENATE("Balance",CZ$3-1),'Withdrawal Working'!$A$2:$CD$78,MATCH('Yoy WAR OG'!$J79,'Withdrawal Working'!$A$2:$A$78,0),0),CV79),0)),IF($K79=VLOOKUP(CV$2,$B:$H,7,0),CV79,)),0)</f>
        <v>0</v>
      </c>
      <c r="CY79" s="58">
        <f t="shared" ca="1" si="112"/>
        <v>0</v>
      </c>
      <c r="DB79" s="450" t="e">
        <f t="shared" ca="1" si="91"/>
        <v>#REF!</v>
      </c>
      <c r="DC79" s="58" t="e">
        <f ca="1">(VLOOKUP(DB$2,$B$1:$F$32,5,0)*$L79)+(VLOOKUP($K79,'Withdrawal Working'!$AD:$AE,2,0)*(IFERROR(VLOOKUP(DB$2,$B$35:$C$42,2,0),0)))</f>
        <v>#REF!</v>
      </c>
      <c r="DD79" s="58">
        <f ca="1">IFERROR(IF($K79&lt;VLOOKUP(DB$2,$B:$H,7,0),IF(DF$3=1,MIN($M79,DB79),IF(HLOOKUP(CONCATENATE("Balance",DF$3-1),'Withdrawal Working'!$A$2:$CD$78,MATCH('Yoy WAR OG'!$J79,'Withdrawal Working'!$A$2:$A$78,0),FALSE)&gt;0,MIN(HLOOKUP(CONCATENATE("Balance",DF$3-1),'Withdrawal Working'!$A$2:$CD$78,MATCH('Yoy WAR OG'!$J79,'Withdrawal Working'!$A$2:$A$78,0),0),DB79),0)),IF($K79=VLOOKUP(DB$2,$B:$H,7,0),DB79,)),0)</f>
        <v>0</v>
      </c>
      <c r="DE79" s="58" t="e">
        <f t="shared" ca="1" si="113"/>
        <v>#REF!</v>
      </c>
      <c r="DH79" s="450">
        <f t="shared" ca="1" si="92"/>
        <v>0</v>
      </c>
      <c r="DI79" s="58">
        <f>IF(OR(J79&gt;'NWGC - SCENARIOS'!$D$7,J79='NWGC - SCENARIOS'!$D$7),0,DI78*(1+'NWGC - SCENARIOS'!$L$5))</f>
        <v>0</v>
      </c>
      <c r="DJ79" s="58">
        <f ca="1">IFERROR(IF($K79&lt;VLOOKUP(DH$2,$B:$H,7,0),IF(DL$3=1,MIN($M79,DH79),IF(HLOOKUP(CONCATENATE("Balance",DL$3-1),'Withdrawal Working'!$A$2:$CD$78,MATCH('Yoy WAR OG'!$J79,'Withdrawal Working'!$A$2:$A$78,0),FALSE)&gt;0,MIN(HLOOKUP(CONCATENATE("Balance",DL$3-1),'Withdrawal Working'!$A$2:$CD$78,MATCH('Yoy WAR OG'!$J79,'Withdrawal Working'!$A$2:$A$78,0),0),DH79),0)),IF($K79=VLOOKUP(DH$2,$B:$H,7,0),DH79,)),0)</f>
        <v>0</v>
      </c>
      <c r="DK79" s="58">
        <f t="shared" ca="1" si="114"/>
        <v>0</v>
      </c>
      <c r="DN79" s="450" t="e">
        <f t="shared" ca="1" si="93"/>
        <v>#REF!</v>
      </c>
      <c r="DO79" s="58" t="e">
        <f ca="1">(VLOOKUP(DN$2,$B$1:$F$32,5,0)*$L79)+(VLOOKUP($K79,'Withdrawal Working'!$AD:$AE,2,0)*(IFERROR(VLOOKUP(DN$2,$B$35:$C$42,2,0),0)))</f>
        <v>#REF!</v>
      </c>
      <c r="DP79" s="58">
        <f ca="1">IFERROR(IF($K79&lt;VLOOKUP(DN$2,$B:$H,7,0),IF(DR$3=1,MIN($M79,DN79),IF(HLOOKUP(CONCATENATE("Balance",DR$3-1),'Withdrawal Working'!$A$2:$CD$78,MATCH('Yoy WAR OG'!$J79,'Withdrawal Working'!$A$2:$A$78,0),FALSE)&gt;0,MIN(HLOOKUP(CONCATENATE("Balance",DR$3-1),'Withdrawal Working'!$A$2:$CD$78,MATCH('Yoy WAR OG'!$J79,'Withdrawal Working'!$A$2:$A$78,0),0),DN79),0)),IF($K79=VLOOKUP(DN$2,$B:$H,7,0),DN79,)),0)</f>
        <v>0</v>
      </c>
      <c r="DQ79" s="58" t="e">
        <f t="shared" ca="1" si="115"/>
        <v>#REF!</v>
      </c>
      <c r="DT79" s="450" t="e">
        <f t="shared" ca="1" si="94"/>
        <v>#REF!</v>
      </c>
      <c r="DU79" s="58" t="e">
        <f ca="1">(VLOOKUP(DT$2,$B$1:$F$32,5,0)*$L79)+(VLOOKUP($K79,'Withdrawal Working'!$AD:$AE,2,0)*(IFERROR(VLOOKUP(DT$2,$B$35:$C$42,2,0),0)))</f>
        <v>#REF!</v>
      </c>
      <c r="DV79" s="58">
        <f ca="1">IFERROR(IF($K79&lt;VLOOKUP(DT$2,$B:$H,7,0),IF(DX$3=1,MIN($M79,DT79),IF(HLOOKUP(CONCATENATE("Balance",DX$3-1),'Withdrawal Working'!$A$2:$CD$78,MATCH('Yoy WAR OG'!$J79,'Withdrawal Working'!$A$2:$A$78,0),FALSE)&gt;0,MIN(HLOOKUP(CONCATENATE("Balance",DX$3-1),'Withdrawal Working'!$A$2:$CD$78,MATCH('Yoy WAR OG'!$J79,'Withdrawal Working'!$A$2:$A$78,0),0),DT79),0)),IF($K79=VLOOKUP(DT$2,$B:$H,7,0),DT79,)),0)</f>
        <v>0</v>
      </c>
      <c r="DW79" s="58" t="e">
        <f t="shared" ca="1" si="116"/>
        <v>#REF!</v>
      </c>
      <c r="DZ79" s="450" t="e">
        <f t="shared" ca="1" si="95"/>
        <v>#REF!</v>
      </c>
      <c r="EA79" s="58" t="e">
        <f ca="1">(VLOOKUP(DZ$2,$B$1:$F$32,5,0)*$L79)+(VLOOKUP($K79,'Withdrawal Working'!$AD:$AE,2,0)*(IFERROR(VLOOKUP(DZ$2,$B$35:$C$42,2,0),0)))</f>
        <v>#REF!</v>
      </c>
      <c r="EB79" s="58">
        <f ca="1">IFERROR(IF($K79&lt;VLOOKUP(DZ$2,$B:$H,7,0),IF(ED$3=1,MIN($M79,DZ79),IF(HLOOKUP(CONCATENATE("Balance",ED$3-1),'Withdrawal Working'!$A$2:$CD$78,MATCH('Yoy WAR OG'!$J79,'Withdrawal Working'!$A$2:$A$78,0),FALSE)&gt;0,MIN(HLOOKUP(CONCATENATE("Balance",ED$3-1),'Withdrawal Working'!$A$2:$CD$78,MATCH('Yoy WAR OG'!$J79,'Withdrawal Working'!$A$2:$A$78,0),0),DZ79),0)),IF($K79=VLOOKUP(DZ$2,$B:$H,7,0),DZ79,)),0)</f>
        <v>0</v>
      </c>
      <c r="EC79" s="58" t="e">
        <f t="shared" ca="1" si="117"/>
        <v>#REF!</v>
      </c>
      <c r="EF79" s="450" t="e">
        <f t="shared" ca="1" si="96"/>
        <v>#REF!</v>
      </c>
      <c r="EG79" s="58" t="e">
        <f ca="1">(VLOOKUP(EF$2,$B$1:$F$32,5,0)*$L79)+(VLOOKUP($K79,'Withdrawal Working'!$AD:$AE,2,0)*(IFERROR(VLOOKUP(EF$2,$B$35:$C$42,2,0),0)))</f>
        <v>#REF!</v>
      </c>
      <c r="EH79" s="58">
        <f ca="1">IFERROR(IF($K79&lt;VLOOKUP(EF$2,$B:$H,7,0),IF(EJ$3=1,MIN($M79,EF79),IF(HLOOKUP(CONCATENATE("Balance",EJ$3-1),'Withdrawal Working'!$A$2:$CD$78,MATCH('Yoy WAR OG'!$J79,'Withdrawal Working'!$A$2:$A$78,0),FALSE)&gt;0,MIN(HLOOKUP(CONCATENATE("Balance",EJ$3-1),'Withdrawal Working'!$A$2:$CD$78,MATCH('Yoy WAR OG'!$J79,'Withdrawal Working'!$A$2:$A$78,0),0),EF79),0)),IF($K79=VLOOKUP(EF$2,$B:$H,7,0),EF79,)),0)</f>
        <v>0</v>
      </c>
      <c r="EI79" s="58" t="e">
        <f t="shared" ca="1" si="118"/>
        <v>#REF!</v>
      </c>
      <c r="EL79" s="450">
        <f t="shared" ca="1" si="97"/>
        <v>0</v>
      </c>
      <c r="EM79" s="58">
        <f>IF(OR($J79&gt;'NWGC - SCENARIOS'!$D$7,$J79='NWGC - SCENARIOS'!$D$7),0,EM78)</f>
        <v>0</v>
      </c>
      <c r="EN79" s="58">
        <f ca="1">IFERROR(IF($K79&lt;VLOOKUP(EL$2,$B:$H,7,0),IF(EP$3=1,MIN($M79,EL79),IF(HLOOKUP(CONCATENATE("Balance",EP$3-1),'Withdrawal Working'!$A$2:$CD$78,MATCH('Yoy WAR OG'!$J79,'Withdrawal Working'!$A$2:$A$78,0),FALSE)&gt;0,MIN(HLOOKUP(CONCATENATE("Balance",EP$3-1),'Withdrawal Working'!$A$2:$CD$78,MATCH('Yoy WAR OG'!$J79,'Withdrawal Working'!$A$2:$A$78,0),0),EL79),0)),IF($K79=VLOOKUP(EL$2,$B:$H,7,0),EL79,)),0)</f>
        <v>0</v>
      </c>
      <c r="EO79" s="58">
        <f t="shared" ca="1" si="119"/>
        <v>0</v>
      </c>
      <c r="ER79" s="450">
        <f t="shared" ca="1" si="98"/>
        <v>0</v>
      </c>
      <c r="ES79" s="58">
        <f>IF(OR(J79&gt;'NWGC - SCENARIOS'!$D$7,J79='NWGC - SCENARIOS'!$D$7),0,ES78*(1+'NWGC - SCENARIOS'!$L$5))</f>
        <v>0</v>
      </c>
      <c r="ET79" s="58">
        <f ca="1">IFERROR(IF($K79&lt;VLOOKUP(ER$2,$B:$H,7,0),IF(EV$3=1,MIN($M79,ER79),IF(HLOOKUP(CONCATENATE("Balance",EV$3-1),'Withdrawal Working'!$A$2:$CD$78,MATCH('Yoy WAR OG'!$J79,'Withdrawal Working'!$A$2:$A$78,0),FALSE)&gt;0,MIN(HLOOKUP(CONCATENATE("Balance",EV$3-1),'Withdrawal Working'!$A$2:$CD$78,MATCH('Yoy WAR OG'!$J79,'Withdrawal Working'!$A$2:$A$78,0),0),ER79),0)),IF($K79=VLOOKUP(ER$2,$B:$H,7,0),ER79,)),0)</f>
        <v>0</v>
      </c>
      <c r="EU79" s="58">
        <f t="shared" ca="1" si="120"/>
        <v>0</v>
      </c>
      <c r="EX79" s="450">
        <f t="shared" ca="1" si="99"/>
        <v>0</v>
      </c>
      <c r="EY79" s="58">
        <f>IF(OR(J79&gt;'NWGC - SCENARIOS'!$D$7,J79='NWGC - SCENARIOS'!$D$7),0,EY78)</f>
        <v>0</v>
      </c>
      <c r="EZ79" s="58">
        <f ca="1">IFERROR(IF($K79&lt;VLOOKUP(EX$2,$B:$H,7,0),IF(FB$3=1,MIN($M79,EX79),IF(HLOOKUP(CONCATENATE("Balance",FB$3-1),'Withdrawal Working'!$A$2:$CD$78,MATCH('Yoy WAR OG'!$J79,'Withdrawal Working'!$A$2:$A$78,0),FALSE)&gt;0,MIN(HLOOKUP(CONCATENATE("Balance",FB$3-1),'Withdrawal Working'!$A$2:$CD$78,MATCH('Yoy WAR OG'!$J79,'Withdrawal Working'!$A$2:$A$78,0),0),EX79),0)),IF($K79=VLOOKUP(EX$2,$B:$H,7,0),EX79,)),0)</f>
        <v>0</v>
      </c>
      <c r="FA79" s="58">
        <f t="shared" ca="1" si="121"/>
        <v>0</v>
      </c>
    </row>
    <row r="80" spans="10:157" x14ac:dyDescent="0.3">
      <c r="J80">
        <f>IFERROR('NWGC - SCENARIOS'!#REF!,0)</f>
        <v>0</v>
      </c>
      <c r="K80">
        <f>IFERROR('NWGC - SCENARIOS'!#REF!,0)</f>
        <v>0</v>
      </c>
      <c r="L80" s="449" t="e">
        <f>IF(('NWGC - SCENARIOS'!#REF!-working!G78)&gt;'NWGC - SCENARIOS'!#REF!,'NWGC - SCENARIOS'!#REF!-'NWGC - SCENARIOS'!#REF!-working!G78,0)</f>
        <v>#REF!</v>
      </c>
      <c r="M80" s="449" t="e">
        <f>IF(('NWGC - SCENARIOS'!#REF!-working!G78)&gt;'NWGC - SCENARIOS'!#REF!,0,'NWGC - SCENARIOS'!#REF!-'NWGC - SCENARIOS'!#REF!+working!G78)</f>
        <v>#REF!</v>
      </c>
      <c r="N80" s="58" t="e">
        <f t="shared" ca="1" si="50"/>
        <v>#REF!</v>
      </c>
      <c r="O80" s="58" t="e">
        <f t="shared" ca="1" si="51"/>
        <v>#REF!</v>
      </c>
      <c r="P80" s="58" t="e">
        <f t="shared" ca="1" si="76"/>
        <v>#REF!</v>
      </c>
      <c r="Q80" s="58" t="e">
        <f ca="1">(VLOOKUP(P$2,$B$1:$F$32,5,0)*$L80)+(VLOOKUP($K80,'Withdrawal Working'!$AD:$AE,2,0)*(IFERROR(VLOOKUP(P$2,$B$35:$C$42,2,0),0)))</f>
        <v>#REF!</v>
      </c>
      <c r="R80" s="58">
        <f>IFERROR(IF($K80&lt;VLOOKUP(P$2,$B:$H,7,0),IF(T$3=1,MIN($M80,P80),IF(HLOOKUP(CONCATENATE("Balance",T$3-1),'Withdrawal Working'!$A$2:$CD$78,MATCH('Yoy WAR OG'!$J80,'Withdrawal Working'!$A$2:$A$78,0),FALSE)&gt;0,MIN(HLOOKUP(CONCATENATE("Balance",T$3-1),'Withdrawal Working'!$A$2:$CD$78,MATCH('Yoy WAR OG'!$J80,'Withdrawal Working'!$A$2:$A$78,0),0),P80),0)),IF($K80=VLOOKUP(P$2,$B:$H,7,0),P80,)),0)</f>
        <v>0</v>
      </c>
      <c r="S80" s="58" t="e">
        <f t="shared" ca="1" si="122"/>
        <v>#REF!</v>
      </c>
      <c r="T80" s="58"/>
      <c r="V80" s="58" t="e">
        <f t="shared" ca="1" si="77"/>
        <v>#REF!</v>
      </c>
      <c r="W80" s="58" t="e">
        <f ca="1">(VLOOKUP(V$2,$B$1:$F$32,5,0)*$L80)+(VLOOKUP($K80,'Withdrawal Working'!$AD:$AE,2,0)*(IFERROR(VLOOKUP(V$2,$B$35:$C$42,2,0),0)))</f>
        <v>#REF!</v>
      </c>
      <c r="X80" s="58">
        <f>IFERROR(IF($K80&lt;VLOOKUP(V$2,$B:$H,7,0),IF(Z$3=1,MIN($M80,V80),IF(HLOOKUP(CONCATENATE("Balance",Z$3-1),'Withdrawal Working'!$A$2:$CD$78,MATCH('Yoy WAR OG'!$J80,'Withdrawal Working'!$A$2:$A$78,0),FALSE)&gt;0,MIN(HLOOKUP(CONCATENATE("Balance",Z$3-1),'Withdrawal Working'!$A$2:$CD$78,MATCH('Yoy WAR OG'!$J80,'Withdrawal Working'!$A$2:$A$78,0),0),V80),0)),IF($K80=VLOOKUP(V$2,$B:$H,7,0),V80,)),0)</f>
        <v>0</v>
      </c>
      <c r="Y80" s="58" t="e">
        <f t="shared" ca="1" si="100"/>
        <v>#REF!</v>
      </c>
      <c r="AB80" s="58" t="e">
        <f t="shared" ca="1" si="78"/>
        <v>#REF!</v>
      </c>
      <c r="AC80" s="58" t="e">
        <f ca="1">(VLOOKUP(AB$2,$B$1:$F$32,5,0)*$L80)+(VLOOKUP($K80,'Withdrawal Working'!$AD:$AE,2,0)*(IFERROR(VLOOKUP(AB$2,$B$35:$C$42,2,0),0)))</f>
        <v>#REF!</v>
      </c>
      <c r="AE80" s="58" t="e">
        <f t="shared" ca="1" si="101"/>
        <v>#REF!</v>
      </c>
      <c r="AH80" s="58" t="e">
        <f t="shared" ca="1" si="79"/>
        <v>#REF!</v>
      </c>
      <c r="AI80" s="58" t="e">
        <f ca="1">(VLOOKUP(AH$2,$B$1:$F$32,5,0)*$L80)+IF(J80&gt;'NWGC - SCENARIOS'!$D$7,0,(VLOOKUP($K80,'Withdrawal Working'!$AD:$AE,2,0)*(IFERROR(VLOOKUP(AH$2,$B$35:$C$42,2,0),0))))</f>
        <v>#REF!</v>
      </c>
      <c r="AJ80" s="58">
        <f ca="1">IFERROR(IF($J80&gt;'NWGC - SCENARIOS'!$D$7,MIN('Yoy WAR OG'!AH80,VLOOKUP('Yoy WAR OG'!$J80,'Withdrawal Working'!BC:BD,2,0)),IF(AL$3=1,$M80,IF(HLOOKUP(CONCATENATE("Balance",AL$3-1),'Withdrawal Working'!$A$2:$CD$78,MATCH('Yoy WAR OG'!$J80,'Withdrawal Working'!$A$2:$A$78,0),FALSE)&gt;0,MIN(HLOOKUP(CONCATENATE("Balance",AL$3-1),'Withdrawal Working'!$A$2:$CD$78,MATCH('Yoy WAR OG'!$J80,'Withdrawal Working'!$A$2:$A$78,0),0),AH80),0))),0)</f>
        <v>0</v>
      </c>
      <c r="AK80" s="58" t="e">
        <f t="shared" ca="1" si="102"/>
        <v>#REF!</v>
      </c>
      <c r="AN80" s="450" t="e">
        <f t="shared" ca="1" si="80"/>
        <v>#REF!</v>
      </c>
      <c r="AO80" s="58" t="e">
        <f ca="1">IF(J80&gt;'NWGC - SCENARIOS'!$D$7,(IF(AJ80=0,0,'Yoy WAR OG'!AJ80)+(VLOOKUP(AN$2,$B$1:$F$32,5,0)*$L80)),(VLOOKUP(AN$2,$B$1:$F$32,5,0)*$L80)+(VLOOKUP($K80,'Withdrawal Working'!$AD:$AE,2,0)*(IFERROR(VLOOKUP(AN$2,$B$35:$C$42,2,0),0))))</f>
        <v>#REF!</v>
      </c>
      <c r="AP80" s="470">
        <f ca="1">IFERROR(IF($K80&lt;&gt;VLOOKUP(AN$2,$B:$H,7,0),IF(AR$3=1,MIN($M80,AN80),IF(HLOOKUP(CONCATENATE("Balance",AR$3-1),'Withdrawal Working'!$A$2:$CD$78,MATCH('Yoy WAR OG'!$J80,'Withdrawal Working'!$A$2:$A$78,0),FALSE)&gt;0,MIN(HLOOKUP(CONCATENATE("Balance",AR$3-1),'Withdrawal Working'!$A$2:$CD$78,MATCH('Yoy WAR OG'!$J80,'Withdrawal Working'!$A$2:$A$78,0),0),AN80),0)),IF($K80=VLOOKUP(AN$2,$B:$H,7,0),AN80,)),0)</f>
        <v>0</v>
      </c>
      <c r="AQ80" s="58" t="e">
        <f ca="1">IF(AO80&lt;0,0,IF(J80&gt;'NWGC - SCENARIOS'!$D$7,((AN80-AP80+AO80)*(1+(IFERROR(VLOOKUP(AN$2,$B:$D,3,0),0)))),((AN80-AP80)*(1+(IFERROR(VLOOKUP(AN$2,$B:$D,3,0),0))))+AO80))</f>
        <v>#REF!</v>
      </c>
      <c r="AT80" s="450" t="e">
        <f t="shared" ca="1" si="81"/>
        <v>#REF!</v>
      </c>
      <c r="AU80" s="58" t="e">
        <f ca="1">(VLOOKUP(AT$2,$B$1:$F$32,5,0)*$L80)+(VLOOKUP($K80,'Withdrawal Working'!$AD:$AE,2,0)*(IFERROR(VLOOKUP(AT$2,$B$35:$C$42,2,0),0)))</f>
        <v>#REF!</v>
      </c>
      <c r="AV80" s="58">
        <f>IFERROR(IF($K80&lt;VLOOKUP(AT$2,$B:$H,7,0),IF(AX$3=1,MIN($M80,AT80),IF(HLOOKUP(CONCATENATE("Balance",AX$3-1),'Withdrawal Working'!$A$2:$CD$78,MATCH('Yoy WAR OG'!$J80,'Withdrawal Working'!$A$2:$A$78,0),FALSE)&gt;0,MIN(HLOOKUP(CONCATENATE("Balance",AX$3-1),'Withdrawal Working'!$A$2:$CD$78,MATCH('Yoy WAR OG'!$J80,'Withdrawal Working'!$A$2:$A$78,0),0),AT80),0)),IF($K80=VLOOKUP(AT$2,$B:$H,7,0),AT80,)),0)</f>
        <v>0</v>
      </c>
      <c r="AW80" s="58" t="e">
        <f t="shared" ca="1" si="103"/>
        <v>#REF!</v>
      </c>
      <c r="AZ80" s="450" t="e">
        <f t="shared" ca="1" si="82"/>
        <v>#REF!</v>
      </c>
      <c r="BA80" s="58" t="e">
        <f ca="1">(VLOOKUP(AZ$2,$B$1:$F$32,5,0)*$L80)+(VLOOKUP($K80,'Withdrawal Working'!$AD:$AE,2,0)*(IFERROR(VLOOKUP(AZ$2,$B$35:$C$42,2,0),0)))</f>
        <v>#REF!</v>
      </c>
      <c r="BB80" s="58">
        <f ca="1">IFERROR(IF($K80&lt;VLOOKUP(AZ$2,$B:$H,7,0),IF(BD$3=1,MIN($M80,AZ80),IF(HLOOKUP(CONCATENATE("Balance",BD$3-1),'Withdrawal Working'!$A$2:$CD$78,MATCH('Yoy WAR OG'!$J80,'Withdrawal Working'!$A$2:$A$78,0),FALSE)&gt;0,MIN(HLOOKUP(CONCATENATE("Balance",BD$3-1),'Withdrawal Working'!$A$2:$CD$78,MATCH('Yoy WAR OG'!$J80,'Withdrawal Working'!$A$2:$A$78,0),0),AZ80),0)),IF($K80=VLOOKUP(AZ$2,$B:$H,7,0),AZ80,)),0)</f>
        <v>0</v>
      </c>
      <c r="BC80" s="58" t="e">
        <f t="shared" ca="1" si="104"/>
        <v>#REF!</v>
      </c>
      <c r="BF80" s="450" t="e">
        <f t="shared" ca="1" si="83"/>
        <v>#REF!</v>
      </c>
      <c r="BG80" s="58" t="e">
        <f ca="1">(VLOOKUP(BF$2,$B$1:$F$32,5,0)*$L80)+(VLOOKUP($K80,'Withdrawal Working'!$AD:$AE,2,0)*(IFERROR(VLOOKUP(BF$2,$B$35:$C$42,2,0),0)))</f>
        <v>#REF!</v>
      </c>
      <c r="BH80" s="58">
        <f>IFERROR(IF($K80&lt;VLOOKUP(BF$2,$B:$H,7,0),IF(BJ$3=1,MIN($M80,BF80),IF(HLOOKUP(CONCATENATE("Balance",BJ$3-1),'Withdrawal Working'!$A$2:$CD$78,MATCH('Yoy WAR OG'!$J80,'Withdrawal Working'!$A$2:$A$78,0),FALSE)&gt;0,MIN(HLOOKUP(CONCATENATE("Balance",BJ$3-1),'Withdrawal Working'!$A$2:$CD$78,MATCH('Yoy WAR OG'!$J80,'Withdrawal Working'!$A$2:$A$78,0),0),BF80),0)),IF($K80=VLOOKUP(BF$2,$B:$H,7,0),BF80,)),0)</f>
        <v>0</v>
      </c>
      <c r="BI80" s="58" t="e">
        <f t="shared" ca="1" si="105"/>
        <v>#REF!</v>
      </c>
      <c r="BL80" s="450" t="e">
        <f t="shared" ca="1" si="84"/>
        <v>#REF!</v>
      </c>
      <c r="BM80" s="58" t="e">
        <f ca="1">(VLOOKUP(BL$2,$B$1:$F$32,5,0)*$L80)+(VLOOKUP($K80,'Withdrawal Working'!$AD:$AE,2,0)*(IFERROR(VLOOKUP(BL$2,$B$35:$C$42,2,0),0)))</f>
        <v>#REF!</v>
      </c>
      <c r="BN80" s="58">
        <f ca="1">IFERROR(IF($K80&lt;VLOOKUP(BL$2,$B:$H,7,0),IF(BP$3=1,MIN($M80,BL80),IF(HLOOKUP(CONCATENATE("Balance",BP$3-1),'Withdrawal Working'!$A$2:$CD$78,MATCH('Yoy WAR OG'!$J80,'Withdrawal Working'!$A$2:$A$78,0),FALSE)&gt;0,MIN(HLOOKUP(CONCATENATE("Balance",BP$3-1),'Withdrawal Working'!$A$2:$CD$78,MATCH('Yoy WAR OG'!$J80,'Withdrawal Working'!$A$2:$A$78,0),0),BL80),0)),IF($K80=VLOOKUP(BL$2,$B:$H,7,0),BL80,)),0)</f>
        <v>0</v>
      </c>
      <c r="BO80" s="58" t="e">
        <f t="shared" ca="1" si="106"/>
        <v>#REF!</v>
      </c>
      <c r="BR80" s="450" t="e">
        <f t="shared" ca="1" si="85"/>
        <v>#REF!</v>
      </c>
      <c r="BS80" s="58" t="e">
        <f ca="1">(VLOOKUP(BR$2,$B$1:$F$32,5,0)*$L80)+(VLOOKUP($K80,'Withdrawal Working'!$AD:$AE,2,0)*(IFERROR(VLOOKUP(BR$2,$B$35:$C$42,2,0),0)))</f>
        <v>#REF!</v>
      </c>
      <c r="BT80" s="58">
        <f ca="1">IFERROR(IF($K80&lt;VLOOKUP(BR$2,$B:$H,7,0),IF(BV$3=1,MIN($M80,BR80),IF(HLOOKUP(CONCATENATE("Balance",BV$3-1),'Withdrawal Working'!$A$2:$CD$78,MATCH('Yoy WAR OG'!$J80,'Withdrawal Working'!$A$2:$A$78,0),FALSE)&gt;0,MIN(HLOOKUP(CONCATENATE("Balance",BV$3-1),'Withdrawal Working'!$A$2:$CD$78,MATCH('Yoy WAR OG'!$J80,'Withdrawal Working'!$A$2:$A$78,0),0),BR80),0)),IF($K80=VLOOKUP(BR$2,$B:$H,7,0),BR80,)),0)</f>
        <v>0</v>
      </c>
      <c r="BU80" s="58" t="e">
        <f t="shared" ca="1" si="107"/>
        <v>#REF!</v>
      </c>
      <c r="BX80" s="450" t="e">
        <f t="shared" ca="1" si="86"/>
        <v>#REF!</v>
      </c>
      <c r="BY80" s="58" t="e">
        <f ca="1">(VLOOKUP(BX$2,$B$1:$F$32,5,0)*$L80)+(VLOOKUP($K80,'Withdrawal Working'!$AD:$AE,2,0)*(IFERROR(VLOOKUP(BX$2,$B$35:$C$42,2,0),0)))</f>
        <v>#REF!</v>
      </c>
      <c r="BZ80" s="58">
        <f ca="1">IFERROR(IF($K80&lt;VLOOKUP(BX$2,$B:$H,7,0),IF(CB$3=1,MIN($M80,BX80),IF(HLOOKUP(CONCATENATE("Balance",CB$3-1),'Withdrawal Working'!$A$2:$CD$78,MATCH('Yoy WAR OG'!$J80,'Withdrawal Working'!$A$2:$A$78,0),FALSE)&gt;0,MIN(HLOOKUP(CONCATENATE("Balance",CB$3-1),'Withdrawal Working'!$A$2:$CD$78,MATCH('Yoy WAR OG'!$J80,'Withdrawal Working'!$A$2:$A$78,0),0),BX80),0)),IF($K80=VLOOKUP(BX$2,$B:$H,7,0),BX80,)),0)</f>
        <v>0</v>
      </c>
      <c r="CA80" s="58" t="e">
        <f t="shared" ca="1" si="108"/>
        <v>#REF!</v>
      </c>
      <c r="CD80" s="450" t="e">
        <f t="shared" ca="1" si="87"/>
        <v>#REF!</v>
      </c>
      <c r="CE80" s="58" t="e">
        <f ca="1">(VLOOKUP(CD$2,$B$1:$F$32,5,0)*$L80)+(VLOOKUP($K80,'Withdrawal Working'!$AD:$AE,2,0)*(IFERROR(VLOOKUP(CD$2,$B$35:$C$42,2,0),0)))+SUMIFS('Key Life Events'!$I$3:$I$28,'Key Life Events'!$H$3:$H$28,"House",'Key Life Events'!$E$3:$E$28,'Yoy WAR OG'!K80)</f>
        <v>#REF!</v>
      </c>
      <c r="CF80" s="58">
        <f ca="1">IFERROR(IF($K80&lt;VLOOKUP(CD$2,$B:$H,7,0),IF(CH$3=1,MIN($M80,CD80),IF(HLOOKUP(CONCATENATE("Balance",CH$3-1),'Withdrawal Working'!$A$2:$CD$78,MATCH('Yoy WAR OG'!$J80,'Withdrawal Working'!$A$2:$A$78,0),FALSE)&gt;0,MIN(HLOOKUP(CONCATENATE("Balance",CH$3-1),'Withdrawal Working'!$A$2:$CD$78,MATCH('Yoy WAR OG'!$J80,'Withdrawal Working'!$A$2:$A$78,0),0),CD80),0)),IF($K80=VLOOKUP(CD$2,$B:$H,7,0),CD80,)),0)</f>
        <v>0</v>
      </c>
      <c r="CG80" s="58" t="e">
        <f t="shared" ca="1" si="109"/>
        <v>#REF!</v>
      </c>
      <c r="CJ80" s="450" t="e">
        <f t="shared" ca="1" si="88"/>
        <v>#REF!</v>
      </c>
      <c r="CK80" s="58" t="e">
        <f ca="1">(VLOOKUP(CJ$2,$B$1:$F$32,5,0)*$L80)+(VLOOKUP($K80,'Withdrawal Working'!$AD:$AE,2,0)*(IFERROR(VLOOKUP(CJ$2,$B$35:$C$42,2,0),0)))+SUMIFS('Key Life Events'!$I$3:$I$28,'Key Life Events'!$H$3:$H$28,"House2",'Key Life Events'!$E$3:$E$28,'Yoy WAR OG'!K80)</f>
        <v>#REF!</v>
      </c>
      <c r="CL80" s="58">
        <f ca="1">IF(IFERROR(IF($K80&lt;&gt;VLOOKUP(CJ$2,$B:$H,7,0),IF(CN$3=1,MIN($M80,CJ80),IF(HLOOKUP(CONCATENATE("Balance",CN$3-1),'Withdrawal Working'!$A$2:$CD$78,MATCH('Yoy WAR OG'!$J80,'Withdrawal Working'!$A$2:$A$78,0),FALSE)&gt;0,MIN(HLOOKUP(CONCATENATE("Balance",CN$3-1),'Withdrawal Working'!$A$2:$CD$78,MATCH('Yoy WAR OG'!$J80,'Withdrawal Working'!$A$2:$A$78,0),0),CJ80),0)),IF($K80=VLOOKUP(CJ$2,$B:$H,7,0),CJ80,)),0)&gt;0,CJ80,0)</f>
        <v>0</v>
      </c>
      <c r="CM80" s="58" t="e">
        <f t="shared" ca="1" si="110"/>
        <v>#REF!</v>
      </c>
      <c r="CP80" s="450" t="e">
        <f t="shared" ca="1" si="89"/>
        <v>#REF!</v>
      </c>
      <c r="CQ80" s="58" t="e">
        <f ca="1">(VLOOKUP(CP$2,$B$1:$F$32,5,0)*$L80)+(VLOOKUP($K80,'Withdrawal Working'!$AD:$AE,2,0)*(IFERROR(VLOOKUP(CP$2,$B$35:$C$42,2,0),0)))+SUMIFS('Key Life Events'!$I$3:$I$28,'Key Life Events'!$H$3:$H$28,"Land",'Key Life Events'!$E$3:$E$28,'Yoy WAR OG'!K80)</f>
        <v>#REF!</v>
      </c>
      <c r="CR80" s="58">
        <f ca="1">IFERROR(IF($K80&lt;VLOOKUP(CP$2,$B:$H,7,0),IF(CT$3=1,MIN($M80,CP80),IF(HLOOKUP(CONCATENATE("Balance",CT$3-1),'Withdrawal Working'!$A$2:$CD$78,MATCH('Yoy WAR OG'!$J80,'Withdrawal Working'!$A$2:$A$78,0),FALSE)&gt;0,MIN(HLOOKUP(CONCATENATE("Balance",CT$3-1),'Withdrawal Working'!$A$2:$CD$78,MATCH('Yoy WAR OG'!$J80,'Withdrawal Working'!$A$2:$A$78,0),0),CP80),0)),IF($K80=VLOOKUP(CP$2,$B:$H,7,0),CP80,)),0)</f>
        <v>0</v>
      </c>
      <c r="CS80" s="58" t="e">
        <f t="shared" ca="1" si="111"/>
        <v>#REF!</v>
      </c>
      <c r="CV80" s="450">
        <f t="shared" ca="1" si="90"/>
        <v>0</v>
      </c>
      <c r="CW80" s="58"/>
      <c r="CX80" s="58">
        <f ca="1">IFERROR(IF($K80&lt;VLOOKUP(CV$2,$B:$H,7,0),IF(CZ$3=1,MIN($M80,CV80),IF(HLOOKUP(CONCATENATE("Balance",CZ$3-1),'Withdrawal Working'!$A$2:$CD$78,MATCH('Yoy WAR OG'!$J80,'Withdrawal Working'!$A$2:$A$78,0),FALSE)&gt;0,MIN(HLOOKUP(CONCATENATE("Balance",CZ$3-1),'Withdrawal Working'!$A$2:$CD$78,MATCH('Yoy WAR OG'!$J80,'Withdrawal Working'!$A$2:$A$78,0),0),CV80),0)),IF($K80=VLOOKUP(CV$2,$B:$H,7,0),CV80,)),0)</f>
        <v>0</v>
      </c>
      <c r="CY80" s="58">
        <f t="shared" ca="1" si="112"/>
        <v>0</v>
      </c>
      <c r="DB80" s="450" t="e">
        <f t="shared" ca="1" si="91"/>
        <v>#REF!</v>
      </c>
      <c r="DC80" s="58" t="e">
        <f ca="1">(VLOOKUP(DB$2,$B$1:$F$32,5,0)*$L80)+(VLOOKUP($K80,'Withdrawal Working'!$AD:$AE,2,0)*(IFERROR(VLOOKUP(DB$2,$B$35:$C$42,2,0),0)))</f>
        <v>#REF!</v>
      </c>
      <c r="DD80" s="58">
        <f ca="1">IFERROR(IF($K80&lt;VLOOKUP(DB$2,$B:$H,7,0),IF(DF$3=1,MIN($M80,DB80),IF(HLOOKUP(CONCATENATE("Balance",DF$3-1),'Withdrawal Working'!$A$2:$CD$78,MATCH('Yoy WAR OG'!$J80,'Withdrawal Working'!$A$2:$A$78,0),FALSE)&gt;0,MIN(HLOOKUP(CONCATENATE("Balance",DF$3-1),'Withdrawal Working'!$A$2:$CD$78,MATCH('Yoy WAR OG'!$J80,'Withdrawal Working'!$A$2:$A$78,0),0),DB80),0)),IF($K80=VLOOKUP(DB$2,$B:$H,7,0),DB80,)),0)</f>
        <v>0</v>
      </c>
      <c r="DE80" s="58" t="e">
        <f t="shared" ca="1" si="113"/>
        <v>#REF!</v>
      </c>
      <c r="DH80" s="450">
        <f t="shared" ca="1" si="92"/>
        <v>0</v>
      </c>
      <c r="DI80" s="58">
        <f>IF(OR(J80&gt;'NWGC - SCENARIOS'!$D$7,J80='NWGC - SCENARIOS'!$D$7),0,DI79*(1+'NWGC - SCENARIOS'!$L$5))</f>
        <v>0</v>
      </c>
      <c r="DJ80" s="58">
        <f ca="1">IFERROR(IF($K80&lt;VLOOKUP(DH$2,$B:$H,7,0),IF(DL$3=1,MIN($M80,DH80),IF(HLOOKUP(CONCATENATE("Balance",DL$3-1),'Withdrawal Working'!$A$2:$CD$78,MATCH('Yoy WAR OG'!$J80,'Withdrawal Working'!$A$2:$A$78,0),FALSE)&gt;0,MIN(HLOOKUP(CONCATENATE("Balance",DL$3-1),'Withdrawal Working'!$A$2:$CD$78,MATCH('Yoy WAR OG'!$J80,'Withdrawal Working'!$A$2:$A$78,0),0),DH80),0)),IF($K80=VLOOKUP(DH$2,$B:$H,7,0),DH80,)),0)</f>
        <v>0</v>
      </c>
      <c r="DK80" s="58">
        <f t="shared" ca="1" si="114"/>
        <v>0</v>
      </c>
      <c r="DN80" s="450" t="e">
        <f t="shared" ca="1" si="93"/>
        <v>#REF!</v>
      </c>
      <c r="DO80" s="58" t="e">
        <f ca="1">(VLOOKUP(DN$2,$B$1:$F$32,5,0)*$L80)+(VLOOKUP($K80,'Withdrawal Working'!$AD:$AE,2,0)*(IFERROR(VLOOKUP(DN$2,$B$35:$C$42,2,0),0)))</f>
        <v>#REF!</v>
      </c>
      <c r="DP80" s="58">
        <f ca="1">IFERROR(IF($K80&lt;VLOOKUP(DN$2,$B:$H,7,0),IF(DR$3=1,MIN($M80,DN80),IF(HLOOKUP(CONCATENATE("Balance",DR$3-1),'Withdrawal Working'!$A$2:$CD$78,MATCH('Yoy WAR OG'!$J80,'Withdrawal Working'!$A$2:$A$78,0),FALSE)&gt;0,MIN(HLOOKUP(CONCATENATE("Balance",DR$3-1),'Withdrawal Working'!$A$2:$CD$78,MATCH('Yoy WAR OG'!$J80,'Withdrawal Working'!$A$2:$A$78,0),0),DN80),0)),IF($K80=VLOOKUP(DN$2,$B:$H,7,0),DN80,)),0)</f>
        <v>0</v>
      </c>
      <c r="DQ80" s="58" t="e">
        <f t="shared" ca="1" si="115"/>
        <v>#REF!</v>
      </c>
      <c r="DT80" s="450" t="e">
        <f t="shared" ca="1" si="94"/>
        <v>#REF!</v>
      </c>
      <c r="DU80" s="58" t="e">
        <f ca="1">(VLOOKUP(DT$2,$B$1:$F$32,5,0)*$L80)+(VLOOKUP($K80,'Withdrawal Working'!$AD:$AE,2,0)*(IFERROR(VLOOKUP(DT$2,$B$35:$C$42,2,0),0)))</f>
        <v>#REF!</v>
      </c>
      <c r="DV80" s="58">
        <f ca="1">IFERROR(IF($K80&lt;VLOOKUP(DT$2,$B:$H,7,0),IF(DX$3=1,MIN($M80,DT80),IF(HLOOKUP(CONCATENATE("Balance",DX$3-1),'Withdrawal Working'!$A$2:$CD$78,MATCH('Yoy WAR OG'!$J80,'Withdrawal Working'!$A$2:$A$78,0),FALSE)&gt;0,MIN(HLOOKUP(CONCATENATE("Balance",DX$3-1),'Withdrawal Working'!$A$2:$CD$78,MATCH('Yoy WAR OG'!$J80,'Withdrawal Working'!$A$2:$A$78,0),0),DT80),0)),IF($K80=VLOOKUP(DT$2,$B:$H,7,0),DT80,)),0)</f>
        <v>0</v>
      </c>
      <c r="DW80" s="58" t="e">
        <f t="shared" ca="1" si="116"/>
        <v>#REF!</v>
      </c>
      <c r="DZ80" s="450" t="e">
        <f t="shared" ca="1" si="95"/>
        <v>#REF!</v>
      </c>
      <c r="EA80" s="58" t="e">
        <f ca="1">(VLOOKUP(DZ$2,$B$1:$F$32,5,0)*$L80)+(VLOOKUP($K80,'Withdrawal Working'!$AD:$AE,2,0)*(IFERROR(VLOOKUP(DZ$2,$B$35:$C$42,2,0),0)))</f>
        <v>#REF!</v>
      </c>
      <c r="EB80" s="58">
        <f ca="1">IFERROR(IF($K80&lt;VLOOKUP(DZ$2,$B:$H,7,0),IF(ED$3=1,MIN($M80,DZ80),IF(HLOOKUP(CONCATENATE("Balance",ED$3-1),'Withdrawal Working'!$A$2:$CD$78,MATCH('Yoy WAR OG'!$J80,'Withdrawal Working'!$A$2:$A$78,0),FALSE)&gt;0,MIN(HLOOKUP(CONCATENATE("Balance",ED$3-1),'Withdrawal Working'!$A$2:$CD$78,MATCH('Yoy WAR OG'!$J80,'Withdrawal Working'!$A$2:$A$78,0),0),DZ80),0)),IF($K80=VLOOKUP(DZ$2,$B:$H,7,0),DZ80,)),0)</f>
        <v>0</v>
      </c>
      <c r="EC80" s="58" t="e">
        <f t="shared" ca="1" si="117"/>
        <v>#REF!</v>
      </c>
      <c r="EF80" s="450" t="e">
        <f t="shared" ca="1" si="96"/>
        <v>#REF!</v>
      </c>
      <c r="EG80" s="58" t="e">
        <f ca="1">(VLOOKUP(EF$2,$B$1:$F$32,5,0)*$L80)+(VLOOKUP($K80,'Withdrawal Working'!$AD:$AE,2,0)*(IFERROR(VLOOKUP(EF$2,$B$35:$C$42,2,0),0)))</f>
        <v>#REF!</v>
      </c>
      <c r="EH80" s="58">
        <f ca="1">IFERROR(IF($K80&lt;VLOOKUP(EF$2,$B:$H,7,0),IF(EJ$3=1,MIN($M80,EF80),IF(HLOOKUP(CONCATENATE("Balance",EJ$3-1),'Withdrawal Working'!$A$2:$CD$78,MATCH('Yoy WAR OG'!$J80,'Withdrawal Working'!$A$2:$A$78,0),FALSE)&gt;0,MIN(HLOOKUP(CONCATENATE("Balance",EJ$3-1),'Withdrawal Working'!$A$2:$CD$78,MATCH('Yoy WAR OG'!$J80,'Withdrawal Working'!$A$2:$A$78,0),0),EF80),0)),IF($K80=VLOOKUP(EF$2,$B:$H,7,0),EF80,)),0)</f>
        <v>0</v>
      </c>
      <c r="EI80" s="58" t="e">
        <f t="shared" ca="1" si="118"/>
        <v>#REF!</v>
      </c>
      <c r="EL80" s="450">
        <f t="shared" ca="1" si="97"/>
        <v>0</v>
      </c>
      <c r="EM80" s="58">
        <f>IF(OR($J80&gt;'NWGC - SCENARIOS'!$D$7,$J80='NWGC - SCENARIOS'!$D$7),0,EM79)</f>
        <v>0</v>
      </c>
      <c r="EN80" s="58">
        <f ca="1">IFERROR(IF($K80&lt;VLOOKUP(EL$2,$B:$H,7,0),IF(EP$3=1,MIN($M80,EL80),IF(HLOOKUP(CONCATENATE("Balance",EP$3-1),'Withdrawal Working'!$A$2:$CD$78,MATCH('Yoy WAR OG'!$J80,'Withdrawal Working'!$A$2:$A$78,0),FALSE)&gt;0,MIN(HLOOKUP(CONCATENATE("Balance",EP$3-1),'Withdrawal Working'!$A$2:$CD$78,MATCH('Yoy WAR OG'!$J80,'Withdrawal Working'!$A$2:$A$78,0),0),EL80),0)),IF($K80=VLOOKUP(EL$2,$B:$H,7,0),EL80,)),0)</f>
        <v>0</v>
      </c>
      <c r="EO80" s="58">
        <f t="shared" ca="1" si="119"/>
        <v>0</v>
      </c>
      <c r="ER80" s="450">
        <f t="shared" ca="1" si="98"/>
        <v>0</v>
      </c>
      <c r="ES80" s="58">
        <f>IF(OR(J80&gt;'NWGC - SCENARIOS'!$D$7,J80='NWGC - SCENARIOS'!$D$7),0,ES79*(1+'NWGC - SCENARIOS'!$L$5))</f>
        <v>0</v>
      </c>
      <c r="ET80" s="58">
        <f ca="1">IFERROR(IF($K80&lt;VLOOKUP(ER$2,$B:$H,7,0),IF(EV$3=1,MIN($M80,ER80),IF(HLOOKUP(CONCATENATE("Balance",EV$3-1),'Withdrawal Working'!$A$2:$CD$78,MATCH('Yoy WAR OG'!$J80,'Withdrawal Working'!$A$2:$A$78,0),FALSE)&gt;0,MIN(HLOOKUP(CONCATENATE("Balance",EV$3-1),'Withdrawal Working'!$A$2:$CD$78,MATCH('Yoy WAR OG'!$J80,'Withdrawal Working'!$A$2:$A$78,0),0),ER80),0)),IF($K80=VLOOKUP(ER$2,$B:$H,7,0),ER80,)),0)</f>
        <v>0</v>
      </c>
      <c r="EU80" s="58">
        <f t="shared" ca="1" si="120"/>
        <v>0</v>
      </c>
      <c r="EX80" s="450">
        <f t="shared" ca="1" si="99"/>
        <v>0</v>
      </c>
      <c r="EY80" s="58">
        <f>IF(OR(J80&gt;'NWGC - SCENARIOS'!$D$7,J80='NWGC - SCENARIOS'!$D$7),0,EY79)</f>
        <v>0</v>
      </c>
      <c r="EZ80" s="58">
        <f ca="1">IFERROR(IF($K80&lt;VLOOKUP(EX$2,$B:$H,7,0),IF(FB$3=1,MIN($M80,EX80),IF(HLOOKUP(CONCATENATE("Balance",FB$3-1),'Withdrawal Working'!$A$2:$CD$78,MATCH('Yoy WAR OG'!$J80,'Withdrawal Working'!$A$2:$A$78,0),FALSE)&gt;0,MIN(HLOOKUP(CONCATENATE("Balance",FB$3-1),'Withdrawal Working'!$A$2:$CD$78,MATCH('Yoy WAR OG'!$J80,'Withdrawal Working'!$A$2:$A$78,0),0),EX80),0)),IF($K80=VLOOKUP(EX$2,$B:$H,7,0),EX80,)),0)</f>
        <v>0</v>
      </c>
      <c r="FA80" s="58">
        <f t="shared" ca="1" si="121"/>
        <v>0</v>
      </c>
    </row>
    <row r="81" spans="12:157" x14ac:dyDescent="0.3">
      <c r="L81" s="449"/>
      <c r="M81" s="449"/>
      <c r="P81" s="58"/>
      <c r="Q81" s="58"/>
      <c r="R81" s="58"/>
      <c r="S81" s="58"/>
      <c r="T81" s="58"/>
      <c r="V81" s="58"/>
      <c r="W81" s="58"/>
      <c r="X81" s="58"/>
      <c r="Y81" s="58"/>
      <c r="AB81" s="58"/>
      <c r="AC81" s="58"/>
      <c r="AE81" s="58"/>
      <c r="AH81" s="58"/>
      <c r="AI81" s="58"/>
      <c r="AJ81" s="58"/>
      <c r="AK81" s="58"/>
      <c r="AN81" s="450"/>
      <c r="AO81" s="58"/>
      <c r="AP81" s="470"/>
      <c r="AQ81" s="58"/>
      <c r="AT81" s="450"/>
      <c r="AU81" s="58"/>
      <c r="AV81" s="58"/>
      <c r="AW81" s="58"/>
      <c r="AZ81" s="450"/>
      <c r="BA81" s="58"/>
      <c r="BB81" s="58"/>
      <c r="BC81" s="58"/>
      <c r="BF81" s="450"/>
      <c r="BG81" s="58"/>
      <c r="BH81" s="58"/>
      <c r="BI81" s="58"/>
      <c r="BL81" s="450"/>
      <c r="BM81" s="58"/>
      <c r="BN81" s="58"/>
      <c r="BO81" s="58"/>
      <c r="BR81" s="450"/>
      <c r="BS81" s="58"/>
      <c r="BT81" s="58"/>
      <c r="BU81" s="58"/>
      <c r="BX81" s="450"/>
      <c r="BY81" s="58"/>
      <c r="BZ81" s="58"/>
      <c r="CA81" s="58"/>
      <c r="CD81" s="450"/>
      <c r="CE81" s="58"/>
      <c r="CF81" s="58"/>
      <c r="CG81" s="58"/>
      <c r="CJ81" s="450"/>
      <c r="CK81" s="58"/>
      <c r="CL81" s="58"/>
      <c r="CM81" s="58"/>
      <c r="CP81" s="450"/>
      <c r="CQ81" s="58"/>
      <c r="CR81" s="58"/>
      <c r="CS81" s="58"/>
      <c r="CV81" s="450"/>
      <c r="CW81" s="58"/>
      <c r="CX81" s="58"/>
      <c r="CY81" s="58"/>
      <c r="DB81" s="450"/>
      <c r="DC81" s="58"/>
      <c r="DD81" s="58"/>
      <c r="DE81" s="58"/>
      <c r="DH81" s="450"/>
      <c r="DI81" s="58"/>
      <c r="DJ81" s="58"/>
      <c r="DK81" s="58"/>
      <c r="DN81" s="450"/>
      <c r="DO81" s="58"/>
      <c r="DP81" s="58"/>
      <c r="DQ81" s="58"/>
      <c r="DT81" s="450"/>
      <c r="DU81" s="58"/>
      <c r="DV81" s="58"/>
      <c r="DW81" s="58"/>
      <c r="DZ81" s="450"/>
      <c r="EA81" s="58"/>
      <c r="EB81" s="58"/>
      <c r="EC81" s="58"/>
      <c r="EF81" s="450"/>
      <c r="EG81" s="58"/>
      <c r="EH81" s="58"/>
      <c r="EI81" s="58"/>
      <c r="EL81" s="450"/>
      <c r="EM81" s="58"/>
      <c r="EN81" s="58"/>
      <c r="EO81" s="58"/>
      <c r="ER81" s="450"/>
      <c r="ES81" s="58"/>
      <c r="ET81" s="58"/>
      <c r="EU81" s="58"/>
      <c r="EX81" s="450"/>
      <c r="EY81" s="58"/>
      <c r="EZ81" s="58"/>
      <c r="FA81" s="58"/>
    </row>
    <row r="82" spans="12:157" x14ac:dyDescent="0.3">
      <c r="L82" s="449"/>
      <c r="M82" s="449"/>
      <c r="P82" s="58"/>
      <c r="Q82" s="58"/>
      <c r="R82" s="58"/>
      <c r="S82" s="58"/>
      <c r="T82" s="58"/>
      <c r="V82" s="58"/>
      <c r="W82" s="58"/>
      <c r="X82" s="58"/>
      <c r="Y82" s="58"/>
      <c r="AB82" s="58"/>
      <c r="AC82" s="58"/>
      <c r="AE82" s="58"/>
      <c r="AH82" s="58"/>
      <c r="AI82" s="58"/>
      <c r="AJ82" s="58"/>
      <c r="AK82" s="58"/>
      <c r="AN82" s="450"/>
      <c r="AO82" s="58"/>
      <c r="AP82" s="470"/>
      <c r="AQ82" s="58"/>
      <c r="AT82" s="450"/>
      <c r="AU82" s="58"/>
      <c r="AV82" s="58"/>
      <c r="AW82" s="58"/>
      <c r="AZ82" s="450"/>
      <c r="BA82" s="58"/>
      <c r="BB82" s="58"/>
      <c r="BC82" s="58"/>
      <c r="BF82" s="450"/>
      <c r="BG82" s="58"/>
      <c r="BH82" s="58"/>
      <c r="BI82" s="58"/>
      <c r="BL82" s="450"/>
      <c r="BM82" s="58"/>
      <c r="BN82" s="58"/>
      <c r="BO82" s="58"/>
      <c r="BR82" s="450"/>
      <c r="BS82" s="58"/>
      <c r="BT82" s="58"/>
      <c r="BU82" s="58"/>
      <c r="BX82" s="450"/>
      <c r="BY82" s="58"/>
      <c r="BZ82" s="58"/>
      <c r="CA82" s="58"/>
      <c r="CD82" s="450"/>
      <c r="CE82" s="58"/>
      <c r="CF82" s="58"/>
      <c r="CG82" s="58"/>
      <c r="CJ82" s="450"/>
      <c r="CK82" s="58"/>
      <c r="CL82" s="58"/>
      <c r="CM82" s="58"/>
      <c r="CP82" s="450"/>
      <c r="CQ82" s="58"/>
      <c r="CR82" s="58"/>
      <c r="CS82" s="58"/>
      <c r="CV82" s="450"/>
      <c r="CW82" s="58"/>
      <c r="CX82" s="58"/>
      <c r="CY82" s="58"/>
      <c r="DB82" s="450"/>
      <c r="DC82" s="58"/>
      <c r="DD82" s="58"/>
      <c r="DE82" s="58"/>
      <c r="DH82" s="450"/>
      <c r="DI82" s="58"/>
      <c r="DJ82" s="58"/>
      <c r="DK82" s="58"/>
      <c r="DN82" s="450"/>
      <c r="DO82" s="58"/>
      <c r="DP82" s="58"/>
      <c r="DQ82" s="58"/>
      <c r="DT82" s="450"/>
      <c r="DU82" s="58"/>
      <c r="DV82" s="58"/>
      <c r="DW82" s="58"/>
      <c r="DZ82" s="450"/>
      <c r="EA82" s="58"/>
      <c r="EB82" s="58"/>
      <c r="EC82" s="58"/>
      <c r="EF82" s="450"/>
      <c r="EG82" s="58"/>
      <c r="EH82" s="58"/>
      <c r="EI82" s="58"/>
      <c r="EL82" s="450"/>
      <c r="EM82" s="58"/>
      <c r="EN82" s="58"/>
      <c r="EO82" s="58"/>
      <c r="ER82" s="450"/>
      <c r="ES82" s="58"/>
      <c r="ET82" s="58"/>
      <c r="EU82" s="58"/>
      <c r="EX82" s="450"/>
      <c r="EY82" s="58"/>
      <c r="EZ82" s="58"/>
      <c r="FA82" s="58"/>
    </row>
    <row r="83" spans="12:157" x14ac:dyDescent="0.3">
      <c r="L83" s="449"/>
      <c r="M83" s="449"/>
      <c r="P83" s="58"/>
      <c r="Q83" s="58"/>
      <c r="R83" s="58"/>
      <c r="S83" s="58"/>
      <c r="T83" s="58"/>
      <c r="V83" s="58"/>
      <c r="W83" s="58"/>
      <c r="X83" s="58"/>
      <c r="Y83" s="58"/>
      <c r="AB83" s="58"/>
      <c r="AC83" s="58"/>
      <c r="AE83" s="58"/>
      <c r="AH83" s="58"/>
      <c r="AI83" s="58"/>
      <c r="AJ83" s="58"/>
      <c r="AK83" s="58"/>
      <c r="AN83" s="450"/>
      <c r="AO83" s="58"/>
      <c r="AP83" s="470"/>
      <c r="AQ83" s="58"/>
      <c r="AT83" s="450"/>
      <c r="AU83" s="58"/>
      <c r="AV83" s="58"/>
      <c r="AW83" s="58"/>
      <c r="AZ83" s="450"/>
      <c r="BA83" s="58"/>
      <c r="BB83" s="58"/>
      <c r="BC83" s="58"/>
      <c r="BF83" s="450"/>
      <c r="BG83" s="58"/>
      <c r="BH83" s="58"/>
      <c r="BI83" s="58"/>
      <c r="BL83" s="450"/>
      <c r="BM83" s="58"/>
      <c r="BN83" s="58"/>
      <c r="BO83" s="58"/>
      <c r="BR83" s="450"/>
      <c r="BS83" s="58"/>
      <c r="BT83" s="58"/>
      <c r="BU83" s="58"/>
      <c r="BX83" s="450"/>
      <c r="BY83" s="58"/>
      <c r="BZ83" s="58"/>
      <c r="CA83" s="58"/>
      <c r="CD83" s="450"/>
      <c r="CE83" s="58"/>
      <c r="CF83" s="58"/>
      <c r="CG83" s="58"/>
      <c r="CJ83" s="450"/>
      <c r="CK83" s="58"/>
      <c r="CL83" s="58"/>
      <c r="CM83" s="58"/>
      <c r="CP83" s="450"/>
      <c r="CQ83" s="58"/>
      <c r="CR83" s="58"/>
      <c r="CS83" s="58"/>
      <c r="CV83" s="450"/>
      <c r="CW83" s="58"/>
      <c r="CX83" s="58"/>
      <c r="CY83" s="58"/>
      <c r="DB83" s="450"/>
      <c r="DC83" s="58"/>
      <c r="DD83" s="58"/>
      <c r="DE83" s="58"/>
      <c r="DH83" s="450"/>
      <c r="DI83" s="58"/>
      <c r="DJ83" s="58"/>
      <c r="DK83" s="58"/>
      <c r="DN83" s="450"/>
      <c r="DO83" s="58"/>
      <c r="DP83" s="58"/>
      <c r="DQ83" s="58"/>
      <c r="DT83" s="450"/>
      <c r="DU83" s="58"/>
      <c r="DV83" s="58"/>
      <c r="DW83" s="58"/>
      <c r="DZ83" s="450"/>
      <c r="EA83" s="58"/>
      <c r="EB83" s="58"/>
      <c r="EC83" s="58"/>
      <c r="EF83" s="450"/>
      <c r="EG83" s="58"/>
      <c r="EH83" s="58"/>
      <c r="EI83" s="58"/>
      <c r="EL83" s="450"/>
      <c r="EM83" s="58"/>
      <c r="EN83" s="58"/>
      <c r="EO83" s="58"/>
      <c r="ER83" s="450"/>
      <c r="ES83" s="58"/>
      <c r="ET83" s="58"/>
      <c r="EU83" s="58"/>
      <c r="EX83" s="450"/>
      <c r="EY83" s="58"/>
      <c r="EZ83" s="58"/>
      <c r="FA83" s="58"/>
    </row>
    <row r="84" spans="12:157" x14ac:dyDescent="0.3">
      <c r="L84" s="449"/>
      <c r="M84" s="449"/>
      <c r="P84" s="58"/>
      <c r="Q84" s="58"/>
      <c r="R84" s="58"/>
      <c r="S84" s="58"/>
      <c r="T84" s="58"/>
      <c r="V84" s="58"/>
      <c r="W84" s="58"/>
      <c r="X84" s="58"/>
      <c r="Y84" s="58"/>
      <c r="AB84" s="58"/>
      <c r="AC84" s="58"/>
      <c r="AE84" s="58"/>
      <c r="AH84" s="58"/>
      <c r="AI84" s="58"/>
      <c r="AJ84" s="58"/>
      <c r="AK84" s="58"/>
      <c r="AN84" s="450"/>
      <c r="AO84" s="58"/>
      <c r="AP84" s="470"/>
      <c r="AQ84" s="58"/>
      <c r="AT84" s="450"/>
      <c r="AU84" s="58"/>
      <c r="AV84" s="58"/>
      <c r="AW84" s="58"/>
      <c r="AZ84" s="450"/>
      <c r="BA84" s="58"/>
      <c r="BB84" s="58"/>
      <c r="BC84" s="58"/>
      <c r="BF84" s="450"/>
      <c r="BG84" s="58"/>
      <c r="BH84" s="58"/>
      <c r="BI84" s="58"/>
      <c r="BL84" s="450"/>
      <c r="BM84" s="58"/>
      <c r="BN84" s="58"/>
      <c r="BO84" s="58"/>
      <c r="BR84" s="450"/>
      <c r="BS84" s="58"/>
      <c r="BT84" s="58"/>
      <c r="BU84" s="58"/>
      <c r="BX84" s="450"/>
      <c r="BY84" s="58"/>
      <c r="BZ84" s="58"/>
      <c r="CA84" s="58"/>
      <c r="CD84" s="450"/>
      <c r="CE84" s="58"/>
      <c r="CF84" s="58"/>
      <c r="CG84" s="58"/>
      <c r="CJ84" s="450"/>
      <c r="CK84" s="58"/>
      <c r="CL84" s="58"/>
      <c r="CM84" s="58"/>
      <c r="CP84" s="450"/>
      <c r="CQ84" s="58"/>
      <c r="CR84" s="58"/>
      <c r="CS84" s="58"/>
      <c r="CV84" s="450"/>
      <c r="CW84" s="58"/>
      <c r="CX84" s="58"/>
      <c r="CY84" s="58"/>
      <c r="DB84" s="450"/>
      <c r="DC84" s="58"/>
      <c r="DD84" s="58"/>
      <c r="DE84" s="58"/>
      <c r="DH84" s="450"/>
      <c r="DI84" s="58"/>
      <c r="DJ84" s="58"/>
      <c r="DK84" s="58"/>
      <c r="DN84" s="450"/>
      <c r="DO84" s="58"/>
      <c r="DP84" s="58"/>
      <c r="DQ84" s="58"/>
      <c r="DT84" s="450"/>
      <c r="DU84" s="58"/>
      <c r="DV84" s="58"/>
      <c r="DW84" s="58"/>
      <c r="DZ84" s="450"/>
      <c r="EA84" s="58"/>
      <c r="EB84" s="58"/>
      <c r="EC84" s="58"/>
      <c r="EF84" s="450"/>
      <c r="EG84" s="58"/>
      <c r="EH84" s="58"/>
      <c r="EI84" s="58"/>
      <c r="EL84" s="450"/>
      <c r="EM84" s="58"/>
      <c r="EN84" s="58"/>
      <c r="EO84" s="58"/>
      <c r="ER84" s="450"/>
      <c r="ES84" s="58"/>
      <c r="ET84" s="58"/>
      <c r="EU84" s="58"/>
      <c r="EX84" s="450"/>
      <c r="EY84" s="58"/>
      <c r="EZ84" s="58"/>
      <c r="FA84" s="58"/>
    </row>
    <row r="85" spans="12:157" x14ac:dyDescent="0.3">
      <c r="L85" s="449"/>
      <c r="M85" s="449"/>
      <c r="P85" s="58"/>
      <c r="Q85" s="58"/>
      <c r="R85" s="58"/>
      <c r="S85" s="58"/>
      <c r="T85" s="58"/>
      <c r="V85" s="58"/>
      <c r="W85" s="58"/>
      <c r="X85" s="58"/>
      <c r="Y85" s="58"/>
      <c r="AB85" s="58"/>
      <c r="AC85" s="58"/>
      <c r="AE85" s="58"/>
      <c r="AH85" s="58"/>
      <c r="AI85" s="58"/>
      <c r="AJ85" s="58"/>
      <c r="AK85" s="58"/>
      <c r="AN85" s="450"/>
      <c r="AO85" s="58"/>
      <c r="AP85" s="58"/>
      <c r="AQ85" s="58"/>
      <c r="AT85" s="450"/>
      <c r="AU85" s="58"/>
      <c r="AV85" s="58"/>
      <c r="AW85" s="58"/>
      <c r="AZ85" s="450"/>
      <c r="BA85" s="58"/>
      <c r="BB85" s="58"/>
      <c r="BC85" s="58"/>
      <c r="BF85" s="450"/>
      <c r="BG85" s="58"/>
      <c r="BH85" s="58"/>
      <c r="BI85" s="58"/>
      <c r="BL85" s="450"/>
      <c r="BM85" s="58"/>
      <c r="BN85" s="58"/>
      <c r="BO85" s="58"/>
      <c r="BR85" s="450"/>
      <c r="BS85" s="58"/>
      <c r="BT85" s="58"/>
      <c r="BU85" s="58"/>
      <c r="BX85" s="450"/>
      <c r="BY85" s="58"/>
      <c r="BZ85" s="58"/>
      <c r="CA85" s="58"/>
      <c r="CD85" s="450"/>
      <c r="CE85" s="58"/>
      <c r="CF85" s="58"/>
      <c r="CG85" s="58"/>
      <c r="CJ85" s="450"/>
      <c r="CK85" s="58"/>
      <c r="CL85" s="58"/>
      <c r="CM85" s="58"/>
      <c r="CP85" s="450"/>
      <c r="CQ85" s="58"/>
      <c r="CR85" s="58"/>
      <c r="CS85" s="58"/>
      <c r="CV85" s="450"/>
      <c r="CW85" s="58"/>
      <c r="CX85" s="58"/>
      <c r="CY85" s="58"/>
      <c r="DB85" s="450"/>
      <c r="DC85" s="58"/>
      <c r="DD85" s="58"/>
      <c r="DE85" s="58"/>
      <c r="DH85" s="450"/>
      <c r="DI85" s="58"/>
      <c r="DJ85" s="58"/>
      <c r="DK85" s="58"/>
      <c r="DN85" s="450"/>
      <c r="DO85" s="58"/>
      <c r="DP85" s="58"/>
      <c r="DQ85" s="58"/>
      <c r="DT85" s="450"/>
      <c r="DU85" s="58"/>
      <c r="DV85" s="58"/>
      <c r="DW85" s="58"/>
      <c r="DZ85" s="450"/>
      <c r="EA85" s="58"/>
      <c r="EB85" s="58"/>
      <c r="EC85" s="58"/>
      <c r="EF85" s="450"/>
      <c r="EG85" s="58"/>
      <c r="EH85" s="58"/>
      <c r="EI85" s="58"/>
      <c r="EL85" s="450"/>
      <c r="EM85" s="58"/>
      <c r="EN85" s="58"/>
      <c r="EO85" s="58"/>
      <c r="ER85" s="450"/>
      <c r="ES85" s="58"/>
      <c r="ET85" s="58"/>
      <c r="EU85" s="58"/>
      <c r="EX85" s="450"/>
      <c r="EY85" s="58"/>
      <c r="EZ85" s="58"/>
      <c r="FA85" s="58"/>
    </row>
    <row r="86" spans="12:157" x14ac:dyDescent="0.3">
      <c r="P86" s="58"/>
      <c r="Q86" s="58"/>
      <c r="R86" s="58"/>
      <c r="S86" s="58"/>
      <c r="T86" s="58"/>
      <c r="V86" s="58"/>
      <c r="W86" s="58"/>
      <c r="X86" s="58"/>
      <c r="Y86" s="58"/>
      <c r="AT86" s="450"/>
      <c r="AU86" s="58"/>
      <c r="AV86" s="58"/>
      <c r="AW86" s="58"/>
      <c r="AZ86" s="450"/>
      <c r="BA86" s="58"/>
      <c r="BB86" s="58"/>
      <c r="BC86" s="58"/>
      <c r="BF86" s="450"/>
      <c r="BG86" s="58"/>
      <c r="BH86" s="58"/>
      <c r="BI86" s="58"/>
    </row>
    <row r="87" spans="12:157" x14ac:dyDescent="0.3">
      <c r="P87" s="58"/>
      <c r="Q87" s="58"/>
      <c r="R87" s="58"/>
      <c r="S87" s="58"/>
      <c r="T87" s="58"/>
      <c r="V87" s="58"/>
      <c r="W87" s="58"/>
      <c r="X87" s="58"/>
      <c r="Y87" s="58"/>
      <c r="AT87" s="450"/>
      <c r="AU87" s="58"/>
      <c r="AV87" s="58"/>
      <c r="AW87" s="58"/>
      <c r="AZ87" s="450"/>
      <c r="BA87" s="58"/>
      <c r="BB87" s="58"/>
      <c r="BC87" s="58"/>
      <c r="BF87" s="450"/>
      <c r="BG87" s="58"/>
      <c r="BH87" s="58"/>
      <c r="BI87" s="58"/>
    </row>
    <row r="88" spans="12:157" x14ac:dyDescent="0.3">
      <c r="P88" s="58"/>
      <c r="Q88" s="58"/>
      <c r="R88" s="58"/>
      <c r="S88" s="58"/>
      <c r="T88" s="58"/>
      <c r="V88" s="58"/>
      <c r="W88" s="58"/>
      <c r="X88" s="58"/>
      <c r="Y88" s="58"/>
      <c r="AT88" s="450"/>
      <c r="AU88" s="58"/>
      <c r="AV88" s="58"/>
      <c r="AW88" s="58"/>
      <c r="AZ88" s="450"/>
      <c r="BA88" s="58"/>
      <c r="BB88" s="58"/>
      <c r="BC88" s="58"/>
      <c r="BF88" s="450"/>
      <c r="BG88" s="58"/>
      <c r="BH88" s="58"/>
      <c r="BI88" s="58"/>
    </row>
    <row r="89" spans="12:157" x14ac:dyDescent="0.3">
      <c r="P89" s="58"/>
      <c r="Q89" s="58"/>
      <c r="R89" s="58"/>
      <c r="S89" s="58"/>
      <c r="T89" s="58"/>
      <c r="V89" s="58"/>
      <c r="W89" s="58"/>
      <c r="X89" s="58"/>
      <c r="Y89" s="58"/>
      <c r="AT89" s="450"/>
      <c r="AU89" s="58"/>
      <c r="AV89" s="58"/>
      <c r="AW89" s="58"/>
      <c r="AZ89" s="450"/>
      <c r="BA89" s="58"/>
      <c r="BB89" s="58"/>
      <c r="BC89" s="58"/>
      <c r="BF89" s="450"/>
      <c r="BG89" s="58"/>
      <c r="BH89" s="58"/>
      <c r="BI89" s="58"/>
    </row>
    <row r="90" spans="12:157" x14ac:dyDescent="0.3">
      <c r="P90" s="58"/>
      <c r="Q90" s="58"/>
      <c r="R90" s="58"/>
      <c r="S90" s="58"/>
      <c r="T90" s="58"/>
      <c r="V90" s="58"/>
      <c r="W90" s="58"/>
      <c r="X90" s="58"/>
      <c r="Y90" s="58"/>
      <c r="AT90" s="450"/>
      <c r="AU90" s="58"/>
      <c r="AV90" s="58"/>
      <c r="AW90" s="58"/>
      <c r="AZ90" s="450"/>
      <c r="BA90" s="58"/>
      <c r="BB90" s="58"/>
      <c r="BC90" s="58"/>
      <c r="BF90" s="450"/>
      <c r="BG90" s="58"/>
      <c r="BH90" s="58"/>
      <c r="BI90" s="58"/>
    </row>
    <row r="91" spans="12:157" x14ac:dyDescent="0.3">
      <c r="P91" s="58"/>
      <c r="Q91" s="58"/>
      <c r="R91" s="58"/>
      <c r="S91" s="58"/>
      <c r="T91" s="58"/>
      <c r="V91" s="58"/>
      <c r="W91" s="58"/>
      <c r="X91" s="58"/>
      <c r="Y91" s="58"/>
      <c r="AT91" s="450"/>
      <c r="AU91" s="58"/>
      <c r="AV91" s="58"/>
      <c r="AW91" s="58"/>
      <c r="AZ91" s="450"/>
      <c r="BA91" s="58"/>
      <c r="BB91" s="58"/>
      <c r="BC91" s="58"/>
      <c r="BF91" s="450"/>
      <c r="BG91" s="58"/>
      <c r="BH91" s="58"/>
      <c r="BI91" s="58"/>
    </row>
    <row r="92" spans="12:157" x14ac:dyDescent="0.3">
      <c r="P92" s="58"/>
      <c r="Q92" s="58"/>
      <c r="R92" s="58"/>
      <c r="S92" s="58"/>
      <c r="T92" s="58"/>
      <c r="V92" s="58"/>
      <c r="W92" s="58"/>
      <c r="X92" s="58"/>
      <c r="Y92" s="58"/>
      <c r="AT92" s="450"/>
      <c r="AU92" s="58"/>
      <c r="AV92" s="58"/>
      <c r="AW92" s="58"/>
      <c r="AZ92" s="450"/>
      <c r="BA92" s="58"/>
      <c r="BB92" s="58"/>
      <c r="BC92" s="58"/>
      <c r="BF92" s="450"/>
      <c r="BG92" s="58"/>
      <c r="BH92" s="58"/>
      <c r="BI92" s="58"/>
    </row>
    <row r="93" spans="12:157" x14ac:dyDescent="0.3">
      <c r="P93" s="58"/>
      <c r="Q93" s="58"/>
      <c r="R93" s="58"/>
      <c r="S93" s="58"/>
      <c r="T93" s="58"/>
      <c r="V93" s="58"/>
      <c r="W93" s="58"/>
      <c r="X93" s="58"/>
      <c r="Y93" s="58"/>
      <c r="AT93" s="450"/>
      <c r="AU93" s="58"/>
      <c r="AV93" s="58"/>
      <c r="AW93" s="58"/>
      <c r="AZ93" s="450"/>
      <c r="BA93" s="58"/>
      <c r="BB93" s="58"/>
      <c r="BC93" s="58"/>
      <c r="BF93" s="450"/>
      <c r="BG93" s="58"/>
      <c r="BH93" s="58"/>
      <c r="BI93" s="58"/>
    </row>
    <row r="94" spans="12:157" x14ac:dyDescent="0.3">
      <c r="P94" s="58"/>
      <c r="Q94" s="58"/>
      <c r="R94" s="58"/>
      <c r="S94" s="58"/>
      <c r="T94" s="58"/>
      <c r="V94" s="58"/>
      <c r="W94" s="58"/>
      <c r="X94" s="58"/>
      <c r="Y94" s="58"/>
      <c r="AT94" s="450"/>
      <c r="AU94" s="58"/>
      <c r="AV94" s="58"/>
      <c r="AW94" s="58"/>
      <c r="AZ94" s="450"/>
      <c r="BA94" s="58"/>
      <c r="BB94" s="58"/>
      <c r="BC94" s="58"/>
      <c r="BF94" s="450"/>
      <c r="BG94" s="58"/>
      <c r="BH94" s="58"/>
      <c r="BI94" s="58"/>
    </row>
    <row r="95" spans="12:157" x14ac:dyDescent="0.3">
      <c r="P95" s="58"/>
      <c r="Q95" s="58"/>
      <c r="R95" s="58"/>
      <c r="S95" s="58"/>
      <c r="T95" s="58"/>
      <c r="V95" s="58"/>
      <c r="W95" s="58"/>
      <c r="X95" s="58"/>
      <c r="Y95" s="58"/>
      <c r="AT95" s="450"/>
      <c r="AU95" s="58"/>
      <c r="AV95" s="58"/>
      <c r="AW95" s="58"/>
      <c r="AZ95" s="450"/>
      <c r="BA95" s="58"/>
      <c r="BB95" s="58"/>
      <c r="BC95" s="58"/>
      <c r="BF95" s="450"/>
      <c r="BG95" s="58"/>
      <c r="BH95" s="58"/>
      <c r="BI95" s="58"/>
    </row>
    <row r="96" spans="12:157" x14ac:dyDescent="0.3">
      <c r="P96" s="58"/>
      <c r="Q96" s="58"/>
      <c r="R96" s="58"/>
      <c r="S96" s="58"/>
      <c r="T96" s="58"/>
      <c r="V96" s="58"/>
      <c r="W96" s="58"/>
      <c r="X96" s="58"/>
      <c r="Y96" s="58"/>
      <c r="AT96" s="450"/>
      <c r="AU96" s="58"/>
      <c r="AV96" s="58"/>
      <c r="AW96" s="58"/>
      <c r="AZ96" s="450"/>
      <c r="BA96" s="58"/>
      <c r="BB96" s="58"/>
      <c r="BC96" s="58"/>
      <c r="BF96" s="450"/>
      <c r="BG96" s="58"/>
      <c r="BH96" s="58"/>
      <c r="BI96" s="58"/>
    </row>
    <row r="97" spans="16:61" x14ac:dyDescent="0.3">
      <c r="P97" s="58"/>
      <c r="Q97" s="58"/>
      <c r="R97" s="58"/>
      <c r="S97" s="58"/>
      <c r="T97" s="58"/>
      <c r="V97" s="58"/>
      <c r="W97" s="58"/>
      <c r="X97" s="58"/>
      <c r="Y97" s="58"/>
      <c r="AT97" s="450"/>
      <c r="AU97" s="58"/>
      <c r="AV97" s="58"/>
      <c r="AW97" s="58"/>
      <c r="AZ97" s="450"/>
      <c r="BA97" s="58"/>
      <c r="BB97" s="58"/>
      <c r="BC97" s="58"/>
      <c r="BF97" s="450"/>
      <c r="BG97" s="58"/>
      <c r="BH97" s="58"/>
      <c r="BI97" s="58"/>
    </row>
    <row r="98" spans="16:61" x14ac:dyDescent="0.3">
      <c r="P98" s="58"/>
      <c r="Q98" s="58"/>
      <c r="R98" s="58"/>
      <c r="S98" s="58"/>
      <c r="T98" s="58"/>
      <c r="V98" s="58"/>
      <c r="W98" s="58"/>
      <c r="X98" s="58"/>
      <c r="Y98" s="58"/>
      <c r="AT98" s="450"/>
      <c r="AU98" s="58"/>
      <c r="AV98" s="58"/>
      <c r="AW98" s="58"/>
      <c r="AZ98" s="450"/>
      <c r="BA98" s="58"/>
      <c r="BB98" s="58"/>
      <c r="BC98" s="58"/>
      <c r="BF98" s="450"/>
      <c r="BG98" s="58"/>
      <c r="BH98" s="58"/>
      <c r="BI98" s="58"/>
    </row>
    <row r="99" spans="16:61" x14ac:dyDescent="0.3">
      <c r="P99" s="58"/>
      <c r="Q99" s="58"/>
      <c r="R99" s="58"/>
      <c r="S99" s="58"/>
      <c r="T99" s="58"/>
      <c r="V99" s="58"/>
      <c r="W99" s="58"/>
      <c r="X99" s="58"/>
      <c r="Y99" s="58"/>
      <c r="AT99" s="450"/>
      <c r="AU99" s="58"/>
      <c r="AV99" s="58"/>
      <c r="AW99" s="58"/>
      <c r="AZ99" s="450"/>
      <c r="BA99" s="58"/>
      <c r="BB99" s="58"/>
      <c r="BC99" s="58"/>
      <c r="BF99" s="450"/>
      <c r="BG99" s="58"/>
      <c r="BH99" s="58"/>
      <c r="BI99" s="58"/>
    </row>
    <row r="100" spans="16:61" x14ac:dyDescent="0.3">
      <c r="P100" s="58"/>
      <c r="Q100" s="58"/>
      <c r="R100" s="58"/>
      <c r="S100" s="58"/>
      <c r="T100" s="58"/>
      <c r="V100" s="58"/>
      <c r="W100" s="58"/>
      <c r="X100" s="58"/>
      <c r="Y100" s="58"/>
      <c r="AT100" s="450"/>
      <c r="AU100" s="58"/>
      <c r="AV100" s="58"/>
      <c r="AW100" s="58"/>
      <c r="AZ100" s="450"/>
      <c r="BA100" s="58"/>
      <c r="BB100" s="58"/>
      <c r="BC100" s="58"/>
      <c r="BF100" s="450"/>
      <c r="BG100" s="58"/>
      <c r="BH100" s="58"/>
      <c r="BI100" s="58"/>
    </row>
    <row r="101" spans="16:61" x14ac:dyDescent="0.3">
      <c r="P101" s="58"/>
      <c r="Q101" s="58"/>
      <c r="R101" s="58"/>
      <c r="S101" s="58"/>
      <c r="T101" s="58"/>
      <c r="V101" s="58"/>
      <c r="W101" s="58"/>
      <c r="X101" s="58"/>
      <c r="Y101" s="58"/>
      <c r="AT101" s="450"/>
      <c r="AU101" s="58"/>
      <c r="AV101" s="58"/>
      <c r="AW101" s="58"/>
      <c r="AZ101" s="450"/>
      <c r="BA101" s="58"/>
      <c r="BB101" s="58"/>
      <c r="BC101" s="58"/>
      <c r="BF101" s="450"/>
      <c r="BG101" s="58"/>
      <c r="BH101" s="58"/>
      <c r="BI101" s="58"/>
    </row>
    <row r="102" spans="16:61" x14ac:dyDescent="0.3">
      <c r="P102" s="58"/>
      <c r="Q102" s="58"/>
      <c r="R102" s="58"/>
      <c r="S102" s="58"/>
      <c r="T102" s="58"/>
      <c r="V102" s="58"/>
      <c r="W102" s="58"/>
      <c r="X102" s="58"/>
      <c r="Y102" s="58"/>
      <c r="AT102" s="450"/>
      <c r="AU102" s="58"/>
      <c r="AV102" s="58"/>
      <c r="AW102" s="58"/>
      <c r="AZ102" s="450"/>
      <c r="BA102" s="58"/>
      <c r="BB102" s="58"/>
      <c r="BC102" s="58"/>
      <c r="BF102" s="450"/>
      <c r="BG102" s="58"/>
      <c r="BH102" s="58"/>
      <c r="BI102" s="58"/>
    </row>
    <row r="103" spans="16:61" x14ac:dyDescent="0.3">
      <c r="P103" s="58"/>
      <c r="Q103" s="58"/>
      <c r="R103" s="58"/>
      <c r="S103" s="58"/>
      <c r="T103" s="58"/>
      <c r="V103" s="58"/>
      <c r="W103" s="58"/>
      <c r="X103" s="58"/>
      <c r="Y103" s="58"/>
      <c r="AT103" s="450"/>
      <c r="AU103" s="58"/>
      <c r="AV103" s="58"/>
      <c r="AW103" s="58"/>
      <c r="AZ103" s="450"/>
      <c r="BA103" s="58"/>
      <c r="BB103" s="58"/>
      <c r="BC103" s="58"/>
      <c r="BF103" s="450"/>
      <c r="BG103" s="58"/>
      <c r="BH103" s="58"/>
      <c r="BI103" s="58"/>
    </row>
    <row r="104" spans="16:61" x14ac:dyDescent="0.3">
      <c r="P104" s="58"/>
      <c r="Q104" s="58"/>
      <c r="R104" s="58"/>
      <c r="S104" s="58"/>
      <c r="T104" s="58"/>
      <c r="V104" s="58"/>
      <c r="W104" s="58"/>
      <c r="X104" s="58"/>
      <c r="Y104" s="58"/>
      <c r="AT104" s="450"/>
      <c r="AU104" s="58"/>
      <c r="AV104" s="58"/>
      <c r="AW104" s="58"/>
      <c r="AZ104" s="450"/>
      <c r="BA104" s="58"/>
      <c r="BB104" s="58"/>
      <c r="BC104" s="58"/>
      <c r="BF104" s="450"/>
      <c r="BG104" s="58"/>
      <c r="BH104" s="58"/>
      <c r="BI104" s="58"/>
    </row>
    <row r="105" spans="16:61" x14ac:dyDescent="0.3">
      <c r="P105" s="58"/>
      <c r="Q105" s="58"/>
      <c r="R105" s="58"/>
      <c r="S105" s="58"/>
      <c r="T105" s="58"/>
      <c r="V105" s="58"/>
      <c r="W105" s="58"/>
      <c r="X105" s="58"/>
      <c r="Y105" s="58"/>
      <c r="AT105" s="450"/>
      <c r="AU105" s="58"/>
      <c r="AV105" s="58"/>
      <c r="AW105" s="58"/>
      <c r="AZ105" s="450"/>
      <c r="BA105" s="58"/>
      <c r="BB105" s="58"/>
      <c r="BC105" s="58"/>
      <c r="BF105" s="450"/>
      <c r="BG105" s="58"/>
      <c r="BH105" s="58"/>
      <c r="BI105" s="58"/>
    </row>
    <row r="106" spans="16:61" x14ac:dyDescent="0.3">
      <c r="P106" s="58"/>
      <c r="Q106" s="58"/>
      <c r="R106" s="58"/>
      <c r="S106" s="58"/>
      <c r="T106" s="58"/>
      <c r="V106" s="58"/>
      <c r="W106" s="58"/>
      <c r="X106" s="58"/>
      <c r="Y106" s="58"/>
      <c r="AT106" s="450"/>
      <c r="AU106" s="58"/>
      <c r="AV106" s="58"/>
      <c r="AW106" s="58"/>
      <c r="AZ106" s="450"/>
      <c r="BA106" s="58"/>
      <c r="BB106" s="58"/>
      <c r="BC106" s="58"/>
      <c r="BF106" s="450"/>
      <c r="BG106" s="58"/>
      <c r="BH106" s="58"/>
      <c r="BI106" s="58"/>
    </row>
    <row r="107" spans="16:61" x14ac:dyDescent="0.3">
      <c r="P107" s="58"/>
      <c r="Q107" s="58"/>
      <c r="R107" s="58"/>
      <c r="S107" s="58"/>
      <c r="T107" s="58"/>
      <c r="V107" s="58"/>
      <c r="W107" s="58"/>
      <c r="X107" s="58"/>
      <c r="Y107" s="58"/>
      <c r="AZ107" s="450"/>
      <c r="BA107" s="58"/>
      <c r="BB107" s="58"/>
      <c r="BC107" s="58"/>
      <c r="BF107" s="450"/>
      <c r="BG107" s="58"/>
      <c r="BH107" s="58"/>
      <c r="BI107" s="58"/>
    </row>
    <row r="108" spans="16:61" x14ac:dyDescent="0.3">
      <c r="P108" s="58"/>
      <c r="Q108" s="58"/>
      <c r="R108" s="58"/>
      <c r="S108" s="58"/>
      <c r="T108" s="58"/>
      <c r="V108" s="58"/>
      <c r="W108" s="58"/>
      <c r="X108" s="58"/>
      <c r="Y108" s="58"/>
      <c r="AZ108" s="450"/>
      <c r="BA108" s="58"/>
      <c r="BB108" s="58"/>
      <c r="BC108" s="58"/>
      <c r="BF108" s="450"/>
      <c r="BG108" s="58"/>
      <c r="BH108" s="58"/>
      <c r="BI108" s="58"/>
    </row>
    <row r="109" spans="16:61" x14ac:dyDescent="0.3">
      <c r="P109" s="58"/>
      <c r="Q109" s="58"/>
      <c r="R109" s="58"/>
      <c r="S109" s="58"/>
      <c r="T109" s="58"/>
      <c r="V109" s="58"/>
      <c r="W109" s="58"/>
      <c r="X109" s="58"/>
      <c r="Y109" s="58"/>
      <c r="AZ109" s="450"/>
      <c r="BA109" s="58"/>
      <c r="BB109" s="58"/>
      <c r="BC109" s="58"/>
      <c r="BF109" s="450"/>
      <c r="BG109" s="58"/>
      <c r="BH109" s="58"/>
      <c r="BI109" s="58"/>
    </row>
    <row r="110" spans="16:61" x14ac:dyDescent="0.3">
      <c r="P110" s="58"/>
      <c r="Q110" s="58"/>
      <c r="R110" s="58"/>
      <c r="S110" s="58"/>
      <c r="T110" s="58"/>
      <c r="V110" s="58"/>
      <c r="W110" s="58"/>
      <c r="X110" s="58"/>
      <c r="Y110" s="58"/>
      <c r="AZ110" s="450"/>
      <c r="BA110" s="58"/>
      <c r="BB110" s="58"/>
      <c r="BC110" s="58"/>
      <c r="BF110" s="450"/>
      <c r="BG110" s="58"/>
      <c r="BH110" s="58"/>
      <c r="BI110" s="58"/>
    </row>
    <row r="111" spans="16:61" x14ac:dyDescent="0.3">
      <c r="P111" s="58"/>
      <c r="Q111" s="58"/>
      <c r="R111" s="58"/>
      <c r="S111" s="58"/>
      <c r="T111" s="58"/>
      <c r="V111" s="58"/>
      <c r="W111" s="58"/>
      <c r="X111" s="58"/>
      <c r="Y111" s="58"/>
      <c r="AZ111" s="450"/>
      <c r="BA111" s="58"/>
      <c r="BB111" s="58"/>
      <c r="BC111" s="58"/>
      <c r="BF111" s="450"/>
      <c r="BG111" s="58"/>
      <c r="BH111" s="58"/>
      <c r="BI111" s="58"/>
    </row>
    <row r="112" spans="16:61" x14ac:dyDescent="0.3">
      <c r="P112" s="58"/>
      <c r="Q112" s="58"/>
      <c r="R112" s="58"/>
      <c r="S112" s="58"/>
      <c r="T112" s="58"/>
      <c r="V112" s="58"/>
      <c r="W112" s="58"/>
      <c r="X112" s="58"/>
      <c r="Y112" s="58"/>
      <c r="AZ112" s="450"/>
      <c r="BA112" s="58"/>
      <c r="BB112" s="58"/>
      <c r="BC112" s="58"/>
      <c r="BF112" s="450"/>
      <c r="BG112" s="58"/>
      <c r="BH112" s="58"/>
      <c r="BI112" s="58"/>
    </row>
    <row r="113" spans="16:61" x14ac:dyDescent="0.3">
      <c r="P113" s="58"/>
      <c r="Q113" s="58"/>
      <c r="R113" s="58"/>
      <c r="S113" s="58"/>
      <c r="T113" s="58"/>
      <c r="V113" s="58"/>
      <c r="W113" s="58"/>
      <c r="X113" s="58"/>
      <c r="Y113" s="58"/>
      <c r="AZ113" s="450"/>
      <c r="BA113" s="58"/>
      <c r="BB113" s="58"/>
      <c r="BC113" s="58"/>
      <c r="BF113" s="450"/>
      <c r="BG113" s="58"/>
      <c r="BH113" s="58"/>
      <c r="BI113" s="58"/>
    </row>
    <row r="114" spans="16:61" x14ac:dyDescent="0.3">
      <c r="P114" s="58"/>
      <c r="Q114" s="58"/>
      <c r="R114" s="58"/>
      <c r="S114" s="58"/>
      <c r="T114" s="58"/>
      <c r="V114" s="58"/>
      <c r="W114" s="58"/>
      <c r="X114" s="58"/>
      <c r="Y114" s="58"/>
      <c r="AZ114" s="450"/>
      <c r="BA114" s="58"/>
      <c r="BB114" s="58"/>
      <c r="BC114" s="58"/>
      <c r="BF114" s="450"/>
      <c r="BG114" s="58"/>
      <c r="BH114" s="58"/>
      <c r="BI114" s="58"/>
    </row>
    <row r="115" spans="16:61" x14ac:dyDescent="0.3">
      <c r="P115" s="58"/>
      <c r="Q115" s="58"/>
      <c r="R115" s="58"/>
      <c r="S115" s="58"/>
      <c r="T115" s="58"/>
      <c r="V115" s="58"/>
      <c r="W115" s="58"/>
      <c r="X115" s="58"/>
      <c r="Y115" s="58"/>
      <c r="AZ115" s="450"/>
      <c r="BA115" s="58"/>
      <c r="BB115" s="58"/>
      <c r="BC115" s="58"/>
      <c r="BF115" s="450"/>
      <c r="BG115" s="58"/>
      <c r="BH115" s="58"/>
      <c r="BI115" s="58"/>
    </row>
    <row r="116" spans="16:61" x14ac:dyDescent="0.3">
      <c r="P116" s="58"/>
      <c r="Q116" s="58"/>
      <c r="R116" s="58"/>
      <c r="S116" s="58"/>
      <c r="T116" s="58"/>
      <c r="V116" s="58"/>
      <c r="W116" s="58"/>
      <c r="X116" s="58"/>
      <c r="Y116" s="58"/>
      <c r="AZ116" s="450"/>
      <c r="BA116" s="58"/>
      <c r="BB116" s="58"/>
      <c r="BC116" s="58"/>
      <c r="BF116" s="450"/>
      <c r="BG116" s="58"/>
      <c r="BH116" s="58"/>
      <c r="BI116" s="58"/>
    </row>
    <row r="117" spans="16:61" x14ac:dyDescent="0.3">
      <c r="P117" s="58"/>
      <c r="Q117" s="58"/>
      <c r="R117" s="58"/>
      <c r="S117" s="58"/>
      <c r="T117" s="58"/>
      <c r="V117" s="58"/>
      <c r="W117" s="58"/>
      <c r="X117" s="58"/>
      <c r="Y117" s="58"/>
      <c r="AZ117" s="450"/>
      <c r="BA117" s="58"/>
      <c r="BB117" s="58"/>
      <c r="BC117" s="58"/>
      <c r="BF117" s="450"/>
      <c r="BG117" s="58"/>
      <c r="BH117" s="58"/>
      <c r="BI117" s="58"/>
    </row>
    <row r="118" spans="16:61" x14ac:dyDescent="0.3">
      <c r="P118" s="58"/>
      <c r="Q118" s="58"/>
      <c r="R118" s="58"/>
      <c r="S118" s="58"/>
      <c r="T118" s="58"/>
      <c r="V118" s="58"/>
      <c r="W118" s="58"/>
      <c r="X118" s="58"/>
      <c r="Y118" s="58"/>
      <c r="AZ118" s="450"/>
      <c r="BA118" s="58"/>
      <c r="BB118" s="58"/>
      <c r="BC118" s="58"/>
      <c r="BF118" s="450"/>
      <c r="BG118" s="58"/>
      <c r="BH118" s="58"/>
      <c r="BI118" s="58"/>
    </row>
    <row r="119" spans="16:61" x14ac:dyDescent="0.3">
      <c r="P119" s="58"/>
      <c r="Q119" s="58"/>
      <c r="R119" s="58"/>
      <c r="S119" s="58"/>
      <c r="T119" s="58"/>
      <c r="V119" s="58"/>
      <c r="W119" s="58"/>
      <c r="X119" s="58"/>
      <c r="Y119" s="58"/>
      <c r="AZ119" s="450"/>
      <c r="BA119" s="58"/>
      <c r="BB119" s="58"/>
      <c r="BC119" s="58"/>
      <c r="BF119" s="450"/>
      <c r="BG119" s="58"/>
      <c r="BH119" s="58"/>
      <c r="BI119" s="58"/>
    </row>
    <row r="120" spans="16:61" x14ac:dyDescent="0.3">
      <c r="P120" s="58"/>
      <c r="Q120" s="58"/>
      <c r="R120" s="58"/>
      <c r="S120" s="58"/>
      <c r="T120" s="58"/>
      <c r="V120" s="58"/>
      <c r="W120" s="58"/>
      <c r="X120" s="58"/>
      <c r="Y120" s="58"/>
      <c r="AZ120" s="450"/>
      <c r="BA120" s="58"/>
      <c r="BB120" s="58"/>
      <c r="BC120" s="58"/>
      <c r="BF120" s="450"/>
      <c r="BG120" s="58"/>
      <c r="BH120" s="58"/>
      <c r="BI120" s="58"/>
    </row>
    <row r="121" spans="16:61" x14ac:dyDescent="0.3">
      <c r="P121" s="58"/>
      <c r="Q121" s="58"/>
      <c r="R121" s="58"/>
      <c r="S121" s="58"/>
      <c r="T121" s="58"/>
      <c r="V121" s="58"/>
      <c r="W121" s="58"/>
      <c r="X121" s="58"/>
      <c r="Y121" s="58"/>
      <c r="AZ121" s="450"/>
      <c r="BA121" s="58"/>
      <c r="BB121" s="58"/>
      <c r="BC121" s="58"/>
      <c r="BF121" s="450"/>
      <c r="BG121" s="58"/>
      <c r="BH121" s="58"/>
      <c r="BI121" s="58"/>
    </row>
    <row r="122" spans="16:61" x14ac:dyDescent="0.3">
      <c r="P122" s="58"/>
      <c r="Q122" s="58"/>
      <c r="R122" s="58"/>
      <c r="S122" s="58"/>
      <c r="T122" s="58"/>
      <c r="V122" s="58"/>
      <c r="W122" s="58"/>
      <c r="X122" s="58"/>
      <c r="Y122" s="58"/>
      <c r="AZ122" s="450"/>
      <c r="BA122" s="58"/>
      <c r="BB122" s="58"/>
      <c r="BC122" s="58"/>
      <c r="BF122" s="450"/>
      <c r="BG122" s="58"/>
      <c r="BH122" s="58"/>
      <c r="BI122" s="58"/>
    </row>
    <row r="123" spans="16:61" x14ac:dyDescent="0.3">
      <c r="P123" s="58"/>
      <c r="Q123" s="58"/>
      <c r="R123" s="58"/>
      <c r="S123" s="58"/>
      <c r="T123" s="58"/>
      <c r="V123" s="58"/>
      <c r="W123" s="58"/>
      <c r="X123" s="58"/>
      <c r="Y123" s="58"/>
      <c r="AZ123" s="450"/>
      <c r="BA123" s="58"/>
      <c r="BB123" s="58"/>
      <c r="BC123" s="58"/>
      <c r="BF123" s="450"/>
      <c r="BG123" s="58"/>
      <c r="BH123" s="58"/>
      <c r="BI123" s="58"/>
    </row>
    <row r="124" spans="16:61" x14ac:dyDescent="0.3">
      <c r="P124" s="58"/>
      <c r="Q124" s="58"/>
      <c r="R124" s="58"/>
      <c r="S124" s="58"/>
      <c r="T124" s="58"/>
      <c r="V124" s="58"/>
      <c r="W124" s="58"/>
      <c r="X124" s="58"/>
      <c r="Y124" s="58"/>
      <c r="AZ124" s="450"/>
      <c r="BA124" s="58"/>
      <c r="BB124" s="58"/>
      <c r="BC124" s="58"/>
      <c r="BF124" s="450"/>
      <c r="BG124" s="58"/>
      <c r="BH124" s="58"/>
      <c r="BI124" s="58"/>
    </row>
    <row r="125" spans="16:61" x14ac:dyDescent="0.3">
      <c r="P125" s="58"/>
      <c r="Q125" s="58"/>
      <c r="R125" s="58"/>
      <c r="S125" s="58"/>
      <c r="T125" s="58"/>
      <c r="V125" s="58"/>
      <c r="W125" s="58"/>
      <c r="X125" s="58"/>
      <c r="Y125" s="58"/>
      <c r="AZ125" s="450"/>
      <c r="BA125" s="58"/>
      <c r="BB125" s="58"/>
      <c r="BC125" s="58"/>
      <c r="BF125" s="450"/>
      <c r="BG125" s="58"/>
      <c r="BH125" s="58"/>
      <c r="BI125" s="58"/>
    </row>
    <row r="126" spans="16:61" x14ac:dyDescent="0.3">
      <c r="P126" s="58"/>
      <c r="Q126" s="58"/>
      <c r="R126" s="58"/>
      <c r="S126" s="58"/>
      <c r="T126" s="58"/>
      <c r="V126" s="58"/>
      <c r="W126" s="58"/>
      <c r="X126" s="58"/>
      <c r="Y126" s="58"/>
      <c r="AZ126" s="450"/>
      <c r="BA126" s="58"/>
      <c r="BB126" s="58"/>
      <c r="BC126" s="58"/>
      <c r="BF126" s="450"/>
      <c r="BG126" s="58"/>
      <c r="BH126" s="58"/>
      <c r="BI126" s="58"/>
    </row>
    <row r="127" spans="16:61" x14ac:dyDescent="0.3">
      <c r="P127" s="58"/>
      <c r="Q127" s="58"/>
      <c r="R127" s="58"/>
      <c r="S127" s="58"/>
      <c r="T127" s="58"/>
      <c r="V127" s="58"/>
      <c r="W127" s="58"/>
      <c r="X127" s="58"/>
      <c r="Y127" s="58"/>
      <c r="AZ127" s="450"/>
      <c r="BA127" s="58"/>
      <c r="BB127" s="58"/>
      <c r="BC127" s="58"/>
      <c r="BF127" s="450"/>
      <c r="BG127" s="58"/>
      <c r="BH127" s="58"/>
      <c r="BI127" s="58"/>
    </row>
    <row r="128" spans="16:61" x14ac:dyDescent="0.3">
      <c r="P128" s="58"/>
      <c r="Q128" s="58"/>
      <c r="R128" s="58"/>
      <c r="S128" s="58"/>
      <c r="T128" s="58"/>
      <c r="V128" s="58"/>
      <c r="W128" s="58"/>
      <c r="X128" s="58"/>
      <c r="Y128" s="58"/>
      <c r="AZ128" s="450"/>
      <c r="BA128" s="58"/>
      <c r="BB128" s="58"/>
      <c r="BC128" s="58"/>
      <c r="BF128" s="450"/>
      <c r="BG128" s="58"/>
      <c r="BH128" s="58"/>
      <c r="BI128" s="58"/>
    </row>
    <row r="129" spans="16:61" x14ac:dyDescent="0.3">
      <c r="P129" s="58"/>
      <c r="Q129" s="58"/>
      <c r="R129" s="58"/>
      <c r="S129" s="58"/>
      <c r="T129" s="58"/>
      <c r="V129" s="58"/>
      <c r="W129" s="58"/>
      <c r="X129" s="58"/>
      <c r="Y129" s="58"/>
      <c r="AZ129" s="450"/>
      <c r="BA129" s="58"/>
      <c r="BB129" s="58"/>
      <c r="BC129" s="58"/>
      <c r="BF129" s="450"/>
      <c r="BG129" s="58"/>
      <c r="BH129" s="58"/>
      <c r="BI129" s="58"/>
    </row>
    <row r="130" spans="16:61" x14ac:dyDescent="0.3">
      <c r="P130" s="58"/>
      <c r="Q130" s="58"/>
      <c r="R130" s="58"/>
      <c r="S130" s="58"/>
      <c r="T130" s="58"/>
      <c r="V130" s="58"/>
      <c r="W130" s="58"/>
      <c r="X130" s="58"/>
      <c r="Y130" s="58"/>
      <c r="AZ130" s="450"/>
      <c r="BA130" s="58"/>
      <c r="BB130" s="58"/>
      <c r="BC130" s="58"/>
      <c r="BF130" s="450"/>
      <c r="BG130" s="58"/>
      <c r="BH130" s="58"/>
      <c r="BI130" s="58"/>
    </row>
    <row r="131" spans="16:61" x14ac:dyDescent="0.3">
      <c r="P131" s="58"/>
      <c r="Q131" s="58"/>
      <c r="R131" s="58"/>
      <c r="S131" s="58"/>
      <c r="T131" s="58"/>
      <c r="V131" s="58"/>
      <c r="W131" s="58"/>
      <c r="X131" s="58"/>
      <c r="Y131" s="58"/>
      <c r="AZ131" s="450"/>
      <c r="BA131" s="58"/>
      <c r="BB131" s="58"/>
      <c r="BC131" s="58"/>
      <c r="BF131" s="450"/>
      <c r="BG131" s="58"/>
      <c r="BH131" s="58"/>
      <c r="BI131" s="58"/>
    </row>
    <row r="132" spans="16:61" x14ac:dyDescent="0.3">
      <c r="P132" s="58"/>
      <c r="Q132" s="58"/>
      <c r="R132" s="58"/>
      <c r="S132" s="58"/>
      <c r="T132" s="58"/>
      <c r="V132" s="58"/>
      <c r="W132" s="58"/>
      <c r="X132" s="58"/>
      <c r="Y132" s="58"/>
      <c r="AZ132" s="450"/>
      <c r="BA132" s="58"/>
      <c r="BB132" s="58"/>
      <c r="BC132" s="58"/>
      <c r="BF132" s="450"/>
      <c r="BG132" s="58"/>
      <c r="BH132" s="58"/>
      <c r="BI132" s="58"/>
    </row>
    <row r="133" spans="16:61" x14ac:dyDescent="0.3">
      <c r="P133" s="58"/>
      <c r="Q133" s="58"/>
      <c r="R133" s="58"/>
      <c r="S133" s="58"/>
      <c r="T133" s="58"/>
      <c r="V133" s="58"/>
      <c r="W133" s="58"/>
      <c r="X133" s="58"/>
      <c r="Y133" s="58"/>
      <c r="AZ133" s="450"/>
      <c r="BA133" s="58"/>
      <c r="BB133" s="58"/>
      <c r="BC133" s="58"/>
      <c r="BF133" s="450"/>
      <c r="BG133" s="58"/>
      <c r="BH133" s="58"/>
      <c r="BI133" s="58"/>
    </row>
    <row r="134" spans="16:61" x14ac:dyDescent="0.3">
      <c r="P134" s="58"/>
      <c r="Q134" s="58"/>
      <c r="R134" s="58"/>
      <c r="S134" s="58"/>
      <c r="T134" s="58"/>
      <c r="V134" s="58"/>
      <c r="W134" s="58"/>
      <c r="X134" s="58"/>
      <c r="Y134" s="58"/>
      <c r="AZ134" s="450"/>
      <c r="BA134" s="58"/>
      <c r="BB134" s="58"/>
      <c r="BC134" s="58"/>
      <c r="BF134" s="450"/>
      <c r="BG134" s="58"/>
      <c r="BH134" s="58"/>
      <c r="BI134" s="58"/>
    </row>
    <row r="135" spans="16:61" x14ac:dyDescent="0.3">
      <c r="P135" s="58"/>
      <c r="Q135" s="58"/>
      <c r="R135" s="58"/>
      <c r="S135" s="58"/>
      <c r="T135" s="58"/>
      <c r="V135" s="58"/>
      <c r="W135" s="58"/>
      <c r="X135" s="58"/>
      <c r="Y135" s="58"/>
      <c r="AZ135" s="450"/>
      <c r="BA135" s="58"/>
      <c r="BB135" s="58"/>
      <c r="BC135" s="58"/>
      <c r="BF135" s="450"/>
      <c r="BG135" s="58"/>
      <c r="BH135" s="58"/>
      <c r="BI135" s="58"/>
    </row>
    <row r="136" spans="16:61" x14ac:dyDescent="0.3">
      <c r="P136" s="58"/>
      <c r="Q136" s="58"/>
      <c r="R136" s="58"/>
      <c r="S136" s="58"/>
      <c r="T136" s="58"/>
      <c r="V136" s="58"/>
      <c r="W136" s="58"/>
      <c r="X136" s="58"/>
      <c r="Y136" s="58"/>
      <c r="AZ136" s="450"/>
      <c r="BA136" s="58"/>
      <c r="BB136" s="58"/>
      <c r="BC136" s="58"/>
      <c r="BF136" s="450"/>
      <c r="BG136" s="58"/>
      <c r="BH136" s="58"/>
      <c r="BI136" s="58"/>
    </row>
    <row r="137" spans="16:61" x14ac:dyDescent="0.3">
      <c r="P137" s="58"/>
      <c r="Q137" s="58"/>
      <c r="R137" s="58"/>
      <c r="S137" s="58"/>
      <c r="T137" s="58"/>
      <c r="V137" s="58"/>
      <c r="W137" s="58"/>
      <c r="X137" s="58"/>
      <c r="Y137" s="58"/>
      <c r="AZ137" s="450"/>
      <c r="BA137" s="58"/>
      <c r="BB137" s="58"/>
      <c r="BC137" s="58"/>
      <c r="BF137" s="450"/>
      <c r="BG137" s="58"/>
      <c r="BH137" s="58"/>
      <c r="BI137" s="58"/>
    </row>
    <row r="138" spans="16:61" x14ac:dyDescent="0.3">
      <c r="P138" s="58"/>
      <c r="Q138" s="58"/>
      <c r="R138" s="58"/>
      <c r="S138" s="58"/>
      <c r="T138" s="58"/>
      <c r="V138" s="58"/>
      <c r="W138" s="58"/>
      <c r="X138" s="58"/>
      <c r="Y138" s="58"/>
      <c r="AZ138" s="450"/>
      <c r="BA138" s="58"/>
      <c r="BB138" s="58"/>
      <c r="BC138" s="58"/>
      <c r="BF138" s="450"/>
      <c r="BG138" s="58"/>
      <c r="BH138" s="58"/>
      <c r="BI138" s="58"/>
    </row>
    <row r="139" spans="16:61" x14ac:dyDescent="0.3">
      <c r="P139" s="58"/>
      <c r="Q139" s="58"/>
      <c r="R139" s="58"/>
      <c r="S139" s="58"/>
      <c r="T139" s="58"/>
      <c r="V139" s="58"/>
      <c r="W139" s="58"/>
      <c r="X139" s="58"/>
      <c r="Y139" s="58"/>
      <c r="AZ139" s="450"/>
      <c r="BA139" s="58"/>
      <c r="BB139" s="58"/>
      <c r="BC139" s="58"/>
      <c r="BF139" s="450"/>
      <c r="BG139" s="58"/>
      <c r="BH139" s="58"/>
      <c r="BI139" s="58"/>
    </row>
    <row r="140" spans="16:61" x14ac:dyDescent="0.3">
      <c r="P140" s="58"/>
      <c r="Q140" s="58"/>
      <c r="R140" s="58"/>
      <c r="S140" s="58"/>
      <c r="T140" s="58"/>
      <c r="V140" s="58"/>
      <c r="W140" s="58"/>
      <c r="X140" s="58"/>
      <c r="Y140" s="58"/>
      <c r="AZ140" s="450"/>
      <c r="BA140" s="58"/>
      <c r="BB140" s="58"/>
      <c r="BC140" s="58"/>
      <c r="BF140" s="450"/>
      <c r="BG140" s="58"/>
      <c r="BH140" s="58"/>
      <c r="BI140" s="58"/>
    </row>
    <row r="141" spans="16:61" x14ac:dyDescent="0.3">
      <c r="P141" s="58"/>
      <c r="Q141" s="58"/>
      <c r="R141" s="58"/>
      <c r="S141" s="58"/>
      <c r="T141" s="58"/>
      <c r="V141" s="58"/>
      <c r="W141" s="58"/>
      <c r="X141" s="58"/>
      <c r="Y141" s="58"/>
      <c r="AZ141" s="450"/>
      <c r="BA141" s="58"/>
      <c r="BB141" s="58"/>
      <c r="BC141" s="58"/>
      <c r="BF141" s="450"/>
      <c r="BG141" s="58"/>
      <c r="BH141" s="58"/>
      <c r="BI141" s="58"/>
    </row>
    <row r="142" spans="16:61" x14ac:dyDescent="0.3">
      <c r="P142" s="58"/>
      <c r="Q142" s="58"/>
      <c r="R142" s="58"/>
      <c r="S142" s="58"/>
      <c r="T142" s="58"/>
      <c r="V142" s="58"/>
      <c r="W142" s="58"/>
      <c r="X142" s="58"/>
      <c r="Y142" s="58"/>
      <c r="AZ142" s="450"/>
      <c r="BA142" s="58"/>
      <c r="BB142" s="58"/>
      <c r="BC142" s="58"/>
      <c r="BF142" s="450"/>
      <c r="BG142" s="58"/>
      <c r="BH142" s="58"/>
      <c r="BI142" s="58"/>
    </row>
    <row r="143" spans="16:61" x14ac:dyDescent="0.3">
      <c r="P143" s="58"/>
      <c r="Q143" s="58"/>
      <c r="R143" s="58"/>
      <c r="S143" s="58"/>
      <c r="T143" s="58"/>
      <c r="V143" s="58"/>
      <c r="W143" s="58"/>
      <c r="X143" s="58"/>
      <c r="Y143" s="58"/>
      <c r="AZ143" s="450"/>
      <c r="BA143" s="58"/>
      <c r="BB143" s="58"/>
      <c r="BC143" s="58"/>
      <c r="BF143" s="450"/>
      <c r="BG143" s="58"/>
      <c r="BH143" s="58"/>
      <c r="BI143" s="58"/>
    </row>
    <row r="144" spans="16:61" x14ac:dyDescent="0.3">
      <c r="P144" s="58"/>
      <c r="Q144" s="58"/>
      <c r="R144" s="58"/>
      <c r="S144" s="58"/>
      <c r="T144" s="58"/>
      <c r="V144" s="58"/>
      <c r="W144" s="58"/>
      <c r="X144" s="58"/>
      <c r="Y144" s="58"/>
      <c r="AZ144" s="450"/>
      <c r="BA144" s="58"/>
      <c r="BB144" s="58"/>
      <c r="BC144" s="58"/>
      <c r="BF144" s="450"/>
      <c r="BG144" s="58"/>
      <c r="BH144" s="58"/>
      <c r="BI144" s="58"/>
    </row>
    <row r="145" spans="16:61" x14ac:dyDescent="0.3">
      <c r="P145" s="58"/>
      <c r="Q145" s="58"/>
      <c r="R145" s="58"/>
      <c r="S145" s="58"/>
      <c r="T145" s="58"/>
      <c r="V145" s="58"/>
      <c r="W145" s="58"/>
      <c r="X145" s="58"/>
      <c r="Y145" s="58"/>
      <c r="AZ145" s="450"/>
      <c r="BA145" s="58"/>
      <c r="BB145" s="58"/>
      <c r="BC145" s="58"/>
      <c r="BF145" s="450"/>
      <c r="BG145" s="58"/>
      <c r="BH145" s="58"/>
      <c r="BI145" s="58"/>
    </row>
    <row r="146" spans="16:61" x14ac:dyDescent="0.3">
      <c r="P146" s="58"/>
      <c r="Q146" s="58"/>
      <c r="R146" s="58"/>
      <c r="S146" s="58"/>
      <c r="T146" s="58"/>
      <c r="V146" s="58"/>
      <c r="W146" s="58"/>
      <c r="X146" s="58"/>
      <c r="Y146" s="58"/>
      <c r="AZ146" s="450"/>
      <c r="BA146" s="58"/>
      <c r="BB146" s="58"/>
      <c r="BC146" s="58"/>
      <c r="BF146" s="450"/>
      <c r="BG146" s="58"/>
      <c r="BH146" s="58"/>
      <c r="BI146" s="58"/>
    </row>
    <row r="147" spans="16:61" x14ac:dyDescent="0.3">
      <c r="P147" s="58"/>
      <c r="Q147" s="58"/>
      <c r="R147" s="58"/>
      <c r="S147" s="58"/>
      <c r="T147" s="58"/>
      <c r="V147" s="58"/>
      <c r="W147" s="58"/>
      <c r="X147" s="58"/>
      <c r="Y147" s="58"/>
      <c r="AZ147" s="450"/>
      <c r="BA147" s="58"/>
      <c r="BB147" s="58"/>
      <c r="BC147" s="58"/>
      <c r="BF147" s="450"/>
      <c r="BG147" s="58"/>
      <c r="BH147" s="58"/>
      <c r="BI147" s="58"/>
    </row>
    <row r="148" spans="16:61" x14ac:dyDescent="0.3">
      <c r="P148" s="58"/>
      <c r="Q148" s="58"/>
      <c r="R148" s="58"/>
      <c r="S148" s="58"/>
      <c r="T148" s="58"/>
      <c r="V148" s="58"/>
      <c r="W148" s="58"/>
      <c r="X148" s="58"/>
      <c r="Y148" s="58"/>
      <c r="AZ148" s="450"/>
      <c r="BA148" s="58"/>
      <c r="BB148" s="58"/>
      <c r="BC148" s="58"/>
      <c r="BF148" s="450"/>
      <c r="BG148" s="58"/>
      <c r="BH148" s="58"/>
      <c r="BI148" s="58"/>
    </row>
    <row r="149" spans="16:61" x14ac:dyDescent="0.3">
      <c r="P149" s="58"/>
      <c r="Q149" s="58"/>
      <c r="R149" s="58"/>
      <c r="S149" s="58"/>
      <c r="T149" s="58"/>
      <c r="V149" s="58"/>
      <c r="W149" s="58"/>
      <c r="X149" s="58"/>
      <c r="Y149" s="58"/>
      <c r="AZ149" s="450"/>
      <c r="BA149" s="58"/>
      <c r="BB149" s="58"/>
      <c r="BC149" s="58"/>
      <c r="BF149" s="450"/>
      <c r="BG149" s="58"/>
      <c r="BH149" s="58"/>
      <c r="BI149" s="58"/>
    </row>
    <row r="150" spans="16:61" x14ac:dyDescent="0.3">
      <c r="P150" s="58"/>
      <c r="Q150" s="58"/>
      <c r="R150" s="58"/>
      <c r="S150" s="58"/>
      <c r="T150" s="58"/>
      <c r="V150" s="58"/>
      <c r="W150" s="58"/>
      <c r="X150" s="58"/>
      <c r="Y150" s="58"/>
      <c r="AZ150" s="450"/>
      <c r="BA150" s="58"/>
      <c r="BB150" s="58"/>
      <c r="BC150" s="58"/>
      <c r="BF150" s="450"/>
      <c r="BG150" s="58"/>
      <c r="BH150" s="58"/>
      <c r="BI150" s="58"/>
    </row>
    <row r="151" spans="16:61" x14ac:dyDescent="0.3">
      <c r="P151" s="58"/>
      <c r="Q151" s="58"/>
      <c r="R151" s="58"/>
      <c r="S151" s="58"/>
      <c r="T151" s="58"/>
      <c r="V151" s="58"/>
      <c r="W151" s="58"/>
      <c r="X151" s="58"/>
      <c r="Y151" s="58"/>
      <c r="BF151" s="450"/>
      <c r="BG151" s="58"/>
      <c r="BH151" s="58"/>
      <c r="BI151" s="58"/>
    </row>
    <row r="152" spans="16:61" x14ac:dyDescent="0.3">
      <c r="P152" s="58"/>
      <c r="Q152" s="58"/>
      <c r="R152" s="58"/>
      <c r="S152" s="58"/>
      <c r="T152" s="58"/>
      <c r="V152" s="58"/>
      <c r="W152" s="58"/>
      <c r="X152" s="58"/>
      <c r="Y152" s="58"/>
      <c r="BF152" s="450"/>
      <c r="BG152" s="58"/>
      <c r="BH152" s="58"/>
      <c r="BI152" s="58"/>
    </row>
    <row r="153" spans="16:61" x14ac:dyDescent="0.3">
      <c r="P153" s="58"/>
      <c r="Q153" s="58"/>
      <c r="R153" s="58"/>
      <c r="S153" s="58"/>
      <c r="T153" s="58"/>
      <c r="V153" s="58"/>
      <c r="W153" s="58"/>
      <c r="X153" s="58"/>
      <c r="Y153" s="58"/>
      <c r="BF153" s="450"/>
      <c r="BG153" s="58"/>
      <c r="BH153" s="58"/>
      <c r="BI153" s="58"/>
    </row>
    <row r="154" spans="16:61" x14ac:dyDescent="0.3">
      <c r="P154" s="58"/>
      <c r="Q154" s="58"/>
      <c r="R154" s="58"/>
      <c r="S154" s="58"/>
      <c r="T154" s="58"/>
      <c r="V154" s="58"/>
      <c r="W154" s="58"/>
      <c r="X154" s="58"/>
      <c r="Y154" s="58"/>
      <c r="BF154" s="450"/>
      <c r="BG154" s="58"/>
      <c r="BH154" s="58"/>
      <c r="BI154" s="58"/>
    </row>
    <row r="155" spans="16:61" x14ac:dyDescent="0.3">
      <c r="P155" s="58"/>
      <c r="Q155" s="58"/>
      <c r="R155" s="58"/>
      <c r="S155" s="58"/>
      <c r="T155" s="58"/>
      <c r="V155" s="58"/>
      <c r="W155" s="58"/>
      <c r="X155" s="58"/>
      <c r="Y155" s="58"/>
      <c r="BF155" s="450"/>
      <c r="BG155" s="58"/>
      <c r="BH155" s="58"/>
      <c r="BI155" s="58"/>
    </row>
    <row r="156" spans="16:61" x14ac:dyDescent="0.3">
      <c r="P156" s="58"/>
      <c r="Q156" s="58"/>
      <c r="R156" s="58"/>
      <c r="S156" s="58"/>
      <c r="T156" s="58"/>
      <c r="V156" s="58"/>
      <c r="W156" s="58"/>
      <c r="X156" s="58"/>
      <c r="Y156" s="58"/>
      <c r="BF156" s="450"/>
      <c r="BG156" s="58"/>
      <c r="BH156" s="58"/>
      <c r="BI156" s="58"/>
    </row>
    <row r="157" spans="16:61" x14ac:dyDescent="0.3">
      <c r="P157" s="58"/>
      <c r="Q157" s="58"/>
      <c r="R157" s="58"/>
      <c r="S157" s="58"/>
      <c r="T157" s="58"/>
      <c r="V157" s="58"/>
      <c r="W157" s="58"/>
      <c r="X157" s="58"/>
      <c r="Y157" s="58"/>
      <c r="BF157" s="450"/>
      <c r="BG157" s="58"/>
      <c r="BH157" s="58"/>
      <c r="BI157" s="58"/>
    </row>
    <row r="158" spans="16:61" x14ac:dyDescent="0.3">
      <c r="P158" s="58"/>
      <c r="Q158" s="58"/>
      <c r="R158" s="58"/>
      <c r="S158" s="58"/>
      <c r="T158" s="58"/>
      <c r="V158" s="58"/>
      <c r="W158" s="58"/>
      <c r="X158" s="58"/>
      <c r="Y158" s="58"/>
      <c r="BF158" s="450"/>
      <c r="BG158" s="58"/>
      <c r="BH158" s="58"/>
      <c r="BI158" s="58"/>
    </row>
    <row r="159" spans="16:61" x14ac:dyDescent="0.3">
      <c r="P159" s="58"/>
      <c r="Q159" s="58"/>
      <c r="R159" s="58"/>
      <c r="S159" s="58"/>
      <c r="T159" s="58"/>
      <c r="V159" s="58"/>
      <c r="W159" s="58"/>
      <c r="X159" s="58"/>
      <c r="Y159" s="58"/>
      <c r="BF159" s="450"/>
      <c r="BG159" s="58"/>
      <c r="BH159" s="58"/>
      <c r="BI159" s="58"/>
    </row>
    <row r="160" spans="16:61" x14ac:dyDescent="0.3">
      <c r="P160" s="58"/>
      <c r="Q160" s="58"/>
      <c r="R160" s="58"/>
      <c r="S160" s="58"/>
      <c r="T160" s="58"/>
      <c r="V160" s="58"/>
      <c r="W160" s="58"/>
      <c r="X160" s="58"/>
      <c r="Y160" s="58"/>
      <c r="BF160" s="450"/>
      <c r="BG160" s="58"/>
      <c r="BH160" s="58"/>
      <c r="BI160" s="58"/>
    </row>
    <row r="161" spans="16:61" x14ac:dyDescent="0.3">
      <c r="P161" s="58"/>
      <c r="Q161" s="58"/>
      <c r="R161" s="58"/>
      <c r="S161" s="58"/>
      <c r="T161" s="58"/>
      <c r="V161" s="58"/>
      <c r="W161" s="58"/>
      <c r="X161" s="58"/>
      <c r="Y161" s="58"/>
      <c r="BF161" s="450"/>
      <c r="BG161" s="58"/>
      <c r="BH161" s="58"/>
      <c r="BI161" s="58"/>
    </row>
    <row r="162" spans="16:61" x14ac:dyDescent="0.3">
      <c r="P162" s="58"/>
      <c r="Q162" s="58"/>
      <c r="R162" s="58"/>
      <c r="S162" s="58"/>
      <c r="T162" s="58"/>
      <c r="V162" s="58"/>
      <c r="W162" s="58"/>
      <c r="X162" s="58"/>
      <c r="Y162" s="58"/>
      <c r="BF162" s="450"/>
      <c r="BG162" s="58"/>
      <c r="BH162" s="58"/>
      <c r="BI162" s="58"/>
    </row>
    <row r="163" spans="16:61" x14ac:dyDescent="0.3">
      <c r="P163" s="58"/>
      <c r="Q163" s="58"/>
      <c r="R163" s="58"/>
      <c r="S163" s="58"/>
      <c r="T163" s="58"/>
      <c r="V163" s="58"/>
      <c r="W163" s="58"/>
      <c r="X163" s="58"/>
      <c r="Y163" s="58"/>
      <c r="BF163" s="450"/>
      <c r="BG163" s="58"/>
      <c r="BH163" s="58"/>
      <c r="BI163" s="58"/>
    </row>
    <row r="164" spans="16:61" x14ac:dyDescent="0.3">
      <c r="P164" s="58"/>
      <c r="Q164" s="58"/>
      <c r="R164" s="58"/>
      <c r="S164" s="58"/>
      <c r="T164" s="58"/>
      <c r="V164" s="58"/>
      <c r="W164" s="58"/>
      <c r="X164" s="58"/>
      <c r="Y164" s="58"/>
      <c r="BF164" s="450"/>
      <c r="BG164" s="58"/>
      <c r="BH164" s="58"/>
      <c r="BI164" s="58"/>
    </row>
    <row r="165" spans="16:61" x14ac:dyDescent="0.3">
      <c r="P165" s="58"/>
      <c r="Q165" s="58"/>
      <c r="R165" s="58"/>
      <c r="S165" s="58"/>
      <c r="T165" s="58"/>
      <c r="V165" s="58"/>
      <c r="W165" s="58"/>
      <c r="X165" s="58"/>
      <c r="Y165" s="58"/>
      <c r="BF165" s="450"/>
      <c r="BG165" s="58"/>
      <c r="BH165" s="58"/>
      <c r="BI165" s="58"/>
    </row>
    <row r="166" spans="16:61" x14ac:dyDescent="0.3">
      <c r="P166" s="58"/>
      <c r="Q166" s="58"/>
      <c r="R166" s="58"/>
      <c r="S166" s="58"/>
      <c r="T166" s="58"/>
      <c r="V166" s="58"/>
      <c r="W166" s="58"/>
      <c r="X166" s="58"/>
      <c r="Y166" s="58"/>
      <c r="BF166" s="450"/>
      <c r="BG166" s="58"/>
      <c r="BH166" s="58"/>
      <c r="BI166" s="58"/>
    </row>
    <row r="167" spans="16:61" x14ac:dyDescent="0.3">
      <c r="P167" s="58"/>
      <c r="Q167" s="58"/>
      <c r="R167" s="58"/>
      <c r="S167" s="58"/>
      <c r="T167" s="58"/>
      <c r="V167" s="58"/>
      <c r="W167" s="58"/>
      <c r="X167" s="58"/>
      <c r="Y167" s="58"/>
      <c r="BF167" s="450"/>
      <c r="BG167" s="58"/>
      <c r="BH167" s="58"/>
      <c r="BI167" s="58"/>
    </row>
    <row r="168" spans="16:61" x14ac:dyDescent="0.3">
      <c r="P168" s="58"/>
      <c r="Q168" s="58"/>
      <c r="R168" s="58"/>
      <c r="S168" s="58"/>
      <c r="T168" s="58"/>
      <c r="V168" s="58"/>
      <c r="W168" s="58"/>
      <c r="X168" s="58"/>
      <c r="Y168" s="58"/>
      <c r="BF168" s="450"/>
      <c r="BG168" s="58"/>
      <c r="BH168" s="58"/>
      <c r="BI168" s="58"/>
    </row>
    <row r="169" spans="16:61" x14ac:dyDescent="0.3">
      <c r="P169" s="58"/>
      <c r="Q169" s="58"/>
      <c r="R169" s="58"/>
      <c r="S169" s="58"/>
      <c r="T169" s="58"/>
      <c r="V169" s="58"/>
      <c r="W169" s="58"/>
      <c r="X169" s="58"/>
      <c r="Y169" s="58"/>
      <c r="BF169" s="450"/>
      <c r="BG169" s="58"/>
      <c r="BH169" s="58"/>
      <c r="BI169" s="58"/>
    </row>
    <row r="170" spans="16:61" x14ac:dyDescent="0.3">
      <c r="P170" s="58"/>
      <c r="Q170" s="58"/>
      <c r="R170" s="58"/>
      <c r="S170" s="58"/>
      <c r="T170" s="58"/>
      <c r="V170" s="58"/>
      <c r="W170" s="58"/>
      <c r="X170" s="58"/>
      <c r="Y170" s="58"/>
      <c r="BF170" s="450"/>
      <c r="BG170" s="58"/>
      <c r="BH170" s="58"/>
      <c r="BI170" s="58"/>
    </row>
    <row r="171" spans="16:61" x14ac:dyDescent="0.3">
      <c r="P171" s="58"/>
      <c r="Q171" s="58"/>
      <c r="R171" s="58"/>
      <c r="S171" s="58"/>
      <c r="T171" s="58"/>
      <c r="V171" s="58"/>
      <c r="W171" s="58"/>
      <c r="X171" s="58"/>
      <c r="Y171" s="58"/>
      <c r="BF171" s="450"/>
      <c r="BG171" s="58"/>
      <c r="BH171" s="58"/>
      <c r="BI171" s="58"/>
    </row>
    <row r="172" spans="16:61" x14ac:dyDescent="0.3">
      <c r="P172" s="58"/>
      <c r="Q172" s="58"/>
      <c r="R172" s="58"/>
      <c r="S172" s="58"/>
      <c r="T172" s="58"/>
      <c r="V172" s="58"/>
      <c r="W172" s="58"/>
      <c r="X172" s="58"/>
      <c r="Y172" s="58"/>
      <c r="BF172" s="450"/>
      <c r="BG172" s="58"/>
      <c r="BH172" s="58"/>
      <c r="BI172" s="58"/>
    </row>
    <row r="173" spans="16:61" x14ac:dyDescent="0.3">
      <c r="P173" s="58"/>
      <c r="Q173" s="58"/>
      <c r="R173" s="58"/>
      <c r="S173" s="58"/>
      <c r="T173" s="58"/>
      <c r="V173" s="58"/>
      <c r="W173" s="58"/>
      <c r="X173" s="58"/>
      <c r="Y173" s="58"/>
      <c r="BF173" s="450"/>
      <c r="BG173" s="58"/>
      <c r="BH173" s="58"/>
      <c r="BI173" s="58"/>
    </row>
    <row r="174" spans="16:61" x14ac:dyDescent="0.3">
      <c r="P174" s="58"/>
      <c r="Q174" s="58"/>
      <c r="R174" s="58"/>
      <c r="S174" s="58"/>
      <c r="T174" s="58"/>
      <c r="V174" s="58"/>
      <c r="W174" s="58"/>
      <c r="X174" s="58"/>
      <c r="Y174" s="58"/>
      <c r="BF174" s="450"/>
      <c r="BG174" s="58"/>
      <c r="BH174" s="58"/>
      <c r="BI174" s="58"/>
    </row>
    <row r="175" spans="16:61" x14ac:dyDescent="0.3">
      <c r="P175" s="58"/>
      <c r="Q175" s="58"/>
      <c r="R175" s="58"/>
      <c r="S175" s="58"/>
      <c r="T175" s="58"/>
      <c r="V175" s="58"/>
      <c r="W175" s="58"/>
      <c r="X175" s="58"/>
      <c r="Y175" s="58"/>
      <c r="BF175" s="450"/>
      <c r="BG175" s="58"/>
      <c r="BH175" s="58"/>
      <c r="BI175" s="58"/>
    </row>
    <row r="176" spans="16:61" x14ac:dyDescent="0.3">
      <c r="P176" s="58"/>
      <c r="Q176" s="58"/>
      <c r="R176" s="58"/>
      <c r="S176" s="58"/>
      <c r="T176" s="58"/>
      <c r="V176" s="58"/>
      <c r="W176" s="58"/>
      <c r="X176" s="58"/>
      <c r="Y176" s="58"/>
      <c r="BF176" s="450"/>
      <c r="BG176" s="58"/>
      <c r="BH176" s="58"/>
      <c r="BI176" s="58"/>
    </row>
    <row r="177" spans="16:61" x14ac:dyDescent="0.3">
      <c r="P177" s="58"/>
      <c r="Q177" s="58"/>
      <c r="R177" s="58"/>
      <c r="S177" s="58"/>
      <c r="T177" s="58"/>
      <c r="V177" s="58"/>
      <c r="W177" s="58"/>
      <c r="X177" s="58"/>
      <c r="Y177" s="58"/>
      <c r="BF177" s="450"/>
      <c r="BG177" s="58"/>
      <c r="BH177" s="58"/>
      <c r="BI177" s="58"/>
    </row>
    <row r="178" spans="16:61" x14ac:dyDescent="0.3">
      <c r="P178" s="58"/>
      <c r="Q178" s="58"/>
      <c r="R178" s="58"/>
      <c r="S178" s="58"/>
      <c r="T178" s="58"/>
      <c r="V178" s="58"/>
      <c r="W178" s="58"/>
      <c r="X178" s="58"/>
      <c r="Y178" s="58"/>
      <c r="BF178" s="450"/>
      <c r="BG178" s="58"/>
      <c r="BH178" s="58"/>
      <c r="BI178" s="58"/>
    </row>
    <row r="179" spans="16:61" x14ac:dyDescent="0.3">
      <c r="P179" s="58"/>
      <c r="Q179" s="58"/>
      <c r="R179" s="58"/>
      <c r="S179" s="58"/>
      <c r="T179" s="58"/>
      <c r="V179" s="58"/>
      <c r="W179" s="58"/>
      <c r="X179" s="58"/>
      <c r="Y179" s="58"/>
      <c r="BF179" s="450"/>
      <c r="BG179" s="58"/>
      <c r="BH179" s="58"/>
      <c r="BI179" s="58"/>
    </row>
    <row r="180" spans="16:61" x14ac:dyDescent="0.3">
      <c r="P180" s="58"/>
      <c r="Q180" s="58"/>
      <c r="R180" s="58"/>
      <c r="S180" s="58"/>
      <c r="T180" s="58"/>
      <c r="V180" s="58"/>
      <c r="W180" s="58"/>
      <c r="X180" s="58"/>
      <c r="Y180" s="58"/>
    </row>
    <row r="181" spans="16:61" x14ac:dyDescent="0.3">
      <c r="P181" s="58"/>
      <c r="Q181" s="58"/>
      <c r="R181" s="58"/>
      <c r="S181" s="58"/>
      <c r="T181" s="58"/>
      <c r="V181" s="58"/>
      <c r="W181" s="58"/>
      <c r="X181" s="58"/>
      <c r="Y181" s="58"/>
    </row>
    <row r="182" spans="16:61" x14ac:dyDescent="0.3">
      <c r="P182" s="58"/>
      <c r="Q182" s="58"/>
      <c r="R182" s="58"/>
      <c r="S182" s="58"/>
      <c r="T182" s="58"/>
      <c r="V182" s="58"/>
      <c r="W182" s="58"/>
      <c r="X182" s="58"/>
      <c r="Y182" s="58"/>
    </row>
    <row r="183" spans="16:61" x14ac:dyDescent="0.3">
      <c r="P183" s="58"/>
      <c r="Q183" s="58"/>
      <c r="R183" s="58"/>
      <c r="S183" s="58"/>
      <c r="T183" s="58"/>
      <c r="V183" s="58"/>
      <c r="W183" s="58"/>
      <c r="X183" s="58"/>
      <c r="Y183" s="58"/>
    </row>
    <row r="184" spans="16:61" x14ac:dyDescent="0.3">
      <c r="P184" s="58"/>
      <c r="Q184" s="58"/>
      <c r="R184" s="58"/>
      <c r="S184" s="58"/>
      <c r="T184" s="58"/>
      <c r="V184" s="58"/>
      <c r="W184" s="58"/>
      <c r="X184" s="58"/>
      <c r="Y184" s="58"/>
    </row>
    <row r="185" spans="16:61" x14ac:dyDescent="0.3">
      <c r="P185" s="58"/>
      <c r="Q185" s="58"/>
      <c r="R185" s="58"/>
      <c r="S185" s="58"/>
      <c r="T185" s="58"/>
      <c r="V185" s="58"/>
      <c r="W185" s="58"/>
      <c r="X185" s="58"/>
      <c r="Y185" s="58"/>
    </row>
    <row r="186" spans="16:61" x14ac:dyDescent="0.3">
      <c r="P186" s="58"/>
      <c r="Q186" s="58"/>
      <c r="R186" s="58"/>
      <c r="S186" s="58"/>
      <c r="T186" s="58"/>
    </row>
    <row r="187" spans="16:61" x14ac:dyDescent="0.3">
      <c r="P187" s="58"/>
      <c r="Q187" s="58"/>
      <c r="R187" s="58"/>
      <c r="S187" s="58"/>
      <c r="T187" s="58"/>
    </row>
    <row r="188" spans="16:61" x14ac:dyDescent="0.3">
      <c r="P188" s="58"/>
      <c r="Q188" s="58"/>
      <c r="R188" s="58"/>
      <c r="S188" s="58"/>
      <c r="T188" s="58"/>
    </row>
    <row r="189" spans="16:61" x14ac:dyDescent="0.3">
      <c r="P189" s="58"/>
      <c r="Q189" s="58"/>
      <c r="R189" s="58"/>
      <c r="S189" s="58"/>
      <c r="T189" s="58"/>
    </row>
    <row r="190" spans="16:61" x14ac:dyDescent="0.3">
      <c r="P190" s="58"/>
      <c r="Q190" s="58"/>
      <c r="R190" s="58"/>
      <c r="S190" s="58"/>
      <c r="T190" s="58"/>
    </row>
    <row r="191" spans="16:61" x14ac:dyDescent="0.3">
      <c r="P191" s="58"/>
      <c r="Q191" s="58"/>
      <c r="R191" s="58"/>
      <c r="S191" s="58"/>
      <c r="T191" s="58"/>
    </row>
    <row r="192" spans="16:61" x14ac:dyDescent="0.3">
      <c r="P192" s="58"/>
      <c r="Q192" s="58"/>
      <c r="R192" s="58"/>
      <c r="S192" s="58"/>
      <c r="T192" s="58"/>
    </row>
    <row r="193" spans="16:20" x14ac:dyDescent="0.3">
      <c r="P193" s="58"/>
      <c r="Q193" s="58"/>
      <c r="R193" s="58"/>
      <c r="S193" s="58"/>
      <c r="T193" s="58"/>
    </row>
    <row r="194" spans="16:20" x14ac:dyDescent="0.3">
      <c r="P194" s="58"/>
      <c r="Q194" s="58"/>
      <c r="R194" s="58"/>
      <c r="S194" s="58"/>
      <c r="T194" s="58"/>
    </row>
    <row r="195" spans="16:20" x14ac:dyDescent="0.3">
      <c r="P195" s="58"/>
      <c r="Q195" s="58"/>
      <c r="R195" s="58"/>
      <c r="S195" s="58"/>
      <c r="T195" s="58"/>
    </row>
    <row r="196" spans="16:20" x14ac:dyDescent="0.3">
      <c r="P196" s="58"/>
      <c r="Q196" s="58"/>
      <c r="R196" s="58"/>
      <c r="S196" s="58"/>
      <c r="T196" s="58"/>
    </row>
    <row r="197" spans="16:20" x14ac:dyDescent="0.3">
      <c r="P197" s="58"/>
      <c r="Q197" s="58"/>
      <c r="R197" s="58"/>
      <c r="S197" s="58"/>
      <c r="T197" s="58"/>
    </row>
    <row r="198" spans="16:20" x14ac:dyDescent="0.3">
      <c r="P198" s="58"/>
      <c r="Q198" s="58"/>
      <c r="R198" s="58"/>
      <c r="S198" s="58"/>
      <c r="T198" s="58"/>
    </row>
    <row r="199" spans="16:20" x14ac:dyDescent="0.3">
      <c r="P199" s="58"/>
      <c r="Q199" s="58"/>
      <c r="R199" s="58"/>
      <c r="S199" s="58"/>
      <c r="T199" s="58"/>
    </row>
    <row r="200" spans="16:20" x14ac:dyDescent="0.3">
      <c r="P200" s="58"/>
      <c r="Q200" s="58"/>
      <c r="R200" s="58"/>
      <c r="S200" s="58"/>
      <c r="T200" s="58"/>
    </row>
    <row r="201" spans="16:20" x14ac:dyDescent="0.3">
      <c r="P201" s="58"/>
      <c r="Q201" s="58"/>
      <c r="R201" s="58"/>
      <c r="S201" s="58"/>
      <c r="T201" s="58"/>
    </row>
  </sheetData>
  <mergeCells count="32">
    <mergeCell ref="GG2:GJ2"/>
    <mergeCell ref="GL2:GO2"/>
    <mergeCell ref="FC2:FF2"/>
    <mergeCell ref="FH2:FK2"/>
    <mergeCell ref="FM2:FP2"/>
    <mergeCell ref="FR2:FU2"/>
    <mergeCell ref="FW2:FZ2"/>
    <mergeCell ref="GB2:GE2"/>
    <mergeCell ref="EX2:FA2"/>
    <mergeCell ref="CJ2:CM2"/>
    <mergeCell ref="CP2:CS2"/>
    <mergeCell ref="CV2:CY2"/>
    <mergeCell ref="DB2:DE2"/>
    <mergeCell ref="DH2:DK2"/>
    <mergeCell ref="DN2:DQ2"/>
    <mergeCell ref="DT2:DW2"/>
    <mergeCell ref="DZ2:EC2"/>
    <mergeCell ref="EF2:EI2"/>
    <mergeCell ref="EL2:EO2"/>
    <mergeCell ref="ER2:EU2"/>
    <mergeCell ref="CD2:CG2"/>
    <mergeCell ref="P2:S2"/>
    <mergeCell ref="V2:Y2"/>
    <mergeCell ref="AB2:AE2"/>
    <mergeCell ref="AH2:AK2"/>
    <mergeCell ref="AN2:AQ2"/>
    <mergeCell ref="AT2:AW2"/>
    <mergeCell ref="AZ2:BC2"/>
    <mergeCell ref="BF2:BI2"/>
    <mergeCell ref="BL2:BO2"/>
    <mergeCell ref="BR2:BU2"/>
    <mergeCell ref="BX2:CA2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76929-BB47-4704-92E6-02CA86D65ED6}">
  <sheetPr codeName="Sheet24"/>
  <dimension ref="A1:BD121"/>
  <sheetViews>
    <sheetView topLeftCell="V1" workbookViewId="0">
      <selection activeCell="G15" sqref="G15"/>
    </sheetView>
  </sheetViews>
  <sheetFormatPr defaultRowHeight="14.4" x14ac:dyDescent="0.3"/>
  <cols>
    <col min="2" max="6" width="16.5546875" style="58" customWidth="1"/>
    <col min="7" max="7" width="28.33203125" style="58" bestFit="1" customWidth="1"/>
    <col min="8" max="22" width="16.5546875" style="58" customWidth="1"/>
    <col min="31" max="31" width="10.33203125" bestFit="1" customWidth="1"/>
    <col min="32" max="32" width="2.88671875" customWidth="1"/>
    <col min="33" max="33" width="16" bestFit="1" customWidth="1"/>
    <col min="34" max="34" width="18.33203125" bestFit="1" customWidth="1"/>
    <col min="35" max="35" width="31.33203125" bestFit="1" customWidth="1"/>
    <col min="56" max="56" width="11" bestFit="1" customWidth="1"/>
  </cols>
  <sheetData>
    <row r="1" spans="1:56" x14ac:dyDescent="0.3">
      <c r="C1" s="58">
        <v>1</v>
      </c>
      <c r="E1" s="58">
        <v>2</v>
      </c>
      <c r="G1" s="58">
        <v>3</v>
      </c>
      <c r="I1" s="58">
        <v>4</v>
      </c>
      <c r="K1" s="58">
        <v>5</v>
      </c>
      <c r="M1" s="58">
        <v>6</v>
      </c>
      <c r="O1" s="58">
        <v>7</v>
      </c>
      <c r="Q1" s="58">
        <v>8</v>
      </c>
      <c r="S1" s="58">
        <v>9</v>
      </c>
      <c r="U1" s="58">
        <v>10</v>
      </c>
      <c r="AD1" t="s">
        <v>168</v>
      </c>
      <c r="AE1" t="s">
        <v>369</v>
      </c>
      <c r="AG1" t="s">
        <v>370</v>
      </c>
      <c r="AH1" t="s">
        <v>371</v>
      </c>
      <c r="AI1" t="s">
        <v>372</v>
      </c>
      <c r="BC1" t="s">
        <v>373</v>
      </c>
      <c r="BD1" t="s">
        <v>374</v>
      </c>
    </row>
    <row r="2" spans="1:56" x14ac:dyDescent="0.3">
      <c r="A2" t="s">
        <v>204</v>
      </c>
      <c r="B2" s="58" t="s">
        <v>165</v>
      </c>
      <c r="C2" s="58" t="str">
        <f>IFERROR(CONCATENATE(_xlfn.XLOOKUP(C1,'Yoy WAR OG'!$G$3:$G$33,'Yoy WAR OG'!$B$3:$B$33)," ","Withdrawals"),0)</f>
        <v>Cash In Hand / Bank Withdrawals</v>
      </c>
      <c r="D2" s="58" t="str">
        <f>CONCATENATE("Balance",C1)</f>
        <v>Balance1</v>
      </c>
      <c r="E2" s="58" t="str">
        <f>IFERROR(CONCATENATE(_xlfn.XLOOKUP(E1,'Yoy WAR OG'!$G$3:$G$33,'Yoy WAR OG'!$B$3:$B$33)," ","Withdrawals"),0)</f>
        <v>Fixed Deposit Withdrawals</v>
      </c>
      <c r="F2" s="58" t="str">
        <f>CONCATENATE("Balance",E1)</f>
        <v>Balance2</v>
      </c>
      <c r="G2" s="58" t="str">
        <f>IFERROR(CONCATENATE(_xlfn.XLOOKUP(G1,'Yoy WAR OG'!$G$3:$G$33,'Yoy WAR OG'!$B$3:$B$33)," ","Withdrawals"),0)</f>
        <v>SGBs Withdrawals</v>
      </c>
      <c r="H2" s="58" t="str">
        <f>CONCATENATE("Balance",G1)</f>
        <v>Balance3</v>
      </c>
      <c r="I2" s="58" t="str">
        <f>IFERROR(CONCATENATE(_xlfn.XLOOKUP(I1,'Yoy WAR OG'!$G$3:$G$33,'Yoy WAR OG'!$B$3:$B$33)," ","Withdrawals"),0)</f>
        <v>Hybrid Withdrawals</v>
      </c>
      <c r="J2" s="58" t="str">
        <f>CONCATENATE("Balance",I1)</f>
        <v>Balance4</v>
      </c>
      <c r="K2" s="58" t="str">
        <f>IFERROR(CONCATENATE(_xlfn.XLOOKUP(K1,'Yoy WAR OG'!$G$3:$G$33,'Yoy WAR OG'!$B$3:$B$33)," ","Withdrawals"),0)</f>
        <v>Debt Mutual Funds Withdrawals</v>
      </c>
      <c r="L2" s="58" t="str">
        <f>CONCATENATE("Balance",K1)</f>
        <v>Balance5</v>
      </c>
      <c r="M2" s="58" t="str">
        <f>IFERROR(CONCATENATE(_xlfn.XLOOKUP(M1,'Yoy WAR OG'!$G$3:$G$33,'Yoy WAR OG'!$B$3:$B$33)," ","Withdrawals"),0)</f>
        <v>Equity Mutual Funds Withdrawals</v>
      </c>
      <c r="N2" s="58" t="str">
        <f>CONCATENATE("Balance",M1)</f>
        <v>Balance6</v>
      </c>
      <c r="O2" s="58" t="str">
        <f>IFERROR(CONCATENATE(_xlfn.XLOOKUP(O1,'Yoy WAR OG'!$G$3:$G$33,'Yoy WAR OG'!$B$3:$B$33)," ","Withdrawals"),0)</f>
        <v>Equity Stocks Withdrawals</v>
      </c>
      <c r="P2" s="58" t="str">
        <f>CONCATENATE("Balance",O1)</f>
        <v>Balance7</v>
      </c>
      <c r="Q2" s="58">
        <f>IFERROR(CONCATENATE(_xlfn.XLOOKUP(Q1,'Yoy WAR OG'!$G$3:$G$33,'Yoy WAR OG'!$B$3:$B$33)," ","Withdrawals"),0)</f>
        <v>0</v>
      </c>
      <c r="R2" s="58" t="str">
        <f>CONCATENATE("Balance",Q1)</f>
        <v>Balance8</v>
      </c>
      <c r="S2" s="58">
        <f>IFERROR(CONCATENATE(_xlfn.XLOOKUP(S1,'Yoy WAR OG'!$G$3:$G$33,'Yoy WAR OG'!$B$3:$B$33)," ","Withdrawals"),0)</f>
        <v>0</v>
      </c>
      <c r="T2" s="58" t="str">
        <f>CONCATENATE("Balance",S1)</f>
        <v>Balance9</v>
      </c>
      <c r="U2" s="58">
        <f>IFERROR(CONCATENATE(_xlfn.XLOOKUP(U1,'Yoy WAR OG'!$G$3:$G$33,'Yoy WAR OG'!$B$3:$B$33)," ","Withdrawals"),0)</f>
        <v>0</v>
      </c>
      <c r="V2" s="58" t="str">
        <f>CONCATENATE("Balance",U1)</f>
        <v>Balance10</v>
      </c>
      <c r="BC2">
        <f>'NWGC - SCENARIOS'!D7+1</f>
        <v>56</v>
      </c>
      <c r="BD2">
        <f ca="1">IFERROR((VLOOKUP($BC2,'NWGC - SCENARIOS'!$B$9:$H$67,7,0))+(VLOOKUP($BC2+1,'NWGC - SCENARIOS'!$B$9:$H$67,7,0))+(VLOOKUP($BC2+2,'NWGC - SCENARIOS'!$B$9:$H$67,7,0)),0)</f>
        <v>3947795.3377075209</v>
      </c>
    </row>
    <row r="3" spans="1:56" x14ac:dyDescent="0.3">
      <c r="A3">
        <f>'Yoy WAR OG'!J4</f>
        <v>49</v>
      </c>
      <c r="B3" s="58">
        <f>'Yoy WAR OG'!M4</f>
        <v>0</v>
      </c>
      <c r="C3" s="58">
        <f>HLOOKUP('Withdrawal Working'!C$2,'Yoy WAR OG'!$J$3:$FA$79,MATCH('Withdrawal Working'!$A3,'Yoy WAR OG'!$J$3:$J$79,0),0)</f>
        <v>0</v>
      </c>
      <c r="D3" s="58">
        <f>B3-C3</f>
        <v>0</v>
      </c>
      <c r="E3" s="58">
        <f>HLOOKUP('Withdrawal Working'!E$2,'Yoy WAR OG'!$J$3:$FA$79,MATCH('Withdrawal Working'!$A3,'Yoy WAR OG'!$J$3:$J$79,0),0)</f>
        <v>0</v>
      </c>
      <c r="F3" s="58">
        <f>D3-E3</f>
        <v>0</v>
      </c>
      <c r="G3" s="58">
        <f>HLOOKUP('Withdrawal Working'!G$2,'Yoy WAR OG'!$J$3:$FA$79,MATCH('Withdrawal Working'!$A3,'Yoy WAR OG'!$J$3:$J$79,0),0)</f>
        <v>0</v>
      </c>
      <c r="H3" s="58">
        <f>F3-G3</f>
        <v>0</v>
      </c>
      <c r="I3" s="58">
        <f>HLOOKUP('Withdrawal Working'!I$2,'Yoy WAR OG'!$J$3:$FA$79,MATCH('Withdrawal Working'!$A3,'Yoy WAR OG'!$J$3:$J$79,0),0)</f>
        <v>0</v>
      </c>
      <c r="J3" s="58">
        <f>H3-I3</f>
        <v>0</v>
      </c>
      <c r="K3" s="58">
        <f>HLOOKUP('Withdrawal Working'!K$2,'Yoy WAR OG'!$J$3:$FA$79,MATCH('Withdrawal Working'!$A3,'Yoy WAR OG'!$J$3:$J$79,0),0)</f>
        <v>0</v>
      </c>
      <c r="L3" s="58">
        <f>J3-K3</f>
        <v>0</v>
      </c>
      <c r="M3" s="58">
        <f>HLOOKUP('Withdrawal Working'!M$2,'Yoy WAR OG'!$J$3:$FA$79,MATCH('Withdrawal Working'!$A3,'Yoy WAR OG'!$J$3:$J$79,0),0)</f>
        <v>0</v>
      </c>
      <c r="N3" s="58">
        <f>L3-M3</f>
        <v>0</v>
      </c>
      <c r="O3" s="58">
        <f>HLOOKUP('Withdrawal Working'!O$2,'Yoy WAR OG'!$J$3:$FA$79,MATCH('Withdrawal Working'!$A3,'Yoy WAR OG'!$J$3:$J$79,0),0)</f>
        <v>0</v>
      </c>
      <c r="P3" s="58">
        <f>N3-O3</f>
        <v>0</v>
      </c>
      <c r="Q3" s="58">
        <f>HLOOKUP('Withdrawal Working'!Q$2,'Yoy WAR OG'!$J$3:$FA$79,MATCH('Withdrawal Working'!$A3,'Yoy WAR OG'!$J$3:$J$79,0),0)</f>
        <v>0</v>
      </c>
      <c r="R3" s="58">
        <f>P3-Q3</f>
        <v>0</v>
      </c>
      <c r="S3" s="58">
        <f>HLOOKUP('Withdrawal Working'!S$2,'Yoy WAR OG'!$J$3:$FA$79,MATCH('Withdrawal Working'!$A3,'Yoy WAR OG'!$J$3:$J$79,0),0)</f>
        <v>0</v>
      </c>
      <c r="T3" s="58">
        <f>R3-S3</f>
        <v>0</v>
      </c>
      <c r="U3" s="58">
        <f>HLOOKUP('Withdrawal Working'!U$2,'Yoy WAR OG'!$J$3:$FA$79,MATCH('Withdrawal Working'!$A3,'Yoy WAR OG'!$J$3:$J$79,0),0)</f>
        <v>0</v>
      </c>
      <c r="V3" s="58">
        <f>T3-U3</f>
        <v>0</v>
      </c>
      <c r="AD3">
        <f>'Yoy WAR OG'!K4</f>
        <v>2025</v>
      </c>
      <c r="AE3">
        <f>IF(AD3&lt;VLOOKUP('NWGC - SCENARIOS'!$D$7,'NWGC - SCENARIOS'!$B$11:$C$67,2,0),IF(V3&lt;0,-V3,0),IF(AI3&gt;0,'Withdrawal Working'!AI3,0))</f>
        <v>0</v>
      </c>
      <c r="AG3">
        <f ca="1">'Yoy WAR OG'!R4+'Yoy WAR OG'!X4+'Yoy WAR OG'!AD4+'Yoy WAR OG'!AJ4+'Yoy WAR OG'!AP4+'Yoy WAR OG'!AV4+'Yoy WAR OG'!BB4+'Yoy WAR OG'!BH4+'Yoy WAR OG'!BN4+'Yoy WAR OG'!BT4+'Yoy WAR OG'!BZ4+'Yoy WAR OG'!CF4+'Yoy WAR OG'!CL4+'Yoy WAR OG'!CR4+'Yoy WAR OG'!CX4+'Yoy WAR OG'!DD4+'Yoy WAR OG'!DJ4+'Yoy WAR OG'!DP4+'Yoy WAR OG'!DV4+'Yoy WAR OG'!EB4+'Yoy WAR OG'!EH4+'Yoy WAR OG'!EN4+'Yoy WAR OG'!ET4+'Yoy WAR OG'!EZ4</f>
        <v>0</v>
      </c>
      <c r="AH3" s="449">
        <f>'Yoy WAR OG'!M4</f>
        <v>0</v>
      </c>
      <c r="AI3" s="449">
        <f ca="1">AG3-AH3</f>
        <v>0</v>
      </c>
      <c r="BC3">
        <f>BC2+1</f>
        <v>57</v>
      </c>
      <c r="BD3">
        <f ca="1">IFERROR((VLOOKUP($BC3+2,'NWGC - SCENARIOS'!$B$9:$H$67,7,0)),0)</f>
        <v>4317849.9945455752</v>
      </c>
    </row>
    <row r="4" spans="1:56" x14ac:dyDescent="0.3">
      <c r="A4">
        <f>'Yoy WAR OG'!J5</f>
        <v>50</v>
      </c>
      <c r="B4" s="58">
        <f ca="1">'Yoy WAR OG'!M5</f>
        <v>0</v>
      </c>
      <c r="C4" s="58">
        <f ca="1">HLOOKUP('Withdrawal Working'!C$2,'Yoy WAR OG'!$J$3:$FA$79,MATCH('Withdrawal Working'!$A4,'Yoy WAR OG'!$J$3:$J$79,0),0)</f>
        <v>0</v>
      </c>
      <c r="D4" s="58">
        <f t="shared" ref="D4:D10" ca="1" si="0">B4-C4</f>
        <v>0</v>
      </c>
      <c r="E4" s="58">
        <f ca="1">HLOOKUP('Withdrawal Working'!E$2,'Yoy WAR OG'!$J$3:$FA$79,MATCH('Withdrawal Working'!$A4,'Yoy WAR OG'!$J$3:$J$79,0),0)</f>
        <v>0</v>
      </c>
      <c r="F4" s="58">
        <f t="shared" ref="F4:F10" ca="1" si="1">D4-E4</f>
        <v>0</v>
      </c>
      <c r="G4" s="58">
        <f ca="1">HLOOKUP('Withdrawal Working'!G$2,'Yoy WAR OG'!$J$3:$FA$79,MATCH('Withdrawal Working'!$A4,'Yoy WAR OG'!$J$3:$J$79,0),0)</f>
        <v>0</v>
      </c>
      <c r="H4" s="58">
        <f t="shared" ref="H4:H10" ca="1" si="2">F4-G4</f>
        <v>0</v>
      </c>
      <c r="I4" s="58">
        <f ca="1">HLOOKUP('Withdrawal Working'!I$2,'Yoy WAR OG'!$J$3:$FA$79,MATCH('Withdrawal Working'!$A4,'Yoy WAR OG'!$J$3:$J$79,0),0)</f>
        <v>0</v>
      </c>
      <c r="J4" s="58">
        <f t="shared" ref="J4:J10" ca="1" si="3">H4-I4</f>
        <v>0</v>
      </c>
      <c r="K4" s="58">
        <f ca="1">HLOOKUP('Withdrawal Working'!K$2,'Yoy WAR OG'!$J$3:$FA$79,MATCH('Withdrawal Working'!$A4,'Yoy WAR OG'!$J$3:$J$79,0),0)</f>
        <v>0</v>
      </c>
      <c r="L4" s="58">
        <f t="shared" ref="L4:L10" ca="1" si="4">J4-K4</f>
        <v>0</v>
      </c>
      <c r="M4" s="58">
        <f ca="1">HLOOKUP('Withdrawal Working'!M$2,'Yoy WAR OG'!$J$3:$FA$79,MATCH('Withdrawal Working'!$A4,'Yoy WAR OG'!$J$3:$J$79,0),0)</f>
        <v>0</v>
      </c>
      <c r="N4" s="58">
        <f t="shared" ref="N4:N10" ca="1" si="5">L4-M4</f>
        <v>0</v>
      </c>
      <c r="O4" s="58">
        <f ca="1">HLOOKUP('Withdrawal Working'!O$2,'Yoy WAR OG'!$J$3:$FA$79,MATCH('Withdrawal Working'!$A4,'Yoy WAR OG'!$J$3:$J$79,0),0)</f>
        <v>0</v>
      </c>
      <c r="P4" s="58">
        <f t="shared" ref="P4:P10" ca="1" si="6">N4-O4</f>
        <v>0</v>
      </c>
      <c r="Q4" s="58">
        <f>HLOOKUP('Withdrawal Working'!Q$2,'Yoy WAR OG'!$J$3:$FA$79,MATCH('Withdrawal Working'!$A4,'Yoy WAR OG'!$J$3:$J$79,0),0)</f>
        <v>0</v>
      </c>
      <c r="R4" s="58">
        <f t="shared" ref="R4:R10" ca="1" si="7">P4-Q4</f>
        <v>0</v>
      </c>
      <c r="S4" s="58">
        <f>HLOOKUP('Withdrawal Working'!S$2,'Yoy WAR OG'!$J$3:$FA$79,MATCH('Withdrawal Working'!$A4,'Yoy WAR OG'!$J$3:$J$79,0),0)</f>
        <v>0</v>
      </c>
      <c r="T4" s="58">
        <f t="shared" ref="T4:T10" ca="1" si="8">R4-S4</f>
        <v>0</v>
      </c>
      <c r="U4" s="58">
        <f>HLOOKUP('Withdrawal Working'!U$2,'Yoy WAR OG'!$J$3:$FA$79,MATCH('Withdrawal Working'!$A4,'Yoy WAR OG'!$J$3:$J$79,0),0)</f>
        <v>0</v>
      </c>
      <c r="V4" s="58">
        <f t="shared" ref="V4:V10" ca="1" si="9">T4-U4</f>
        <v>0</v>
      </c>
      <c r="AD4">
        <f>'Yoy WAR OG'!K5</f>
        <v>2026</v>
      </c>
      <c r="AE4">
        <f ca="1">IF(AD4&lt;VLOOKUP('NWGC - SCENARIOS'!$D$7,'NWGC - SCENARIOS'!$B$11:$C$67,2,0),IF(V4&lt;0,-V4,0),IF(AI4&gt;0,'Withdrawal Working'!AI4,0))</f>
        <v>0</v>
      </c>
      <c r="AG4">
        <f ca="1">'Yoy WAR OG'!R5+'Yoy WAR OG'!X5+'Yoy WAR OG'!AD5+'Yoy WAR OG'!AJ5+'Yoy WAR OG'!AP5+'Yoy WAR OG'!AV5+'Yoy WAR OG'!BB5+'Yoy WAR OG'!BH5+'Yoy WAR OG'!BN5+'Yoy WAR OG'!BT5+'Yoy WAR OG'!BZ5+'Yoy WAR OG'!CF5+'Yoy WAR OG'!CL5+'Yoy WAR OG'!CR5+'Yoy WAR OG'!CX5+'Yoy WAR OG'!DD5+'Yoy WAR OG'!DJ5+'Yoy WAR OG'!DP5+'Yoy WAR OG'!DV5+'Yoy WAR OG'!EB5+'Yoy WAR OG'!EH5+'Yoy WAR OG'!EN5+'Yoy WAR OG'!ET5+'Yoy WAR OG'!EZ5</f>
        <v>0</v>
      </c>
      <c r="AH4" s="449">
        <f ca="1">'Yoy WAR OG'!M5</f>
        <v>0</v>
      </c>
      <c r="AI4" s="449">
        <f t="shared" ref="AI4:AI67" ca="1" si="10">AG4-AH4</f>
        <v>0</v>
      </c>
      <c r="BC4">
        <f t="shared" ref="BC4:BC25" si="11">BC3+1</f>
        <v>58</v>
      </c>
      <c r="BD4">
        <f ca="1">IFERROR((VLOOKUP($BC4+2,'NWGC - SCENARIOS'!$B$9:$H$67,7,0)),0)</f>
        <v>1165819.4985273054</v>
      </c>
    </row>
    <row r="5" spans="1:56" x14ac:dyDescent="0.3">
      <c r="A5">
        <f>'Yoy WAR OG'!J6</f>
        <v>51</v>
      </c>
      <c r="B5" s="58">
        <f ca="1">'Yoy WAR OG'!M6</f>
        <v>0</v>
      </c>
      <c r="C5" s="58">
        <f ca="1">HLOOKUP('Withdrawal Working'!C$2,'Yoy WAR OG'!$J$3:$FA$79,MATCH('Withdrawal Working'!$A5,'Yoy WAR OG'!$J$3:$J$79,0),0)</f>
        <v>0</v>
      </c>
      <c r="D5" s="58">
        <f t="shared" ca="1" si="0"/>
        <v>0</v>
      </c>
      <c r="E5" s="58">
        <f ca="1">HLOOKUP('Withdrawal Working'!E$2,'Yoy WAR OG'!$J$3:$FA$79,MATCH('Withdrawal Working'!$A5,'Yoy WAR OG'!$J$3:$J$79,0),0)</f>
        <v>0</v>
      </c>
      <c r="F5" s="58">
        <f t="shared" ca="1" si="1"/>
        <v>0</v>
      </c>
      <c r="G5" s="58">
        <f ca="1">HLOOKUP('Withdrawal Working'!G$2,'Yoy WAR OG'!$J$3:$FA$79,MATCH('Withdrawal Working'!$A5,'Yoy WAR OG'!$J$3:$J$79,0),0)</f>
        <v>0</v>
      </c>
      <c r="H5" s="58">
        <f t="shared" ca="1" si="2"/>
        <v>0</v>
      </c>
      <c r="I5" s="58">
        <f ca="1">HLOOKUP('Withdrawal Working'!I$2,'Yoy WAR OG'!$J$3:$FA$79,MATCH('Withdrawal Working'!$A5,'Yoy WAR OG'!$J$3:$J$79,0),0)</f>
        <v>0</v>
      </c>
      <c r="J5" s="58">
        <f t="shared" ca="1" si="3"/>
        <v>0</v>
      </c>
      <c r="K5" s="58">
        <f ca="1">HLOOKUP('Withdrawal Working'!K$2,'Yoy WAR OG'!$J$3:$FA$79,MATCH('Withdrawal Working'!$A5,'Yoy WAR OG'!$J$3:$J$79,0),0)</f>
        <v>0</v>
      </c>
      <c r="L5" s="58">
        <f t="shared" ca="1" si="4"/>
        <v>0</v>
      </c>
      <c r="M5" s="58">
        <f ca="1">HLOOKUP('Withdrawal Working'!M$2,'Yoy WAR OG'!$J$3:$FA$79,MATCH('Withdrawal Working'!$A5,'Yoy WAR OG'!$J$3:$J$79,0),0)</f>
        <v>0</v>
      </c>
      <c r="N5" s="58">
        <f t="shared" ca="1" si="5"/>
        <v>0</v>
      </c>
      <c r="O5" s="58">
        <f ca="1">HLOOKUP('Withdrawal Working'!O$2,'Yoy WAR OG'!$J$3:$FA$79,MATCH('Withdrawal Working'!$A5,'Yoy WAR OG'!$J$3:$J$79,0),0)</f>
        <v>0</v>
      </c>
      <c r="P5" s="58">
        <f t="shared" ca="1" si="6"/>
        <v>0</v>
      </c>
      <c r="Q5" s="58">
        <f>HLOOKUP('Withdrawal Working'!Q$2,'Yoy WAR OG'!$J$3:$FA$79,MATCH('Withdrawal Working'!$A5,'Yoy WAR OG'!$J$3:$J$79,0),0)</f>
        <v>0</v>
      </c>
      <c r="R5" s="58">
        <f t="shared" ca="1" si="7"/>
        <v>0</v>
      </c>
      <c r="S5" s="58">
        <f>HLOOKUP('Withdrawal Working'!S$2,'Yoy WAR OG'!$J$3:$FA$79,MATCH('Withdrawal Working'!$A5,'Yoy WAR OG'!$J$3:$J$79,0),0)</f>
        <v>0</v>
      </c>
      <c r="T5" s="58">
        <f t="shared" ca="1" si="8"/>
        <v>0</v>
      </c>
      <c r="U5" s="58">
        <f>HLOOKUP('Withdrawal Working'!U$2,'Yoy WAR OG'!$J$3:$FA$79,MATCH('Withdrawal Working'!$A5,'Yoy WAR OG'!$J$3:$J$79,0),0)</f>
        <v>0</v>
      </c>
      <c r="V5" s="58">
        <f t="shared" ca="1" si="9"/>
        <v>0</v>
      </c>
      <c r="AD5">
        <f>'Yoy WAR OG'!K6</f>
        <v>2027</v>
      </c>
      <c r="AE5">
        <f ca="1">IF(AD5&lt;VLOOKUP('NWGC - SCENARIOS'!$D$7,'NWGC - SCENARIOS'!$B$11:$C$67,2,0),IF(V5&lt;0,-V5,0),IF(AI5&gt;0,'Withdrawal Working'!AI5,0))</f>
        <v>0</v>
      </c>
      <c r="AG5">
        <f ca="1">'Yoy WAR OG'!R6+'Yoy WAR OG'!X6+'Yoy WAR OG'!AD6+'Yoy WAR OG'!AJ6+'Yoy WAR OG'!AP6+'Yoy WAR OG'!AV6+'Yoy WAR OG'!BB6+'Yoy WAR OG'!BH6+'Yoy WAR OG'!BN6+'Yoy WAR OG'!BT6+'Yoy WAR OG'!BZ6+'Yoy WAR OG'!CF6+'Yoy WAR OG'!CL6+'Yoy WAR OG'!CR6+'Yoy WAR OG'!CX6+'Yoy WAR OG'!DD6+'Yoy WAR OG'!DJ6+'Yoy WAR OG'!DP6+'Yoy WAR OG'!DV6+'Yoy WAR OG'!EB6+'Yoy WAR OG'!EH6+'Yoy WAR OG'!EN6+'Yoy WAR OG'!ET6+'Yoy WAR OG'!EZ6</f>
        <v>0</v>
      </c>
      <c r="AH5" s="449">
        <f ca="1">'Yoy WAR OG'!M6</f>
        <v>0</v>
      </c>
      <c r="AI5" s="449">
        <f t="shared" ca="1" si="10"/>
        <v>0</v>
      </c>
      <c r="BC5">
        <f t="shared" si="11"/>
        <v>59</v>
      </c>
      <c r="BD5">
        <f ca="1">IFERROR((VLOOKUP($BC5+2,'NWGC - SCENARIOS'!$B$9:$H$67,7,0)),0)</f>
        <v>0</v>
      </c>
    </row>
    <row r="6" spans="1:56" x14ac:dyDescent="0.3">
      <c r="A6">
        <f>'Yoy WAR OG'!J7</f>
        <v>52</v>
      </c>
      <c r="B6" s="58">
        <f ca="1">'Yoy WAR OG'!M7</f>
        <v>0</v>
      </c>
      <c r="C6" s="58">
        <f ca="1">HLOOKUP('Withdrawal Working'!C$2,'Yoy WAR OG'!$J$3:$FA$79,MATCH('Withdrawal Working'!$A6,'Yoy WAR OG'!$J$3:$J$79,0),0)</f>
        <v>0</v>
      </c>
      <c r="D6" s="58">
        <f t="shared" ca="1" si="0"/>
        <v>0</v>
      </c>
      <c r="E6" s="58">
        <f ca="1">HLOOKUP('Withdrawal Working'!E$2,'Yoy WAR OG'!$J$3:$FA$79,MATCH('Withdrawal Working'!$A6,'Yoy WAR OG'!$J$3:$J$79,0),0)</f>
        <v>0</v>
      </c>
      <c r="F6" s="58">
        <f t="shared" ca="1" si="1"/>
        <v>0</v>
      </c>
      <c r="G6" s="58">
        <f ca="1">HLOOKUP('Withdrawal Working'!G$2,'Yoy WAR OG'!$J$3:$FA$79,MATCH('Withdrawal Working'!$A6,'Yoy WAR OG'!$J$3:$J$79,0),0)</f>
        <v>0</v>
      </c>
      <c r="H6" s="58">
        <f t="shared" ca="1" si="2"/>
        <v>0</v>
      </c>
      <c r="I6" s="58">
        <f ca="1">HLOOKUP('Withdrawal Working'!I$2,'Yoy WAR OG'!$J$3:$FA$79,MATCH('Withdrawal Working'!$A6,'Yoy WAR OG'!$J$3:$J$79,0),0)</f>
        <v>0</v>
      </c>
      <c r="J6" s="58">
        <f t="shared" ca="1" si="3"/>
        <v>0</v>
      </c>
      <c r="K6" s="58">
        <f ca="1">HLOOKUP('Withdrawal Working'!K$2,'Yoy WAR OG'!$J$3:$FA$79,MATCH('Withdrawal Working'!$A6,'Yoy WAR OG'!$J$3:$J$79,0),0)</f>
        <v>0</v>
      </c>
      <c r="L6" s="58">
        <f t="shared" ca="1" si="4"/>
        <v>0</v>
      </c>
      <c r="M6" s="58">
        <f ca="1">HLOOKUP('Withdrawal Working'!M$2,'Yoy WAR OG'!$J$3:$FA$79,MATCH('Withdrawal Working'!$A6,'Yoy WAR OG'!$J$3:$J$79,0),0)</f>
        <v>0</v>
      </c>
      <c r="N6" s="58">
        <f t="shared" ca="1" si="5"/>
        <v>0</v>
      </c>
      <c r="O6" s="58">
        <f ca="1">HLOOKUP('Withdrawal Working'!O$2,'Yoy WAR OG'!$J$3:$FA$79,MATCH('Withdrawal Working'!$A6,'Yoy WAR OG'!$J$3:$J$79,0),0)</f>
        <v>0</v>
      </c>
      <c r="P6" s="58">
        <f t="shared" ca="1" si="6"/>
        <v>0</v>
      </c>
      <c r="Q6" s="58">
        <f>HLOOKUP('Withdrawal Working'!Q$2,'Yoy WAR OG'!$J$3:$FA$79,MATCH('Withdrawal Working'!$A6,'Yoy WAR OG'!$J$3:$J$79,0),0)</f>
        <v>0</v>
      </c>
      <c r="R6" s="58">
        <f t="shared" ca="1" si="7"/>
        <v>0</v>
      </c>
      <c r="S6" s="58">
        <f>HLOOKUP('Withdrawal Working'!S$2,'Yoy WAR OG'!$J$3:$FA$79,MATCH('Withdrawal Working'!$A6,'Yoy WAR OG'!$J$3:$J$79,0),0)</f>
        <v>0</v>
      </c>
      <c r="T6" s="58">
        <f t="shared" ca="1" si="8"/>
        <v>0</v>
      </c>
      <c r="U6" s="58">
        <f>HLOOKUP('Withdrawal Working'!U$2,'Yoy WAR OG'!$J$3:$FA$79,MATCH('Withdrawal Working'!$A6,'Yoy WAR OG'!$J$3:$J$79,0),0)</f>
        <v>0</v>
      </c>
      <c r="V6" s="58">
        <f t="shared" ca="1" si="9"/>
        <v>0</v>
      </c>
      <c r="AD6">
        <f>'Yoy WAR OG'!K7</f>
        <v>2028</v>
      </c>
      <c r="AE6">
        <f ca="1">IF(AD6&lt;VLOOKUP('NWGC - SCENARIOS'!$D$7,'NWGC - SCENARIOS'!$B$11:$C$67,2,0),IF(V6&lt;0,-V6,0),IF(AI6&gt;0,'Withdrawal Working'!AI6,0))</f>
        <v>0</v>
      </c>
      <c r="AG6">
        <f ca="1">'Yoy WAR OG'!R7+'Yoy WAR OG'!X7+'Yoy WAR OG'!AD7+'Yoy WAR OG'!AJ7+'Yoy WAR OG'!AP7+'Yoy WAR OG'!AV7+'Yoy WAR OG'!BB7+'Yoy WAR OG'!BH7+'Yoy WAR OG'!BN7+'Yoy WAR OG'!BT7+'Yoy WAR OG'!BZ7+'Yoy WAR OG'!CF7+'Yoy WAR OG'!CL7+'Yoy WAR OG'!CR7+'Yoy WAR OG'!CX7+'Yoy WAR OG'!DD7+'Yoy WAR OG'!DJ7+'Yoy WAR OG'!DP7+'Yoy WAR OG'!DV7+'Yoy WAR OG'!EB7+'Yoy WAR OG'!EH7+'Yoy WAR OG'!EN7+'Yoy WAR OG'!ET7+'Yoy WAR OG'!EZ7</f>
        <v>0</v>
      </c>
      <c r="AH6" s="449">
        <f ca="1">'Yoy WAR OG'!M7</f>
        <v>0</v>
      </c>
      <c r="AI6" s="449">
        <f t="shared" ca="1" si="10"/>
        <v>0</v>
      </c>
      <c r="BC6">
        <f t="shared" si="11"/>
        <v>60</v>
      </c>
      <c r="BD6">
        <f ca="1">IFERROR((VLOOKUP($BC6+2,'NWGC - SCENARIOS'!$B$9:$H$67,7,0)),0)</f>
        <v>0</v>
      </c>
    </row>
    <row r="7" spans="1:56" x14ac:dyDescent="0.3">
      <c r="A7">
        <f>'Yoy WAR OG'!J8</f>
        <v>53</v>
      </c>
      <c r="B7" s="58">
        <f ca="1">'Yoy WAR OG'!M8</f>
        <v>0</v>
      </c>
      <c r="C7" s="58">
        <f ca="1">HLOOKUP('Withdrawal Working'!C$2,'Yoy WAR OG'!$J$3:$FA$79,MATCH('Withdrawal Working'!$A7,'Yoy WAR OG'!$J$3:$J$79,0),0)</f>
        <v>0</v>
      </c>
      <c r="D7" s="58">
        <f t="shared" ca="1" si="0"/>
        <v>0</v>
      </c>
      <c r="E7" s="58">
        <f ca="1">HLOOKUP('Withdrawal Working'!E$2,'Yoy WAR OG'!$J$3:$FA$79,MATCH('Withdrawal Working'!$A7,'Yoy WAR OG'!$J$3:$J$79,0),0)</f>
        <v>0</v>
      </c>
      <c r="F7" s="58">
        <f t="shared" ca="1" si="1"/>
        <v>0</v>
      </c>
      <c r="G7" s="58">
        <f ca="1">HLOOKUP('Withdrawal Working'!G$2,'Yoy WAR OG'!$J$3:$FA$79,MATCH('Withdrawal Working'!$A7,'Yoy WAR OG'!$J$3:$J$79,0),0)</f>
        <v>0</v>
      </c>
      <c r="H7" s="58">
        <f t="shared" ca="1" si="2"/>
        <v>0</v>
      </c>
      <c r="I7" s="58">
        <f ca="1">HLOOKUP('Withdrawal Working'!I$2,'Yoy WAR OG'!$J$3:$FA$79,MATCH('Withdrawal Working'!$A7,'Yoy WAR OG'!$J$3:$J$79,0),0)</f>
        <v>0</v>
      </c>
      <c r="J7" s="58">
        <f t="shared" ca="1" si="3"/>
        <v>0</v>
      </c>
      <c r="K7" s="58">
        <f ca="1">HLOOKUP('Withdrawal Working'!K$2,'Yoy WAR OG'!$J$3:$FA$79,MATCH('Withdrawal Working'!$A7,'Yoy WAR OG'!$J$3:$J$79,0),0)</f>
        <v>0</v>
      </c>
      <c r="L7" s="58">
        <f t="shared" ca="1" si="4"/>
        <v>0</v>
      </c>
      <c r="M7" s="58">
        <f ca="1">HLOOKUP('Withdrawal Working'!M$2,'Yoy WAR OG'!$J$3:$FA$79,MATCH('Withdrawal Working'!$A7,'Yoy WAR OG'!$J$3:$J$79,0),0)</f>
        <v>0</v>
      </c>
      <c r="N7" s="58">
        <f t="shared" ca="1" si="5"/>
        <v>0</v>
      </c>
      <c r="O7" s="58">
        <f ca="1">HLOOKUP('Withdrawal Working'!O$2,'Yoy WAR OG'!$J$3:$FA$79,MATCH('Withdrawal Working'!$A7,'Yoy WAR OG'!$J$3:$J$79,0),0)</f>
        <v>0</v>
      </c>
      <c r="P7" s="58">
        <f t="shared" ca="1" si="6"/>
        <v>0</v>
      </c>
      <c r="Q7" s="58">
        <f>HLOOKUP('Withdrawal Working'!Q$2,'Yoy WAR OG'!$J$3:$FA$79,MATCH('Withdrawal Working'!$A7,'Yoy WAR OG'!$J$3:$J$79,0),0)</f>
        <v>0</v>
      </c>
      <c r="R7" s="58">
        <f t="shared" ca="1" si="7"/>
        <v>0</v>
      </c>
      <c r="S7" s="58">
        <f>HLOOKUP('Withdrawal Working'!S$2,'Yoy WAR OG'!$J$3:$FA$79,MATCH('Withdrawal Working'!$A7,'Yoy WAR OG'!$J$3:$J$79,0),0)</f>
        <v>0</v>
      </c>
      <c r="T7" s="58">
        <f t="shared" ca="1" si="8"/>
        <v>0</v>
      </c>
      <c r="U7" s="58">
        <f>HLOOKUP('Withdrawal Working'!U$2,'Yoy WAR OG'!$J$3:$FA$79,MATCH('Withdrawal Working'!$A7,'Yoy WAR OG'!$J$3:$J$79,0),0)</f>
        <v>0</v>
      </c>
      <c r="V7" s="58">
        <f t="shared" ca="1" si="9"/>
        <v>0</v>
      </c>
      <c r="AD7">
        <f>'Yoy WAR OG'!K8</f>
        <v>2029</v>
      </c>
      <c r="AE7">
        <f ca="1">IF(AD7&lt;VLOOKUP('NWGC - SCENARIOS'!$D$7,'NWGC - SCENARIOS'!$B$11:$C$67,2,0),IF(V7&lt;0,-V7,0),IF(AI7&gt;0,'Withdrawal Working'!AI7,0))</f>
        <v>0</v>
      </c>
      <c r="AG7">
        <f ca="1">'Yoy WAR OG'!R8+'Yoy WAR OG'!X8+'Yoy WAR OG'!AD8+'Yoy WAR OG'!AJ8+'Yoy WAR OG'!AP8+'Yoy WAR OG'!AV8+'Yoy WAR OG'!BB8+'Yoy WAR OG'!BH8+'Yoy WAR OG'!BN8+'Yoy WAR OG'!BT8+'Yoy WAR OG'!BZ8+'Yoy WAR OG'!CF8+'Yoy WAR OG'!CL8+'Yoy WAR OG'!CR8+'Yoy WAR OG'!CX8+'Yoy WAR OG'!DD8+'Yoy WAR OG'!DJ8+'Yoy WAR OG'!DP8+'Yoy WAR OG'!DV8+'Yoy WAR OG'!EB8+'Yoy WAR OG'!EH8+'Yoy WAR OG'!EN8+'Yoy WAR OG'!ET8+'Yoy WAR OG'!EZ8</f>
        <v>0</v>
      </c>
      <c r="AH7" s="449">
        <f ca="1">'Yoy WAR OG'!M8</f>
        <v>0</v>
      </c>
      <c r="AI7" s="449">
        <f t="shared" ca="1" si="10"/>
        <v>0</v>
      </c>
      <c r="BC7">
        <f t="shared" si="11"/>
        <v>61</v>
      </c>
      <c r="BD7">
        <f ca="1">IFERROR((VLOOKUP($BC7+2,'NWGC - SCENARIOS'!$B$9:$H$67,7,0)),0)</f>
        <v>6557667.4017865211</v>
      </c>
    </row>
    <row r="8" spans="1:56" x14ac:dyDescent="0.3">
      <c r="A8">
        <f>'Yoy WAR OG'!J9</f>
        <v>54</v>
      </c>
      <c r="B8" s="58">
        <f ca="1">'Yoy WAR OG'!M9</f>
        <v>4949362.481698907</v>
      </c>
      <c r="C8" s="58">
        <f ca="1">HLOOKUP('Withdrawal Working'!C$2,'Yoy WAR OG'!$J$3:$FA$79,MATCH('Withdrawal Working'!$A8,'Yoy WAR OG'!$J$3:$J$79,0),0)</f>
        <v>1781529.4584703115</v>
      </c>
      <c r="D8" s="58">
        <f t="shared" ca="1" si="0"/>
        <v>3167833.0232285955</v>
      </c>
      <c r="E8" s="58">
        <f ca="1">HLOOKUP('Withdrawal Working'!E$2,'Yoy WAR OG'!$J$3:$FA$79,MATCH('Withdrawal Working'!$A8,'Yoy WAR OG'!$J$3:$J$79,0),0)</f>
        <v>0</v>
      </c>
      <c r="F8" s="58">
        <f t="shared" ca="1" si="1"/>
        <v>3167833.0232285955</v>
      </c>
      <c r="G8" s="58">
        <f ca="1">HLOOKUP('Withdrawal Working'!G$2,'Yoy WAR OG'!$J$3:$FA$79,MATCH('Withdrawal Working'!$A8,'Yoy WAR OG'!$J$3:$J$79,0),0)</f>
        <v>325419.43580928014</v>
      </c>
      <c r="H8" s="58">
        <f t="shared" ca="1" si="2"/>
        <v>2842413.5874193152</v>
      </c>
      <c r="I8" s="58">
        <f ca="1">HLOOKUP('Withdrawal Working'!I$2,'Yoy WAR OG'!$J$3:$FA$79,MATCH('Withdrawal Working'!$A8,'Yoy WAR OG'!$J$3:$J$79,0),0)</f>
        <v>2657606.6895884844</v>
      </c>
      <c r="J8" s="58">
        <f t="shared" ca="1" si="3"/>
        <v>184806.89783083089</v>
      </c>
      <c r="K8" s="58">
        <f ca="1">HLOOKUP('Withdrawal Working'!K$2,'Yoy WAR OG'!$J$3:$FA$79,MATCH('Withdrawal Working'!$A8,'Yoy WAR OG'!$J$3:$J$79,0),0)</f>
        <v>184806.89783083089</v>
      </c>
      <c r="L8" s="58">
        <f t="shared" ca="1" si="4"/>
        <v>0</v>
      </c>
      <c r="M8" s="58">
        <f ca="1">HLOOKUP('Withdrawal Working'!M$2,'Yoy WAR OG'!$J$3:$FA$79,MATCH('Withdrawal Working'!$A8,'Yoy WAR OG'!$J$3:$J$79,0),0)</f>
        <v>0</v>
      </c>
      <c r="N8" s="58">
        <f t="shared" ca="1" si="5"/>
        <v>0</v>
      </c>
      <c r="O8" s="58">
        <f ca="1">HLOOKUP('Withdrawal Working'!O$2,'Yoy WAR OG'!$J$3:$FA$79,MATCH('Withdrawal Working'!$A8,'Yoy WAR OG'!$J$3:$J$79,0),0)</f>
        <v>0</v>
      </c>
      <c r="P8" s="58">
        <f t="shared" ca="1" si="6"/>
        <v>0</v>
      </c>
      <c r="Q8" s="58">
        <f>HLOOKUP('Withdrawal Working'!Q$2,'Yoy WAR OG'!$J$3:$FA$79,MATCH('Withdrawal Working'!$A8,'Yoy WAR OG'!$J$3:$J$79,0),0)</f>
        <v>0</v>
      </c>
      <c r="R8" s="58">
        <f t="shared" ca="1" si="7"/>
        <v>0</v>
      </c>
      <c r="S8" s="58">
        <f>HLOOKUP('Withdrawal Working'!S$2,'Yoy WAR OG'!$J$3:$FA$79,MATCH('Withdrawal Working'!$A8,'Yoy WAR OG'!$J$3:$J$79,0),0)</f>
        <v>0</v>
      </c>
      <c r="T8" s="58">
        <f t="shared" ca="1" si="8"/>
        <v>0</v>
      </c>
      <c r="U8" s="58">
        <f>HLOOKUP('Withdrawal Working'!U$2,'Yoy WAR OG'!$J$3:$FA$79,MATCH('Withdrawal Working'!$A8,'Yoy WAR OG'!$J$3:$J$79,0),0)</f>
        <v>0</v>
      </c>
      <c r="V8" s="58">
        <f t="shared" ca="1" si="9"/>
        <v>0</v>
      </c>
      <c r="AD8">
        <f>'Yoy WAR OG'!K9</f>
        <v>2030</v>
      </c>
      <c r="AE8">
        <f ca="1">IF(AD8&lt;VLOOKUP('NWGC - SCENARIOS'!$D$7,'NWGC - SCENARIOS'!$B$11:$C$67,2,0),IF(V8&lt;0,-V8,0),IF(AI8&gt;0,'Withdrawal Working'!AI8,0))</f>
        <v>0</v>
      </c>
      <c r="AG8">
        <f ca="1">'Yoy WAR OG'!R9+'Yoy WAR OG'!X9+'Yoy WAR OG'!AD9+'Yoy WAR OG'!AJ9+'Yoy WAR OG'!AP9+'Yoy WAR OG'!AV9+'Yoy WAR OG'!BB9+'Yoy WAR OG'!BH9+'Yoy WAR OG'!BN9+'Yoy WAR OG'!BT9+'Yoy WAR OG'!BZ9+'Yoy WAR OG'!CF9+'Yoy WAR OG'!CL9+'Yoy WAR OG'!CR9+'Yoy WAR OG'!CX9+'Yoy WAR OG'!DD9+'Yoy WAR OG'!DJ9+'Yoy WAR OG'!DP9+'Yoy WAR OG'!DV9+'Yoy WAR OG'!EB9+'Yoy WAR OG'!EH9+'Yoy WAR OG'!EN9+'Yoy WAR OG'!ET9+'Yoy WAR OG'!EZ9</f>
        <v>4949362.481698907</v>
      </c>
      <c r="AH8" s="449">
        <f ca="1">'Yoy WAR OG'!M9</f>
        <v>4949362.481698907</v>
      </c>
      <c r="AI8" s="449">
        <f t="shared" ca="1" si="10"/>
        <v>0</v>
      </c>
      <c r="BC8">
        <f t="shared" si="11"/>
        <v>62</v>
      </c>
      <c r="BD8">
        <f ca="1">IFERROR((VLOOKUP($BC8+2,'NWGC - SCENARIOS'!$B$9:$H$67,7,0)),0)</f>
        <v>7089000.7939294428</v>
      </c>
    </row>
    <row r="9" spans="1:56" x14ac:dyDescent="0.3">
      <c r="A9">
        <f>'Yoy WAR OG'!J10</f>
        <v>55</v>
      </c>
      <c r="B9" s="58">
        <f ca="1">'Yoy WAR OG'!M10</f>
        <v>0</v>
      </c>
      <c r="C9" s="58">
        <f ca="1">HLOOKUP('Withdrawal Working'!C$2,'Yoy WAR OG'!$J$3:$FA$79,MATCH('Withdrawal Working'!$A9,'Yoy WAR OG'!$J$3:$J$79,0),0)</f>
        <v>0</v>
      </c>
      <c r="D9" s="58">
        <f t="shared" ca="1" si="0"/>
        <v>0</v>
      </c>
      <c r="E9" s="58">
        <f ca="1">HLOOKUP('Withdrawal Working'!E$2,'Yoy WAR OG'!$J$3:$FA$79,MATCH('Withdrawal Working'!$A9,'Yoy WAR OG'!$J$3:$J$79,0),0)</f>
        <v>0</v>
      </c>
      <c r="F9" s="58">
        <f t="shared" ca="1" si="1"/>
        <v>0</v>
      </c>
      <c r="G9" s="58">
        <f ca="1">HLOOKUP('Withdrawal Working'!G$2,'Yoy WAR OG'!$J$3:$FA$79,MATCH('Withdrawal Working'!$A9,'Yoy WAR OG'!$J$3:$J$79,0),0)</f>
        <v>0</v>
      </c>
      <c r="H9" s="58">
        <f t="shared" ca="1" si="2"/>
        <v>0</v>
      </c>
      <c r="I9" s="58">
        <f ca="1">HLOOKUP('Withdrawal Working'!I$2,'Yoy WAR OG'!$J$3:$FA$79,MATCH('Withdrawal Working'!$A9,'Yoy WAR OG'!$J$3:$J$79,0),0)</f>
        <v>0</v>
      </c>
      <c r="J9" s="58">
        <f t="shared" ca="1" si="3"/>
        <v>0</v>
      </c>
      <c r="K9" s="58">
        <f ca="1">HLOOKUP('Withdrawal Working'!K$2,'Yoy WAR OG'!$J$3:$FA$79,MATCH('Withdrawal Working'!$A9,'Yoy WAR OG'!$J$3:$J$79,0),0)</f>
        <v>0</v>
      </c>
      <c r="L9" s="58">
        <f t="shared" ca="1" si="4"/>
        <v>0</v>
      </c>
      <c r="M9" s="58">
        <f ca="1">HLOOKUP('Withdrawal Working'!M$2,'Yoy WAR OG'!$J$3:$FA$79,MATCH('Withdrawal Working'!$A9,'Yoy WAR OG'!$J$3:$J$79,0),0)</f>
        <v>0</v>
      </c>
      <c r="N9" s="58">
        <f t="shared" ca="1" si="5"/>
        <v>0</v>
      </c>
      <c r="O9" s="58">
        <f ca="1">HLOOKUP('Withdrawal Working'!O$2,'Yoy WAR OG'!$J$3:$FA$79,MATCH('Withdrawal Working'!$A9,'Yoy WAR OG'!$J$3:$J$79,0),0)</f>
        <v>483300.1569619854</v>
      </c>
      <c r="P9" s="58">
        <f t="shared" ca="1" si="6"/>
        <v>-483300.1569619854</v>
      </c>
      <c r="Q9" s="58">
        <f>HLOOKUP('Withdrawal Working'!Q$2,'Yoy WAR OG'!$J$3:$FA$79,MATCH('Withdrawal Working'!$A9,'Yoy WAR OG'!$J$3:$J$79,0),0)</f>
        <v>0</v>
      </c>
      <c r="R9" s="58">
        <f t="shared" ca="1" si="7"/>
        <v>-483300.1569619854</v>
      </c>
      <c r="S9" s="58">
        <f>HLOOKUP('Withdrawal Working'!S$2,'Yoy WAR OG'!$J$3:$FA$79,MATCH('Withdrawal Working'!$A9,'Yoy WAR OG'!$J$3:$J$79,0),0)</f>
        <v>0</v>
      </c>
      <c r="T9" s="58">
        <f t="shared" ca="1" si="8"/>
        <v>-483300.1569619854</v>
      </c>
      <c r="U9" s="58">
        <f>HLOOKUP('Withdrawal Working'!U$2,'Yoy WAR OG'!$J$3:$FA$79,MATCH('Withdrawal Working'!$A9,'Yoy WAR OG'!$J$3:$J$79,0),0)</f>
        <v>0</v>
      </c>
      <c r="V9" s="58">
        <f t="shared" ca="1" si="9"/>
        <v>-483300.1569619854</v>
      </c>
      <c r="AD9">
        <f>'Yoy WAR OG'!K10</f>
        <v>2031</v>
      </c>
      <c r="AE9">
        <f ca="1">IF(AD9&lt;VLOOKUP('NWGC - SCENARIOS'!$D$7,'NWGC - SCENARIOS'!$B$11:$C$67,2,0),IF(V9&lt;0,-V9,0),IF(AI9&gt;0,'Withdrawal Working'!AI9,0))</f>
        <v>89700067.520590395</v>
      </c>
      <c r="AG9">
        <f ca="1">'Yoy WAR OG'!R10+'Yoy WAR OG'!X10+'Yoy WAR OG'!AD10+'Yoy WAR OG'!AJ10+'Yoy WAR OG'!AP10+'Yoy WAR OG'!AV10+'Yoy WAR OG'!BB10+'Yoy WAR OG'!BH10+'Yoy WAR OG'!BN10+'Yoy WAR OG'!BT10+'Yoy WAR OG'!BZ10+'Yoy WAR OG'!CF10+'Yoy WAR OG'!CL10+'Yoy WAR OG'!CR10+'Yoy WAR OG'!CX10+'Yoy WAR OG'!DD10+'Yoy WAR OG'!DJ10+'Yoy WAR OG'!DP10+'Yoy WAR OG'!DV10+'Yoy WAR OG'!EB10+'Yoy WAR OG'!EH10+'Yoy WAR OG'!EN10+'Yoy WAR OG'!ET10+'Yoy WAR OG'!EZ10</f>
        <v>89700067.520590395</v>
      </c>
      <c r="AH9" s="449">
        <f ca="1">'Yoy WAR OG'!M10</f>
        <v>0</v>
      </c>
      <c r="AI9" s="449">
        <f t="shared" ca="1" si="10"/>
        <v>89700067.520590395</v>
      </c>
      <c r="BC9">
        <f t="shared" si="11"/>
        <v>63</v>
      </c>
      <c r="BD9">
        <f ca="1">IFERROR((VLOOKUP($BC9+2,'NWGC - SCENARIOS'!$B$9:$H$67,7,0)),0)</f>
        <v>7662840.8574437993</v>
      </c>
    </row>
    <row r="10" spans="1:56" x14ac:dyDescent="0.3">
      <c r="A10">
        <f>'Yoy WAR OG'!J11</f>
        <v>56</v>
      </c>
      <c r="B10" s="58">
        <f ca="1">'Yoy WAR OG'!M11</f>
        <v>0</v>
      </c>
      <c r="C10" s="58">
        <f>HLOOKUP('Withdrawal Working'!C$2,'Yoy WAR OG'!$J$3:$FA$79,MATCH('Withdrawal Working'!$A10,'Yoy WAR OG'!$J$3:$J$79,0),0)</f>
        <v>0</v>
      </c>
      <c r="D10" s="58">
        <f t="shared" ca="1" si="0"/>
        <v>0</v>
      </c>
      <c r="E10" s="58">
        <f>HLOOKUP('Withdrawal Working'!E$2,'Yoy WAR OG'!$J$3:$FA$79,MATCH('Withdrawal Working'!$A10,'Yoy WAR OG'!$J$3:$J$79,0),0)</f>
        <v>0</v>
      </c>
      <c r="F10" s="58">
        <f t="shared" ca="1" si="1"/>
        <v>0</v>
      </c>
      <c r="G10" s="58">
        <f>HLOOKUP('Withdrawal Working'!G$2,'Yoy WAR OG'!$J$3:$FA$79,MATCH('Withdrawal Working'!$A10,'Yoy WAR OG'!$J$3:$J$79,0),0)</f>
        <v>0</v>
      </c>
      <c r="H10" s="58">
        <f t="shared" ca="1" si="2"/>
        <v>0</v>
      </c>
      <c r="I10" s="58">
        <f>HLOOKUP('Withdrawal Working'!I$2,'Yoy WAR OG'!$J$3:$FA$79,MATCH('Withdrawal Working'!$A10,'Yoy WAR OG'!$J$3:$J$79,0),0)</f>
        <v>0</v>
      </c>
      <c r="J10" s="58">
        <f t="shared" ca="1" si="3"/>
        <v>0</v>
      </c>
      <c r="K10" s="58">
        <f ca="1">HLOOKUP('Withdrawal Working'!K$2,'Yoy WAR OG'!$J$3:$FA$79,MATCH('Withdrawal Working'!$A10,'Yoy WAR OG'!$J$3:$J$79,0),0)</f>
        <v>0</v>
      </c>
      <c r="L10" s="58">
        <f t="shared" ca="1" si="4"/>
        <v>0</v>
      </c>
      <c r="M10" s="58">
        <f ca="1">HLOOKUP('Withdrawal Working'!M$2,'Yoy WAR OG'!$J$3:$FA$79,MATCH('Withdrawal Working'!$A10,'Yoy WAR OG'!$J$3:$J$79,0),0)</f>
        <v>3947795.3377075209</v>
      </c>
      <c r="N10" s="58">
        <f t="shared" ca="1" si="5"/>
        <v>-3947795.3377075209</v>
      </c>
      <c r="O10" s="58">
        <f>HLOOKUP('Withdrawal Working'!O$2,'Yoy WAR OG'!$J$3:$FA$79,MATCH('Withdrawal Working'!$A10,'Yoy WAR OG'!$J$3:$J$79,0),0)</f>
        <v>0</v>
      </c>
      <c r="P10" s="58">
        <f t="shared" ca="1" si="6"/>
        <v>-3947795.3377075209</v>
      </c>
      <c r="Q10" s="58">
        <f>HLOOKUP('Withdrawal Working'!Q$2,'Yoy WAR OG'!$J$3:$FA$79,MATCH('Withdrawal Working'!$A10,'Yoy WAR OG'!$J$3:$J$79,0),0)</f>
        <v>0</v>
      </c>
      <c r="R10" s="58">
        <f t="shared" ca="1" si="7"/>
        <v>-3947795.3377075209</v>
      </c>
      <c r="S10" s="58">
        <f>HLOOKUP('Withdrawal Working'!S$2,'Yoy WAR OG'!$J$3:$FA$79,MATCH('Withdrawal Working'!$A10,'Yoy WAR OG'!$J$3:$J$79,0),0)</f>
        <v>0</v>
      </c>
      <c r="T10" s="58">
        <f t="shared" ca="1" si="8"/>
        <v>-3947795.3377075209</v>
      </c>
      <c r="U10" s="58">
        <f>HLOOKUP('Withdrawal Working'!U$2,'Yoy WAR OG'!$J$3:$FA$79,MATCH('Withdrawal Working'!$A10,'Yoy WAR OG'!$J$3:$J$79,0),0)</f>
        <v>0</v>
      </c>
      <c r="V10" s="58">
        <f t="shared" ca="1" si="9"/>
        <v>-3947795.3377075209</v>
      </c>
      <c r="AD10">
        <f>'Yoy WAR OG'!K11</f>
        <v>2032</v>
      </c>
      <c r="AE10">
        <f ca="1">IF(AD10&lt;VLOOKUP('NWGC - SCENARIOS'!$D$7,'NWGC - SCENARIOS'!$B$11:$C$67,2,0),IF(V10&lt;0,-V10,0),IF(AI10&gt;0,'Withdrawal Working'!AI10,0))</f>
        <v>3947795.3377075209</v>
      </c>
      <c r="AG10">
        <f ca="1">'Yoy WAR OG'!R11+'Yoy WAR OG'!X11+'Yoy WAR OG'!AD11+'Yoy WAR OG'!AJ11+'Yoy WAR OG'!AP11+'Yoy WAR OG'!AV11+'Yoy WAR OG'!BB11+'Yoy WAR OG'!BH11+'Yoy WAR OG'!BN11+'Yoy WAR OG'!BT11+'Yoy WAR OG'!BZ11+'Yoy WAR OG'!CF11+'Yoy WAR OG'!CL11+'Yoy WAR OG'!CR11+'Yoy WAR OG'!CX11+'Yoy WAR OG'!DD11+'Yoy WAR OG'!DJ11+'Yoy WAR OG'!DP11+'Yoy WAR OG'!DV11+'Yoy WAR OG'!EB11+'Yoy WAR OG'!EH11+'Yoy WAR OG'!EN11+'Yoy WAR OG'!ET11+'Yoy WAR OG'!EZ11</f>
        <v>3947795.3377075209</v>
      </c>
      <c r="AH10" s="449">
        <f ca="1">'Yoy WAR OG'!M11</f>
        <v>0</v>
      </c>
      <c r="AI10" s="449">
        <f t="shared" ca="1" si="10"/>
        <v>3947795.3377075209</v>
      </c>
      <c r="BC10">
        <f t="shared" si="11"/>
        <v>64</v>
      </c>
      <c r="BD10">
        <f ca="1">IFERROR((VLOOKUP($BC10+2,'NWGC - SCENARIOS'!$B$9:$H$67,7,0)),0)</f>
        <v>8282588.126039302</v>
      </c>
    </row>
    <row r="11" spans="1:56" x14ac:dyDescent="0.3">
      <c r="A11">
        <f>'Yoy WAR OG'!J12</f>
        <v>57</v>
      </c>
      <c r="B11" s="58">
        <f ca="1">'Yoy WAR OG'!M12</f>
        <v>0</v>
      </c>
      <c r="C11" s="58">
        <f>HLOOKUP('Withdrawal Working'!C$2,'Yoy WAR OG'!$J$3:$FA$79,MATCH('Withdrawal Working'!$A11,'Yoy WAR OG'!$J$3:$J$79,0),0)</f>
        <v>0</v>
      </c>
      <c r="D11" s="58">
        <f t="shared" ref="D11:D74" ca="1" si="12">B11-C11</f>
        <v>0</v>
      </c>
      <c r="E11" s="58">
        <f>HLOOKUP('Withdrawal Working'!E$2,'Yoy WAR OG'!$J$3:$FA$79,MATCH('Withdrawal Working'!$A11,'Yoy WAR OG'!$J$3:$J$79,0),0)</f>
        <v>0</v>
      </c>
      <c r="F11" s="58">
        <f t="shared" ref="F11:F74" ca="1" si="13">D11-E11</f>
        <v>0</v>
      </c>
      <c r="G11" s="58">
        <f>HLOOKUP('Withdrawal Working'!G$2,'Yoy WAR OG'!$J$3:$FA$79,MATCH('Withdrawal Working'!$A11,'Yoy WAR OG'!$J$3:$J$79,0),0)</f>
        <v>0</v>
      </c>
      <c r="H11" s="58">
        <f t="shared" ref="H11:H74" ca="1" si="14">F11-G11</f>
        <v>0</v>
      </c>
      <c r="I11" s="58">
        <f>HLOOKUP('Withdrawal Working'!I$2,'Yoy WAR OG'!$J$3:$FA$79,MATCH('Withdrawal Working'!$A11,'Yoy WAR OG'!$J$3:$J$79,0),0)</f>
        <v>0</v>
      </c>
      <c r="J11" s="58">
        <f t="shared" ref="J11:J74" ca="1" si="15">H11-I11</f>
        <v>0</v>
      </c>
      <c r="K11" s="58">
        <f ca="1">HLOOKUP('Withdrawal Working'!K$2,'Yoy WAR OG'!$J$3:$FA$79,MATCH('Withdrawal Working'!$A11,'Yoy WAR OG'!$J$3:$J$79,0),0)</f>
        <v>0</v>
      </c>
      <c r="L11" s="58">
        <f t="shared" ref="L11:L74" ca="1" si="16">J11-K11</f>
        <v>0</v>
      </c>
      <c r="M11" s="58">
        <f ca="1">HLOOKUP('Withdrawal Working'!M$2,'Yoy WAR OG'!$J$3:$FA$79,MATCH('Withdrawal Working'!$A11,'Yoy WAR OG'!$J$3:$J$79,0),0)</f>
        <v>4317849.9945455752</v>
      </c>
      <c r="N11" s="58">
        <f t="shared" ref="N11:N74" ca="1" si="17">L11-M11</f>
        <v>-4317849.9945455752</v>
      </c>
      <c r="O11" s="58">
        <f>HLOOKUP('Withdrawal Working'!O$2,'Yoy WAR OG'!$J$3:$FA$79,MATCH('Withdrawal Working'!$A11,'Yoy WAR OG'!$J$3:$J$79,0),0)</f>
        <v>0</v>
      </c>
      <c r="P11" s="58">
        <f t="shared" ref="P11:P74" ca="1" si="18">N11-O11</f>
        <v>-4317849.9945455752</v>
      </c>
      <c r="Q11" s="58">
        <f>HLOOKUP('Withdrawal Working'!Q$2,'Yoy WAR OG'!$J$3:$FA$79,MATCH('Withdrawal Working'!$A11,'Yoy WAR OG'!$J$3:$J$79,0),0)</f>
        <v>0</v>
      </c>
      <c r="R11" s="58">
        <f t="shared" ref="R11:R74" ca="1" si="19">P11-Q11</f>
        <v>-4317849.9945455752</v>
      </c>
      <c r="S11" s="58">
        <f>HLOOKUP('Withdrawal Working'!S$2,'Yoy WAR OG'!$J$3:$FA$79,MATCH('Withdrawal Working'!$A11,'Yoy WAR OG'!$J$3:$J$79,0),0)</f>
        <v>0</v>
      </c>
      <c r="T11" s="58">
        <f t="shared" ref="T11:T74" ca="1" si="20">R11-S11</f>
        <v>-4317849.9945455752</v>
      </c>
      <c r="U11" s="58">
        <f>HLOOKUP('Withdrawal Working'!U$2,'Yoy WAR OG'!$J$3:$FA$79,MATCH('Withdrawal Working'!$A11,'Yoy WAR OG'!$J$3:$J$79,0),0)</f>
        <v>0</v>
      </c>
      <c r="V11" s="58">
        <f t="shared" ref="V11:V74" ca="1" si="21">T11-U11</f>
        <v>-4317849.9945455752</v>
      </c>
      <c r="AD11">
        <f>'Yoy WAR OG'!K12</f>
        <v>2033</v>
      </c>
      <c r="AE11">
        <f ca="1">IF(AD11&lt;VLOOKUP('NWGC - SCENARIOS'!$D$7,'NWGC - SCENARIOS'!$B$11:$C$67,2,0),IF(V11&lt;0,-V11,0),IF(AI11&gt;0,'Withdrawal Working'!AI11,0))</f>
        <v>4317849.9945455752</v>
      </c>
      <c r="AG11">
        <f ca="1">'Yoy WAR OG'!R12+'Yoy WAR OG'!X12+'Yoy WAR OG'!AD12+'Yoy WAR OG'!AJ12+'Yoy WAR OG'!AP12+'Yoy WAR OG'!AV12+'Yoy WAR OG'!BB12+'Yoy WAR OG'!BH12+'Yoy WAR OG'!BN12+'Yoy WAR OG'!BT12+'Yoy WAR OG'!BZ12+'Yoy WAR OG'!CF12+'Yoy WAR OG'!CL12+'Yoy WAR OG'!CR12+'Yoy WAR OG'!CX12+'Yoy WAR OG'!DD12+'Yoy WAR OG'!DJ12+'Yoy WAR OG'!DP12+'Yoy WAR OG'!DV12+'Yoy WAR OG'!EB12+'Yoy WAR OG'!EH12+'Yoy WAR OG'!EN12+'Yoy WAR OG'!ET12+'Yoy WAR OG'!EZ12</f>
        <v>4317849.9945455752</v>
      </c>
      <c r="AH11" s="449">
        <f ca="1">'Yoy WAR OG'!M12</f>
        <v>0</v>
      </c>
      <c r="AI11" s="449">
        <f t="shared" ca="1" si="10"/>
        <v>4317849.9945455752</v>
      </c>
      <c r="BC11">
        <f t="shared" si="11"/>
        <v>65</v>
      </c>
      <c r="BD11">
        <f ca="1">IFERROR((VLOOKUP($BC11+2,'NWGC - SCENARIOS'!$B$9:$H$67,7,0)),0)</f>
        <v>8951915.1761224475</v>
      </c>
    </row>
    <row r="12" spans="1:56" x14ac:dyDescent="0.3">
      <c r="A12">
        <f>'Yoy WAR OG'!J13</f>
        <v>58</v>
      </c>
      <c r="B12" s="58">
        <f ca="1">'Yoy WAR OG'!M13</f>
        <v>0</v>
      </c>
      <c r="C12" s="58">
        <f>HLOOKUP('Withdrawal Working'!C$2,'Yoy WAR OG'!$J$3:$FA$79,MATCH('Withdrawal Working'!$A12,'Yoy WAR OG'!$J$3:$J$79,0),0)</f>
        <v>0</v>
      </c>
      <c r="D12" s="58">
        <f t="shared" ca="1" si="12"/>
        <v>0</v>
      </c>
      <c r="E12" s="58">
        <f>HLOOKUP('Withdrawal Working'!E$2,'Yoy WAR OG'!$J$3:$FA$79,MATCH('Withdrawal Working'!$A12,'Yoy WAR OG'!$J$3:$J$79,0),0)</f>
        <v>0</v>
      </c>
      <c r="F12" s="58">
        <f t="shared" ca="1" si="13"/>
        <v>0</v>
      </c>
      <c r="G12" s="58">
        <f>HLOOKUP('Withdrawal Working'!G$2,'Yoy WAR OG'!$J$3:$FA$79,MATCH('Withdrawal Working'!$A12,'Yoy WAR OG'!$J$3:$J$79,0),0)</f>
        <v>0</v>
      </c>
      <c r="H12" s="58">
        <f t="shared" ca="1" si="14"/>
        <v>0</v>
      </c>
      <c r="I12" s="58">
        <f>HLOOKUP('Withdrawal Working'!I$2,'Yoy WAR OG'!$J$3:$FA$79,MATCH('Withdrawal Working'!$A12,'Yoy WAR OG'!$J$3:$J$79,0),0)</f>
        <v>0</v>
      </c>
      <c r="J12" s="58">
        <f t="shared" ca="1" si="15"/>
        <v>0</v>
      </c>
      <c r="K12" s="58">
        <f ca="1">HLOOKUP('Withdrawal Working'!K$2,'Yoy WAR OG'!$J$3:$FA$79,MATCH('Withdrawal Working'!$A12,'Yoy WAR OG'!$J$3:$J$79,0),0)</f>
        <v>0</v>
      </c>
      <c r="L12" s="58">
        <f t="shared" ca="1" si="16"/>
        <v>0</v>
      </c>
      <c r="M12" s="58">
        <f ca="1">HLOOKUP('Withdrawal Working'!M$2,'Yoy WAR OG'!$J$3:$FA$79,MATCH('Withdrawal Working'!$A12,'Yoy WAR OG'!$J$3:$J$79,0),0)</f>
        <v>1165819.4985273054</v>
      </c>
      <c r="N12" s="58">
        <f t="shared" ca="1" si="17"/>
        <v>-1165819.4985273054</v>
      </c>
      <c r="O12" s="58">
        <f>HLOOKUP('Withdrawal Working'!O$2,'Yoy WAR OG'!$J$3:$FA$79,MATCH('Withdrawal Working'!$A12,'Yoy WAR OG'!$J$3:$J$79,0),0)</f>
        <v>0</v>
      </c>
      <c r="P12" s="58">
        <f t="shared" ca="1" si="18"/>
        <v>-1165819.4985273054</v>
      </c>
      <c r="Q12" s="58">
        <f>HLOOKUP('Withdrawal Working'!Q$2,'Yoy WAR OG'!$J$3:$FA$79,MATCH('Withdrawal Working'!$A12,'Yoy WAR OG'!$J$3:$J$79,0),0)</f>
        <v>0</v>
      </c>
      <c r="R12" s="58">
        <f t="shared" ca="1" si="19"/>
        <v>-1165819.4985273054</v>
      </c>
      <c r="S12" s="58">
        <f>HLOOKUP('Withdrawal Working'!S$2,'Yoy WAR OG'!$J$3:$FA$79,MATCH('Withdrawal Working'!$A12,'Yoy WAR OG'!$J$3:$J$79,0),0)</f>
        <v>0</v>
      </c>
      <c r="T12" s="58">
        <f t="shared" ca="1" si="20"/>
        <v>-1165819.4985273054</v>
      </c>
      <c r="U12" s="58">
        <f>HLOOKUP('Withdrawal Working'!U$2,'Yoy WAR OG'!$J$3:$FA$79,MATCH('Withdrawal Working'!$A12,'Yoy WAR OG'!$J$3:$J$79,0),0)</f>
        <v>0</v>
      </c>
      <c r="V12" s="58">
        <f t="shared" ca="1" si="21"/>
        <v>-1165819.4985273054</v>
      </c>
      <c r="AD12">
        <f>'Yoy WAR OG'!K13</f>
        <v>2034</v>
      </c>
      <c r="AE12">
        <f ca="1">IF(AD12&lt;VLOOKUP('NWGC - SCENARIOS'!$D$7,'NWGC - SCENARIOS'!$B$11:$C$67,2,0),IF(V12&lt;0,-V12,0),IF(AI12&gt;0,'Withdrawal Working'!AI12,0))</f>
        <v>1165819.4985273054</v>
      </c>
      <c r="AG12">
        <f ca="1">'Yoy WAR OG'!R13+'Yoy WAR OG'!X13+'Yoy WAR OG'!AD13+'Yoy WAR OG'!AJ13+'Yoy WAR OG'!AP13+'Yoy WAR OG'!AV13+'Yoy WAR OG'!BB13+'Yoy WAR OG'!BH13+'Yoy WAR OG'!BN13+'Yoy WAR OG'!BT13+'Yoy WAR OG'!BZ13+'Yoy WAR OG'!CF13+'Yoy WAR OG'!CL13+'Yoy WAR OG'!CR13+'Yoy WAR OG'!CX13+'Yoy WAR OG'!DD13+'Yoy WAR OG'!DJ13+'Yoy WAR OG'!DP13+'Yoy WAR OG'!DV13+'Yoy WAR OG'!EB13+'Yoy WAR OG'!EH13+'Yoy WAR OG'!EN13+'Yoy WAR OG'!ET13+'Yoy WAR OG'!EZ13</f>
        <v>1165819.4985273054</v>
      </c>
      <c r="AH12" s="449">
        <f ca="1">'Yoy WAR OG'!M13</f>
        <v>0</v>
      </c>
      <c r="AI12" s="449">
        <f t="shared" ca="1" si="10"/>
        <v>1165819.4985273054</v>
      </c>
      <c r="BC12">
        <f t="shared" si="11"/>
        <v>66</v>
      </c>
      <c r="BD12">
        <f ca="1">IFERROR((VLOOKUP($BC12+2,'NWGC - SCENARIOS'!$B$9:$H$67,7,0)),0)</f>
        <v>9674788.3902122453</v>
      </c>
    </row>
    <row r="13" spans="1:56" x14ac:dyDescent="0.3">
      <c r="A13">
        <f>'Yoy WAR OG'!J14</f>
        <v>59</v>
      </c>
      <c r="B13" s="58">
        <f ca="1">'Yoy WAR OG'!M14</f>
        <v>323523.17413467728</v>
      </c>
      <c r="C13" s="58">
        <f>HLOOKUP('Withdrawal Working'!C$2,'Yoy WAR OG'!$J$3:$FA$79,MATCH('Withdrawal Working'!$A13,'Yoy WAR OG'!$J$3:$J$79,0),0)</f>
        <v>0</v>
      </c>
      <c r="D13" s="58">
        <f t="shared" ca="1" si="12"/>
        <v>323523.17413467728</v>
      </c>
      <c r="E13" s="58">
        <f>HLOOKUP('Withdrawal Working'!E$2,'Yoy WAR OG'!$J$3:$FA$79,MATCH('Withdrawal Working'!$A13,'Yoy WAR OG'!$J$3:$J$79,0),0)</f>
        <v>0</v>
      </c>
      <c r="F13" s="58">
        <f t="shared" ca="1" si="13"/>
        <v>323523.17413467728</v>
      </c>
      <c r="G13" s="58">
        <f>HLOOKUP('Withdrawal Working'!G$2,'Yoy WAR OG'!$J$3:$FA$79,MATCH('Withdrawal Working'!$A13,'Yoy WAR OG'!$J$3:$J$79,0),0)</f>
        <v>0</v>
      </c>
      <c r="H13" s="58">
        <f t="shared" ca="1" si="14"/>
        <v>323523.17413467728</v>
      </c>
      <c r="I13" s="58">
        <f>HLOOKUP('Withdrawal Working'!I$2,'Yoy WAR OG'!$J$3:$FA$79,MATCH('Withdrawal Working'!$A13,'Yoy WAR OG'!$J$3:$J$79,0),0)</f>
        <v>0</v>
      </c>
      <c r="J13" s="58">
        <f t="shared" ca="1" si="15"/>
        <v>323523.17413467728</v>
      </c>
      <c r="K13" s="58">
        <f ca="1">HLOOKUP('Withdrawal Working'!K$2,'Yoy WAR OG'!$J$3:$FA$79,MATCH('Withdrawal Working'!$A13,'Yoy WAR OG'!$J$3:$J$79,0),0)</f>
        <v>323523.17413467728</v>
      </c>
      <c r="L13" s="58">
        <f t="shared" ca="1" si="16"/>
        <v>0</v>
      </c>
      <c r="M13" s="58">
        <f ca="1">HLOOKUP('Withdrawal Working'!M$2,'Yoy WAR OG'!$J$3:$FA$79,MATCH('Withdrawal Working'!$A13,'Yoy WAR OG'!$J$3:$J$79,0),0)</f>
        <v>0</v>
      </c>
      <c r="N13" s="58">
        <f t="shared" ca="1" si="17"/>
        <v>0</v>
      </c>
      <c r="O13" s="58">
        <f>HLOOKUP('Withdrawal Working'!O$2,'Yoy WAR OG'!$J$3:$FA$79,MATCH('Withdrawal Working'!$A13,'Yoy WAR OG'!$J$3:$J$79,0),0)</f>
        <v>0</v>
      </c>
      <c r="P13" s="58">
        <f t="shared" ca="1" si="18"/>
        <v>0</v>
      </c>
      <c r="Q13" s="58">
        <f>HLOOKUP('Withdrawal Working'!Q$2,'Yoy WAR OG'!$J$3:$FA$79,MATCH('Withdrawal Working'!$A13,'Yoy WAR OG'!$J$3:$J$79,0),0)</f>
        <v>0</v>
      </c>
      <c r="R13" s="58">
        <f t="shared" ca="1" si="19"/>
        <v>0</v>
      </c>
      <c r="S13" s="58">
        <f>HLOOKUP('Withdrawal Working'!S$2,'Yoy WAR OG'!$J$3:$FA$79,MATCH('Withdrawal Working'!$A13,'Yoy WAR OG'!$J$3:$J$79,0),0)</f>
        <v>0</v>
      </c>
      <c r="T13" s="58">
        <f t="shared" ca="1" si="20"/>
        <v>0</v>
      </c>
      <c r="U13" s="58">
        <f>HLOOKUP('Withdrawal Working'!U$2,'Yoy WAR OG'!$J$3:$FA$79,MATCH('Withdrawal Working'!$A13,'Yoy WAR OG'!$J$3:$J$79,0),0)</f>
        <v>0</v>
      </c>
      <c r="V13" s="58">
        <f t="shared" ca="1" si="21"/>
        <v>0</v>
      </c>
      <c r="AD13">
        <f>'Yoy WAR OG'!K14</f>
        <v>2035</v>
      </c>
      <c r="AE13">
        <f ca="1">IF(AD13&lt;VLOOKUP('NWGC - SCENARIOS'!$D$7,'NWGC - SCENARIOS'!$B$11:$C$67,2,0),IF(V13&lt;0,-V13,0),IF(AI13&gt;0,'Withdrawal Working'!AI13,0))</f>
        <v>0</v>
      </c>
      <c r="AG13">
        <f ca="1">'Yoy WAR OG'!R14+'Yoy WAR OG'!X14+'Yoy WAR OG'!AD14+'Yoy WAR OG'!AJ14+'Yoy WAR OG'!AP14+'Yoy WAR OG'!AV14+'Yoy WAR OG'!BB14+'Yoy WAR OG'!BH14+'Yoy WAR OG'!BN14+'Yoy WAR OG'!BT14+'Yoy WAR OG'!BZ14+'Yoy WAR OG'!CF14+'Yoy WAR OG'!CL14+'Yoy WAR OG'!CR14+'Yoy WAR OG'!CX14+'Yoy WAR OG'!DD14+'Yoy WAR OG'!DJ14+'Yoy WAR OG'!DP14+'Yoy WAR OG'!DV14+'Yoy WAR OG'!EB14+'Yoy WAR OG'!EH14+'Yoy WAR OG'!EN14+'Yoy WAR OG'!ET14+'Yoy WAR OG'!EZ14</f>
        <v>323523.17413467728</v>
      </c>
      <c r="AH13" s="449">
        <f ca="1">'Yoy WAR OG'!M14</f>
        <v>323523.17413467728</v>
      </c>
      <c r="AI13" s="449">
        <f t="shared" ca="1" si="10"/>
        <v>0</v>
      </c>
      <c r="BC13">
        <f t="shared" si="11"/>
        <v>67</v>
      </c>
      <c r="BD13">
        <f ca="1">IFERROR((VLOOKUP($BC13+2,'NWGC - SCENARIOS'!$B$9:$H$67,7,0)),0)</f>
        <v>10455491.461429223</v>
      </c>
    </row>
    <row r="14" spans="1:56" x14ac:dyDescent="0.3">
      <c r="A14">
        <f>'Yoy WAR OG'!J15</f>
        <v>60</v>
      </c>
      <c r="B14" s="58">
        <f ca="1">'Yoy WAR OG'!M15</f>
        <v>0</v>
      </c>
      <c r="C14" s="58">
        <f>HLOOKUP('Withdrawal Working'!C$2,'Yoy WAR OG'!$J$3:$FA$79,MATCH('Withdrawal Working'!$A14,'Yoy WAR OG'!$J$3:$J$79,0),0)</f>
        <v>0</v>
      </c>
      <c r="D14" s="58">
        <f t="shared" ca="1" si="12"/>
        <v>0</v>
      </c>
      <c r="E14" s="58">
        <f>HLOOKUP('Withdrawal Working'!E$2,'Yoy WAR OG'!$J$3:$FA$79,MATCH('Withdrawal Working'!$A14,'Yoy WAR OG'!$J$3:$J$79,0),0)</f>
        <v>0</v>
      </c>
      <c r="F14" s="58">
        <f t="shared" ca="1" si="13"/>
        <v>0</v>
      </c>
      <c r="G14" s="58">
        <f>HLOOKUP('Withdrawal Working'!G$2,'Yoy WAR OG'!$J$3:$FA$79,MATCH('Withdrawal Working'!$A14,'Yoy WAR OG'!$J$3:$J$79,0),0)</f>
        <v>0</v>
      </c>
      <c r="H14" s="58">
        <f t="shared" ca="1" si="14"/>
        <v>0</v>
      </c>
      <c r="I14" s="58">
        <f>HLOOKUP('Withdrawal Working'!I$2,'Yoy WAR OG'!$J$3:$FA$79,MATCH('Withdrawal Working'!$A14,'Yoy WAR OG'!$J$3:$J$79,0),0)</f>
        <v>0</v>
      </c>
      <c r="J14" s="58">
        <f t="shared" ca="1" si="15"/>
        <v>0</v>
      </c>
      <c r="K14" s="58">
        <f ca="1">HLOOKUP('Withdrawal Working'!K$2,'Yoy WAR OG'!$J$3:$FA$79,MATCH('Withdrawal Working'!$A14,'Yoy WAR OG'!$J$3:$J$79,0),0)</f>
        <v>0</v>
      </c>
      <c r="L14" s="58">
        <f t="shared" ca="1" si="16"/>
        <v>0</v>
      </c>
      <c r="M14" s="58">
        <f ca="1">HLOOKUP('Withdrawal Working'!M$2,'Yoy WAR OG'!$J$3:$FA$79,MATCH('Withdrawal Working'!$A14,'Yoy WAR OG'!$J$3:$J$79,0),0)</f>
        <v>0</v>
      </c>
      <c r="N14" s="58">
        <f t="shared" ca="1" si="17"/>
        <v>0</v>
      </c>
      <c r="O14" s="58">
        <f>HLOOKUP('Withdrawal Working'!O$2,'Yoy WAR OG'!$J$3:$FA$79,MATCH('Withdrawal Working'!$A14,'Yoy WAR OG'!$J$3:$J$79,0),0)</f>
        <v>0</v>
      </c>
      <c r="P14" s="58">
        <f t="shared" ca="1" si="18"/>
        <v>0</v>
      </c>
      <c r="Q14" s="58">
        <f>HLOOKUP('Withdrawal Working'!Q$2,'Yoy WAR OG'!$J$3:$FA$79,MATCH('Withdrawal Working'!$A14,'Yoy WAR OG'!$J$3:$J$79,0),0)</f>
        <v>0</v>
      </c>
      <c r="R14" s="58">
        <f t="shared" ca="1" si="19"/>
        <v>0</v>
      </c>
      <c r="S14" s="58">
        <f>HLOOKUP('Withdrawal Working'!S$2,'Yoy WAR OG'!$J$3:$FA$79,MATCH('Withdrawal Working'!$A14,'Yoy WAR OG'!$J$3:$J$79,0),0)</f>
        <v>0</v>
      </c>
      <c r="T14" s="58">
        <f t="shared" ca="1" si="20"/>
        <v>0</v>
      </c>
      <c r="U14" s="58">
        <f>HLOOKUP('Withdrawal Working'!U$2,'Yoy WAR OG'!$J$3:$FA$79,MATCH('Withdrawal Working'!$A14,'Yoy WAR OG'!$J$3:$J$79,0),0)</f>
        <v>0</v>
      </c>
      <c r="V14" s="58">
        <f t="shared" ca="1" si="21"/>
        <v>0</v>
      </c>
      <c r="AD14">
        <f>'Yoy WAR OG'!K15</f>
        <v>2036</v>
      </c>
      <c r="AE14">
        <f ca="1">IF(AD14&lt;VLOOKUP('NWGC - SCENARIOS'!$D$7,'NWGC - SCENARIOS'!$B$11:$C$67,2,0),IF(V14&lt;0,-V14,0),IF(AI14&gt;0,'Withdrawal Working'!AI14,0))</f>
        <v>0</v>
      </c>
      <c r="AG14">
        <f ca="1">'Yoy WAR OG'!R15+'Yoy WAR OG'!X15+'Yoy WAR OG'!AD15+'Yoy WAR OG'!AJ15+'Yoy WAR OG'!AP15+'Yoy WAR OG'!AV15+'Yoy WAR OG'!BB15+'Yoy WAR OG'!BH15+'Yoy WAR OG'!BN15+'Yoy WAR OG'!BT15+'Yoy WAR OG'!BZ15+'Yoy WAR OG'!CF15+'Yoy WAR OG'!CL15+'Yoy WAR OG'!CR15+'Yoy WAR OG'!CX15+'Yoy WAR OG'!DD15+'Yoy WAR OG'!DJ15+'Yoy WAR OG'!DP15+'Yoy WAR OG'!DV15+'Yoy WAR OG'!EB15+'Yoy WAR OG'!EH15+'Yoy WAR OG'!EN15+'Yoy WAR OG'!ET15+'Yoy WAR OG'!EZ15</f>
        <v>0</v>
      </c>
      <c r="AH14" s="449">
        <f ca="1">'Yoy WAR OG'!M15</f>
        <v>0</v>
      </c>
      <c r="AI14" s="449">
        <f t="shared" ca="1" si="10"/>
        <v>0</v>
      </c>
      <c r="BC14">
        <f t="shared" si="11"/>
        <v>68</v>
      </c>
      <c r="BD14">
        <f ca="1">IFERROR((VLOOKUP($BC14+2,'NWGC - SCENARIOS'!$B$9:$H$67,7,0)),0)</f>
        <v>11298650.778343562</v>
      </c>
    </row>
    <row r="15" spans="1:56" x14ac:dyDescent="0.3">
      <c r="A15">
        <f>'Yoy WAR OG'!J16</f>
        <v>61</v>
      </c>
      <c r="B15" s="58">
        <f ca="1">'Yoy WAR OG'!M16</f>
        <v>0</v>
      </c>
      <c r="C15" s="58">
        <f>HLOOKUP('Withdrawal Working'!C$2,'Yoy WAR OG'!$J$3:$FA$79,MATCH('Withdrawal Working'!$A15,'Yoy WAR OG'!$J$3:$J$79,0),0)</f>
        <v>0</v>
      </c>
      <c r="D15" s="58">
        <f t="shared" ca="1" si="12"/>
        <v>0</v>
      </c>
      <c r="E15" s="58">
        <f>HLOOKUP('Withdrawal Working'!E$2,'Yoy WAR OG'!$J$3:$FA$79,MATCH('Withdrawal Working'!$A15,'Yoy WAR OG'!$J$3:$J$79,0),0)</f>
        <v>0</v>
      </c>
      <c r="F15" s="58">
        <f t="shared" ca="1" si="13"/>
        <v>0</v>
      </c>
      <c r="G15" s="58">
        <f>HLOOKUP('Withdrawal Working'!G$2,'Yoy WAR OG'!$J$3:$FA$79,MATCH('Withdrawal Working'!$A15,'Yoy WAR OG'!$J$3:$J$79,0),0)</f>
        <v>0</v>
      </c>
      <c r="H15" s="58">
        <f t="shared" ca="1" si="14"/>
        <v>0</v>
      </c>
      <c r="I15" s="58">
        <f>HLOOKUP('Withdrawal Working'!I$2,'Yoy WAR OG'!$J$3:$FA$79,MATCH('Withdrawal Working'!$A15,'Yoy WAR OG'!$J$3:$J$79,0),0)</f>
        <v>0</v>
      </c>
      <c r="J15" s="58">
        <f t="shared" ca="1" si="15"/>
        <v>0</v>
      </c>
      <c r="K15" s="58">
        <f ca="1">HLOOKUP('Withdrawal Working'!K$2,'Yoy WAR OG'!$J$3:$FA$79,MATCH('Withdrawal Working'!$A15,'Yoy WAR OG'!$J$3:$J$79,0),0)</f>
        <v>0</v>
      </c>
      <c r="L15" s="58">
        <f t="shared" ca="1" si="16"/>
        <v>0</v>
      </c>
      <c r="M15" s="58">
        <f ca="1">HLOOKUP('Withdrawal Working'!M$2,'Yoy WAR OG'!$J$3:$FA$79,MATCH('Withdrawal Working'!$A15,'Yoy WAR OG'!$J$3:$J$79,0),0)</f>
        <v>6557667.4017865211</v>
      </c>
      <c r="N15" s="58">
        <f t="shared" ca="1" si="17"/>
        <v>-6557667.4017865211</v>
      </c>
      <c r="O15" s="58">
        <f>HLOOKUP('Withdrawal Working'!O$2,'Yoy WAR OG'!$J$3:$FA$79,MATCH('Withdrawal Working'!$A15,'Yoy WAR OG'!$J$3:$J$79,0),0)</f>
        <v>0</v>
      </c>
      <c r="P15" s="58">
        <f t="shared" ca="1" si="18"/>
        <v>-6557667.4017865211</v>
      </c>
      <c r="Q15" s="58">
        <f>HLOOKUP('Withdrawal Working'!Q$2,'Yoy WAR OG'!$J$3:$FA$79,MATCH('Withdrawal Working'!$A15,'Yoy WAR OG'!$J$3:$J$79,0),0)</f>
        <v>0</v>
      </c>
      <c r="R15" s="58">
        <f t="shared" ca="1" si="19"/>
        <v>-6557667.4017865211</v>
      </c>
      <c r="S15" s="58">
        <f>HLOOKUP('Withdrawal Working'!S$2,'Yoy WAR OG'!$J$3:$FA$79,MATCH('Withdrawal Working'!$A15,'Yoy WAR OG'!$J$3:$J$79,0),0)</f>
        <v>0</v>
      </c>
      <c r="T15" s="58">
        <f t="shared" ca="1" si="20"/>
        <v>-6557667.4017865211</v>
      </c>
      <c r="U15" s="58">
        <f>HLOOKUP('Withdrawal Working'!U$2,'Yoy WAR OG'!$J$3:$FA$79,MATCH('Withdrawal Working'!$A15,'Yoy WAR OG'!$J$3:$J$79,0),0)</f>
        <v>0</v>
      </c>
      <c r="V15" s="58">
        <f t="shared" ca="1" si="21"/>
        <v>-6557667.4017865211</v>
      </c>
      <c r="AD15">
        <f>'Yoy WAR OG'!K16</f>
        <v>2037</v>
      </c>
      <c r="AE15">
        <f ca="1">IF(AD15&lt;VLOOKUP('NWGC - SCENARIOS'!$D$7,'NWGC - SCENARIOS'!$B$11:$C$67,2,0),IF(V15&lt;0,-V15,0),IF(AI15&gt;0,'Withdrawal Working'!AI15,0))</f>
        <v>6557667.4017865211</v>
      </c>
      <c r="AG15">
        <f ca="1">'Yoy WAR OG'!R16+'Yoy WAR OG'!X16+'Yoy WAR OG'!AD16+'Yoy WAR OG'!AJ16+'Yoy WAR OG'!AP16+'Yoy WAR OG'!AV16+'Yoy WAR OG'!BB16+'Yoy WAR OG'!BH16+'Yoy WAR OG'!BN16+'Yoy WAR OG'!BT16+'Yoy WAR OG'!BZ16+'Yoy WAR OG'!CF16+'Yoy WAR OG'!CL16+'Yoy WAR OG'!CR16+'Yoy WAR OG'!CX16+'Yoy WAR OG'!DD16+'Yoy WAR OG'!DJ16+'Yoy WAR OG'!DP16+'Yoy WAR OG'!DV16+'Yoy WAR OG'!EB16+'Yoy WAR OG'!EH16+'Yoy WAR OG'!EN16+'Yoy WAR OG'!ET16+'Yoy WAR OG'!EZ16</f>
        <v>6557667.4017865211</v>
      </c>
      <c r="AH15" s="449">
        <f ca="1">'Yoy WAR OG'!M16</f>
        <v>0</v>
      </c>
      <c r="AI15" s="449">
        <f t="shared" ca="1" si="10"/>
        <v>6557667.4017865211</v>
      </c>
      <c r="BC15">
        <f t="shared" si="11"/>
        <v>69</v>
      </c>
      <c r="BD15">
        <f ca="1">IFERROR((VLOOKUP($BC15+2,'NWGC - SCENARIOS'!$B$9:$H$67,7,0)),0)</f>
        <v>12209262.840611048</v>
      </c>
    </row>
    <row r="16" spans="1:56" x14ac:dyDescent="0.3">
      <c r="A16">
        <f>'Yoy WAR OG'!J17</f>
        <v>62</v>
      </c>
      <c r="B16" s="58">
        <f ca="1">'Yoy WAR OG'!M17</f>
        <v>0</v>
      </c>
      <c r="C16" s="58">
        <f>HLOOKUP('Withdrawal Working'!C$2,'Yoy WAR OG'!$J$3:$FA$79,MATCH('Withdrawal Working'!$A16,'Yoy WAR OG'!$J$3:$J$79,0),0)</f>
        <v>0</v>
      </c>
      <c r="D16" s="58">
        <f t="shared" ca="1" si="12"/>
        <v>0</v>
      </c>
      <c r="E16" s="58">
        <f>HLOOKUP('Withdrawal Working'!E$2,'Yoy WAR OG'!$J$3:$FA$79,MATCH('Withdrawal Working'!$A16,'Yoy WAR OG'!$J$3:$J$79,0),0)</f>
        <v>0</v>
      </c>
      <c r="F16" s="58">
        <f t="shared" ca="1" si="13"/>
        <v>0</v>
      </c>
      <c r="G16" s="58">
        <f>HLOOKUP('Withdrawal Working'!G$2,'Yoy WAR OG'!$J$3:$FA$79,MATCH('Withdrawal Working'!$A16,'Yoy WAR OG'!$J$3:$J$79,0),0)</f>
        <v>0</v>
      </c>
      <c r="H16" s="58">
        <f t="shared" ca="1" si="14"/>
        <v>0</v>
      </c>
      <c r="I16" s="58">
        <f>HLOOKUP('Withdrawal Working'!I$2,'Yoy WAR OG'!$J$3:$FA$79,MATCH('Withdrawal Working'!$A16,'Yoy WAR OG'!$J$3:$J$79,0),0)</f>
        <v>0</v>
      </c>
      <c r="J16" s="58">
        <f t="shared" ca="1" si="15"/>
        <v>0</v>
      </c>
      <c r="K16" s="58">
        <f ca="1">HLOOKUP('Withdrawal Working'!K$2,'Yoy WAR OG'!$J$3:$FA$79,MATCH('Withdrawal Working'!$A16,'Yoy WAR OG'!$J$3:$J$79,0),0)</f>
        <v>0</v>
      </c>
      <c r="L16" s="58">
        <f t="shared" ca="1" si="16"/>
        <v>0</v>
      </c>
      <c r="M16" s="58">
        <f ca="1">HLOOKUP('Withdrawal Working'!M$2,'Yoy WAR OG'!$J$3:$FA$79,MATCH('Withdrawal Working'!$A16,'Yoy WAR OG'!$J$3:$J$79,0),0)</f>
        <v>7089000.7939294428</v>
      </c>
      <c r="N16" s="58">
        <f t="shared" ca="1" si="17"/>
        <v>-7089000.7939294428</v>
      </c>
      <c r="O16" s="58">
        <f>HLOOKUP('Withdrawal Working'!O$2,'Yoy WAR OG'!$J$3:$FA$79,MATCH('Withdrawal Working'!$A16,'Yoy WAR OG'!$J$3:$J$79,0),0)</f>
        <v>0</v>
      </c>
      <c r="P16" s="58">
        <f t="shared" ca="1" si="18"/>
        <v>-7089000.7939294428</v>
      </c>
      <c r="Q16" s="58">
        <f>HLOOKUP('Withdrawal Working'!Q$2,'Yoy WAR OG'!$J$3:$FA$79,MATCH('Withdrawal Working'!$A16,'Yoy WAR OG'!$J$3:$J$79,0),0)</f>
        <v>0</v>
      </c>
      <c r="R16" s="58">
        <f t="shared" ca="1" si="19"/>
        <v>-7089000.7939294428</v>
      </c>
      <c r="S16" s="58">
        <f>HLOOKUP('Withdrawal Working'!S$2,'Yoy WAR OG'!$J$3:$FA$79,MATCH('Withdrawal Working'!$A16,'Yoy WAR OG'!$J$3:$J$79,0),0)</f>
        <v>0</v>
      </c>
      <c r="T16" s="58">
        <f t="shared" ca="1" si="20"/>
        <v>-7089000.7939294428</v>
      </c>
      <c r="U16" s="58">
        <f>HLOOKUP('Withdrawal Working'!U$2,'Yoy WAR OG'!$J$3:$FA$79,MATCH('Withdrawal Working'!$A16,'Yoy WAR OG'!$J$3:$J$79,0),0)</f>
        <v>0</v>
      </c>
      <c r="V16" s="58">
        <f t="shared" ca="1" si="21"/>
        <v>-7089000.7939294428</v>
      </c>
      <c r="AD16">
        <f>'Yoy WAR OG'!K17</f>
        <v>2038</v>
      </c>
      <c r="AE16">
        <f ca="1">IF(AD16&lt;VLOOKUP('NWGC - SCENARIOS'!$D$7,'NWGC - SCENARIOS'!$B$11:$C$67,2,0),IF(V16&lt;0,-V16,0),IF(AI16&gt;0,'Withdrawal Working'!AI16,0))</f>
        <v>7089000.7939294428</v>
      </c>
      <c r="AG16">
        <f ca="1">'Yoy WAR OG'!R17+'Yoy WAR OG'!X17+'Yoy WAR OG'!AD17+'Yoy WAR OG'!AJ17+'Yoy WAR OG'!AP17+'Yoy WAR OG'!AV17+'Yoy WAR OG'!BB17+'Yoy WAR OG'!BH17+'Yoy WAR OG'!BN17+'Yoy WAR OG'!BT17+'Yoy WAR OG'!BZ17+'Yoy WAR OG'!CF17+'Yoy WAR OG'!CL17+'Yoy WAR OG'!CR17+'Yoy WAR OG'!CX17+'Yoy WAR OG'!DD17+'Yoy WAR OG'!DJ17+'Yoy WAR OG'!DP17+'Yoy WAR OG'!DV17+'Yoy WAR OG'!EB17+'Yoy WAR OG'!EH17+'Yoy WAR OG'!EN17+'Yoy WAR OG'!ET17+'Yoy WAR OG'!EZ17</f>
        <v>7089000.7939294428</v>
      </c>
      <c r="AH16" s="449">
        <f ca="1">'Yoy WAR OG'!M17</f>
        <v>0</v>
      </c>
      <c r="AI16" s="449">
        <f t="shared" ca="1" si="10"/>
        <v>7089000.7939294428</v>
      </c>
      <c r="BC16">
        <f t="shared" si="11"/>
        <v>70</v>
      </c>
      <c r="BD16">
        <f ca="1">IFERROR((VLOOKUP($BC16+2,'NWGC - SCENARIOS'!$B$9:$H$67,7,0)),0)</f>
        <v>13192723.867859932</v>
      </c>
    </row>
    <row r="17" spans="1:56" x14ac:dyDescent="0.3">
      <c r="A17">
        <f>'Yoy WAR OG'!J18</f>
        <v>63</v>
      </c>
      <c r="B17" s="58">
        <f ca="1">'Yoy WAR OG'!M18</f>
        <v>6557667.4017865211</v>
      </c>
      <c r="C17" s="58">
        <f>HLOOKUP('Withdrawal Working'!C$2,'Yoy WAR OG'!$J$3:$FA$79,MATCH('Withdrawal Working'!$A17,'Yoy WAR OG'!$J$3:$J$79,0),0)</f>
        <v>0</v>
      </c>
      <c r="D17" s="58">
        <f t="shared" ca="1" si="12"/>
        <v>6557667.4017865211</v>
      </c>
      <c r="E17" s="58">
        <f>HLOOKUP('Withdrawal Working'!E$2,'Yoy WAR OG'!$J$3:$FA$79,MATCH('Withdrawal Working'!$A17,'Yoy WAR OG'!$J$3:$J$79,0),0)</f>
        <v>0</v>
      </c>
      <c r="F17" s="58">
        <f t="shared" ca="1" si="13"/>
        <v>6557667.4017865211</v>
      </c>
      <c r="G17" s="58">
        <f>HLOOKUP('Withdrawal Working'!G$2,'Yoy WAR OG'!$J$3:$FA$79,MATCH('Withdrawal Working'!$A17,'Yoy WAR OG'!$J$3:$J$79,0),0)</f>
        <v>0</v>
      </c>
      <c r="H17" s="58">
        <f t="shared" ca="1" si="14"/>
        <v>6557667.4017865211</v>
      </c>
      <c r="I17" s="58">
        <f>HLOOKUP('Withdrawal Working'!I$2,'Yoy WAR OG'!$J$3:$FA$79,MATCH('Withdrawal Working'!$A17,'Yoy WAR OG'!$J$3:$J$79,0),0)</f>
        <v>0</v>
      </c>
      <c r="J17" s="58">
        <f t="shared" ca="1" si="15"/>
        <v>6557667.4017865211</v>
      </c>
      <c r="K17" s="58">
        <f ca="1">HLOOKUP('Withdrawal Working'!K$2,'Yoy WAR OG'!$J$3:$FA$79,MATCH('Withdrawal Working'!$A17,'Yoy WAR OG'!$J$3:$J$79,0),0)</f>
        <v>6557667.4017865211</v>
      </c>
      <c r="L17" s="58">
        <f t="shared" ca="1" si="16"/>
        <v>0</v>
      </c>
      <c r="M17" s="58">
        <f ca="1">HLOOKUP('Withdrawal Working'!M$2,'Yoy WAR OG'!$J$3:$FA$79,MATCH('Withdrawal Working'!$A17,'Yoy WAR OG'!$J$3:$J$79,0),0)</f>
        <v>7662840.8574437993</v>
      </c>
      <c r="N17" s="58">
        <f t="shared" ca="1" si="17"/>
        <v>-7662840.8574437993</v>
      </c>
      <c r="O17" s="58">
        <f>HLOOKUP('Withdrawal Working'!O$2,'Yoy WAR OG'!$J$3:$FA$79,MATCH('Withdrawal Working'!$A17,'Yoy WAR OG'!$J$3:$J$79,0),0)</f>
        <v>0</v>
      </c>
      <c r="P17" s="58">
        <f t="shared" ca="1" si="18"/>
        <v>-7662840.8574437993</v>
      </c>
      <c r="Q17" s="58">
        <f>HLOOKUP('Withdrawal Working'!Q$2,'Yoy WAR OG'!$J$3:$FA$79,MATCH('Withdrawal Working'!$A17,'Yoy WAR OG'!$J$3:$J$79,0),0)</f>
        <v>0</v>
      </c>
      <c r="R17" s="58">
        <f t="shared" ca="1" si="19"/>
        <v>-7662840.8574437993</v>
      </c>
      <c r="S17" s="58">
        <f>HLOOKUP('Withdrawal Working'!S$2,'Yoy WAR OG'!$J$3:$FA$79,MATCH('Withdrawal Working'!$A17,'Yoy WAR OG'!$J$3:$J$79,0),0)</f>
        <v>0</v>
      </c>
      <c r="T17" s="58">
        <f t="shared" ca="1" si="20"/>
        <v>-7662840.8574437993</v>
      </c>
      <c r="U17" s="58">
        <f>HLOOKUP('Withdrawal Working'!U$2,'Yoy WAR OG'!$J$3:$FA$79,MATCH('Withdrawal Working'!$A17,'Yoy WAR OG'!$J$3:$J$79,0),0)</f>
        <v>0</v>
      </c>
      <c r="V17" s="58">
        <f t="shared" ca="1" si="21"/>
        <v>-7662840.8574437993</v>
      </c>
      <c r="AD17">
        <f>'Yoy WAR OG'!K18</f>
        <v>2039</v>
      </c>
      <c r="AE17">
        <f ca="1">IF(AD17&lt;VLOOKUP('NWGC - SCENARIOS'!$D$7,'NWGC - SCENARIOS'!$B$11:$C$67,2,0),IF(V17&lt;0,-V17,0),IF(AI17&gt;0,'Withdrawal Working'!AI17,0))</f>
        <v>7662840.8574437983</v>
      </c>
      <c r="AG17">
        <f ca="1">'Yoy WAR OG'!R18+'Yoy WAR OG'!X18+'Yoy WAR OG'!AD18+'Yoy WAR OG'!AJ18+'Yoy WAR OG'!AP18+'Yoy WAR OG'!AV18+'Yoy WAR OG'!BB18+'Yoy WAR OG'!BH18+'Yoy WAR OG'!BN18+'Yoy WAR OG'!BT18+'Yoy WAR OG'!BZ18+'Yoy WAR OG'!CF18+'Yoy WAR OG'!CL18+'Yoy WAR OG'!CR18+'Yoy WAR OG'!CX18+'Yoy WAR OG'!DD18+'Yoy WAR OG'!DJ18+'Yoy WAR OG'!DP18+'Yoy WAR OG'!DV18+'Yoy WAR OG'!EB18+'Yoy WAR OG'!EH18+'Yoy WAR OG'!EN18+'Yoy WAR OG'!ET18+'Yoy WAR OG'!EZ18</f>
        <v>14220508.259230319</v>
      </c>
      <c r="AH17" s="449">
        <f ca="1">'Yoy WAR OG'!M18</f>
        <v>6557667.4017865211</v>
      </c>
      <c r="AI17" s="449">
        <f t="shared" ca="1" si="10"/>
        <v>7662840.8574437983</v>
      </c>
      <c r="BC17">
        <f t="shared" si="11"/>
        <v>71</v>
      </c>
      <c r="BD17">
        <f ca="1">IFERROR((VLOOKUP($BC17+2,'NWGC - SCENARIOS'!$B$9:$H$67,7,0)),0)</f>
        <v>14254861.777288727</v>
      </c>
    </row>
    <row r="18" spans="1:56" x14ac:dyDescent="0.3">
      <c r="A18">
        <f>'Yoy WAR OG'!J19</f>
        <v>64</v>
      </c>
      <c r="B18" s="58">
        <f ca="1">'Yoy WAR OG'!M19</f>
        <v>7089000.7939294428</v>
      </c>
      <c r="C18" s="58">
        <f>HLOOKUP('Withdrawal Working'!C$2,'Yoy WAR OG'!$J$3:$FA$79,MATCH('Withdrawal Working'!$A18,'Yoy WAR OG'!$J$3:$J$79,0),0)</f>
        <v>0</v>
      </c>
      <c r="D18" s="58">
        <f t="shared" ca="1" si="12"/>
        <v>7089000.7939294428</v>
      </c>
      <c r="E18" s="58">
        <f>HLOOKUP('Withdrawal Working'!E$2,'Yoy WAR OG'!$J$3:$FA$79,MATCH('Withdrawal Working'!$A18,'Yoy WAR OG'!$J$3:$J$79,0),0)</f>
        <v>0</v>
      </c>
      <c r="F18" s="58">
        <f t="shared" ca="1" si="13"/>
        <v>7089000.7939294428</v>
      </c>
      <c r="G18" s="58">
        <f>HLOOKUP('Withdrawal Working'!G$2,'Yoy WAR OG'!$J$3:$FA$79,MATCH('Withdrawal Working'!$A18,'Yoy WAR OG'!$J$3:$J$79,0),0)</f>
        <v>0</v>
      </c>
      <c r="H18" s="58">
        <f t="shared" ca="1" si="14"/>
        <v>7089000.7939294428</v>
      </c>
      <c r="I18" s="58">
        <f>HLOOKUP('Withdrawal Working'!I$2,'Yoy WAR OG'!$J$3:$FA$79,MATCH('Withdrawal Working'!$A18,'Yoy WAR OG'!$J$3:$J$79,0),0)</f>
        <v>0</v>
      </c>
      <c r="J18" s="58">
        <f t="shared" ca="1" si="15"/>
        <v>7089000.7939294428</v>
      </c>
      <c r="K18" s="58">
        <f ca="1">HLOOKUP('Withdrawal Working'!K$2,'Yoy WAR OG'!$J$3:$FA$79,MATCH('Withdrawal Working'!$A18,'Yoy WAR OG'!$J$3:$J$79,0),0)</f>
        <v>7089000.7939294428</v>
      </c>
      <c r="L18" s="58">
        <f t="shared" ca="1" si="16"/>
        <v>0</v>
      </c>
      <c r="M18" s="58">
        <f ca="1">HLOOKUP('Withdrawal Working'!M$2,'Yoy WAR OG'!$J$3:$FA$79,MATCH('Withdrawal Working'!$A18,'Yoy WAR OG'!$J$3:$J$79,0),0)</f>
        <v>8282588.126039302</v>
      </c>
      <c r="N18" s="58">
        <f t="shared" ca="1" si="17"/>
        <v>-8282588.126039302</v>
      </c>
      <c r="O18" s="58">
        <f>HLOOKUP('Withdrawal Working'!O$2,'Yoy WAR OG'!$J$3:$FA$79,MATCH('Withdrawal Working'!$A18,'Yoy WAR OG'!$J$3:$J$79,0),0)</f>
        <v>0</v>
      </c>
      <c r="P18" s="58">
        <f t="shared" ca="1" si="18"/>
        <v>-8282588.126039302</v>
      </c>
      <c r="Q18" s="58">
        <f>HLOOKUP('Withdrawal Working'!Q$2,'Yoy WAR OG'!$J$3:$FA$79,MATCH('Withdrawal Working'!$A18,'Yoy WAR OG'!$J$3:$J$79,0),0)</f>
        <v>0</v>
      </c>
      <c r="R18" s="58">
        <f t="shared" ca="1" si="19"/>
        <v>-8282588.126039302</v>
      </c>
      <c r="S18" s="58">
        <f>HLOOKUP('Withdrawal Working'!S$2,'Yoy WAR OG'!$J$3:$FA$79,MATCH('Withdrawal Working'!$A18,'Yoy WAR OG'!$J$3:$J$79,0),0)</f>
        <v>0</v>
      </c>
      <c r="T18" s="58">
        <f t="shared" ca="1" si="20"/>
        <v>-8282588.126039302</v>
      </c>
      <c r="U18" s="58">
        <f>HLOOKUP('Withdrawal Working'!U$2,'Yoy WAR OG'!$J$3:$FA$79,MATCH('Withdrawal Working'!$A18,'Yoy WAR OG'!$J$3:$J$79,0),0)</f>
        <v>0</v>
      </c>
      <c r="V18" s="58">
        <f t="shared" ca="1" si="21"/>
        <v>-8282588.126039302</v>
      </c>
      <c r="AD18">
        <f>'Yoy WAR OG'!K19</f>
        <v>2040</v>
      </c>
      <c r="AE18">
        <f ca="1">IF(AD18&lt;VLOOKUP('NWGC - SCENARIOS'!$D$7,'NWGC - SCENARIOS'!$B$11:$C$67,2,0),IF(V18&lt;0,-V18,0),IF(AI18&gt;0,'Withdrawal Working'!AI18,0))</f>
        <v>8282588.126039302</v>
      </c>
      <c r="AG18">
        <f ca="1">'Yoy WAR OG'!R19+'Yoy WAR OG'!X19+'Yoy WAR OG'!AD19+'Yoy WAR OG'!AJ19+'Yoy WAR OG'!AP19+'Yoy WAR OG'!AV19+'Yoy WAR OG'!BB19+'Yoy WAR OG'!BH19+'Yoy WAR OG'!BN19+'Yoy WAR OG'!BT19+'Yoy WAR OG'!BZ19+'Yoy WAR OG'!CF19+'Yoy WAR OG'!CL19+'Yoy WAR OG'!CR19+'Yoy WAR OG'!CX19+'Yoy WAR OG'!DD19+'Yoy WAR OG'!DJ19+'Yoy WAR OG'!DP19+'Yoy WAR OG'!DV19+'Yoy WAR OG'!EB19+'Yoy WAR OG'!EH19+'Yoy WAR OG'!EN19+'Yoy WAR OG'!ET19+'Yoy WAR OG'!EZ19</f>
        <v>15371588.919968745</v>
      </c>
      <c r="AH18" s="449">
        <f ca="1">'Yoy WAR OG'!M19</f>
        <v>7089000.7939294428</v>
      </c>
      <c r="AI18" s="449">
        <f t="shared" ca="1" si="10"/>
        <v>8282588.126039302</v>
      </c>
      <c r="BC18">
        <f t="shared" si="11"/>
        <v>72</v>
      </c>
      <c r="BD18">
        <f ca="1">IFERROR((VLOOKUP($BC18+2,'NWGC - SCENARIOS'!$B$9:$H$67,7,0)),0)</f>
        <v>15401970.719471829</v>
      </c>
    </row>
    <row r="19" spans="1:56" x14ac:dyDescent="0.3">
      <c r="A19">
        <f>'Yoy WAR OG'!J20</f>
        <v>65</v>
      </c>
      <c r="B19" s="58">
        <f ca="1">'Yoy WAR OG'!M20</f>
        <v>7662840.8574437993</v>
      </c>
      <c r="C19" s="58">
        <f>HLOOKUP('Withdrawal Working'!C$2,'Yoy WAR OG'!$J$3:$FA$79,MATCH('Withdrawal Working'!$A19,'Yoy WAR OG'!$J$3:$J$79,0),0)</f>
        <v>0</v>
      </c>
      <c r="D19" s="58">
        <f t="shared" ca="1" si="12"/>
        <v>7662840.8574437993</v>
      </c>
      <c r="E19" s="58">
        <f>HLOOKUP('Withdrawal Working'!E$2,'Yoy WAR OG'!$J$3:$FA$79,MATCH('Withdrawal Working'!$A19,'Yoy WAR OG'!$J$3:$J$79,0),0)</f>
        <v>0</v>
      </c>
      <c r="F19" s="58">
        <f t="shared" ca="1" si="13"/>
        <v>7662840.8574437993</v>
      </c>
      <c r="G19" s="58">
        <f>HLOOKUP('Withdrawal Working'!G$2,'Yoy WAR OG'!$J$3:$FA$79,MATCH('Withdrawal Working'!$A19,'Yoy WAR OG'!$J$3:$J$79,0),0)</f>
        <v>0</v>
      </c>
      <c r="H19" s="58">
        <f t="shared" ca="1" si="14"/>
        <v>7662840.8574437993</v>
      </c>
      <c r="I19" s="58">
        <f>HLOOKUP('Withdrawal Working'!I$2,'Yoy WAR OG'!$J$3:$FA$79,MATCH('Withdrawal Working'!$A19,'Yoy WAR OG'!$J$3:$J$79,0),0)</f>
        <v>0</v>
      </c>
      <c r="J19" s="58">
        <f t="shared" ca="1" si="15"/>
        <v>7662840.8574437993</v>
      </c>
      <c r="K19" s="58">
        <f ca="1">HLOOKUP('Withdrawal Working'!K$2,'Yoy WAR OG'!$J$3:$FA$79,MATCH('Withdrawal Working'!$A19,'Yoy WAR OG'!$J$3:$J$79,0),0)</f>
        <v>7662840.8574437993</v>
      </c>
      <c r="L19" s="58">
        <f t="shared" ca="1" si="16"/>
        <v>0</v>
      </c>
      <c r="M19" s="58">
        <f ca="1">HLOOKUP('Withdrawal Working'!M$2,'Yoy WAR OG'!$J$3:$FA$79,MATCH('Withdrawal Working'!$A19,'Yoy WAR OG'!$J$3:$J$79,0),0)</f>
        <v>8951915.1761224475</v>
      </c>
      <c r="N19" s="58">
        <f t="shared" ca="1" si="17"/>
        <v>-8951915.1761224475</v>
      </c>
      <c r="O19" s="58">
        <f>HLOOKUP('Withdrawal Working'!O$2,'Yoy WAR OG'!$J$3:$FA$79,MATCH('Withdrawal Working'!$A19,'Yoy WAR OG'!$J$3:$J$79,0),0)</f>
        <v>0</v>
      </c>
      <c r="P19" s="58">
        <f t="shared" ca="1" si="18"/>
        <v>-8951915.1761224475</v>
      </c>
      <c r="Q19" s="58">
        <f>HLOOKUP('Withdrawal Working'!Q$2,'Yoy WAR OG'!$J$3:$FA$79,MATCH('Withdrawal Working'!$A19,'Yoy WAR OG'!$J$3:$J$79,0),0)</f>
        <v>0</v>
      </c>
      <c r="R19" s="58">
        <f t="shared" ca="1" si="19"/>
        <v>-8951915.1761224475</v>
      </c>
      <c r="S19" s="58">
        <f>HLOOKUP('Withdrawal Working'!S$2,'Yoy WAR OG'!$J$3:$FA$79,MATCH('Withdrawal Working'!$A19,'Yoy WAR OG'!$J$3:$J$79,0),0)</f>
        <v>0</v>
      </c>
      <c r="T19" s="58">
        <f t="shared" ca="1" si="20"/>
        <v>-8951915.1761224475</v>
      </c>
      <c r="U19" s="58">
        <f>HLOOKUP('Withdrawal Working'!U$2,'Yoy WAR OG'!$J$3:$FA$79,MATCH('Withdrawal Working'!$A19,'Yoy WAR OG'!$J$3:$J$79,0),0)</f>
        <v>0</v>
      </c>
      <c r="V19" s="58">
        <f t="shared" ca="1" si="21"/>
        <v>-8951915.1761224475</v>
      </c>
      <c r="AD19">
        <f>'Yoy WAR OG'!K20</f>
        <v>2041</v>
      </c>
      <c r="AE19">
        <f ca="1">IF(AD19&lt;VLOOKUP('NWGC - SCENARIOS'!$D$7,'NWGC - SCENARIOS'!$B$11:$C$67,2,0),IF(V19&lt;0,-V19,0),IF(AI19&gt;0,'Withdrawal Working'!AI19,0))</f>
        <v>8951915.1761224493</v>
      </c>
      <c r="AG19">
        <f ca="1">'Yoy WAR OG'!R20+'Yoy WAR OG'!X20+'Yoy WAR OG'!AD20+'Yoy WAR OG'!AJ20+'Yoy WAR OG'!AP20+'Yoy WAR OG'!AV20+'Yoy WAR OG'!BB20+'Yoy WAR OG'!BH20+'Yoy WAR OG'!BN20+'Yoy WAR OG'!BT20+'Yoy WAR OG'!BZ20+'Yoy WAR OG'!CF20+'Yoy WAR OG'!CL20+'Yoy WAR OG'!CR20+'Yoy WAR OG'!CX20+'Yoy WAR OG'!DD20+'Yoy WAR OG'!DJ20+'Yoy WAR OG'!DP20+'Yoy WAR OG'!DV20+'Yoy WAR OG'!EB20+'Yoy WAR OG'!EH20+'Yoy WAR OG'!EN20+'Yoy WAR OG'!ET20+'Yoy WAR OG'!EZ20</f>
        <v>16614756.033566248</v>
      </c>
      <c r="AH19" s="449">
        <f ca="1">'Yoy WAR OG'!M20</f>
        <v>7662840.8574437993</v>
      </c>
      <c r="AI19" s="449">
        <f t="shared" ca="1" si="10"/>
        <v>8951915.1761224493</v>
      </c>
      <c r="BC19">
        <f t="shared" si="11"/>
        <v>73</v>
      </c>
      <c r="BD19">
        <f ca="1">IFERROR((VLOOKUP($BC19+2,'NWGC - SCENARIOS'!$B$9:$H$67,7,0)),0)</f>
        <v>16640848.377029575</v>
      </c>
    </row>
    <row r="20" spans="1:56" x14ac:dyDescent="0.3">
      <c r="A20">
        <f>'Yoy WAR OG'!J21</f>
        <v>66</v>
      </c>
      <c r="B20" s="58">
        <f ca="1">'Yoy WAR OG'!M21</f>
        <v>8282588.126039302</v>
      </c>
      <c r="C20" s="58">
        <f>HLOOKUP('Withdrawal Working'!C$2,'Yoy WAR OG'!$J$3:$FA$79,MATCH('Withdrawal Working'!$A20,'Yoy WAR OG'!$J$3:$J$79,0),0)</f>
        <v>0</v>
      </c>
      <c r="D20" s="58">
        <f t="shared" ca="1" si="12"/>
        <v>8282588.126039302</v>
      </c>
      <c r="E20" s="58">
        <f>HLOOKUP('Withdrawal Working'!E$2,'Yoy WAR OG'!$J$3:$FA$79,MATCH('Withdrawal Working'!$A20,'Yoy WAR OG'!$J$3:$J$79,0),0)</f>
        <v>0</v>
      </c>
      <c r="F20" s="58">
        <f t="shared" ca="1" si="13"/>
        <v>8282588.126039302</v>
      </c>
      <c r="G20" s="58">
        <f>HLOOKUP('Withdrawal Working'!G$2,'Yoy WAR OG'!$J$3:$FA$79,MATCH('Withdrawal Working'!$A20,'Yoy WAR OG'!$J$3:$J$79,0),0)</f>
        <v>0</v>
      </c>
      <c r="H20" s="58">
        <f t="shared" ca="1" si="14"/>
        <v>8282588.126039302</v>
      </c>
      <c r="I20" s="58">
        <f>HLOOKUP('Withdrawal Working'!I$2,'Yoy WAR OG'!$J$3:$FA$79,MATCH('Withdrawal Working'!$A20,'Yoy WAR OG'!$J$3:$J$79,0),0)</f>
        <v>0</v>
      </c>
      <c r="J20" s="58">
        <f t="shared" ca="1" si="15"/>
        <v>8282588.126039302</v>
      </c>
      <c r="K20" s="58">
        <f ca="1">HLOOKUP('Withdrawal Working'!K$2,'Yoy WAR OG'!$J$3:$FA$79,MATCH('Withdrawal Working'!$A20,'Yoy WAR OG'!$J$3:$J$79,0),0)</f>
        <v>8282588.126039302</v>
      </c>
      <c r="L20" s="58">
        <f t="shared" ca="1" si="16"/>
        <v>0</v>
      </c>
      <c r="M20" s="58">
        <f ca="1">HLOOKUP('Withdrawal Working'!M$2,'Yoy WAR OG'!$J$3:$FA$79,MATCH('Withdrawal Working'!$A20,'Yoy WAR OG'!$J$3:$J$79,0),0)</f>
        <v>9674788.3902122453</v>
      </c>
      <c r="N20" s="58">
        <f t="shared" ca="1" si="17"/>
        <v>-9674788.3902122453</v>
      </c>
      <c r="O20" s="58">
        <f>HLOOKUP('Withdrawal Working'!O$2,'Yoy WAR OG'!$J$3:$FA$79,MATCH('Withdrawal Working'!$A20,'Yoy WAR OG'!$J$3:$J$79,0),0)</f>
        <v>0</v>
      </c>
      <c r="P20" s="58">
        <f t="shared" ca="1" si="18"/>
        <v>-9674788.3902122453</v>
      </c>
      <c r="Q20" s="58">
        <f>HLOOKUP('Withdrawal Working'!Q$2,'Yoy WAR OG'!$J$3:$FA$79,MATCH('Withdrawal Working'!$A20,'Yoy WAR OG'!$J$3:$J$79,0),0)</f>
        <v>0</v>
      </c>
      <c r="R20" s="58">
        <f t="shared" ca="1" si="19"/>
        <v>-9674788.3902122453</v>
      </c>
      <c r="S20" s="58">
        <f>HLOOKUP('Withdrawal Working'!S$2,'Yoy WAR OG'!$J$3:$FA$79,MATCH('Withdrawal Working'!$A20,'Yoy WAR OG'!$J$3:$J$79,0),0)</f>
        <v>0</v>
      </c>
      <c r="T20" s="58">
        <f t="shared" ca="1" si="20"/>
        <v>-9674788.3902122453</v>
      </c>
      <c r="U20" s="58">
        <f>HLOOKUP('Withdrawal Working'!U$2,'Yoy WAR OG'!$J$3:$FA$79,MATCH('Withdrawal Working'!$A20,'Yoy WAR OG'!$J$3:$J$79,0),0)</f>
        <v>0</v>
      </c>
      <c r="V20" s="58">
        <f t="shared" ca="1" si="21"/>
        <v>-9674788.3902122453</v>
      </c>
      <c r="AD20">
        <f>'Yoy WAR OG'!K21</f>
        <v>2042</v>
      </c>
      <c r="AE20">
        <f ca="1">IF(AD20&lt;VLOOKUP('NWGC - SCENARIOS'!$D$7,'NWGC - SCENARIOS'!$B$11:$C$67,2,0),IF(V20&lt;0,-V20,0),IF(AI20&gt;0,'Withdrawal Working'!AI20,0))</f>
        <v>9674788.3902122471</v>
      </c>
      <c r="AG20">
        <f ca="1">'Yoy WAR OG'!R21+'Yoy WAR OG'!X21+'Yoy WAR OG'!AD21+'Yoy WAR OG'!AJ21+'Yoy WAR OG'!AP21+'Yoy WAR OG'!AV21+'Yoy WAR OG'!BB21+'Yoy WAR OG'!BH21+'Yoy WAR OG'!BN21+'Yoy WAR OG'!BT21+'Yoy WAR OG'!BZ21+'Yoy WAR OG'!CF21+'Yoy WAR OG'!CL21+'Yoy WAR OG'!CR21+'Yoy WAR OG'!CX21+'Yoy WAR OG'!DD21+'Yoy WAR OG'!DJ21+'Yoy WAR OG'!DP21+'Yoy WAR OG'!DV21+'Yoy WAR OG'!EB21+'Yoy WAR OG'!EH21+'Yoy WAR OG'!EN21+'Yoy WAR OG'!ET21+'Yoy WAR OG'!EZ21</f>
        <v>17957376.516251549</v>
      </c>
      <c r="AH20" s="449">
        <f ca="1">'Yoy WAR OG'!M21</f>
        <v>8282588.126039302</v>
      </c>
      <c r="AI20" s="449">
        <f t="shared" ca="1" si="10"/>
        <v>9674788.3902122471</v>
      </c>
      <c r="BC20">
        <f t="shared" si="11"/>
        <v>74</v>
      </c>
      <c r="BD20">
        <f ca="1">IFERROR((VLOOKUP($BC20+2,'NWGC - SCENARIOS'!$B$9:$H$67,7,0)),0)</f>
        <v>17978836.247191936</v>
      </c>
    </row>
    <row r="21" spans="1:56" x14ac:dyDescent="0.3">
      <c r="A21">
        <f>'Yoy WAR OG'!J22</f>
        <v>67</v>
      </c>
      <c r="B21" s="58">
        <f ca="1">'Yoy WAR OG'!M22</f>
        <v>8951915.1761224475</v>
      </c>
      <c r="C21" s="58">
        <f>HLOOKUP('Withdrawal Working'!C$2,'Yoy WAR OG'!$J$3:$FA$79,MATCH('Withdrawal Working'!$A21,'Yoy WAR OG'!$J$3:$J$79,0),0)</f>
        <v>0</v>
      </c>
      <c r="D21" s="58">
        <f t="shared" ca="1" si="12"/>
        <v>8951915.1761224475</v>
      </c>
      <c r="E21" s="58">
        <f>HLOOKUP('Withdrawal Working'!E$2,'Yoy WAR OG'!$J$3:$FA$79,MATCH('Withdrawal Working'!$A21,'Yoy WAR OG'!$J$3:$J$79,0),0)</f>
        <v>0</v>
      </c>
      <c r="F21" s="58">
        <f t="shared" ca="1" si="13"/>
        <v>8951915.1761224475</v>
      </c>
      <c r="G21" s="58">
        <f>HLOOKUP('Withdrawal Working'!G$2,'Yoy WAR OG'!$J$3:$FA$79,MATCH('Withdrawal Working'!$A21,'Yoy WAR OG'!$J$3:$J$79,0),0)</f>
        <v>0</v>
      </c>
      <c r="H21" s="58">
        <f t="shared" ca="1" si="14"/>
        <v>8951915.1761224475</v>
      </c>
      <c r="I21" s="58">
        <f>HLOOKUP('Withdrawal Working'!I$2,'Yoy WAR OG'!$J$3:$FA$79,MATCH('Withdrawal Working'!$A21,'Yoy WAR OG'!$J$3:$J$79,0),0)</f>
        <v>0</v>
      </c>
      <c r="J21" s="58">
        <f t="shared" ca="1" si="15"/>
        <v>8951915.1761224475</v>
      </c>
      <c r="K21" s="58">
        <f ca="1">HLOOKUP('Withdrawal Working'!K$2,'Yoy WAR OG'!$J$3:$FA$79,MATCH('Withdrawal Working'!$A21,'Yoy WAR OG'!$J$3:$J$79,0),0)</f>
        <v>8951915.1761224475</v>
      </c>
      <c r="L21" s="58">
        <f t="shared" ca="1" si="16"/>
        <v>0</v>
      </c>
      <c r="M21" s="58">
        <f ca="1">HLOOKUP('Withdrawal Working'!M$2,'Yoy WAR OG'!$J$3:$FA$79,MATCH('Withdrawal Working'!$A21,'Yoy WAR OG'!$J$3:$J$79,0),0)</f>
        <v>10455491.461429223</v>
      </c>
      <c r="N21" s="58">
        <f t="shared" ca="1" si="17"/>
        <v>-10455491.461429223</v>
      </c>
      <c r="O21" s="58">
        <f>HLOOKUP('Withdrawal Working'!O$2,'Yoy WAR OG'!$J$3:$FA$79,MATCH('Withdrawal Working'!$A21,'Yoy WAR OG'!$J$3:$J$79,0),0)</f>
        <v>0</v>
      </c>
      <c r="P21" s="58">
        <f t="shared" ca="1" si="18"/>
        <v>-10455491.461429223</v>
      </c>
      <c r="Q21" s="58">
        <f>HLOOKUP('Withdrawal Working'!Q$2,'Yoy WAR OG'!$J$3:$FA$79,MATCH('Withdrawal Working'!$A21,'Yoy WAR OG'!$J$3:$J$79,0),0)</f>
        <v>0</v>
      </c>
      <c r="R21" s="58">
        <f t="shared" ca="1" si="19"/>
        <v>-10455491.461429223</v>
      </c>
      <c r="S21" s="58">
        <f>HLOOKUP('Withdrawal Working'!S$2,'Yoy WAR OG'!$J$3:$FA$79,MATCH('Withdrawal Working'!$A21,'Yoy WAR OG'!$J$3:$J$79,0),0)</f>
        <v>0</v>
      </c>
      <c r="T21" s="58">
        <f t="shared" ca="1" si="20"/>
        <v>-10455491.461429223</v>
      </c>
      <c r="U21" s="58">
        <f>HLOOKUP('Withdrawal Working'!U$2,'Yoy WAR OG'!$J$3:$FA$79,MATCH('Withdrawal Working'!$A21,'Yoy WAR OG'!$J$3:$J$79,0),0)</f>
        <v>0</v>
      </c>
      <c r="V21" s="58">
        <f t="shared" ca="1" si="21"/>
        <v>-10455491.461429223</v>
      </c>
      <c r="AD21">
        <f>'Yoy WAR OG'!K22</f>
        <v>2043</v>
      </c>
      <c r="AE21">
        <f ca="1">IF(AD21&lt;VLOOKUP('NWGC - SCENARIOS'!$D$7,'NWGC - SCENARIOS'!$B$11:$C$67,2,0),IF(V21&lt;0,-V21,0),IF(AI21&gt;0,'Withdrawal Working'!AI21,0))</f>
        <v>10455491.461429225</v>
      </c>
      <c r="AG21">
        <f ca="1">'Yoy WAR OG'!R22+'Yoy WAR OG'!X22+'Yoy WAR OG'!AD22+'Yoy WAR OG'!AJ22+'Yoy WAR OG'!AP22+'Yoy WAR OG'!AV22+'Yoy WAR OG'!BB22+'Yoy WAR OG'!BH22+'Yoy WAR OG'!BN22+'Yoy WAR OG'!BT22+'Yoy WAR OG'!BZ22+'Yoy WAR OG'!CF22+'Yoy WAR OG'!CL22+'Yoy WAR OG'!CR22+'Yoy WAR OG'!CX22+'Yoy WAR OG'!DD22+'Yoy WAR OG'!DJ22+'Yoy WAR OG'!DP22+'Yoy WAR OG'!DV22+'Yoy WAR OG'!EB22+'Yoy WAR OG'!EH22+'Yoy WAR OG'!EN22+'Yoy WAR OG'!ET22+'Yoy WAR OG'!EZ22</f>
        <v>19407406.637551673</v>
      </c>
      <c r="AH21" s="449">
        <f ca="1">'Yoy WAR OG'!M22</f>
        <v>8951915.1761224475</v>
      </c>
      <c r="AI21" s="449">
        <f t="shared" ca="1" si="10"/>
        <v>10455491.461429225</v>
      </c>
      <c r="BC21">
        <f t="shared" si="11"/>
        <v>75</v>
      </c>
      <c r="BD21">
        <f ca="1">IFERROR((VLOOKUP($BC21+2,'NWGC - SCENARIOS'!$B$9:$H$67,7,0)),0)</f>
        <v>19423863.146967296</v>
      </c>
    </row>
    <row r="22" spans="1:56" x14ac:dyDescent="0.3">
      <c r="A22">
        <f>'Yoy WAR OG'!J23</f>
        <v>68</v>
      </c>
      <c r="B22" s="58">
        <f ca="1">'Yoy WAR OG'!M23</f>
        <v>9674788.3902122453</v>
      </c>
      <c r="C22" s="58">
        <f>HLOOKUP('Withdrawal Working'!C$2,'Yoy WAR OG'!$J$3:$FA$79,MATCH('Withdrawal Working'!$A22,'Yoy WAR OG'!$J$3:$J$79,0),0)</f>
        <v>0</v>
      </c>
      <c r="D22" s="58">
        <f t="shared" ca="1" si="12"/>
        <v>9674788.3902122453</v>
      </c>
      <c r="E22" s="58">
        <f>HLOOKUP('Withdrawal Working'!E$2,'Yoy WAR OG'!$J$3:$FA$79,MATCH('Withdrawal Working'!$A22,'Yoy WAR OG'!$J$3:$J$79,0),0)</f>
        <v>0</v>
      </c>
      <c r="F22" s="58">
        <f t="shared" ca="1" si="13"/>
        <v>9674788.3902122453</v>
      </c>
      <c r="G22" s="58">
        <f>HLOOKUP('Withdrawal Working'!G$2,'Yoy WAR OG'!$J$3:$FA$79,MATCH('Withdrawal Working'!$A22,'Yoy WAR OG'!$J$3:$J$79,0),0)</f>
        <v>0</v>
      </c>
      <c r="H22" s="58">
        <f t="shared" ca="1" si="14"/>
        <v>9674788.3902122453</v>
      </c>
      <c r="I22" s="58">
        <f>HLOOKUP('Withdrawal Working'!I$2,'Yoy WAR OG'!$J$3:$FA$79,MATCH('Withdrawal Working'!$A22,'Yoy WAR OG'!$J$3:$J$79,0),0)</f>
        <v>0</v>
      </c>
      <c r="J22" s="58">
        <f t="shared" ca="1" si="15"/>
        <v>9674788.3902122453</v>
      </c>
      <c r="K22" s="58">
        <f ca="1">HLOOKUP('Withdrawal Working'!K$2,'Yoy WAR OG'!$J$3:$FA$79,MATCH('Withdrawal Working'!$A22,'Yoy WAR OG'!$J$3:$J$79,0),0)</f>
        <v>9674788.3902122453</v>
      </c>
      <c r="L22" s="58">
        <f t="shared" ca="1" si="16"/>
        <v>0</v>
      </c>
      <c r="M22" s="58">
        <f ca="1">HLOOKUP('Withdrawal Working'!M$2,'Yoy WAR OG'!$J$3:$FA$79,MATCH('Withdrawal Working'!$A22,'Yoy WAR OG'!$J$3:$J$79,0),0)</f>
        <v>11298650.778343562</v>
      </c>
      <c r="N22" s="58">
        <f t="shared" ca="1" si="17"/>
        <v>-11298650.778343562</v>
      </c>
      <c r="O22" s="58">
        <f>HLOOKUP('Withdrawal Working'!O$2,'Yoy WAR OG'!$J$3:$FA$79,MATCH('Withdrawal Working'!$A22,'Yoy WAR OG'!$J$3:$J$79,0),0)</f>
        <v>0</v>
      </c>
      <c r="P22" s="58">
        <f t="shared" ca="1" si="18"/>
        <v>-11298650.778343562</v>
      </c>
      <c r="Q22" s="58">
        <f>HLOOKUP('Withdrawal Working'!Q$2,'Yoy WAR OG'!$J$3:$FA$79,MATCH('Withdrawal Working'!$A22,'Yoy WAR OG'!$J$3:$J$79,0),0)</f>
        <v>0</v>
      </c>
      <c r="R22" s="58">
        <f t="shared" ca="1" si="19"/>
        <v>-11298650.778343562</v>
      </c>
      <c r="S22" s="58">
        <f>HLOOKUP('Withdrawal Working'!S$2,'Yoy WAR OG'!$J$3:$FA$79,MATCH('Withdrawal Working'!$A22,'Yoy WAR OG'!$J$3:$J$79,0),0)</f>
        <v>0</v>
      </c>
      <c r="T22" s="58">
        <f t="shared" ca="1" si="20"/>
        <v>-11298650.778343562</v>
      </c>
      <c r="U22" s="58">
        <f>HLOOKUP('Withdrawal Working'!U$2,'Yoy WAR OG'!$J$3:$FA$79,MATCH('Withdrawal Working'!$A22,'Yoy WAR OG'!$J$3:$J$79,0),0)</f>
        <v>0</v>
      </c>
      <c r="V22" s="58">
        <f t="shared" ca="1" si="21"/>
        <v>-11298650.778343562</v>
      </c>
      <c r="AD22">
        <f>'Yoy WAR OG'!K23</f>
        <v>2044</v>
      </c>
      <c r="AE22">
        <f ca="1">IF(AD22&lt;VLOOKUP('NWGC - SCENARIOS'!$D$7,'NWGC - SCENARIOS'!$B$11:$C$67,2,0),IF(V22&lt;0,-V22,0),IF(AI22&gt;0,'Withdrawal Working'!AI22,0))</f>
        <v>11298650.778343562</v>
      </c>
      <c r="AG22">
        <f ca="1">'Yoy WAR OG'!R23+'Yoy WAR OG'!X23+'Yoy WAR OG'!AD23+'Yoy WAR OG'!AJ23+'Yoy WAR OG'!AP23+'Yoy WAR OG'!AV23+'Yoy WAR OG'!BB23+'Yoy WAR OG'!BH23+'Yoy WAR OG'!BN23+'Yoy WAR OG'!BT23+'Yoy WAR OG'!BZ23+'Yoy WAR OG'!CF23+'Yoy WAR OG'!CL23+'Yoy WAR OG'!CR23+'Yoy WAR OG'!CX23+'Yoy WAR OG'!DD23+'Yoy WAR OG'!DJ23+'Yoy WAR OG'!DP23+'Yoy WAR OG'!DV23+'Yoy WAR OG'!EB23+'Yoy WAR OG'!EH23+'Yoy WAR OG'!EN23+'Yoy WAR OG'!ET23+'Yoy WAR OG'!EZ23</f>
        <v>20973439.168555807</v>
      </c>
      <c r="AH22" s="449">
        <f ca="1">'Yoy WAR OG'!M23</f>
        <v>9674788.3902122453</v>
      </c>
      <c r="AI22" s="449">
        <f t="shared" ca="1" si="10"/>
        <v>11298650.778343562</v>
      </c>
      <c r="BC22">
        <f t="shared" si="11"/>
        <v>76</v>
      </c>
      <c r="BD22">
        <f ca="1">IFERROR((VLOOKUP($BC22+2,'NWGC - SCENARIOS'!$B$9:$H$67,7,0)),0)</f>
        <v>20984492.19872468</v>
      </c>
    </row>
    <row r="23" spans="1:56" x14ac:dyDescent="0.3">
      <c r="A23">
        <f>'Yoy WAR OG'!J24</f>
        <v>69</v>
      </c>
      <c r="B23" s="58">
        <f ca="1">'Yoy WAR OG'!M24</f>
        <v>10455491.461429223</v>
      </c>
      <c r="C23" s="58">
        <f>HLOOKUP('Withdrawal Working'!C$2,'Yoy WAR OG'!$J$3:$FA$79,MATCH('Withdrawal Working'!$A23,'Yoy WAR OG'!$J$3:$J$79,0),0)</f>
        <v>0</v>
      </c>
      <c r="D23" s="58">
        <f t="shared" ca="1" si="12"/>
        <v>10455491.461429223</v>
      </c>
      <c r="E23" s="58">
        <f>HLOOKUP('Withdrawal Working'!E$2,'Yoy WAR OG'!$J$3:$FA$79,MATCH('Withdrawal Working'!$A23,'Yoy WAR OG'!$J$3:$J$79,0),0)</f>
        <v>0</v>
      </c>
      <c r="F23" s="58">
        <f t="shared" ca="1" si="13"/>
        <v>10455491.461429223</v>
      </c>
      <c r="G23" s="58">
        <f>HLOOKUP('Withdrawal Working'!G$2,'Yoy WAR OG'!$J$3:$FA$79,MATCH('Withdrawal Working'!$A23,'Yoy WAR OG'!$J$3:$J$79,0),0)</f>
        <v>0</v>
      </c>
      <c r="H23" s="58">
        <f t="shared" ca="1" si="14"/>
        <v>10455491.461429223</v>
      </c>
      <c r="I23" s="58">
        <f>HLOOKUP('Withdrawal Working'!I$2,'Yoy WAR OG'!$J$3:$FA$79,MATCH('Withdrawal Working'!$A23,'Yoy WAR OG'!$J$3:$J$79,0),0)</f>
        <v>0</v>
      </c>
      <c r="J23" s="58">
        <f t="shared" ca="1" si="15"/>
        <v>10455491.461429223</v>
      </c>
      <c r="K23" s="58">
        <f ca="1">HLOOKUP('Withdrawal Working'!K$2,'Yoy WAR OG'!$J$3:$FA$79,MATCH('Withdrawal Working'!$A23,'Yoy WAR OG'!$J$3:$J$79,0),0)</f>
        <v>10455491.461429223</v>
      </c>
      <c r="L23" s="58">
        <f t="shared" ca="1" si="16"/>
        <v>0</v>
      </c>
      <c r="M23" s="58">
        <f ca="1">HLOOKUP('Withdrawal Working'!M$2,'Yoy WAR OG'!$J$3:$FA$79,MATCH('Withdrawal Working'!$A23,'Yoy WAR OG'!$J$3:$J$79,0),0)</f>
        <v>12209262.840611048</v>
      </c>
      <c r="N23" s="58">
        <f t="shared" ca="1" si="17"/>
        <v>-12209262.840611048</v>
      </c>
      <c r="O23" s="58">
        <f>HLOOKUP('Withdrawal Working'!O$2,'Yoy WAR OG'!$J$3:$FA$79,MATCH('Withdrawal Working'!$A23,'Yoy WAR OG'!$J$3:$J$79,0),0)</f>
        <v>0</v>
      </c>
      <c r="P23" s="58">
        <f t="shared" ca="1" si="18"/>
        <v>-12209262.840611048</v>
      </c>
      <c r="Q23" s="58">
        <f>HLOOKUP('Withdrawal Working'!Q$2,'Yoy WAR OG'!$J$3:$FA$79,MATCH('Withdrawal Working'!$A23,'Yoy WAR OG'!$J$3:$J$79,0),0)</f>
        <v>0</v>
      </c>
      <c r="R23" s="58">
        <f t="shared" ca="1" si="19"/>
        <v>-12209262.840611048</v>
      </c>
      <c r="S23" s="58">
        <f>HLOOKUP('Withdrawal Working'!S$2,'Yoy WAR OG'!$J$3:$FA$79,MATCH('Withdrawal Working'!$A23,'Yoy WAR OG'!$J$3:$J$79,0),0)</f>
        <v>0</v>
      </c>
      <c r="T23" s="58">
        <f t="shared" ca="1" si="20"/>
        <v>-12209262.840611048</v>
      </c>
      <c r="U23" s="58">
        <f>HLOOKUP('Withdrawal Working'!U$2,'Yoy WAR OG'!$J$3:$FA$79,MATCH('Withdrawal Working'!$A23,'Yoy WAR OG'!$J$3:$J$79,0),0)</f>
        <v>0</v>
      </c>
      <c r="V23" s="58">
        <f t="shared" ca="1" si="21"/>
        <v>-12209262.840611048</v>
      </c>
      <c r="AD23">
        <f>'Yoy WAR OG'!K24</f>
        <v>2045</v>
      </c>
      <c r="AE23">
        <f ca="1">IF(AD23&lt;VLOOKUP('NWGC - SCENARIOS'!$D$7,'NWGC - SCENARIOS'!$B$11:$C$67,2,0),IF(V23&lt;0,-V23,0),IF(AI23&gt;0,'Withdrawal Working'!AI23,0))</f>
        <v>12209262.840611048</v>
      </c>
      <c r="AG23">
        <f ca="1">'Yoy WAR OG'!R24+'Yoy WAR OG'!X24+'Yoy WAR OG'!AD24+'Yoy WAR OG'!AJ24+'Yoy WAR OG'!AP24+'Yoy WAR OG'!AV24+'Yoy WAR OG'!BB24+'Yoy WAR OG'!BH24+'Yoy WAR OG'!BN24+'Yoy WAR OG'!BT24+'Yoy WAR OG'!BZ24+'Yoy WAR OG'!CF24+'Yoy WAR OG'!CL24+'Yoy WAR OG'!CR24+'Yoy WAR OG'!CX24+'Yoy WAR OG'!DD24+'Yoy WAR OG'!DJ24+'Yoy WAR OG'!DP24+'Yoy WAR OG'!DV24+'Yoy WAR OG'!EB24+'Yoy WAR OG'!EH24+'Yoy WAR OG'!EN24+'Yoy WAR OG'!ET24+'Yoy WAR OG'!EZ24</f>
        <v>22664754.302040271</v>
      </c>
      <c r="AH23" s="449">
        <f ca="1">'Yoy WAR OG'!M24</f>
        <v>10455491.461429223</v>
      </c>
      <c r="AI23" s="449">
        <f t="shared" ca="1" si="10"/>
        <v>12209262.840611048</v>
      </c>
      <c r="BC23">
        <f t="shared" si="11"/>
        <v>77</v>
      </c>
      <c r="BD23">
        <f ca="1">IFERROR((VLOOKUP($BC23+2,'NWGC - SCENARIOS'!$B$9:$H$67,7,0)),0)</f>
        <v>22669971.574622657</v>
      </c>
    </row>
    <row r="24" spans="1:56" x14ac:dyDescent="0.3">
      <c r="A24">
        <f>'Yoy WAR OG'!J25</f>
        <v>70</v>
      </c>
      <c r="B24" s="58">
        <f ca="1">'Yoy WAR OG'!M25</f>
        <v>11298650.778343562</v>
      </c>
      <c r="C24" s="58">
        <f>HLOOKUP('Withdrawal Working'!C$2,'Yoy WAR OG'!$J$3:$FA$79,MATCH('Withdrawal Working'!$A24,'Yoy WAR OG'!$J$3:$J$79,0),0)</f>
        <v>0</v>
      </c>
      <c r="D24" s="58">
        <f t="shared" ca="1" si="12"/>
        <v>11298650.778343562</v>
      </c>
      <c r="E24" s="58">
        <f>HLOOKUP('Withdrawal Working'!E$2,'Yoy WAR OG'!$J$3:$FA$79,MATCH('Withdrawal Working'!$A24,'Yoy WAR OG'!$J$3:$J$79,0),0)</f>
        <v>0</v>
      </c>
      <c r="F24" s="58">
        <f t="shared" ca="1" si="13"/>
        <v>11298650.778343562</v>
      </c>
      <c r="G24" s="58">
        <f>HLOOKUP('Withdrawal Working'!G$2,'Yoy WAR OG'!$J$3:$FA$79,MATCH('Withdrawal Working'!$A24,'Yoy WAR OG'!$J$3:$J$79,0),0)</f>
        <v>0</v>
      </c>
      <c r="H24" s="58">
        <f t="shared" ca="1" si="14"/>
        <v>11298650.778343562</v>
      </c>
      <c r="I24" s="58">
        <f>HLOOKUP('Withdrawal Working'!I$2,'Yoy WAR OG'!$J$3:$FA$79,MATCH('Withdrawal Working'!$A24,'Yoy WAR OG'!$J$3:$J$79,0),0)</f>
        <v>0</v>
      </c>
      <c r="J24" s="58">
        <f t="shared" ca="1" si="15"/>
        <v>11298650.778343562</v>
      </c>
      <c r="K24" s="58">
        <f ca="1">HLOOKUP('Withdrawal Working'!K$2,'Yoy WAR OG'!$J$3:$FA$79,MATCH('Withdrawal Working'!$A24,'Yoy WAR OG'!$J$3:$J$79,0),0)</f>
        <v>11298650.778343562</v>
      </c>
      <c r="L24" s="58">
        <f t="shared" ca="1" si="16"/>
        <v>0</v>
      </c>
      <c r="M24" s="58">
        <f ca="1">HLOOKUP('Withdrawal Working'!M$2,'Yoy WAR OG'!$J$3:$FA$79,MATCH('Withdrawal Working'!$A24,'Yoy WAR OG'!$J$3:$J$79,0),0)</f>
        <v>13192723.867859932</v>
      </c>
      <c r="N24" s="58">
        <f t="shared" ca="1" si="17"/>
        <v>-13192723.867859932</v>
      </c>
      <c r="O24" s="58">
        <f>HLOOKUP('Withdrawal Working'!O$2,'Yoy WAR OG'!$J$3:$FA$79,MATCH('Withdrawal Working'!$A24,'Yoy WAR OG'!$J$3:$J$79,0),0)</f>
        <v>0</v>
      </c>
      <c r="P24" s="58">
        <f t="shared" ca="1" si="18"/>
        <v>-13192723.867859932</v>
      </c>
      <c r="Q24" s="58">
        <f>HLOOKUP('Withdrawal Working'!Q$2,'Yoy WAR OG'!$J$3:$FA$79,MATCH('Withdrawal Working'!$A24,'Yoy WAR OG'!$J$3:$J$79,0),0)</f>
        <v>0</v>
      </c>
      <c r="R24" s="58">
        <f t="shared" ca="1" si="19"/>
        <v>-13192723.867859932</v>
      </c>
      <c r="S24" s="58">
        <f>HLOOKUP('Withdrawal Working'!S$2,'Yoy WAR OG'!$J$3:$FA$79,MATCH('Withdrawal Working'!$A24,'Yoy WAR OG'!$J$3:$J$79,0),0)</f>
        <v>0</v>
      </c>
      <c r="T24" s="58">
        <f t="shared" ca="1" si="20"/>
        <v>-13192723.867859932</v>
      </c>
      <c r="U24" s="58">
        <f>HLOOKUP('Withdrawal Working'!U$2,'Yoy WAR OG'!$J$3:$FA$79,MATCH('Withdrawal Working'!$A24,'Yoy WAR OG'!$J$3:$J$79,0),0)</f>
        <v>0</v>
      </c>
      <c r="V24" s="58">
        <f t="shared" ca="1" si="21"/>
        <v>-13192723.867859932</v>
      </c>
      <c r="AD24">
        <f>'Yoy WAR OG'!K25</f>
        <v>2046</v>
      </c>
      <c r="AE24">
        <f ca="1">IF(AD24&lt;VLOOKUP('NWGC - SCENARIOS'!$D$7,'NWGC - SCENARIOS'!$B$11:$C$67,2,0),IF(V24&lt;0,-V24,0),IF(AI24&gt;0,'Withdrawal Working'!AI24,0))</f>
        <v>13192723.867859934</v>
      </c>
      <c r="AG24">
        <f ca="1">'Yoy WAR OG'!R25+'Yoy WAR OG'!X25+'Yoy WAR OG'!AD25+'Yoy WAR OG'!AJ25+'Yoy WAR OG'!AP25+'Yoy WAR OG'!AV25+'Yoy WAR OG'!BB25+'Yoy WAR OG'!BH25+'Yoy WAR OG'!BN25+'Yoy WAR OG'!BT25+'Yoy WAR OG'!BZ25+'Yoy WAR OG'!CF25+'Yoy WAR OG'!CL25+'Yoy WAR OG'!CR25+'Yoy WAR OG'!CX25+'Yoy WAR OG'!DD25+'Yoy WAR OG'!DJ25+'Yoy WAR OG'!DP25+'Yoy WAR OG'!DV25+'Yoy WAR OG'!EB25+'Yoy WAR OG'!EH25+'Yoy WAR OG'!EN25+'Yoy WAR OG'!ET25+'Yoy WAR OG'!EZ25</f>
        <v>24491374.646203496</v>
      </c>
      <c r="AH24" s="449">
        <f ca="1">'Yoy WAR OG'!M25</f>
        <v>11298650.778343562</v>
      </c>
      <c r="AI24" s="449">
        <f t="shared" ca="1" si="10"/>
        <v>13192723.867859934</v>
      </c>
      <c r="BC24">
        <f t="shared" si="11"/>
        <v>78</v>
      </c>
      <c r="BD24">
        <f ca="1">IFERROR((VLOOKUP($BC24+2,'NWGC - SCENARIOS'!$B$9:$H$67,7,0)),0)</f>
        <v>24490289.300592475</v>
      </c>
    </row>
    <row r="25" spans="1:56" x14ac:dyDescent="0.3">
      <c r="A25">
        <f>'Yoy WAR OG'!J26</f>
        <v>71</v>
      </c>
      <c r="B25" s="58">
        <f ca="1">'Yoy WAR OG'!M26</f>
        <v>12209262.840611048</v>
      </c>
      <c r="C25" s="58">
        <f>HLOOKUP('Withdrawal Working'!C$2,'Yoy WAR OG'!$J$3:$FA$79,MATCH('Withdrawal Working'!$A25,'Yoy WAR OG'!$J$3:$J$79,0),0)</f>
        <v>0</v>
      </c>
      <c r="D25" s="58">
        <f t="shared" ca="1" si="12"/>
        <v>12209262.840611048</v>
      </c>
      <c r="E25" s="58">
        <f>HLOOKUP('Withdrawal Working'!E$2,'Yoy WAR OG'!$J$3:$FA$79,MATCH('Withdrawal Working'!$A25,'Yoy WAR OG'!$J$3:$J$79,0),0)</f>
        <v>0</v>
      </c>
      <c r="F25" s="58">
        <f t="shared" ca="1" si="13"/>
        <v>12209262.840611048</v>
      </c>
      <c r="G25" s="58">
        <f>HLOOKUP('Withdrawal Working'!G$2,'Yoy WAR OG'!$J$3:$FA$79,MATCH('Withdrawal Working'!$A25,'Yoy WAR OG'!$J$3:$J$79,0),0)</f>
        <v>0</v>
      </c>
      <c r="H25" s="58">
        <f t="shared" ca="1" si="14"/>
        <v>12209262.840611048</v>
      </c>
      <c r="I25" s="58">
        <f>HLOOKUP('Withdrawal Working'!I$2,'Yoy WAR OG'!$J$3:$FA$79,MATCH('Withdrawal Working'!$A25,'Yoy WAR OG'!$J$3:$J$79,0),0)</f>
        <v>0</v>
      </c>
      <c r="J25" s="58">
        <f t="shared" ca="1" si="15"/>
        <v>12209262.840611048</v>
      </c>
      <c r="K25" s="58">
        <f ca="1">HLOOKUP('Withdrawal Working'!K$2,'Yoy WAR OG'!$J$3:$FA$79,MATCH('Withdrawal Working'!$A25,'Yoy WAR OG'!$J$3:$J$79,0),0)</f>
        <v>12209262.840611048</v>
      </c>
      <c r="L25" s="58">
        <f t="shared" ca="1" si="16"/>
        <v>0</v>
      </c>
      <c r="M25" s="58">
        <f ca="1">HLOOKUP('Withdrawal Working'!M$2,'Yoy WAR OG'!$J$3:$FA$79,MATCH('Withdrawal Working'!$A25,'Yoy WAR OG'!$J$3:$J$79,0),0)</f>
        <v>14254861.777288727</v>
      </c>
      <c r="N25" s="58">
        <f t="shared" ca="1" si="17"/>
        <v>-14254861.777288727</v>
      </c>
      <c r="O25" s="58">
        <f>HLOOKUP('Withdrawal Working'!O$2,'Yoy WAR OG'!$J$3:$FA$79,MATCH('Withdrawal Working'!$A25,'Yoy WAR OG'!$J$3:$J$79,0),0)</f>
        <v>0</v>
      </c>
      <c r="P25" s="58">
        <f t="shared" ca="1" si="18"/>
        <v>-14254861.777288727</v>
      </c>
      <c r="Q25" s="58">
        <f>HLOOKUP('Withdrawal Working'!Q$2,'Yoy WAR OG'!$J$3:$FA$79,MATCH('Withdrawal Working'!$A25,'Yoy WAR OG'!$J$3:$J$79,0),0)</f>
        <v>0</v>
      </c>
      <c r="R25" s="58">
        <f t="shared" ca="1" si="19"/>
        <v>-14254861.777288727</v>
      </c>
      <c r="S25" s="58">
        <f>HLOOKUP('Withdrawal Working'!S$2,'Yoy WAR OG'!$J$3:$FA$79,MATCH('Withdrawal Working'!$A25,'Yoy WAR OG'!$J$3:$J$79,0),0)</f>
        <v>0</v>
      </c>
      <c r="T25" s="58">
        <f t="shared" ca="1" si="20"/>
        <v>-14254861.777288727</v>
      </c>
      <c r="U25" s="58">
        <f>HLOOKUP('Withdrawal Working'!U$2,'Yoy WAR OG'!$J$3:$FA$79,MATCH('Withdrawal Working'!$A25,'Yoy WAR OG'!$J$3:$J$79,0),0)</f>
        <v>0</v>
      </c>
      <c r="V25" s="58">
        <f t="shared" ca="1" si="21"/>
        <v>-14254861.777288727</v>
      </c>
      <c r="AD25">
        <f>'Yoy WAR OG'!K26</f>
        <v>2047</v>
      </c>
      <c r="AE25">
        <f ca="1">IF(AD25&lt;VLOOKUP('NWGC - SCENARIOS'!$D$7,'NWGC - SCENARIOS'!$B$11:$C$67,2,0),IF(V25&lt;0,-V25,0),IF(AI25&gt;0,'Withdrawal Working'!AI25,0))</f>
        <v>14254861.777288727</v>
      </c>
      <c r="AG25">
        <f ca="1">'Yoy WAR OG'!R26+'Yoy WAR OG'!X26+'Yoy WAR OG'!AD26+'Yoy WAR OG'!AJ26+'Yoy WAR OG'!AP26+'Yoy WAR OG'!AV26+'Yoy WAR OG'!BB26+'Yoy WAR OG'!BH26+'Yoy WAR OG'!BN26+'Yoy WAR OG'!BT26+'Yoy WAR OG'!BZ26+'Yoy WAR OG'!CF26+'Yoy WAR OG'!CL26+'Yoy WAR OG'!CR26+'Yoy WAR OG'!CX26+'Yoy WAR OG'!DD26+'Yoy WAR OG'!DJ26+'Yoy WAR OG'!DP26+'Yoy WAR OG'!DV26+'Yoy WAR OG'!EB26+'Yoy WAR OG'!EH26+'Yoy WAR OG'!EN26+'Yoy WAR OG'!ET26+'Yoy WAR OG'!EZ26</f>
        <v>26464124.617899776</v>
      </c>
      <c r="AH25" s="449">
        <f ca="1">'Yoy WAR OG'!M26</f>
        <v>12209262.840611048</v>
      </c>
      <c r="AI25" s="449">
        <f t="shared" ca="1" si="10"/>
        <v>14254861.777288727</v>
      </c>
      <c r="BC25">
        <f t="shared" si="11"/>
        <v>79</v>
      </c>
      <c r="BD25">
        <f ca="1">IFERROR((VLOOKUP($BC25+2,'NWGC - SCENARIOS'!$B$9:$H$67,7,0)),0)</f>
        <v>25869378.294869103</v>
      </c>
    </row>
    <row r="26" spans="1:56" x14ac:dyDescent="0.3">
      <c r="A26">
        <f>'Yoy WAR OG'!J27</f>
        <v>72</v>
      </c>
      <c r="B26" s="58">
        <f ca="1">'Yoy WAR OG'!M27</f>
        <v>13192723.867859932</v>
      </c>
      <c r="C26" s="58">
        <f>HLOOKUP('Withdrawal Working'!C$2,'Yoy WAR OG'!$J$3:$FA$79,MATCH('Withdrawal Working'!$A26,'Yoy WAR OG'!$J$3:$J$79,0),0)</f>
        <v>0</v>
      </c>
      <c r="D26" s="58">
        <f t="shared" ca="1" si="12"/>
        <v>13192723.867859932</v>
      </c>
      <c r="E26" s="58">
        <f>HLOOKUP('Withdrawal Working'!E$2,'Yoy WAR OG'!$J$3:$FA$79,MATCH('Withdrawal Working'!$A26,'Yoy WAR OG'!$J$3:$J$79,0),0)</f>
        <v>0</v>
      </c>
      <c r="F26" s="58">
        <f t="shared" ca="1" si="13"/>
        <v>13192723.867859932</v>
      </c>
      <c r="G26" s="58">
        <f>HLOOKUP('Withdrawal Working'!G$2,'Yoy WAR OG'!$J$3:$FA$79,MATCH('Withdrawal Working'!$A26,'Yoy WAR OG'!$J$3:$J$79,0),0)</f>
        <v>0</v>
      </c>
      <c r="H26" s="58">
        <f t="shared" ca="1" si="14"/>
        <v>13192723.867859932</v>
      </c>
      <c r="I26" s="58">
        <f>HLOOKUP('Withdrawal Working'!I$2,'Yoy WAR OG'!$J$3:$FA$79,MATCH('Withdrawal Working'!$A26,'Yoy WAR OG'!$J$3:$J$79,0),0)</f>
        <v>0</v>
      </c>
      <c r="J26" s="58">
        <f t="shared" ca="1" si="15"/>
        <v>13192723.867859932</v>
      </c>
      <c r="K26" s="58">
        <f ca="1">HLOOKUP('Withdrawal Working'!K$2,'Yoy WAR OG'!$J$3:$FA$79,MATCH('Withdrawal Working'!$A26,'Yoy WAR OG'!$J$3:$J$79,0),0)</f>
        <v>13192723.867859932</v>
      </c>
      <c r="L26" s="58">
        <f t="shared" ca="1" si="16"/>
        <v>0</v>
      </c>
      <c r="M26" s="58">
        <f ca="1">HLOOKUP('Withdrawal Working'!M$2,'Yoy WAR OG'!$J$3:$FA$79,MATCH('Withdrawal Working'!$A26,'Yoy WAR OG'!$J$3:$J$79,0),0)</f>
        <v>15401970.719471829</v>
      </c>
      <c r="N26" s="58">
        <f t="shared" ca="1" si="17"/>
        <v>-15401970.719471829</v>
      </c>
      <c r="O26" s="58">
        <f>HLOOKUP('Withdrawal Working'!O$2,'Yoy WAR OG'!$J$3:$FA$79,MATCH('Withdrawal Working'!$A26,'Yoy WAR OG'!$J$3:$J$79,0),0)</f>
        <v>0</v>
      </c>
      <c r="P26" s="58">
        <f t="shared" ca="1" si="18"/>
        <v>-15401970.719471829</v>
      </c>
      <c r="Q26" s="58">
        <f>HLOOKUP('Withdrawal Working'!Q$2,'Yoy WAR OG'!$J$3:$FA$79,MATCH('Withdrawal Working'!$A26,'Yoy WAR OG'!$J$3:$J$79,0),0)</f>
        <v>0</v>
      </c>
      <c r="R26" s="58">
        <f t="shared" ca="1" si="19"/>
        <v>-15401970.719471829</v>
      </c>
      <c r="S26" s="58">
        <f>HLOOKUP('Withdrawal Working'!S$2,'Yoy WAR OG'!$J$3:$FA$79,MATCH('Withdrawal Working'!$A26,'Yoy WAR OG'!$J$3:$J$79,0),0)</f>
        <v>0</v>
      </c>
      <c r="T26" s="58">
        <f t="shared" ca="1" si="20"/>
        <v>-15401970.719471829</v>
      </c>
      <c r="U26" s="58">
        <f>HLOOKUP('Withdrawal Working'!U$2,'Yoy WAR OG'!$J$3:$FA$79,MATCH('Withdrawal Working'!$A26,'Yoy WAR OG'!$J$3:$J$79,0),0)</f>
        <v>0</v>
      </c>
      <c r="V26" s="58">
        <f t="shared" ca="1" si="21"/>
        <v>-15401970.719471829</v>
      </c>
      <c r="AD26">
        <f>'Yoy WAR OG'!K27</f>
        <v>2048</v>
      </c>
      <c r="AE26">
        <f ca="1">IF(AD26&lt;VLOOKUP('NWGC - SCENARIOS'!$D$7,'NWGC - SCENARIOS'!$B$11:$C$67,2,0),IF(V26&lt;0,-V26,0),IF(AI26&gt;0,'Withdrawal Working'!AI26,0))</f>
        <v>15401970.719471829</v>
      </c>
      <c r="AG26">
        <f ca="1">'Yoy WAR OG'!R27+'Yoy WAR OG'!X27+'Yoy WAR OG'!AD27+'Yoy WAR OG'!AJ27+'Yoy WAR OG'!AP27+'Yoy WAR OG'!AV27+'Yoy WAR OG'!BB27+'Yoy WAR OG'!BH27+'Yoy WAR OG'!BN27+'Yoy WAR OG'!BT27+'Yoy WAR OG'!BZ27+'Yoy WAR OG'!CF27+'Yoy WAR OG'!CL27+'Yoy WAR OG'!CR27+'Yoy WAR OG'!CX27+'Yoy WAR OG'!DD27+'Yoy WAR OG'!DJ27+'Yoy WAR OG'!DP27+'Yoy WAR OG'!DV27+'Yoy WAR OG'!EB27+'Yoy WAR OG'!EH27+'Yoy WAR OG'!EN27+'Yoy WAR OG'!ET27+'Yoy WAR OG'!EZ27</f>
        <v>28594694.587331761</v>
      </c>
      <c r="AH26" s="449">
        <f ca="1">'Yoy WAR OG'!M27</f>
        <v>13192723.867859932</v>
      </c>
      <c r="AI26" s="449">
        <f t="shared" ca="1" si="10"/>
        <v>15401970.719471829</v>
      </c>
      <c r="BC26">
        <f t="shared" ref="BC26:BC46" si="22">BC25+1</f>
        <v>80</v>
      </c>
      <c r="BD26">
        <f ca="1">IFERROR((VLOOKUP($BC26+2,'NWGC - SCENARIOS'!$B$9:$H$67,7,0)),0)</f>
        <v>27945648.558458634</v>
      </c>
    </row>
    <row r="27" spans="1:56" x14ac:dyDescent="0.3">
      <c r="A27">
        <f>'Yoy WAR OG'!J28</f>
        <v>73</v>
      </c>
      <c r="B27" s="58">
        <f ca="1">'Yoy WAR OG'!M28</f>
        <v>14254861.777288727</v>
      </c>
      <c r="C27" s="58">
        <f>HLOOKUP('Withdrawal Working'!C$2,'Yoy WAR OG'!$J$3:$FA$79,MATCH('Withdrawal Working'!$A27,'Yoy WAR OG'!$J$3:$J$79,0),0)</f>
        <v>0</v>
      </c>
      <c r="D27" s="58">
        <f t="shared" ca="1" si="12"/>
        <v>14254861.777288727</v>
      </c>
      <c r="E27" s="58">
        <f>HLOOKUP('Withdrawal Working'!E$2,'Yoy WAR OG'!$J$3:$FA$79,MATCH('Withdrawal Working'!$A27,'Yoy WAR OG'!$J$3:$J$79,0),0)</f>
        <v>0</v>
      </c>
      <c r="F27" s="58">
        <f t="shared" ca="1" si="13"/>
        <v>14254861.777288727</v>
      </c>
      <c r="G27" s="58">
        <f>HLOOKUP('Withdrawal Working'!G$2,'Yoy WAR OG'!$J$3:$FA$79,MATCH('Withdrawal Working'!$A27,'Yoy WAR OG'!$J$3:$J$79,0),0)</f>
        <v>0</v>
      </c>
      <c r="H27" s="58">
        <f t="shared" ca="1" si="14"/>
        <v>14254861.777288727</v>
      </c>
      <c r="I27" s="58">
        <f>HLOOKUP('Withdrawal Working'!I$2,'Yoy WAR OG'!$J$3:$FA$79,MATCH('Withdrawal Working'!$A27,'Yoy WAR OG'!$J$3:$J$79,0),0)</f>
        <v>0</v>
      </c>
      <c r="J27" s="58">
        <f t="shared" ca="1" si="15"/>
        <v>14254861.777288727</v>
      </c>
      <c r="K27" s="58">
        <f ca="1">HLOOKUP('Withdrawal Working'!K$2,'Yoy WAR OG'!$J$3:$FA$79,MATCH('Withdrawal Working'!$A27,'Yoy WAR OG'!$J$3:$J$79,0),0)</f>
        <v>14254861.777288727</v>
      </c>
      <c r="L27" s="58">
        <f t="shared" ca="1" si="16"/>
        <v>0</v>
      </c>
      <c r="M27" s="58">
        <f ca="1">HLOOKUP('Withdrawal Working'!M$2,'Yoy WAR OG'!$J$3:$FA$79,MATCH('Withdrawal Working'!$A27,'Yoy WAR OG'!$J$3:$J$79,0),0)</f>
        <v>16640848.377029575</v>
      </c>
      <c r="N27" s="58">
        <f t="shared" ca="1" si="17"/>
        <v>-16640848.377029575</v>
      </c>
      <c r="O27" s="58">
        <f>HLOOKUP('Withdrawal Working'!O$2,'Yoy WAR OG'!$J$3:$FA$79,MATCH('Withdrawal Working'!$A27,'Yoy WAR OG'!$J$3:$J$79,0),0)</f>
        <v>0</v>
      </c>
      <c r="P27" s="58">
        <f t="shared" ca="1" si="18"/>
        <v>-16640848.377029575</v>
      </c>
      <c r="Q27" s="58">
        <f>HLOOKUP('Withdrawal Working'!Q$2,'Yoy WAR OG'!$J$3:$FA$79,MATCH('Withdrawal Working'!$A27,'Yoy WAR OG'!$J$3:$J$79,0),0)</f>
        <v>0</v>
      </c>
      <c r="R27" s="58">
        <f t="shared" ca="1" si="19"/>
        <v>-16640848.377029575</v>
      </c>
      <c r="S27" s="58">
        <f>HLOOKUP('Withdrawal Working'!S$2,'Yoy WAR OG'!$J$3:$FA$79,MATCH('Withdrawal Working'!$A27,'Yoy WAR OG'!$J$3:$J$79,0),0)</f>
        <v>0</v>
      </c>
      <c r="T27" s="58">
        <f t="shared" ca="1" si="20"/>
        <v>-16640848.377029575</v>
      </c>
      <c r="U27" s="58">
        <f>HLOOKUP('Withdrawal Working'!U$2,'Yoy WAR OG'!$J$3:$FA$79,MATCH('Withdrawal Working'!$A27,'Yoy WAR OG'!$J$3:$J$79,0),0)</f>
        <v>0</v>
      </c>
      <c r="V27" s="58">
        <f t="shared" ca="1" si="21"/>
        <v>-16640848.377029575</v>
      </c>
      <c r="AD27">
        <f>'Yoy WAR OG'!K28</f>
        <v>2049</v>
      </c>
      <c r="AE27">
        <f ca="1">IF(AD27&lt;VLOOKUP('NWGC - SCENARIOS'!$D$7,'NWGC - SCENARIOS'!$B$11:$C$67,2,0),IF(V27&lt;0,-V27,0),IF(AI27&gt;0,'Withdrawal Working'!AI27,0))</f>
        <v>16640848.377029575</v>
      </c>
      <c r="AG27">
        <f ca="1">'Yoy WAR OG'!R28+'Yoy WAR OG'!X28+'Yoy WAR OG'!AD28+'Yoy WAR OG'!AJ28+'Yoy WAR OG'!AP28+'Yoy WAR OG'!AV28+'Yoy WAR OG'!BB28+'Yoy WAR OG'!BH28+'Yoy WAR OG'!BN28+'Yoy WAR OG'!BT28+'Yoy WAR OG'!BZ28+'Yoy WAR OG'!CF28+'Yoy WAR OG'!CL28+'Yoy WAR OG'!CR28+'Yoy WAR OG'!CX28+'Yoy WAR OG'!DD28+'Yoy WAR OG'!DJ28+'Yoy WAR OG'!DP28+'Yoy WAR OG'!DV28+'Yoy WAR OG'!EB28+'Yoy WAR OG'!EH28+'Yoy WAR OG'!EN28+'Yoy WAR OG'!ET28+'Yoy WAR OG'!EZ28</f>
        <v>30895710.154318303</v>
      </c>
      <c r="AH27" s="449">
        <f ca="1">'Yoy WAR OG'!M28</f>
        <v>14254861.777288727</v>
      </c>
      <c r="AI27" s="449">
        <f t="shared" ca="1" si="10"/>
        <v>16640848.377029575</v>
      </c>
      <c r="BC27">
        <f t="shared" si="22"/>
        <v>81</v>
      </c>
      <c r="BD27">
        <f ca="1">IFERROR((VLOOKUP($BC27+2,'NWGC - SCENARIOS'!$B$9:$H$67,7,0)),0)</f>
        <v>30188020.443135325</v>
      </c>
    </row>
    <row r="28" spans="1:56" x14ac:dyDescent="0.3">
      <c r="A28">
        <f>'Yoy WAR OG'!J29</f>
        <v>74</v>
      </c>
      <c r="B28" s="58">
        <f ca="1">'Yoy WAR OG'!M29</f>
        <v>15401970.719471829</v>
      </c>
      <c r="C28" s="58">
        <f>HLOOKUP('Withdrawal Working'!C$2,'Yoy WAR OG'!$J$3:$FA$79,MATCH('Withdrawal Working'!$A28,'Yoy WAR OG'!$J$3:$J$79,0),0)</f>
        <v>0</v>
      </c>
      <c r="D28" s="58">
        <f t="shared" ca="1" si="12"/>
        <v>15401970.719471829</v>
      </c>
      <c r="E28" s="58">
        <f>HLOOKUP('Withdrawal Working'!E$2,'Yoy WAR OG'!$J$3:$FA$79,MATCH('Withdrawal Working'!$A28,'Yoy WAR OG'!$J$3:$J$79,0),0)</f>
        <v>0</v>
      </c>
      <c r="F28" s="58">
        <f t="shared" ca="1" si="13"/>
        <v>15401970.719471829</v>
      </c>
      <c r="G28" s="58">
        <f>HLOOKUP('Withdrawal Working'!G$2,'Yoy WAR OG'!$J$3:$FA$79,MATCH('Withdrawal Working'!$A28,'Yoy WAR OG'!$J$3:$J$79,0),0)</f>
        <v>0</v>
      </c>
      <c r="H28" s="58">
        <f t="shared" ca="1" si="14"/>
        <v>15401970.719471829</v>
      </c>
      <c r="I28" s="58">
        <f>HLOOKUP('Withdrawal Working'!I$2,'Yoy WAR OG'!$J$3:$FA$79,MATCH('Withdrawal Working'!$A28,'Yoy WAR OG'!$J$3:$J$79,0),0)</f>
        <v>0</v>
      </c>
      <c r="J28" s="58">
        <f t="shared" ca="1" si="15"/>
        <v>15401970.719471829</v>
      </c>
      <c r="K28" s="58">
        <f ca="1">HLOOKUP('Withdrawal Working'!K$2,'Yoy WAR OG'!$J$3:$FA$79,MATCH('Withdrawal Working'!$A28,'Yoy WAR OG'!$J$3:$J$79,0),0)</f>
        <v>15401970.719471829</v>
      </c>
      <c r="L28" s="58">
        <f t="shared" ca="1" si="16"/>
        <v>0</v>
      </c>
      <c r="M28" s="58">
        <f ca="1">HLOOKUP('Withdrawal Working'!M$2,'Yoy WAR OG'!$J$3:$FA$79,MATCH('Withdrawal Working'!$A28,'Yoy WAR OG'!$J$3:$J$79,0),0)</f>
        <v>17978836.247191936</v>
      </c>
      <c r="N28" s="58">
        <f t="shared" ca="1" si="17"/>
        <v>-17978836.247191936</v>
      </c>
      <c r="O28" s="58">
        <f>HLOOKUP('Withdrawal Working'!O$2,'Yoy WAR OG'!$J$3:$FA$79,MATCH('Withdrawal Working'!$A28,'Yoy WAR OG'!$J$3:$J$79,0),0)</f>
        <v>0</v>
      </c>
      <c r="P28" s="58">
        <f t="shared" ca="1" si="18"/>
        <v>-17978836.247191936</v>
      </c>
      <c r="Q28" s="58">
        <f>HLOOKUP('Withdrawal Working'!Q$2,'Yoy WAR OG'!$J$3:$FA$79,MATCH('Withdrawal Working'!$A28,'Yoy WAR OG'!$J$3:$J$79,0),0)</f>
        <v>0</v>
      </c>
      <c r="R28" s="58">
        <f t="shared" ca="1" si="19"/>
        <v>-17978836.247191936</v>
      </c>
      <c r="S28" s="58">
        <f>HLOOKUP('Withdrawal Working'!S$2,'Yoy WAR OG'!$J$3:$FA$79,MATCH('Withdrawal Working'!$A28,'Yoy WAR OG'!$J$3:$J$79,0),0)</f>
        <v>0</v>
      </c>
      <c r="T28" s="58">
        <f t="shared" ca="1" si="20"/>
        <v>-17978836.247191936</v>
      </c>
      <c r="U28" s="58">
        <f>HLOOKUP('Withdrawal Working'!U$2,'Yoy WAR OG'!$J$3:$FA$79,MATCH('Withdrawal Working'!$A28,'Yoy WAR OG'!$J$3:$J$79,0),0)</f>
        <v>0</v>
      </c>
      <c r="V28" s="58">
        <f t="shared" ca="1" si="21"/>
        <v>-17978836.247191936</v>
      </c>
      <c r="AD28">
        <f>'Yoy WAR OG'!K29</f>
        <v>2050</v>
      </c>
      <c r="AE28">
        <f ca="1">IF(AD28&lt;VLOOKUP('NWGC - SCENARIOS'!$D$7,'NWGC - SCENARIOS'!$B$11:$C$67,2,0),IF(V28&lt;0,-V28,0),IF(AI28&gt;0,'Withdrawal Working'!AI28,0))</f>
        <v>17978836.247191936</v>
      </c>
      <c r="AG28">
        <f ca="1">'Yoy WAR OG'!R29+'Yoy WAR OG'!X29+'Yoy WAR OG'!AD29+'Yoy WAR OG'!AJ29+'Yoy WAR OG'!AP29+'Yoy WAR OG'!AV29+'Yoy WAR OG'!BB29+'Yoy WAR OG'!BH29+'Yoy WAR OG'!BN29+'Yoy WAR OG'!BT29+'Yoy WAR OG'!BZ29+'Yoy WAR OG'!CF29+'Yoy WAR OG'!CL29+'Yoy WAR OG'!CR29+'Yoy WAR OG'!CX29+'Yoy WAR OG'!DD29+'Yoy WAR OG'!DJ29+'Yoy WAR OG'!DP29+'Yoy WAR OG'!DV29+'Yoy WAR OG'!EB29+'Yoy WAR OG'!EH29+'Yoy WAR OG'!EN29+'Yoy WAR OG'!ET29+'Yoy WAR OG'!EZ29</f>
        <v>33380806.966663763</v>
      </c>
      <c r="AH28" s="449">
        <f ca="1">'Yoy WAR OG'!M29</f>
        <v>15401970.719471829</v>
      </c>
      <c r="AI28" s="449">
        <f t="shared" ca="1" si="10"/>
        <v>17978836.247191936</v>
      </c>
      <c r="BC28">
        <f t="shared" si="22"/>
        <v>82</v>
      </c>
      <c r="BD28">
        <f ca="1">IFERROR((VLOOKUP($BC28+2,'NWGC - SCENARIOS'!$B$9:$H$67,7,0)),0)</f>
        <v>32609782.078586154</v>
      </c>
    </row>
    <row r="29" spans="1:56" x14ac:dyDescent="0.3">
      <c r="A29">
        <f>'Yoy WAR OG'!J30</f>
        <v>75</v>
      </c>
      <c r="B29" s="58">
        <f ca="1">'Yoy WAR OG'!M30</f>
        <v>16640848.377029575</v>
      </c>
      <c r="C29" s="58">
        <f>HLOOKUP('Withdrawal Working'!C$2,'Yoy WAR OG'!$J$3:$FA$79,MATCH('Withdrawal Working'!$A29,'Yoy WAR OG'!$J$3:$J$79,0),0)</f>
        <v>0</v>
      </c>
      <c r="D29" s="58">
        <f t="shared" ca="1" si="12"/>
        <v>16640848.377029575</v>
      </c>
      <c r="E29" s="58">
        <f>HLOOKUP('Withdrawal Working'!E$2,'Yoy WAR OG'!$J$3:$FA$79,MATCH('Withdrawal Working'!$A29,'Yoy WAR OG'!$J$3:$J$79,0),0)</f>
        <v>0</v>
      </c>
      <c r="F29" s="58">
        <f t="shared" ca="1" si="13"/>
        <v>16640848.377029575</v>
      </c>
      <c r="G29" s="58">
        <f>HLOOKUP('Withdrawal Working'!G$2,'Yoy WAR OG'!$J$3:$FA$79,MATCH('Withdrawal Working'!$A29,'Yoy WAR OG'!$J$3:$J$79,0),0)</f>
        <v>0</v>
      </c>
      <c r="H29" s="58">
        <f t="shared" ca="1" si="14"/>
        <v>16640848.377029575</v>
      </c>
      <c r="I29" s="58">
        <f>HLOOKUP('Withdrawal Working'!I$2,'Yoy WAR OG'!$J$3:$FA$79,MATCH('Withdrawal Working'!$A29,'Yoy WAR OG'!$J$3:$J$79,0),0)</f>
        <v>0</v>
      </c>
      <c r="J29" s="58">
        <f t="shared" ca="1" si="15"/>
        <v>16640848.377029575</v>
      </c>
      <c r="K29" s="58">
        <f ca="1">HLOOKUP('Withdrawal Working'!K$2,'Yoy WAR OG'!$J$3:$FA$79,MATCH('Withdrawal Working'!$A29,'Yoy WAR OG'!$J$3:$J$79,0),0)</f>
        <v>16640848.377029575</v>
      </c>
      <c r="L29" s="58">
        <f t="shared" ca="1" si="16"/>
        <v>0</v>
      </c>
      <c r="M29" s="58">
        <f ca="1">HLOOKUP('Withdrawal Working'!M$2,'Yoy WAR OG'!$J$3:$FA$79,MATCH('Withdrawal Working'!$A29,'Yoy WAR OG'!$J$3:$J$79,0),0)</f>
        <v>19423863.146967296</v>
      </c>
      <c r="N29" s="58">
        <f t="shared" ca="1" si="17"/>
        <v>-19423863.146967296</v>
      </c>
      <c r="O29" s="58">
        <f>HLOOKUP('Withdrawal Working'!O$2,'Yoy WAR OG'!$J$3:$FA$79,MATCH('Withdrawal Working'!$A29,'Yoy WAR OG'!$J$3:$J$79,0),0)</f>
        <v>0</v>
      </c>
      <c r="P29" s="58">
        <f t="shared" ca="1" si="18"/>
        <v>-19423863.146967296</v>
      </c>
      <c r="Q29" s="58">
        <f>HLOOKUP('Withdrawal Working'!Q$2,'Yoy WAR OG'!$J$3:$FA$79,MATCH('Withdrawal Working'!$A29,'Yoy WAR OG'!$J$3:$J$79,0),0)</f>
        <v>0</v>
      </c>
      <c r="R29" s="58">
        <f t="shared" ca="1" si="19"/>
        <v>-19423863.146967296</v>
      </c>
      <c r="S29" s="58">
        <f>HLOOKUP('Withdrawal Working'!S$2,'Yoy WAR OG'!$J$3:$FA$79,MATCH('Withdrawal Working'!$A29,'Yoy WAR OG'!$J$3:$J$79,0),0)</f>
        <v>0</v>
      </c>
      <c r="T29" s="58">
        <f t="shared" ca="1" si="20"/>
        <v>-19423863.146967296</v>
      </c>
      <c r="U29" s="58">
        <f>HLOOKUP('Withdrawal Working'!U$2,'Yoy WAR OG'!$J$3:$FA$79,MATCH('Withdrawal Working'!$A29,'Yoy WAR OG'!$J$3:$J$79,0),0)</f>
        <v>0</v>
      </c>
      <c r="V29" s="58">
        <f t="shared" ca="1" si="21"/>
        <v>-19423863.146967296</v>
      </c>
      <c r="AD29">
        <f>'Yoy WAR OG'!K30</f>
        <v>2051</v>
      </c>
      <c r="AE29">
        <f ca="1">IF(AD29&lt;VLOOKUP('NWGC - SCENARIOS'!$D$7,'NWGC - SCENARIOS'!$B$11:$C$67,2,0),IF(V29&lt;0,-V29,0),IF(AI29&gt;0,'Withdrawal Working'!AI29,0))</f>
        <v>19423863.146967299</v>
      </c>
      <c r="AG29">
        <f ca="1">'Yoy WAR OG'!R30+'Yoy WAR OG'!X30+'Yoy WAR OG'!AD30+'Yoy WAR OG'!AJ30+'Yoy WAR OG'!AP30+'Yoy WAR OG'!AV30+'Yoy WAR OG'!BB30+'Yoy WAR OG'!BH30+'Yoy WAR OG'!BN30+'Yoy WAR OG'!BT30+'Yoy WAR OG'!BZ30+'Yoy WAR OG'!CF30+'Yoy WAR OG'!CL30+'Yoy WAR OG'!CR30+'Yoy WAR OG'!CX30+'Yoy WAR OG'!DD30+'Yoy WAR OG'!DJ30+'Yoy WAR OG'!DP30+'Yoy WAR OG'!DV30+'Yoy WAR OG'!EB30+'Yoy WAR OG'!EH30+'Yoy WAR OG'!EN30+'Yoy WAR OG'!ET30+'Yoy WAR OG'!EZ30</f>
        <v>36064711.523996875</v>
      </c>
      <c r="AH29" s="449">
        <f ca="1">'Yoy WAR OG'!M30</f>
        <v>16640848.377029575</v>
      </c>
      <c r="AI29" s="449">
        <f t="shared" ca="1" si="10"/>
        <v>19423863.146967299</v>
      </c>
      <c r="BC29">
        <f t="shared" si="22"/>
        <v>83</v>
      </c>
      <c r="BD29">
        <f ca="1">IFERROR((VLOOKUP($BC29+2,'NWGC - SCENARIOS'!$B$9:$H$67,7,0)),0)</f>
        <v>35225284.644873053</v>
      </c>
    </row>
    <row r="30" spans="1:56" x14ac:dyDescent="0.3">
      <c r="A30">
        <f>'Yoy WAR OG'!J31</f>
        <v>76</v>
      </c>
      <c r="B30" s="58">
        <f ca="1">'Yoy WAR OG'!M31</f>
        <v>17978836.247191936</v>
      </c>
      <c r="C30" s="58">
        <f>HLOOKUP('Withdrawal Working'!C$2,'Yoy WAR OG'!$J$3:$FA$79,MATCH('Withdrawal Working'!$A30,'Yoy WAR OG'!$J$3:$J$79,0),0)</f>
        <v>0</v>
      </c>
      <c r="D30" s="58">
        <f t="shared" ca="1" si="12"/>
        <v>17978836.247191936</v>
      </c>
      <c r="E30" s="58">
        <f>HLOOKUP('Withdrawal Working'!E$2,'Yoy WAR OG'!$J$3:$FA$79,MATCH('Withdrawal Working'!$A30,'Yoy WAR OG'!$J$3:$J$79,0),0)</f>
        <v>0</v>
      </c>
      <c r="F30" s="58">
        <f t="shared" ca="1" si="13"/>
        <v>17978836.247191936</v>
      </c>
      <c r="G30" s="58">
        <f>HLOOKUP('Withdrawal Working'!G$2,'Yoy WAR OG'!$J$3:$FA$79,MATCH('Withdrawal Working'!$A30,'Yoy WAR OG'!$J$3:$J$79,0),0)</f>
        <v>0</v>
      </c>
      <c r="H30" s="58">
        <f t="shared" ca="1" si="14"/>
        <v>17978836.247191936</v>
      </c>
      <c r="I30" s="58">
        <f>HLOOKUP('Withdrawal Working'!I$2,'Yoy WAR OG'!$J$3:$FA$79,MATCH('Withdrawal Working'!$A30,'Yoy WAR OG'!$J$3:$J$79,0),0)</f>
        <v>0</v>
      </c>
      <c r="J30" s="58">
        <f t="shared" ca="1" si="15"/>
        <v>17978836.247191936</v>
      </c>
      <c r="K30" s="58">
        <f ca="1">HLOOKUP('Withdrawal Working'!K$2,'Yoy WAR OG'!$J$3:$FA$79,MATCH('Withdrawal Working'!$A30,'Yoy WAR OG'!$J$3:$J$79,0),0)</f>
        <v>17978836.247191936</v>
      </c>
      <c r="L30" s="58">
        <f t="shared" ca="1" si="16"/>
        <v>0</v>
      </c>
      <c r="M30" s="58">
        <f ca="1">HLOOKUP('Withdrawal Working'!M$2,'Yoy WAR OG'!$J$3:$FA$79,MATCH('Withdrawal Working'!$A30,'Yoy WAR OG'!$J$3:$J$79,0),0)</f>
        <v>20984492.19872468</v>
      </c>
      <c r="N30" s="58">
        <f t="shared" ca="1" si="17"/>
        <v>-20984492.19872468</v>
      </c>
      <c r="O30" s="58">
        <f>HLOOKUP('Withdrawal Working'!O$2,'Yoy WAR OG'!$J$3:$FA$79,MATCH('Withdrawal Working'!$A30,'Yoy WAR OG'!$J$3:$J$79,0),0)</f>
        <v>0</v>
      </c>
      <c r="P30" s="58">
        <f t="shared" ca="1" si="18"/>
        <v>-20984492.19872468</v>
      </c>
      <c r="Q30" s="58">
        <f>HLOOKUP('Withdrawal Working'!Q$2,'Yoy WAR OG'!$J$3:$FA$79,MATCH('Withdrawal Working'!$A30,'Yoy WAR OG'!$J$3:$J$79,0),0)</f>
        <v>0</v>
      </c>
      <c r="R30" s="58">
        <f t="shared" ca="1" si="19"/>
        <v>-20984492.19872468</v>
      </c>
      <c r="S30" s="58">
        <f>HLOOKUP('Withdrawal Working'!S$2,'Yoy WAR OG'!$J$3:$FA$79,MATCH('Withdrawal Working'!$A30,'Yoy WAR OG'!$J$3:$J$79,0),0)</f>
        <v>0</v>
      </c>
      <c r="T30" s="58">
        <f t="shared" ca="1" si="20"/>
        <v>-20984492.19872468</v>
      </c>
      <c r="U30" s="58">
        <f>HLOOKUP('Withdrawal Working'!U$2,'Yoy WAR OG'!$J$3:$FA$79,MATCH('Withdrawal Working'!$A30,'Yoy WAR OG'!$J$3:$J$79,0),0)</f>
        <v>0</v>
      </c>
      <c r="V30" s="58">
        <f t="shared" ca="1" si="21"/>
        <v>-20984492.19872468</v>
      </c>
      <c r="AD30">
        <f>'Yoy WAR OG'!K31</f>
        <v>2052</v>
      </c>
      <c r="AE30">
        <f ca="1">IF(AD30&lt;VLOOKUP('NWGC - SCENARIOS'!$D$7,'NWGC - SCENARIOS'!$B$11:$C$67,2,0),IF(V30&lt;0,-V30,0),IF(AI30&gt;0,'Withdrawal Working'!AI30,0))</f>
        <v>20984492.19872468</v>
      </c>
      <c r="AG30">
        <f ca="1">'Yoy WAR OG'!R31+'Yoy WAR OG'!X31+'Yoy WAR OG'!AD31+'Yoy WAR OG'!AJ31+'Yoy WAR OG'!AP31+'Yoy WAR OG'!AV31+'Yoy WAR OG'!BB31+'Yoy WAR OG'!BH31+'Yoy WAR OG'!BN31+'Yoy WAR OG'!BT31+'Yoy WAR OG'!BZ31+'Yoy WAR OG'!CF31+'Yoy WAR OG'!CL31+'Yoy WAR OG'!CR31+'Yoy WAR OG'!CX31+'Yoy WAR OG'!DD31+'Yoy WAR OG'!DJ31+'Yoy WAR OG'!DP31+'Yoy WAR OG'!DV31+'Yoy WAR OG'!EB31+'Yoy WAR OG'!EH31+'Yoy WAR OG'!EN31+'Yoy WAR OG'!ET31+'Yoy WAR OG'!EZ31</f>
        <v>38963328.445916615</v>
      </c>
      <c r="AH30" s="449">
        <f ca="1">'Yoy WAR OG'!M31</f>
        <v>17978836.247191936</v>
      </c>
      <c r="AI30" s="449">
        <f t="shared" ca="1" si="10"/>
        <v>20984492.19872468</v>
      </c>
      <c r="BC30">
        <f t="shared" si="22"/>
        <v>84</v>
      </c>
      <c r="BD30">
        <f ca="1">IFERROR((VLOOKUP($BC30+2,'NWGC - SCENARIOS'!$B$9:$H$67,7,0)),0)</f>
        <v>38050027.416462898</v>
      </c>
    </row>
    <row r="31" spans="1:56" x14ac:dyDescent="0.3">
      <c r="A31">
        <f>'Yoy WAR OG'!J32</f>
        <v>77</v>
      </c>
      <c r="B31" s="58">
        <f ca="1">'Yoy WAR OG'!M32</f>
        <v>19423863.146967296</v>
      </c>
      <c r="C31" s="58">
        <f>HLOOKUP('Withdrawal Working'!C$2,'Yoy WAR OG'!$J$3:$FA$79,MATCH('Withdrawal Working'!$A31,'Yoy WAR OG'!$J$3:$J$79,0),0)</f>
        <v>0</v>
      </c>
      <c r="D31" s="58">
        <f t="shared" ca="1" si="12"/>
        <v>19423863.146967296</v>
      </c>
      <c r="E31" s="58">
        <f>HLOOKUP('Withdrawal Working'!E$2,'Yoy WAR OG'!$J$3:$FA$79,MATCH('Withdrawal Working'!$A31,'Yoy WAR OG'!$J$3:$J$79,0),0)</f>
        <v>0</v>
      </c>
      <c r="F31" s="58">
        <f t="shared" ca="1" si="13"/>
        <v>19423863.146967296</v>
      </c>
      <c r="G31" s="58">
        <f>HLOOKUP('Withdrawal Working'!G$2,'Yoy WAR OG'!$J$3:$FA$79,MATCH('Withdrawal Working'!$A31,'Yoy WAR OG'!$J$3:$J$79,0),0)</f>
        <v>0</v>
      </c>
      <c r="H31" s="58">
        <f t="shared" ca="1" si="14"/>
        <v>19423863.146967296</v>
      </c>
      <c r="I31" s="58">
        <f>HLOOKUP('Withdrawal Working'!I$2,'Yoy WAR OG'!$J$3:$FA$79,MATCH('Withdrawal Working'!$A31,'Yoy WAR OG'!$J$3:$J$79,0),0)</f>
        <v>0</v>
      </c>
      <c r="J31" s="58">
        <f t="shared" ca="1" si="15"/>
        <v>19423863.146967296</v>
      </c>
      <c r="K31" s="58">
        <f ca="1">HLOOKUP('Withdrawal Working'!K$2,'Yoy WAR OG'!$J$3:$FA$79,MATCH('Withdrawal Working'!$A31,'Yoy WAR OG'!$J$3:$J$79,0),0)</f>
        <v>19423863.146967296</v>
      </c>
      <c r="L31" s="58">
        <f t="shared" ca="1" si="16"/>
        <v>0</v>
      </c>
      <c r="M31" s="58">
        <f ca="1">HLOOKUP('Withdrawal Working'!M$2,'Yoy WAR OG'!$J$3:$FA$79,MATCH('Withdrawal Working'!$A31,'Yoy WAR OG'!$J$3:$J$79,0),0)</f>
        <v>22669971.574622657</v>
      </c>
      <c r="N31" s="58">
        <f t="shared" ca="1" si="17"/>
        <v>-22669971.574622657</v>
      </c>
      <c r="O31" s="58">
        <f>HLOOKUP('Withdrawal Working'!O$2,'Yoy WAR OG'!$J$3:$FA$79,MATCH('Withdrawal Working'!$A31,'Yoy WAR OG'!$J$3:$J$79,0),0)</f>
        <v>0</v>
      </c>
      <c r="P31" s="58">
        <f t="shared" ca="1" si="18"/>
        <v>-22669971.574622657</v>
      </c>
      <c r="Q31" s="58">
        <f>HLOOKUP('Withdrawal Working'!Q$2,'Yoy WAR OG'!$J$3:$FA$79,MATCH('Withdrawal Working'!$A31,'Yoy WAR OG'!$J$3:$J$79,0),0)</f>
        <v>0</v>
      </c>
      <c r="R31" s="58">
        <f t="shared" ca="1" si="19"/>
        <v>-22669971.574622657</v>
      </c>
      <c r="S31" s="58">
        <f>HLOOKUP('Withdrawal Working'!S$2,'Yoy WAR OG'!$J$3:$FA$79,MATCH('Withdrawal Working'!$A31,'Yoy WAR OG'!$J$3:$J$79,0),0)</f>
        <v>0</v>
      </c>
      <c r="T31" s="58">
        <f t="shared" ca="1" si="20"/>
        <v>-22669971.574622657</v>
      </c>
      <c r="U31" s="58">
        <f>HLOOKUP('Withdrawal Working'!U$2,'Yoy WAR OG'!$J$3:$FA$79,MATCH('Withdrawal Working'!$A31,'Yoy WAR OG'!$J$3:$J$79,0),0)</f>
        <v>0</v>
      </c>
      <c r="V31" s="58">
        <f t="shared" ca="1" si="21"/>
        <v>-22669971.574622657</v>
      </c>
      <c r="AD31">
        <f>'Yoy WAR OG'!K32</f>
        <v>2053</v>
      </c>
      <c r="AE31">
        <f ca="1">IF(AD31&lt;VLOOKUP('NWGC - SCENARIOS'!$D$7,'NWGC - SCENARIOS'!$B$11:$C$67,2,0),IF(V31&lt;0,-V31,0),IF(AI31&gt;0,'Withdrawal Working'!AI31,0))</f>
        <v>22669971.574622657</v>
      </c>
      <c r="AG31">
        <f ca="1">'Yoy WAR OG'!R32+'Yoy WAR OG'!X32+'Yoy WAR OG'!AD32+'Yoy WAR OG'!AJ32+'Yoy WAR OG'!AP32+'Yoy WAR OG'!AV32+'Yoy WAR OG'!BB32+'Yoy WAR OG'!BH32+'Yoy WAR OG'!BN32+'Yoy WAR OG'!BT32+'Yoy WAR OG'!BZ32+'Yoy WAR OG'!CF32+'Yoy WAR OG'!CL32+'Yoy WAR OG'!CR32+'Yoy WAR OG'!CX32+'Yoy WAR OG'!DD32+'Yoy WAR OG'!DJ32+'Yoy WAR OG'!DP32+'Yoy WAR OG'!DV32+'Yoy WAR OG'!EB32+'Yoy WAR OG'!EH32+'Yoy WAR OG'!EN32+'Yoy WAR OG'!ET32+'Yoy WAR OG'!EZ32</f>
        <v>42093834.721589953</v>
      </c>
      <c r="AH31" s="449">
        <f ca="1">'Yoy WAR OG'!M32</f>
        <v>19423863.146967296</v>
      </c>
      <c r="AI31" s="449">
        <f t="shared" ca="1" si="10"/>
        <v>22669971.574622657</v>
      </c>
      <c r="BC31">
        <f t="shared" si="22"/>
        <v>85</v>
      </c>
      <c r="BD31">
        <f ca="1">IFERROR((VLOOKUP($BC31+2,'NWGC - SCENARIOS'!$B$9:$H$67,7,0)),0)</f>
        <v>41100749.609779932</v>
      </c>
    </row>
    <row r="32" spans="1:56" x14ac:dyDescent="0.3">
      <c r="A32">
        <f>'Yoy WAR OG'!J33</f>
        <v>78</v>
      </c>
      <c r="B32" s="58">
        <f ca="1">'Yoy WAR OG'!M33</f>
        <v>20984492.19872468</v>
      </c>
      <c r="C32" s="58">
        <f>HLOOKUP('Withdrawal Working'!C$2,'Yoy WAR OG'!$J$3:$FA$79,MATCH('Withdrawal Working'!$A32,'Yoy WAR OG'!$J$3:$J$79,0),0)</f>
        <v>0</v>
      </c>
      <c r="D32" s="58">
        <f t="shared" ca="1" si="12"/>
        <v>20984492.19872468</v>
      </c>
      <c r="E32" s="58">
        <f>HLOOKUP('Withdrawal Working'!E$2,'Yoy WAR OG'!$J$3:$FA$79,MATCH('Withdrawal Working'!$A32,'Yoy WAR OG'!$J$3:$J$79,0),0)</f>
        <v>0</v>
      </c>
      <c r="F32" s="58">
        <f t="shared" ca="1" si="13"/>
        <v>20984492.19872468</v>
      </c>
      <c r="G32" s="58">
        <f>HLOOKUP('Withdrawal Working'!G$2,'Yoy WAR OG'!$J$3:$FA$79,MATCH('Withdrawal Working'!$A32,'Yoy WAR OG'!$J$3:$J$79,0),0)</f>
        <v>0</v>
      </c>
      <c r="H32" s="58">
        <f t="shared" ca="1" si="14"/>
        <v>20984492.19872468</v>
      </c>
      <c r="I32" s="58">
        <f>HLOOKUP('Withdrawal Working'!I$2,'Yoy WAR OG'!$J$3:$FA$79,MATCH('Withdrawal Working'!$A32,'Yoy WAR OG'!$J$3:$J$79,0),0)</f>
        <v>0</v>
      </c>
      <c r="J32" s="58">
        <f t="shared" ca="1" si="15"/>
        <v>20984492.19872468</v>
      </c>
      <c r="K32" s="58">
        <f ca="1">HLOOKUP('Withdrawal Working'!K$2,'Yoy WAR OG'!$J$3:$FA$79,MATCH('Withdrawal Working'!$A32,'Yoy WAR OG'!$J$3:$J$79,0),0)</f>
        <v>20984492.19872468</v>
      </c>
      <c r="L32" s="58">
        <f t="shared" ca="1" si="16"/>
        <v>0</v>
      </c>
      <c r="M32" s="58">
        <f ca="1">HLOOKUP('Withdrawal Working'!M$2,'Yoy WAR OG'!$J$3:$FA$79,MATCH('Withdrawal Working'!$A32,'Yoy WAR OG'!$J$3:$J$79,0),0)</f>
        <v>24490289.300592475</v>
      </c>
      <c r="N32" s="58">
        <f t="shared" ca="1" si="17"/>
        <v>-24490289.300592475</v>
      </c>
      <c r="O32" s="58">
        <f>HLOOKUP('Withdrawal Working'!O$2,'Yoy WAR OG'!$J$3:$FA$79,MATCH('Withdrawal Working'!$A32,'Yoy WAR OG'!$J$3:$J$79,0),0)</f>
        <v>0</v>
      </c>
      <c r="P32" s="58">
        <f t="shared" ca="1" si="18"/>
        <v>-24490289.300592475</v>
      </c>
      <c r="Q32" s="58">
        <f>HLOOKUP('Withdrawal Working'!Q$2,'Yoy WAR OG'!$J$3:$FA$79,MATCH('Withdrawal Working'!$A32,'Yoy WAR OG'!$J$3:$J$79,0),0)</f>
        <v>0</v>
      </c>
      <c r="R32" s="58">
        <f t="shared" ca="1" si="19"/>
        <v>-24490289.300592475</v>
      </c>
      <c r="S32" s="58">
        <f>HLOOKUP('Withdrawal Working'!S$2,'Yoy WAR OG'!$J$3:$FA$79,MATCH('Withdrawal Working'!$A32,'Yoy WAR OG'!$J$3:$J$79,0),0)</f>
        <v>0</v>
      </c>
      <c r="T32" s="58">
        <f t="shared" ca="1" si="20"/>
        <v>-24490289.300592475</v>
      </c>
      <c r="U32" s="58">
        <f>HLOOKUP('Withdrawal Working'!U$2,'Yoy WAR OG'!$J$3:$FA$79,MATCH('Withdrawal Working'!$A32,'Yoy WAR OG'!$J$3:$J$79,0),0)</f>
        <v>0</v>
      </c>
      <c r="V32" s="58">
        <f t="shared" ca="1" si="21"/>
        <v>-24490289.300592475</v>
      </c>
      <c r="AD32">
        <f>'Yoy WAR OG'!K33</f>
        <v>2054</v>
      </c>
      <c r="AE32">
        <f ca="1">IF(AD32&lt;VLOOKUP('NWGC - SCENARIOS'!$D$7,'NWGC - SCENARIOS'!$B$11:$C$67,2,0),IF(V32&lt;0,-V32,0),IF(AI32&gt;0,'Withdrawal Working'!AI32,0))</f>
        <v>24490289.300592475</v>
      </c>
      <c r="AG32">
        <f ca="1">'Yoy WAR OG'!R33+'Yoy WAR OG'!X33+'Yoy WAR OG'!AD33+'Yoy WAR OG'!AJ33+'Yoy WAR OG'!AP33+'Yoy WAR OG'!AV33+'Yoy WAR OG'!BB33+'Yoy WAR OG'!BH33+'Yoy WAR OG'!BN33+'Yoy WAR OG'!BT33+'Yoy WAR OG'!BZ33+'Yoy WAR OG'!CF33+'Yoy WAR OG'!CL33+'Yoy WAR OG'!CR33+'Yoy WAR OG'!CX33+'Yoy WAR OG'!DD33+'Yoy WAR OG'!DJ33+'Yoy WAR OG'!DP33+'Yoy WAR OG'!DV33+'Yoy WAR OG'!EB33+'Yoy WAR OG'!EH33+'Yoy WAR OG'!EN33+'Yoy WAR OG'!ET33+'Yoy WAR OG'!EZ33</f>
        <v>45474781.499317154</v>
      </c>
      <c r="AH32" s="449">
        <f ca="1">'Yoy WAR OG'!M33</f>
        <v>20984492.19872468</v>
      </c>
      <c r="AI32" s="449">
        <f t="shared" ca="1" si="10"/>
        <v>24490289.300592475</v>
      </c>
      <c r="BC32">
        <f t="shared" si="22"/>
        <v>86</v>
      </c>
      <c r="BD32">
        <f ca="1">IFERROR((VLOOKUP($BC32+2,'NWGC - SCENARIOS'!$B$9:$H$67,7,0)),0)</f>
        <v>44395529.578562327</v>
      </c>
    </row>
    <row r="33" spans="1:56" x14ac:dyDescent="0.3">
      <c r="A33">
        <f>'Yoy WAR OG'!J34</f>
        <v>79</v>
      </c>
      <c r="B33" s="58">
        <f ca="1">'Yoy WAR OG'!M34</f>
        <v>22669971.574622657</v>
      </c>
      <c r="C33" s="58">
        <f>HLOOKUP('Withdrawal Working'!C$2,'Yoy WAR OG'!$J$3:$FA$79,MATCH('Withdrawal Working'!$A33,'Yoy WAR OG'!$J$3:$J$79,0),0)</f>
        <v>0</v>
      </c>
      <c r="D33" s="58">
        <f t="shared" ca="1" si="12"/>
        <v>22669971.574622657</v>
      </c>
      <c r="E33" s="58">
        <f>HLOOKUP('Withdrawal Working'!E$2,'Yoy WAR OG'!$J$3:$FA$79,MATCH('Withdrawal Working'!$A33,'Yoy WAR OG'!$J$3:$J$79,0),0)</f>
        <v>0</v>
      </c>
      <c r="F33" s="58">
        <f t="shared" ca="1" si="13"/>
        <v>22669971.574622657</v>
      </c>
      <c r="G33" s="58">
        <f>HLOOKUP('Withdrawal Working'!G$2,'Yoy WAR OG'!$J$3:$FA$79,MATCH('Withdrawal Working'!$A33,'Yoy WAR OG'!$J$3:$J$79,0),0)</f>
        <v>0</v>
      </c>
      <c r="H33" s="58">
        <f t="shared" ca="1" si="14"/>
        <v>22669971.574622657</v>
      </c>
      <c r="I33" s="58">
        <f>HLOOKUP('Withdrawal Working'!I$2,'Yoy WAR OG'!$J$3:$FA$79,MATCH('Withdrawal Working'!$A33,'Yoy WAR OG'!$J$3:$J$79,0),0)</f>
        <v>0</v>
      </c>
      <c r="J33" s="58">
        <f t="shared" ca="1" si="15"/>
        <v>22669971.574622657</v>
      </c>
      <c r="K33" s="58">
        <f ca="1">HLOOKUP('Withdrawal Working'!K$2,'Yoy WAR OG'!$J$3:$FA$79,MATCH('Withdrawal Working'!$A33,'Yoy WAR OG'!$J$3:$J$79,0),0)</f>
        <v>22669971.574622657</v>
      </c>
      <c r="L33" s="58">
        <f t="shared" ca="1" si="16"/>
        <v>0</v>
      </c>
      <c r="M33" s="58">
        <f ca="1">HLOOKUP('Withdrawal Working'!M$2,'Yoy WAR OG'!$J$3:$FA$79,MATCH('Withdrawal Working'!$A33,'Yoy WAR OG'!$J$3:$J$79,0),0)</f>
        <v>25869378.294869103</v>
      </c>
      <c r="N33" s="58">
        <f t="shared" ca="1" si="17"/>
        <v>-25869378.294869103</v>
      </c>
      <c r="O33" s="58">
        <f>HLOOKUP('Withdrawal Working'!O$2,'Yoy WAR OG'!$J$3:$FA$79,MATCH('Withdrawal Working'!$A33,'Yoy WAR OG'!$J$3:$J$79,0),0)</f>
        <v>0</v>
      </c>
      <c r="P33" s="58">
        <f t="shared" ca="1" si="18"/>
        <v>-25869378.294869103</v>
      </c>
      <c r="Q33" s="58">
        <f>HLOOKUP('Withdrawal Working'!Q$2,'Yoy WAR OG'!$J$3:$FA$79,MATCH('Withdrawal Working'!$A33,'Yoy WAR OG'!$J$3:$J$79,0),0)</f>
        <v>0</v>
      </c>
      <c r="R33" s="58">
        <f t="shared" ca="1" si="19"/>
        <v>-25869378.294869103</v>
      </c>
      <c r="S33" s="58">
        <f>HLOOKUP('Withdrawal Working'!S$2,'Yoy WAR OG'!$J$3:$FA$79,MATCH('Withdrawal Working'!$A33,'Yoy WAR OG'!$J$3:$J$79,0),0)</f>
        <v>0</v>
      </c>
      <c r="T33" s="58">
        <f t="shared" ca="1" si="20"/>
        <v>-25869378.294869103</v>
      </c>
      <c r="U33" s="58">
        <f>HLOOKUP('Withdrawal Working'!U$2,'Yoy WAR OG'!$J$3:$FA$79,MATCH('Withdrawal Working'!$A33,'Yoy WAR OG'!$J$3:$J$79,0),0)</f>
        <v>0</v>
      </c>
      <c r="V33" s="58">
        <f t="shared" ca="1" si="21"/>
        <v>-25869378.294869103</v>
      </c>
      <c r="AD33">
        <f>'Yoy WAR OG'!K34</f>
        <v>2055</v>
      </c>
      <c r="AE33">
        <f ca="1">IF(AD33&lt;VLOOKUP('NWGC - SCENARIOS'!$D$7,'NWGC - SCENARIOS'!$B$11:$C$67,2,0),IF(V33&lt;0,-V33,0),IF(AI33&gt;0,'Withdrawal Working'!AI33,0))</f>
        <v>25869378.294869099</v>
      </c>
      <c r="AG33">
        <f ca="1">'Yoy WAR OG'!R34+'Yoy WAR OG'!X34+'Yoy WAR OG'!AD34+'Yoy WAR OG'!AJ34+'Yoy WAR OG'!AP34+'Yoy WAR OG'!AV34+'Yoy WAR OG'!BB34+'Yoy WAR OG'!BH34+'Yoy WAR OG'!BN34+'Yoy WAR OG'!BT34+'Yoy WAR OG'!BZ34+'Yoy WAR OG'!CF34+'Yoy WAR OG'!CL34+'Yoy WAR OG'!CR34+'Yoy WAR OG'!CX34+'Yoy WAR OG'!DD34+'Yoy WAR OG'!DJ34+'Yoy WAR OG'!DP34+'Yoy WAR OG'!DV34+'Yoy WAR OG'!EB34+'Yoy WAR OG'!EH34+'Yoy WAR OG'!EN34+'Yoy WAR OG'!ET34+'Yoy WAR OG'!EZ34</f>
        <v>48539349.869491756</v>
      </c>
      <c r="AH33" s="449">
        <f ca="1">'Yoy WAR OG'!M34</f>
        <v>22669971.574622657</v>
      </c>
      <c r="AI33" s="449">
        <f t="shared" ca="1" si="10"/>
        <v>25869378.294869099</v>
      </c>
      <c r="BC33">
        <f t="shared" si="22"/>
        <v>87</v>
      </c>
      <c r="BD33">
        <f ca="1">IFERROR((VLOOKUP($BC33+2,'NWGC - SCENARIOS'!$B$9:$H$67,7,0)),0)</f>
        <v>47953891.944847323</v>
      </c>
    </row>
    <row r="34" spans="1:56" x14ac:dyDescent="0.3">
      <c r="A34">
        <f>'Yoy WAR OG'!J35</f>
        <v>80</v>
      </c>
      <c r="B34" s="58">
        <f ca="1">'Yoy WAR OG'!M35</f>
        <v>24490289.300592475</v>
      </c>
      <c r="C34" s="58">
        <f>HLOOKUP('Withdrawal Working'!C$2,'Yoy WAR OG'!$J$3:$FA$79,MATCH('Withdrawal Working'!$A34,'Yoy WAR OG'!$J$3:$J$79,0),0)</f>
        <v>0</v>
      </c>
      <c r="D34" s="58">
        <f t="shared" ca="1" si="12"/>
        <v>24490289.300592475</v>
      </c>
      <c r="E34" s="58">
        <f>HLOOKUP('Withdrawal Working'!E$2,'Yoy WAR OG'!$J$3:$FA$79,MATCH('Withdrawal Working'!$A34,'Yoy WAR OG'!$J$3:$J$79,0),0)</f>
        <v>0</v>
      </c>
      <c r="F34" s="58">
        <f t="shared" ca="1" si="13"/>
        <v>24490289.300592475</v>
      </c>
      <c r="G34" s="58">
        <f>HLOOKUP('Withdrawal Working'!G$2,'Yoy WAR OG'!$J$3:$FA$79,MATCH('Withdrawal Working'!$A34,'Yoy WAR OG'!$J$3:$J$79,0),0)</f>
        <v>0</v>
      </c>
      <c r="H34" s="58">
        <f t="shared" ca="1" si="14"/>
        <v>24490289.300592475</v>
      </c>
      <c r="I34" s="58">
        <f>HLOOKUP('Withdrawal Working'!I$2,'Yoy WAR OG'!$J$3:$FA$79,MATCH('Withdrawal Working'!$A34,'Yoy WAR OG'!$J$3:$J$79,0),0)</f>
        <v>0</v>
      </c>
      <c r="J34" s="58">
        <f t="shared" ca="1" si="15"/>
        <v>24490289.300592475</v>
      </c>
      <c r="K34" s="58">
        <f ca="1">HLOOKUP('Withdrawal Working'!K$2,'Yoy WAR OG'!$J$3:$FA$79,MATCH('Withdrawal Working'!$A34,'Yoy WAR OG'!$J$3:$J$79,0),0)</f>
        <v>24490289.300592475</v>
      </c>
      <c r="L34" s="58">
        <f t="shared" ca="1" si="16"/>
        <v>0</v>
      </c>
      <c r="M34" s="58">
        <f ca="1">HLOOKUP('Withdrawal Working'!M$2,'Yoy WAR OG'!$J$3:$FA$79,MATCH('Withdrawal Working'!$A34,'Yoy WAR OG'!$J$3:$J$79,0),0)</f>
        <v>27945648.558458634</v>
      </c>
      <c r="N34" s="58">
        <f t="shared" ca="1" si="17"/>
        <v>-27945648.558458634</v>
      </c>
      <c r="O34" s="58">
        <f>HLOOKUP('Withdrawal Working'!O$2,'Yoy WAR OG'!$J$3:$FA$79,MATCH('Withdrawal Working'!$A34,'Yoy WAR OG'!$J$3:$J$79,0),0)</f>
        <v>0</v>
      </c>
      <c r="P34" s="58">
        <f t="shared" ca="1" si="18"/>
        <v>-27945648.558458634</v>
      </c>
      <c r="Q34" s="58">
        <f>HLOOKUP('Withdrawal Working'!Q$2,'Yoy WAR OG'!$J$3:$FA$79,MATCH('Withdrawal Working'!$A34,'Yoy WAR OG'!$J$3:$J$79,0),0)</f>
        <v>0</v>
      </c>
      <c r="R34" s="58">
        <f t="shared" ca="1" si="19"/>
        <v>-27945648.558458634</v>
      </c>
      <c r="S34" s="58">
        <f>HLOOKUP('Withdrawal Working'!S$2,'Yoy WAR OG'!$J$3:$FA$79,MATCH('Withdrawal Working'!$A34,'Yoy WAR OG'!$J$3:$J$79,0),0)</f>
        <v>0</v>
      </c>
      <c r="T34" s="58">
        <f t="shared" ca="1" si="20"/>
        <v>-27945648.558458634</v>
      </c>
      <c r="U34" s="58">
        <f>HLOOKUP('Withdrawal Working'!U$2,'Yoy WAR OG'!$J$3:$FA$79,MATCH('Withdrawal Working'!$A34,'Yoy WAR OG'!$J$3:$J$79,0),0)</f>
        <v>0</v>
      </c>
      <c r="V34" s="58">
        <f t="shared" ca="1" si="21"/>
        <v>-27945648.558458634</v>
      </c>
      <c r="AD34">
        <f>'Yoy WAR OG'!K35</f>
        <v>2056</v>
      </c>
      <c r="AE34">
        <f ca="1">IF(AD34&lt;VLOOKUP('NWGC - SCENARIOS'!$D$7,'NWGC - SCENARIOS'!$B$11:$C$67,2,0),IF(V34&lt;0,-V34,0),IF(AI34&gt;0,'Withdrawal Working'!AI34,0))</f>
        <v>27945648.558458634</v>
      </c>
      <c r="AG34">
        <f ca="1">'Yoy WAR OG'!R35+'Yoy WAR OG'!X35+'Yoy WAR OG'!AD35+'Yoy WAR OG'!AJ35+'Yoy WAR OG'!AP35+'Yoy WAR OG'!AV35+'Yoy WAR OG'!BB35+'Yoy WAR OG'!BH35+'Yoy WAR OG'!BN35+'Yoy WAR OG'!BT35+'Yoy WAR OG'!BZ35+'Yoy WAR OG'!CF35+'Yoy WAR OG'!CL35+'Yoy WAR OG'!CR35+'Yoy WAR OG'!CX35+'Yoy WAR OG'!DD35+'Yoy WAR OG'!DJ35+'Yoy WAR OG'!DP35+'Yoy WAR OG'!DV35+'Yoy WAR OG'!EB35+'Yoy WAR OG'!EH35+'Yoy WAR OG'!EN35+'Yoy WAR OG'!ET35+'Yoy WAR OG'!EZ35</f>
        <v>52435937.859051108</v>
      </c>
      <c r="AH34" s="449">
        <f ca="1">'Yoy WAR OG'!M35</f>
        <v>24490289.300592475</v>
      </c>
      <c r="AI34" s="449">
        <f t="shared" ca="1" si="10"/>
        <v>27945648.558458634</v>
      </c>
      <c r="BC34">
        <f t="shared" si="22"/>
        <v>88</v>
      </c>
      <c r="BD34">
        <f ca="1">IFERROR((VLOOKUP($BC34+2,'NWGC - SCENARIOS'!$B$9:$H$67,7,0)),0)</f>
        <v>51796923.300435111</v>
      </c>
    </row>
    <row r="35" spans="1:56" x14ac:dyDescent="0.3">
      <c r="A35">
        <f>'Yoy WAR OG'!J36</f>
        <v>81</v>
      </c>
      <c r="B35" s="58">
        <f ca="1">'Yoy WAR OG'!M36</f>
        <v>25869378.294869103</v>
      </c>
      <c r="C35" s="58">
        <f>HLOOKUP('Withdrawal Working'!C$2,'Yoy WAR OG'!$J$3:$FA$79,MATCH('Withdrawal Working'!$A35,'Yoy WAR OG'!$J$3:$J$79,0),0)</f>
        <v>0</v>
      </c>
      <c r="D35" s="58">
        <f t="shared" ca="1" si="12"/>
        <v>25869378.294869103</v>
      </c>
      <c r="E35" s="58">
        <f>HLOOKUP('Withdrawal Working'!E$2,'Yoy WAR OG'!$J$3:$FA$79,MATCH('Withdrawal Working'!$A35,'Yoy WAR OG'!$J$3:$J$79,0),0)</f>
        <v>0</v>
      </c>
      <c r="F35" s="58">
        <f t="shared" ca="1" si="13"/>
        <v>25869378.294869103</v>
      </c>
      <c r="G35" s="58">
        <f>HLOOKUP('Withdrawal Working'!G$2,'Yoy WAR OG'!$J$3:$FA$79,MATCH('Withdrawal Working'!$A35,'Yoy WAR OG'!$J$3:$J$79,0),0)</f>
        <v>0</v>
      </c>
      <c r="H35" s="58">
        <f t="shared" ca="1" si="14"/>
        <v>25869378.294869103</v>
      </c>
      <c r="I35" s="58">
        <f>HLOOKUP('Withdrawal Working'!I$2,'Yoy WAR OG'!$J$3:$FA$79,MATCH('Withdrawal Working'!$A35,'Yoy WAR OG'!$J$3:$J$79,0),0)</f>
        <v>0</v>
      </c>
      <c r="J35" s="58">
        <f t="shared" ca="1" si="15"/>
        <v>25869378.294869103</v>
      </c>
      <c r="K35" s="58">
        <f ca="1">HLOOKUP('Withdrawal Working'!K$2,'Yoy WAR OG'!$J$3:$FA$79,MATCH('Withdrawal Working'!$A35,'Yoy WAR OG'!$J$3:$J$79,0),0)</f>
        <v>25869378.294869103</v>
      </c>
      <c r="L35" s="58">
        <f t="shared" ca="1" si="16"/>
        <v>0</v>
      </c>
      <c r="M35" s="58">
        <f ca="1">HLOOKUP('Withdrawal Working'!M$2,'Yoy WAR OG'!$J$3:$FA$79,MATCH('Withdrawal Working'!$A35,'Yoy WAR OG'!$J$3:$J$79,0),0)</f>
        <v>30188020.443135325</v>
      </c>
      <c r="N35" s="58">
        <f t="shared" ca="1" si="17"/>
        <v>-30188020.443135325</v>
      </c>
      <c r="O35" s="58">
        <f>HLOOKUP('Withdrawal Working'!O$2,'Yoy WAR OG'!$J$3:$FA$79,MATCH('Withdrawal Working'!$A35,'Yoy WAR OG'!$J$3:$J$79,0),0)</f>
        <v>0</v>
      </c>
      <c r="P35" s="58">
        <f t="shared" ca="1" si="18"/>
        <v>-30188020.443135325</v>
      </c>
      <c r="Q35" s="58">
        <f>HLOOKUP('Withdrawal Working'!Q$2,'Yoy WAR OG'!$J$3:$FA$79,MATCH('Withdrawal Working'!$A35,'Yoy WAR OG'!$J$3:$J$79,0),0)</f>
        <v>0</v>
      </c>
      <c r="R35" s="58">
        <f t="shared" ca="1" si="19"/>
        <v>-30188020.443135325</v>
      </c>
      <c r="S35" s="58">
        <f>HLOOKUP('Withdrawal Working'!S$2,'Yoy WAR OG'!$J$3:$FA$79,MATCH('Withdrawal Working'!$A35,'Yoy WAR OG'!$J$3:$J$79,0),0)</f>
        <v>0</v>
      </c>
      <c r="T35" s="58">
        <f t="shared" ca="1" si="20"/>
        <v>-30188020.443135325</v>
      </c>
      <c r="U35" s="58">
        <f>HLOOKUP('Withdrawal Working'!U$2,'Yoy WAR OG'!$J$3:$FA$79,MATCH('Withdrawal Working'!$A35,'Yoy WAR OG'!$J$3:$J$79,0),0)</f>
        <v>0</v>
      </c>
      <c r="V35" s="58">
        <f t="shared" ca="1" si="21"/>
        <v>-30188020.443135325</v>
      </c>
      <c r="AD35">
        <f>'Yoy WAR OG'!K36</f>
        <v>2057</v>
      </c>
      <c r="AE35">
        <f ca="1">IF(AD35&lt;VLOOKUP('NWGC - SCENARIOS'!$D$7,'NWGC - SCENARIOS'!$B$11:$C$67,2,0),IF(V35&lt;0,-V35,0),IF(AI35&gt;0,'Withdrawal Working'!AI35,0))</f>
        <v>30188020.443135329</v>
      </c>
      <c r="AG35">
        <f ca="1">'Yoy WAR OG'!R36+'Yoy WAR OG'!X36+'Yoy WAR OG'!AD36+'Yoy WAR OG'!AJ36+'Yoy WAR OG'!AP36+'Yoy WAR OG'!AV36+'Yoy WAR OG'!BB36+'Yoy WAR OG'!BH36+'Yoy WAR OG'!BN36+'Yoy WAR OG'!BT36+'Yoy WAR OG'!BZ36+'Yoy WAR OG'!CF36+'Yoy WAR OG'!CL36+'Yoy WAR OG'!CR36+'Yoy WAR OG'!CX36+'Yoy WAR OG'!DD36+'Yoy WAR OG'!DJ36+'Yoy WAR OG'!DP36+'Yoy WAR OG'!DV36+'Yoy WAR OG'!EB36+'Yoy WAR OG'!EH36+'Yoy WAR OG'!EN36+'Yoy WAR OG'!ET36+'Yoy WAR OG'!EZ36</f>
        <v>56057398.738004431</v>
      </c>
      <c r="AH35" s="449">
        <f ca="1">'Yoy WAR OG'!M36</f>
        <v>25869378.294869103</v>
      </c>
      <c r="AI35" s="449">
        <f t="shared" ca="1" si="10"/>
        <v>30188020.443135329</v>
      </c>
      <c r="BC35">
        <f t="shared" si="22"/>
        <v>89</v>
      </c>
      <c r="BD35">
        <f ca="1">IFERROR((VLOOKUP($BC35+2,'NWGC - SCENARIOS'!$B$9:$H$67,7,0)),0)</f>
        <v>55947397.164469905</v>
      </c>
    </row>
    <row r="36" spans="1:56" x14ac:dyDescent="0.3">
      <c r="A36">
        <f>'Yoy WAR OG'!J37</f>
        <v>82</v>
      </c>
      <c r="B36" s="58">
        <f ca="1">'Yoy WAR OG'!M37</f>
        <v>27945648.558458634</v>
      </c>
      <c r="C36" s="58">
        <f>HLOOKUP('Withdrawal Working'!C$2,'Yoy WAR OG'!$J$3:$FA$79,MATCH('Withdrawal Working'!$A36,'Yoy WAR OG'!$J$3:$J$79,0),0)</f>
        <v>0</v>
      </c>
      <c r="D36" s="58">
        <f t="shared" ca="1" si="12"/>
        <v>27945648.558458634</v>
      </c>
      <c r="E36" s="58">
        <f>HLOOKUP('Withdrawal Working'!E$2,'Yoy WAR OG'!$J$3:$FA$79,MATCH('Withdrawal Working'!$A36,'Yoy WAR OG'!$J$3:$J$79,0),0)</f>
        <v>0</v>
      </c>
      <c r="F36" s="58">
        <f t="shared" ca="1" si="13"/>
        <v>27945648.558458634</v>
      </c>
      <c r="G36" s="58">
        <f>HLOOKUP('Withdrawal Working'!G$2,'Yoy WAR OG'!$J$3:$FA$79,MATCH('Withdrawal Working'!$A36,'Yoy WAR OG'!$J$3:$J$79,0),0)</f>
        <v>0</v>
      </c>
      <c r="H36" s="58">
        <f t="shared" ca="1" si="14"/>
        <v>27945648.558458634</v>
      </c>
      <c r="I36" s="58">
        <f>HLOOKUP('Withdrawal Working'!I$2,'Yoy WAR OG'!$J$3:$FA$79,MATCH('Withdrawal Working'!$A36,'Yoy WAR OG'!$J$3:$J$79,0),0)</f>
        <v>0</v>
      </c>
      <c r="J36" s="58">
        <f t="shared" ca="1" si="15"/>
        <v>27945648.558458634</v>
      </c>
      <c r="K36" s="58">
        <f ca="1">HLOOKUP('Withdrawal Working'!K$2,'Yoy WAR OG'!$J$3:$FA$79,MATCH('Withdrawal Working'!$A36,'Yoy WAR OG'!$J$3:$J$79,0),0)</f>
        <v>27945648.558458634</v>
      </c>
      <c r="L36" s="58">
        <f t="shared" ca="1" si="16"/>
        <v>0</v>
      </c>
      <c r="M36" s="58">
        <f ca="1">HLOOKUP('Withdrawal Working'!M$2,'Yoy WAR OG'!$J$3:$FA$79,MATCH('Withdrawal Working'!$A36,'Yoy WAR OG'!$J$3:$J$79,0),0)</f>
        <v>32609782.078586154</v>
      </c>
      <c r="N36" s="58">
        <f t="shared" ca="1" si="17"/>
        <v>-32609782.078586154</v>
      </c>
      <c r="O36" s="58">
        <f>HLOOKUP('Withdrawal Working'!O$2,'Yoy WAR OG'!$J$3:$FA$79,MATCH('Withdrawal Working'!$A36,'Yoy WAR OG'!$J$3:$J$79,0),0)</f>
        <v>0</v>
      </c>
      <c r="P36" s="58">
        <f t="shared" ca="1" si="18"/>
        <v>-32609782.078586154</v>
      </c>
      <c r="Q36" s="58">
        <f>HLOOKUP('Withdrawal Working'!Q$2,'Yoy WAR OG'!$J$3:$FA$79,MATCH('Withdrawal Working'!$A36,'Yoy WAR OG'!$J$3:$J$79,0),0)</f>
        <v>0</v>
      </c>
      <c r="R36" s="58">
        <f t="shared" ca="1" si="19"/>
        <v>-32609782.078586154</v>
      </c>
      <c r="S36" s="58">
        <f>HLOOKUP('Withdrawal Working'!S$2,'Yoy WAR OG'!$J$3:$FA$79,MATCH('Withdrawal Working'!$A36,'Yoy WAR OG'!$J$3:$J$79,0),0)</f>
        <v>0</v>
      </c>
      <c r="T36" s="58">
        <f t="shared" ca="1" si="20"/>
        <v>-32609782.078586154</v>
      </c>
      <c r="U36" s="58">
        <f>HLOOKUP('Withdrawal Working'!U$2,'Yoy WAR OG'!$J$3:$FA$79,MATCH('Withdrawal Working'!$A36,'Yoy WAR OG'!$J$3:$J$79,0),0)</f>
        <v>0</v>
      </c>
      <c r="V36" s="58">
        <f t="shared" ca="1" si="21"/>
        <v>-32609782.078586154</v>
      </c>
      <c r="AD36">
        <f>'Yoy WAR OG'!K37</f>
        <v>2058</v>
      </c>
      <c r="AE36">
        <f ca="1">IF(AD36&lt;VLOOKUP('NWGC - SCENARIOS'!$D$7,'NWGC - SCENARIOS'!$B$11:$C$67,2,0),IF(V36&lt;0,-V36,0),IF(AI36&gt;0,'Withdrawal Working'!AI36,0))</f>
        <v>32609782.078586154</v>
      </c>
      <c r="AG36">
        <f ca="1">'Yoy WAR OG'!R37+'Yoy WAR OG'!X37+'Yoy WAR OG'!AD37+'Yoy WAR OG'!AJ37+'Yoy WAR OG'!AP37+'Yoy WAR OG'!AV37+'Yoy WAR OG'!BB37+'Yoy WAR OG'!BH37+'Yoy WAR OG'!BN37+'Yoy WAR OG'!BT37+'Yoy WAR OG'!BZ37+'Yoy WAR OG'!CF37+'Yoy WAR OG'!CL37+'Yoy WAR OG'!CR37+'Yoy WAR OG'!CX37+'Yoy WAR OG'!DD37+'Yoy WAR OG'!DJ37+'Yoy WAR OG'!DP37+'Yoy WAR OG'!DV37+'Yoy WAR OG'!EB37+'Yoy WAR OG'!EH37+'Yoy WAR OG'!EN37+'Yoy WAR OG'!ET37+'Yoy WAR OG'!EZ37</f>
        <v>60555430.637044787</v>
      </c>
      <c r="AH36" s="449">
        <f ca="1">'Yoy WAR OG'!M37</f>
        <v>27945648.558458634</v>
      </c>
      <c r="AI36" s="449">
        <f t="shared" ca="1" si="10"/>
        <v>32609782.078586154</v>
      </c>
      <c r="BC36">
        <f t="shared" si="22"/>
        <v>90</v>
      </c>
      <c r="BD36">
        <f ca="1">IFERROR((VLOOKUP($BC36+2,'NWGC - SCENARIOS'!$B$9:$H$67,7,0)),0)</f>
        <v>60429908.937627502</v>
      </c>
    </row>
    <row r="37" spans="1:56" x14ac:dyDescent="0.3">
      <c r="A37">
        <f>'Yoy WAR OG'!J38</f>
        <v>83</v>
      </c>
      <c r="B37" s="58">
        <f ca="1">'Yoy WAR OG'!M38</f>
        <v>30188020.443135325</v>
      </c>
      <c r="C37" s="58">
        <f>HLOOKUP('Withdrawal Working'!C$2,'Yoy WAR OG'!$J$3:$FA$79,MATCH('Withdrawal Working'!$A37,'Yoy WAR OG'!$J$3:$J$79,0),0)</f>
        <v>0</v>
      </c>
      <c r="D37" s="58">
        <f t="shared" ca="1" si="12"/>
        <v>30188020.443135325</v>
      </c>
      <c r="E37" s="58">
        <f>HLOOKUP('Withdrawal Working'!E$2,'Yoy WAR OG'!$J$3:$FA$79,MATCH('Withdrawal Working'!$A37,'Yoy WAR OG'!$J$3:$J$79,0),0)</f>
        <v>0</v>
      </c>
      <c r="F37" s="58">
        <f t="shared" ca="1" si="13"/>
        <v>30188020.443135325</v>
      </c>
      <c r="G37" s="58">
        <f>HLOOKUP('Withdrawal Working'!G$2,'Yoy WAR OG'!$J$3:$FA$79,MATCH('Withdrawal Working'!$A37,'Yoy WAR OG'!$J$3:$J$79,0),0)</f>
        <v>0</v>
      </c>
      <c r="H37" s="58">
        <f t="shared" ca="1" si="14"/>
        <v>30188020.443135325</v>
      </c>
      <c r="I37" s="58">
        <f>HLOOKUP('Withdrawal Working'!I$2,'Yoy WAR OG'!$J$3:$FA$79,MATCH('Withdrawal Working'!$A37,'Yoy WAR OG'!$J$3:$J$79,0),0)</f>
        <v>0</v>
      </c>
      <c r="J37" s="58">
        <f t="shared" ca="1" si="15"/>
        <v>30188020.443135325</v>
      </c>
      <c r="K37" s="58">
        <f ca="1">HLOOKUP('Withdrawal Working'!K$2,'Yoy WAR OG'!$J$3:$FA$79,MATCH('Withdrawal Working'!$A37,'Yoy WAR OG'!$J$3:$J$79,0),0)</f>
        <v>30188020.443135325</v>
      </c>
      <c r="L37" s="58">
        <f t="shared" ca="1" si="16"/>
        <v>0</v>
      </c>
      <c r="M37" s="58">
        <f ca="1">HLOOKUP('Withdrawal Working'!M$2,'Yoy WAR OG'!$J$3:$FA$79,MATCH('Withdrawal Working'!$A37,'Yoy WAR OG'!$J$3:$J$79,0),0)</f>
        <v>35225284.644873053</v>
      </c>
      <c r="N37" s="58">
        <f t="shared" ca="1" si="17"/>
        <v>-35225284.644873053</v>
      </c>
      <c r="O37" s="58">
        <f>HLOOKUP('Withdrawal Working'!O$2,'Yoy WAR OG'!$J$3:$FA$79,MATCH('Withdrawal Working'!$A37,'Yoy WAR OG'!$J$3:$J$79,0),0)</f>
        <v>0</v>
      </c>
      <c r="P37" s="58">
        <f t="shared" ca="1" si="18"/>
        <v>-35225284.644873053</v>
      </c>
      <c r="Q37" s="58">
        <f>HLOOKUP('Withdrawal Working'!Q$2,'Yoy WAR OG'!$J$3:$FA$79,MATCH('Withdrawal Working'!$A37,'Yoy WAR OG'!$J$3:$J$79,0),0)</f>
        <v>0</v>
      </c>
      <c r="R37" s="58">
        <f t="shared" ca="1" si="19"/>
        <v>-35225284.644873053</v>
      </c>
      <c r="S37" s="58">
        <f>HLOOKUP('Withdrawal Working'!S$2,'Yoy WAR OG'!$J$3:$FA$79,MATCH('Withdrawal Working'!$A37,'Yoy WAR OG'!$J$3:$J$79,0),0)</f>
        <v>0</v>
      </c>
      <c r="T37" s="58">
        <f t="shared" ca="1" si="20"/>
        <v>-35225284.644873053</v>
      </c>
      <c r="U37" s="58">
        <f>HLOOKUP('Withdrawal Working'!U$2,'Yoy WAR OG'!$J$3:$FA$79,MATCH('Withdrawal Working'!$A37,'Yoy WAR OG'!$J$3:$J$79,0),0)</f>
        <v>0</v>
      </c>
      <c r="V37" s="58">
        <f t="shared" ca="1" si="21"/>
        <v>-35225284.644873053</v>
      </c>
      <c r="AD37">
        <f>'Yoy WAR OG'!K38</f>
        <v>2059</v>
      </c>
      <c r="AE37">
        <f ca="1">IF(AD37&lt;VLOOKUP('NWGC - SCENARIOS'!$D$7,'NWGC - SCENARIOS'!$B$11:$C$67,2,0),IF(V37&lt;0,-V37,0),IF(AI37&gt;0,'Withdrawal Working'!AI37,0))</f>
        <v>35225284.644873053</v>
      </c>
      <c r="AG37">
        <f ca="1">'Yoy WAR OG'!R38+'Yoy WAR OG'!X38+'Yoy WAR OG'!AD38+'Yoy WAR OG'!AJ38+'Yoy WAR OG'!AP38+'Yoy WAR OG'!AV38+'Yoy WAR OG'!BB38+'Yoy WAR OG'!BH38+'Yoy WAR OG'!BN38+'Yoy WAR OG'!BT38+'Yoy WAR OG'!BZ38+'Yoy WAR OG'!CF38+'Yoy WAR OG'!CL38+'Yoy WAR OG'!CR38+'Yoy WAR OG'!CX38+'Yoy WAR OG'!DD38+'Yoy WAR OG'!DJ38+'Yoy WAR OG'!DP38+'Yoy WAR OG'!DV38+'Yoy WAR OG'!EB38+'Yoy WAR OG'!EH38+'Yoy WAR OG'!EN38+'Yoy WAR OG'!ET38+'Yoy WAR OG'!EZ38</f>
        <v>65413305.088008374</v>
      </c>
      <c r="AH37" s="449">
        <f ca="1">'Yoy WAR OG'!M38</f>
        <v>30188020.443135325</v>
      </c>
      <c r="AI37" s="449">
        <f t="shared" ca="1" si="10"/>
        <v>35225284.644873053</v>
      </c>
      <c r="BC37">
        <f t="shared" si="22"/>
        <v>91</v>
      </c>
      <c r="BD37">
        <f ca="1">IFERROR((VLOOKUP($BC37+2,'NWGC - SCENARIOS'!$B$9:$H$67,7,0)),0)</f>
        <v>65271021.65263772</v>
      </c>
    </row>
    <row r="38" spans="1:56" x14ac:dyDescent="0.3">
      <c r="A38">
        <f>'Yoy WAR OG'!J39</f>
        <v>84</v>
      </c>
      <c r="B38" s="58">
        <f ca="1">'Yoy WAR OG'!M39</f>
        <v>32609782.078586154</v>
      </c>
      <c r="C38" s="58">
        <f>HLOOKUP('Withdrawal Working'!C$2,'Yoy WAR OG'!$J$3:$FA$79,MATCH('Withdrawal Working'!$A38,'Yoy WAR OG'!$J$3:$J$79,0),0)</f>
        <v>0</v>
      </c>
      <c r="D38" s="58">
        <f t="shared" ca="1" si="12"/>
        <v>32609782.078586154</v>
      </c>
      <c r="E38" s="58">
        <f>HLOOKUP('Withdrawal Working'!E$2,'Yoy WAR OG'!$J$3:$FA$79,MATCH('Withdrawal Working'!$A38,'Yoy WAR OG'!$J$3:$J$79,0),0)</f>
        <v>0</v>
      </c>
      <c r="F38" s="58">
        <f t="shared" ca="1" si="13"/>
        <v>32609782.078586154</v>
      </c>
      <c r="G38" s="58">
        <f>HLOOKUP('Withdrawal Working'!G$2,'Yoy WAR OG'!$J$3:$FA$79,MATCH('Withdrawal Working'!$A38,'Yoy WAR OG'!$J$3:$J$79,0),0)</f>
        <v>0</v>
      </c>
      <c r="H38" s="58">
        <f t="shared" ca="1" si="14"/>
        <v>32609782.078586154</v>
      </c>
      <c r="I38" s="58">
        <f>HLOOKUP('Withdrawal Working'!I$2,'Yoy WAR OG'!$J$3:$FA$79,MATCH('Withdrawal Working'!$A38,'Yoy WAR OG'!$J$3:$J$79,0),0)</f>
        <v>0</v>
      </c>
      <c r="J38" s="58">
        <f t="shared" ca="1" si="15"/>
        <v>32609782.078586154</v>
      </c>
      <c r="K38" s="58">
        <f ca="1">HLOOKUP('Withdrawal Working'!K$2,'Yoy WAR OG'!$J$3:$FA$79,MATCH('Withdrawal Working'!$A38,'Yoy WAR OG'!$J$3:$J$79,0),0)</f>
        <v>32609782.078586154</v>
      </c>
      <c r="L38" s="58">
        <f t="shared" ca="1" si="16"/>
        <v>0</v>
      </c>
      <c r="M38" s="58">
        <f ca="1">HLOOKUP('Withdrawal Working'!M$2,'Yoy WAR OG'!$J$3:$FA$79,MATCH('Withdrawal Working'!$A38,'Yoy WAR OG'!$J$3:$J$79,0),0)</f>
        <v>38050027.416462898</v>
      </c>
      <c r="N38" s="58">
        <f t="shared" ca="1" si="17"/>
        <v>-38050027.416462898</v>
      </c>
      <c r="O38" s="58">
        <f>HLOOKUP('Withdrawal Working'!O$2,'Yoy WAR OG'!$J$3:$FA$79,MATCH('Withdrawal Working'!$A38,'Yoy WAR OG'!$J$3:$J$79,0),0)</f>
        <v>0</v>
      </c>
      <c r="P38" s="58">
        <f t="shared" ca="1" si="18"/>
        <v>-38050027.416462898</v>
      </c>
      <c r="Q38" s="58">
        <f>HLOOKUP('Withdrawal Working'!Q$2,'Yoy WAR OG'!$J$3:$FA$79,MATCH('Withdrawal Working'!$A38,'Yoy WAR OG'!$J$3:$J$79,0),0)</f>
        <v>0</v>
      </c>
      <c r="R38" s="58">
        <f t="shared" ca="1" si="19"/>
        <v>-38050027.416462898</v>
      </c>
      <c r="S38" s="58">
        <f>HLOOKUP('Withdrawal Working'!S$2,'Yoy WAR OG'!$J$3:$FA$79,MATCH('Withdrawal Working'!$A38,'Yoy WAR OG'!$J$3:$J$79,0),0)</f>
        <v>0</v>
      </c>
      <c r="T38" s="58">
        <f t="shared" ca="1" si="20"/>
        <v>-38050027.416462898</v>
      </c>
      <c r="U38" s="58">
        <f>HLOOKUP('Withdrawal Working'!U$2,'Yoy WAR OG'!$J$3:$FA$79,MATCH('Withdrawal Working'!$A38,'Yoy WAR OG'!$J$3:$J$79,0),0)</f>
        <v>0</v>
      </c>
      <c r="V38" s="58">
        <f t="shared" ca="1" si="21"/>
        <v>-38050027.416462898</v>
      </c>
      <c r="AD38">
        <f>'Yoy WAR OG'!K39</f>
        <v>2060</v>
      </c>
      <c r="AE38">
        <f ca="1">IF(AD38&lt;VLOOKUP('NWGC - SCENARIOS'!$D$7,'NWGC - SCENARIOS'!$B$11:$C$67,2,0),IF(V38&lt;0,-V38,0),IF(AI38&gt;0,'Withdrawal Working'!AI38,0))</f>
        <v>38050027.416462906</v>
      </c>
      <c r="AG38">
        <f ca="1">'Yoy WAR OG'!R39+'Yoy WAR OG'!X39+'Yoy WAR OG'!AD39+'Yoy WAR OG'!AJ39+'Yoy WAR OG'!AP39+'Yoy WAR OG'!AV39+'Yoy WAR OG'!BB39+'Yoy WAR OG'!BH39+'Yoy WAR OG'!BN39+'Yoy WAR OG'!BT39+'Yoy WAR OG'!BZ39+'Yoy WAR OG'!CF39+'Yoy WAR OG'!CL39+'Yoy WAR OG'!CR39+'Yoy WAR OG'!CX39+'Yoy WAR OG'!DD39+'Yoy WAR OG'!DJ39+'Yoy WAR OG'!DP39+'Yoy WAR OG'!DV39+'Yoy WAR OG'!EB39+'Yoy WAR OG'!EH39+'Yoy WAR OG'!EN39+'Yoy WAR OG'!ET39+'Yoy WAR OG'!EZ39</f>
        <v>70659809.495049059</v>
      </c>
      <c r="AH38" s="449">
        <f ca="1">'Yoy WAR OG'!M39</f>
        <v>32609782.078586154</v>
      </c>
      <c r="AI38" s="449">
        <f t="shared" ca="1" si="10"/>
        <v>38050027.416462906</v>
      </c>
      <c r="BC38">
        <f t="shared" si="22"/>
        <v>92</v>
      </c>
      <c r="BD38">
        <f ca="1">IFERROR((VLOOKUP($BC38+2,'NWGC - SCENARIOS'!$B$9:$H$67,7,0)),0)</f>
        <v>70499423.384848729</v>
      </c>
    </row>
    <row r="39" spans="1:56" x14ac:dyDescent="0.3">
      <c r="A39">
        <f>'Yoy WAR OG'!J40</f>
        <v>85</v>
      </c>
      <c r="B39" s="58">
        <f ca="1">'Yoy WAR OG'!M40</f>
        <v>35225284.644873053</v>
      </c>
      <c r="C39" s="58">
        <f>HLOOKUP('Withdrawal Working'!C$2,'Yoy WAR OG'!$J$3:$FA$79,MATCH('Withdrawal Working'!$A39,'Yoy WAR OG'!$J$3:$J$79,0),0)</f>
        <v>0</v>
      </c>
      <c r="D39" s="58">
        <f t="shared" ca="1" si="12"/>
        <v>35225284.644873053</v>
      </c>
      <c r="E39" s="58">
        <f>HLOOKUP('Withdrawal Working'!E$2,'Yoy WAR OG'!$J$3:$FA$79,MATCH('Withdrawal Working'!$A39,'Yoy WAR OG'!$J$3:$J$79,0),0)</f>
        <v>0</v>
      </c>
      <c r="F39" s="58">
        <f t="shared" ca="1" si="13"/>
        <v>35225284.644873053</v>
      </c>
      <c r="G39" s="58">
        <f>HLOOKUP('Withdrawal Working'!G$2,'Yoy WAR OG'!$J$3:$FA$79,MATCH('Withdrawal Working'!$A39,'Yoy WAR OG'!$J$3:$J$79,0),0)</f>
        <v>0</v>
      </c>
      <c r="H39" s="58">
        <f t="shared" ca="1" si="14"/>
        <v>35225284.644873053</v>
      </c>
      <c r="I39" s="58">
        <f>HLOOKUP('Withdrawal Working'!I$2,'Yoy WAR OG'!$J$3:$FA$79,MATCH('Withdrawal Working'!$A39,'Yoy WAR OG'!$J$3:$J$79,0),0)</f>
        <v>0</v>
      </c>
      <c r="J39" s="58">
        <f t="shared" ca="1" si="15"/>
        <v>35225284.644873053</v>
      </c>
      <c r="K39" s="58">
        <f ca="1">HLOOKUP('Withdrawal Working'!K$2,'Yoy WAR OG'!$J$3:$FA$79,MATCH('Withdrawal Working'!$A39,'Yoy WAR OG'!$J$3:$J$79,0),0)</f>
        <v>35225284.644873053</v>
      </c>
      <c r="L39" s="58">
        <f t="shared" ca="1" si="16"/>
        <v>0</v>
      </c>
      <c r="M39" s="58">
        <f ca="1">HLOOKUP('Withdrawal Working'!M$2,'Yoy WAR OG'!$J$3:$FA$79,MATCH('Withdrawal Working'!$A39,'Yoy WAR OG'!$J$3:$J$79,0),0)</f>
        <v>41100749.609779932</v>
      </c>
      <c r="N39" s="58">
        <f t="shared" ca="1" si="17"/>
        <v>-41100749.609779932</v>
      </c>
      <c r="O39" s="58">
        <f>HLOOKUP('Withdrawal Working'!O$2,'Yoy WAR OG'!$J$3:$FA$79,MATCH('Withdrawal Working'!$A39,'Yoy WAR OG'!$J$3:$J$79,0),0)</f>
        <v>0</v>
      </c>
      <c r="P39" s="58">
        <f t="shared" ca="1" si="18"/>
        <v>-41100749.609779932</v>
      </c>
      <c r="Q39" s="58">
        <f>HLOOKUP('Withdrawal Working'!Q$2,'Yoy WAR OG'!$J$3:$FA$79,MATCH('Withdrawal Working'!$A39,'Yoy WAR OG'!$J$3:$J$79,0),0)</f>
        <v>0</v>
      </c>
      <c r="R39" s="58">
        <f t="shared" ca="1" si="19"/>
        <v>-41100749.609779932</v>
      </c>
      <c r="S39" s="58">
        <f>HLOOKUP('Withdrawal Working'!S$2,'Yoy WAR OG'!$J$3:$FA$79,MATCH('Withdrawal Working'!$A39,'Yoy WAR OG'!$J$3:$J$79,0),0)</f>
        <v>0</v>
      </c>
      <c r="T39" s="58">
        <f t="shared" ca="1" si="20"/>
        <v>-41100749.609779932</v>
      </c>
      <c r="U39" s="58">
        <f>HLOOKUP('Withdrawal Working'!U$2,'Yoy WAR OG'!$J$3:$FA$79,MATCH('Withdrawal Working'!$A39,'Yoy WAR OG'!$J$3:$J$79,0),0)</f>
        <v>0</v>
      </c>
      <c r="V39" s="58">
        <f t="shared" ca="1" si="21"/>
        <v>-41100749.609779932</v>
      </c>
      <c r="AD39">
        <f>'Yoy WAR OG'!K40</f>
        <v>2061</v>
      </c>
      <c r="AE39">
        <f ca="1">IF(AD39&lt;VLOOKUP('NWGC - SCENARIOS'!$D$7,'NWGC - SCENARIOS'!$B$11:$C$67,2,0),IF(V39&lt;0,-V39,0),IF(AI39&gt;0,'Withdrawal Working'!AI39,0))</f>
        <v>41100749.609779924</v>
      </c>
      <c r="AG39">
        <f ca="1">'Yoy WAR OG'!R40+'Yoy WAR OG'!X40+'Yoy WAR OG'!AD40+'Yoy WAR OG'!AJ40+'Yoy WAR OG'!AP40+'Yoy WAR OG'!AV40+'Yoy WAR OG'!BB40+'Yoy WAR OG'!BH40+'Yoy WAR OG'!BN40+'Yoy WAR OG'!BT40+'Yoy WAR OG'!BZ40+'Yoy WAR OG'!CF40+'Yoy WAR OG'!CL40+'Yoy WAR OG'!CR40+'Yoy WAR OG'!CX40+'Yoy WAR OG'!DD40+'Yoy WAR OG'!DJ40+'Yoy WAR OG'!DP40+'Yoy WAR OG'!DV40+'Yoy WAR OG'!EB40+'Yoy WAR OG'!EH40+'Yoy WAR OG'!EN40+'Yoy WAR OG'!ET40+'Yoy WAR OG'!EZ40</f>
        <v>76326034.254652977</v>
      </c>
      <c r="AH39" s="449">
        <f ca="1">'Yoy WAR OG'!M40</f>
        <v>35225284.644873053</v>
      </c>
      <c r="AI39" s="449">
        <f t="shared" ca="1" si="10"/>
        <v>41100749.609779924</v>
      </c>
      <c r="BC39">
        <f t="shared" si="22"/>
        <v>93</v>
      </c>
      <c r="BD39">
        <f ca="1">IFERROR((VLOOKUP($BC39+2,'NWGC - SCENARIOS'!$B$9:$H$67,7,0)),0)</f>
        <v>76146097.255636647</v>
      </c>
    </row>
    <row r="40" spans="1:56" x14ac:dyDescent="0.3">
      <c r="A40">
        <f>'Yoy WAR OG'!J41</f>
        <v>86</v>
      </c>
      <c r="B40" s="58">
        <f ca="1">'Yoy WAR OG'!M41</f>
        <v>38050027.416462898</v>
      </c>
      <c r="C40" s="58">
        <f>HLOOKUP('Withdrawal Working'!C$2,'Yoy WAR OG'!$J$3:$FA$79,MATCH('Withdrawal Working'!$A40,'Yoy WAR OG'!$J$3:$J$79,0),0)</f>
        <v>0</v>
      </c>
      <c r="D40" s="58">
        <f t="shared" ca="1" si="12"/>
        <v>38050027.416462898</v>
      </c>
      <c r="E40" s="58">
        <f>HLOOKUP('Withdrawal Working'!E$2,'Yoy WAR OG'!$J$3:$FA$79,MATCH('Withdrawal Working'!$A40,'Yoy WAR OG'!$J$3:$J$79,0),0)</f>
        <v>0</v>
      </c>
      <c r="F40" s="58">
        <f t="shared" ca="1" si="13"/>
        <v>38050027.416462898</v>
      </c>
      <c r="G40" s="58">
        <f>HLOOKUP('Withdrawal Working'!G$2,'Yoy WAR OG'!$J$3:$FA$79,MATCH('Withdrawal Working'!$A40,'Yoy WAR OG'!$J$3:$J$79,0),0)</f>
        <v>0</v>
      </c>
      <c r="H40" s="58">
        <f t="shared" ca="1" si="14"/>
        <v>38050027.416462898</v>
      </c>
      <c r="I40" s="58">
        <f>HLOOKUP('Withdrawal Working'!I$2,'Yoy WAR OG'!$J$3:$FA$79,MATCH('Withdrawal Working'!$A40,'Yoy WAR OG'!$J$3:$J$79,0),0)</f>
        <v>0</v>
      </c>
      <c r="J40" s="58">
        <f t="shared" ca="1" si="15"/>
        <v>38050027.416462898</v>
      </c>
      <c r="K40" s="58">
        <f ca="1">HLOOKUP('Withdrawal Working'!K$2,'Yoy WAR OG'!$J$3:$FA$79,MATCH('Withdrawal Working'!$A40,'Yoy WAR OG'!$J$3:$J$79,0),0)</f>
        <v>38050027.416462898</v>
      </c>
      <c r="L40" s="58">
        <f t="shared" ca="1" si="16"/>
        <v>0</v>
      </c>
      <c r="M40" s="58">
        <f ca="1">HLOOKUP('Withdrawal Working'!M$2,'Yoy WAR OG'!$J$3:$FA$79,MATCH('Withdrawal Working'!$A40,'Yoy WAR OG'!$J$3:$J$79,0),0)</f>
        <v>44395529.578562327</v>
      </c>
      <c r="N40" s="58">
        <f t="shared" ca="1" si="17"/>
        <v>-44395529.578562327</v>
      </c>
      <c r="O40" s="58">
        <f>HLOOKUP('Withdrawal Working'!O$2,'Yoy WAR OG'!$J$3:$FA$79,MATCH('Withdrawal Working'!$A40,'Yoy WAR OG'!$J$3:$J$79,0),0)</f>
        <v>0</v>
      </c>
      <c r="P40" s="58">
        <f t="shared" ca="1" si="18"/>
        <v>-44395529.578562327</v>
      </c>
      <c r="Q40" s="58">
        <f>HLOOKUP('Withdrawal Working'!Q$2,'Yoy WAR OG'!$J$3:$FA$79,MATCH('Withdrawal Working'!$A40,'Yoy WAR OG'!$J$3:$J$79,0),0)</f>
        <v>0</v>
      </c>
      <c r="R40" s="58">
        <f t="shared" ca="1" si="19"/>
        <v>-44395529.578562327</v>
      </c>
      <c r="S40" s="58">
        <f>HLOOKUP('Withdrawal Working'!S$2,'Yoy WAR OG'!$J$3:$FA$79,MATCH('Withdrawal Working'!$A40,'Yoy WAR OG'!$J$3:$J$79,0),0)</f>
        <v>0</v>
      </c>
      <c r="T40" s="58">
        <f t="shared" ca="1" si="20"/>
        <v>-44395529.578562327</v>
      </c>
      <c r="U40" s="58">
        <f>HLOOKUP('Withdrawal Working'!U$2,'Yoy WAR OG'!$J$3:$FA$79,MATCH('Withdrawal Working'!$A40,'Yoy WAR OG'!$J$3:$J$79,0),0)</f>
        <v>0</v>
      </c>
      <c r="V40" s="58">
        <f t="shared" ca="1" si="21"/>
        <v>-44395529.578562327</v>
      </c>
      <c r="AD40">
        <f>'Yoy WAR OG'!K41</f>
        <v>2062</v>
      </c>
      <c r="AE40">
        <f ca="1">IF(AD40&lt;VLOOKUP('NWGC - SCENARIOS'!$D$7,'NWGC - SCENARIOS'!$B$11:$C$67,2,0),IF(V40&lt;0,-V40,0),IF(AI40&gt;0,'Withdrawal Working'!AI40,0))</f>
        <v>44395529.578562319</v>
      </c>
      <c r="AG40">
        <f ca="1">'Yoy WAR OG'!R41+'Yoy WAR OG'!X41+'Yoy WAR OG'!AD41+'Yoy WAR OG'!AJ41+'Yoy WAR OG'!AP41+'Yoy WAR OG'!AV41+'Yoy WAR OG'!BB41+'Yoy WAR OG'!BH41+'Yoy WAR OG'!BN41+'Yoy WAR OG'!BT41+'Yoy WAR OG'!BZ41+'Yoy WAR OG'!CF41+'Yoy WAR OG'!CL41+'Yoy WAR OG'!CR41+'Yoy WAR OG'!CX41+'Yoy WAR OG'!DD41+'Yoy WAR OG'!DJ41+'Yoy WAR OG'!DP41+'Yoy WAR OG'!DV41+'Yoy WAR OG'!EB41+'Yoy WAR OG'!EH41+'Yoy WAR OG'!EN41+'Yoy WAR OG'!ET41+'Yoy WAR OG'!EZ41</f>
        <v>82445556.995025218</v>
      </c>
      <c r="AH40" s="449">
        <f ca="1">'Yoy WAR OG'!M41</f>
        <v>38050027.416462898</v>
      </c>
      <c r="AI40" s="449">
        <f t="shared" ca="1" si="10"/>
        <v>44395529.578562319</v>
      </c>
      <c r="BC40">
        <f t="shared" si="22"/>
        <v>94</v>
      </c>
      <c r="BD40">
        <f ca="1">IFERROR((VLOOKUP($BC40+2,'NWGC - SCENARIOS'!$B$9:$H$67,7,0)),0)</f>
        <v>82244505.036087587</v>
      </c>
    </row>
    <row r="41" spans="1:56" x14ac:dyDescent="0.3">
      <c r="A41">
        <f>'Yoy WAR OG'!J42</f>
        <v>87</v>
      </c>
      <c r="B41" s="58">
        <f ca="1">'Yoy WAR OG'!M42</f>
        <v>41100749.609779932</v>
      </c>
      <c r="C41" s="58">
        <f>HLOOKUP('Withdrawal Working'!C$2,'Yoy WAR OG'!$J$3:$FA$79,MATCH('Withdrawal Working'!$A41,'Yoy WAR OG'!$J$3:$J$79,0),0)</f>
        <v>0</v>
      </c>
      <c r="D41" s="58">
        <f t="shared" ca="1" si="12"/>
        <v>41100749.609779932</v>
      </c>
      <c r="E41" s="58">
        <f>HLOOKUP('Withdrawal Working'!E$2,'Yoy WAR OG'!$J$3:$FA$79,MATCH('Withdrawal Working'!$A41,'Yoy WAR OG'!$J$3:$J$79,0),0)</f>
        <v>0</v>
      </c>
      <c r="F41" s="58">
        <f t="shared" ca="1" si="13"/>
        <v>41100749.609779932</v>
      </c>
      <c r="G41" s="58">
        <f>HLOOKUP('Withdrawal Working'!G$2,'Yoy WAR OG'!$J$3:$FA$79,MATCH('Withdrawal Working'!$A41,'Yoy WAR OG'!$J$3:$J$79,0),0)</f>
        <v>0</v>
      </c>
      <c r="H41" s="58">
        <f t="shared" ca="1" si="14"/>
        <v>41100749.609779932</v>
      </c>
      <c r="I41" s="58">
        <f>HLOOKUP('Withdrawal Working'!I$2,'Yoy WAR OG'!$J$3:$FA$79,MATCH('Withdrawal Working'!$A41,'Yoy WAR OG'!$J$3:$J$79,0),0)</f>
        <v>0</v>
      </c>
      <c r="J41" s="58">
        <f t="shared" ca="1" si="15"/>
        <v>41100749.609779932</v>
      </c>
      <c r="K41" s="58">
        <f ca="1">HLOOKUP('Withdrawal Working'!K$2,'Yoy WAR OG'!$J$3:$FA$79,MATCH('Withdrawal Working'!$A41,'Yoy WAR OG'!$J$3:$J$79,0),0)</f>
        <v>41100749.609779932</v>
      </c>
      <c r="L41" s="58">
        <f t="shared" ca="1" si="16"/>
        <v>0</v>
      </c>
      <c r="M41" s="58">
        <f ca="1">HLOOKUP('Withdrawal Working'!M$2,'Yoy WAR OG'!$J$3:$FA$79,MATCH('Withdrawal Working'!$A41,'Yoy WAR OG'!$J$3:$J$79,0),0)</f>
        <v>47953891.944847323</v>
      </c>
      <c r="N41" s="58">
        <f t="shared" ca="1" si="17"/>
        <v>-47953891.944847323</v>
      </c>
      <c r="O41" s="58">
        <f>HLOOKUP('Withdrawal Working'!O$2,'Yoy WAR OG'!$J$3:$FA$79,MATCH('Withdrawal Working'!$A41,'Yoy WAR OG'!$J$3:$J$79,0),0)</f>
        <v>0</v>
      </c>
      <c r="P41" s="58">
        <f t="shared" ca="1" si="18"/>
        <v>-47953891.944847323</v>
      </c>
      <c r="Q41" s="58">
        <f>HLOOKUP('Withdrawal Working'!Q$2,'Yoy WAR OG'!$J$3:$FA$79,MATCH('Withdrawal Working'!$A41,'Yoy WAR OG'!$J$3:$J$79,0),0)</f>
        <v>0</v>
      </c>
      <c r="R41" s="58">
        <f t="shared" ca="1" si="19"/>
        <v>-47953891.944847323</v>
      </c>
      <c r="S41" s="58">
        <f>HLOOKUP('Withdrawal Working'!S$2,'Yoy WAR OG'!$J$3:$FA$79,MATCH('Withdrawal Working'!$A41,'Yoy WAR OG'!$J$3:$J$79,0),0)</f>
        <v>0</v>
      </c>
      <c r="T41" s="58">
        <f t="shared" ca="1" si="20"/>
        <v>-47953891.944847323</v>
      </c>
      <c r="U41" s="58">
        <f>HLOOKUP('Withdrawal Working'!U$2,'Yoy WAR OG'!$J$3:$FA$79,MATCH('Withdrawal Working'!$A41,'Yoy WAR OG'!$J$3:$J$79,0),0)</f>
        <v>0</v>
      </c>
      <c r="V41" s="58">
        <f t="shared" ca="1" si="21"/>
        <v>-47953891.944847323</v>
      </c>
      <c r="AD41">
        <f>'Yoy WAR OG'!K42</f>
        <v>2063</v>
      </c>
      <c r="AE41">
        <f ca="1">IF(AD41&lt;VLOOKUP('NWGC - SCENARIOS'!$D$7,'NWGC - SCENARIOS'!$B$11:$C$67,2,0),IF(V41&lt;0,-V41,0),IF(AI41&gt;0,'Withdrawal Working'!AI41,0))</f>
        <v>47953891.944847323</v>
      </c>
      <c r="AG41">
        <f ca="1">'Yoy WAR OG'!R42+'Yoy WAR OG'!X42+'Yoy WAR OG'!AD42+'Yoy WAR OG'!AJ42+'Yoy WAR OG'!AP42+'Yoy WAR OG'!AV42+'Yoy WAR OG'!BB42+'Yoy WAR OG'!BH42+'Yoy WAR OG'!BN42+'Yoy WAR OG'!BT42+'Yoy WAR OG'!BZ42+'Yoy WAR OG'!CF42+'Yoy WAR OG'!CL42+'Yoy WAR OG'!CR42+'Yoy WAR OG'!CX42+'Yoy WAR OG'!DD42+'Yoy WAR OG'!DJ42+'Yoy WAR OG'!DP42+'Yoy WAR OG'!DV42+'Yoy WAR OG'!EB42+'Yoy WAR OG'!EH42+'Yoy WAR OG'!EN42+'Yoy WAR OG'!ET42+'Yoy WAR OG'!EZ42</f>
        <v>89054641.554627255</v>
      </c>
      <c r="AH41" s="449">
        <f ca="1">'Yoy WAR OG'!M42</f>
        <v>41100749.609779932</v>
      </c>
      <c r="AI41" s="449">
        <f t="shared" ca="1" si="10"/>
        <v>47953891.944847323</v>
      </c>
      <c r="BC41">
        <f t="shared" si="22"/>
        <v>95</v>
      </c>
      <c r="BD41">
        <f ca="1">IFERROR((VLOOKUP($BC41+2,'NWGC - SCENARIOS'!$B$9:$H$67,7,0)),0)</f>
        <v>88830785.438974574</v>
      </c>
    </row>
    <row r="42" spans="1:56" x14ac:dyDescent="0.3">
      <c r="A42">
        <f>'Yoy WAR OG'!J43</f>
        <v>88</v>
      </c>
      <c r="B42" s="58">
        <f ca="1">'Yoy WAR OG'!M43</f>
        <v>44395529.578562327</v>
      </c>
      <c r="C42" s="58">
        <f>HLOOKUP('Withdrawal Working'!C$2,'Yoy WAR OG'!$J$3:$FA$79,MATCH('Withdrawal Working'!$A42,'Yoy WAR OG'!$J$3:$J$79,0),0)</f>
        <v>0</v>
      </c>
      <c r="D42" s="58">
        <f t="shared" ca="1" si="12"/>
        <v>44395529.578562327</v>
      </c>
      <c r="E42" s="58">
        <f>HLOOKUP('Withdrawal Working'!E$2,'Yoy WAR OG'!$J$3:$FA$79,MATCH('Withdrawal Working'!$A42,'Yoy WAR OG'!$J$3:$J$79,0),0)</f>
        <v>0</v>
      </c>
      <c r="F42" s="58">
        <f t="shared" ca="1" si="13"/>
        <v>44395529.578562327</v>
      </c>
      <c r="G42" s="58">
        <f>HLOOKUP('Withdrawal Working'!G$2,'Yoy WAR OG'!$J$3:$FA$79,MATCH('Withdrawal Working'!$A42,'Yoy WAR OG'!$J$3:$J$79,0),0)</f>
        <v>0</v>
      </c>
      <c r="H42" s="58">
        <f t="shared" ca="1" si="14"/>
        <v>44395529.578562327</v>
      </c>
      <c r="I42" s="58">
        <f>HLOOKUP('Withdrawal Working'!I$2,'Yoy WAR OG'!$J$3:$FA$79,MATCH('Withdrawal Working'!$A42,'Yoy WAR OG'!$J$3:$J$79,0),0)</f>
        <v>0</v>
      </c>
      <c r="J42" s="58">
        <f t="shared" ca="1" si="15"/>
        <v>44395529.578562327</v>
      </c>
      <c r="K42" s="58">
        <f ca="1">HLOOKUP('Withdrawal Working'!K$2,'Yoy WAR OG'!$J$3:$FA$79,MATCH('Withdrawal Working'!$A42,'Yoy WAR OG'!$J$3:$J$79,0),0)</f>
        <v>44395529.578562327</v>
      </c>
      <c r="L42" s="58">
        <f t="shared" ca="1" si="16"/>
        <v>0</v>
      </c>
      <c r="M42" s="58">
        <f ca="1">HLOOKUP('Withdrawal Working'!M$2,'Yoy WAR OG'!$J$3:$FA$79,MATCH('Withdrawal Working'!$A42,'Yoy WAR OG'!$J$3:$J$79,0),0)</f>
        <v>51796923.300435111</v>
      </c>
      <c r="N42" s="58">
        <f t="shared" ca="1" si="17"/>
        <v>-51796923.300435111</v>
      </c>
      <c r="O42" s="58">
        <f>HLOOKUP('Withdrawal Working'!O$2,'Yoy WAR OG'!$J$3:$FA$79,MATCH('Withdrawal Working'!$A42,'Yoy WAR OG'!$J$3:$J$79,0),0)</f>
        <v>0</v>
      </c>
      <c r="P42" s="58">
        <f t="shared" ca="1" si="18"/>
        <v>-51796923.300435111</v>
      </c>
      <c r="Q42" s="58">
        <f>HLOOKUP('Withdrawal Working'!Q$2,'Yoy WAR OG'!$J$3:$FA$79,MATCH('Withdrawal Working'!$A42,'Yoy WAR OG'!$J$3:$J$79,0),0)</f>
        <v>0</v>
      </c>
      <c r="R42" s="58">
        <f t="shared" ca="1" si="19"/>
        <v>-51796923.300435111</v>
      </c>
      <c r="S42" s="58">
        <f>HLOOKUP('Withdrawal Working'!S$2,'Yoy WAR OG'!$J$3:$FA$79,MATCH('Withdrawal Working'!$A42,'Yoy WAR OG'!$J$3:$J$79,0),0)</f>
        <v>0</v>
      </c>
      <c r="T42" s="58">
        <f t="shared" ca="1" si="20"/>
        <v>-51796923.300435111</v>
      </c>
      <c r="U42" s="58">
        <f>HLOOKUP('Withdrawal Working'!U$2,'Yoy WAR OG'!$J$3:$FA$79,MATCH('Withdrawal Working'!$A42,'Yoy WAR OG'!$J$3:$J$79,0),0)</f>
        <v>0</v>
      </c>
      <c r="V42" s="58">
        <f t="shared" ca="1" si="21"/>
        <v>-51796923.300435111</v>
      </c>
      <c r="AD42">
        <f>'Yoy WAR OG'!K43</f>
        <v>2064</v>
      </c>
      <c r="AE42">
        <f ca="1">IF(AD42&lt;VLOOKUP('NWGC - SCENARIOS'!$D$7,'NWGC - SCENARIOS'!$B$11:$C$67,2,0),IF(V42&lt;0,-V42,0),IF(AI42&gt;0,'Withdrawal Working'!AI42,0))</f>
        <v>51796923.300435118</v>
      </c>
      <c r="AG42">
        <f ca="1">'Yoy WAR OG'!R43+'Yoy WAR OG'!X43+'Yoy WAR OG'!AD43+'Yoy WAR OG'!AJ43+'Yoy WAR OG'!AP43+'Yoy WAR OG'!AV43+'Yoy WAR OG'!BB43+'Yoy WAR OG'!BH43+'Yoy WAR OG'!BN43+'Yoy WAR OG'!BT43+'Yoy WAR OG'!BZ43+'Yoy WAR OG'!CF43+'Yoy WAR OG'!CL43+'Yoy WAR OG'!CR43+'Yoy WAR OG'!CX43+'Yoy WAR OG'!DD43+'Yoy WAR OG'!DJ43+'Yoy WAR OG'!DP43+'Yoy WAR OG'!DV43+'Yoy WAR OG'!EB43+'Yoy WAR OG'!EH43+'Yoy WAR OG'!EN43+'Yoy WAR OG'!ET43+'Yoy WAR OG'!EZ43</f>
        <v>96192452.878997445</v>
      </c>
      <c r="AH42" s="449">
        <f ca="1">'Yoy WAR OG'!M43</f>
        <v>44395529.578562327</v>
      </c>
      <c r="AI42" s="449">
        <f t="shared" ca="1" si="10"/>
        <v>51796923.300435118</v>
      </c>
      <c r="BC42">
        <f t="shared" si="22"/>
        <v>96</v>
      </c>
      <c r="BD42">
        <f ca="1">IFERROR((VLOOKUP($BC42+2,'NWGC - SCENARIOS'!$B$9:$H$67,7,0)),0)</f>
        <v>95943968.274092555</v>
      </c>
    </row>
    <row r="43" spans="1:56" x14ac:dyDescent="0.3">
      <c r="A43">
        <f>'Yoy WAR OG'!J44</f>
        <v>89</v>
      </c>
      <c r="B43" s="58">
        <f ca="1">'Yoy WAR OG'!M44</f>
        <v>47953891.944847323</v>
      </c>
      <c r="C43" s="58">
        <f>HLOOKUP('Withdrawal Working'!C$2,'Yoy WAR OG'!$J$3:$FA$79,MATCH('Withdrawal Working'!$A43,'Yoy WAR OG'!$J$3:$J$79,0),0)</f>
        <v>0</v>
      </c>
      <c r="D43" s="58">
        <f t="shared" ca="1" si="12"/>
        <v>47953891.944847323</v>
      </c>
      <c r="E43" s="58">
        <f>HLOOKUP('Withdrawal Working'!E$2,'Yoy WAR OG'!$J$3:$FA$79,MATCH('Withdrawal Working'!$A43,'Yoy WAR OG'!$J$3:$J$79,0),0)</f>
        <v>0</v>
      </c>
      <c r="F43" s="58">
        <f t="shared" ca="1" si="13"/>
        <v>47953891.944847323</v>
      </c>
      <c r="G43" s="58">
        <f>HLOOKUP('Withdrawal Working'!G$2,'Yoy WAR OG'!$J$3:$FA$79,MATCH('Withdrawal Working'!$A43,'Yoy WAR OG'!$J$3:$J$79,0),0)</f>
        <v>0</v>
      </c>
      <c r="H43" s="58">
        <f t="shared" ca="1" si="14"/>
        <v>47953891.944847323</v>
      </c>
      <c r="I43" s="58">
        <f>HLOOKUP('Withdrawal Working'!I$2,'Yoy WAR OG'!$J$3:$FA$79,MATCH('Withdrawal Working'!$A43,'Yoy WAR OG'!$J$3:$J$79,0),0)</f>
        <v>0</v>
      </c>
      <c r="J43" s="58">
        <f t="shared" ca="1" si="15"/>
        <v>47953891.944847323</v>
      </c>
      <c r="K43" s="58">
        <f ca="1">HLOOKUP('Withdrawal Working'!K$2,'Yoy WAR OG'!$J$3:$FA$79,MATCH('Withdrawal Working'!$A43,'Yoy WAR OG'!$J$3:$J$79,0),0)</f>
        <v>47953891.944847323</v>
      </c>
      <c r="L43" s="58">
        <f t="shared" ca="1" si="16"/>
        <v>0</v>
      </c>
      <c r="M43" s="58">
        <f ca="1">HLOOKUP('Withdrawal Working'!M$2,'Yoy WAR OG'!$J$3:$FA$79,MATCH('Withdrawal Working'!$A43,'Yoy WAR OG'!$J$3:$J$79,0),0)</f>
        <v>55947397.164469905</v>
      </c>
      <c r="N43" s="58">
        <f t="shared" ca="1" si="17"/>
        <v>-55947397.164469905</v>
      </c>
      <c r="O43" s="58">
        <f>HLOOKUP('Withdrawal Working'!O$2,'Yoy WAR OG'!$J$3:$FA$79,MATCH('Withdrawal Working'!$A43,'Yoy WAR OG'!$J$3:$J$79,0),0)</f>
        <v>0</v>
      </c>
      <c r="P43" s="58">
        <f t="shared" ca="1" si="18"/>
        <v>-55947397.164469905</v>
      </c>
      <c r="Q43" s="58">
        <f>HLOOKUP('Withdrawal Working'!Q$2,'Yoy WAR OG'!$J$3:$FA$79,MATCH('Withdrawal Working'!$A43,'Yoy WAR OG'!$J$3:$J$79,0),0)</f>
        <v>0</v>
      </c>
      <c r="R43" s="58">
        <f t="shared" ca="1" si="19"/>
        <v>-55947397.164469905</v>
      </c>
      <c r="S43" s="58">
        <f>HLOOKUP('Withdrawal Working'!S$2,'Yoy WAR OG'!$J$3:$FA$79,MATCH('Withdrawal Working'!$A43,'Yoy WAR OG'!$J$3:$J$79,0),0)</f>
        <v>0</v>
      </c>
      <c r="T43" s="58">
        <f t="shared" ca="1" si="20"/>
        <v>-55947397.164469905</v>
      </c>
      <c r="U43" s="58">
        <f>HLOOKUP('Withdrawal Working'!U$2,'Yoy WAR OG'!$J$3:$FA$79,MATCH('Withdrawal Working'!$A43,'Yoy WAR OG'!$J$3:$J$79,0),0)</f>
        <v>0</v>
      </c>
      <c r="V43" s="58">
        <f t="shared" ca="1" si="21"/>
        <v>-55947397.164469905</v>
      </c>
      <c r="AD43">
        <f>'Yoy WAR OG'!K44</f>
        <v>2065</v>
      </c>
      <c r="AE43">
        <f ca="1">IF(AD43&lt;VLOOKUP('NWGC - SCENARIOS'!$D$7,'NWGC - SCENARIOS'!$B$11:$C$67,2,0),IF(V43&lt;0,-V43,0),IF(AI43&gt;0,'Withdrawal Working'!AI43,0))</f>
        <v>55947397.164469905</v>
      </c>
      <c r="AG43">
        <f ca="1">'Yoy WAR OG'!R44+'Yoy WAR OG'!X44+'Yoy WAR OG'!AD44+'Yoy WAR OG'!AJ44+'Yoy WAR OG'!AP44+'Yoy WAR OG'!AV44+'Yoy WAR OG'!BB44+'Yoy WAR OG'!BH44+'Yoy WAR OG'!BN44+'Yoy WAR OG'!BT44+'Yoy WAR OG'!BZ44+'Yoy WAR OG'!CF44+'Yoy WAR OG'!CL44+'Yoy WAR OG'!CR44+'Yoy WAR OG'!CX44+'Yoy WAR OG'!DD44+'Yoy WAR OG'!DJ44+'Yoy WAR OG'!DP44+'Yoy WAR OG'!DV44+'Yoy WAR OG'!EB44+'Yoy WAR OG'!EH44+'Yoy WAR OG'!EN44+'Yoy WAR OG'!ET44+'Yoy WAR OG'!EZ44</f>
        <v>103901289.10931723</v>
      </c>
      <c r="AH43" s="449">
        <f ca="1">'Yoy WAR OG'!M44</f>
        <v>47953891.944847323</v>
      </c>
      <c r="AI43" s="449">
        <f t="shared" ca="1" si="10"/>
        <v>55947397.164469905</v>
      </c>
      <c r="BC43">
        <f t="shared" si="22"/>
        <v>97</v>
      </c>
      <c r="BD43">
        <f ca="1">IFERROR((VLOOKUP($BC43+2,'NWGC - SCENARIOS'!$B$9:$H$67,7,0)),0)</f>
        <v>103626205.73601997</v>
      </c>
    </row>
    <row r="44" spans="1:56" x14ac:dyDescent="0.3">
      <c r="A44">
        <f>'Yoy WAR OG'!J45</f>
        <v>90</v>
      </c>
      <c r="B44" s="58">
        <f ca="1">'Yoy WAR OG'!M45</f>
        <v>51796923.300435111</v>
      </c>
      <c r="C44" s="58">
        <f>HLOOKUP('Withdrawal Working'!C$2,'Yoy WAR OG'!$J$3:$FA$79,MATCH('Withdrawal Working'!$A44,'Yoy WAR OG'!$J$3:$J$79,0),0)</f>
        <v>0</v>
      </c>
      <c r="D44" s="58">
        <f t="shared" ca="1" si="12"/>
        <v>51796923.300435111</v>
      </c>
      <c r="E44" s="58">
        <f>HLOOKUP('Withdrawal Working'!E$2,'Yoy WAR OG'!$J$3:$FA$79,MATCH('Withdrawal Working'!$A44,'Yoy WAR OG'!$J$3:$J$79,0),0)</f>
        <v>0</v>
      </c>
      <c r="F44" s="58">
        <f t="shared" ca="1" si="13"/>
        <v>51796923.300435111</v>
      </c>
      <c r="G44" s="58">
        <f>HLOOKUP('Withdrawal Working'!G$2,'Yoy WAR OG'!$J$3:$FA$79,MATCH('Withdrawal Working'!$A44,'Yoy WAR OG'!$J$3:$J$79,0),0)</f>
        <v>0</v>
      </c>
      <c r="H44" s="58">
        <f t="shared" ca="1" si="14"/>
        <v>51796923.300435111</v>
      </c>
      <c r="I44" s="58">
        <f>HLOOKUP('Withdrawal Working'!I$2,'Yoy WAR OG'!$J$3:$FA$79,MATCH('Withdrawal Working'!$A44,'Yoy WAR OG'!$J$3:$J$79,0),0)</f>
        <v>0</v>
      </c>
      <c r="J44" s="58">
        <f t="shared" ca="1" si="15"/>
        <v>51796923.300435111</v>
      </c>
      <c r="K44" s="58">
        <f ca="1">HLOOKUP('Withdrawal Working'!K$2,'Yoy WAR OG'!$J$3:$FA$79,MATCH('Withdrawal Working'!$A44,'Yoy WAR OG'!$J$3:$J$79,0),0)</f>
        <v>51796923.300435111</v>
      </c>
      <c r="L44" s="58">
        <f t="shared" ca="1" si="16"/>
        <v>0</v>
      </c>
      <c r="M44" s="58">
        <f ca="1">HLOOKUP('Withdrawal Working'!M$2,'Yoy WAR OG'!$J$3:$FA$79,MATCH('Withdrawal Working'!$A44,'Yoy WAR OG'!$J$3:$J$79,0),0)</f>
        <v>51069996.410326816</v>
      </c>
      <c r="N44" s="58">
        <f t="shared" ca="1" si="17"/>
        <v>-51069996.410326816</v>
      </c>
      <c r="O44" s="58">
        <f>HLOOKUP('Withdrawal Working'!O$2,'Yoy WAR OG'!$J$3:$FA$79,MATCH('Withdrawal Working'!$A44,'Yoy WAR OG'!$J$3:$J$79,0),0)</f>
        <v>0</v>
      </c>
      <c r="P44" s="58">
        <f t="shared" ca="1" si="18"/>
        <v>-51069996.410326816</v>
      </c>
      <c r="Q44" s="58">
        <f>HLOOKUP('Withdrawal Working'!Q$2,'Yoy WAR OG'!$J$3:$FA$79,MATCH('Withdrawal Working'!$A44,'Yoy WAR OG'!$J$3:$J$79,0),0)</f>
        <v>0</v>
      </c>
      <c r="R44" s="58">
        <f t="shared" ca="1" si="19"/>
        <v>-51069996.410326816</v>
      </c>
      <c r="S44" s="58">
        <f>HLOOKUP('Withdrawal Working'!S$2,'Yoy WAR OG'!$J$3:$FA$79,MATCH('Withdrawal Working'!$A44,'Yoy WAR OG'!$J$3:$J$79,0),0)</f>
        <v>0</v>
      </c>
      <c r="T44" s="58">
        <f t="shared" ca="1" si="20"/>
        <v>-51069996.410326816</v>
      </c>
      <c r="U44" s="58">
        <f>HLOOKUP('Withdrawal Working'!U$2,'Yoy WAR OG'!$J$3:$FA$79,MATCH('Withdrawal Working'!$A44,'Yoy WAR OG'!$J$3:$J$79,0),0)</f>
        <v>0</v>
      </c>
      <c r="V44" s="58">
        <f t="shared" ca="1" si="21"/>
        <v>-51069996.410326816</v>
      </c>
      <c r="AD44">
        <f>'Yoy WAR OG'!K45</f>
        <v>2066</v>
      </c>
      <c r="AE44">
        <f ca="1">IF(AD44&lt;VLOOKUP('NWGC - SCENARIOS'!$D$7,'NWGC - SCENARIOS'!$B$11:$C$67,2,0),IF(V44&lt;0,-V44,0),IF(AI44&gt;0,'Withdrawal Working'!AI44,0))</f>
        <v>51069996.410326824</v>
      </c>
      <c r="AG44">
        <f ca="1">'Yoy WAR OG'!R45+'Yoy WAR OG'!X45+'Yoy WAR OG'!AD45+'Yoy WAR OG'!AJ45+'Yoy WAR OG'!AP45+'Yoy WAR OG'!AV45+'Yoy WAR OG'!BB45+'Yoy WAR OG'!BH45+'Yoy WAR OG'!BN45+'Yoy WAR OG'!BT45+'Yoy WAR OG'!BZ45+'Yoy WAR OG'!CF45+'Yoy WAR OG'!CL45+'Yoy WAR OG'!CR45+'Yoy WAR OG'!CX45+'Yoy WAR OG'!DD45+'Yoy WAR OG'!DJ45+'Yoy WAR OG'!DP45+'Yoy WAR OG'!DV45+'Yoy WAR OG'!EB45+'Yoy WAR OG'!EH45+'Yoy WAR OG'!EN45+'Yoy WAR OG'!ET45+'Yoy WAR OG'!EZ45</f>
        <v>102866919.71076193</v>
      </c>
      <c r="AH44" s="449">
        <f ca="1">'Yoy WAR OG'!M45</f>
        <v>51796923.300435111</v>
      </c>
      <c r="AI44" s="449">
        <f t="shared" ca="1" si="10"/>
        <v>51069996.410326824</v>
      </c>
      <c r="BC44">
        <f t="shared" si="22"/>
        <v>98</v>
      </c>
      <c r="BD44">
        <f ca="1">IFERROR((VLOOKUP($BC44+2,'NWGC - SCENARIOS'!$B$9:$H$67,7,0)),0)</f>
        <v>111923022.19490159</v>
      </c>
    </row>
    <row r="45" spans="1:56" x14ac:dyDescent="0.3">
      <c r="A45">
        <f>'Yoy WAR OG'!J46</f>
        <v>91</v>
      </c>
      <c r="B45" s="58">
        <f ca="1">'Yoy WAR OG'!M46</f>
        <v>55947397.164469905</v>
      </c>
      <c r="C45" s="58">
        <f>HLOOKUP('Withdrawal Working'!C$2,'Yoy WAR OG'!$J$3:$FA$79,MATCH('Withdrawal Working'!$A45,'Yoy WAR OG'!$J$3:$J$79,0),0)</f>
        <v>0</v>
      </c>
      <c r="D45" s="58">
        <f t="shared" ca="1" si="12"/>
        <v>55947397.164469905</v>
      </c>
      <c r="E45" s="58">
        <f>HLOOKUP('Withdrawal Working'!E$2,'Yoy WAR OG'!$J$3:$FA$79,MATCH('Withdrawal Working'!$A45,'Yoy WAR OG'!$J$3:$J$79,0),0)</f>
        <v>0</v>
      </c>
      <c r="F45" s="58">
        <f t="shared" ca="1" si="13"/>
        <v>55947397.164469905</v>
      </c>
      <c r="G45" s="58">
        <f>HLOOKUP('Withdrawal Working'!G$2,'Yoy WAR OG'!$J$3:$FA$79,MATCH('Withdrawal Working'!$A45,'Yoy WAR OG'!$J$3:$J$79,0),0)</f>
        <v>0</v>
      </c>
      <c r="H45" s="58">
        <f t="shared" ca="1" si="14"/>
        <v>55947397.164469905</v>
      </c>
      <c r="I45" s="58">
        <f>HLOOKUP('Withdrawal Working'!I$2,'Yoy WAR OG'!$J$3:$FA$79,MATCH('Withdrawal Working'!$A45,'Yoy WAR OG'!$J$3:$J$79,0),0)</f>
        <v>0</v>
      </c>
      <c r="J45" s="58">
        <f t="shared" ca="1" si="15"/>
        <v>55947397.164469905</v>
      </c>
      <c r="K45" s="58">
        <f ca="1">HLOOKUP('Withdrawal Working'!K$2,'Yoy WAR OG'!$J$3:$FA$79,MATCH('Withdrawal Working'!$A45,'Yoy WAR OG'!$J$3:$J$79,0),0)</f>
        <v>55947397.164469905</v>
      </c>
      <c r="L45" s="58">
        <f t="shared" ca="1" si="16"/>
        <v>0</v>
      </c>
      <c r="M45" s="58">
        <f ca="1">HLOOKUP('Withdrawal Working'!M$2,'Yoy WAR OG'!$J$3:$FA$79,MATCH('Withdrawal Working'!$A45,'Yoy WAR OG'!$J$3:$J$79,0),0)</f>
        <v>0</v>
      </c>
      <c r="N45" s="58">
        <f t="shared" ca="1" si="17"/>
        <v>0</v>
      </c>
      <c r="O45" s="58">
        <f>HLOOKUP('Withdrawal Working'!O$2,'Yoy WAR OG'!$J$3:$FA$79,MATCH('Withdrawal Working'!$A45,'Yoy WAR OG'!$J$3:$J$79,0),0)</f>
        <v>0</v>
      </c>
      <c r="P45" s="58">
        <f t="shared" ca="1" si="18"/>
        <v>0</v>
      </c>
      <c r="Q45" s="58">
        <f>HLOOKUP('Withdrawal Working'!Q$2,'Yoy WAR OG'!$J$3:$FA$79,MATCH('Withdrawal Working'!$A45,'Yoy WAR OG'!$J$3:$J$79,0),0)</f>
        <v>0</v>
      </c>
      <c r="R45" s="58">
        <f t="shared" ca="1" si="19"/>
        <v>0</v>
      </c>
      <c r="S45" s="58">
        <f>HLOOKUP('Withdrawal Working'!S$2,'Yoy WAR OG'!$J$3:$FA$79,MATCH('Withdrawal Working'!$A45,'Yoy WAR OG'!$J$3:$J$79,0),0)</f>
        <v>0</v>
      </c>
      <c r="T45" s="58">
        <f t="shared" ca="1" si="20"/>
        <v>0</v>
      </c>
      <c r="U45" s="58">
        <f>HLOOKUP('Withdrawal Working'!U$2,'Yoy WAR OG'!$J$3:$FA$79,MATCH('Withdrawal Working'!$A45,'Yoy WAR OG'!$J$3:$J$79,0),0)</f>
        <v>0</v>
      </c>
      <c r="V45" s="58">
        <f t="shared" ca="1" si="21"/>
        <v>0</v>
      </c>
      <c r="AD45">
        <f>'Yoy WAR OG'!K46</f>
        <v>2067</v>
      </c>
      <c r="AE45">
        <f ca="1">IF(AD45&lt;VLOOKUP('NWGC - SCENARIOS'!$D$7,'NWGC - SCENARIOS'!$B$11:$C$67,2,0),IF(V45&lt;0,-V45,0),IF(AI45&gt;0,'Withdrawal Working'!AI45,0))</f>
        <v>0</v>
      </c>
      <c r="AG45">
        <f ca="1">'Yoy WAR OG'!R46+'Yoy WAR OG'!X46+'Yoy WAR OG'!AD46+'Yoy WAR OG'!AJ46+'Yoy WAR OG'!AP46+'Yoy WAR OG'!AV46+'Yoy WAR OG'!BB46+'Yoy WAR OG'!BH46+'Yoy WAR OG'!BN46+'Yoy WAR OG'!BT46+'Yoy WAR OG'!BZ46+'Yoy WAR OG'!CF46+'Yoy WAR OG'!CL46+'Yoy WAR OG'!CR46+'Yoy WAR OG'!CX46+'Yoy WAR OG'!DD46+'Yoy WAR OG'!DJ46+'Yoy WAR OG'!DP46+'Yoy WAR OG'!DV46+'Yoy WAR OG'!EB46+'Yoy WAR OG'!EH46+'Yoy WAR OG'!EN46+'Yoy WAR OG'!ET46+'Yoy WAR OG'!EZ46</f>
        <v>55947397.164469905</v>
      </c>
      <c r="AH45" s="449">
        <f ca="1">'Yoy WAR OG'!M46</f>
        <v>55947397.164469905</v>
      </c>
      <c r="AI45" s="449">
        <f t="shared" ca="1" si="10"/>
        <v>0</v>
      </c>
      <c r="BC45">
        <f t="shared" si="22"/>
        <v>99</v>
      </c>
      <c r="BD45">
        <f ca="1">IFERROR((VLOOKUP($BC45+2,'NWGC - SCENARIOS'!$B$9:$H$67,7,0)),0)</f>
        <v>120883583.9704937</v>
      </c>
    </row>
    <row r="46" spans="1:56" x14ac:dyDescent="0.3">
      <c r="A46">
        <f>'Yoy WAR OG'!J47</f>
        <v>92</v>
      </c>
      <c r="B46" s="58">
        <f ca="1">'Yoy WAR OG'!M47</f>
        <v>60429908.937627502</v>
      </c>
      <c r="C46" s="58">
        <f>HLOOKUP('Withdrawal Working'!C$2,'Yoy WAR OG'!$J$3:$FA$79,MATCH('Withdrawal Working'!$A46,'Yoy WAR OG'!$J$3:$J$79,0),0)</f>
        <v>0</v>
      </c>
      <c r="D46" s="58">
        <f t="shared" ca="1" si="12"/>
        <v>60429908.937627502</v>
      </c>
      <c r="E46" s="58">
        <f>HLOOKUP('Withdrawal Working'!E$2,'Yoy WAR OG'!$J$3:$FA$79,MATCH('Withdrawal Working'!$A46,'Yoy WAR OG'!$J$3:$J$79,0),0)</f>
        <v>0</v>
      </c>
      <c r="F46" s="58">
        <f t="shared" ca="1" si="13"/>
        <v>60429908.937627502</v>
      </c>
      <c r="G46" s="58">
        <f>HLOOKUP('Withdrawal Working'!G$2,'Yoy WAR OG'!$J$3:$FA$79,MATCH('Withdrawal Working'!$A46,'Yoy WAR OG'!$J$3:$J$79,0),0)</f>
        <v>0</v>
      </c>
      <c r="H46" s="58">
        <f t="shared" ca="1" si="14"/>
        <v>60429908.937627502</v>
      </c>
      <c r="I46" s="58">
        <f>HLOOKUP('Withdrawal Working'!I$2,'Yoy WAR OG'!$J$3:$FA$79,MATCH('Withdrawal Working'!$A46,'Yoy WAR OG'!$J$3:$J$79,0),0)</f>
        <v>0</v>
      </c>
      <c r="J46" s="58">
        <f t="shared" ca="1" si="15"/>
        <v>60429908.937627502</v>
      </c>
      <c r="K46" s="58">
        <f ca="1">HLOOKUP('Withdrawal Working'!K$2,'Yoy WAR OG'!$J$3:$FA$79,MATCH('Withdrawal Working'!$A46,'Yoy WAR OG'!$J$3:$J$79,0),0)</f>
        <v>60429908.937627502</v>
      </c>
      <c r="L46" s="58">
        <f t="shared" ca="1" si="16"/>
        <v>0</v>
      </c>
      <c r="M46" s="58">
        <f ca="1">HLOOKUP('Withdrawal Working'!M$2,'Yoy WAR OG'!$J$3:$FA$79,MATCH('Withdrawal Working'!$A46,'Yoy WAR OG'!$J$3:$J$79,0),0)</f>
        <v>0</v>
      </c>
      <c r="N46" s="58">
        <f t="shared" ca="1" si="17"/>
        <v>0</v>
      </c>
      <c r="O46" s="58">
        <f>HLOOKUP('Withdrawal Working'!O$2,'Yoy WAR OG'!$J$3:$FA$79,MATCH('Withdrawal Working'!$A46,'Yoy WAR OG'!$J$3:$J$79,0),0)</f>
        <v>0</v>
      </c>
      <c r="P46" s="58">
        <f t="shared" ca="1" si="18"/>
        <v>0</v>
      </c>
      <c r="Q46" s="58">
        <f>HLOOKUP('Withdrawal Working'!Q$2,'Yoy WAR OG'!$J$3:$FA$79,MATCH('Withdrawal Working'!$A46,'Yoy WAR OG'!$J$3:$J$79,0),0)</f>
        <v>0</v>
      </c>
      <c r="R46" s="58">
        <f t="shared" ca="1" si="19"/>
        <v>0</v>
      </c>
      <c r="S46" s="58">
        <f>HLOOKUP('Withdrawal Working'!S$2,'Yoy WAR OG'!$J$3:$FA$79,MATCH('Withdrawal Working'!$A46,'Yoy WAR OG'!$J$3:$J$79,0),0)</f>
        <v>0</v>
      </c>
      <c r="T46" s="58">
        <f t="shared" ca="1" si="20"/>
        <v>0</v>
      </c>
      <c r="U46" s="58">
        <f>HLOOKUP('Withdrawal Working'!U$2,'Yoy WAR OG'!$J$3:$FA$79,MATCH('Withdrawal Working'!$A46,'Yoy WAR OG'!$J$3:$J$79,0),0)</f>
        <v>0</v>
      </c>
      <c r="V46" s="58">
        <f t="shared" ca="1" si="21"/>
        <v>0</v>
      </c>
      <c r="AD46">
        <f>'Yoy WAR OG'!K47</f>
        <v>2068</v>
      </c>
      <c r="AE46">
        <f ca="1">IF(AD46&lt;VLOOKUP('NWGC - SCENARIOS'!$D$7,'NWGC - SCENARIOS'!$B$11:$C$67,2,0),IF(V46&lt;0,-V46,0),IF(AI46&gt;0,'Withdrawal Working'!AI46,0))</f>
        <v>0</v>
      </c>
      <c r="AG46">
        <f ca="1">'Yoy WAR OG'!R47+'Yoy WAR OG'!X47+'Yoy WAR OG'!AD47+'Yoy WAR OG'!AJ47+'Yoy WAR OG'!AP47+'Yoy WAR OG'!AV47+'Yoy WAR OG'!BB47+'Yoy WAR OG'!BH47+'Yoy WAR OG'!BN47+'Yoy WAR OG'!BT47+'Yoy WAR OG'!BZ47+'Yoy WAR OG'!CF47+'Yoy WAR OG'!CL47+'Yoy WAR OG'!CR47+'Yoy WAR OG'!CX47+'Yoy WAR OG'!DD47+'Yoy WAR OG'!DJ47+'Yoy WAR OG'!DP47+'Yoy WAR OG'!DV47+'Yoy WAR OG'!EB47+'Yoy WAR OG'!EH47+'Yoy WAR OG'!EN47+'Yoy WAR OG'!ET47+'Yoy WAR OG'!EZ47</f>
        <v>60429908.937627502</v>
      </c>
      <c r="AH46" s="449">
        <f ca="1">'Yoy WAR OG'!M47</f>
        <v>60429908.937627502</v>
      </c>
      <c r="AI46" s="449">
        <f t="shared" ca="1" si="10"/>
        <v>0</v>
      </c>
      <c r="BC46">
        <f t="shared" si="22"/>
        <v>100</v>
      </c>
      <c r="BD46">
        <f ca="1">IFERROR((VLOOKUP($BC46+2,'NWGC - SCENARIOS'!$B$9:$H$67,7,0)),0)</f>
        <v>130560990.68813318</v>
      </c>
    </row>
    <row r="47" spans="1:56" x14ac:dyDescent="0.3">
      <c r="A47">
        <f>'Yoy WAR OG'!J48</f>
        <v>93</v>
      </c>
      <c r="B47" s="58">
        <f ca="1">'Yoy WAR OG'!M48</f>
        <v>65271021.65263772</v>
      </c>
      <c r="C47" s="58">
        <f>HLOOKUP('Withdrawal Working'!C$2,'Yoy WAR OG'!$J$3:$FA$79,MATCH('Withdrawal Working'!$A47,'Yoy WAR OG'!$J$3:$J$79,0),0)</f>
        <v>0</v>
      </c>
      <c r="D47" s="58">
        <f t="shared" ca="1" si="12"/>
        <v>65271021.65263772</v>
      </c>
      <c r="E47" s="58">
        <f>HLOOKUP('Withdrawal Working'!E$2,'Yoy WAR OG'!$J$3:$FA$79,MATCH('Withdrawal Working'!$A47,'Yoy WAR OG'!$J$3:$J$79,0),0)</f>
        <v>0</v>
      </c>
      <c r="F47" s="58">
        <f t="shared" ca="1" si="13"/>
        <v>65271021.65263772</v>
      </c>
      <c r="G47" s="58">
        <f>HLOOKUP('Withdrawal Working'!G$2,'Yoy WAR OG'!$J$3:$FA$79,MATCH('Withdrawal Working'!$A47,'Yoy WAR OG'!$J$3:$J$79,0),0)</f>
        <v>0</v>
      </c>
      <c r="H47" s="58">
        <f t="shared" ca="1" si="14"/>
        <v>65271021.65263772</v>
      </c>
      <c r="I47" s="58">
        <f>HLOOKUP('Withdrawal Working'!I$2,'Yoy WAR OG'!$J$3:$FA$79,MATCH('Withdrawal Working'!$A47,'Yoy WAR OG'!$J$3:$J$79,0),0)</f>
        <v>0</v>
      </c>
      <c r="J47" s="58">
        <f t="shared" ca="1" si="15"/>
        <v>65271021.65263772</v>
      </c>
      <c r="K47" s="58">
        <f ca="1">HLOOKUP('Withdrawal Working'!K$2,'Yoy WAR OG'!$J$3:$FA$79,MATCH('Withdrawal Working'!$A47,'Yoy WAR OG'!$J$3:$J$79,0),0)</f>
        <v>65271021.65263772</v>
      </c>
      <c r="L47" s="58">
        <f t="shared" ca="1" si="16"/>
        <v>0</v>
      </c>
      <c r="M47" s="58">
        <f ca="1">HLOOKUP('Withdrawal Working'!M$2,'Yoy WAR OG'!$J$3:$FA$79,MATCH('Withdrawal Working'!$A47,'Yoy WAR OG'!$J$3:$J$79,0),0)</f>
        <v>0</v>
      </c>
      <c r="N47" s="58">
        <f t="shared" ca="1" si="17"/>
        <v>0</v>
      </c>
      <c r="O47" s="58">
        <f>HLOOKUP('Withdrawal Working'!O$2,'Yoy WAR OG'!$J$3:$FA$79,MATCH('Withdrawal Working'!$A47,'Yoy WAR OG'!$J$3:$J$79,0),0)</f>
        <v>0</v>
      </c>
      <c r="P47" s="58">
        <f t="shared" ca="1" si="18"/>
        <v>0</v>
      </c>
      <c r="Q47" s="58">
        <f>HLOOKUP('Withdrawal Working'!Q$2,'Yoy WAR OG'!$J$3:$FA$79,MATCH('Withdrawal Working'!$A47,'Yoy WAR OG'!$J$3:$J$79,0),0)</f>
        <v>0</v>
      </c>
      <c r="R47" s="58">
        <f t="shared" ca="1" si="19"/>
        <v>0</v>
      </c>
      <c r="S47" s="58">
        <f>HLOOKUP('Withdrawal Working'!S$2,'Yoy WAR OG'!$J$3:$FA$79,MATCH('Withdrawal Working'!$A47,'Yoy WAR OG'!$J$3:$J$79,0),0)</f>
        <v>0</v>
      </c>
      <c r="T47" s="58">
        <f t="shared" ca="1" si="20"/>
        <v>0</v>
      </c>
      <c r="U47" s="58">
        <f>HLOOKUP('Withdrawal Working'!U$2,'Yoy WAR OG'!$J$3:$FA$79,MATCH('Withdrawal Working'!$A47,'Yoy WAR OG'!$J$3:$J$79,0),0)</f>
        <v>0</v>
      </c>
      <c r="V47" s="58">
        <f t="shared" ca="1" si="21"/>
        <v>0</v>
      </c>
      <c r="AD47">
        <f>'Yoy WAR OG'!K48</f>
        <v>2069</v>
      </c>
      <c r="AE47">
        <f ca="1">IF(AD47&lt;VLOOKUP('NWGC - SCENARIOS'!$D$7,'NWGC - SCENARIOS'!$B$11:$C$67,2,0),IF(V47&lt;0,-V47,0),IF(AI47&gt;0,'Withdrawal Working'!AI47,0))</f>
        <v>0</v>
      </c>
      <c r="AG47">
        <f ca="1">'Yoy WAR OG'!R48+'Yoy WAR OG'!X48+'Yoy WAR OG'!AD48+'Yoy WAR OG'!AJ48+'Yoy WAR OG'!AP48+'Yoy WAR OG'!AV48+'Yoy WAR OG'!BB48+'Yoy WAR OG'!BH48+'Yoy WAR OG'!BN48+'Yoy WAR OG'!BT48+'Yoy WAR OG'!BZ48+'Yoy WAR OG'!CF48+'Yoy WAR OG'!CL48+'Yoy WAR OG'!CR48+'Yoy WAR OG'!CX48+'Yoy WAR OG'!DD48+'Yoy WAR OG'!DJ48+'Yoy WAR OG'!DP48+'Yoy WAR OG'!DV48+'Yoy WAR OG'!EB48+'Yoy WAR OG'!EH48+'Yoy WAR OG'!EN48+'Yoy WAR OG'!ET48+'Yoy WAR OG'!EZ48</f>
        <v>65271021.65263772</v>
      </c>
      <c r="AH47" s="449">
        <f ca="1">'Yoy WAR OG'!M48</f>
        <v>65271021.65263772</v>
      </c>
      <c r="AI47" s="449">
        <f t="shared" ca="1" si="10"/>
        <v>0</v>
      </c>
    </row>
    <row r="48" spans="1:56" x14ac:dyDescent="0.3">
      <c r="A48">
        <f>'Yoy WAR OG'!J49</f>
        <v>94</v>
      </c>
      <c r="B48" s="58">
        <f ca="1">'Yoy WAR OG'!M49</f>
        <v>70499423.384848729</v>
      </c>
      <c r="C48" s="58">
        <f>HLOOKUP('Withdrawal Working'!C$2,'Yoy WAR OG'!$J$3:$FA$79,MATCH('Withdrawal Working'!$A48,'Yoy WAR OG'!$J$3:$J$79,0),0)</f>
        <v>0</v>
      </c>
      <c r="D48" s="58">
        <f t="shared" ca="1" si="12"/>
        <v>70499423.384848729</v>
      </c>
      <c r="E48" s="58">
        <f>HLOOKUP('Withdrawal Working'!E$2,'Yoy WAR OG'!$J$3:$FA$79,MATCH('Withdrawal Working'!$A48,'Yoy WAR OG'!$J$3:$J$79,0),0)</f>
        <v>0</v>
      </c>
      <c r="F48" s="58">
        <f t="shared" ca="1" si="13"/>
        <v>70499423.384848729</v>
      </c>
      <c r="G48" s="58">
        <f>HLOOKUP('Withdrawal Working'!G$2,'Yoy WAR OG'!$J$3:$FA$79,MATCH('Withdrawal Working'!$A48,'Yoy WAR OG'!$J$3:$J$79,0),0)</f>
        <v>0</v>
      </c>
      <c r="H48" s="58">
        <f t="shared" ca="1" si="14"/>
        <v>70499423.384848729</v>
      </c>
      <c r="I48" s="58">
        <f>HLOOKUP('Withdrawal Working'!I$2,'Yoy WAR OG'!$J$3:$FA$79,MATCH('Withdrawal Working'!$A48,'Yoy WAR OG'!$J$3:$J$79,0),0)</f>
        <v>0</v>
      </c>
      <c r="J48" s="58">
        <f t="shared" ca="1" si="15"/>
        <v>70499423.384848729</v>
      </c>
      <c r="K48" s="58">
        <f ca="1">HLOOKUP('Withdrawal Working'!K$2,'Yoy WAR OG'!$J$3:$FA$79,MATCH('Withdrawal Working'!$A48,'Yoy WAR OG'!$J$3:$J$79,0),0)</f>
        <v>70499423.384848729</v>
      </c>
      <c r="L48" s="58">
        <f t="shared" ca="1" si="16"/>
        <v>0</v>
      </c>
      <c r="M48" s="58">
        <f ca="1">HLOOKUP('Withdrawal Working'!M$2,'Yoy WAR OG'!$J$3:$FA$79,MATCH('Withdrawal Working'!$A48,'Yoy WAR OG'!$J$3:$J$79,0),0)</f>
        <v>0</v>
      </c>
      <c r="N48" s="58">
        <f t="shared" ca="1" si="17"/>
        <v>0</v>
      </c>
      <c r="O48" s="58">
        <f>HLOOKUP('Withdrawal Working'!O$2,'Yoy WAR OG'!$J$3:$FA$79,MATCH('Withdrawal Working'!$A48,'Yoy WAR OG'!$J$3:$J$79,0),0)</f>
        <v>0</v>
      </c>
      <c r="P48" s="58">
        <f t="shared" ca="1" si="18"/>
        <v>0</v>
      </c>
      <c r="Q48" s="58">
        <f>HLOOKUP('Withdrawal Working'!Q$2,'Yoy WAR OG'!$J$3:$FA$79,MATCH('Withdrawal Working'!$A48,'Yoy WAR OG'!$J$3:$J$79,0),0)</f>
        <v>0</v>
      </c>
      <c r="R48" s="58">
        <f t="shared" ca="1" si="19"/>
        <v>0</v>
      </c>
      <c r="S48" s="58">
        <f>HLOOKUP('Withdrawal Working'!S$2,'Yoy WAR OG'!$J$3:$FA$79,MATCH('Withdrawal Working'!$A48,'Yoy WAR OG'!$J$3:$J$79,0),0)</f>
        <v>0</v>
      </c>
      <c r="T48" s="58">
        <f t="shared" ca="1" si="20"/>
        <v>0</v>
      </c>
      <c r="U48" s="58">
        <f>HLOOKUP('Withdrawal Working'!U$2,'Yoy WAR OG'!$J$3:$FA$79,MATCH('Withdrawal Working'!$A48,'Yoy WAR OG'!$J$3:$J$79,0),0)</f>
        <v>0</v>
      </c>
      <c r="V48" s="58">
        <f t="shared" ca="1" si="21"/>
        <v>0</v>
      </c>
      <c r="AD48">
        <f>'Yoy WAR OG'!K49</f>
        <v>2070</v>
      </c>
      <c r="AE48">
        <f ca="1">IF(AD48&lt;VLOOKUP('NWGC - SCENARIOS'!$D$7,'NWGC - SCENARIOS'!$B$11:$C$67,2,0),IF(V48&lt;0,-V48,0),IF(AI48&gt;0,'Withdrawal Working'!AI48,0))</f>
        <v>0</v>
      </c>
      <c r="AG48">
        <f ca="1">'Yoy WAR OG'!R49+'Yoy WAR OG'!X49+'Yoy WAR OG'!AD49+'Yoy WAR OG'!AJ49+'Yoy WAR OG'!AP49+'Yoy WAR OG'!AV49+'Yoy WAR OG'!BB49+'Yoy WAR OG'!BH49+'Yoy WAR OG'!BN49+'Yoy WAR OG'!BT49+'Yoy WAR OG'!BZ49+'Yoy WAR OG'!CF49+'Yoy WAR OG'!CL49+'Yoy WAR OG'!CR49+'Yoy WAR OG'!CX49+'Yoy WAR OG'!DD49+'Yoy WAR OG'!DJ49+'Yoy WAR OG'!DP49+'Yoy WAR OG'!DV49+'Yoy WAR OG'!EB49+'Yoy WAR OG'!EH49+'Yoy WAR OG'!EN49+'Yoy WAR OG'!ET49+'Yoy WAR OG'!EZ49</f>
        <v>70499423.384848729</v>
      </c>
      <c r="AH48" s="449">
        <f ca="1">'Yoy WAR OG'!M49</f>
        <v>70499423.384848729</v>
      </c>
      <c r="AI48" s="449">
        <f t="shared" ca="1" si="10"/>
        <v>0</v>
      </c>
    </row>
    <row r="49" spans="1:35" x14ac:dyDescent="0.3">
      <c r="A49">
        <f>'Yoy WAR OG'!J50</f>
        <v>95</v>
      </c>
      <c r="B49" s="58">
        <f ca="1">'Yoy WAR OG'!M50</f>
        <v>76146097.255636647</v>
      </c>
      <c r="C49" s="58">
        <f>HLOOKUP('Withdrawal Working'!C$2,'Yoy WAR OG'!$J$3:$FA$79,MATCH('Withdrawal Working'!$A49,'Yoy WAR OG'!$J$3:$J$79,0),0)</f>
        <v>0</v>
      </c>
      <c r="D49" s="58">
        <f t="shared" ca="1" si="12"/>
        <v>76146097.255636647</v>
      </c>
      <c r="E49" s="58">
        <f>HLOOKUP('Withdrawal Working'!E$2,'Yoy WAR OG'!$J$3:$FA$79,MATCH('Withdrawal Working'!$A49,'Yoy WAR OG'!$J$3:$J$79,0),0)</f>
        <v>0</v>
      </c>
      <c r="F49" s="58">
        <f t="shared" ca="1" si="13"/>
        <v>76146097.255636647</v>
      </c>
      <c r="G49" s="58">
        <f>HLOOKUP('Withdrawal Working'!G$2,'Yoy WAR OG'!$J$3:$FA$79,MATCH('Withdrawal Working'!$A49,'Yoy WAR OG'!$J$3:$J$79,0),0)</f>
        <v>0</v>
      </c>
      <c r="H49" s="58">
        <f t="shared" ca="1" si="14"/>
        <v>76146097.255636647</v>
      </c>
      <c r="I49" s="58">
        <f>HLOOKUP('Withdrawal Working'!I$2,'Yoy WAR OG'!$J$3:$FA$79,MATCH('Withdrawal Working'!$A49,'Yoy WAR OG'!$J$3:$J$79,0),0)</f>
        <v>0</v>
      </c>
      <c r="J49" s="58">
        <f t="shared" ca="1" si="15"/>
        <v>76146097.255636647</v>
      </c>
      <c r="K49" s="58">
        <f ca="1">HLOOKUP('Withdrawal Working'!K$2,'Yoy WAR OG'!$J$3:$FA$79,MATCH('Withdrawal Working'!$A49,'Yoy WAR OG'!$J$3:$J$79,0),0)</f>
        <v>76146097.255636647</v>
      </c>
      <c r="L49" s="58">
        <f t="shared" ca="1" si="16"/>
        <v>0</v>
      </c>
      <c r="M49" s="58">
        <f ca="1">HLOOKUP('Withdrawal Working'!M$2,'Yoy WAR OG'!$J$3:$FA$79,MATCH('Withdrawal Working'!$A49,'Yoy WAR OG'!$J$3:$J$79,0),0)</f>
        <v>0</v>
      </c>
      <c r="N49" s="58">
        <f t="shared" ca="1" si="17"/>
        <v>0</v>
      </c>
      <c r="O49" s="58">
        <f>HLOOKUP('Withdrawal Working'!O$2,'Yoy WAR OG'!$J$3:$FA$79,MATCH('Withdrawal Working'!$A49,'Yoy WAR OG'!$J$3:$J$79,0),0)</f>
        <v>0</v>
      </c>
      <c r="P49" s="58">
        <f t="shared" ca="1" si="18"/>
        <v>0</v>
      </c>
      <c r="Q49" s="58">
        <f>HLOOKUP('Withdrawal Working'!Q$2,'Yoy WAR OG'!$J$3:$FA$79,MATCH('Withdrawal Working'!$A49,'Yoy WAR OG'!$J$3:$J$79,0),0)</f>
        <v>0</v>
      </c>
      <c r="R49" s="58">
        <f t="shared" ca="1" si="19"/>
        <v>0</v>
      </c>
      <c r="S49" s="58">
        <f>HLOOKUP('Withdrawal Working'!S$2,'Yoy WAR OG'!$J$3:$FA$79,MATCH('Withdrawal Working'!$A49,'Yoy WAR OG'!$J$3:$J$79,0),0)</f>
        <v>0</v>
      </c>
      <c r="T49" s="58">
        <f t="shared" ca="1" si="20"/>
        <v>0</v>
      </c>
      <c r="U49" s="58">
        <f>HLOOKUP('Withdrawal Working'!U$2,'Yoy WAR OG'!$J$3:$FA$79,MATCH('Withdrawal Working'!$A49,'Yoy WAR OG'!$J$3:$J$79,0),0)</f>
        <v>0</v>
      </c>
      <c r="V49" s="58">
        <f t="shared" ca="1" si="21"/>
        <v>0</v>
      </c>
      <c r="AD49">
        <f>'Yoy WAR OG'!K50</f>
        <v>2071</v>
      </c>
      <c r="AE49">
        <f ca="1">IF(AD49&lt;VLOOKUP('NWGC - SCENARIOS'!$D$7,'NWGC - SCENARIOS'!$B$11:$C$67,2,0),IF(V49&lt;0,-V49,0),IF(AI49&gt;0,'Withdrawal Working'!AI49,0))</f>
        <v>0</v>
      </c>
      <c r="AG49">
        <f ca="1">'Yoy WAR OG'!R50+'Yoy WAR OG'!X50+'Yoy WAR OG'!AD50+'Yoy WAR OG'!AJ50+'Yoy WAR OG'!AP50+'Yoy WAR OG'!AV50+'Yoy WAR OG'!BB50+'Yoy WAR OG'!BH50+'Yoy WAR OG'!BN50+'Yoy WAR OG'!BT50+'Yoy WAR OG'!BZ50+'Yoy WAR OG'!CF50+'Yoy WAR OG'!CL50+'Yoy WAR OG'!CR50+'Yoy WAR OG'!CX50+'Yoy WAR OG'!DD50+'Yoy WAR OG'!DJ50+'Yoy WAR OG'!DP50+'Yoy WAR OG'!DV50+'Yoy WAR OG'!EB50+'Yoy WAR OG'!EH50+'Yoy WAR OG'!EN50+'Yoy WAR OG'!ET50+'Yoy WAR OG'!EZ50</f>
        <v>76146097.255636647</v>
      </c>
      <c r="AH49" s="449">
        <f ca="1">'Yoy WAR OG'!M50</f>
        <v>76146097.255636647</v>
      </c>
      <c r="AI49" s="449">
        <f t="shared" ca="1" si="10"/>
        <v>0</v>
      </c>
    </row>
    <row r="50" spans="1:35" x14ac:dyDescent="0.3">
      <c r="A50">
        <f>'Yoy WAR OG'!J51</f>
        <v>96</v>
      </c>
      <c r="B50" s="58">
        <f ca="1">'Yoy WAR OG'!M51</f>
        <v>82244505.036087587</v>
      </c>
      <c r="C50" s="58">
        <f>HLOOKUP('Withdrawal Working'!C$2,'Yoy WAR OG'!$J$3:$FA$79,MATCH('Withdrawal Working'!$A50,'Yoy WAR OG'!$J$3:$J$79,0),0)</f>
        <v>0</v>
      </c>
      <c r="D50" s="58">
        <f t="shared" ca="1" si="12"/>
        <v>82244505.036087587</v>
      </c>
      <c r="E50" s="58">
        <f>HLOOKUP('Withdrawal Working'!E$2,'Yoy WAR OG'!$J$3:$FA$79,MATCH('Withdrawal Working'!$A50,'Yoy WAR OG'!$J$3:$J$79,0),0)</f>
        <v>0</v>
      </c>
      <c r="F50" s="58">
        <f t="shared" ca="1" si="13"/>
        <v>82244505.036087587</v>
      </c>
      <c r="G50" s="58">
        <f>HLOOKUP('Withdrawal Working'!G$2,'Yoy WAR OG'!$J$3:$FA$79,MATCH('Withdrawal Working'!$A50,'Yoy WAR OG'!$J$3:$J$79,0),0)</f>
        <v>0</v>
      </c>
      <c r="H50" s="58">
        <f t="shared" ca="1" si="14"/>
        <v>82244505.036087587</v>
      </c>
      <c r="I50" s="58">
        <f>HLOOKUP('Withdrawal Working'!I$2,'Yoy WAR OG'!$J$3:$FA$79,MATCH('Withdrawal Working'!$A50,'Yoy WAR OG'!$J$3:$J$79,0),0)</f>
        <v>0</v>
      </c>
      <c r="J50" s="58">
        <f t="shared" ca="1" si="15"/>
        <v>82244505.036087587</v>
      </c>
      <c r="K50" s="58">
        <f ca="1">HLOOKUP('Withdrawal Working'!K$2,'Yoy WAR OG'!$J$3:$FA$79,MATCH('Withdrawal Working'!$A50,'Yoy WAR OG'!$J$3:$J$79,0),0)</f>
        <v>82244505.036087587</v>
      </c>
      <c r="L50" s="58">
        <f t="shared" ca="1" si="16"/>
        <v>0</v>
      </c>
      <c r="M50" s="58">
        <f ca="1">HLOOKUP('Withdrawal Working'!M$2,'Yoy WAR OG'!$J$3:$FA$79,MATCH('Withdrawal Working'!$A50,'Yoy WAR OG'!$J$3:$J$79,0),0)</f>
        <v>0</v>
      </c>
      <c r="N50" s="58">
        <f t="shared" ca="1" si="17"/>
        <v>0</v>
      </c>
      <c r="O50" s="58">
        <f>HLOOKUP('Withdrawal Working'!O$2,'Yoy WAR OG'!$J$3:$FA$79,MATCH('Withdrawal Working'!$A50,'Yoy WAR OG'!$J$3:$J$79,0),0)</f>
        <v>0</v>
      </c>
      <c r="P50" s="58">
        <f t="shared" ca="1" si="18"/>
        <v>0</v>
      </c>
      <c r="Q50" s="58">
        <f>HLOOKUP('Withdrawal Working'!Q$2,'Yoy WAR OG'!$J$3:$FA$79,MATCH('Withdrawal Working'!$A50,'Yoy WAR OG'!$J$3:$J$79,0),0)</f>
        <v>0</v>
      </c>
      <c r="R50" s="58">
        <f t="shared" ca="1" si="19"/>
        <v>0</v>
      </c>
      <c r="S50" s="58">
        <f>HLOOKUP('Withdrawal Working'!S$2,'Yoy WAR OG'!$J$3:$FA$79,MATCH('Withdrawal Working'!$A50,'Yoy WAR OG'!$J$3:$J$79,0),0)</f>
        <v>0</v>
      </c>
      <c r="T50" s="58">
        <f t="shared" ca="1" si="20"/>
        <v>0</v>
      </c>
      <c r="U50" s="58">
        <f>HLOOKUP('Withdrawal Working'!U$2,'Yoy WAR OG'!$J$3:$FA$79,MATCH('Withdrawal Working'!$A50,'Yoy WAR OG'!$J$3:$J$79,0),0)</f>
        <v>0</v>
      </c>
      <c r="V50" s="58">
        <f t="shared" ca="1" si="21"/>
        <v>0</v>
      </c>
      <c r="AD50">
        <f>'Yoy WAR OG'!K51</f>
        <v>2072</v>
      </c>
      <c r="AE50">
        <f ca="1">IF(AD50&lt;VLOOKUP('NWGC - SCENARIOS'!$D$7,'NWGC - SCENARIOS'!$B$11:$C$67,2,0),IF(V50&lt;0,-V50,0),IF(AI50&gt;0,'Withdrawal Working'!AI50,0))</f>
        <v>0</v>
      </c>
      <c r="AG50">
        <f ca="1">'Yoy WAR OG'!R51+'Yoy WAR OG'!X51+'Yoy WAR OG'!AD51+'Yoy WAR OG'!AJ51+'Yoy WAR OG'!AP51+'Yoy WAR OG'!AV51+'Yoy WAR OG'!BB51+'Yoy WAR OG'!BH51+'Yoy WAR OG'!BN51+'Yoy WAR OG'!BT51+'Yoy WAR OG'!BZ51+'Yoy WAR OG'!CF51+'Yoy WAR OG'!CL51+'Yoy WAR OG'!CR51+'Yoy WAR OG'!CX51+'Yoy WAR OG'!DD51+'Yoy WAR OG'!DJ51+'Yoy WAR OG'!DP51+'Yoy WAR OG'!DV51+'Yoy WAR OG'!EB51+'Yoy WAR OG'!EH51+'Yoy WAR OG'!EN51+'Yoy WAR OG'!ET51+'Yoy WAR OG'!EZ51</f>
        <v>82244505.036087587</v>
      </c>
      <c r="AH50" s="449">
        <f ca="1">'Yoy WAR OG'!M51</f>
        <v>82244505.036087587</v>
      </c>
      <c r="AI50" s="449">
        <f t="shared" ca="1" si="10"/>
        <v>0</v>
      </c>
    </row>
    <row r="51" spans="1:35" x14ac:dyDescent="0.3">
      <c r="A51">
        <f>'Yoy WAR OG'!J52</f>
        <v>97</v>
      </c>
      <c r="B51" s="58">
        <f ca="1">'Yoy WAR OG'!M52</f>
        <v>88830785.438974574</v>
      </c>
      <c r="C51" s="58">
        <f>HLOOKUP('Withdrawal Working'!C$2,'Yoy WAR OG'!$J$3:$FA$79,MATCH('Withdrawal Working'!$A51,'Yoy WAR OG'!$J$3:$J$79,0),0)</f>
        <v>0</v>
      </c>
      <c r="D51" s="58">
        <f t="shared" ca="1" si="12"/>
        <v>88830785.438974574</v>
      </c>
      <c r="E51" s="58">
        <f>HLOOKUP('Withdrawal Working'!E$2,'Yoy WAR OG'!$J$3:$FA$79,MATCH('Withdrawal Working'!$A51,'Yoy WAR OG'!$J$3:$J$79,0),0)</f>
        <v>0</v>
      </c>
      <c r="F51" s="58">
        <f t="shared" ca="1" si="13"/>
        <v>88830785.438974574</v>
      </c>
      <c r="G51" s="58">
        <f>HLOOKUP('Withdrawal Working'!G$2,'Yoy WAR OG'!$J$3:$FA$79,MATCH('Withdrawal Working'!$A51,'Yoy WAR OG'!$J$3:$J$79,0),0)</f>
        <v>0</v>
      </c>
      <c r="H51" s="58">
        <f t="shared" ca="1" si="14"/>
        <v>88830785.438974574</v>
      </c>
      <c r="I51" s="58">
        <f>HLOOKUP('Withdrawal Working'!I$2,'Yoy WAR OG'!$J$3:$FA$79,MATCH('Withdrawal Working'!$A51,'Yoy WAR OG'!$J$3:$J$79,0),0)</f>
        <v>0</v>
      </c>
      <c r="J51" s="58">
        <f t="shared" ca="1" si="15"/>
        <v>88830785.438974574</v>
      </c>
      <c r="K51" s="58">
        <f ca="1">HLOOKUP('Withdrawal Working'!K$2,'Yoy WAR OG'!$J$3:$FA$79,MATCH('Withdrawal Working'!$A51,'Yoy WAR OG'!$J$3:$J$79,0),0)</f>
        <v>88830785.438974574</v>
      </c>
      <c r="L51" s="58">
        <f t="shared" ca="1" si="16"/>
        <v>0</v>
      </c>
      <c r="M51" s="58">
        <f ca="1">HLOOKUP('Withdrawal Working'!M$2,'Yoy WAR OG'!$J$3:$FA$79,MATCH('Withdrawal Working'!$A51,'Yoy WAR OG'!$J$3:$J$79,0),0)</f>
        <v>0</v>
      </c>
      <c r="N51" s="58">
        <f t="shared" ca="1" si="17"/>
        <v>0</v>
      </c>
      <c r="O51" s="58">
        <f>HLOOKUP('Withdrawal Working'!O$2,'Yoy WAR OG'!$J$3:$FA$79,MATCH('Withdrawal Working'!$A51,'Yoy WAR OG'!$J$3:$J$79,0),0)</f>
        <v>0</v>
      </c>
      <c r="P51" s="58">
        <f t="shared" ca="1" si="18"/>
        <v>0</v>
      </c>
      <c r="Q51" s="58">
        <f>HLOOKUP('Withdrawal Working'!Q$2,'Yoy WAR OG'!$J$3:$FA$79,MATCH('Withdrawal Working'!$A51,'Yoy WAR OG'!$J$3:$J$79,0),0)</f>
        <v>0</v>
      </c>
      <c r="R51" s="58">
        <f t="shared" ca="1" si="19"/>
        <v>0</v>
      </c>
      <c r="S51" s="58">
        <f>HLOOKUP('Withdrawal Working'!S$2,'Yoy WAR OG'!$J$3:$FA$79,MATCH('Withdrawal Working'!$A51,'Yoy WAR OG'!$J$3:$J$79,0),0)</f>
        <v>0</v>
      </c>
      <c r="T51" s="58">
        <f t="shared" ca="1" si="20"/>
        <v>0</v>
      </c>
      <c r="U51" s="58">
        <f>HLOOKUP('Withdrawal Working'!U$2,'Yoy WAR OG'!$J$3:$FA$79,MATCH('Withdrawal Working'!$A51,'Yoy WAR OG'!$J$3:$J$79,0),0)</f>
        <v>0</v>
      </c>
      <c r="V51" s="58">
        <f t="shared" ca="1" si="21"/>
        <v>0</v>
      </c>
      <c r="AD51">
        <f>'Yoy WAR OG'!K52</f>
        <v>2073</v>
      </c>
      <c r="AE51">
        <f ca="1">IF(AD51&lt;VLOOKUP('NWGC - SCENARIOS'!$D$7,'NWGC - SCENARIOS'!$B$11:$C$67,2,0),IF(V51&lt;0,-V51,0),IF(AI51&gt;0,'Withdrawal Working'!AI51,0))</f>
        <v>0</v>
      </c>
      <c r="AG51">
        <f ca="1">'Yoy WAR OG'!R52+'Yoy WAR OG'!X52+'Yoy WAR OG'!AD52+'Yoy WAR OG'!AJ52+'Yoy WAR OG'!AP52+'Yoy WAR OG'!AV52+'Yoy WAR OG'!BB52+'Yoy WAR OG'!BH52+'Yoy WAR OG'!BN52+'Yoy WAR OG'!BT52+'Yoy WAR OG'!BZ52+'Yoy WAR OG'!CF52+'Yoy WAR OG'!CL52+'Yoy WAR OG'!CR52+'Yoy WAR OG'!CX52+'Yoy WAR OG'!DD52+'Yoy WAR OG'!DJ52+'Yoy WAR OG'!DP52+'Yoy WAR OG'!DV52+'Yoy WAR OG'!EB52+'Yoy WAR OG'!EH52+'Yoy WAR OG'!EN52+'Yoy WAR OG'!ET52+'Yoy WAR OG'!EZ52</f>
        <v>88830785.438974574</v>
      </c>
      <c r="AH51" s="449">
        <f ca="1">'Yoy WAR OG'!M52</f>
        <v>88830785.438974574</v>
      </c>
      <c r="AI51" s="449">
        <f t="shared" ca="1" si="10"/>
        <v>0</v>
      </c>
    </row>
    <row r="52" spans="1:35" x14ac:dyDescent="0.3">
      <c r="A52">
        <f>'Yoy WAR OG'!J53</f>
        <v>98</v>
      </c>
      <c r="B52" s="58">
        <f ca="1">'Yoy WAR OG'!M53</f>
        <v>95943968.274092555</v>
      </c>
      <c r="C52" s="58">
        <f>HLOOKUP('Withdrawal Working'!C$2,'Yoy WAR OG'!$J$3:$FA$79,MATCH('Withdrawal Working'!$A52,'Yoy WAR OG'!$J$3:$J$79,0),0)</f>
        <v>0</v>
      </c>
      <c r="D52" s="58">
        <f t="shared" ca="1" si="12"/>
        <v>95943968.274092555</v>
      </c>
      <c r="E52" s="58">
        <f>HLOOKUP('Withdrawal Working'!E$2,'Yoy WAR OG'!$J$3:$FA$79,MATCH('Withdrawal Working'!$A52,'Yoy WAR OG'!$J$3:$J$79,0),0)</f>
        <v>0</v>
      </c>
      <c r="F52" s="58">
        <f t="shared" ca="1" si="13"/>
        <v>95943968.274092555</v>
      </c>
      <c r="G52" s="58">
        <f>HLOOKUP('Withdrawal Working'!G$2,'Yoy WAR OG'!$J$3:$FA$79,MATCH('Withdrawal Working'!$A52,'Yoy WAR OG'!$J$3:$J$79,0),0)</f>
        <v>0</v>
      </c>
      <c r="H52" s="58">
        <f t="shared" ca="1" si="14"/>
        <v>95943968.274092555</v>
      </c>
      <c r="I52" s="58">
        <f>HLOOKUP('Withdrawal Working'!I$2,'Yoy WAR OG'!$J$3:$FA$79,MATCH('Withdrawal Working'!$A52,'Yoy WAR OG'!$J$3:$J$79,0),0)</f>
        <v>0</v>
      </c>
      <c r="J52" s="58">
        <f t="shared" ca="1" si="15"/>
        <v>95943968.274092555</v>
      </c>
      <c r="K52" s="58">
        <f ca="1">HLOOKUP('Withdrawal Working'!K$2,'Yoy WAR OG'!$J$3:$FA$79,MATCH('Withdrawal Working'!$A52,'Yoy WAR OG'!$J$3:$J$79,0),0)</f>
        <v>95943968.274092555</v>
      </c>
      <c r="L52" s="58">
        <f t="shared" ca="1" si="16"/>
        <v>0</v>
      </c>
      <c r="M52" s="58">
        <f ca="1">HLOOKUP('Withdrawal Working'!M$2,'Yoy WAR OG'!$J$3:$FA$79,MATCH('Withdrawal Working'!$A52,'Yoy WAR OG'!$J$3:$J$79,0),0)</f>
        <v>0</v>
      </c>
      <c r="N52" s="58">
        <f t="shared" ca="1" si="17"/>
        <v>0</v>
      </c>
      <c r="O52" s="58">
        <f>HLOOKUP('Withdrawal Working'!O$2,'Yoy WAR OG'!$J$3:$FA$79,MATCH('Withdrawal Working'!$A52,'Yoy WAR OG'!$J$3:$J$79,0),0)</f>
        <v>0</v>
      </c>
      <c r="P52" s="58">
        <f t="shared" ca="1" si="18"/>
        <v>0</v>
      </c>
      <c r="Q52" s="58">
        <f>HLOOKUP('Withdrawal Working'!Q$2,'Yoy WAR OG'!$J$3:$FA$79,MATCH('Withdrawal Working'!$A52,'Yoy WAR OG'!$J$3:$J$79,0),0)</f>
        <v>0</v>
      </c>
      <c r="R52" s="58">
        <f t="shared" ca="1" si="19"/>
        <v>0</v>
      </c>
      <c r="S52" s="58">
        <f>HLOOKUP('Withdrawal Working'!S$2,'Yoy WAR OG'!$J$3:$FA$79,MATCH('Withdrawal Working'!$A52,'Yoy WAR OG'!$J$3:$J$79,0),0)</f>
        <v>0</v>
      </c>
      <c r="T52" s="58">
        <f t="shared" ca="1" si="20"/>
        <v>0</v>
      </c>
      <c r="U52" s="58">
        <f>HLOOKUP('Withdrawal Working'!U$2,'Yoy WAR OG'!$J$3:$FA$79,MATCH('Withdrawal Working'!$A52,'Yoy WAR OG'!$J$3:$J$79,0),0)</f>
        <v>0</v>
      </c>
      <c r="V52" s="58">
        <f t="shared" ca="1" si="21"/>
        <v>0</v>
      </c>
      <c r="AD52">
        <f>'Yoy WAR OG'!K53</f>
        <v>2074</v>
      </c>
      <c r="AE52">
        <f ca="1">IF(AD52&lt;VLOOKUP('NWGC - SCENARIOS'!$D$7,'NWGC - SCENARIOS'!$B$11:$C$67,2,0),IF(V52&lt;0,-V52,0),IF(AI52&gt;0,'Withdrawal Working'!AI52,0))</f>
        <v>0</v>
      </c>
      <c r="AG52">
        <f ca="1">'Yoy WAR OG'!R53+'Yoy WAR OG'!X53+'Yoy WAR OG'!AD53+'Yoy WAR OG'!AJ53+'Yoy WAR OG'!AP53+'Yoy WAR OG'!AV53+'Yoy WAR OG'!BB53+'Yoy WAR OG'!BH53+'Yoy WAR OG'!BN53+'Yoy WAR OG'!BT53+'Yoy WAR OG'!BZ53+'Yoy WAR OG'!CF53+'Yoy WAR OG'!CL53+'Yoy WAR OG'!CR53+'Yoy WAR OG'!CX53+'Yoy WAR OG'!DD53+'Yoy WAR OG'!DJ53+'Yoy WAR OG'!DP53+'Yoy WAR OG'!DV53+'Yoy WAR OG'!EB53+'Yoy WAR OG'!EH53+'Yoy WAR OG'!EN53+'Yoy WAR OG'!ET53+'Yoy WAR OG'!EZ53</f>
        <v>95943968.274092555</v>
      </c>
      <c r="AH52" s="449">
        <f ca="1">'Yoy WAR OG'!M53</f>
        <v>95943968.274092555</v>
      </c>
      <c r="AI52" s="449">
        <f t="shared" ca="1" si="10"/>
        <v>0</v>
      </c>
    </row>
    <row r="53" spans="1:35" x14ac:dyDescent="0.3">
      <c r="A53">
        <f>'Yoy WAR OG'!J54</f>
        <v>99</v>
      </c>
      <c r="B53" s="58">
        <f ca="1">'Yoy WAR OG'!M54</f>
        <v>103626205.73601997</v>
      </c>
      <c r="C53" s="58">
        <f>HLOOKUP('Withdrawal Working'!C$2,'Yoy WAR OG'!$J$3:$FA$79,MATCH('Withdrawal Working'!$A53,'Yoy WAR OG'!$J$3:$J$79,0),0)</f>
        <v>0</v>
      </c>
      <c r="D53" s="58">
        <f t="shared" ca="1" si="12"/>
        <v>103626205.73601997</v>
      </c>
      <c r="E53" s="58">
        <f>HLOOKUP('Withdrawal Working'!E$2,'Yoy WAR OG'!$J$3:$FA$79,MATCH('Withdrawal Working'!$A53,'Yoy WAR OG'!$J$3:$J$79,0),0)</f>
        <v>0</v>
      </c>
      <c r="F53" s="58">
        <f t="shared" ca="1" si="13"/>
        <v>103626205.73601997</v>
      </c>
      <c r="G53" s="58">
        <f>HLOOKUP('Withdrawal Working'!G$2,'Yoy WAR OG'!$J$3:$FA$79,MATCH('Withdrawal Working'!$A53,'Yoy WAR OG'!$J$3:$J$79,0),0)</f>
        <v>0</v>
      </c>
      <c r="H53" s="58">
        <f t="shared" ca="1" si="14"/>
        <v>103626205.73601997</v>
      </c>
      <c r="I53" s="58">
        <f>HLOOKUP('Withdrawal Working'!I$2,'Yoy WAR OG'!$J$3:$FA$79,MATCH('Withdrawal Working'!$A53,'Yoy WAR OG'!$J$3:$J$79,0),0)</f>
        <v>0</v>
      </c>
      <c r="J53" s="58">
        <f t="shared" ca="1" si="15"/>
        <v>103626205.73601997</v>
      </c>
      <c r="K53" s="58">
        <f ca="1">HLOOKUP('Withdrawal Working'!K$2,'Yoy WAR OG'!$J$3:$FA$79,MATCH('Withdrawal Working'!$A53,'Yoy WAR OG'!$J$3:$J$79,0),0)</f>
        <v>103626205.73601997</v>
      </c>
      <c r="L53" s="58">
        <f t="shared" ca="1" si="16"/>
        <v>0</v>
      </c>
      <c r="M53" s="58">
        <f ca="1">HLOOKUP('Withdrawal Working'!M$2,'Yoy WAR OG'!$J$3:$FA$79,MATCH('Withdrawal Working'!$A53,'Yoy WAR OG'!$J$3:$J$79,0),0)</f>
        <v>0</v>
      </c>
      <c r="N53" s="58">
        <f t="shared" ca="1" si="17"/>
        <v>0</v>
      </c>
      <c r="O53" s="58">
        <f>HLOOKUP('Withdrawal Working'!O$2,'Yoy WAR OG'!$J$3:$FA$79,MATCH('Withdrawal Working'!$A53,'Yoy WAR OG'!$J$3:$J$79,0),0)</f>
        <v>0</v>
      </c>
      <c r="P53" s="58">
        <f t="shared" ca="1" si="18"/>
        <v>0</v>
      </c>
      <c r="Q53" s="58">
        <f>HLOOKUP('Withdrawal Working'!Q$2,'Yoy WAR OG'!$J$3:$FA$79,MATCH('Withdrawal Working'!$A53,'Yoy WAR OG'!$J$3:$J$79,0),0)</f>
        <v>0</v>
      </c>
      <c r="R53" s="58">
        <f t="shared" ca="1" si="19"/>
        <v>0</v>
      </c>
      <c r="S53" s="58">
        <f>HLOOKUP('Withdrawal Working'!S$2,'Yoy WAR OG'!$J$3:$FA$79,MATCH('Withdrawal Working'!$A53,'Yoy WAR OG'!$J$3:$J$79,0),0)</f>
        <v>0</v>
      </c>
      <c r="T53" s="58">
        <f t="shared" ca="1" si="20"/>
        <v>0</v>
      </c>
      <c r="U53" s="58">
        <f>HLOOKUP('Withdrawal Working'!U$2,'Yoy WAR OG'!$J$3:$FA$79,MATCH('Withdrawal Working'!$A53,'Yoy WAR OG'!$J$3:$J$79,0),0)</f>
        <v>0</v>
      </c>
      <c r="V53" s="58">
        <f t="shared" ca="1" si="21"/>
        <v>0</v>
      </c>
      <c r="AD53">
        <f>'Yoy WAR OG'!K54</f>
        <v>2075</v>
      </c>
      <c r="AE53">
        <f ca="1">IF(AD53&lt;VLOOKUP('NWGC - SCENARIOS'!$D$7,'NWGC - SCENARIOS'!$B$11:$C$67,2,0),IF(V53&lt;0,-V53,0),IF(AI53&gt;0,'Withdrawal Working'!AI53,0))</f>
        <v>0</v>
      </c>
      <c r="AG53">
        <f ca="1">'Yoy WAR OG'!R54+'Yoy WAR OG'!X54+'Yoy WAR OG'!AD54+'Yoy WAR OG'!AJ54+'Yoy WAR OG'!AP54+'Yoy WAR OG'!AV54+'Yoy WAR OG'!BB54+'Yoy WAR OG'!BH54+'Yoy WAR OG'!BN54+'Yoy WAR OG'!BT54+'Yoy WAR OG'!BZ54+'Yoy WAR OG'!CF54+'Yoy WAR OG'!CL54+'Yoy WAR OG'!CR54+'Yoy WAR OG'!CX54+'Yoy WAR OG'!DD54+'Yoy WAR OG'!DJ54+'Yoy WAR OG'!DP54+'Yoy WAR OG'!DV54+'Yoy WAR OG'!EB54+'Yoy WAR OG'!EH54+'Yoy WAR OG'!EN54+'Yoy WAR OG'!ET54+'Yoy WAR OG'!EZ54</f>
        <v>103626205.73601997</v>
      </c>
      <c r="AH53" s="449">
        <f ca="1">'Yoy WAR OG'!M54</f>
        <v>103626205.73601997</v>
      </c>
      <c r="AI53" s="449">
        <f t="shared" ca="1" si="10"/>
        <v>0</v>
      </c>
    </row>
    <row r="54" spans="1:35" x14ac:dyDescent="0.3">
      <c r="A54">
        <f>'Yoy WAR OG'!J55</f>
        <v>100</v>
      </c>
      <c r="B54" s="58">
        <f ca="1">'Yoy WAR OG'!M55</f>
        <v>111923022.19490159</v>
      </c>
      <c r="C54" s="58">
        <f>HLOOKUP('Withdrawal Working'!C$2,'Yoy WAR OG'!$J$3:$FA$79,MATCH('Withdrawal Working'!$A54,'Yoy WAR OG'!$J$3:$J$79,0),0)</f>
        <v>0</v>
      </c>
      <c r="D54" s="58">
        <f t="shared" ca="1" si="12"/>
        <v>111923022.19490159</v>
      </c>
      <c r="E54" s="58">
        <f>HLOOKUP('Withdrawal Working'!E$2,'Yoy WAR OG'!$J$3:$FA$79,MATCH('Withdrawal Working'!$A54,'Yoy WAR OG'!$J$3:$J$79,0),0)</f>
        <v>0</v>
      </c>
      <c r="F54" s="58">
        <f t="shared" ca="1" si="13"/>
        <v>111923022.19490159</v>
      </c>
      <c r="G54" s="58">
        <f>HLOOKUP('Withdrawal Working'!G$2,'Yoy WAR OG'!$J$3:$FA$79,MATCH('Withdrawal Working'!$A54,'Yoy WAR OG'!$J$3:$J$79,0),0)</f>
        <v>0</v>
      </c>
      <c r="H54" s="58">
        <f t="shared" ca="1" si="14"/>
        <v>111923022.19490159</v>
      </c>
      <c r="I54" s="58">
        <f>HLOOKUP('Withdrawal Working'!I$2,'Yoy WAR OG'!$J$3:$FA$79,MATCH('Withdrawal Working'!$A54,'Yoy WAR OG'!$J$3:$J$79,0),0)</f>
        <v>0</v>
      </c>
      <c r="J54" s="58">
        <f t="shared" ca="1" si="15"/>
        <v>111923022.19490159</v>
      </c>
      <c r="K54" s="58">
        <f ca="1">HLOOKUP('Withdrawal Working'!K$2,'Yoy WAR OG'!$J$3:$FA$79,MATCH('Withdrawal Working'!$A54,'Yoy WAR OG'!$J$3:$J$79,0),0)</f>
        <v>111923022.19490159</v>
      </c>
      <c r="L54" s="58">
        <f t="shared" ca="1" si="16"/>
        <v>0</v>
      </c>
      <c r="M54" s="58">
        <f ca="1">HLOOKUP('Withdrawal Working'!M$2,'Yoy WAR OG'!$J$3:$FA$79,MATCH('Withdrawal Working'!$A54,'Yoy WAR OG'!$J$3:$J$79,0),0)</f>
        <v>0</v>
      </c>
      <c r="N54" s="58">
        <f t="shared" ca="1" si="17"/>
        <v>0</v>
      </c>
      <c r="O54" s="58">
        <f>HLOOKUP('Withdrawal Working'!O$2,'Yoy WAR OG'!$J$3:$FA$79,MATCH('Withdrawal Working'!$A54,'Yoy WAR OG'!$J$3:$J$79,0),0)</f>
        <v>0</v>
      </c>
      <c r="P54" s="58">
        <f t="shared" ca="1" si="18"/>
        <v>0</v>
      </c>
      <c r="Q54" s="58">
        <f>HLOOKUP('Withdrawal Working'!Q$2,'Yoy WAR OG'!$J$3:$FA$79,MATCH('Withdrawal Working'!$A54,'Yoy WAR OG'!$J$3:$J$79,0),0)</f>
        <v>0</v>
      </c>
      <c r="R54" s="58">
        <f t="shared" ca="1" si="19"/>
        <v>0</v>
      </c>
      <c r="S54" s="58">
        <f>HLOOKUP('Withdrawal Working'!S$2,'Yoy WAR OG'!$J$3:$FA$79,MATCH('Withdrawal Working'!$A54,'Yoy WAR OG'!$J$3:$J$79,0),0)</f>
        <v>0</v>
      </c>
      <c r="T54" s="58">
        <f t="shared" ca="1" si="20"/>
        <v>0</v>
      </c>
      <c r="U54" s="58">
        <f>HLOOKUP('Withdrawal Working'!U$2,'Yoy WAR OG'!$J$3:$FA$79,MATCH('Withdrawal Working'!$A54,'Yoy WAR OG'!$J$3:$J$79,0),0)</f>
        <v>0</v>
      </c>
      <c r="V54" s="58">
        <f t="shared" ca="1" si="21"/>
        <v>0</v>
      </c>
      <c r="AD54">
        <f>'Yoy WAR OG'!K55</f>
        <v>2076</v>
      </c>
      <c r="AE54">
        <f ca="1">IF(AD54&lt;VLOOKUP('NWGC - SCENARIOS'!$D$7,'NWGC - SCENARIOS'!$B$11:$C$67,2,0),IF(V54&lt;0,-V54,0),IF(AI54&gt;0,'Withdrawal Working'!AI54,0))</f>
        <v>0</v>
      </c>
      <c r="AG54">
        <f ca="1">'Yoy WAR OG'!R55+'Yoy WAR OG'!X55+'Yoy WAR OG'!AD55+'Yoy WAR OG'!AJ55+'Yoy WAR OG'!AP55+'Yoy WAR OG'!AV55+'Yoy WAR OG'!BB55+'Yoy WAR OG'!BH55+'Yoy WAR OG'!BN55+'Yoy WAR OG'!BT55+'Yoy WAR OG'!BZ55+'Yoy WAR OG'!CF55+'Yoy WAR OG'!CL55+'Yoy WAR OG'!CR55+'Yoy WAR OG'!CX55+'Yoy WAR OG'!DD55+'Yoy WAR OG'!DJ55+'Yoy WAR OG'!DP55+'Yoy WAR OG'!DV55+'Yoy WAR OG'!EB55+'Yoy WAR OG'!EH55+'Yoy WAR OG'!EN55+'Yoy WAR OG'!ET55+'Yoy WAR OG'!EZ55</f>
        <v>111923022.19490159</v>
      </c>
      <c r="AH54" s="449">
        <f ca="1">'Yoy WAR OG'!M55</f>
        <v>111923022.19490159</v>
      </c>
      <c r="AI54" s="449">
        <f t="shared" ca="1" si="10"/>
        <v>0</v>
      </c>
    </row>
    <row r="55" spans="1:35" x14ac:dyDescent="0.3">
      <c r="A55">
        <f>'Yoy WAR OG'!J56</f>
        <v>101</v>
      </c>
      <c r="B55" s="58">
        <f ca="1">'Yoy WAR OG'!M56</f>
        <v>120883583.9704937</v>
      </c>
      <c r="C55" s="58">
        <f>HLOOKUP('Withdrawal Working'!C$2,'Yoy WAR OG'!$J$3:$FA$79,MATCH('Withdrawal Working'!$A55,'Yoy WAR OG'!$J$3:$J$79,0),0)</f>
        <v>0</v>
      </c>
      <c r="D55" s="58">
        <f t="shared" ca="1" si="12"/>
        <v>120883583.9704937</v>
      </c>
      <c r="E55" s="58">
        <f>HLOOKUP('Withdrawal Working'!E$2,'Yoy WAR OG'!$J$3:$FA$79,MATCH('Withdrawal Working'!$A55,'Yoy WAR OG'!$J$3:$J$79,0),0)</f>
        <v>0</v>
      </c>
      <c r="F55" s="58">
        <f t="shared" ca="1" si="13"/>
        <v>120883583.9704937</v>
      </c>
      <c r="G55" s="58">
        <f>HLOOKUP('Withdrawal Working'!G$2,'Yoy WAR OG'!$J$3:$FA$79,MATCH('Withdrawal Working'!$A55,'Yoy WAR OG'!$J$3:$J$79,0),0)</f>
        <v>0</v>
      </c>
      <c r="H55" s="58">
        <f t="shared" ca="1" si="14"/>
        <v>120883583.9704937</v>
      </c>
      <c r="I55" s="58">
        <f>HLOOKUP('Withdrawal Working'!I$2,'Yoy WAR OG'!$J$3:$FA$79,MATCH('Withdrawal Working'!$A55,'Yoy WAR OG'!$J$3:$J$79,0),0)</f>
        <v>0</v>
      </c>
      <c r="J55" s="58">
        <f t="shared" ca="1" si="15"/>
        <v>120883583.9704937</v>
      </c>
      <c r="K55" s="58">
        <f ca="1">HLOOKUP('Withdrawal Working'!K$2,'Yoy WAR OG'!$J$3:$FA$79,MATCH('Withdrawal Working'!$A55,'Yoy WAR OG'!$J$3:$J$79,0),0)</f>
        <v>120883583.9704937</v>
      </c>
      <c r="L55" s="58">
        <f t="shared" ca="1" si="16"/>
        <v>0</v>
      </c>
      <c r="M55" s="58">
        <f>HLOOKUP('Withdrawal Working'!M$2,'Yoy WAR OG'!$J$3:$FA$79,MATCH('Withdrawal Working'!$A55,'Yoy WAR OG'!$J$3:$J$79,0),0)</f>
        <v>0</v>
      </c>
      <c r="N55" s="58">
        <f t="shared" ca="1" si="17"/>
        <v>0</v>
      </c>
      <c r="O55" s="58">
        <f>HLOOKUP('Withdrawal Working'!O$2,'Yoy WAR OG'!$J$3:$FA$79,MATCH('Withdrawal Working'!$A55,'Yoy WAR OG'!$J$3:$J$79,0),0)</f>
        <v>0</v>
      </c>
      <c r="P55" s="58">
        <f t="shared" ca="1" si="18"/>
        <v>0</v>
      </c>
      <c r="Q55" s="58">
        <f>HLOOKUP('Withdrawal Working'!Q$2,'Yoy WAR OG'!$J$3:$FA$79,MATCH('Withdrawal Working'!$A55,'Yoy WAR OG'!$J$3:$J$79,0),0)</f>
        <v>0</v>
      </c>
      <c r="R55" s="58">
        <f t="shared" ca="1" si="19"/>
        <v>0</v>
      </c>
      <c r="S55" s="58">
        <f>HLOOKUP('Withdrawal Working'!S$2,'Yoy WAR OG'!$J$3:$FA$79,MATCH('Withdrawal Working'!$A55,'Yoy WAR OG'!$J$3:$J$79,0),0)</f>
        <v>0</v>
      </c>
      <c r="T55" s="58">
        <f t="shared" ca="1" si="20"/>
        <v>0</v>
      </c>
      <c r="U55" s="58">
        <f>HLOOKUP('Withdrawal Working'!U$2,'Yoy WAR OG'!$J$3:$FA$79,MATCH('Withdrawal Working'!$A55,'Yoy WAR OG'!$J$3:$J$79,0),0)</f>
        <v>0</v>
      </c>
      <c r="V55" s="58">
        <f t="shared" ca="1" si="21"/>
        <v>0</v>
      </c>
      <c r="AD55">
        <f>'Yoy WAR OG'!K56</f>
        <v>2077</v>
      </c>
      <c r="AE55">
        <f ca="1">IF(AD55&lt;VLOOKUP('NWGC - SCENARIOS'!$D$7,'NWGC - SCENARIOS'!$B$11:$C$67,2,0),IF(V55&lt;0,-V55,0),IF(AI55&gt;0,'Withdrawal Working'!AI55,0))</f>
        <v>0</v>
      </c>
      <c r="AG55">
        <f ca="1">'Yoy WAR OG'!R56+'Yoy WAR OG'!X56+'Yoy WAR OG'!AD56+'Yoy WAR OG'!AJ56+'Yoy WAR OG'!AP56+'Yoy WAR OG'!AV56+'Yoy WAR OG'!BB56+'Yoy WAR OG'!BH56+'Yoy WAR OG'!BN56+'Yoy WAR OG'!BT56+'Yoy WAR OG'!BZ56+'Yoy WAR OG'!CF56+'Yoy WAR OG'!CL56+'Yoy WAR OG'!CR56+'Yoy WAR OG'!CX56+'Yoy WAR OG'!DD56+'Yoy WAR OG'!DJ56+'Yoy WAR OG'!DP56+'Yoy WAR OG'!DV56+'Yoy WAR OG'!EB56+'Yoy WAR OG'!EH56+'Yoy WAR OG'!EN56+'Yoy WAR OG'!ET56+'Yoy WAR OG'!EZ56</f>
        <v>120883583.9704937</v>
      </c>
      <c r="AH55" s="449">
        <f ca="1">'Yoy WAR OG'!M56</f>
        <v>120883583.9704937</v>
      </c>
      <c r="AI55" s="449">
        <f t="shared" ca="1" si="10"/>
        <v>0</v>
      </c>
    </row>
    <row r="56" spans="1:35" x14ac:dyDescent="0.3">
      <c r="A56">
        <f>'Yoy WAR OG'!J57</f>
        <v>102</v>
      </c>
      <c r="B56" s="58">
        <f ca="1">'Yoy WAR OG'!M57</f>
        <v>130560990.68813318</v>
      </c>
      <c r="C56" s="58">
        <f>HLOOKUP('Withdrawal Working'!C$2,'Yoy WAR OG'!$J$3:$FA$79,MATCH('Withdrawal Working'!$A56,'Yoy WAR OG'!$J$3:$J$79,0),0)</f>
        <v>0</v>
      </c>
      <c r="D56" s="58">
        <f t="shared" ca="1" si="12"/>
        <v>130560990.68813318</v>
      </c>
      <c r="E56" s="58">
        <f>HLOOKUP('Withdrawal Working'!E$2,'Yoy WAR OG'!$J$3:$FA$79,MATCH('Withdrawal Working'!$A56,'Yoy WAR OG'!$J$3:$J$79,0),0)</f>
        <v>0</v>
      </c>
      <c r="F56" s="58">
        <f t="shared" ca="1" si="13"/>
        <v>130560990.68813318</v>
      </c>
      <c r="G56" s="58">
        <f>HLOOKUP('Withdrawal Working'!G$2,'Yoy WAR OG'!$J$3:$FA$79,MATCH('Withdrawal Working'!$A56,'Yoy WAR OG'!$J$3:$J$79,0),0)</f>
        <v>0</v>
      </c>
      <c r="H56" s="58">
        <f t="shared" ca="1" si="14"/>
        <v>130560990.68813318</v>
      </c>
      <c r="I56" s="58">
        <f>HLOOKUP('Withdrawal Working'!I$2,'Yoy WAR OG'!$J$3:$FA$79,MATCH('Withdrawal Working'!$A56,'Yoy WAR OG'!$J$3:$J$79,0),0)</f>
        <v>0</v>
      </c>
      <c r="J56" s="58">
        <f t="shared" ca="1" si="15"/>
        <v>130560990.68813318</v>
      </c>
      <c r="K56" s="58">
        <f ca="1">HLOOKUP('Withdrawal Working'!K$2,'Yoy WAR OG'!$J$3:$FA$79,MATCH('Withdrawal Working'!$A56,'Yoy WAR OG'!$J$3:$J$79,0),0)</f>
        <v>130560990.68813318</v>
      </c>
      <c r="L56" s="58">
        <f t="shared" ca="1" si="16"/>
        <v>0</v>
      </c>
      <c r="M56" s="58">
        <f>HLOOKUP('Withdrawal Working'!M$2,'Yoy WAR OG'!$J$3:$FA$79,MATCH('Withdrawal Working'!$A56,'Yoy WAR OG'!$J$3:$J$79,0),0)</f>
        <v>0</v>
      </c>
      <c r="N56" s="58">
        <f t="shared" ca="1" si="17"/>
        <v>0</v>
      </c>
      <c r="O56" s="58">
        <f>HLOOKUP('Withdrawal Working'!O$2,'Yoy WAR OG'!$J$3:$FA$79,MATCH('Withdrawal Working'!$A56,'Yoy WAR OG'!$J$3:$J$79,0),0)</f>
        <v>0</v>
      </c>
      <c r="P56" s="58">
        <f t="shared" ca="1" si="18"/>
        <v>0</v>
      </c>
      <c r="Q56" s="58">
        <f>HLOOKUP('Withdrawal Working'!Q$2,'Yoy WAR OG'!$J$3:$FA$79,MATCH('Withdrawal Working'!$A56,'Yoy WAR OG'!$J$3:$J$79,0),0)</f>
        <v>0</v>
      </c>
      <c r="R56" s="58">
        <f t="shared" ca="1" si="19"/>
        <v>0</v>
      </c>
      <c r="S56" s="58">
        <f>HLOOKUP('Withdrawal Working'!S$2,'Yoy WAR OG'!$J$3:$FA$79,MATCH('Withdrawal Working'!$A56,'Yoy WAR OG'!$J$3:$J$79,0),0)</f>
        <v>0</v>
      </c>
      <c r="T56" s="58">
        <f t="shared" ca="1" si="20"/>
        <v>0</v>
      </c>
      <c r="U56" s="58">
        <f>HLOOKUP('Withdrawal Working'!U$2,'Yoy WAR OG'!$J$3:$FA$79,MATCH('Withdrawal Working'!$A56,'Yoy WAR OG'!$J$3:$J$79,0),0)</f>
        <v>0</v>
      </c>
      <c r="V56" s="58">
        <f t="shared" ca="1" si="21"/>
        <v>0</v>
      </c>
      <c r="AD56">
        <f>'Yoy WAR OG'!K57</f>
        <v>2078</v>
      </c>
      <c r="AE56">
        <f ca="1">IF(AD56&lt;VLOOKUP('NWGC - SCENARIOS'!$D$7,'NWGC - SCENARIOS'!$B$11:$C$67,2,0),IF(V56&lt;0,-V56,0),IF(AI56&gt;0,'Withdrawal Working'!AI56,0))</f>
        <v>0</v>
      </c>
      <c r="AG56">
        <f ca="1">'Yoy WAR OG'!R57+'Yoy WAR OG'!X57+'Yoy WAR OG'!AD57+'Yoy WAR OG'!AJ57+'Yoy WAR OG'!AP57+'Yoy WAR OG'!AV57+'Yoy WAR OG'!BB57+'Yoy WAR OG'!BH57+'Yoy WAR OG'!BN57+'Yoy WAR OG'!BT57+'Yoy WAR OG'!BZ57+'Yoy WAR OG'!CF57+'Yoy WAR OG'!CL57+'Yoy WAR OG'!CR57+'Yoy WAR OG'!CX57+'Yoy WAR OG'!DD57+'Yoy WAR OG'!DJ57+'Yoy WAR OG'!DP57+'Yoy WAR OG'!DV57+'Yoy WAR OG'!EB57+'Yoy WAR OG'!EH57+'Yoy WAR OG'!EN57+'Yoy WAR OG'!ET57+'Yoy WAR OG'!EZ57</f>
        <v>130560990.68813318</v>
      </c>
      <c r="AH56" s="449">
        <f ca="1">'Yoy WAR OG'!M57</f>
        <v>130560990.68813318</v>
      </c>
      <c r="AI56" s="449">
        <f t="shared" ca="1" si="10"/>
        <v>0</v>
      </c>
    </row>
    <row r="57" spans="1:35" x14ac:dyDescent="0.3">
      <c r="A57">
        <f>'Yoy WAR OG'!J58</f>
        <v>103</v>
      </c>
      <c r="B57" s="58">
        <f ca="1">'Yoy WAR OG'!M58</f>
        <v>141012589.94318387</v>
      </c>
      <c r="C57" s="58">
        <f>HLOOKUP('Withdrawal Working'!C$2,'Yoy WAR OG'!$J$3:$FA$79,MATCH('Withdrawal Working'!$A57,'Yoy WAR OG'!$J$3:$J$79,0),0)</f>
        <v>0</v>
      </c>
      <c r="D57" s="58">
        <f t="shared" ca="1" si="12"/>
        <v>141012589.94318387</v>
      </c>
      <c r="E57" s="58">
        <f>HLOOKUP('Withdrawal Working'!E$2,'Yoy WAR OG'!$J$3:$FA$79,MATCH('Withdrawal Working'!$A57,'Yoy WAR OG'!$J$3:$J$79,0),0)</f>
        <v>0</v>
      </c>
      <c r="F57" s="58">
        <f t="shared" ca="1" si="13"/>
        <v>141012589.94318387</v>
      </c>
      <c r="G57" s="58">
        <f>HLOOKUP('Withdrawal Working'!G$2,'Yoy WAR OG'!$J$3:$FA$79,MATCH('Withdrawal Working'!$A57,'Yoy WAR OG'!$J$3:$J$79,0),0)</f>
        <v>0</v>
      </c>
      <c r="H57" s="58">
        <f t="shared" ca="1" si="14"/>
        <v>141012589.94318387</v>
      </c>
      <c r="I57" s="58">
        <f>HLOOKUP('Withdrawal Working'!I$2,'Yoy WAR OG'!$J$3:$FA$79,MATCH('Withdrawal Working'!$A57,'Yoy WAR OG'!$J$3:$J$79,0),0)</f>
        <v>0</v>
      </c>
      <c r="J57" s="58">
        <f t="shared" ca="1" si="15"/>
        <v>141012589.94318387</v>
      </c>
      <c r="K57" s="58">
        <f ca="1">HLOOKUP('Withdrawal Working'!K$2,'Yoy WAR OG'!$J$3:$FA$79,MATCH('Withdrawal Working'!$A57,'Yoy WAR OG'!$J$3:$J$79,0),0)</f>
        <v>141012589.94318387</v>
      </c>
      <c r="L57" s="58">
        <f t="shared" ca="1" si="16"/>
        <v>0</v>
      </c>
      <c r="M57" s="58">
        <f>HLOOKUP('Withdrawal Working'!M$2,'Yoy WAR OG'!$J$3:$FA$79,MATCH('Withdrawal Working'!$A57,'Yoy WAR OG'!$J$3:$J$79,0),0)</f>
        <v>0</v>
      </c>
      <c r="N57" s="58">
        <f t="shared" ca="1" si="17"/>
        <v>0</v>
      </c>
      <c r="O57" s="58">
        <f>HLOOKUP('Withdrawal Working'!O$2,'Yoy WAR OG'!$J$3:$FA$79,MATCH('Withdrawal Working'!$A57,'Yoy WAR OG'!$J$3:$J$79,0),0)</f>
        <v>0</v>
      </c>
      <c r="P57" s="58">
        <f t="shared" ca="1" si="18"/>
        <v>0</v>
      </c>
      <c r="Q57" s="58">
        <f>HLOOKUP('Withdrawal Working'!Q$2,'Yoy WAR OG'!$J$3:$FA$79,MATCH('Withdrawal Working'!$A57,'Yoy WAR OG'!$J$3:$J$79,0),0)</f>
        <v>0</v>
      </c>
      <c r="R57" s="58">
        <f t="shared" ca="1" si="19"/>
        <v>0</v>
      </c>
      <c r="S57" s="58">
        <f>HLOOKUP('Withdrawal Working'!S$2,'Yoy WAR OG'!$J$3:$FA$79,MATCH('Withdrawal Working'!$A57,'Yoy WAR OG'!$J$3:$J$79,0),0)</f>
        <v>0</v>
      </c>
      <c r="T57" s="58">
        <f t="shared" ca="1" si="20"/>
        <v>0</v>
      </c>
      <c r="U57" s="58">
        <f>HLOOKUP('Withdrawal Working'!U$2,'Yoy WAR OG'!$J$3:$FA$79,MATCH('Withdrawal Working'!$A57,'Yoy WAR OG'!$J$3:$J$79,0),0)</f>
        <v>0</v>
      </c>
      <c r="V57" s="58">
        <f t="shared" ca="1" si="21"/>
        <v>0</v>
      </c>
      <c r="AD57">
        <f>'Yoy WAR OG'!K58</f>
        <v>2079</v>
      </c>
      <c r="AE57">
        <f ca="1">IF(AD57&lt;VLOOKUP('NWGC - SCENARIOS'!$D$7,'NWGC - SCENARIOS'!$B$11:$C$67,2,0),IF(V57&lt;0,-V57,0),IF(AI57&gt;0,'Withdrawal Working'!AI57,0))</f>
        <v>0</v>
      </c>
      <c r="AG57">
        <f ca="1">'Yoy WAR OG'!R58+'Yoy WAR OG'!X58+'Yoy WAR OG'!AD58+'Yoy WAR OG'!AJ58+'Yoy WAR OG'!AP58+'Yoy WAR OG'!AV58+'Yoy WAR OG'!BB58+'Yoy WAR OG'!BH58+'Yoy WAR OG'!BN58+'Yoy WAR OG'!BT58+'Yoy WAR OG'!BZ58+'Yoy WAR OG'!CF58+'Yoy WAR OG'!CL58+'Yoy WAR OG'!CR58+'Yoy WAR OG'!CX58+'Yoy WAR OG'!DD58+'Yoy WAR OG'!DJ58+'Yoy WAR OG'!DP58+'Yoy WAR OG'!DV58+'Yoy WAR OG'!EB58+'Yoy WAR OG'!EH58+'Yoy WAR OG'!EN58+'Yoy WAR OG'!ET58+'Yoy WAR OG'!EZ58</f>
        <v>141012589.94318387</v>
      </c>
      <c r="AH57" s="449">
        <f ca="1">'Yoy WAR OG'!M58</f>
        <v>141012589.94318387</v>
      </c>
      <c r="AI57" s="449">
        <f t="shared" ca="1" si="10"/>
        <v>0</v>
      </c>
    </row>
    <row r="58" spans="1:35" x14ac:dyDescent="0.3">
      <c r="A58">
        <f>'Yoy WAR OG'!J59</f>
        <v>104</v>
      </c>
      <c r="B58" s="58">
        <f ca="1">'Yoy WAR OG'!M59</f>
        <v>152300317.13863859</v>
      </c>
      <c r="C58" s="58">
        <f>HLOOKUP('Withdrawal Working'!C$2,'Yoy WAR OG'!$J$3:$FA$79,MATCH('Withdrawal Working'!$A58,'Yoy WAR OG'!$J$3:$J$79,0),0)</f>
        <v>0</v>
      </c>
      <c r="D58" s="58">
        <f t="shared" ca="1" si="12"/>
        <v>152300317.13863859</v>
      </c>
      <c r="E58" s="58">
        <f>HLOOKUP('Withdrawal Working'!E$2,'Yoy WAR OG'!$J$3:$FA$79,MATCH('Withdrawal Working'!$A58,'Yoy WAR OG'!$J$3:$J$79,0),0)</f>
        <v>0</v>
      </c>
      <c r="F58" s="58">
        <f t="shared" ca="1" si="13"/>
        <v>152300317.13863859</v>
      </c>
      <c r="G58" s="58">
        <f>HLOOKUP('Withdrawal Working'!G$2,'Yoy WAR OG'!$J$3:$FA$79,MATCH('Withdrawal Working'!$A58,'Yoy WAR OG'!$J$3:$J$79,0),0)</f>
        <v>0</v>
      </c>
      <c r="H58" s="58">
        <f t="shared" ca="1" si="14"/>
        <v>152300317.13863859</v>
      </c>
      <c r="I58" s="58">
        <f>HLOOKUP('Withdrawal Working'!I$2,'Yoy WAR OG'!$J$3:$FA$79,MATCH('Withdrawal Working'!$A58,'Yoy WAR OG'!$J$3:$J$79,0),0)</f>
        <v>0</v>
      </c>
      <c r="J58" s="58">
        <f t="shared" ca="1" si="15"/>
        <v>152300317.13863859</v>
      </c>
      <c r="K58" s="58">
        <f ca="1">HLOOKUP('Withdrawal Working'!K$2,'Yoy WAR OG'!$J$3:$FA$79,MATCH('Withdrawal Working'!$A58,'Yoy WAR OG'!$J$3:$J$79,0),0)</f>
        <v>120154649.44351973</v>
      </c>
      <c r="L58" s="58">
        <f t="shared" ca="1" si="16"/>
        <v>32145667.695118859</v>
      </c>
      <c r="M58" s="58">
        <f>HLOOKUP('Withdrawal Working'!M$2,'Yoy WAR OG'!$J$3:$FA$79,MATCH('Withdrawal Working'!$A58,'Yoy WAR OG'!$J$3:$J$79,0),0)</f>
        <v>0</v>
      </c>
      <c r="N58" s="58">
        <f t="shared" ca="1" si="17"/>
        <v>32145667.695118859</v>
      </c>
      <c r="O58" s="58">
        <f>HLOOKUP('Withdrawal Working'!O$2,'Yoy WAR OG'!$J$3:$FA$79,MATCH('Withdrawal Working'!$A58,'Yoy WAR OG'!$J$3:$J$79,0),0)</f>
        <v>0</v>
      </c>
      <c r="P58" s="58">
        <f t="shared" ca="1" si="18"/>
        <v>32145667.695118859</v>
      </c>
      <c r="Q58" s="58">
        <f>HLOOKUP('Withdrawal Working'!Q$2,'Yoy WAR OG'!$J$3:$FA$79,MATCH('Withdrawal Working'!$A58,'Yoy WAR OG'!$J$3:$J$79,0),0)</f>
        <v>0</v>
      </c>
      <c r="R58" s="58">
        <f t="shared" ca="1" si="19"/>
        <v>32145667.695118859</v>
      </c>
      <c r="S58" s="58">
        <f>HLOOKUP('Withdrawal Working'!S$2,'Yoy WAR OG'!$J$3:$FA$79,MATCH('Withdrawal Working'!$A58,'Yoy WAR OG'!$J$3:$J$79,0),0)</f>
        <v>0</v>
      </c>
      <c r="T58" s="58">
        <f t="shared" ca="1" si="20"/>
        <v>32145667.695118859</v>
      </c>
      <c r="U58" s="58">
        <f>HLOOKUP('Withdrawal Working'!U$2,'Yoy WAR OG'!$J$3:$FA$79,MATCH('Withdrawal Working'!$A58,'Yoy WAR OG'!$J$3:$J$79,0),0)</f>
        <v>0</v>
      </c>
      <c r="V58" s="58">
        <f t="shared" ca="1" si="21"/>
        <v>32145667.695118859</v>
      </c>
      <c r="AD58">
        <f>'Yoy WAR OG'!K59</f>
        <v>2080</v>
      </c>
      <c r="AE58">
        <f ca="1">IF(AD58&lt;VLOOKUP('NWGC - SCENARIOS'!$D$7,'NWGC - SCENARIOS'!$B$11:$C$67,2,0),IF(V58&lt;0,-V58,0),IF(AI58&gt;0,'Withdrawal Working'!AI58,0))</f>
        <v>0</v>
      </c>
      <c r="AG58">
        <f ca="1">'Yoy WAR OG'!R59+'Yoy WAR OG'!X59+'Yoy WAR OG'!AD59+'Yoy WAR OG'!AJ59+'Yoy WAR OG'!AP59+'Yoy WAR OG'!AV59+'Yoy WAR OG'!BB59+'Yoy WAR OG'!BH59+'Yoy WAR OG'!BN59+'Yoy WAR OG'!BT59+'Yoy WAR OG'!BZ59+'Yoy WAR OG'!CF59+'Yoy WAR OG'!CL59+'Yoy WAR OG'!CR59+'Yoy WAR OG'!CX59+'Yoy WAR OG'!DD59+'Yoy WAR OG'!DJ59+'Yoy WAR OG'!DP59+'Yoy WAR OG'!DV59+'Yoy WAR OG'!EB59+'Yoy WAR OG'!EH59+'Yoy WAR OG'!EN59+'Yoy WAR OG'!ET59+'Yoy WAR OG'!EZ59</f>
        <v>120154649.44351973</v>
      </c>
      <c r="AH58" s="449">
        <f ca="1">'Yoy WAR OG'!M59</f>
        <v>152300317.13863859</v>
      </c>
      <c r="AI58" s="449">
        <f t="shared" ca="1" si="10"/>
        <v>-32145667.695118859</v>
      </c>
    </row>
    <row r="59" spans="1:35" x14ac:dyDescent="0.3">
      <c r="A59">
        <f>'Yoy WAR OG'!J60</f>
        <v>105</v>
      </c>
      <c r="B59" s="58">
        <f ca="1">'Yoy WAR OG'!M60</f>
        <v>164491062.50972965</v>
      </c>
      <c r="C59" s="58">
        <f>HLOOKUP('Withdrawal Working'!C$2,'Yoy WAR OG'!$J$3:$FA$79,MATCH('Withdrawal Working'!$A59,'Yoy WAR OG'!$J$3:$J$79,0),0)</f>
        <v>0</v>
      </c>
      <c r="D59" s="58">
        <f t="shared" ca="1" si="12"/>
        <v>164491062.50972965</v>
      </c>
      <c r="E59" s="58">
        <f>HLOOKUP('Withdrawal Working'!E$2,'Yoy WAR OG'!$J$3:$FA$79,MATCH('Withdrawal Working'!$A59,'Yoy WAR OG'!$J$3:$J$79,0),0)</f>
        <v>0</v>
      </c>
      <c r="F59" s="58">
        <f t="shared" ca="1" si="13"/>
        <v>164491062.50972965</v>
      </c>
      <c r="G59" s="58">
        <f>HLOOKUP('Withdrawal Working'!G$2,'Yoy WAR OG'!$J$3:$FA$79,MATCH('Withdrawal Working'!$A59,'Yoy WAR OG'!$J$3:$J$79,0),0)</f>
        <v>0</v>
      </c>
      <c r="H59" s="58">
        <f t="shared" ca="1" si="14"/>
        <v>164491062.50972965</v>
      </c>
      <c r="I59" s="58">
        <f>HLOOKUP('Withdrawal Working'!I$2,'Yoy WAR OG'!$J$3:$FA$79,MATCH('Withdrawal Working'!$A59,'Yoy WAR OG'!$J$3:$J$79,0),0)</f>
        <v>0</v>
      </c>
      <c r="J59" s="58">
        <f t="shared" ca="1" si="15"/>
        <v>164491062.50972965</v>
      </c>
      <c r="K59" s="58">
        <f ca="1">HLOOKUP('Withdrawal Working'!K$2,'Yoy WAR OG'!$J$3:$FA$79,MATCH('Withdrawal Working'!$A59,'Yoy WAR OG'!$J$3:$J$79,0),0)</f>
        <v>0</v>
      </c>
      <c r="L59" s="58">
        <f t="shared" ca="1" si="16"/>
        <v>164491062.50972965</v>
      </c>
      <c r="M59" s="58">
        <f>HLOOKUP('Withdrawal Working'!M$2,'Yoy WAR OG'!$J$3:$FA$79,MATCH('Withdrawal Working'!$A59,'Yoy WAR OG'!$J$3:$J$79,0),0)</f>
        <v>0</v>
      </c>
      <c r="N59" s="58">
        <f t="shared" ca="1" si="17"/>
        <v>164491062.50972965</v>
      </c>
      <c r="O59" s="58">
        <f>HLOOKUP('Withdrawal Working'!O$2,'Yoy WAR OG'!$J$3:$FA$79,MATCH('Withdrawal Working'!$A59,'Yoy WAR OG'!$J$3:$J$79,0),0)</f>
        <v>0</v>
      </c>
      <c r="P59" s="58">
        <f t="shared" ca="1" si="18"/>
        <v>164491062.50972965</v>
      </c>
      <c r="Q59" s="58">
        <f>HLOOKUP('Withdrawal Working'!Q$2,'Yoy WAR OG'!$J$3:$FA$79,MATCH('Withdrawal Working'!$A59,'Yoy WAR OG'!$J$3:$J$79,0),0)</f>
        <v>0</v>
      </c>
      <c r="R59" s="58">
        <f t="shared" ca="1" si="19"/>
        <v>164491062.50972965</v>
      </c>
      <c r="S59" s="58">
        <f>HLOOKUP('Withdrawal Working'!S$2,'Yoy WAR OG'!$J$3:$FA$79,MATCH('Withdrawal Working'!$A59,'Yoy WAR OG'!$J$3:$J$79,0),0)</f>
        <v>0</v>
      </c>
      <c r="T59" s="58">
        <f t="shared" ca="1" si="20"/>
        <v>164491062.50972965</v>
      </c>
      <c r="U59" s="58">
        <f>HLOOKUP('Withdrawal Working'!U$2,'Yoy WAR OG'!$J$3:$FA$79,MATCH('Withdrawal Working'!$A59,'Yoy WAR OG'!$J$3:$J$79,0),0)</f>
        <v>0</v>
      </c>
      <c r="V59" s="58">
        <f t="shared" ca="1" si="21"/>
        <v>164491062.50972965</v>
      </c>
      <c r="AD59">
        <f>'Yoy WAR OG'!K60</f>
        <v>2081</v>
      </c>
      <c r="AE59">
        <f ca="1">IF(AD59&lt;VLOOKUP('NWGC - SCENARIOS'!$D$7,'NWGC - SCENARIOS'!$B$11:$C$67,2,0),IF(V59&lt;0,-V59,0),IF(AI59&gt;0,'Withdrawal Working'!AI59,0))</f>
        <v>0</v>
      </c>
      <c r="AG59">
        <f ca="1">'Yoy WAR OG'!R60+'Yoy WAR OG'!X60+'Yoy WAR OG'!AD60+'Yoy WAR OG'!AJ60+'Yoy WAR OG'!AP60+'Yoy WAR OG'!AV60+'Yoy WAR OG'!BB60+'Yoy WAR OG'!BH60+'Yoy WAR OG'!BN60+'Yoy WAR OG'!BT60+'Yoy WAR OG'!BZ60+'Yoy WAR OG'!CF60+'Yoy WAR OG'!CL60+'Yoy WAR OG'!CR60+'Yoy WAR OG'!CX60+'Yoy WAR OG'!DD60+'Yoy WAR OG'!DJ60+'Yoy WAR OG'!DP60+'Yoy WAR OG'!DV60+'Yoy WAR OG'!EB60+'Yoy WAR OG'!EH60+'Yoy WAR OG'!EN60+'Yoy WAR OG'!ET60+'Yoy WAR OG'!EZ60</f>
        <v>0</v>
      </c>
      <c r="AH59" s="449">
        <f ca="1">'Yoy WAR OG'!M60</f>
        <v>164491062.50972965</v>
      </c>
      <c r="AI59" s="449">
        <f t="shared" ca="1" si="10"/>
        <v>-164491062.50972965</v>
      </c>
    </row>
    <row r="60" spans="1:35" x14ac:dyDescent="0.3">
      <c r="A60">
        <f>'Yoy WAR OG'!J61</f>
        <v>0</v>
      </c>
      <c r="B60" s="58" t="e">
        <f>'Yoy WAR OG'!M61</f>
        <v>#REF!</v>
      </c>
      <c r="C60" s="58">
        <f>HLOOKUP('Withdrawal Working'!C$2,'Yoy WAR OG'!$J$3:$FA$79,MATCH('Withdrawal Working'!$A60,'Yoy WAR OG'!$J$3:$J$79,0),0)</f>
        <v>0</v>
      </c>
      <c r="D60" s="58" t="e">
        <f t="shared" si="12"/>
        <v>#REF!</v>
      </c>
      <c r="E60" s="58">
        <f>HLOOKUP('Withdrawal Working'!E$2,'Yoy WAR OG'!$J$3:$FA$79,MATCH('Withdrawal Working'!$A60,'Yoy WAR OG'!$J$3:$J$79,0),0)</f>
        <v>0</v>
      </c>
      <c r="F60" s="58" t="e">
        <f t="shared" si="13"/>
        <v>#REF!</v>
      </c>
      <c r="G60" s="58">
        <f>HLOOKUP('Withdrawal Working'!G$2,'Yoy WAR OG'!$J$3:$FA$79,MATCH('Withdrawal Working'!$A60,'Yoy WAR OG'!$J$3:$J$79,0),0)</f>
        <v>0</v>
      </c>
      <c r="H60" s="58" t="e">
        <f t="shared" si="14"/>
        <v>#REF!</v>
      </c>
      <c r="I60" s="58">
        <f>HLOOKUP('Withdrawal Working'!I$2,'Yoy WAR OG'!$J$3:$FA$79,MATCH('Withdrawal Working'!$A60,'Yoy WAR OG'!$J$3:$J$79,0),0)</f>
        <v>0</v>
      </c>
      <c r="J60" s="58" t="e">
        <f t="shared" si="15"/>
        <v>#REF!</v>
      </c>
      <c r="K60" s="58">
        <f ca="1">HLOOKUP('Withdrawal Working'!K$2,'Yoy WAR OG'!$J$3:$FA$79,MATCH('Withdrawal Working'!$A60,'Yoy WAR OG'!$J$3:$J$79,0),0)</f>
        <v>0</v>
      </c>
      <c r="L60" s="58" t="e">
        <f t="shared" ca="1" si="16"/>
        <v>#REF!</v>
      </c>
      <c r="M60" s="58">
        <f ca="1">HLOOKUP('Withdrawal Working'!M$2,'Yoy WAR OG'!$J$3:$FA$79,MATCH('Withdrawal Working'!$A60,'Yoy WAR OG'!$J$3:$J$79,0),0)</f>
        <v>0</v>
      </c>
      <c r="N60" s="58" t="e">
        <f t="shared" ca="1" si="17"/>
        <v>#REF!</v>
      </c>
      <c r="O60" s="58">
        <f>HLOOKUP('Withdrawal Working'!O$2,'Yoy WAR OG'!$J$3:$FA$79,MATCH('Withdrawal Working'!$A60,'Yoy WAR OG'!$J$3:$J$79,0),0)</f>
        <v>0</v>
      </c>
      <c r="P60" s="58" t="e">
        <f t="shared" ca="1" si="18"/>
        <v>#REF!</v>
      </c>
      <c r="Q60" s="58">
        <f>HLOOKUP('Withdrawal Working'!Q$2,'Yoy WAR OG'!$J$3:$FA$79,MATCH('Withdrawal Working'!$A60,'Yoy WAR OG'!$J$3:$J$79,0),0)</f>
        <v>0</v>
      </c>
      <c r="R60" s="58" t="e">
        <f t="shared" ca="1" si="19"/>
        <v>#REF!</v>
      </c>
      <c r="S60" s="58">
        <f>HLOOKUP('Withdrawal Working'!S$2,'Yoy WAR OG'!$J$3:$FA$79,MATCH('Withdrawal Working'!$A60,'Yoy WAR OG'!$J$3:$J$79,0),0)</f>
        <v>0</v>
      </c>
      <c r="T60" s="58" t="e">
        <f t="shared" ca="1" si="20"/>
        <v>#REF!</v>
      </c>
      <c r="U60" s="58">
        <f>HLOOKUP('Withdrawal Working'!U$2,'Yoy WAR OG'!$J$3:$FA$79,MATCH('Withdrawal Working'!$A60,'Yoy WAR OG'!$J$3:$J$79,0),0)</f>
        <v>0</v>
      </c>
      <c r="V60" s="58" t="e">
        <f t="shared" ca="1" si="21"/>
        <v>#REF!</v>
      </c>
      <c r="AD60">
        <f>'Yoy WAR OG'!K61</f>
        <v>0</v>
      </c>
      <c r="AE60" t="e">
        <f ca="1">IF(AD60&lt;VLOOKUP('NWGC - SCENARIOS'!$D$7,'NWGC - SCENARIOS'!$B$11:$C$67,2,0),IF(V60&lt;0,-V60,0),IF(AI60&gt;0,'Withdrawal Working'!AI60,0))</f>
        <v>#REF!</v>
      </c>
      <c r="AG60">
        <f ca="1">'Yoy WAR OG'!R61+'Yoy WAR OG'!X61+'Yoy WAR OG'!AD61+'Yoy WAR OG'!AJ61+'Yoy WAR OG'!AP61+'Yoy WAR OG'!AV61+'Yoy WAR OG'!BB61+'Yoy WAR OG'!BH61+'Yoy WAR OG'!BN61+'Yoy WAR OG'!BT61+'Yoy WAR OG'!BZ61+'Yoy WAR OG'!CF61+'Yoy WAR OG'!CL61+'Yoy WAR OG'!CR61+'Yoy WAR OG'!CX61+'Yoy WAR OG'!DD61+'Yoy WAR OG'!DJ61+'Yoy WAR OG'!DP61+'Yoy WAR OG'!DV61+'Yoy WAR OG'!EB61+'Yoy WAR OG'!EH61+'Yoy WAR OG'!EN61+'Yoy WAR OG'!ET61+'Yoy WAR OG'!EZ61</f>
        <v>327720806.24860084</v>
      </c>
      <c r="AH60" s="449" t="e">
        <f>'Yoy WAR OG'!M61</f>
        <v>#REF!</v>
      </c>
      <c r="AI60" s="449" t="e">
        <f t="shared" ca="1" si="10"/>
        <v>#REF!</v>
      </c>
    </row>
    <row r="61" spans="1:35" x14ac:dyDescent="0.3">
      <c r="A61">
        <f>'Yoy WAR OG'!J62</f>
        <v>0</v>
      </c>
      <c r="B61" s="58" t="e">
        <f>'Yoy WAR OG'!M62</f>
        <v>#REF!</v>
      </c>
      <c r="C61" s="58">
        <f>HLOOKUP('Withdrawal Working'!C$2,'Yoy WAR OG'!$J$3:$FA$79,MATCH('Withdrawal Working'!$A61,'Yoy WAR OG'!$J$3:$J$79,0),0)</f>
        <v>0</v>
      </c>
      <c r="D61" s="58" t="e">
        <f t="shared" si="12"/>
        <v>#REF!</v>
      </c>
      <c r="E61" s="58">
        <f>HLOOKUP('Withdrawal Working'!E$2,'Yoy WAR OG'!$J$3:$FA$79,MATCH('Withdrawal Working'!$A61,'Yoy WAR OG'!$J$3:$J$79,0),0)</f>
        <v>0</v>
      </c>
      <c r="F61" s="58" t="e">
        <f t="shared" si="13"/>
        <v>#REF!</v>
      </c>
      <c r="G61" s="58">
        <f>HLOOKUP('Withdrawal Working'!G$2,'Yoy WAR OG'!$J$3:$FA$79,MATCH('Withdrawal Working'!$A61,'Yoy WAR OG'!$J$3:$J$79,0),0)</f>
        <v>0</v>
      </c>
      <c r="H61" s="58" t="e">
        <f t="shared" si="14"/>
        <v>#REF!</v>
      </c>
      <c r="I61" s="58">
        <f>HLOOKUP('Withdrawal Working'!I$2,'Yoy WAR OG'!$J$3:$FA$79,MATCH('Withdrawal Working'!$A61,'Yoy WAR OG'!$J$3:$J$79,0),0)</f>
        <v>0</v>
      </c>
      <c r="J61" s="58" t="e">
        <f t="shared" si="15"/>
        <v>#REF!</v>
      </c>
      <c r="K61" s="58">
        <f ca="1">HLOOKUP('Withdrawal Working'!K$2,'Yoy WAR OG'!$J$3:$FA$79,MATCH('Withdrawal Working'!$A61,'Yoy WAR OG'!$J$3:$J$79,0),0)</f>
        <v>0</v>
      </c>
      <c r="L61" s="58" t="e">
        <f t="shared" ca="1" si="16"/>
        <v>#REF!</v>
      </c>
      <c r="M61" s="58">
        <f ca="1">HLOOKUP('Withdrawal Working'!M$2,'Yoy WAR OG'!$J$3:$FA$79,MATCH('Withdrawal Working'!$A61,'Yoy WAR OG'!$J$3:$J$79,0),0)</f>
        <v>0</v>
      </c>
      <c r="N61" s="58" t="e">
        <f t="shared" ca="1" si="17"/>
        <v>#REF!</v>
      </c>
      <c r="O61" s="58">
        <f>HLOOKUP('Withdrawal Working'!O$2,'Yoy WAR OG'!$J$3:$FA$79,MATCH('Withdrawal Working'!$A61,'Yoy WAR OG'!$J$3:$J$79,0),0)</f>
        <v>0</v>
      </c>
      <c r="P61" s="58" t="e">
        <f t="shared" ca="1" si="18"/>
        <v>#REF!</v>
      </c>
      <c r="Q61" s="58">
        <f>HLOOKUP('Withdrawal Working'!Q$2,'Yoy WAR OG'!$J$3:$FA$79,MATCH('Withdrawal Working'!$A61,'Yoy WAR OG'!$J$3:$J$79,0),0)</f>
        <v>0</v>
      </c>
      <c r="R61" s="58" t="e">
        <f t="shared" ca="1" si="19"/>
        <v>#REF!</v>
      </c>
      <c r="S61" s="58">
        <f>HLOOKUP('Withdrawal Working'!S$2,'Yoy WAR OG'!$J$3:$FA$79,MATCH('Withdrawal Working'!$A61,'Yoy WAR OG'!$J$3:$J$79,0),0)</f>
        <v>0</v>
      </c>
      <c r="T61" s="58" t="e">
        <f t="shared" ca="1" si="20"/>
        <v>#REF!</v>
      </c>
      <c r="U61" s="58">
        <f>HLOOKUP('Withdrawal Working'!U$2,'Yoy WAR OG'!$J$3:$FA$79,MATCH('Withdrawal Working'!$A61,'Yoy WAR OG'!$J$3:$J$79,0),0)</f>
        <v>0</v>
      </c>
      <c r="V61" s="58" t="e">
        <f t="shared" ca="1" si="21"/>
        <v>#REF!</v>
      </c>
      <c r="AD61">
        <f>'Yoy WAR OG'!K62</f>
        <v>0</v>
      </c>
      <c r="AE61" t="e">
        <f ca="1">IF(AD61&lt;VLOOKUP('NWGC - SCENARIOS'!$D$7,'NWGC - SCENARIOS'!$B$11:$C$67,2,0),IF(V61&lt;0,-V61,0),IF(AI61&gt;0,'Withdrawal Working'!AI61,0))</f>
        <v>#REF!</v>
      </c>
      <c r="AG61">
        <f ca="1">'Yoy WAR OG'!R62+'Yoy WAR OG'!X62+'Yoy WAR OG'!AD62+'Yoy WAR OG'!AJ62+'Yoy WAR OG'!AP62+'Yoy WAR OG'!AV62+'Yoy WAR OG'!BB62+'Yoy WAR OG'!BH62+'Yoy WAR OG'!BN62+'Yoy WAR OG'!BT62+'Yoy WAR OG'!BZ62+'Yoy WAR OG'!CF62+'Yoy WAR OG'!CL62+'Yoy WAR OG'!CR62+'Yoy WAR OG'!CX62+'Yoy WAR OG'!DD62+'Yoy WAR OG'!DJ62+'Yoy WAR OG'!DP62+'Yoy WAR OG'!DV62+'Yoy WAR OG'!EB62+'Yoy WAR OG'!EH62+'Yoy WAR OG'!EN62+'Yoy WAR OG'!ET62+'Yoy WAR OG'!EZ62</f>
        <v>0</v>
      </c>
      <c r="AH61" s="449" t="e">
        <f>'Yoy WAR OG'!M62</f>
        <v>#REF!</v>
      </c>
      <c r="AI61" s="449" t="e">
        <f t="shared" ca="1" si="10"/>
        <v>#REF!</v>
      </c>
    </row>
    <row r="62" spans="1:35" x14ac:dyDescent="0.3">
      <c r="A62">
        <f>'Yoy WAR OG'!J63</f>
        <v>0</v>
      </c>
      <c r="B62" s="58" t="e">
        <f>'Yoy WAR OG'!M63</f>
        <v>#REF!</v>
      </c>
      <c r="C62" s="58">
        <f>HLOOKUP('Withdrawal Working'!C$2,'Yoy WAR OG'!$J$3:$FA$79,MATCH('Withdrawal Working'!$A62,'Yoy WAR OG'!$J$3:$J$79,0),0)</f>
        <v>0</v>
      </c>
      <c r="D62" s="58" t="e">
        <f t="shared" si="12"/>
        <v>#REF!</v>
      </c>
      <c r="E62" s="58">
        <f>HLOOKUP('Withdrawal Working'!E$2,'Yoy WAR OG'!$J$3:$FA$79,MATCH('Withdrawal Working'!$A62,'Yoy WAR OG'!$J$3:$J$79,0),0)</f>
        <v>0</v>
      </c>
      <c r="F62" s="58" t="e">
        <f t="shared" si="13"/>
        <v>#REF!</v>
      </c>
      <c r="G62" s="58">
        <f>HLOOKUP('Withdrawal Working'!G$2,'Yoy WAR OG'!$J$3:$FA$79,MATCH('Withdrawal Working'!$A62,'Yoy WAR OG'!$J$3:$J$79,0),0)</f>
        <v>0</v>
      </c>
      <c r="H62" s="58" t="e">
        <f t="shared" si="14"/>
        <v>#REF!</v>
      </c>
      <c r="I62" s="58">
        <f>HLOOKUP('Withdrawal Working'!I$2,'Yoy WAR OG'!$J$3:$FA$79,MATCH('Withdrawal Working'!$A62,'Yoy WAR OG'!$J$3:$J$79,0),0)</f>
        <v>0</v>
      </c>
      <c r="J62" s="58" t="e">
        <f t="shared" si="15"/>
        <v>#REF!</v>
      </c>
      <c r="K62" s="58">
        <f ca="1">HLOOKUP('Withdrawal Working'!K$2,'Yoy WAR OG'!$J$3:$FA$79,MATCH('Withdrawal Working'!$A62,'Yoy WAR OG'!$J$3:$J$79,0),0)</f>
        <v>0</v>
      </c>
      <c r="L62" s="58" t="e">
        <f t="shared" ca="1" si="16"/>
        <v>#REF!</v>
      </c>
      <c r="M62" s="58">
        <f ca="1">HLOOKUP('Withdrawal Working'!M$2,'Yoy WAR OG'!$J$3:$FA$79,MATCH('Withdrawal Working'!$A62,'Yoy WAR OG'!$J$3:$J$79,0),0)</f>
        <v>0</v>
      </c>
      <c r="N62" s="58" t="e">
        <f t="shared" ca="1" si="17"/>
        <v>#REF!</v>
      </c>
      <c r="O62" s="58">
        <f>HLOOKUP('Withdrawal Working'!O$2,'Yoy WAR OG'!$J$3:$FA$79,MATCH('Withdrawal Working'!$A62,'Yoy WAR OG'!$J$3:$J$79,0),0)</f>
        <v>0</v>
      </c>
      <c r="P62" s="58" t="e">
        <f t="shared" ca="1" si="18"/>
        <v>#REF!</v>
      </c>
      <c r="Q62" s="58">
        <f>HLOOKUP('Withdrawal Working'!Q$2,'Yoy WAR OG'!$J$3:$FA$79,MATCH('Withdrawal Working'!$A62,'Yoy WAR OG'!$J$3:$J$79,0),0)</f>
        <v>0</v>
      </c>
      <c r="R62" s="58" t="e">
        <f t="shared" ca="1" si="19"/>
        <v>#REF!</v>
      </c>
      <c r="S62" s="58">
        <f>HLOOKUP('Withdrawal Working'!S$2,'Yoy WAR OG'!$J$3:$FA$79,MATCH('Withdrawal Working'!$A62,'Yoy WAR OG'!$J$3:$J$79,0),0)</f>
        <v>0</v>
      </c>
      <c r="T62" s="58" t="e">
        <f t="shared" ca="1" si="20"/>
        <v>#REF!</v>
      </c>
      <c r="U62" s="58">
        <f>HLOOKUP('Withdrawal Working'!U$2,'Yoy WAR OG'!$J$3:$FA$79,MATCH('Withdrawal Working'!$A62,'Yoy WAR OG'!$J$3:$J$79,0),0)</f>
        <v>0</v>
      </c>
      <c r="V62" s="58" t="e">
        <f t="shared" ca="1" si="21"/>
        <v>#REF!</v>
      </c>
      <c r="AD62">
        <f>'Yoy WAR OG'!K63</f>
        <v>0</v>
      </c>
      <c r="AE62" t="e">
        <f ca="1">IF(AD62&lt;VLOOKUP('NWGC - SCENARIOS'!$D$7,'NWGC - SCENARIOS'!$B$11:$C$67,2,0),IF(V62&lt;0,-V62,0),IF(AI62&gt;0,'Withdrawal Working'!AI62,0))</f>
        <v>#REF!</v>
      </c>
      <c r="AG62">
        <f ca="1">'Yoy WAR OG'!R63+'Yoy WAR OG'!X63+'Yoy WAR OG'!AD63+'Yoy WAR OG'!AJ63+'Yoy WAR OG'!AP63+'Yoy WAR OG'!AV63+'Yoy WAR OG'!BB63+'Yoy WAR OG'!BH63+'Yoy WAR OG'!BN63+'Yoy WAR OG'!BT63+'Yoy WAR OG'!BZ63+'Yoy WAR OG'!CF63+'Yoy WAR OG'!CL63+'Yoy WAR OG'!CR63+'Yoy WAR OG'!CX63+'Yoy WAR OG'!DD63+'Yoy WAR OG'!DJ63+'Yoy WAR OG'!DP63+'Yoy WAR OG'!DV63+'Yoy WAR OG'!EB63+'Yoy WAR OG'!EH63+'Yoy WAR OG'!EN63+'Yoy WAR OG'!ET63+'Yoy WAR OG'!EZ63</f>
        <v>0</v>
      </c>
      <c r="AH62" s="449" t="e">
        <f>'Yoy WAR OG'!M63</f>
        <v>#REF!</v>
      </c>
      <c r="AI62" s="449" t="e">
        <f t="shared" ca="1" si="10"/>
        <v>#REF!</v>
      </c>
    </row>
    <row r="63" spans="1:35" x14ac:dyDescent="0.3">
      <c r="A63">
        <f>'Yoy WAR OG'!J64</f>
        <v>0</v>
      </c>
      <c r="B63" s="58" t="e">
        <f>'Yoy WAR OG'!M64</f>
        <v>#REF!</v>
      </c>
      <c r="C63" s="58">
        <f>HLOOKUP('Withdrawal Working'!C$2,'Yoy WAR OG'!$J$3:$FA$79,MATCH('Withdrawal Working'!$A63,'Yoy WAR OG'!$J$3:$J$79,0),0)</f>
        <v>0</v>
      </c>
      <c r="D63" s="58" t="e">
        <f t="shared" si="12"/>
        <v>#REF!</v>
      </c>
      <c r="E63" s="58">
        <f>HLOOKUP('Withdrawal Working'!E$2,'Yoy WAR OG'!$J$3:$FA$79,MATCH('Withdrawal Working'!$A63,'Yoy WAR OG'!$J$3:$J$79,0),0)</f>
        <v>0</v>
      </c>
      <c r="F63" s="58" t="e">
        <f t="shared" si="13"/>
        <v>#REF!</v>
      </c>
      <c r="G63" s="58">
        <f>HLOOKUP('Withdrawal Working'!G$2,'Yoy WAR OG'!$J$3:$FA$79,MATCH('Withdrawal Working'!$A63,'Yoy WAR OG'!$J$3:$J$79,0),0)</f>
        <v>0</v>
      </c>
      <c r="H63" s="58" t="e">
        <f t="shared" si="14"/>
        <v>#REF!</v>
      </c>
      <c r="I63" s="58">
        <f>HLOOKUP('Withdrawal Working'!I$2,'Yoy WAR OG'!$J$3:$FA$79,MATCH('Withdrawal Working'!$A63,'Yoy WAR OG'!$J$3:$J$79,0),0)</f>
        <v>0</v>
      </c>
      <c r="J63" s="58" t="e">
        <f t="shared" si="15"/>
        <v>#REF!</v>
      </c>
      <c r="K63" s="58">
        <f ca="1">HLOOKUP('Withdrawal Working'!K$2,'Yoy WAR OG'!$J$3:$FA$79,MATCH('Withdrawal Working'!$A63,'Yoy WAR OG'!$J$3:$J$79,0),0)</f>
        <v>0</v>
      </c>
      <c r="L63" s="58" t="e">
        <f t="shared" ca="1" si="16"/>
        <v>#REF!</v>
      </c>
      <c r="M63" s="58">
        <f ca="1">HLOOKUP('Withdrawal Working'!M$2,'Yoy WAR OG'!$J$3:$FA$79,MATCH('Withdrawal Working'!$A63,'Yoy WAR OG'!$J$3:$J$79,0),0)</f>
        <v>0</v>
      </c>
      <c r="N63" s="58" t="e">
        <f t="shared" ca="1" si="17"/>
        <v>#REF!</v>
      </c>
      <c r="O63" s="58">
        <f>HLOOKUP('Withdrawal Working'!O$2,'Yoy WAR OG'!$J$3:$FA$79,MATCH('Withdrawal Working'!$A63,'Yoy WAR OG'!$J$3:$J$79,0),0)</f>
        <v>0</v>
      </c>
      <c r="P63" s="58" t="e">
        <f t="shared" ca="1" si="18"/>
        <v>#REF!</v>
      </c>
      <c r="Q63" s="58">
        <f>HLOOKUP('Withdrawal Working'!Q$2,'Yoy WAR OG'!$J$3:$FA$79,MATCH('Withdrawal Working'!$A63,'Yoy WAR OG'!$J$3:$J$79,0),0)</f>
        <v>0</v>
      </c>
      <c r="R63" s="58" t="e">
        <f t="shared" ca="1" si="19"/>
        <v>#REF!</v>
      </c>
      <c r="S63" s="58">
        <f>HLOOKUP('Withdrawal Working'!S$2,'Yoy WAR OG'!$J$3:$FA$79,MATCH('Withdrawal Working'!$A63,'Yoy WAR OG'!$J$3:$J$79,0),0)</f>
        <v>0</v>
      </c>
      <c r="T63" s="58" t="e">
        <f t="shared" ca="1" si="20"/>
        <v>#REF!</v>
      </c>
      <c r="U63" s="58">
        <f>HLOOKUP('Withdrawal Working'!U$2,'Yoy WAR OG'!$J$3:$FA$79,MATCH('Withdrawal Working'!$A63,'Yoy WAR OG'!$J$3:$J$79,0),0)</f>
        <v>0</v>
      </c>
      <c r="V63" s="58" t="e">
        <f t="shared" ca="1" si="21"/>
        <v>#REF!</v>
      </c>
      <c r="AD63">
        <f>'Yoy WAR OG'!K64</f>
        <v>0</v>
      </c>
      <c r="AE63" t="e">
        <f ca="1">IF(AD63&lt;VLOOKUP('NWGC - SCENARIOS'!$D$7,'NWGC - SCENARIOS'!$B$11:$C$67,2,0),IF(V63&lt;0,-V63,0),IF(AI63&gt;0,'Withdrawal Working'!AI63,0))</f>
        <v>#REF!</v>
      </c>
      <c r="AG63">
        <f ca="1">'Yoy WAR OG'!R64+'Yoy WAR OG'!X64+'Yoy WAR OG'!AD64+'Yoy WAR OG'!AJ64+'Yoy WAR OG'!AP64+'Yoy WAR OG'!AV64+'Yoy WAR OG'!BB64+'Yoy WAR OG'!BH64+'Yoy WAR OG'!BN64+'Yoy WAR OG'!BT64+'Yoy WAR OG'!BZ64+'Yoy WAR OG'!CF64+'Yoy WAR OG'!CL64+'Yoy WAR OG'!CR64+'Yoy WAR OG'!CX64+'Yoy WAR OG'!DD64+'Yoy WAR OG'!DJ64+'Yoy WAR OG'!DP64+'Yoy WAR OG'!DV64+'Yoy WAR OG'!EB64+'Yoy WAR OG'!EH64+'Yoy WAR OG'!EN64+'Yoy WAR OG'!ET64+'Yoy WAR OG'!EZ64</f>
        <v>0</v>
      </c>
      <c r="AH63" s="449" t="e">
        <f>'Yoy WAR OG'!M64</f>
        <v>#REF!</v>
      </c>
      <c r="AI63" s="449" t="e">
        <f t="shared" ca="1" si="10"/>
        <v>#REF!</v>
      </c>
    </row>
    <row r="64" spans="1:35" x14ac:dyDescent="0.3">
      <c r="A64">
        <f>'Yoy WAR OG'!J65</f>
        <v>0</v>
      </c>
      <c r="B64" s="58" t="e">
        <f>'Yoy WAR OG'!M65</f>
        <v>#REF!</v>
      </c>
      <c r="C64" s="58">
        <f>HLOOKUP('Withdrawal Working'!C$2,'Yoy WAR OG'!$J$3:$FA$79,MATCH('Withdrawal Working'!$A64,'Yoy WAR OG'!$J$3:$J$79,0),0)</f>
        <v>0</v>
      </c>
      <c r="D64" s="58" t="e">
        <f t="shared" si="12"/>
        <v>#REF!</v>
      </c>
      <c r="E64" s="58">
        <f>HLOOKUP('Withdrawal Working'!E$2,'Yoy WAR OG'!$J$3:$FA$79,MATCH('Withdrawal Working'!$A64,'Yoy WAR OG'!$J$3:$J$79,0),0)</f>
        <v>0</v>
      </c>
      <c r="F64" s="58" t="e">
        <f t="shared" si="13"/>
        <v>#REF!</v>
      </c>
      <c r="G64" s="58">
        <f>HLOOKUP('Withdrawal Working'!G$2,'Yoy WAR OG'!$J$3:$FA$79,MATCH('Withdrawal Working'!$A64,'Yoy WAR OG'!$J$3:$J$79,0),0)</f>
        <v>0</v>
      </c>
      <c r="H64" s="58" t="e">
        <f t="shared" si="14"/>
        <v>#REF!</v>
      </c>
      <c r="I64" s="58">
        <f>HLOOKUP('Withdrawal Working'!I$2,'Yoy WAR OG'!$J$3:$FA$79,MATCH('Withdrawal Working'!$A64,'Yoy WAR OG'!$J$3:$J$79,0),0)</f>
        <v>0</v>
      </c>
      <c r="J64" s="58" t="e">
        <f t="shared" si="15"/>
        <v>#REF!</v>
      </c>
      <c r="K64" s="58">
        <f ca="1">HLOOKUP('Withdrawal Working'!K$2,'Yoy WAR OG'!$J$3:$FA$79,MATCH('Withdrawal Working'!$A64,'Yoy WAR OG'!$J$3:$J$79,0),0)</f>
        <v>0</v>
      </c>
      <c r="L64" s="58" t="e">
        <f t="shared" ca="1" si="16"/>
        <v>#REF!</v>
      </c>
      <c r="M64" s="58">
        <f ca="1">HLOOKUP('Withdrawal Working'!M$2,'Yoy WAR OG'!$J$3:$FA$79,MATCH('Withdrawal Working'!$A64,'Yoy WAR OG'!$J$3:$J$79,0),0)</f>
        <v>0</v>
      </c>
      <c r="N64" s="58" t="e">
        <f t="shared" ca="1" si="17"/>
        <v>#REF!</v>
      </c>
      <c r="O64" s="58">
        <f>HLOOKUP('Withdrawal Working'!O$2,'Yoy WAR OG'!$J$3:$FA$79,MATCH('Withdrawal Working'!$A64,'Yoy WAR OG'!$J$3:$J$79,0),0)</f>
        <v>0</v>
      </c>
      <c r="P64" s="58" t="e">
        <f t="shared" ca="1" si="18"/>
        <v>#REF!</v>
      </c>
      <c r="Q64" s="58">
        <f>HLOOKUP('Withdrawal Working'!Q$2,'Yoy WAR OG'!$J$3:$FA$79,MATCH('Withdrawal Working'!$A64,'Yoy WAR OG'!$J$3:$J$79,0),0)</f>
        <v>0</v>
      </c>
      <c r="R64" s="58" t="e">
        <f t="shared" ca="1" si="19"/>
        <v>#REF!</v>
      </c>
      <c r="S64" s="58">
        <f>HLOOKUP('Withdrawal Working'!S$2,'Yoy WAR OG'!$J$3:$FA$79,MATCH('Withdrawal Working'!$A64,'Yoy WAR OG'!$J$3:$J$79,0),0)</f>
        <v>0</v>
      </c>
      <c r="T64" s="58" t="e">
        <f t="shared" ca="1" si="20"/>
        <v>#REF!</v>
      </c>
      <c r="U64" s="58">
        <f>HLOOKUP('Withdrawal Working'!U$2,'Yoy WAR OG'!$J$3:$FA$79,MATCH('Withdrawal Working'!$A64,'Yoy WAR OG'!$J$3:$J$79,0),0)</f>
        <v>0</v>
      </c>
      <c r="V64" s="58" t="e">
        <f t="shared" ca="1" si="21"/>
        <v>#REF!</v>
      </c>
      <c r="AD64">
        <f>'Yoy WAR OG'!K65</f>
        <v>0</v>
      </c>
      <c r="AE64" t="e">
        <f ca="1">IF(AD64&lt;VLOOKUP('NWGC - SCENARIOS'!$D$7,'NWGC - SCENARIOS'!$B$11:$C$67,2,0),IF(V64&lt;0,-V64,0),IF(AI64&gt;0,'Withdrawal Working'!AI64,0))</f>
        <v>#REF!</v>
      </c>
      <c r="AG64">
        <f ca="1">'Yoy WAR OG'!R65+'Yoy WAR OG'!X65+'Yoy WAR OG'!AD65+'Yoy WAR OG'!AJ65+'Yoy WAR OG'!AP65+'Yoy WAR OG'!AV65+'Yoy WAR OG'!BB65+'Yoy WAR OG'!BH65+'Yoy WAR OG'!BN65+'Yoy WAR OG'!BT65+'Yoy WAR OG'!BZ65+'Yoy WAR OG'!CF65+'Yoy WAR OG'!CL65+'Yoy WAR OG'!CR65+'Yoy WAR OG'!CX65+'Yoy WAR OG'!DD65+'Yoy WAR OG'!DJ65+'Yoy WAR OG'!DP65+'Yoy WAR OG'!DV65+'Yoy WAR OG'!EB65+'Yoy WAR OG'!EH65+'Yoy WAR OG'!EN65+'Yoy WAR OG'!ET65+'Yoy WAR OG'!EZ65</f>
        <v>0</v>
      </c>
      <c r="AH64" s="449" t="e">
        <f>'Yoy WAR OG'!M65</f>
        <v>#REF!</v>
      </c>
      <c r="AI64" s="449" t="e">
        <f t="shared" ca="1" si="10"/>
        <v>#REF!</v>
      </c>
    </row>
    <row r="65" spans="1:35" x14ac:dyDescent="0.3">
      <c r="A65">
        <f>'Yoy WAR OG'!J66</f>
        <v>0</v>
      </c>
      <c r="B65" s="58" t="e">
        <f>'Yoy WAR OG'!M66</f>
        <v>#REF!</v>
      </c>
      <c r="C65" s="58">
        <f>HLOOKUP('Withdrawal Working'!C$2,'Yoy WAR OG'!$J$3:$FA$79,MATCH('Withdrawal Working'!$A65,'Yoy WAR OG'!$J$3:$J$79,0),0)</f>
        <v>0</v>
      </c>
      <c r="D65" s="58" t="e">
        <f t="shared" si="12"/>
        <v>#REF!</v>
      </c>
      <c r="E65" s="58">
        <f>HLOOKUP('Withdrawal Working'!E$2,'Yoy WAR OG'!$J$3:$FA$79,MATCH('Withdrawal Working'!$A65,'Yoy WAR OG'!$J$3:$J$79,0),0)</f>
        <v>0</v>
      </c>
      <c r="F65" s="58" t="e">
        <f t="shared" si="13"/>
        <v>#REF!</v>
      </c>
      <c r="G65" s="58">
        <f>HLOOKUP('Withdrawal Working'!G$2,'Yoy WAR OG'!$J$3:$FA$79,MATCH('Withdrawal Working'!$A65,'Yoy WAR OG'!$J$3:$J$79,0),0)</f>
        <v>0</v>
      </c>
      <c r="H65" s="58" t="e">
        <f t="shared" si="14"/>
        <v>#REF!</v>
      </c>
      <c r="I65" s="58">
        <f>HLOOKUP('Withdrawal Working'!I$2,'Yoy WAR OG'!$J$3:$FA$79,MATCH('Withdrawal Working'!$A65,'Yoy WAR OG'!$J$3:$J$79,0),0)</f>
        <v>0</v>
      </c>
      <c r="J65" s="58" t="e">
        <f t="shared" si="15"/>
        <v>#REF!</v>
      </c>
      <c r="K65" s="58">
        <f ca="1">HLOOKUP('Withdrawal Working'!K$2,'Yoy WAR OG'!$J$3:$FA$79,MATCH('Withdrawal Working'!$A65,'Yoy WAR OG'!$J$3:$J$79,0),0)</f>
        <v>0</v>
      </c>
      <c r="L65" s="58" t="e">
        <f t="shared" ca="1" si="16"/>
        <v>#REF!</v>
      </c>
      <c r="M65" s="58">
        <f ca="1">HLOOKUP('Withdrawal Working'!M$2,'Yoy WAR OG'!$J$3:$FA$79,MATCH('Withdrawal Working'!$A65,'Yoy WAR OG'!$J$3:$J$79,0),0)</f>
        <v>0</v>
      </c>
      <c r="N65" s="58" t="e">
        <f t="shared" ca="1" si="17"/>
        <v>#REF!</v>
      </c>
      <c r="O65" s="58">
        <f>HLOOKUP('Withdrawal Working'!O$2,'Yoy WAR OG'!$J$3:$FA$79,MATCH('Withdrawal Working'!$A65,'Yoy WAR OG'!$J$3:$J$79,0),0)</f>
        <v>0</v>
      </c>
      <c r="P65" s="58" t="e">
        <f t="shared" ca="1" si="18"/>
        <v>#REF!</v>
      </c>
      <c r="Q65" s="58">
        <f>HLOOKUP('Withdrawal Working'!Q$2,'Yoy WAR OG'!$J$3:$FA$79,MATCH('Withdrawal Working'!$A65,'Yoy WAR OG'!$J$3:$J$79,0),0)</f>
        <v>0</v>
      </c>
      <c r="R65" s="58" t="e">
        <f t="shared" ca="1" si="19"/>
        <v>#REF!</v>
      </c>
      <c r="S65" s="58">
        <f>HLOOKUP('Withdrawal Working'!S$2,'Yoy WAR OG'!$J$3:$FA$79,MATCH('Withdrawal Working'!$A65,'Yoy WAR OG'!$J$3:$J$79,0),0)</f>
        <v>0</v>
      </c>
      <c r="T65" s="58" t="e">
        <f t="shared" ca="1" si="20"/>
        <v>#REF!</v>
      </c>
      <c r="U65" s="58">
        <f>HLOOKUP('Withdrawal Working'!U$2,'Yoy WAR OG'!$J$3:$FA$79,MATCH('Withdrawal Working'!$A65,'Yoy WAR OG'!$J$3:$J$79,0),0)</f>
        <v>0</v>
      </c>
      <c r="V65" s="58" t="e">
        <f t="shared" ca="1" si="21"/>
        <v>#REF!</v>
      </c>
      <c r="AD65">
        <f>'Yoy WAR OG'!K66</f>
        <v>0</v>
      </c>
      <c r="AE65" t="e">
        <f ca="1">IF(AD65&lt;VLOOKUP('NWGC - SCENARIOS'!$D$7,'NWGC - SCENARIOS'!$B$11:$C$67,2,0),IF(V65&lt;0,-V65,0),IF(AI65&gt;0,'Withdrawal Working'!AI65,0))</f>
        <v>#REF!</v>
      </c>
      <c r="AG65">
        <f ca="1">'Yoy WAR OG'!R66+'Yoy WAR OG'!X66+'Yoy WAR OG'!AD66+'Yoy WAR OG'!AJ66+'Yoy WAR OG'!AP66+'Yoy WAR OG'!AV66+'Yoy WAR OG'!BB66+'Yoy WAR OG'!BH66+'Yoy WAR OG'!BN66+'Yoy WAR OG'!BT66+'Yoy WAR OG'!BZ66+'Yoy WAR OG'!CF66+'Yoy WAR OG'!CL66+'Yoy WAR OG'!CR66+'Yoy WAR OG'!CX66+'Yoy WAR OG'!DD66+'Yoy WAR OG'!DJ66+'Yoy WAR OG'!DP66+'Yoy WAR OG'!DV66+'Yoy WAR OG'!EB66+'Yoy WAR OG'!EH66+'Yoy WAR OG'!EN66+'Yoy WAR OG'!ET66+'Yoy WAR OG'!EZ66</f>
        <v>0</v>
      </c>
      <c r="AH65" s="449" t="e">
        <f>'Yoy WAR OG'!M66</f>
        <v>#REF!</v>
      </c>
      <c r="AI65" s="449" t="e">
        <f t="shared" ca="1" si="10"/>
        <v>#REF!</v>
      </c>
    </row>
    <row r="66" spans="1:35" x14ac:dyDescent="0.3">
      <c r="A66">
        <f>'Yoy WAR OG'!J67</f>
        <v>0</v>
      </c>
      <c r="B66" s="58" t="e">
        <f>'Yoy WAR OG'!M67</f>
        <v>#REF!</v>
      </c>
      <c r="C66" s="58">
        <f>HLOOKUP('Withdrawal Working'!C$2,'Yoy WAR OG'!$J$3:$FA$79,MATCH('Withdrawal Working'!$A66,'Yoy WAR OG'!$J$3:$J$79,0),0)</f>
        <v>0</v>
      </c>
      <c r="D66" s="58" t="e">
        <f t="shared" si="12"/>
        <v>#REF!</v>
      </c>
      <c r="E66" s="58">
        <f>HLOOKUP('Withdrawal Working'!E$2,'Yoy WAR OG'!$J$3:$FA$79,MATCH('Withdrawal Working'!$A66,'Yoy WAR OG'!$J$3:$J$79,0),0)</f>
        <v>0</v>
      </c>
      <c r="F66" s="58" t="e">
        <f t="shared" si="13"/>
        <v>#REF!</v>
      </c>
      <c r="G66" s="58">
        <f>HLOOKUP('Withdrawal Working'!G$2,'Yoy WAR OG'!$J$3:$FA$79,MATCH('Withdrawal Working'!$A66,'Yoy WAR OG'!$J$3:$J$79,0),0)</f>
        <v>0</v>
      </c>
      <c r="H66" s="58" t="e">
        <f t="shared" si="14"/>
        <v>#REF!</v>
      </c>
      <c r="I66" s="58">
        <f>HLOOKUP('Withdrawal Working'!I$2,'Yoy WAR OG'!$J$3:$FA$79,MATCH('Withdrawal Working'!$A66,'Yoy WAR OG'!$J$3:$J$79,0),0)</f>
        <v>0</v>
      </c>
      <c r="J66" s="58" t="e">
        <f t="shared" si="15"/>
        <v>#REF!</v>
      </c>
      <c r="K66" s="58">
        <f ca="1">HLOOKUP('Withdrawal Working'!K$2,'Yoy WAR OG'!$J$3:$FA$79,MATCH('Withdrawal Working'!$A66,'Yoy WAR OG'!$J$3:$J$79,0),0)</f>
        <v>0</v>
      </c>
      <c r="L66" s="58" t="e">
        <f t="shared" ca="1" si="16"/>
        <v>#REF!</v>
      </c>
      <c r="M66" s="58">
        <f ca="1">HLOOKUP('Withdrawal Working'!M$2,'Yoy WAR OG'!$J$3:$FA$79,MATCH('Withdrawal Working'!$A66,'Yoy WAR OG'!$J$3:$J$79,0),0)</f>
        <v>0</v>
      </c>
      <c r="N66" s="58" t="e">
        <f t="shared" ca="1" si="17"/>
        <v>#REF!</v>
      </c>
      <c r="O66" s="58">
        <f>HLOOKUP('Withdrawal Working'!O$2,'Yoy WAR OG'!$J$3:$FA$79,MATCH('Withdrawal Working'!$A66,'Yoy WAR OG'!$J$3:$J$79,0),0)</f>
        <v>0</v>
      </c>
      <c r="P66" s="58" t="e">
        <f t="shared" ca="1" si="18"/>
        <v>#REF!</v>
      </c>
      <c r="Q66" s="58">
        <f>HLOOKUP('Withdrawal Working'!Q$2,'Yoy WAR OG'!$J$3:$FA$79,MATCH('Withdrawal Working'!$A66,'Yoy WAR OG'!$J$3:$J$79,0),0)</f>
        <v>0</v>
      </c>
      <c r="R66" s="58" t="e">
        <f t="shared" ca="1" si="19"/>
        <v>#REF!</v>
      </c>
      <c r="S66" s="58">
        <f>HLOOKUP('Withdrawal Working'!S$2,'Yoy WAR OG'!$J$3:$FA$79,MATCH('Withdrawal Working'!$A66,'Yoy WAR OG'!$J$3:$J$79,0),0)</f>
        <v>0</v>
      </c>
      <c r="T66" s="58" t="e">
        <f t="shared" ca="1" si="20"/>
        <v>#REF!</v>
      </c>
      <c r="U66" s="58">
        <f>HLOOKUP('Withdrawal Working'!U$2,'Yoy WAR OG'!$J$3:$FA$79,MATCH('Withdrawal Working'!$A66,'Yoy WAR OG'!$J$3:$J$79,0),0)</f>
        <v>0</v>
      </c>
      <c r="V66" s="58" t="e">
        <f t="shared" ca="1" si="21"/>
        <v>#REF!</v>
      </c>
      <c r="AD66">
        <f>'Yoy WAR OG'!K67</f>
        <v>0</v>
      </c>
      <c r="AE66" t="e">
        <f ca="1">IF(AD66&lt;VLOOKUP('NWGC - SCENARIOS'!$D$7,'NWGC - SCENARIOS'!$B$11:$C$67,2,0),IF(V66&lt;0,-V66,0),IF(AI66&gt;0,'Withdrawal Working'!AI66,0))</f>
        <v>#REF!</v>
      </c>
      <c r="AG66">
        <f ca="1">'Yoy WAR OG'!R67+'Yoy WAR OG'!X67+'Yoy WAR OG'!AD67+'Yoy WAR OG'!AJ67+'Yoy WAR OG'!AP67+'Yoy WAR OG'!AV67+'Yoy WAR OG'!BB67+'Yoy WAR OG'!BH67+'Yoy WAR OG'!BN67+'Yoy WAR OG'!BT67+'Yoy WAR OG'!BZ67+'Yoy WAR OG'!CF67+'Yoy WAR OG'!CL67+'Yoy WAR OG'!CR67+'Yoy WAR OG'!CX67+'Yoy WAR OG'!DD67+'Yoy WAR OG'!DJ67+'Yoy WAR OG'!DP67+'Yoy WAR OG'!DV67+'Yoy WAR OG'!EB67+'Yoy WAR OG'!EH67+'Yoy WAR OG'!EN67+'Yoy WAR OG'!ET67+'Yoy WAR OG'!EZ67</f>
        <v>0</v>
      </c>
      <c r="AH66" s="449" t="e">
        <f>'Yoy WAR OG'!M67</f>
        <v>#REF!</v>
      </c>
      <c r="AI66" s="449" t="e">
        <f t="shared" ca="1" si="10"/>
        <v>#REF!</v>
      </c>
    </row>
    <row r="67" spans="1:35" x14ac:dyDescent="0.3">
      <c r="A67">
        <f>'Yoy WAR OG'!J68</f>
        <v>0</v>
      </c>
      <c r="B67" s="58" t="e">
        <f>'Yoy WAR OG'!M68</f>
        <v>#REF!</v>
      </c>
      <c r="C67" s="58">
        <f>HLOOKUP('Withdrawal Working'!C$2,'Yoy WAR OG'!$J$3:$FA$79,MATCH('Withdrawal Working'!$A67,'Yoy WAR OG'!$J$3:$J$79,0),0)</f>
        <v>0</v>
      </c>
      <c r="D67" s="58" t="e">
        <f t="shared" si="12"/>
        <v>#REF!</v>
      </c>
      <c r="E67" s="58">
        <f>HLOOKUP('Withdrawal Working'!E$2,'Yoy WAR OG'!$J$3:$FA$79,MATCH('Withdrawal Working'!$A67,'Yoy WAR OG'!$J$3:$J$79,0),0)</f>
        <v>0</v>
      </c>
      <c r="F67" s="58" t="e">
        <f t="shared" si="13"/>
        <v>#REF!</v>
      </c>
      <c r="G67" s="58">
        <f>HLOOKUP('Withdrawal Working'!G$2,'Yoy WAR OG'!$J$3:$FA$79,MATCH('Withdrawal Working'!$A67,'Yoy WAR OG'!$J$3:$J$79,0),0)</f>
        <v>0</v>
      </c>
      <c r="H67" s="58" t="e">
        <f t="shared" si="14"/>
        <v>#REF!</v>
      </c>
      <c r="I67" s="58">
        <f>HLOOKUP('Withdrawal Working'!I$2,'Yoy WAR OG'!$J$3:$FA$79,MATCH('Withdrawal Working'!$A67,'Yoy WAR OG'!$J$3:$J$79,0),0)</f>
        <v>0</v>
      </c>
      <c r="J67" s="58" t="e">
        <f t="shared" si="15"/>
        <v>#REF!</v>
      </c>
      <c r="K67" s="58">
        <f ca="1">HLOOKUP('Withdrawal Working'!K$2,'Yoy WAR OG'!$J$3:$FA$79,MATCH('Withdrawal Working'!$A67,'Yoy WAR OG'!$J$3:$J$79,0),0)</f>
        <v>0</v>
      </c>
      <c r="L67" s="58" t="e">
        <f t="shared" ca="1" si="16"/>
        <v>#REF!</v>
      </c>
      <c r="M67" s="58">
        <f ca="1">HLOOKUP('Withdrawal Working'!M$2,'Yoy WAR OG'!$J$3:$FA$79,MATCH('Withdrawal Working'!$A67,'Yoy WAR OG'!$J$3:$J$79,0),0)</f>
        <v>0</v>
      </c>
      <c r="N67" s="58" t="e">
        <f t="shared" ca="1" si="17"/>
        <v>#REF!</v>
      </c>
      <c r="O67" s="58">
        <f>HLOOKUP('Withdrawal Working'!O$2,'Yoy WAR OG'!$J$3:$FA$79,MATCH('Withdrawal Working'!$A67,'Yoy WAR OG'!$J$3:$J$79,0),0)</f>
        <v>0</v>
      </c>
      <c r="P67" s="58" t="e">
        <f t="shared" ca="1" si="18"/>
        <v>#REF!</v>
      </c>
      <c r="Q67" s="58">
        <f>HLOOKUP('Withdrawal Working'!Q$2,'Yoy WAR OG'!$J$3:$FA$79,MATCH('Withdrawal Working'!$A67,'Yoy WAR OG'!$J$3:$J$79,0),0)</f>
        <v>0</v>
      </c>
      <c r="R67" s="58" t="e">
        <f t="shared" ca="1" si="19"/>
        <v>#REF!</v>
      </c>
      <c r="S67" s="58">
        <f>HLOOKUP('Withdrawal Working'!S$2,'Yoy WAR OG'!$J$3:$FA$79,MATCH('Withdrawal Working'!$A67,'Yoy WAR OG'!$J$3:$J$79,0),0)</f>
        <v>0</v>
      </c>
      <c r="T67" s="58" t="e">
        <f t="shared" ca="1" si="20"/>
        <v>#REF!</v>
      </c>
      <c r="U67" s="58">
        <f>HLOOKUP('Withdrawal Working'!U$2,'Yoy WAR OG'!$J$3:$FA$79,MATCH('Withdrawal Working'!$A67,'Yoy WAR OG'!$J$3:$J$79,0),0)</f>
        <v>0</v>
      </c>
      <c r="V67" s="58" t="e">
        <f t="shared" ca="1" si="21"/>
        <v>#REF!</v>
      </c>
      <c r="AD67">
        <f>'Yoy WAR OG'!K68</f>
        <v>0</v>
      </c>
      <c r="AE67" t="e">
        <f ca="1">IF(AD67&lt;VLOOKUP('NWGC - SCENARIOS'!$D$7,'NWGC - SCENARIOS'!$B$11:$C$67,2,0),IF(V67&lt;0,-V67,0),IF(AI67&gt;0,'Withdrawal Working'!AI67,0))</f>
        <v>#REF!</v>
      </c>
      <c r="AG67">
        <f ca="1">'Yoy WAR OG'!R68+'Yoy WAR OG'!X68+'Yoy WAR OG'!AD68+'Yoy WAR OG'!AJ68+'Yoy WAR OG'!AP68+'Yoy WAR OG'!AV68+'Yoy WAR OG'!BB68+'Yoy WAR OG'!BH68+'Yoy WAR OG'!BN68+'Yoy WAR OG'!BT68+'Yoy WAR OG'!BZ68+'Yoy WAR OG'!CF68+'Yoy WAR OG'!CL68+'Yoy WAR OG'!CR68+'Yoy WAR OG'!CX68+'Yoy WAR OG'!DD68+'Yoy WAR OG'!DJ68+'Yoy WAR OG'!DP68+'Yoy WAR OG'!DV68+'Yoy WAR OG'!EB68+'Yoy WAR OG'!EH68+'Yoy WAR OG'!EN68+'Yoy WAR OG'!ET68+'Yoy WAR OG'!EZ68</f>
        <v>0</v>
      </c>
      <c r="AH67" s="449" t="e">
        <f>'Yoy WAR OG'!M68</f>
        <v>#REF!</v>
      </c>
      <c r="AI67" s="449" t="e">
        <f t="shared" ca="1" si="10"/>
        <v>#REF!</v>
      </c>
    </row>
    <row r="68" spans="1:35" x14ac:dyDescent="0.3">
      <c r="A68">
        <f>'Yoy WAR OG'!J69</f>
        <v>0</v>
      </c>
      <c r="B68" s="58" t="e">
        <f>'Yoy WAR OG'!M69</f>
        <v>#REF!</v>
      </c>
      <c r="C68" s="58">
        <f>HLOOKUP('Withdrawal Working'!C$2,'Yoy WAR OG'!$J$3:$FA$79,MATCH('Withdrawal Working'!$A68,'Yoy WAR OG'!$J$3:$J$79,0),0)</f>
        <v>0</v>
      </c>
      <c r="D68" s="58" t="e">
        <f t="shared" si="12"/>
        <v>#REF!</v>
      </c>
      <c r="E68" s="58">
        <f>HLOOKUP('Withdrawal Working'!E$2,'Yoy WAR OG'!$J$3:$FA$79,MATCH('Withdrawal Working'!$A68,'Yoy WAR OG'!$J$3:$J$79,0),0)</f>
        <v>0</v>
      </c>
      <c r="F68" s="58" t="e">
        <f t="shared" si="13"/>
        <v>#REF!</v>
      </c>
      <c r="G68" s="58">
        <f>HLOOKUP('Withdrawal Working'!G$2,'Yoy WAR OG'!$J$3:$FA$79,MATCH('Withdrawal Working'!$A68,'Yoy WAR OG'!$J$3:$J$79,0),0)</f>
        <v>0</v>
      </c>
      <c r="H68" s="58" t="e">
        <f t="shared" si="14"/>
        <v>#REF!</v>
      </c>
      <c r="I68" s="58">
        <f>HLOOKUP('Withdrawal Working'!I$2,'Yoy WAR OG'!$J$3:$FA$79,MATCH('Withdrawal Working'!$A68,'Yoy WAR OG'!$J$3:$J$79,0),0)</f>
        <v>0</v>
      </c>
      <c r="J68" s="58" t="e">
        <f t="shared" si="15"/>
        <v>#REF!</v>
      </c>
      <c r="K68" s="58">
        <f ca="1">HLOOKUP('Withdrawal Working'!K$2,'Yoy WAR OG'!$J$3:$FA$79,MATCH('Withdrawal Working'!$A68,'Yoy WAR OG'!$J$3:$J$79,0),0)</f>
        <v>0</v>
      </c>
      <c r="L68" s="58" t="e">
        <f t="shared" ca="1" si="16"/>
        <v>#REF!</v>
      </c>
      <c r="M68" s="58">
        <f ca="1">HLOOKUP('Withdrawal Working'!M$2,'Yoy WAR OG'!$J$3:$FA$79,MATCH('Withdrawal Working'!$A68,'Yoy WAR OG'!$J$3:$J$79,0),0)</f>
        <v>0</v>
      </c>
      <c r="N68" s="58" t="e">
        <f t="shared" ca="1" si="17"/>
        <v>#REF!</v>
      </c>
      <c r="O68" s="58">
        <f>HLOOKUP('Withdrawal Working'!O$2,'Yoy WAR OG'!$J$3:$FA$79,MATCH('Withdrawal Working'!$A68,'Yoy WAR OG'!$J$3:$J$79,0),0)</f>
        <v>0</v>
      </c>
      <c r="P68" s="58" t="e">
        <f t="shared" ca="1" si="18"/>
        <v>#REF!</v>
      </c>
      <c r="Q68" s="58">
        <f>HLOOKUP('Withdrawal Working'!Q$2,'Yoy WAR OG'!$J$3:$FA$79,MATCH('Withdrawal Working'!$A68,'Yoy WAR OG'!$J$3:$J$79,0),0)</f>
        <v>0</v>
      </c>
      <c r="R68" s="58" t="e">
        <f t="shared" ca="1" si="19"/>
        <v>#REF!</v>
      </c>
      <c r="S68" s="58">
        <f>HLOOKUP('Withdrawal Working'!S$2,'Yoy WAR OG'!$J$3:$FA$79,MATCH('Withdrawal Working'!$A68,'Yoy WAR OG'!$J$3:$J$79,0),0)</f>
        <v>0</v>
      </c>
      <c r="T68" s="58" t="e">
        <f t="shared" ca="1" si="20"/>
        <v>#REF!</v>
      </c>
      <c r="U68" s="58">
        <f>HLOOKUP('Withdrawal Working'!U$2,'Yoy WAR OG'!$J$3:$FA$79,MATCH('Withdrawal Working'!$A68,'Yoy WAR OG'!$J$3:$J$79,0),0)</f>
        <v>0</v>
      </c>
      <c r="V68" s="58" t="e">
        <f t="shared" ca="1" si="21"/>
        <v>#REF!</v>
      </c>
      <c r="AD68">
        <f>'Yoy WAR OG'!K69</f>
        <v>0</v>
      </c>
      <c r="AE68" t="e">
        <f ca="1">IF(AD68&lt;VLOOKUP('NWGC - SCENARIOS'!$D$7,'NWGC - SCENARIOS'!$B$11:$C$67,2,0),IF(V68&lt;0,-V68,0),IF(AI68&gt;0,'Withdrawal Working'!AI68,0))</f>
        <v>#REF!</v>
      </c>
      <c r="AG68">
        <f ca="1">'Yoy WAR OG'!R69+'Yoy WAR OG'!X69+'Yoy WAR OG'!AD69+'Yoy WAR OG'!AJ69+'Yoy WAR OG'!AP69+'Yoy WAR OG'!AV69+'Yoy WAR OG'!BB69+'Yoy WAR OG'!BH69+'Yoy WAR OG'!BN69+'Yoy WAR OG'!BT69+'Yoy WAR OG'!BZ69+'Yoy WAR OG'!CF69+'Yoy WAR OG'!CL69+'Yoy WAR OG'!CR69+'Yoy WAR OG'!CX69+'Yoy WAR OG'!DD69+'Yoy WAR OG'!DJ69+'Yoy WAR OG'!DP69+'Yoy WAR OG'!DV69+'Yoy WAR OG'!EB69+'Yoy WAR OG'!EH69+'Yoy WAR OG'!EN69+'Yoy WAR OG'!ET69+'Yoy WAR OG'!EZ69</f>
        <v>0</v>
      </c>
      <c r="AH68" s="449" t="e">
        <f>'Yoy WAR OG'!M69</f>
        <v>#REF!</v>
      </c>
      <c r="AI68" s="449" t="e">
        <f t="shared" ref="AI68:AI100" ca="1" si="23">AG68-AH68</f>
        <v>#REF!</v>
      </c>
    </row>
    <row r="69" spans="1:35" x14ac:dyDescent="0.3">
      <c r="A69">
        <f>'Yoy WAR OG'!J70</f>
        <v>0</v>
      </c>
      <c r="B69" s="58" t="e">
        <f>'Yoy WAR OG'!M70</f>
        <v>#REF!</v>
      </c>
      <c r="C69" s="58">
        <f>HLOOKUP('Withdrawal Working'!C$2,'Yoy WAR OG'!$J$3:$FA$79,MATCH('Withdrawal Working'!$A69,'Yoy WAR OG'!$J$3:$J$79,0),0)</f>
        <v>0</v>
      </c>
      <c r="D69" s="58" t="e">
        <f t="shared" si="12"/>
        <v>#REF!</v>
      </c>
      <c r="E69" s="58">
        <f>HLOOKUP('Withdrawal Working'!E$2,'Yoy WAR OG'!$J$3:$FA$79,MATCH('Withdrawal Working'!$A69,'Yoy WAR OG'!$J$3:$J$79,0),0)</f>
        <v>0</v>
      </c>
      <c r="F69" s="58" t="e">
        <f t="shared" si="13"/>
        <v>#REF!</v>
      </c>
      <c r="G69" s="58">
        <f>HLOOKUP('Withdrawal Working'!G$2,'Yoy WAR OG'!$J$3:$FA$79,MATCH('Withdrawal Working'!$A69,'Yoy WAR OG'!$J$3:$J$79,0),0)</f>
        <v>0</v>
      </c>
      <c r="H69" s="58" t="e">
        <f t="shared" si="14"/>
        <v>#REF!</v>
      </c>
      <c r="I69" s="58">
        <f>HLOOKUP('Withdrawal Working'!I$2,'Yoy WAR OG'!$J$3:$FA$79,MATCH('Withdrawal Working'!$A69,'Yoy WAR OG'!$J$3:$J$79,0),0)</f>
        <v>0</v>
      </c>
      <c r="J69" s="58" t="e">
        <f t="shared" si="15"/>
        <v>#REF!</v>
      </c>
      <c r="K69" s="58">
        <f ca="1">HLOOKUP('Withdrawal Working'!K$2,'Yoy WAR OG'!$J$3:$FA$79,MATCH('Withdrawal Working'!$A69,'Yoy WAR OG'!$J$3:$J$79,0),0)</f>
        <v>0</v>
      </c>
      <c r="L69" s="58" t="e">
        <f t="shared" ca="1" si="16"/>
        <v>#REF!</v>
      </c>
      <c r="M69" s="58">
        <f ca="1">HLOOKUP('Withdrawal Working'!M$2,'Yoy WAR OG'!$J$3:$FA$79,MATCH('Withdrawal Working'!$A69,'Yoy WAR OG'!$J$3:$J$79,0),0)</f>
        <v>0</v>
      </c>
      <c r="N69" s="58" t="e">
        <f t="shared" ca="1" si="17"/>
        <v>#REF!</v>
      </c>
      <c r="O69" s="58">
        <f>HLOOKUP('Withdrawal Working'!O$2,'Yoy WAR OG'!$J$3:$FA$79,MATCH('Withdrawal Working'!$A69,'Yoy WAR OG'!$J$3:$J$79,0),0)</f>
        <v>0</v>
      </c>
      <c r="P69" s="58" t="e">
        <f t="shared" ca="1" si="18"/>
        <v>#REF!</v>
      </c>
      <c r="Q69" s="58">
        <f>HLOOKUP('Withdrawal Working'!Q$2,'Yoy WAR OG'!$J$3:$FA$79,MATCH('Withdrawal Working'!$A69,'Yoy WAR OG'!$J$3:$J$79,0),0)</f>
        <v>0</v>
      </c>
      <c r="R69" s="58" t="e">
        <f t="shared" ca="1" si="19"/>
        <v>#REF!</v>
      </c>
      <c r="S69" s="58">
        <f>HLOOKUP('Withdrawal Working'!S$2,'Yoy WAR OG'!$J$3:$FA$79,MATCH('Withdrawal Working'!$A69,'Yoy WAR OG'!$J$3:$J$79,0),0)</f>
        <v>0</v>
      </c>
      <c r="T69" s="58" t="e">
        <f t="shared" ca="1" si="20"/>
        <v>#REF!</v>
      </c>
      <c r="U69" s="58">
        <f>HLOOKUP('Withdrawal Working'!U$2,'Yoy WAR OG'!$J$3:$FA$79,MATCH('Withdrawal Working'!$A69,'Yoy WAR OG'!$J$3:$J$79,0),0)</f>
        <v>0</v>
      </c>
      <c r="V69" s="58" t="e">
        <f t="shared" ca="1" si="21"/>
        <v>#REF!</v>
      </c>
      <c r="AD69">
        <f>'Yoy WAR OG'!K70</f>
        <v>0</v>
      </c>
      <c r="AE69" t="e">
        <f ca="1">IF(AD69&lt;VLOOKUP('NWGC - SCENARIOS'!$D$7,'NWGC - SCENARIOS'!$B$11:$C$67,2,0),IF(V69&lt;0,-V69,0),IF(AI69&gt;0,'Withdrawal Working'!AI69,0))</f>
        <v>#REF!</v>
      </c>
      <c r="AG69">
        <f ca="1">'Yoy WAR OG'!R70+'Yoy WAR OG'!X70+'Yoy WAR OG'!AD70+'Yoy WAR OG'!AJ70+'Yoy WAR OG'!AP70+'Yoy WAR OG'!AV70+'Yoy WAR OG'!BB70+'Yoy WAR OG'!BH70+'Yoy WAR OG'!BN70+'Yoy WAR OG'!BT70+'Yoy WAR OG'!BZ70+'Yoy WAR OG'!CF70+'Yoy WAR OG'!CL70+'Yoy WAR OG'!CR70+'Yoy WAR OG'!CX70+'Yoy WAR OG'!DD70+'Yoy WAR OG'!DJ70+'Yoy WAR OG'!DP70+'Yoy WAR OG'!DV70+'Yoy WAR OG'!EB70+'Yoy WAR OG'!EH70+'Yoy WAR OG'!EN70+'Yoy WAR OG'!ET70+'Yoy WAR OG'!EZ70</f>
        <v>0</v>
      </c>
      <c r="AH69" s="449" t="e">
        <f>'Yoy WAR OG'!M70</f>
        <v>#REF!</v>
      </c>
      <c r="AI69" s="449" t="e">
        <f t="shared" ca="1" si="23"/>
        <v>#REF!</v>
      </c>
    </row>
    <row r="70" spans="1:35" x14ac:dyDescent="0.3">
      <c r="A70">
        <f>'Yoy WAR OG'!J71</f>
        <v>0</v>
      </c>
      <c r="B70" s="58" t="e">
        <f>'Yoy WAR OG'!M71</f>
        <v>#REF!</v>
      </c>
      <c r="C70" s="58">
        <f>HLOOKUP('Withdrawal Working'!C$2,'Yoy WAR OG'!$J$3:$FA$79,MATCH('Withdrawal Working'!$A70,'Yoy WAR OG'!$J$3:$J$79,0),0)</f>
        <v>0</v>
      </c>
      <c r="D70" s="58" t="e">
        <f t="shared" si="12"/>
        <v>#REF!</v>
      </c>
      <c r="E70" s="58">
        <f>HLOOKUP('Withdrawal Working'!E$2,'Yoy WAR OG'!$J$3:$FA$79,MATCH('Withdrawal Working'!$A70,'Yoy WAR OG'!$J$3:$J$79,0),0)</f>
        <v>0</v>
      </c>
      <c r="F70" s="58" t="e">
        <f t="shared" si="13"/>
        <v>#REF!</v>
      </c>
      <c r="G70" s="58">
        <f>HLOOKUP('Withdrawal Working'!G$2,'Yoy WAR OG'!$J$3:$FA$79,MATCH('Withdrawal Working'!$A70,'Yoy WAR OG'!$J$3:$J$79,0),0)</f>
        <v>0</v>
      </c>
      <c r="H70" s="58" t="e">
        <f t="shared" si="14"/>
        <v>#REF!</v>
      </c>
      <c r="I70" s="58">
        <f>HLOOKUP('Withdrawal Working'!I$2,'Yoy WAR OG'!$J$3:$FA$79,MATCH('Withdrawal Working'!$A70,'Yoy WAR OG'!$J$3:$J$79,0),0)</f>
        <v>0</v>
      </c>
      <c r="J70" s="58" t="e">
        <f t="shared" si="15"/>
        <v>#REF!</v>
      </c>
      <c r="K70" s="58">
        <f ca="1">HLOOKUP('Withdrawal Working'!K$2,'Yoy WAR OG'!$J$3:$FA$79,MATCH('Withdrawal Working'!$A70,'Yoy WAR OG'!$J$3:$J$79,0),0)</f>
        <v>0</v>
      </c>
      <c r="L70" s="58" t="e">
        <f t="shared" ca="1" si="16"/>
        <v>#REF!</v>
      </c>
      <c r="M70" s="58">
        <f ca="1">HLOOKUP('Withdrawal Working'!M$2,'Yoy WAR OG'!$J$3:$FA$79,MATCH('Withdrawal Working'!$A70,'Yoy WAR OG'!$J$3:$J$79,0),0)</f>
        <v>0</v>
      </c>
      <c r="N70" s="58" t="e">
        <f t="shared" ca="1" si="17"/>
        <v>#REF!</v>
      </c>
      <c r="O70" s="58">
        <f>HLOOKUP('Withdrawal Working'!O$2,'Yoy WAR OG'!$J$3:$FA$79,MATCH('Withdrawal Working'!$A70,'Yoy WAR OG'!$J$3:$J$79,0),0)</f>
        <v>0</v>
      </c>
      <c r="P70" s="58" t="e">
        <f t="shared" ca="1" si="18"/>
        <v>#REF!</v>
      </c>
      <c r="Q70" s="58">
        <f>HLOOKUP('Withdrawal Working'!Q$2,'Yoy WAR OG'!$J$3:$FA$79,MATCH('Withdrawal Working'!$A70,'Yoy WAR OG'!$J$3:$J$79,0),0)</f>
        <v>0</v>
      </c>
      <c r="R70" s="58" t="e">
        <f t="shared" ca="1" si="19"/>
        <v>#REF!</v>
      </c>
      <c r="S70" s="58">
        <f>HLOOKUP('Withdrawal Working'!S$2,'Yoy WAR OG'!$J$3:$FA$79,MATCH('Withdrawal Working'!$A70,'Yoy WAR OG'!$J$3:$J$79,0),0)</f>
        <v>0</v>
      </c>
      <c r="T70" s="58" t="e">
        <f t="shared" ca="1" si="20"/>
        <v>#REF!</v>
      </c>
      <c r="U70" s="58">
        <f>HLOOKUP('Withdrawal Working'!U$2,'Yoy WAR OG'!$J$3:$FA$79,MATCH('Withdrawal Working'!$A70,'Yoy WAR OG'!$J$3:$J$79,0),0)</f>
        <v>0</v>
      </c>
      <c r="V70" s="58" t="e">
        <f t="shared" ca="1" si="21"/>
        <v>#REF!</v>
      </c>
      <c r="AD70">
        <f>'Yoy WAR OG'!K71</f>
        <v>0</v>
      </c>
      <c r="AE70" t="e">
        <f ca="1">IF(AD70&lt;VLOOKUP('NWGC - SCENARIOS'!$D$7,'NWGC - SCENARIOS'!$B$11:$C$67,2,0),IF(V70&lt;0,-V70,0),IF(AI70&gt;0,'Withdrawal Working'!AI70,0))</f>
        <v>#REF!</v>
      </c>
      <c r="AG70">
        <f ca="1">'Yoy WAR OG'!R71+'Yoy WAR OG'!X71+'Yoy WAR OG'!AD71+'Yoy WAR OG'!AJ71+'Yoy WAR OG'!AP71+'Yoy WAR OG'!AV71+'Yoy WAR OG'!BB71+'Yoy WAR OG'!BH71+'Yoy WAR OG'!BN71+'Yoy WAR OG'!BT71+'Yoy WAR OG'!BZ71+'Yoy WAR OG'!CF71+'Yoy WAR OG'!CL71+'Yoy WAR OG'!CR71+'Yoy WAR OG'!CX71+'Yoy WAR OG'!DD71+'Yoy WAR OG'!DJ71+'Yoy WAR OG'!DP71+'Yoy WAR OG'!DV71+'Yoy WAR OG'!EB71+'Yoy WAR OG'!EH71+'Yoy WAR OG'!EN71+'Yoy WAR OG'!ET71+'Yoy WAR OG'!EZ71</f>
        <v>0</v>
      </c>
      <c r="AH70" s="449" t="e">
        <f>'Yoy WAR OG'!M71</f>
        <v>#REF!</v>
      </c>
      <c r="AI70" s="449" t="e">
        <f t="shared" ca="1" si="23"/>
        <v>#REF!</v>
      </c>
    </row>
    <row r="71" spans="1:35" x14ac:dyDescent="0.3">
      <c r="A71">
        <f>'Yoy WAR OG'!J72</f>
        <v>0</v>
      </c>
      <c r="B71" s="58" t="e">
        <f>'Yoy WAR OG'!M72</f>
        <v>#REF!</v>
      </c>
      <c r="C71" s="58">
        <f>HLOOKUP('Withdrawal Working'!C$2,'Yoy WAR OG'!$J$3:$FA$79,MATCH('Withdrawal Working'!$A71,'Yoy WAR OG'!$J$3:$J$79,0),0)</f>
        <v>0</v>
      </c>
      <c r="D71" s="58" t="e">
        <f t="shared" si="12"/>
        <v>#REF!</v>
      </c>
      <c r="E71" s="58">
        <f>HLOOKUP('Withdrawal Working'!E$2,'Yoy WAR OG'!$J$3:$FA$79,MATCH('Withdrawal Working'!$A71,'Yoy WAR OG'!$J$3:$J$79,0),0)</f>
        <v>0</v>
      </c>
      <c r="F71" s="58" t="e">
        <f t="shared" si="13"/>
        <v>#REF!</v>
      </c>
      <c r="G71" s="58">
        <f>HLOOKUP('Withdrawal Working'!G$2,'Yoy WAR OG'!$J$3:$FA$79,MATCH('Withdrawal Working'!$A71,'Yoy WAR OG'!$J$3:$J$79,0),0)</f>
        <v>0</v>
      </c>
      <c r="H71" s="58" t="e">
        <f t="shared" si="14"/>
        <v>#REF!</v>
      </c>
      <c r="I71" s="58">
        <f>HLOOKUP('Withdrawal Working'!I$2,'Yoy WAR OG'!$J$3:$FA$79,MATCH('Withdrawal Working'!$A71,'Yoy WAR OG'!$J$3:$J$79,0),0)</f>
        <v>0</v>
      </c>
      <c r="J71" s="58" t="e">
        <f t="shared" si="15"/>
        <v>#REF!</v>
      </c>
      <c r="K71" s="58">
        <f ca="1">HLOOKUP('Withdrawal Working'!K$2,'Yoy WAR OG'!$J$3:$FA$79,MATCH('Withdrawal Working'!$A71,'Yoy WAR OG'!$J$3:$J$79,0),0)</f>
        <v>0</v>
      </c>
      <c r="L71" s="58" t="e">
        <f t="shared" ca="1" si="16"/>
        <v>#REF!</v>
      </c>
      <c r="M71" s="58">
        <f ca="1">HLOOKUP('Withdrawal Working'!M$2,'Yoy WAR OG'!$J$3:$FA$79,MATCH('Withdrawal Working'!$A71,'Yoy WAR OG'!$J$3:$J$79,0),0)</f>
        <v>0</v>
      </c>
      <c r="N71" s="58" t="e">
        <f t="shared" ca="1" si="17"/>
        <v>#REF!</v>
      </c>
      <c r="O71" s="58">
        <f>HLOOKUP('Withdrawal Working'!O$2,'Yoy WAR OG'!$J$3:$FA$79,MATCH('Withdrawal Working'!$A71,'Yoy WAR OG'!$J$3:$J$79,0),0)</f>
        <v>0</v>
      </c>
      <c r="P71" s="58" t="e">
        <f t="shared" ca="1" si="18"/>
        <v>#REF!</v>
      </c>
      <c r="Q71" s="58">
        <f>HLOOKUP('Withdrawal Working'!Q$2,'Yoy WAR OG'!$J$3:$FA$79,MATCH('Withdrawal Working'!$A71,'Yoy WAR OG'!$J$3:$J$79,0),0)</f>
        <v>0</v>
      </c>
      <c r="R71" s="58" t="e">
        <f t="shared" ca="1" si="19"/>
        <v>#REF!</v>
      </c>
      <c r="S71" s="58">
        <f>HLOOKUP('Withdrawal Working'!S$2,'Yoy WAR OG'!$J$3:$FA$79,MATCH('Withdrawal Working'!$A71,'Yoy WAR OG'!$J$3:$J$79,0),0)</f>
        <v>0</v>
      </c>
      <c r="T71" s="58" t="e">
        <f t="shared" ca="1" si="20"/>
        <v>#REF!</v>
      </c>
      <c r="U71" s="58">
        <f>HLOOKUP('Withdrawal Working'!U$2,'Yoy WAR OG'!$J$3:$FA$79,MATCH('Withdrawal Working'!$A71,'Yoy WAR OG'!$J$3:$J$79,0),0)</f>
        <v>0</v>
      </c>
      <c r="V71" s="58" t="e">
        <f t="shared" ca="1" si="21"/>
        <v>#REF!</v>
      </c>
      <c r="AD71">
        <f>'Yoy WAR OG'!K72</f>
        <v>0</v>
      </c>
      <c r="AE71" t="e">
        <f ca="1">IF(AD71&lt;VLOOKUP('NWGC - SCENARIOS'!$D$7,'NWGC - SCENARIOS'!$B$11:$C$67,2,0),IF(V71&lt;0,-V71,0),IF(AI71&gt;0,'Withdrawal Working'!AI71,0))</f>
        <v>#REF!</v>
      </c>
      <c r="AG71">
        <f ca="1">'Yoy WAR OG'!R72+'Yoy WAR OG'!X72+'Yoy WAR OG'!AD72+'Yoy WAR OG'!AJ72+'Yoy WAR OG'!AP72+'Yoy WAR OG'!AV72+'Yoy WAR OG'!BB72+'Yoy WAR OG'!BH72+'Yoy WAR OG'!BN72+'Yoy WAR OG'!BT72+'Yoy WAR OG'!BZ72+'Yoy WAR OG'!CF72+'Yoy WAR OG'!CL72+'Yoy WAR OG'!CR72+'Yoy WAR OG'!CX72+'Yoy WAR OG'!DD72+'Yoy WAR OG'!DJ72+'Yoy WAR OG'!DP72+'Yoy WAR OG'!DV72+'Yoy WAR OG'!EB72+'Yoy WAR OG'!EH72+'Yoy WAR OG'!EN72+'Yoy WAR OG'!ET72+'Yoy WAR OG'!EZ72</f>
        <v>0</v>
      </c>
      <c r="AH71" s="449" t="e">
        <f>'Yoy WAR OG'!M72</f>
        <v>#REF!</v>
      </c>
      <c r="AI71" s="449" t="e">
        <f t="shared" ca="1" si="23"/>
        <v>#REF!</v>
      </c>
    </row>
    <row r="72" spans="1:35" x14ac:dyDescent="0.3">
      <c r="A72">
        <f>'Yoy WAR OG'!J73</f>
        <v>0</v>
      </c>
      <c r="B72" s="58" t="e">
        <f>'Yoy WAR OG'!M73</f>
        <v>#REF!</v>
      </c>
      <c r="C72" s="58">
        <f>HLOOKUP('Withdrawal Working'!C$2,'Yoy WAR OG'!$J$3:$FA$79,MATCH('Withdrawal Working'!$A72,'Yoy WAR OG'!$J$3:$J$79,0),0)</f>
        <v>0</v>
      </c>
      <c r="D72" s="58" t="e">
        <f t="shared" si="12"/>
        <v>#REF!</v>
      </c>
      <c r="E72" s="58">
        <f>HLOOKUP('Withdrawal Working'!E$2,'Yoy WAR OG'!$J$3:$FA$79,MATCH('Withdrawal Working'!$A72,'Yoy WAR OG'!$J$3:$J$79,0),0)</f>
        <v>0</v>
      </c>
      <c r="F72" s="58" t="e">
        <f t="shared" si="13"/>
        <v>#REF!</v>
      </c>
      <c r="G72" s="58">
        <f>HLOOKUP('Withdrawal Working'!G$2,'Yoy WAR OG'!$J$3:$FA$79,MATCH('Withdrawal Working'!$A72,'Yoy WAR OG'!$J$3:$J$79,0),0)</f>
        <v>0</v>
      </c>
      <c r="H72" s="58" t="e">
        <f t="shared" si="14"/>
        <v>#REF!</v>
      </c>
      <c r="I72" s="58">
        <f>HLOOKUP('Withdrawal Working'!I$2,'Yoy WAR OG'!$J$3:$FA$79,MATCH('Withdrawal Working'!$A72,'Yoy WAR OG'!$J$3:$J$79,0),0)</f>
        <v>0</v>
      </c>
      <c r="J72" s="58" t="e">
        <f t="shared" si="15"/>
        <v>#REF!</v>
      </c>
      <c r="K72" s="58">
        <f ca="1">HLOOKUP('Withdrawal Working'!K$2,'Yoy WAR OG'!$J$3:$FA$79,MATCH('Withdrawal Working'!$A72,'Yoy WAR OG'!$J$3:$J$79,0),0)</f>
        <v>0</v>
      </c>
      <c r="L72" s="58" t="e">
        <f t="shared" ca="1" si="16"/>
        <v>#REF!</v>
      </c>
      <c r="M72" s="58">
        <f ca="1">HLOOKUP('Withdrawal Working'!M$2,'Yoy WAR OG'!$J$3:$FA$79,MATCH('Withdrawal Working'!$A72,'Yoy WAR OG'!$J$3:$J$79,0),0)</f>
        <v>0</v>
      </c>
      <c r="N72" s="58" t="e">
        <f t="shared" ca="1" si="17"/>
        <v>#REF!</v>
      </c>
      <c r="O72" s="58">
        <f>HLOOKUP('Withdrawal Working'!O$2,'Yoy WAR OG'!$J$3:$FA$79,MATCH('Withdrawal Working'!$A72,'Yoy WAR OG'!$J$3:$J$79,0),0)</f>
        <v>0</v>
      </c>
      <c r="P72" s="58" t="e">
        <f t="shared" ca="1" si="18"/>
        <v>#REF!</v>
      </c>
      <c r="Q72" s="58">
        <f>HLOOKUP('Withdrawal Working'!Q$2,'Yoy WAR OG'!$J$3:$FA$79,MATCH('Withdrawal Working'!$A72,'Yoy WAR OG'!$J$3:$J$79,0),0)</f>
        <v>0</v>
      </c>
      <c r="R72" s="58" t="e">
        <f t="shared" ca="1" si="19"/>
        <v>#REF!</v>
      </c>
      <c r="S72" s="58">
        <f>HLOOKUP('Withdrawal Working'!S$2,'Yoy WAR OG'!$J$3:$FA$79,MATCH('Withdrawal Working'!$A72,'Yoy WAR OG'!$J$3:$J$79,0),0)</f>
        <v>0</v>
      </c>
      <c r="T72" s="58" t="e">
        <f t="shared" ca="1" si="20"/>
        <v>#REF!</v>
      </c>
      <c r="U72" s="58">
        <f>HLOOKUP('Withdrawal Working'!U$2,'Yoy WAR OG'!$J$3:$FA$79,MATCH('Withdrawal Working'!$A72,'Yoy WAR OG'!$J$3:$J$79,0),0)</f>
        <v>0</v>
      </c>
      <c r="V72" s="58" t="e">
        <f t="shared" ca="1" si="21"/>
        <v>#REF!</v>
      </c>
      <c r="AD72">
        <f>'Yoy WAR OG'!K73</f>
        <v>0</v>
      </c>
      <c r="AE72" t="e">
        <f ca="1">IF(AD72&lt;VLOOKUP('NWGC - SCENARIOS'!$D$7,'NWGC - SCENARIOS'!$B$11:$C$67,2,0),IF(V72&lt;0,-V72,0),IF(AI72&gt;0,'Withdrawal Working'!AI72,0))</f>
        <v>#REF!</v>
      </c>
      <c r="AG72">
        <f ca="1">'Yoy WAR OG'!R73+'Yoy WAR OG'!X73+'Yoy WAR OG'!AD73+'Yoy WAR OG'!AJ73+'Yoy WAR OG'!AP73+'Yoy WAR OG'!AV73+'Yoy WAR OG'!BB73+'Yoy WAR OG'!BH73+'Yoy WAR OG'!BN73+'Yoy WAR OG'!BT73+'Yoy WAR OG'!BZ73+'Yoy WAR OG'!CF73+'Yoy WAR OG'!CL73+'Yoy WAR OG'!CR73+'Yoy WAR OG'!CX73+'Yoy WAR OG'!DD73+'Yoy WAR OG'!DJ73+'Yoy WAR OG'!DP73+'Yoy WAR OG'!DV73+'Yoy WAR OG'!EB73+'Yoy WAR OG'!EH73+'Yoy WAR OG'!EN73+'Yoy WAR OG'!ET73+'Yoy WAR OG'!EZ73</f>
        <v>0</v>
      </c>
      <c r="AH72" s="449" t="e">
        <f>'Yoy WAR OG'!M73</f>
        <v>#REF!</v>
      </c>
      <c r="AI72" s="449" t="e">
        <f t="shared" ca="1" si="23"/>
        <v>#REF!</v>
      </c>
    </row>
    <row r="73" spans="1:35" x14ac:dyDescent="0.3">
      <c r="A73">
        <f>'Yoy WAR OG'!J74</f>
        <v>0</v>
      </c>
      <c r="B73" s="58" t="e">
        <f>'Yoy WAR OG'!M74</f>
        <v>#REF!</v>
      </c>
      <c r="C73" s="58">
        <f>HLOOKUP('Withdrawal Working'!C$2,'Yoy WAR OG'!$J$3:$FA$79,MATCH('Withdrawal Working'!$A73,'Yoy WAR OG'!$J$3:$J$79,0),0)</f>
        <v>0</v>
      </c>
      <c r="D73" s="58" t="e">
        <f t="shared" si="12"/>
        <v>#REF!</v>
      </c>
      <c r="E73" s="58">
        <f>HLOOKUP('Withdrawal Working'!E$2,'Yoy WAR OG'!$J$3:$FA$79,MATCH('Withdrawal Working'!$A73,'Yoy WAR OG'!$J$3:$J$79,0),0)</f>
        <v>0</v>
      </c>
      <c r="F73" s="58" t="e">
        <f t="shared" si="13"/>
        <v>#REF!</v>
      </c>
      <c r="G73" s="58">
        <f>HLOOKUP('Withdrawal Working'!G$2,'Yoy WAR OG'!$J$3:$FA$79,MATCH('Withdrawal Working'!$A73,'Yoy WAR OG'!$J$3:$J$79,0),0)</f>
        <v>0</v>
      </c>
      <c r="H73" s="58" t="e">
        <f t="shared" si="14"/>
        <v>#REF!</v>
      </c>
      <c r="I73" s="58">
        <f>HLOOKUP('Withdrawal Working'!I$2,'Yoy WAR OG'!$J$3:$FA$79,MATCH('Withdrawal Working'!$A73,'Yoy WAR OG'!$J$3:$J$79,0),0)</f>
        <v>0</v>
      </c>
      <c r="J73" s="58" t="e">
        <f t="shared" si="15"/>
        <v>#REF!</v>
      </c>
      <c r="K73" s="58">
        <f ca="1">HLOOKUP('Withdrawal Working'!K$2,'Yoy WAR OG'!$J$3:$FA$79,MATCH('Withdrawal Working'!$A73,'Yoy WAR OG'!$J$3:$J$79,0),0)</f>
        <v>0</v>
      </c>
      <c r="L73" s="58" t="e">
        <f t="shared" ca="1" si="16"/>
        <v>#REF!</v>
      </c>
      <c r="M73" s="58">
        <f ca="1">HLOOKUP('Withdrawal Working'!M$2,'Yoy WAR OG'!$J$3:$FA$79,MATCH('Withdrawal Working'!$A73,'Yoy WAR OG'!$J$3:$J$79,0),0)</f>
        <v>0</v>
      </c>
      <c r="N73" s="58" t="e">
        <f t="shared" ca="1" si="17"/>
        <v>#REF!</v>
      </c>
      <c r="O73" s="58">
        <f>HLOOKUP('Withdrawal Working'!O$2,'Yoy WAR OG'!$J$3:$FA$79,MATCH('Withdrawal Working'!$A73,'Yoy WAR OG'!$J$3:$J$79,0),0)</f>
        <v>0</v>
      </c>
      <c r="P73" s="58" t="e">
        <f t="shared" ca="1" si="18"/>
        <v>#REF!</v>
      </c>
      <c r="Q73" s="58">
        <f>HLOOKUP('Withdrawal Working'!Q$2,'Yoy WAR OG'!$J$3:$FA$79,MATCH('Withdrawal Working'!$A73,'Yoy WAR OG'!$J$3:$J$79,0),0)</f>
        <v>0</v>
      </c>
      <c r="R73" s="58" t="e">
        <f t="shared" ca="1" si="19"/>
        <v>#REF!</v>
      </c>
      <c r="S73" s="58">
        <f>HLOOKUP('Withdrawal Working'!S$2,'Yoy WAR OG'!$J$3:$FA$79,MATCH('Withdrawal Working'!$A73,'Yoy WAR OG'!$J$3:$J$79,0),0)</f>
        <v>0</v>
      </c>
      <c r="T73" s="58" t="e">
        <f t="shared" ca="1" si="20"/>
        <v>#REF!</v>
      </c>
      <c r="U73" s="58">
        <f>HLOOKUP('Withdrawal Working'!U$2,'Yoy WAR OG'!$J$3:$FA$79,MATCH('Withdrawal Working'!$A73,'Yoy WAR OG'!$J$3:$J$79,0),0)</f>
        <v>0</v>
      </c>
      <c r="V73" s="58" t="e">
        <f t="shared" ca="1" si="21"/>
        <v>#REF!</v>
      </c>
      <c r="AD73">
        <f>'Yoy WAR OG'!K74</f>
        <v>0</v>
      </c>
      <c r="AE73" t="e">
        <f ca="1">IF(AD73&lt;VLOOKUP('NWGC - SCENARIOS'!$D$7,'NWGC - SCENARIOS'!$B$11:$C$67,2,0),IF(V73&lt;0,-V73,0),IF(AI73&gt;0,'Withdrawal Working'!AI73,0))</f>
        <v>#REF!</v>
      </c>
      <c r="AG73">
        <f ca="1">'Yoy WAR OG'!R74+'Yoy WAR OG'!X74+'Yoy WAR OG'!AD74+'Yoy WAR OG'!AJ74+'Yoy WAR OG'!AP74+'Yoy WAR OG'!AV74+'Yoy WAR OG'!BB74+'Yoy WAR OG'!BH74+'Yoy WAR OG'!BN74+'Yoy WAR OG'!BT74+'Yoy WAR OG'!BZ74+'Yoy WAR OG'!CF74+'Yoy WAR OG'!CL74+'Yoy WAR OG'!CR74+'Yoy WAR OG'!CX74+'Yoy WAR OG'!DD74+'Yoy WAR OG'!DJ74+'Yoy WAR OG'!DP74+'Yoy WAR OG'!DV74+'Yoy WAR OG'!EB74+'Yoy WAR OG'!EH74+'Yoy WAR OG'!EN74+'Yoy WAR OG'!ET74+'Yoy WAR OG'!EZ74</f>
        <v>0</v>
      </c>
      <c r="AH73" s="449" t="e">
        <f>'Yoy WAR OG'!M74</f>
        <v>#REF!</v>
      </c>
      <c r="AI73" s="449" t="e">
        <f t="shared" ca="1" si="23"/>
        <v>#REF!</v>
      </c>
    </row>
    <row r="74" spans="1:35" x14ac:dyDescent="0.3">
      <c r="A74">
        <f>'Yoy WAR OG'!J75</f>
        <v>0</v>
      </c>
      <c r="B74" s="58" t="e">
        <f>'Yoy WAR OG'!M75</f>
        <v>#REF!</v>
      </c>
      <c r="C74" s="58">
        <f>HLOOKUP('Withdrawal Working'!C$2,'Yoy WAR OG'!$J$3:$FA$79,MATCH('Withdrawal Working'!$A74,'Yoy WAR OG'!$J$3:$J$79,0),0)</f>
        <v>0</v>
      </c>
      <c r="D74" s="58" t="e">
        <f t="shared" si="12"/>
        <v>#REF!</v>
      </c>
      <c r="E74" s="58">
        <f>HLOOKUP('Withdrawal Working'!E$2,'Yoy WAR OG'!$J$3:$FA$79,MATCH('Withdrawal Working'!$A74,'Yoy WAR OG'!$J$3:$J$79,0),0)</f>
        <v>0</v>
      </c>
      <c r="F74" s="58" t="e">
        <f t="shared" si="13"/>
        <v>#REF!</v>
      </c>
      <c r="G74" s="58">
        <f>HLOOKUP('Withdrawal Working'!G$2,'Yoy WAR OG'!$J$3:$FA$79,MATCH('Withdrawal Working'!$A74,'Yoy WAR OG'!$J$3:$J$79,0),0)</f>
        <v>0</v>
      </c>
      <c r="H74" s="58" t="e">
        <f t="shared" si="14"/>
        <v>#REF!</v>
      </c>
      <c r="I74" s="58">
        <f>HLOOKUP('Withdrawal Working'!I$2,'Yoy WAR OG'!$J$3:$FA$79,MATCH('Withdrawal Working'!$A74,'Yoy WAR OG'!$J$3:$J$79,0),0)</f>
        <v>0</v>
      </c>
      <c r="J74" s="58" t="e">
        <f t="shared" si="15"/>
        <v>#REF!</v>
      </c>
      <c r="K74" s="58">
        <f ca="1">HLOOKUP('Withdrawal Working'!K$2,'Yoy WAR OG'!$J$3:$FA$79,MATCH('Withdrawal Working'!$A74,'Yoy WAR OG'!$J$3:$J$79,0),0)</f>
        <v>0</v>
      </c>
      <c r="L74" s="58" t="e">
        <f t="shared" ca="1" si="16"/>
        <v>#REF!</v>
      </c>
      <c r="M74" s="58">
        <f ca="1">HLOOKUP('Withdrawal Working'!M$2,'Yoy WAR OG'!$J$3:$FA$79,MATCH('Withdrawal Working'!$A74,'Yoy WAR OG'!$J$3:$J$79,0),0)</f>
        <v>0</v>
      </c>
      <c r="N74" s="58" t="e">
        <f t="shared" ca="1" si="17"/>
        <v>#REF!</v>
      </c>
      <c r="O74" s="58">
        <f>HLOOKUP('Withdrawal Working'!O$2,'Yoy WAR OG'!$J$3:$FA$79,MATCH('Withdrawal Working'!$A74,'Yoy WAR OG'!$J$3:$J$79,0),0)</f>
        <v>0</v>
      </c>
      <c r="P74" s="58" t="e">
        <f t="shared" ca="1" si="18"/>
        <v>#REF!</v>
      </c>
      <c r="Q74" s="58">
        <f>HLOOKUP('Withdrawal Working'!Q$2,'Yoy WAR OG'!$J$3:$FA$79,MATCH('Withdrawal Working'!$A74,'Yoy WAR OG'!$J$3:$J$79,0),0)</f>
        <v>0</v>
      </c>
      <c r="R74" s="58" t="e">
        <f t="shared" ca="1" si="19"/>
        <v>#REF!</v>
      </c>
      <c r="S74" s="58">
        <f>HLOOKUP('Withdrawal Working'!S$2,'Yoy WAR OG'!$J$3:$FA$79,MATCH('Withdrawal Working'!$A74,'Yoy WAR OG'!$J$3:$J$79,0),0)</f>
        <v>0</v>
      </c>
      <c r="T74" s="58" t="e">
        <f t="shared" ca="1" si="20"/>
        <v>#REF!</v>
      </c>
      <c r="U74" s="58">
        <f>HLOOKUP('Withdrawal Working'!U$2,'Yoy WAR OG'!$J$3:$FA$79,MATCH('Withdrawal Working'!$A74,'Yoy WAR OG'!$J$3:$J$79,0),0)</f>
        <v>0</v>
      </c>
      <c r="V74" s="58" t="e">
        <f t="shared" ca="1" si="21"/>
        <v>#REF!</v>
      </c>
      <c r="AD74">
        <f>'Yoy WAR OG'!K75</f>
        <v>0</v>
      </c>
      <c r="AE74" t="e">
        <f ca="1">IF(AD74&lt;VLOOKUP('NWGC - SCENARIOS'!$D$7,'NWGC - SCENARIOS'!$B$11:$C$67,2,0),IF(V74&lt;0,-V74,0),IF(AI74&gt;0,'Withdrawal Working'!AI74,0))</f>
        <v>#REF!</v>
      </c>
      <c r="AG74">
        <f ca="1">'Yoy WAR OG'!R75+'Yoy WAR OG'!X75+'Yoy WAR OG'!AD75+'Yoy WAR OG'!AJ75+'Yoy WAR OG'!AP75+'Yoy WAR OG'!AV75+'Yoy WAR OG'!BB75+'Yoy WAR OG'!BH75+'Yoy WAR OG'!BN75+'Yoy WAR OG'!BT75+'Yoy WAR OG'!BZ75+'Yoy WAR OG'!CF75+'Yoy WAR OG'!CL75+'Yoy WAR OG'!CR75+'Yoy WAR OG'!CX75+'Yoy WAR OG'!DD75+'Yoy WAR OG'!DJ75+'Yoy WAR OG'!DP75+'Yoy WAR OG'!DV75+'Yoy WAR OG'!EB75+'Yoy WAR OG'!EH75+'Yoy WAR OG'!EN75+'Yoy WAR OG'!ET75+'Yoy WAR OG'!EZ75</f>
        <v>0</v>
      </c>
      <c r="AH74" s="449" t="e">
        <f>'Yoy WAR OG'!M75</f>
        <v>#REF!</v>
      </c>
      <c r="AI74" s="449" t="e">
        <f t="shared" ca="1" si="23"/>
        <v>#REF!</v>
      </c>
    </row>
    <row r="75" spans="1:35" x14ac:dyDescent="0.3">
      <c r="A75">
        <f>'Yoy WAR OG'!J76</f>
        <v>0</v>
      </c>
      <c r="B75" s="58" t="e">
        <f>'Yoy WAR OG'!M76</f>
        <v>#REF!</v>
      </c>
      <c r="C75" s="58">
        <f>HLOOKUP('Withdrawal Working'!C$2,'Yoy WAR OG'!$J$3:$FA$79,MATCH('Withdrawal Working'!$A75,'Yoy WAR OG'!$J$3:$J$79,0),0)</f>
        <v>0</v>
      </c>
      <c r="D75" s="58" t="e">
        <f t="shared" ref="D75:D121" si="24">B75-C75</f>
        <v>#REF!</v>
      </c>
      <c r="E75" s="58">
        <f>HLOOKUP('Withdrawal Working'!E$2,'Yoy WAR OG'!$J$3:$FA$79,MATCH('Withdrawal Working'!$A75,'Yoy WAR OG'!$J$3:$J$79,0),0)</f>
        <v>0</v>
      </c>
      <c r="F75" s="58" t="e">
        <f t="shared" ref="F75:F121" si="25">D75-E75</f>
        <v>#REF!</v>
      </c>
      <c r="G75" s="58">
        <f>HLOOKUP('Withdrawal Working'!G$2,'Yoy WAR OG'!$J$3:$FA$79,MATCH('Withdrawal Working'!$A75,'Yoy WAR OG'!$J$3:$J$79,0),0)</f>
        <v>0</v>
      </c>
      <c r="H75" s="58" t="e">
        <f t="shared" ref="H75:H121" si="26">F75-G75</f>
        <v>#REF!</v>
      </c>
      <c r="I75" s="58">
        <f>HLOOKUP('Withdrawal Working'!I$2,'Yoy WAR OG'!$J$3:$FA$79,MATCH('Withdrawal Working'!$A75,'Yoy WAR OG'!$J$3:$J$79,0),0)</f>
        <v>0</v>
      </c>
      <c r="J75" s="58" t="e">
        <f t="shared" ref="J75:J121" si="27">H75-I75</f>
        <v>#REF!</v>
      </c>
      <c r="K75" s="58">
        <f ca="1">HLOOKUP('Withdrawal Working'!K$2,'Yoy WAR OG'!$J$3:$FA$79,MATCH('Withdrawal Working'!$A75,'Yoy WAR OG'!$J$3:$J$79,0),0)</f>
        <v>0</v>
      </c>
      <c r="L75" s="58" t="e">
        <f t="shared" ref="L75:L121" ca="1" si="28">J75-K75</f>
        <v>#REF!</v>
      </c>
      <c r="M75" s="58">
        <f ca="1">HLOOKUP('Withdrawal Working'!M$2,'Yoy WAR OG'!$J$3:$FA$79,MATCH('Withdrawal Working'!$A75,'Yoy WAR OG'!$J$3:$J$79,0),0)</f>
        <v>0</v>
      </c>
      <c r="N75" s="58" t="e">
        <f t="shared" ref="N75:N121" ca="1" si="29">L75-M75</f>
        <v>#REF!</v>
      </c>
      <c r="O75" s="58">
        <f>HLOOKUP('Withdrawal Working'!O$2,'Yoy WAR OG'!$J$3:$FA$79,MATCH('Withdrawal Working'!$A75,'Yoy WAR OG'!$J$3:$J$79,0),0)</f>
        <v>0</v>
      </c>
      <c r="P75" s="58" t="e">
        <f t="shared" ref="P75:P121" ca="1" si="30">N75-O75</f>
        <v>#REF!</v>
      </c>
      <c r="Q75" s="58">
        <f>HLOOKUP('Withdrawal Working'!Q$2,'Yoy WAR OG'!$J$3:$FA$79,MATCH('Withdrawal Working'!$A75,'Yoy WAR OG'!$J$3:$J$79,0),0)</f>
        <v>0</v>
      </c>
      <c r="R75" s="58" t="e">
        <f t="shared" ref="R75:R121" ca="1" si="31">P75-Q75</f>
        <v>#REF!</v>
      </c>
      <c r="S75" s="58">
        <f>HLOOKUP('Withdrawal Working'!S$2,'Yoy WAR OG'!$J$3:$FA$79,MATCH('Withdrawal Working'!$A75,'Yoy WAR OG'!$J$3:$J$79,0),0)</f>
        <v>0</v>
      </c>
      <c r="T75" s="58" t="e">
        <f t="shared" ref="T75:T121" ca="1" si="32">R75-S75</f>
        <v>#REF!</v>
      </c>
      <c r="U75" s="58">
        <f>HLOOKUP('Withdrawal Working'!U$2,'Yoy WAR OG'!$J$3:$FA$79,MATCH('Withdrawal Working'!$A75,'Yoy WAR OG'!$J$3:$J$79,0),0)</f>
        <v>0</v>
      </c>
      <c r="V75" s="58" t="e">
        <f t="shared" ref="V75:V121" ca="1" si="33">T75-U75</f>
        <v>#REF!</v>
      </c>
      <c r="AD75">
        <f>'Yoy WAR OG'!K76</f>
        <v>0</v>
      </c>
      <c r="AE75" t="e">
        <f ca="1">IF(AD75&lt;VLOOKUP('NWGC - SCENARIOS'!$D$7,'NWGC - SCENARIOS'!$B$11:$C$67,2,0),IF(V75&lt;0,-V75,0),IF(AI75&gt;0,'Withdrawal Working'!AI75,0))</f>
        <v>#REF!</v>
      </c>
      <c r="AG75">
        <f ca="1">'Yoy WAR OG'!R76+'Yoy WAR OG'!X76+'Yoy WAR OG'!AD76+'Yoy WAR OG'!AJ76+'Yoy WAR OG'!AP76+'Yoy WAR OG'!AV76+'Yoy WAR OG'!BB76+'Yoy WAR OG'!BH76+'Yoy WAR OG'!BN76+'Yoy WAR OG'!BT76+'Yoy WAR OG'!BZ76+'Yoy WAR OG'!CF76+'Yoy WAR OG'!CL76+'Yoy WAR OG'!CR76+'Yoy WAR OG'!CX76+'Yoy WAR OG'!DD76+'Yoy WAR OG'!DJ76+'Yoy WAR OG'!DP76+'Yoy WAR OG'!DV76+'Yoy WAR OG'!EB76+'Yoy WAR OG'!EH76+'Yoy WAR OG'!EN76+'Yoy WAR OG'!ET76+'Yoy WAR OG'!EZ76</f>
        <v>0</v>
      </c>
      <c r="AH75" s="449" t="e">
        <f>'Yoy WAR OG'!M76</f>
        <v>#REF!</v>
      </c>
      <c r="AI75" s="449" t="e">
        <f t="shared" ca="1" si="23"/>
        <v>#REF!</v>
      </c>
    </row>
    <row r="76" spans="1:35" x14ac:dyDescent="0.3">
      <c r="A76">
        <f>'Yoy WAR OG'!J77</f>
        <v>0</v>
      </c>
      <c r="B76" s="58" t="e">
        <f>'Yoy WAR OG'!M77</f>
        <v>#REF!</v>
      </c>
      <c r="C76" s="58">
        <f>HLOOKUP('Withdrawal Working'!C$2,'Yoy WAR OG'!$J$3:$FA$79,MATCH('Withdrawal Working'!$A76,'Yoy WAR OG'!$J$3:$J$79,0),0)</f>
        <v>0</v>
      </c>
      <c r="D76" s="58" t="e">
        <f t="shared" si="24"/>
        <v>#REF!</v>
      </c>
      <c r="E76" s="58">
        <f>HLOOKUP('Withdrawal Working'!E$2,'Yoy WAR OG'!$J$3:$FA$79,MATCH('Withdrawal Working'!$A76,'Yoy WAR OG'!$J$3:$J$79,0),0)</f>
        <v>0</v>
      </c>
      <c r="F76" s="58" t="e">
        <f t="shared" si="25"/>
        <v>#REF!</v>
      </c>
      <c r="G76" s="58">
        <f>HLOOKUP('Withdrawal Working'!G$2,'Yoy WAR OG'!$J$3:$FA$79,MATCH('Withdrawal Working'!$A76,'Yoy WAR OG'!$J$3:$J$79,0),0)</f>
        <v>0</v>
      </c>
      <c r="H76" s="58" t="e">
        <f t="shared" si="26"/>
        <v>#REF!</v>
      </c>
      <c r="I76" s="58">
        <f>HLOOKUP('Withdrawal Working'!I$2,'Yoy WAR OG'!$J$3:$FA$79,MATCH('Withdrawal Working'!$A76,'Yoy WAR OG'!$J$3:$J$79,0),0)</f>
        <v>0</v>
      </c>
      <c r="J76" s="58" t="e">
        <f t="shared" si="27"/>
        <v>#REF!</v>
      </c>
      <c r="K76" s="58">
        <f ca="1">HLOOKUP('Withdrawal Working'!K$2,'Yoy WAR OG'!$J$3:$FA$79,MATCH('Withdrawal Working'!$A76,'Yoy WAR OG'!$J$3:$J$79,0),0)</f>
        <v>0</v>
      </c>
      <c r="L76" s="58" t="e">
        <f t="shared" ca="1" si="28"/>
        <v>#REF!</v>
      </c>
      <c r="M76" s="58">
        <f ca="1">HLOOKUP('Withdrawal Working'!M$2,'Yoy WAR OG'!$J$3:$FA$79,MATCH('Withdrawal Working'!$A76,'Yoy WAR OG'!$J$3:$J$79,0),0)</f>
        <v>0</v>
      </c>
      <c r="N76" s="58" t="e">
        <f t="shared" ca="1" si="29"/>
        <v>#REF!</v>
      </c>
      <c r="O76" s="58">
        <f>HLOOKUP('Withdrawal Working'!O$2,'Yoy WAR OG'!$J$3:$FA$79,MATCH('Withdrawal Working'!$A76,'Yoy WAR OG'!$J$3:$J$79,0),0)</f>
        <v>0</v>
      </c>
      <c r="P76" s="58" t="e">
        <f t="shared" ca="1" si="30"/>
        <v>#REF!</v>
      </c>
      <c r="Q76" s="58">
        <f>HLOOKUP('Withdrawal Working'!Q$2,'Yoy WAR OG'!$J$3:$FA$79,MATCH('Withdrawal Working'!$A76,'Yoy WAR OG'!$J$3:$J$79,0),0)</f>
        <v>0</v>
      </c>
      <c r="R76" s="58" t="e">
        <f t="shared" ca="1" si="31"/>
        <v>#REF!</v>
      </c>
      <c r="S76" s="58">
        <f>HLOOKUP('Withdrawal Working'!S$2,'Yoy WAR OG'!$J$3:$FA$79,MATCH('Withdrawal Working'!$A76,'Yoy WAR OG'!$J$3:$J$79,0),0)</f>
        <v>0</v>
      </c>
      <c r="T76" s="58" t="e">
        <f t="shared" ca="1" si="32"/>
        <v>#REF!</v>
      </c>
      <c r="U76" s="58">
        <f>HLOOKUP('Withdrawal Working'!U$2,'Yoy WAR OG'!$J$3:$FA$79,MATCH('Withdrawal Working'!$A76,'Yoy WAR OG'!$J$3:$J$79,0),0)</f>
        <v>0</v>
      </c>
      <c r="V76" s="58" t="e">
        <f t="shared" ca="1" si="33"/>
        <v>#REF!</v>
      </c>
      <c r="AD76">
        <f>'Yoy WAR OG'!K77</f>
        <v>0</v>
      </c>
      <c r="AE76" t="e">
        <f ca="1">IF(AD76&lt;VLOOKUP('NWGC - SCENARIOS'!$D$7,'NWGC - SCENARIOS'!$B$11:$C$67,2,0),IF(V76&lt;0,-V76,0),IF(AI76&gt;0,'Withdrawal Working'!AI76,0))</f>
        <v>#REF!</v>
      </c>
      <c r="AG76">
        <f ca="1">'Yoy WAR OG'!R77+'Yoy WAR OG'!X77+'Yoy WAR OG'!AD77+'Yoy WAR OG'!AJ77+'Yoy WAR OG'!AP77+'Yoy WAR OG'!AV77+'Yoy WAR OG'!BB77+'Yoy WAR OG'!BH77+'Yoy WAR OG'!BN77+'Yoy WAR OG'!BT77+'Yoy WAR OG'!BZ77+'Yoy WAR OG'!CF77+'Yoy WAR OG'!CL77+'Yoy WAR OG'!CR77+'Yoy WAR OG'!CX77+'Yoy WAR OG'!DD77+'Yoy WAR OG'!DJ77+'Yoy WAR OG'!DP77+'Yoy WAR OG'!DV77+'Yoy WAR OG'!EB77+'Yoy WAR OG'!EH77+'Yoy WAR OG'!EN77+'Yoy WAR OG'!ET77+'Yoy WAR OG'!EZ77</f>
        <v>0</v>
      </c>
      <c r="AH76" s="449" t="e">
        <f>'Yoy WAR OG'!M77</f>
        <v>#REF!</v>
      </c>
      <c r="AI76" s="449" t="e">
        <f t="shared" ca="1" si="23"/>
        <v>#REF!</v>
      </c>
    </row>
    <row r="77" spans="1:35" x14ac:dyDescent="0.3">
      <c r="A77">
        <f>'Yoy WAR OG'!J78</f>
        <v>0</v>
      </c>
      <c r="B77" s="58" t="e">
        <f>'Yoy WAR OG'!M78</f>
        <v>#REF!</v>
      </c>
      <c r="C77" s="58">
        <f>HLOOKUP('Withdrawal Working'!C$2,'Yoy WAR OG'!$J$3:$FA$79,MATCH('Withdrawal Working'!$A77,'Yoy WAR OG'!$J$3:$J$79,0),0)</f>
        <v>0</v>
      </c>
      <c r="D77" s="58" t="e">
        <f t="shared" si="24"/>
        <v>#REF!</v>
      </c>
      <c r="E77" s="58">
        <f>HLOOKUP('Withdrawal Working'!E$2,'Yoy WAR OG'!$J$3:$FA$79,MATCH('Withdrawal Working'!$A77,'Yoy WAR OG'!$J$3:$J$79,0),0)</f>
        <v>0</v>
      </c>
      <c r="F77" s="58" t="e">
        <f t="shared" si="25"/>
        <v>#REF!</v>
      </c>
      <c r="G77" s="58">
        <f>HLOOKUP('Withdrawal Working'!G$2,'Yoy WAR OG'!$J$3:$FA$79,MATCH('Withdrawal Working'!$A77,'Yoy WAR OG'!$J$3:$J$79,0),0)</f>
        <v>0</v>
      </c>
      <c r="H77" s="58" t="e">
        <f t="shared" si="26"/>
        <v>#REF!</v>
      </c>
      <c r="I77" s="58">
        <f>HLOOKUP('Withdrawal Working'!I$2,'Yoy WAR OG'!$J$3:$FA$79,MATCH('Withdrawal Working'!$A77,'Yoy WAR OG'!$J$3:$J$79,0),0)</f>
        <v>0</v>
      </c>
      <c r="J77" s="58" t="e">
        <f t="shared" si="27"/>
        <v>#REF!</v>
      </c>
      <c r="K77" s="58">
        <f ca="1">HLOOKUP('Withdrawal Working'!K$2,'Yoy WAR OG'!$J$3:$FA$79,MATCH('Withdrawal Working'!$A77,'Yoy WAR OG'!$J$3:$J$79,0),0)</f>
        <v>0</v>
      </c>
      <c r="L77" s="58" t="e">
        <f t="shared" ca="1" si="28"/>
        <v>#REF!</v>
      </c>
      <c r="M77" s="58">
        <f ca="1">HLOOKUP('Withdrawal Working'!M$2,'Yoy WAR OG'!$J$3:$FA$79,MATCH('Withdrawal Working'!$A77,'Yoy WAR OG'!$J$3:$J$79,0),0)</f>
        <v>0</v>
      </c>
      <c r="N77" s="58" t="e">
        <f t="shared" ca="1" si="29"/>
        <v>#REF!</v>
      </c>
      <c r="O77" s="58">
        <f>HLOOKUP('Withdrawal Working'!O$2,'Yoy WAR OG'!$J$3:$FA$79,MATCH('Withdrawal Working'!$A77,'Yoy WAR OG'!$J$3:$J$79,0),0)</f>
        <v>0</v>
      </c>
      <c r="P77" s="58" t="e">
        <f t="shared" ca="1" si="30"/>
        <v>#REF!</v>
      </c>
      <c r="Q77" s="58">
        <f>HLOOKUP('Withdrawal Working'!Q$2,'Yoy WAR OG'!$J$3:$FA$79,MATCH('Withdrawal Working'!$A77,'Yoy WAR OG'!$J$3:$J$79,0),0)</f>
        <v>0</v>
      </c>
      <c r="R77" s="58" t="e">
        <f t="shared" ca="1" si="31"/>
        <v>#REF!</v>
      </c>
      <c r="S77" s="58">
        <f>HLOOKUP('Withdrawal Working'!S$2,'Yoy WAR OG'!$J$3:$FA$79,MATCH('Withdrawal Working'!$A77,'Yoy WAR OG'!$J$3:$J$79,0),0)</f>
        <v>0</v>
      </c>
      <c r="T77" s="58" t="e">
        <f t="shared" ca="1" si="32"/>
        <v>#REF!</v>
      </c>
      <c r="U77" s="58">
        <f>HLOOKUP('Withdrawal Working'!U$2,'Yoy WAR OG'!$J$3:$FA$79,MATCH('Withdrawal Working'!$A77,'Yoy WAR OG'!$J$3:$J$79,0),0)</f>
        <v>0</v>
      </c>
      <c r="V77" s="58" t="e">
        <f t="shared" ca="1" si="33"/>
        <v>#REF!</v>
      </c>
      <c r="AD77">
        <f>'Yoy WAR OG'!K78</f>
        <v>0</v>
      </c>
      <c r="AE77" t="e">
        <f ca="1">IF(AD77&lt;VLOOKUP('NWGC - SCENARIOS'!$D$7,'NWGC - SCENARIOS'!$B$11:$C$67,2,0),IF(V77&lt;0,-V77,0),IF(AI77&gt;0,'Withdrawal Working'!AI77,0))</f>
        <v>#REF!</v>
      </c>
      <c r="AG77">
        <f ca="1">'Yoy WAR OG'!R78+'Yoy WAR OG'!X78+'Yoy WAR OG'!AD78+'Yoy WAR OG'!AJ78+'Yoy WAR OG'!AP78+'Yoy WAR OG'!AV78+'Yoy WAR OG'!BB78+'Yoy WAR OG'!BH78+'Yoy WAR OG'!BN78+'Yoy WAR OG'!BT78+'Yoy WAR OG'!BZ78+'Yoy WAR OG'!CF78+'Yoy WAR OG'!CL78+'Yoy WAR OG'!CR78+'Yoy WAR OG'!CX78+'Yoy WAR OG'!DD78+'Yoy WAR OG'!DJ78+'Yoy WAR OG'!DP78+'Yoy WAR OG'!DV78+'Yoy WAR OG'!EB78+'Yoy WAR OG'!EH78+'Yoy WAR OG'!EN78+'Yoy WAR OG'!ET78+'Yoy WAR OG'!EZ78</f>
        <v>0</v>
      </c>
      <c r="AH77" s="449" t="e">
        <f>'Yoy WAR OG'!M78</f>
        <v>#REF!</v>
      </c>
      <c r="AI77" s="449" t="e">
        <f t="shared" ca="1" si="23"/>
        <v>#REF!</v>
      </c>
    </row>
    <row r="78" spans="1:35" x14ac:dyDescent="0.3">
      <c r="A78">
        <f>'Yoy WAR OG'!J79</f>
        <v>0</v>
      </c>
      <c r="B78" s="58" t="e">
        <f>'Yoy WAR OG'!M79</f>
        <v>#REF!</v>
      </c>
      <c r="C78" s="58">
        <f>HLOOKUP('Withdrawal Working'!C$2,'Yoy WAR OG'!$J$3:$FA$79,MATCH('Withdrawal Working'!$A78,'Yoy WAR OG'!$J$3:$J$79,0),0)</f>
        <v>0</v>
      </c>
      <c r="D78" s="58" t="e">
        <f t="shared" si="24"/>
        <v>#REF!</v>
      </c>
      <c r="E78" s="58">
        <f>HLOOKUP('Withdrawal Working'!E$2,'Yoy WAR OG'!$J$3:$FA$79,MATCH('Withdrawal Working'!$A78,'Yoy WAR OG'!$J$3:$J$79,0),0)</f>
        <v>0</v>
      </c>
      <c r="F78" s="58" t="e">
        <f t="shared" si="25"/>
        <v>#REF!</v>
      </c>
      <c r="G78" s="58">
        <f>HLOOKUP('Withdrawal Working'!G$2,'Yoy WAR OG'!$J$3:$FA$79,MATCH('Withdrawal Working'!$A78,'Yoy WAR OG'!$J$3:$J$79,0),0)</f>
        <v>0</v>
      </c>
      <c r="H78" s="58" t="e">
        <f t="shared" si="26"/>
        <v>#REF!</v>
      </c>
      <c r="I78" s="58">
        <f>HLOOKUP('Withdrawal Working'!I$2,'Yoy WAR OG'!$J$3:$FA$79,MATCH('Withdrawal Working'!$A78,'Yoy WAR OG'!$J$3:$J$79,0),0)</f>
        <v>0</v>
      </c>
      <c r="J78" s="58" t="e">
        <f t="shared" si="27"/>
        <v>#REF!</v>
      </c>
      <c r="K78" s="58">
        <f ca="1">HLOOKUP('Withdrawal Working'!K$2,'Yoy WAR OG'!$J$3:$FA$79,MATCH('Withdrawal Working'!$A78,'Yoy WAR OG'!$J$3:$J$79,0),0)</f>
        <v>0</v>
      </c>
      <c r="L78" s="58" t="e">
        <f t="shared" ca="1" si="28"/>
        <v>#REF!</v>
      </c>
      <c r="M78" s="58">
        <f ca="1">HLOOKUP('Withdrawal Working'!M$2,'Yoy WAR OG'!$J$3:$FA$79,MATCH('Withdrawal Working'!$A78,'Yoy WAR OG'!$J$3:$J$79,0),0)</f>
        <v>0</v>
      </c>
      <c r="N78" s="58" t="e">
        <f t="shared" ca="1" si="29"/>
        <v>#REF!</v>
      </c>
      <c r="O78" s="58">
        <f>HLOOKUP('Withdrawal Working'!O$2,'Yoy WAR OG'!$J$3:$FA$79,MATCH('Withdrawal Working'!$A78,'Yoy WAR OG'!$J$3:$J$79,0),0)</f>
        <v>0</v>
      </c>
      <c r="P78" s="58" t="e">
        <f t="shared" ca="1" si="30"/>
        <v>#REF!</v>
      </c>
      <c r="Q78" s="58">
        <f>HLOOKUP('Withdrawal Working'!Q$2,'Yoy WAR OG'!$J$3:$FA$79,MATCH('Withdrawal Working'!$A78,'Yoy WAR OG'!$J$3:$J$79,0),0)</f>
        <v>0</v>
      </c>
      <c r="R78" s="58" t="e">
        <f t="shared" ca="1" si="31"/>
        <v>#REF!</v>
      </c>
      <c r="S78" s="58">
        <f>HLOOKUP('Withdrawal Working'!S$2,'Yoy WAR OG'!$J$3:$FA$79,MATCH('Withdrawal Working'!$A78,'Yoy WAR OG'!$J$3:$J$79,0),0)</f>
        <v>0</v>
      </c>
      <c r="T78" s="58" t="e">
        <f t="shared" ca="1" si="32"/>
        <v>#REF!</v>
      </c>
      <c r="U78" s="58">
        <f>HLOOKUP('Withdrawal Working'!U$2,'Yoy WAR OG'!$J$3:$FA$79,MATCH('Withdrawal Working'!$A78,'Yoy WAR OG'!$J$3:$J$79,0),0)</f>
        <v>0</v>
      </c>
      <c r="V78" s="58" t="e">
        <f t="shared" ca="1" si="33"/>
        <v>#REF!</v>
      </c>
      <c r="AD78">
        <f>'Yoy WAR OG'!K79</f>
        <v>0</v>
      </c>
      <c r="AE78" t="e">
        <f ca="1">IF(AD78&lt;VLOOKUP('NWGC - SCENARIOS'!$D$7,'NWGC - SCENARIOS'!$B$11:$C$67,2,0),IF(V78&lt;0,-V78,0),IF(AI78&gt;0,'Withdrawal Working'!AI78,0))</f>
        <v>#REF!</v>
      </c>
      <c r="AG78">
        <f ca="1">'Yoy WAR OG'!R79+'Yoy WAR OG'!X79+'Yoy WAR OG'!AD79+'Yoy WAR OG'!AJ79+'Yoy WAR OG'!AP79+'Yoy WAR OG'!AV79+'Yoy WAR OG'!BB79+'Yoy WAR OG'!BH79+'Yoy WAR OG'!BN79+'Yoy WAR OG'!BT79+'Yoy WAR OG'!BZ79+'Yoy WAR OG'!CF79+'Yoy WAR OG'!CL79+'Yoy WAR OG'!CR79+'Yoy WAR OG'!CX79+'Yoy WAR OG'!DD79+'Yoy WAR OG'!DJ79+'Yoy WAR OG'!DP79+'Yoy WAR OG'!DV79+'Yoy WAR OG'!EB79+'Yoy WAR OG'!EH79+'Yoy WAR OG'!EN79+'Yoy WAR OG'!ET79+'Yoy WAR OG'!EZ79</f>
        <v>0</v>
      </c>
      <c r="AH78" s="449" t="e">
        <f>'Yoy WAR OG'!M79</f>
        <v>#REF!</v>
      </c>
      <c r="AI78" s="449" t="e">
        <f t="shared" ca="1" si="23"/>
        <v>#REF!</v>
      </c>
    </row>
    <row r="79" spans="1:35" x14ac:dyDescent="0.3">
      <c r="A79">
        <f>'Yoy WAR OG'!J80</f>
        <v>0</v>
      </c>
      <c r="B79" s="58" t="e">
        <f>'Yoy WAR OG'!M80</f>
        <v>#REF!</v>
      </c>
      <c r="C79" s="58">
        <f>HLOOKUP('Withdrawal Working'!C$2,'Yoy WAR OG'!$J$3:$FA$79,MATCH('Withdrawal Working'!$A79,'Yoy WAR OG'!$J$3:$J$79,0),0)</f>
        <v>0</v>
      </c>
      <c r="D79" s="58" t="e">
        <f t="shared" si="24"/>
        <v>#REF!</v>
      </c>
      <c r="E79" s="58">
        <f>HLOOKUP('Withdrawal Working'!E$2,'Yoy WAR OG'!$J$3:$FA$79,MATCH('Withdrawal Working'!$A79,'Yoy WAR OG'!$J$3:$J$79,0),0)</f>
        <v>0</v>
      </c>
      <c r="F79" s="58" t="e">
        <f t="shared" si="25"/>
        <v>#REF!</v>
      </c>
      <c r="G79" s="58">
        <f>HLOOKUP('Withdrawal Working'!G$2,'Yoy WAR OG'!$J$3:$FA$79,MATCH('Withdrawal Working'!$A79,'Yoy WAR OG'!$J$3:$J$79,0),0)</f>
        <v>0</v>
      </c>
      <c r="H79" s="58" t="e">
        <f t="shared" si="26"/>
        <v>#REF!</v>
      </c>
      <c r="I79" s="58">
        <f>HLOOKUP('Withdrawal Working'!I$2,'Yoy WAR OG'!$J$3:$FA$79,MATCH('Withdrawal Working'!$A79,'Yoy WAR OG'!$J$3:$J$79,0),0)</f>
        <v>0</v>
      </c>
      <c r="J79" s="58" t="e">
        <f t="shared" si="27"/>
        <v>#REF!</v>
      </c>
      <c r="K79" s="58">
        <f ca="1">HLOOKUP('Withdrawal Working'!K$2,'Yoy WAR OG'!$J$3:$FA$79,MATCH('Withdrawal Working'!$A79,'Yoy WAR OG'!$J$3:$J$79,0),0)</f>
        <v>0</v>
      </c>
      <c r="L79" s="58" t="e">
        <f t="shared" ca="1" si="28"/>
        <v>#REF!</v>
      </c>
      <c r="M79" s="58">
        <f ca="1">HLOOKUP('Withdrawal Working'!M$2,'Yoy WAR OG'!$J$3:$FA$79,MATCH('Withdrawal Working'!$A79,'Yoy WAR OG'!$J$3:$J$79,0),0)</f>
        <v>0</v>
      </c>
      <c r="N79" s="58" t="e">
        <f t="shared" ca="1" si="29"/>
        <v>#REF!</v>
      </c>
      <c r="O79" s="58">
        <f>HLOOKUP('Withdrawal Working'!O$2,'Yoy WAR OG'!$J$3:$FA$79,MATCH('Withdrawal Working'!$A79,'Yoy WAR OG'!$J$3:$J$79,0),0)</f>
        <v>0</v>
      </c>
      <c r="P79" s="58" t="e">
        <f t="shared" ca="1" si="30"/>
        <v>#REF!</v>
      </c>
      <c r="Q79" s="58">
        <f>HLOOKUP('Withdrawal Working'!Q$2,'Yoy WAR OG'!$J$3:$FA$79,MATCH('Withdrawal Working'!$A79,'Yoy WAR OG'!$J$3:$J$79,0),0)</f>
        <v>0</v>
      </c>
      <c r="R79" s="58" t="e">
        <f t="shared" ca="1" si="31"/>
        <v>#REF!</v>
      </c>
      <c r="S79" s="58">
        <f>HLOOKUP('Withdrawal Working'!S$2,'Yoy WAR OG'!$J$3:$FA$79,MATCH('Withdrawal Working'!$A79,'Yoy WAR OG'!$J$3:$J$79,0),0)</f>
        <v>0</v>
      </c>
      <c r="T79" s="58" t="e">
        <f t="shared" ca="1" si="32"/>
        <v>#REF!</v>
      </c>
      <c r="U79" s="58">
        <f>HLOOKUP('Withdrawal Working'!U$2,'Yoy WAR OG'!$J$3:$FA$79,MATCH('Withdrawal Working'!$A79,'Yoy WAR OG'!$J$3:$J$79,0),0)</f>
        <v>0</v>
      </c>
      <c r="V79" s="58" t="e">
        <f t="shared" ca="1" si="33"/>
        <v>#REF!</v>
      </c>
      <c r="AD79">
        <f>'Yoy WAR OG'!K80</f>
        <v>0</v>
      </c>
      <c r="AE79" t="e">
        <f ca="1">IF(AD79&lt;VLOOKUP('NWGC - SCENARIOS'!$D$7,'NWGC - SCENARIOS'!$B$11:$C$67,2,0),IF(V79&lt;0,-V79,0),IF(AI79&gt;0,'Withdrawal Working'!AI79,0))</f>
        <v>#REF!</v>
      </c>
      <c r="AG79">
        <f ca="1">'Yoy WAR OG'!R80+'Yoy WAR OG'!X80+'Yoy WAR OG'!AD80+'Yoy WAR OG'!AJ80+'Yoy WAR OG'!AP80+'Yoy WAR OG'!AV80+'Yoy WAR OG'!BB80+'Yoy WAR OG'!BH80+'Yoy WAR OG'!BN80+'Yoy WAR OG'!BT80+'Yoy WAR OG'!BZ80+'Yoy WAR OG'!CF80+'Yoy WAR OG'!CL80+'Yoy WAR OG'!CR80+'Yoy WAR OG'!CX80+'Yoy WAR OG'!DD80+'Yoy WAR OG'!DJ80+'Yoy WAR OG'!DP80+'Yoy WAR OG'!DV80+'Yoy WAR OG'!EB80+'Yoy WAR OG'!EH80+'Yoy WAR OG'!EN80+'Yoy WAR OG'!ET80+'Yoy WAR OG'!EZ80</f>
        <v>0</v>
      </c>
      <c r="AH79" s="449" t="e">
        <f>'Yoy WAR OG'!M80</f>
        <v>#REF!</v>
      </c>
      <c r="AI79" s="449" t="e">
        <f t="shared" ca="1" si="23"/>
        <v>#REF!</v>
      </c>
    </row>
    <row r="80" spans="1:35" x14ac:dyDescent="0.3">
      <c r="A80">
        <f>'Yoy WAR OG'!J81</f>
        <v>0</v>
      </c>
      <c r="B80" s="58">
        <f>'Yoy WAR OG'!M81</f>
        <v>0</v>
      </c>
      <c r="C80" s="58">
        <f>HLOOKUP('Withdrawal Working'!C$2,'Yoy WAR OG'!$J$3:$FA$79,MATCH('Withdrawal Working'!$A80,'Yoy WAR OG'!$J$3:$J$79,0),0)</f>
        <v>0</v>
      </c>
      <c r="D80" s="58">
        <f t="shared" si="24"/>
        <v>0</v>
      </c>
      <c r="E80" s="58">
        <f>HLOOKUP('Withdrawal Working'!E$2,'Yoy WAR OG'!$J$3:$FA$79,MATCH('Withdrawal Working'!$A80,'Yoy WAR OG'!$J$3:$J$79,0),0)</f>
        <v>0</v>
      </c>
      <c r="F80" s="58">
        <f t="shared" si="25"/>
        <v>0</v>
      </c>
      <c r="G80" s="58">
        <f>HLOOKUP('Withdrawal Working'!G$2,'Yoy WAR OG'!$J$3:$FA$79,MATCH('Withdrawal Working'!$A80,'Yoy WAR OG'!$J$3:$J$79,0),0)</f>
        <v>0</v>
      </c>
      <c r="H80" s="58">
        <f t="shared" si="26"/>
        <v>0</v>
      </c>
      <c r="I80" s="58">
        <f>HLOOKUP('Withdrawal Working'!I$2,'Yoy WAR OG'!$J$3:$FA$79,MATCH('Withdrawal Working'!$A80,'Yoy WAR OG'!$J$3:$J$79,0),0)</f>
        <v>0</v>
      </c>
      <c r="J80" s="58">
        <f t="shared" si="27"/>
        <v>0</v>
      </c>
      <c r="K80" s="58">
        <f ca="1">HLOOKUP('Withdrawal Working'!K$2,'Yoy WAR OG'!$J$3:$FA$79,MATCH('Withdrawal Working'!$A80,'Yoy WAR OG'!$J$3:$J$79,0),0)</f>
        <v>0</v>
      </c>
      <c r="L80" s="58">
        <f t="shared" ca="1" si="28"/>
        <v>0</v>
      </c>
      <c r="M80" s="58">
        <f ca="1">HLOOKUP('Withdrawal Working'!M$2,'Yoy WAR OG'!$J$3:$FA$79,MATCH('Withdrawal Working'!$A80,'Yoy WAR OG'!$J$3:$J$79,0),0)</f>
        <v>0</v>
      </c>
      <c r="N80" s="58">
        <f t="shared" ca="1" si="29"/>
        <v>0</v>
      </c>
      <c r="O80" s="58">
        <f>HLOOKUP('Withdrawal Working'!O$2,'Yoy WAR OG'!$J$3:$FA$79,MATCH('Withdrawal Working'!$A80,'Yoy WAR OG'!$J$3:$J$79,0),0)</f>
        <v>0</v>
      </c>
      <c r="P80" s="58">
        <f t="shared" ca="1" si="30"/>
        <v>0</v>
      </c>
      <c r="Q80" s="58">
        <f>HLOOKUP('Withdrawal Working'!Q$2,'Yoy WAR OG'!$J$3:$FA$79,MATCH('Withdrawal Working'!$A80,'Yoy WAR OG'!$J$3:$J$79,0),0)</f>
        <v>0</v>
      </c>
      <c r="R80" s="58">
        <f t="shared" ca="1" si="31"/>
        <v>0</v>
      </c>
      <c r="S80" s="58">
        <f>HLOOKUP('Withdrawal Working'!S$2,'Yoy WAR OG'!$J$3:$FA$79,MATCH('Withdrawal Working'!$A80,'Yoy WAR OG'!$J$3:$J$79,0),0)</f>
        <v>0</v>
      </c>
      <c r="T80" s="58">
        <f t="shared" ca="1" si="32"/>
        <v>0</v>
      </c>
      <c r="U80" s="58">
        <f>HLOOKUP('Withdrawal Working'!U$2,'Yoy WAR OG'!$J$3:$FA$79,MATCH('Withdrawal Working'!$A80,'Yoy WAR OG'!$J$3:$J$79,0),0)</f>
        <v>0</v>
      </c>
      <c r="V80" s="58">
        <f t="shared" ca="1" si="33"/>
        <v>0</v>
      </c>
      <c r="AD80">
        <f>'Yoy WAR OG'!K81</f>
        <v>0</v>
      </c>
      <c r="AE80">
        <f ca="1">IF(AD80&lt;VLOOKUP('NWGC - SCENARIOS'!$D$7,'NWGC - SCENARIOS'!$B$11:$C$67,2,0),IF(V80&lt;0,-V80,0),IF(AI80&gt;0,'Withdrawal Working'!AI80,0))</f>
        <v>0</v>
      </c>
      <c r="AG80">
        <f>'Yoy WAR OG'!R81+'Yoy WAR OG'!X81+'Yoy WAR OG'!AD81+'Yoy WAR OG'!AJ81+'Yoy WAR OG'!AP81+'Yoy WAR OG'!AV81+'Yoy WAR OG'!BB81+'Yoy WAR OG'!BH81+'Yoy WAR OG'!BN81+'Yoy WAR OG'!BT81+'Yoy WAR OG'!BZ81+'Yoy WAR OG'!CF81+'Yoy WAR OG'!CL81+'Yoy WAR OG'!CR81+'Yoy WAR OG'!CX81+'Yoy WAR OG'!DD81+'Yoy WAR OG'!DJ81+'Yoy WAR OG'!DP81+'Yoy WAR OG'!DV81+'Yoy WAR OG'!EB81+'Yoy WAR OG'!EH81+'Yoy WAR OG'!EN81+'Yoy WAR OG'!ET81+'Yoy WAR OG'!EZ81</f>
        <v>0</v>
      </c>
      <c r="AH80" s="449">
        <f>'Yoy WAR OG'!M81</f>
        <v>0</v>
      </c>
      <c r="AI80" s="449">
        <f t="shared" si="23"/>
        <v>0</v>
      </c>
    </row>
    <row r="81" spans="1:35" x14ac:dyDescent="0.3">
      <c r="A81">
        <f>'Yoy WAR OG'!J82</f>
        <v>0</v>
      </c>
      <c r="B81" s="58">
        <f>'Yoy WAR OG'!M82</f>
        <v>0</v>
      </c>
      <c r="C81" s="58">
        <f>HLOOKUP('Withdrawal Working'!C$2,'Yoy WAR OG'!$J$3:$FA$79,MATCH('Withdrawal Working'!$A81,'Yoy WAR OG'!$J$3:$J$79,0),0)</f>
        <v>0</v>
      </c>
      <c r="D81" s="58">
        <f t="shared" si="24"/>
        <v>0</v>
      </c>
      <c r="E81" s="58">
        <f>HLOOKUP('Withdrawal Working'!E$2,'Yoy WAR OG'!$J$3:$FA$79,MATCH('Withdrawal Working'!$A81,'Yoy WAR OG'!$J$3:$J$79,0),0)</f>
        <v>0</v>
      </c>
      <c r="F81" s="58">
        <f t="shared" si="25"/>
        <v>0</v>
      </c>
      <c r="G81" s="58">
        <f>HLOOKUP('Withdrawal Working'!G$2,'Yoy WAR OG'!$J$3:$FA$79,MATCH('Withdrawal Working'!$A81,'Yoy WAR OG'!$J$3:$J$79,0),0)</f>
        <v>0</v>
      </c>
      <c r="H81" s="58">
        <f t="shared" si="26"/>
        <v>0</v>
      </c>
      <c r="I81" s="58">
        <f>HLOOKUP('Withdrawal Working'!I$2,'Yoy WAR OG'!$J$3:$FA$79,MATCH('Withdrawal Working'!$A81,'Yoy WAR OG'!$J$3:$J$79,0),0)</f>
        <v>0</v>
      </c>
      <c r="J81" s="58">
        <f t="shared" si="27"/>
        <v>0</v>
      </c>
      <c r="K81" s="58">
        <f ca="1">HLOOKUP('Withdrawal Working'!K$2,'Yoy WAR OG'!$J$3:$FA$79,MATCH('Withdrawal Working'!$A81,'Yoy WAR OG'!$J$3:$J$79,0),0)</f>
        <v>0</v>
      </c>
      <c r="L81" s="58">
        <f t="shared" ca="1" si="28"/>
        <v>0</v>
      </c>
      <c r="M81" s="58">
        <f ca="1">HLOOKUP('Withdrawal Working'!M$2,'Yoy WAR OG'!$J$3:$FA$79,MATCH('Withdrawal Working'!$A81,'Yoy WAR OG'!$J$3:$J$79,0),0)</f>
        <v>0</v>
      </c>
      <c r="N81" s="58">
        <f t="shared" ca="1" si="29"/>
        <v>0</v>
      </c>
      <c r="O81" s="58">
        <f>HLOOKUP('Withdrawal Working'!O$2,'Yoy WAR OG'!$J$3:$FA$79,MATCH('Withdrawal Working'!$A81,'Yoy WAR OG'!$J$3:$J$79,0),0)</f>
        <v>0</v>
      </c>
      <c r="P81" s="58">
        <f t="shared" ca="1" si="30"/>
        <v>0</v>
      </c>
      <c r="Q81" s="58">
        <f>HLOOKUP('Withdrawal Working'!Q$2,'Yoy WAR OG'!$J$3:$FA$79,MATCH('Withdrawal Working'!$A81,'Yoy WAR OG'!$J$3:$J$79,0),0)</f>
        <v>0</v>
      </c>
      <c r="R81" s="58">
        <f t="shared" ca="1" si="31"/>
        <v>0</v>
      </c>
      <c r="S81" s="58">
        <f>HLOOKUP('Withdrawal Working'!S$2,'Yoy WAR OG'!$J$3:$FA$79,MATCH('Withdrawal Working'!$A81,'Yoy WAR OG'!$J$3:$J$79,0),0)</f>
        <v>0</v>
      </c>
      <c r="T81" s="58">
        <f t="shared" ca="1" si="32"/>
        <v>0</v>
      </c>
      <c r="U81" s="58">
        <f>HLOOKUP('Withdrawal Working'!U$2,'Yoy WAR OG'!$J$3:$FA$79,MATCH('Withdrawal Working'!$A81,'Yoy WAR OG'!$J$3:$J$79,0),0)</f>
        <v>0</v>
      </c>
      <c r="V81" s="58">
        <f t="shared" ca="1" si="33"/>
        <v>0</v>
      </c>
      <c r="AD81">
        <f>'Yoy WAR OG'!K82</f>
        <v>0</v>
      </c>
      <c r="AE81">
        <f ca="1">IF(AD81&lt;VLOOKUP('NWGC - SCENARIOS'!$D$7,'NWGC - SCENARIOS'!$B$11:$C$67,2,0),IF(V81&lt;0,-V81,0),IF(AI81&gt;0,'Withdrawal Working'!AI81,0))</f>
        <v>0</v>
      </c>
      <c r="AG81">
        <f>'Yoy WAR OG'!R82+'Yoy WAR OG'!X82+'Yoy WAR OG'!AD82+'Yoy WAR OG'!AJ82+'Yoy WAR OG'!AP82+'Yoy WAR OG'!AV82+'Yoy WAR OG'!BB82+'Yoy WAR OG'!BH82+'Yoy WAR OG'!BN82+'Yoy WAR OG'!BT82+'Yoy WAR OG'!BZ82+'Yoy WAR OG'!CF82+'Yoy WAR OG'!CL82+'Yoy WAR OG'!CR82+'Yoy WAR OG'!CX82+'Yoy WAR OG'!DD82+'Yoy WAR OG'!DJ82+'Yoy WAR OG'!DP82+'Yoy WAR OG'!DV82+'Yoy WAR OG'!EB82+'Yoy WAR OG'!EH82+'Yoy WAR OG'!EN82+'Yoy WAR OG'!ET82+'Yoy WAR OG'!EZ82</f>
        <v>0</v>
      </c>
      <c r="AH81" s="449">
        <f>'Yoy WAR OG'!M82</f>
        <v>0</v>
      </c>
      <c r="AI81" s="449">
        <f t="shared" si="23"/>
        <v>0</v>
      </c>
    </row>
    <row r="82" spans="1:35" x14ac:dyDescent="0.3">
      <c r="A82">
        <f>'Yoy WAR OG'!J83</f>
        <v>0</v>
      </c>
      <c r="B82" s="58">
        <f>'Yoy WAR OG'!M83</f>
        <v>0</v>
      </c>
      <c r="C82" s="58">
        <f>HLOOKUP('Withdrawal Working'!C$2,'Yoy WAR OG'!$J$3:$FA$79,MATCH('Withdrawal Working'!$A82,'Yoy WAR OG'!$J$3:$J$79,0),0)</f>
        <v>0</v>
      </c>
      <c r="D82" s="58">
        <f t="shared" si="24"/>
        <v>0</v>
      </c>
      <c r="E82" s="58">
        <f>HLOOKUP('Withdrawal Working'!E$2,'Yoy WAR OG'!$J$3:$FA$79,MATCH('Withdrawal Working'!$A82,'Yoy WAR OG'!$J$3:$J$79,0),0)</f>
        <v>0</v>
      </c>
      <c r="F82" s="58">
        <f t="shared" si="25"/>
        <v>0</v>
      </c>
      <c r="G82" s="58">
        <f>HLOOKUP('Withdrawal Working'!G$2,'Yoy WAR OG'!$J$3:$FA$79,MATCH('Withdrawal Working'!$A82,'Yoy WAR OG'!$J$3:$J$79,0),0)</f>
        <v>0</v>
      </c>
      <c r="H82" s="58">
        <f t="shared" si="26"/>
        <v>0</v>
      </c>
      <c r="I82" s="58">
        <f>HLOOKUP('Withdrawal Working'!I$2,'Yoy WAR OG'!$J$3:$FA$79,MATCH('Withdrawal Working'!$A82,'Yoy WAR OG'!$J$3:$J$79,0),0)</f>
        <v>0</v>
      </c>
      <c r="J82" s="58">
        <f t="shared" si="27"/>
        <v>0</v>
      </c>
      <c r="K82" s="58">
        <f ca="1">HLOOKUP('Withdrawal Working'!K$2,'Yoy WAR OG'!$J$3:$FA$79,MATCH('Withdrawal Working'!$A82,'Yoy WAR OG'!$J$3:$J$79,0),0)</f>
        <v>0</v>
      </c>
      <c r="L82" s="58">
        <f t="shared" ca="1" si="28"/>
        <v>0</v>
      </c>
      <c r="M82" s="58">
        <f ca="1">HLOOKUP('Withdrawal Working'!M$2,'Yoy WAR OG'!$J$3:$FA$79,MATCH('Withdrawal Working'!$A82,'Yoy WAR OG'!$J$3:$J$79,0),0)</f>
        <v>0</v>
      </c>
      <c r="N82" s="58">
        <f t="shared" ca="1" si="29"/>
        <v>0</v>
      </c>
      <c r="O82" s="58">
        <f>HLOOKUP('Withdrawal Working'!O$2,'Yoy WAR OG'!$J$3:$FA$79,MATCH('Withdrawal Working'!$A82,'Yoy WAR OG'!$J$3:$J$79,0),0)</f>
        <v>0</v>
      </c>
      <c r="P82" s="58">
        <f t="shared" ca="1" si="30"/>
        <v>0</v>
      </c>
      <c r="Q82" s="58">
        <f>HLOOKUP('Withdrawal Working'!Q$2,'Yoy WAR OG'!$J$3:$FA$79,MATCH('Withdrawal Working'!$A82,'Yoy WAR OG'!$J$3:$J$79,0),0)</f>
        <v>0</v>
      </c>
      <c r="R82" s="58">
        <f t="shared" ca="1" si="31"/>
        <v>0</v>
      </c>
      <c r="S82" s="58">
        <f>HLOOKUP('Withdrawal Working'!S$2,'Yoy WAR OG'!$J$3:$FA$79,MATCH('Withdrawal Working'!$A82,'Yoy WAR OG'!$J$3:$J$79,0),0)</f>
        <v>0</v>
      </c>
      <c r="T82" s="58">
        <f t="shared" ca="1" si="32"/>
        <v>0</v>
      </c>
      <c r="U82" s="58">
        <f>HLOOKUP('Withdrawal Working'!U$2,'Yoy WAR OG'!$J$3:$FA$79,MATCH('Withdrawal Working'!$A82,'Yoy WAR OG'!$J$3:$J$79,0),0)</f>
        <v>0</v>
      </c>
      <c r="V82" s="58">
        <f t="shared" ca="1" si="33"/>
        <v>0</v>
      </c>
      <c r="AD82">
        <f>'Yoy WAR OG'!K83</f>
        <v>0</v>
      </c>
      <c r="AE82">
        <f ca="1">IF(AD82&lt;VLOOKUP('NWGC - SCENARIOS'!$D$7,'NWGC - SCENARIOS'!$B$11:$C$67,2,0),IF(V82&lt;0,-V82,0),IF(AI82&gt;0,'Withdrawal Working'!AI82,0))</f>
        <v>0</v>
      </c>
      <c r="AG82">
        <f>'Yoy WAR OG'!R83+'Yoy WAR OG'!X83+'Yoy WAR OG'!AD83+'Yoy WAR OG'!AJ83+'Yoy WAR OG'!AP83+'Yoy WAR OG'!AV83+'Yoy WAR OG'!BB83+'Yoy WAR OG'!BH83+'Yoy WAR OG'!BN83+'Yoy WAR OG'!BT83+'Yoy WAR OG'!BZ83+'Yoy WAR OG'!CF83+'Yoy WAR OG'!CL83+'Yoy WAR OG'!CR83+'Yoy WAR OG'!CX83+'Yoy WAR OG'!DD83+'Yoy WAR OG'!DJ83+'Yoy WAR OG'!DP83+'Yoy WAR OG'!DV83+'Yoy WAR OG'!EB83+'Yoy WAR OG'!EH83+'Yoy WAR OG'!EN83+'Yoy WAR OG'!ET83+'Yoy WAR OG'!EZ83</f>
        <v>0</v>
      </c>
      <c r="AH82" s="449">
        <f>'Yoy WAR OG'!M83</f>
        <v>0</v>
      </c>
      <c r="AI82" s="449">
        <f t="shared" si="23"/>
        <v>0</v>
      </c>
    </row>
    <row r="83" spans="1:35" x14ac:dyDescent="0.3">
      <c r="A83">
        <f>'Yoy WAR OG'!J84</f>
        <v>0</v>
      </c>
      <c r="B83" s="58">
        <f>'Yoy WAR OG'!M84</f>
        <v>0</v>
      </c>
      <c r="C83" s="58">
        <f>HLOOKUP('Withdrawal Working'!C$2,'Yoy WAR OG'!$J$3:$FA$79,MATCH('Withdrawal Working'!$A83,'Yoy WAR OG'!$J$3:$J$79,0),0)</f>
        <v>0</v>
      </c>
      <c r="D83" s="58">
        <f t="shared" si="24"/>
        <v>0</v>
      </c>
      <c r="E83" s="58">
        <f>HLOOKUP('Withdrawal Working'!E$2,'Yoy WAR OG'!$J$3:$FA$79,MATCH('Withdrawal Working'!$A83,'Yoy WAR OG'!$J$3:$J$79,0),0)</f>
        <v>0</v>
      </c>
      <c r="F83" s="58">
        <f t="shared" si="25"/>
        <v>0</v>
      </c>
      <c r="G83" s="58">
        <f>HLOOKUP('Withdrawal Working'!G$2,'Yoy WAR OG'!$J$3:$FA$79,MATCH('Withdrawal Working'!$A83,'Yoy WAR OG'!$J$3:$J$79,0),0)</f>
        <v>0</v>
      </c>
      <c r="H83" s="58">
        <f t="shared" si="26"/>
        <v>0</v>
      </c>
      <c r="I83" s="58">
        <f>HLOOKUP('Withdrawal Working'!I$2,'Yoy WAR OG'!$J$3:$FA$79,MATCH('Withdrawal Working'!$A83,'Yoy WAR OG'!$J$3:$J$79,0),0)</f>
        <v>0</v>
      </c>
      <c r="J83" s="58">
        <f t="shared" si="27"/>
        <v>0</v>
      </c>
      <c r="K83" s="58">
        <f ca="1">HLOOKUP('Withdrawal Working'!K$2,'Yoy WAR OG'!$J$3:$FA$79,MATCH('Withdrawal Working'!$A83,'Yoy WAR OG'!$J$3:$J$79,0),0)</f>
        <v>0</v>
      </c>
      <c r="L83" s="58">
        <f t="shared" ca="1" si="28"/>
        <v>0</v>
      </c>
      <c r="M83" s="58">
        <f ca="1">HLOOKUP('Withdrawal Working'!M$2,'Yoy WAR OG'!$J$3:$FA$79,MATCH('Withdrawal Working'!$A83,'Yoy WAR OG'!$J$3:$J$79,0),0)</f>
        <v>0</v>
      </c>
      <c r="N83" s="58">
        <f t="shared" ca="1" si="29"/>
        <v>0</v>
      </c>
      <c r="O83" s="58">
        <f>HLOOKUP('Withdrawal Working'!O$2,'Yoy WAR OG'!$J$3:$FA$79,MATCH('Withdrawal Working'!$A83,'Yoy WAR OG'!$J$3:$J$79,0),0)</f>
        <v>0</v>
      </c>
      <c r="P83" s="58">
        <f t="shared" ca="1" si="30"/>
        <v>0</v>
      </c>
      <c r="Q83" s="58">
        <f>HLOOKUP('Withdrawal Working'!Q$2,'Yoy WAR OG'!$J$3:$FA$79,MATCH('Withdrawal Working'!$A83,'Yoy WAR OG'!$J$3:$J$79,0),0)</f>
        <v>0</v>
      </c>
      <c r="R83" s="58">
        <f t="shared" ca="1" si="31"/>
        <v>0</v>
      </c>
      <c r="S83" s="58">
        <f>HLOOKUP('Withdrawal Working'!S$2,'Yoy WAR OG'!$J$3:$FA$79,MATCH('Withdrawal Working'!$A83,'Yoy WAR OG'!$J$3:$J$79,0),0)</f>
        <v>0</v>
      </c>
      <c r="T83" s="58">
        <f t="shared" ca="1" si="32"/>
        <v>0</v>
      </c>
      <c r="U83" s="58">
        <f>HLOOKUP('Withdrawal Working'!U$2,'Yoy WAR OG'!$J$3:$FA$79,MATCH('Withdrawal Working'!$A83,'Yoy WAR OG'!$J$3:$J$79,0),0)</f>
        <v>0</v>
      </c>
      <c r="V83" s="58">
        <f t="shared" ca="1" si="33"/>
        <v>0</v>
      </c>
      <c r="AD83">
        <f>'Yoy WAR OG'!K84</f>
        <v>0</v>
      </c>
      <c r="AE83">
        <f ca="1">IF(AD83&lt;VLOOKUP('NWGC - SCENARIOS'!$D$7,'NWGC - SCENARIOS'!$B$11:$C$67,2,0),IF(V83&lt;0,-V83,0),IF(AI83&gt;0,'Withdrawal Working'!AI83,0))</f>
        <v>0</v>
      </c>
      <c r="AG83">
        <f>'Yoy WAR OG'!R84+'Yoy WAR OG'!X84+'Yoy WAR OG'!AD84+'Yoy WAR OG'!AJ84+'Yoy WAR OG'!AP84+'Yoy WAR OG'!AV84+'Yoy WAR OG'!BB84+'Yoy WAR OG'!BH84+'Yoy WAR OG'!BN84+'Yoy WAR OG'!BT84+'Yoy WAR OG'!BZ84+'Yoy WAR OG'!CF84+'Yoy WAR OG'!CL84+'Yoy WAR OG'!CR84+'Yoy WAR OG'!CX84+'Yoy WAR OG'!DD84+'Yoy WAR OG'!DJ84+'Yoy WAR OG'!DP84+'Yoy WAR OG'!DV84+'Yoy WAR OG'!EB84+'Yoy WAR OG'!EH84+'Yoy WAR OG'!EN84+'Yoy WAR OG'!ET84+'Yoy WAR OG'!EZ84</f>
        <v>0</v>
      </c>
      <c r="AH83" s="449">
        <f>'Yoy WAR OG'!M84</f>
        <v>0</v>
      </c>
      <c r="AI83" s="449">
        <f t="shared" si="23"/>
        <v>0</v>
      </c>
    </row>
    <row r="84" spans="1:35" x14ac:dyDescent="0.3">
      <c r="A84">
        <f>'Yoy WAR OG'!J85</f>
        <v>0</v>
      </c>
      <c r="B84" s="58">
        <f>'Yoy WAR OG'!M85</f>
        <v>0</v>
      </c>
      <c r="C84" s="58">
        <f>HLOOKUP('Withdrawal Working'!C$2,'Yoy WAR OG'!$J$3:$FA$79,MATCH('Withdrawal Working'!$A84,'Yoy WAR OG'!$J$3:$J$79,0),0)</f>
        <v>0</v>
      </c>
      <c r="D84" s="58">
        <f t="shared" si="24"/>
        <v>0</v>
      </c>
      <c r="E84" s="58">
        <f>HLOOKUP('Withdrawal Working'!E$2,'Yoy WAR OG'!$J$3:$FA$79,MATCH('Withdrawal Working'!$A84,'Yoy WAR OG'!$J$3:$J$79,0),0)</f>
        <v>0</v>
      </c>
      <c r="F84" s="58">
        <f t="shared" si="25"/>
        <v>0</v>
      </c>
      <c r="G84" s="58">
        <f>HLOOKUP('Withdrawal Working'!G$2,'Yoy WAR OG'!$J$3:$FA$79,MATCH('Withdrawal Working'!$A84,'Yoy WAR OG'!$J$3:$J$79,0),0)</f>
        <v>0</v>
      </c>
      <c r="H84" s="58">
        <f t="shared" si="26"/>
        <v>0</v>
      </c>
      <c r="I84" s="58">
        <f>HLOOKUP('Withdrawal Working'!I$2,'Yoy WAR OG'!$J$3:$FA$79,MATCH('Withdrawal Working'!$A84,'Yoy WAR OG'!$J$3:$J$79,0),0)</f>
        <v>0</v>
      </c>
      <c r="J84" s="58">
        <f t="shared" si="27"/>
        <v>0</v>
      </c>
      <c r="K84" s="58">
        <f ca="1">HLOOKUP('Withdrawal Working'!K$2,'Yoy WAR OG'!$J$3:$FA$79,MATCH('Withdrawal Working'!$A84,'Yoy WAR OG'!$J$3:$J$79,0),0)</f>
        <v>0</v>
      </c>
      <c r="L84" s="58">
        <f t="shared" ca="1" si="28"/>
        <v>0</v>
      </c>
      <c r="M84" s="58">
        <f ca="1">HLOOKUP('Withdrawal Working'!M$2,'Yoy WAR OG'!$J$3:$FA$79,MATCH('Withdrawal Working'!$A84,'Yoy WAR OG'!$J$3:$J$79,0),0)</f>
        <v>0</v>
      </c>
      <c r="N84" s="58">
        <f t="shared" ca="1" si="29"/>
        <v>0</v>
      </c>
      <c r="O84" s="58">
        <f>HLOOKUP('Withdrawal Working'!O$2,'Yoy WAR OG'!$J$3:$FA$79,MATCH('Withdrawal Working'!$A84,'Yoy WAR OG'!$J$3:$J$79,0),0)</f>
        <v>0</v>
      </c>
      <c r="P84" s="58">
        <f t="shared" ca="1" si="30"/>
        <v>0</v>
      </c>
      <c r="Q84" s="58">
        <f>HLOOKUP('Withdrawal Working'!Q$2,'Yoy WAR OG'!$J$3:$FA$79,MATCH('Withdrawal Working'!$A84,'Yoy WAR OG'!$J$3:$J$79,0),0)</f>
        <v>0</v>
      </c>
      <c r="R84" s="58">
        <f t="shared" ca="1" si="31"/>
        <v>0</v>
      </c>
      <c r="S84" s="58">
        <f>HLOOKUP('Withdrawal Working'!S$2,'Yoy WAR OG'!$J$3:$FA$79,MATCH('Withdrawal Working'!$A84,'Yoy WAR OG'!$J$3:$J$79,0),0)</f>
        <v>0</v>
      </c>
      <c r="T84" s="58">
        <f t="shared" ca="1" si="32"/>
        <v>0</v>
      </c>
      <c r="U84" s="58">
        <f>HLOOKUP('Withdrawal Working'!U$2,'Yoy WAR OG'!$J$3:$FA$79,MATCH('Withdrawal Working'!$A84,'Yoy WAR OG'!$J$3:$J$79,0),0)</f>
        <v>0</v>
      </c>
      <c r="V84" s="58">
        <f t="shared" ca="1" si="33"/>
        <v>0</v>
      </c>
      <c r="AD84">
        <f>'Yoy WAR OG'!K85</f>
        <v>0</v>
      </c>
      <c r="AE84">
        <f ca="1">IF(AD84&lt;VLOOKUP('NWGC - SCENARIOS'!$D$7,'NWGC - SCENARIOS'!$B$11:$C$67,2,0),IF(V84&lt;0,-V84,0),IF(AI84&gt;0,'Withdrawal Working'!AI84,0))</f>
        <v>0</v>
      </c>
      <c r="AG84">
        <f>'Yoy WAR OG'!R85+'Yoy WAR OG'!X85+'Yoy WAR OG'!AD85+'Yoy WAR OG'!AJ85+'Yoy WAR OG'!AP85+'Yoy WAR OG'!AV85+'Yoy WAR OG'!BB85+'Yoy WAR OG'!BH85+'Yoy WAR OG'!BN85+'Yoy WAR OG'!BT85+'Yoy WAR OG'!BZ85+'Yoy WAR OG'!CF85+'Yoy WAR OG'!CL85+'Yoy WAR OG'!CR85+'Yoy WAR OG'!CX85+'Yoy WAR OG'!DD85+'Yoy WAR OG'!DJ85+'Yoy WAR OG'!DP85+'Yoy WAR OG'!DV85+'Yoy WAR OG'!EB85+'Yoy WAR OG'!EH85+'Yoy WAR OG'!EN85+'Yoy WAR OG'!ET85+'Yoy WAR OG'!EZ85</f>
        <v>0</v>
      </c>
      <c r="AH84" s="449">
        <f>'Yoy WAR OG'!M85</f>
        <v>0</v>
      </c>
      <c r="AI84" s="449">
        <f t="shared" si="23"/>
        <v>0</v>
      </c>
    </row>
    <row r="85" spans="1:35" x14ac:dyDescent="0.3">
      <c r="A85">
        <f>'Yoy WAR OG'!J86</f>
        <v>0</v>
      </c>
      <c r="B85" s="58">
        <f>'Yoy WAR OG'!M86</f>
        <v>0</v>
      </c>
      <c r="C85" s="58">
        <f>HLOOKUP('Withdrawal Working'!C$2,'Yoy WAR OG'!$J$3:$FA$79,MATCH('Withdrawal Working'!$A85,'Yoy WAR OG'!$J$3:$J$79,0),0)</f>
        <v>0</v>
      </c>
      <c r="D85" s="58">
        <f t="shared" si="24"/>
        <v>0</v>
      </c>
      <c r="E85" s="58">
        <f>HLOOKUP('Withdrawal Working'!E$2,'Yoy WAR OG'!$J$3:$FA$79,MATCH('Withdrawal Working'!$A85,'Yoy WAR OG'!$J$3:$J$79,0),0)</f>
        <v>0</v>
      </c>
      <c r="F85" s="58">
        <f t="shared" si="25"/>
        <v>0</v>
      </c>
      <c r="G85" s="58">
        <f>HLOOKUP('Withdrawal Working'!G$2,'Yoy WAR OG'!$J$3:$FA$79,MATCH('Withdrawal Working'!$A85,'Yoy WAR OG'!$J$3:$J$79,0),0)</f>
        <v>0</v>
      </c>
      <c r="H85" s="58">
        <f t="shared" si="26"/>
        <v>0</v>
      </c>
      <c r="I85" s="58">
        <f>HLOOKUP('Withdrawal Working'!I$2,'Yoy WAR OG'!$J$3:$FA$79,MATCH('Withdrawal Working'!$A85,'Yoy WAR OG'!$J$3:$J$79,0),0)</f>
        <v>0</v>
      </c>
      <c r="J85" s="58">
        <f t="shared" si="27"/>
        <v>0</v>
      </c>
      <c r="K85" s="58">
        <f ca="1">HLOOKUP('Withdrawal Working'!K$2,'Yoy WAR OG'!$J$3:$FA$79,MATCH('Withdrawal Working'!$A85,'Yoy WAR OG'!$J$3:$J$79,0),0)</f>
        <v>0</v>
      </c>
      <c r="L85" s="58">
        <f t="shared" ca="1" si="28"/>
        <v>0</v>
      </c>
      <c r="M85" s="58">
        <f ca="1">HLOOKUP('Withdrawal Working'!M$2,'Yoy WAR OG'!$J$3:$FA$79,MATCH('Withdrawal Working'!$A85,'Yoy WAR OG'!$J$3:$J$79,0),0)</f>
        <v>0</v>
      </c>
      <c r="N85" s="58">
        <f t="shared" ca="1" si="29"/>
        <v>0</v>
      </c>
      <c r="O85" s="58">
        <f>HLOOKUP('Withdrawal Working'!O$2,'Yoy WAR OG'!$J$3:$FA$79,MATCH('Withdrawal Working'!$A85,'Yoy WAR OG'!$J$3:$J$79,0),0)</f>
        <v>0</v>
      </c>
      <c r="P85" s="58">
        <f t="shared" ca="1" si="30"/>
        <v>0</v>
      </c>
      <c r="Q85" s="58">
        <f>HLOOKUP('Withdrawal Working'!Q$2,'Yoy WAR OG'!$J$3:$FA$79,MATCH('Withdrawal Working'!$A85,'Yoy WAR OG'!$J$3:$J$79,0),0)</f>
        <v>0</v>
      </c>
      <c r="R85" s="58">
        <f t="shared" ca="1" si="31"/>
        <v>0</v>
      </c>
      <c r="S85" s="58">
        <f>HLOOKUP('Withdrawal Working'!S$2,'Yoy WAR OG'!$J$3:$FA$79,MATCH('Withdrawal Working'!$A85,'Yoy WAR OG'!$J$3:$J$79,0),0)</f>
        <v>0</v>
      </c>
      <c r="T85" s="58">
        <f t="shared" ca="1" si="32"/>
        <v>0</v>
      </c>
      <c r="U85" s="58">
        <f>HLOOKUP('Withdrawal Working'!U$2,'Yoy WAR OG'!$J$3:$FA$79,MATCH('Withdrawal Working'!$A85,'Yoy WAR OG'!$J$3:$J$79,0),0)</f>
        <v>0</v>
      </c>
      <c r="V85" s="58">
        <f t="shared" ca="1" si="33"/>
        <v>0</v>
      </c>
      <c r="AD85">
        <f>'Yoy WAR OG'!K86</f>
        <v>0</v>
      </c>
      <c r="AE85">
        <f ca="1">IF(AD85&lt;VLOOKUP('NWGC - SCENARIOS'!$D$7,'NWGC - SCENARIOS'!$B$11:$C$67,2,0),IF(V85&lt;0,-V85,0),IF(AI85&gt;0,'Withdrawal Working'!AI85,0))</f>
        <v>0</v>
      </c>
      <c r="AG85">
        <f>'Yoy WAR OG'!R86+'Yoy WAR OG'!X86+'Yoy WAR OG'!AD86+'Yoy WAR OG'!AJ86+'Yoy WAR OG'!AP86+'Yoy WAR OG'!AV86+'Yoy WAR OG'!BB86+'Yoy WAR OG'!BH86+'Yoy WAR OG'!BN86+'Yoy WAR OG'!BT86+'Yoy WAR OG'!BZ86+'Yoy WAR OG'!CF86+'Yoy WAR OG'!CL86+'Yoy WAR OG'!CR86+'Yoy WAR OG'!CX86+'Yoy WAR OG'!DD86+'Yoy WAR OG'!DJ86+'Yoy WAR OG'!DP86+'Yoy WAR OG'!DV86+'Yoy WAR OG'!EB86+'Yoy WAR OG'!EH86+'Yoy WAR OG'!EN86+'Yoy WAR OG'!ET86+'Yoy WAR OG'!EZ86</f>
        <v>0</v>
      </c>
      <c r="AH85" s="449">
        <f>'Yoy WAR OG'!M86</f>
        <v>0</v>
      </c>
      <c r="AI85" s="449">
        <f t="shared" si="23"/>
        <v>0</v>
      </c>
    </row>
    <row r="86" spans="1:35" x14ac:dyDescent="0.3">
      <c r="A86">
        <f>'Yoy WAR OG'!J87</f>
        <v>0</v>
      </c>
      <c r="B86" s="58">
        <f>'Yoy WAR OG'!M87</f>
        <v>0</v>
      </c>
      <c r="C86" s="58">
        <f>HLOOKUP('Withdrawal Working'!C$2,'Yoy WAR OG'!$J$3:$FA$79,MATCH('Withdrawal Working'!$A86,'Yoy WAR OG'!$J$3:$J$79,0),0)</f>
        <v>0</v>
      </c>
      <c r="D86" s="58">
        <f t="shared" si="24"/>
        <v>0</v>
      </c>
      <c r="E86" s="58">
        <f>HLOOKUP('Withdrawal Working'!E$2,'Yoy WAR OG'!$J$3:$FA$79,MATCH('Withdrawal Working'!$A86,'Yoy WAR OG'!$J$3:$J$79,0),0)</f>
        <v>0</v>
      </c>
      <c r="F86" s="58">
        <f t="shared" si="25"/>
        <v>0</v>
      </c>
      <c r="G86" s="58">
        <f>HLOOKUP('Withdrawal Working'!G$2,'Yoy WAR OG'!$J$3:$FA$79,MATCH('Withdrawal Working'!$A86,'Yoy WAR OG'!$J$3:$J$79,0),0)</f>
        <v>0</v>
      </c>
      <c r="H86" s="58">
        <f t="shared" si="26"/>
        <v>0</v>
      </c>
      <c r="I86" s="58">
        <f>HLOOKUP('Withdrawal Working'!I$2,'Yoy WAR OG'!$J$3:$FA$79,MATCH('Withdrawal Working'!$A86,'Yoy WAR OG'!$J$3:$J$79,0),0)</f>
        <v>0</v>
      </c>
      <c r="J86" s="58">
        <f t="shared" si="27"/>
        <v>0</v>
      </c>
      <c r="K86" s="58">
        <f ca="1">HLOOKUP('Withdrawal Working'!K$2,'Yoy WAR OG'!$J$3:$FA$79,MATCH('Withdrawal Working'!$A86,'Yoy WAR OG'!$J$3:$J$79,0),0)</f>
        <v>0</v>
      </c>
      <c r="L86" s="58">
        <f t="shared" ca="1" si="28"/>
        <v>0</v>
      </c>
      <c r="M86" s="58">
        <f ca="1">HLOOKUP('Withdrawal Working'!M$2,'Yoy WAR OG'!$J$3:$FA$79,MATCH('Withdrawal Working'!$A86,'Yoy WAR OG'!$J$3:$J$79,0),0)</f>
        <v>0</v>
      </c>
      <c r="N86" s="58">
        <f t="shared" ca="1" si="29"/>
        <v>0</v>
      </c>
      <c r="O86" s="58">
        <f>HLOOKUP('Withdrawal Working'!O$2,'Yoy WAR OG'!$J$3:$FA$79,MATCH('Withdrawal Working'!$A86,'Yoy WAR OG'!$J$3:$J$79,0),0)</f>
        <v>0</v>
      </c>
      <c r="P86" s="58">
        <f t="shared" ca="1" si="30"/>
        <v>0</v>
      </c>
      <c r="Q86" s="58">
        <f>HLOOKUP('Withdrawal Working'!Q$2,'Yoy WAR OG'!$J$3:$FA$79,MATCH('Withdrawal Working'!$A86,'Yoy WAR OG'!$J$3:$J$79,0),0)</f>
        <v>0</v>
      </c>
      <c r="R86" s="58">
        <f t="shared" ca="1" si="31"/>
        <v>0</v>
      </c>
      <c r="S86" s="58">
        <f>HLOOKUP('Withdrawal Working'!S$2,'Yoy WAR OG'!$J$3:$FA$79,MATCH('Withdrawal Working'!$A86,'Yoy WAR OG'!$J$3:$J$79,0),0)</f>
        <v>0</v>
      </c>
      <c r="T86" s="58">
        <f t="shared" ca="1" si="32"/>
        <v>0</v>
      </c>
      <c r="U86" s="58">
        <f>HLOOKUP('Withdrawal Working'!U$2,'Yoy WAR OG'!$J$3:$FA$79,MATCH('Withdrawal Working'!$A86,'Yoy WAR OG'!$J$3:$J$79,0),0)</f>
        <v>0</v>
      </c>
      <c r="V86" s="58">
        <f t="shared" ca="1" si="33"/>
        <v>0</v>
      </c>
      <c r="AD86">
        <f>'Yoy WAR OG'!K87</f>
        <v>0</v>
      </c>
      <c r="AE86">
        <f ca="1">IF(AD86&lt;VLOOKUP('NWGC - SCENARIOS'!$D$7,'NWGC - SCENARIOS'!$B$11:$C$67,2,0),IF(V86&lt;0,-V86,0),IF(AI86&gt;0,'Withdrawal Working'!AI86,0))</f>
        <v>0</v>
      </c>
      <c r="AG86">
        <f>'Yoy WAR OG'!R87+'Yoy WAR OG'!X87+'Yoy WAR OG'!AD87+'Yoy WAR OG'!AJ87+'Yoy WAR OG'!AP87+'Yoy WAR OG'!AV87+'Yoy WAR OG'!BB87+'Yoy WAR OG'!BH87+'Yoy WAR OG'!BN87+'Yoy WAR OG'!BT87+'Yoy WAR OG'!BZ87+'Yoy WAR OG'!CF87+'Yoy WAR OG'!CL87+'Yoy WAR OG'!CR87+'Yoy WAR OG'!CX87+'Yoy WAR OG'!DD87+'Yoy WAR OG'!DJ87+'Yoy WAR OG'!DP87+'Yoy WAR OG'!DV87+'Yoy WAR OG'!EB87+'Yoy WAR OG'!EH87+'Yoy WAR OG'!EN87+'Yoy WAR OG'!ET87+'Yoy WAR OG'!EZ87</f>
        <v>0</v>
      </c>
      <c r="AH86" s="449">
        <f>'Yoy WAR OG'!M87</f>
        <v>0</v>
      </c>
      <c r="AI86" s="449">
        <f t="shared" si="23"/>
        <v>0</v>
      </c>
    </row>
    <row r="87" spans="1:35" x14ac:dyDescent="0.3">
      <c r="A87">
        <f>'Yoy WAR OG'!J88</f>
        <v>0</v>
      </c>
      <c r="B87" s="58">
        <f>'Yoy WAR OG'!M88</f>
        <v>0</v>
      </c>
      <c r="C87" s="58">
        <f>HLOOKUP('Withdrawal Working'!C$2,'Yoy WAR OG'!$J$3:$FA$79,MATCH('Withdrawal Working'!$A87,'Yoy WAR OG'!$J$3:$J$79,0),0)</f>
        <v>0</v>
      </c>
      <c r="D87" s="58">
        <f t="shared" si="24"/>
        <v>0</v>
      </c>
      <c r="E87" s="58">
        <f>HLOOKUP('Withdrawal Working'!E$2,'Yoy WAR OG'!$J$3:$FA$79,MATCH('Withdrawal Working'!$A87,'Yoy WAR OG'!$J$3:$J$79,0),0)</f>
        <v>0</v>
      </c>
      <c r="F87" s="58">
        <f t="shared" si="25"/>
        <v>0</v>
      </c>
      <c r="G87" s="58">
        <f>HLOOKUP('Withdrawal Working'!G$2,'Yoy WAR OG'!$J$3:$FA$79,MATCH('Withdrawal Working'!$A87,'Yoy WAR OG'!$J$3:$J$79,0),0)</f>
        <v>0</v>
      </c>
      <c r="H87" s="58">
        <f t="shared" si="26"/>
        <v>0</v>
      </c>
      <c r="I87" s="58">
        <f>HLOOKUP('Withdrawal Working'!I$2,'Yoy WAR OG'!$J$3:$FA$79,MATCH('Withdrawal Working'!$A87,'Yoy WAR OG'!$J$3:$J$79,0),0)</f>
        <v>0</v>
      </c>
      <c r="J87" s="58">
        <f t="shared" si="27"/>
        <v>0</v>
      </c>
      <c r="K87" s="58">
        <f ca="1">HLOOKUP('Withdrawal Working'!K$2,'Yoy WAR OG'!$J$3:$FA$79,MATCH('Withdrawal Working'!$A87,'Yoy WAR OG'!$J$3:$J$79,0),0)</f>
        <v>0</v>
      </c>
      <c r="L87" s="58">
        <f t="shared" ca="1" si="28"/>
        <v>0</v>
      </c>
      <c r="M87" s="58">
        <f ca="1">HLOOKUP('Withdrawal Working'!M$2,'Yoy WAR OG'!$J$3:$FA$79,MATCH('Withdrawal Working'!$A87,'Yoy WAR OG'!$J$3:$J$79,0),0)</f>
        <v>0</v>
      </c>
      <c r="N87" s="58">
        <f t="shared" ca="1" si="29"/>
        <v>0</v>
      </c>
      <c r="O87" s="58">
        <f>HLOOKUP('Withdrawal Working'!O$2,'Yoy WAR OG'!$J$3:$FA$79,MATCH('Withdrawal Working'!$A87,'Yoy WAR OG'!$J$3:$J$79,0),0)</f>
        <v>0</v>
      </c>
      <c r="P87" s="58">
        <f t="shared" ca="1" si="30"/>
        <v>0</v>
      </c>
      <c r="Q87" s="58">
        <f>HLOOKUP('Withdrawal Working'!Q$2,'Yoy WAR OG'!$J$3:$FA$79,MATCH('Withdrawal Working'!$A87,'Yoy WAR OG'!$J$3:$J$79,0),0)</f>
        <v>0</v>
      </c>
      <c r="R87" s="58">
        <f t="shared" ca="1" si="31"/>
        <v>0</v>
      </c>
      <c r="S87" s="58">
        <f>HLOOKUP('Withdrawal Working'!S$2,'Yoy WAR OG'!$J$3:$FA$79,MATCH('Withdrawal Working'!$A87,'Yoy WAR OG'!$J$3:$J$79,0),0)</f>
        <v>0</v>
      </c>
      <c r="T87" s="58">
        <f t="shared" ca="1" si="32"/>
        <v>0</v>
      </c>
      <c r="U87" s="58">
        <f>HLOOKUP('Withdrawal Working'!U$2,'Yoy WAR OG'!$J$3:$FA$79,MATCH('Withdrawal Working'!$A87,'Yoy WAR OG'!$J$3:$J$79,0),0)</f>
        <v>0</v>
      </c>
      <c r="V87" s="58">
        <f t="shared" ca="1" si="33"/>
        <v>0</v>
      </c>
      <c r="AD87">
        <f>'Yoy WAR OG'!K88</f>
        <v>0</v>
      </c>
      <c r="AE87">
        <f ca="1">IF(AD87&lt;VLOOKUP('NWGC - SCENARIOS'!$D$7,'NWGC - SCENARIOS'!$B$11:$C$67,2,0),IF(V87&lt;0,-V87,0),IF(AI87&gt;0,'Withdrawal Working'!AI87,0))</f>
        <v>0</v>
      </c>
      <c r="AG87">
        <f>'Yoy WAR OG'!R88+'Yoy WAR OG'!X88+'Yoy WAR OG'!AD88+'Yoy WAR OG'!AJ88+'Yoy WAR OG'!AP88+'Yoy WAR OG'!AV88+'Yoy WAR OG'!BB88+'Yoy WAR OG'!BH88+'Yoy WAR OG'!BN88+'Yoy WAR OG'!BT88+'Yoy WAR OG'!BZ88+'Yoy WAR OG'!CF88+'Yoy WAR OG'!CL88+'Yoy WAR OG'!CR88+'Yoy WAR OG'!CX88+'Yoy WAR OG'!DD88+'Yoy WAR OG'!DJ88+'Yoy WAR OG'!DP88+'Yoy WAR OG'!DV88+'Yoy WAR OG'!EB88+'Yoy WAR OG'!EH88+'Yoy WAR OG'!EN88+'Yoy WAR OG'!ET88+'Yoy WAR OG'!EZ88</f>
        <v>0</v>
      </c>
      <c r="AH87" s="449">
        <f>'Yoy WAR OG'!M88</f>
        <v>0</v>
      </c>
      <c r="AI87" s="449">
        <f t="shared" si="23"/>
        <v>0</v>
      </c>
    </row>
    <row r="88" spans="1:35" x14ac:dyDescent="0.3">
      <c r="A88">
        <f>'Yoy WAR OG'!J89</f>
        <v>0</v>
      </c>
      <c r="B88" s="58">
        <f>'Yoy WAR OG'!M89</f>
        <v>0</v>
      </c>
      <c r="C88" s="58">
        <f>HLOOKUP('Withdrawal Working'!C$2,'Yoy WAR OG'!$J$3:$FA$79,MATCH('Withdrawal Working'!$A88,'Yoy WAR OG'!$J$3:$J$79,0),0)</f>
        <v>0</v>
      </c>
      <c r="D88" s="58">
        <f t="shared" si="24"/>
        <v>0</v>
      </c>
      <c r="E88" s="58">
        <f>HLOOKUP('Withdrawal Working'!E$2,'Yoy WAR OG'!$J$3:$FA$79,MATCH('Withdrawal Working'!$A88,'Yoy WAR OG'!$J$3:$J$79,0),0)</f>
        <v>0</v>
      </c>
      <c r="F88" s="58">
        <f t="shared" si="25"/>
        <v>0</v>
      </c>
      <c r="G88" s="58">
        <f>HLOOKUP('Withdrawal Working'!G$2,'Yoy WAR OG'!$J$3:$FA$79,MATCH('Withdrawal Working'!$A88,'Yoy WAR OG'!$J$3:$J$79,0),0)</f>
        <v>0</v>
      </c>
      <c r="H88" s="58">
        <f t="shared" si="26"/>
        <v>0</v>
      </c>
      <c r="I88" s="58">
        <f>HLOOKUP('Withdrawal Working'!I$2,'Yoy WAR OG'!$J$3:$FA$79,MATCH('Withdrawal Working'!$A88,'Yoy WAR OG'!$J$3:$J$79,0),0)</f>
        <v>0</v>
      </c>
      <c r="J88" s="58">
        <f t="shared" si="27"/>
        <v>0</v>
      </c>
      <c r="K88" s="58">
        <f ca="1">HLOOKUP('Withdrawal Working'!K$2,'Yoy WAR OG'!$J$3:$FA$79,MATCH('Withdrawal Working'!$A88,'Yoy WAR OG'!$J$3:$J$79,0),0)</f>
        <v>0</v>
      </c>
      <c r="L88" s="58">
        <f t="shared" ca="1" si="28"/>
        <v>0</v>
      </c>
      <c r="M88" s="58">
        <f ca="1">HLOOKUP('Withdrawal Working'!M$2,'Yoy WAR OG'!$J$3:$FA$79,MATCH('Withdrawal Working'!$A88,'Yoy WAR OG'!$J$3:$J$79,0),0)</f>
        <v>0</v>
      </c>
      <c r="N88" s="58">
        <f t="shared" ca="1" si="29"/>
        <v>0</v>
      </c>
      <c r="O88" s="58">
        <f>HLOOKUP('Withdrawal Working'!O$2,'Yoy WAR OG'!$J$3:$FA$79,MATCH('Withdrawal Working'!$A88,'Yoy WAR OG'!$J$3:$J$79,0),0)</f>
        <v>0</v>
      </c>
      <c r="P88" s="58">
        <f t="shared" ca="1" si="30"/>
        <v>0</v>
      </c>
      <c r="Q88" s="58">
        <f>HLOOKUP('Withdrawal Working'!Q$2,'Yoy WAR OG'!$J$3:$FA$79,MATCH('Withdrawal Working'!$A88,'Yoy WAR OG'!$J$3:$J$79,0),0)</f>
        <v>0</v>
      </c>
      <c r="R88" s="58">
        <f t="shared" ca="1" si="31"/>
        <v>0</v>
      </c>
      <c r="S88" s="58">
        <f>HLOOKUP('Withdrawal Working'!S$2,'Yoy WAR OG'!$J$3:$FA$79,MATCH('Withdrawal Working'!$A88,'Yoy WAR OG'!$J$3:$J$79,0),0)</f>
        <v>0</v>
      </c>
      <c r="T88" s="58">
        <f t="shared" ca="1" si="32"/>
        <v>0</v>
      </c>
      <c r="U88" s="58">
        <f>HLOOKUP('Withdrawal Working'!U$2,'Yoy WAR OG'!$J$3:$FA$79,MATCH('Withdrawal Working'!$A88,'Yoy WAR OG'!$J$3:$J$79,0),0)</f>
        <v>0</v>
      </c>
      <c r="V88" s="58">
        <f t="shared" ca="1" si="33"/>
        <v>0</v>
      </c>
      <c r="AD88">
        <f>'Yoy WAR OG'!K89</f>
        <v>0</v>
      </c>
      <c r="AE88">
        <f ca="1">IF(AD88&lt;VLOOKUP('NWGC - SCENARIOS'!$D$7,'NWGC - SCENARIOS'!$B$11:$C$67,2,0),IF(V88&lt;0,-V88,0),IF(AI88&gt;0,'Withdrawal Working'!AI88,0))</f>
        <v>0</v>
      </c>
      <c r="AG88">
        <f>'Yoy WAR OG'!R89+'Yoy WAR OG'!X89+'Yoy WAR OG'!AD89+'Yoy WAR OG'!AJ89+'Yoy WAR OG'!AP89+'Yoy WAR OG'!AV89+'Yoy WAR OG'!BB89+'Yoy WAR OG'!BH89+'Yoy WAR OG'!BN89+'Yoy WAR OG'!BT89+'Yoy WAR OG'!BZ89+'Yoy WAR OG'!CF89+'Yoy WAR OG'!CL89+'Yoy WAR OG'!CR89+'Yoy WAR OG'!CX89+'Yoy WAR OG'!DD89+'Yoy WAR OG'!DJ89+'Yoy WAR OG'!DP89+'Yoy WAR OG'!DV89+'Yoy WAR OG'!EB89+'Yoy WAR OG'!EH89+'Yoy WAR OG'!EN89+'Yoy WAR OG'!ET89+'Yoy WAR OG'!EZ89</f>
        <v>0</v>
      </c>
      <c r="AH88" s="449">
        <f>'Yoy WAR OG'!M89</f>
        <v>0</v>
      </c>
      <c r="AI88" s="449">
        <f t="shared" si="23"/>
        <v>0</v>
      </c>
    </row>
    <row r="89" spans="1:35" x14ac:dyDescent="0.3">
      <c r="A89">
        <f>'Yoy WAR OG'!J90</f>
        <v>0</v>
      </c>
      <c r="B89" s="58">
        <f>'Yoy WAR OG'!M90</f>
        <v>0</v>
      </c>
      <c r="C89" s="58">
        <f>HLOOKUP('Withdrawal Working'!C$2,'Yoy WAR OG'!$J$3:$FA$79,MATCH('Withdrawal Working'!$A89,'Yoy WAR OG'!$J$3:$J$79,0),0)</f>
        <v>0</v>
      </c>
      <c r="D89" s="58">
        <f t="shared" si="24"/>
        <v>0</v>
      </c>
      <c r="E89" s="58">
        <f>HLOOKUP('Withdrawal Working'!E$2,'Yoy WAR OG'!$J$3:$FA$79,MATCH('Withdrawal Working'!$A89,'Yoy WAR OG'!$J$3:$J$79,0),0)</f>
        <v>0</v>
      </c>
      <c r="F89" s="58">
        <f t="shared" si="25"/>
        <v>0</v>
      </c>
      <c r="G89" s="58">
        <f>HLOOKUP('Withdrawal Working'!G$2,'Yoy WAR OG'!$J$3:$FA$79,MATCH('Withdrawal Working'!$A89,'Yoy WAR OG'!$J$3:$J$79,0),0)</f>
        <v>0</v>
      </c>
      <c r="H89" s="58">
        <f t="shared" si="26"/>
        <v>0</v>
      </c>
      <c r="I89" s="58">
        <f>HLOOKUP('Withdrawal Working'!I$2,'Yoy WAR OG'!$J$3:$FA$79,MATCH('Withdrawal Working'!$A89,'Yoy WAR OG'!$J$3:$J$79,0),0)</f>
        <v>0</v>
      </c>
      <c r="J89" s="58">
        <f t="shared" si="27"/>
        <v>0</v>
      </c>
      <c r="K89" s="58">
        <f ca="1">HLOOKUP('Withdrawal Working'!K$2,'Yoy WAR OG'!$J$3:$FA$79,MATCH('Withdrawal Working'!$A89,'Yoy WAR OG'!$J$3:$J$79,0),0)</f>
        <v>0</v>
      </c>
      <c r="L89" s="58">
        <f t="shared" ca="1" si="28"/>
        <v>0</v>
      </c>
      <c r="M89" s="58">
        <f ca="1">HLOOKUP('Withdrawal Working'!M$2,'Yoy WAR OG'!$J$3:$FA$79,MATCH('Withdrawal Working'!$A89,'Yoy WAR OG'!$J$3:$J$79,0),0)</f>
        <v>0</v>
      </c>
      <c r="N89" s="58">
        <f t="shared" ca="1" si="29"/>
        <v>0</v>
      </c>
      <c r="O89" s="58">
        <f>HLOOKUP('Withdrawal Working'!O$2,'Yoy WAR OG'!$J$3:$FA$79,MATCH('Withdrawal Working'!$A89,'Yoy WAR OG'!$J$3:$J$79,0),0)</f>
        <v>0</v>
      </c>
      <c r="P89" s="58">
        <f t="shared" ca="1" si="30"/>
        <v>0</v>
      </c>
      <c r="Q89" s="58">
        <f>HLOOKUP('Withdrawal Working'!Q$2,'Yoy WAR OG'!$J$3:$FA$79,MATCH('Withdrawal Working'!$A89,'Yoy WAR OG'!$J$3:$J$79,0),0)</f>
        <v>0</v>
      </c>
      <c r="R89" s="58">
        <f t="shared" ca="1" si="31"/>
        <v>0</v>
      </c>
      <c r="S89" s="58">
        <f>HLOOKUP('Withdrawal Working'!S$2,'Yoy WAR OG'!$J$3:$FA$79,MATCH('Withdrawal Working'!$A89,'Yoy WAR OG'!$J$3:$J$79,0),0)</f>
        <v>0</v>
      </c>
      <c r="T89" s="58">
        <f t="shared" ca="1" si="32"/>
        <v>0</v>
      </c>
      <c r="U89" s="58">
        <f>HLOOKUP('Withdrawal Working'!U$2,'Yoy WAR OG'!$J$3:$FA$79,MATCH('Withdrawal Working'!$A89,'Yoy WAR OG'!$J$3:$J$79,0),0)</f>
        <v>0</v>
      </c>
      <c r="V89" s="58">
        <f t="shared" ca="1" si="33"/>
        <v>0</v>
      </c>
      <c r="AD89">
        <f>'Yoy WAR OG'!K90</f>
        <v>0</v>
      </c>
      <c r="AE89">
        <f ca="1">IF(AD89&lt;VLOOKUP('NWGC - SCENARIOS'!$D$7,'NWGC - SCENARIOS'!$B$11:$C$67,2,0),IF(V89&lt;0,-V89,0),IF(AI89&gt;0,'Withdrawal Working'!AI89,0))</f>
        <v>0</v>
      </c>
      <c r="AG89">
        <f>'Yoy WAR OG'!R90+'Yoy WAR OG'!X90+'Yoy WAR OG'!AD90+'Yoy WAR OG'!AJ90+'Yoy WAR OG'!AP90+'Yoy WAR OG'!AV90+'Yoy WAR OG'!BB90+'Yoy WAR OG'!BH90+'Yoy WAR OG'!BN90+'Yoy WAR OG'!BT90+'Yoy WAR OG'!BZ90+'Yoy WAR OG'!CF90+'Yoy WAR OG'!CL90+'Yoy WAR OG'!CR90+'Yoy WAR OG'!CX90+'Yoy WAR OG'!DD90+'Yoy WAR OG'!DJ90+'Yoy WAR OG'!DP90+'Yoy WAR OG'!DV90+'Yoy WAR OG'!EB90+'Yoy WAR OG'!EH90+'Yoy WAR OG'!EN90+'Yoy WAR OG'!ET90+'Yoy WAR OG'!EZ90</f>
        <v>0</v>
      </c>
      <c r="AH89" s="449">
        <f>'Yoy WAR OG'!M90</f>
        <v>0</v>
      </c>
      <c r="AI89" s="449">
        <f t="shared" si="23"/>
        <v>0</v>
      </c>
    </row>
    <row r="90" spans="1:35" x14ac:dyDescent="0.3">
      <c r="A90">
        <f>'Yoy WAR OG'!J91</f>
        <v>0</v>
      </c>
      <c r="B90" s="58">
        <f>'Yoy WAR OG'!M91</f>
        <v>0</v>
      </c>
      <c r="C90" s="58">
        <f>HLOOKUP('Withdrawal Working'!C$2,'Yoy WAR OG'!$J$3:$FA$79,MATCH('Withdrawal Working'!$A90,'Yoy WAR OG'!$J$3:$J$79,0),0)</f>
        <v>0</v>
      </c>
      <c r="D90" s="58">
        <f t="shared" si="24"/>
        <v>0</v>
      </c>
      <c r="E90" s="58">
        <f>HLOOKUP('Withdrawal Working'!E$2,'Yoy WAR OG'!$J$3:$FA$79,MATCH('Withdrawal Working'!$A90,'Yoy WAR OG'!$J$3:$J$79,0),0)</f>
        <v>0</v>
      </c>
      <c r="F90" s="58">
        <f t="shared" si="25"/>
        <v>0</v>
      </c>
      <c r="G90" s="58">
        <f>HLOOKUP('Withdrawal Working'!G$2,'Yoy WAR OG'!$J$3:$FA$79,MATCH('Withdrawal Working'!$A90,'Yoy WAR OG'!$J$3:$J$79,0),0)</f>
        <v>0</v>
      </c>
      <c r="H90" s="58">
        <f t="shared" si="26"/>
        <v>0</v>
      </c>
      <c r="I90" s="58">
        <f>HLOOKUP('Withdrawal Working'!I$2,'Yoy WAR OG'!$J$3:$FA$79,MATCH('Withdrawal Working'!$A90,'Yoy WAR OG'!$J$3:$J$79,0),0)</f>
        <v>0</v>
      </c>
      <c r="J90" s="58">
        <f t="shared" si="27"/>
        <v>0</v>
      </c>
      <c r="K90" s="58">
        <f ca="1">HLOOKUP('Withdrawal Working'!K$2,'Yoy WAR OG'!$J$3:$FA$79,MATCH('Withdrawal Working'!$A90,'Yoy WAR OG'!$J$3:$J$79,0),0)</f>
        <v>0</v>
      </c>
      <c r="L90" s="58">
        <f t="shared" ca="1" si="28"/>
        <v>0</v>
      </c>
      <c r="M90" s="58">
        <f ca="1">HLOOKUP('Withdrawal Working'!M$2,'Yoy WAR OG'!$J$3:$FA$79,MATCH('Withdrawal Working'!$A90,'Yoy WAR OG'!$J$3:$J$79,0),0)</f>
        <v>0</v>
      </c>
      <c r="N90" s="58">
        <f t="shared" ca="1" si="29"/>
        <v>0</v>
      </c>
      <c r="O90" s="58">
        <f>HLOOKUP('Withdrawal Working'!O$2,'Yoy WAR OG'!$J$3:$FA$79,MATCH('Withdrawal Working'!$A90,'Yoy WAR OG'!$J$3:$J$79,0),0)</f>
        <v>0</v>
      </c>
      <c r="P90" s="58">
        <f t="shared" ca="1" si="30"/>
        <v>0</v>
      </c>
      <c r="Q90" s="58">
        <f>HLOOKUP('Withdrawal Working'!Q$2,'Yoy WAR OG'!$J$3:$FA$79,MATCH('Withdrawal Working'!$A90,'Yoy WAR OG'!$J$3:$J$79,0),0)</f>
        <v>0</v>
      </c>
      <c r="R90" s="58">
        <f t="shared" ca="1" si="31"/>
        <v>0</v>
      </c>
      <c r="S90" s="58">
        <f>HLOOKUP('Withdrawal Working'!S$2,'Yoy WAR OG'!$J$3:$FA$79,MATCH('Withdrawal Working'!$A90,'Yoy WAR OG'!$J$3:$J$79,0),0)</f>
        <v>0</v>
      </c>
      <c r="T90" s="58">
        <f t="shared" ca="1" si="32"/>
        <v>0</v>
      </c>
      <c r="U90" s="58">
        <f>HLOOKUP('Withdrawal Working'!U$2,'Yoy WAR OG'!$J$3:$FA$79,MATCH('Withdrawal Working'!$A90,'Yoy WAR OG'!$J$3:$J$79,0),0)</f>
        <v>0</v>
      </c>
      <c r="V90" s="58">
        <f t="shared" ca="1" si="33"/>
        <v>0</v>
      </c>
      <c r="AD90">
        <f>'Yoy WAR OG'!K91</f>
        <v>0</v>
      </c>
      <c r="AE90">
        <f ca="1">IF(AD90&lt;VLOOKUP('NWGC - SCENARIOS'!$D$7,'NWGC - SCENARIOS'!$B$11:$C$67,2,0),IF(V90&lt;0,-V90,0),IF(AI90&gt;0,'Withdrawal Working'!AI90,0))</f>
        <v>0</v>
      </c>
      <c r="AG90">
        <f>'Yoy WAR OG'!R91+'Yoy WAR OG'!X91+'Yoy WAR OG'!AD91+'Yoy WAR OG'!AJ91+'Yoy WAR OG'!AP91+'Yoy WAR OG'!AV91+'Yoy WAR OG'!BB91+'Yoy WAR OG'!BH91+'Yoy WAR OG'!BN91+'Yoy WAR OG'!BT91+'Yoy WAR OG'!BZ91+'Yoy WAR OG'!CF91+'Yoy WAR OG'!CL91+'Yoy WAR OG'!CR91+'Yoy WAR OG'!CX91+'Yoy WAR OG'!DD91+'Yoy WAR OG'!DJ91+'Yoy WAR OG'!DP91+'Yoy WAR OG'!DV91+'Yoy WAR OG'!EB91+'Yoy WAR OG'!EH91+'Yoy WAR OG'!EN91+'Yoy WAR OG'!ET91+'Yoy WAR OG'!EZ91</f>
        <v>0</v>
      </c>
      <c r="AH90" s="449">
        <f>'Yoy WAR OG'!M91</f>
        <v>0</v>
      </c>
      <c r="AI90" s="449">
        <f t="shared" si="23"/>
        <v>0</v>
      </c>
    </row>
    <row r="91" spans="1:35" x14ac:dyDescent="0.3">
      <c r="A91">
        <f>'Yoy WAR OG'!J92</f>
        <v>0</v>
      </c>
      <c r="B91" s="58">
        <f>'Yoy WAR OG'!M92</f>
        <v>0</v>
      </c>
      <c r="C91" s="58">
        <f>HLOOKUP('Withdrawal Working'!C$2,'Yoy WAR OG'!$J$3:$FA$79,MATCH('Withdrawal Working'!$A91,'Yoy WAR OG'!$J$3:$J$79,0),0)</f>
        <v>0</v>
      </c>
      <c r="D91" s="58">
        <f t="shared" si="24"/>
        <v>0</v>
      </c>
      <c r="E91" s="58">
        <f>HLOOKUP('Withdrawal Working'!E$2,'Yoy WAR OG'!$J$3:$FA$79,MATCH('Withdrawal Working'!$A91,'Yoy WAR OG'!$J$3:$J$79,0),0)</f>
        <v>0</v>
      </c>
      <c r="F91" s="58">
        <f t="shared" si="25"/>
        <v>0</v>
      </c>
      <c r="G91" s="58">
        <f>HLOOKUP('Withdrawal Working'!G$2,'Yoy WAR OG'!$J$3:$FA$79,MATCH('Withdrawal Working'!$A91,'Yoy WAR OG'!$J$3:$J$79,0),0)</f>
        <v>0</v>
      </c>
      <c r="H91" s="58">
        <f t="shared" si="26"/>
        <v>0</v>
      </c>
      <c r="I91" s="58">
        <f>HLOOKUP('Withdrawal Working'!I$2,'Yoy WAR OG'!$J$3:$FA$79,MATCH('Withdrawal Working'!$A91,'Yoy WAR OG'!$J$3:$J$79,0),0)</f>
        <v>0</v>
      </c>
      <c r="J91" s="58">
        <f t="shared" si="27"/>
        <v>0</v>
      </c>
      <c r="K91" s="58">
        <f ca="1">HLOOKUP('Withdrawal Working'!K$2,'Yoy WAR OG'!$J$3:$FA$79,MATCH('Withdrawal Working'!$A91,'Yoy WAR OG'!$J$3:$J$79,0),0)</f>
        <v>0</v>
      </c>
      <c r="L91" s="58">
        <f t="shared" ca="1" si="28"/>
        <v>0</v>
      </c>
      <c r="M91" s="58">
        <f ca="1">HLOOKUP('Withdrawal Working'!M$2,'Yoy WAR OG'!$J$3:$FA$79,MATCH('Withdrawal Working'!$A91,'Yoy WAR OG'!$J$3:$J$79,0),0)</f>
        <v>0</v>
      </c>
      <c r="N91" s="58">
        <f t="shared" ca="1" si="29"/>
        <v>0</v>
      </c>
      <c r="O91" s="58">
        <f>HLOOKUP('Withdrawal Working'!O$2,'Yoy WAR OG'!$J$3:$FA$79,MATCH('Withdrawal Working'!$A91,'Yoy WAR OG'!$J$3:$J$79,0),0)</f>
        <v>0</v>
      </c>
      <c r="P91" s="58">
        <f t="shared" ca="1" si="30"/>
        <v>0</v>
      </c>
      <c r="Q91" s="58">
        <f>HLOOKUP('Withdrawal Working'!Q$2,'Yoy WAR OG'!$J$3:$FA$79,MATCH('Withdrawal Working'!$A91,'Yoy WAR OG'!$J$3:$J$79,0),0)</f>
        <v>0</v>
      </c>
      <c r="R91" s="58">
        <f t="shared" ca="1" si="31"/>
        <v>0</v>
      </c>
      <c r="S91" s="58">
        <f>HLOOKUP('Withdrawal Working'!S$2,'Yoy WAR OG'!$J$3:$FA$79,MATCH('Withdrawal Working'!$A91,'Yoy WAR OG'!$J$3:$J$79,0),0)</f>
        <v>0</v>
      </c>
      <c r="T91" s="58">
        <f t="shared" ca="1" si="32"/>
        <v>0</v>
      </c>
      <c r="U91" s="58">
        <f>HLOOKUP('Withdrawal Working'!U$2,'Yoy WAR OG'!$J$3:$FA$79,MATCH('Withdrawal Working'!$A91,'Yoy WAR OG'!$J$3:$J$79,0),0)</f>
        <v>0</v>
      </c>
      <c r="V91" s="58">
        <f t="shared" ca="1" si="33"/>
        <v>0</v>
      </c>
      <c r="AD91">
        <f>'Yoy WAR OG'!K92</f>
        <v>0</v>
      </c>
      <c r="AE91">
        <f ca="1">IF(AD91&lt;VLOOKUP('NWGC - SCENARIOS'!$D$7,'NWGC - SCENARIOS'!$B$11:$C$67,2,0),IF(V91&lt;0,-V91,0),IF(AI91&gt;0,'Withdrawal Working'!AI91,0))</f>
        <v>0</v>
      </c>
      <c r="AG91">
        <f>'Yoy WAR OG'!R92+'Yoy WAR OG'!X92+'Yoy WAR OG'!AD92+'Yoy WAR OG'!AJ92+'Yoy WAR OG'!AP92+'Yoy WAR OG'!AV92+'Yoy WAR OG'!BB92+'Yoy WAR OG'!BH92+'Yoy WAR OG'!BN92+'Yoy WAR OG'!BT92+'Yoy WAR OG'!BZ92+'Yoy WAR OG'!CF92+'Yoy WAR OG'!CL92+'Yoy WAR OG'!CR92+'Yoy WAR OG'!CX92+'Yoy WAR OG'!DD92+'Yoy WAR OG'!DJ92+'Yoy WAR OG'!DP92+'Yoy WAR OG'!DV92+'Yoy WAR OG'!EB92+'Yoy WAR OG'!EH92+'Yoy WAR OG'!EN92+'Yoy WAR OG'!ET92+'Yoy WAR OG'!EZ92</f>
        <v>0</v>
      </c>
      <c r="AH91" s="449">
        <f>'Yoy WAR OG'!M92</f>
        <v>0</v>
      </c>
      <c r="AI91" s="449">
        <f t="shared" si="23"/>
        <v>0</v>
      </c>
    </row>
    <row r="92" spans="1:35" x14ac:dyDescent="0.3">
      <c r="A92">
        <f>'Yoy WAR OG'!J93</f>
        <v>0</v>
      </c>
      <c r="B92" s="58">
        <f>'Yoy WAR OG'!M93</f>
        <v>0</v>
      </c>
      <c r="C92" s="58">
        <f>HLOOKUP('Withdrawal Working'!C$2,'Yoy WAR OG'!$J$3:$FA$79,MATCH('Withdrawal Working'!$A92,'Yoy WAR OG'!$J$3:$J$79,0),0)</f>
        <v>0</v>
      </c>
      <c r="D92" s="58">
        <f t="shared" si="24"/>
        <v>0</v>
      </c>
      <c r="E92" s="58">
        <f>HLOOKUP('Withdrawal Working'!E$2,'Yoy WAR OG'!$J$3:$FA$79,MATCH('Withdrawal Working'!$A92,'Yoy WAR OG'!$J$3:$J$79,0),0)</f>
        <v>0</v>
      </c>
      <c r="F92" s="58">
        <f t="shared" si="25"/>
        <v>0</v>
      </c>
      <c r="G92" s="58">
        <f>HLOOKUP('Withdrawal Working'!G$2,'Yoy WAR OG'!$J$3:$FA$79,MATCH('Withdrawal Working'!$A92,'Yoy WAR OG'!$J$3:$J$79,0),0)</f>
        <v>0</v>
      </c>
      <c r="H92" s="58">
        <f t="shared" si="26"/>
        <v>0</v>
      </c>
      <c r="I92" s="58">
        <f>HLOOKUP('Withdrawal Working'!I$2,'Yoy WAR OG'!$J$3:$FA$79,MATCH('Withdrawal Working'!$A92,'Yoy WAR OG'!$J$3:$J$79,0),0)</f>
        <v>0</v>
      </c>
      <c r="J92" s="58">
        <f t="shared" si="27"/>
        <v>0</v>
      </c>
      <c r="K92" s="58">
        <f ca="1">HLOOKUP('Withdrawal Working'!K$2,'Yoy WAR OG'!$J$3:$FA$79,MATCH('Withdrawal Working'!$A92,'Yoy WAR OG'!$J$3:$J$79,0),0)</f>
        <v>0</v>
      </c>
      <c r="L92" s="58">
        <f t="shared" ca="1" si="28"/>
        <v>0</v>
      </c>
      <c r="M92" s="58">
        <f ca="1">HLOOKUP('Withdrawal Working'!M$2,'Yoy WAR OG'!$J$3:$FA$79,MATCH('Withdrawal Working'!$A92,'Yoy WAR OG'!$J$3:$J$79,0),0)</f>
        <v>0</v>
      </c>
      <c r="N92" s="58">
        <f t="shared" ca="1" si="29"/>
        <v>0</v>
      </c>
      <c r="O92" s="58">
        <f>HLOOKUP('Withdrawal Working'!O$2,'Yoy WAR OG'!$J$3:$FA$79,MATCH('Withdrawal Working'!$A92,'Yoy WAR OG'!$J$3:$J$79,0),0)</f>
        <v>0</v>
      </c>
      <c r="P92" s="58">
        <f t="shared" ca="1" si="30"/>
        <v>0</v>
      </c>
      <c r="Q92" s="58">
        <f>HLOOKUP('Withdrawal Working'!Q$2,'Yoy WAR OG'!$J$3:$FA$79,MATCH('Withdrawal Working'!$A92,'Yoy WAR OG'!$J$3:$J$79,0),0)</f>
        <v>0</v>
      </c>
      <c r="R92" s="58">
        <f t="shared" ca="1" si="31"/>
        <v>0</v>
      </c>
      <c r="S92" s="58">
        <f>HLOOKUP('Withdrawal Working'!S$2,'Yoy WAR OG'!$J$3:$FA$79,MATCH('Withdrawal Working'!$A92,'Yoy WAR OG'!$J$3:$J$79,0),0)</f>
        <v>0</v>
      </c>
      <c r="T92" s="58">
        <f t="shared" ca="1" si="32"/>
        <v>0</v>
      </c>
      <c r="U92" s="58">
        <f>HLOOKUP('Withdrawal Working'!U$2,'Yoy WAR OG'!$J$3:$FA$79,MATCH('Withdrawal Working'!$A92,'Yoy WAR OG'!$J$3:$J$79,0),0)</f>
        <v>0</v>
      </c>
      <c r="V92" s="58">
        <f t="shared" ca="1" si="33"/>
        <v>0</v>
      </c>
      <c r="AD92">
        <f>'Yoy WAR OG'!K93</f>
        <v>0</v>
      </c>
      <c r="AE92">
        <f ca="1">IF(AD92&lt;VLOOKUP('NWGC - SCENARIOS'!$D$7,'NWGC - SCENARIOS'!$B$11:$C$67,2,0),IF(V92&lt;0,-V92,0),IF(AI92&gt;0,'Withdrawal Working'!AI92,0))</f>
        <v>0</v>
      </c>
      <c r="AG92">
        <f>'Yoy WAR OG'!R93+'Yoy WAR OG'!X93+'Yoy WAR OG'!AD93+'Yoy WAR OG'!AJ93+'Yoy WAR OG'!AP93+'Yoy WAR OG'!AV93+'Yoy WAR OG'!BB93+'Yoy WAR OG'!BH93+'Yoy WAR OG'!BN93+'Yoy WAR OG'!BT93+'Yoy WAR OG'!BZ93+'Yoy WAR OG'!CF93+'Yoy WAR OG'!CL93+'Yoy WAR OG'!CR93+'Yoy WAR OG'!CX93+'Yoy WAR OG'!DD93+'Yoy WAR OG'!DJ93+'Yoy WAR OG'!DP93+'Yoy WAR OG'!DV93+'Yoy WAR OG'!EB93+'Yoy WAR OG'!EH93+'Yoy WAR OG'!EN93+'Yoy WAR OG'!ET93+'Yoy WAR OG'!EZ93</f>
        <v>0</v>
      </c>
      <c r="AH92" s="449">
        <f>'Yoy WAR OG'!M93</f>
        <v>0</v>
      </c>
      <c r="AI92" s="449">
        <f t="shared" si="23"/>
        <v>0</v>
      </c>
    </row>
    <row r="93" spans="1:35" x14ac:dyDescent="0.3">
      <c r="A93">
        <f>'Yoy WAR OG'!J94</f>
        <v>0</v>
      </c>
      <c r="B93" s="58">
        <f>'Yoy WAR OG'!M94</f>
        <v>0</v>
      </c>
      <c r="C93" s="58">
        <f>HLOOKUP('Withdrawal Working'!C$2,'Yoy WAR OG'!$J$3:$FA$79,MATCH('Withdrawal Working'!$A93,'Yoy WAR OG'!$J$3:$J$79,0),0)</f>
        <v>0</v>
      </c>
      <c r="D93" s="58">
        <f t="shared" si="24"/>
        <v>0</v>
      </c>
      <c r="E93" s="58">
        <f>HLOOKUP('Withdrawal Working'!E$2,'Yoy WAR OG'!$J$3:$FA$79,MATCH('Withdrawal Working'!$A93,'Yoy WAR OG'!$J$3:$J$79,0),0)</f>
        <v>0</v>
      </c>
      <c r="F93" s="58">
        <f t="shared" si="25"/>
        <v>0</v>
      </c>
      <c r="G93" s="58">
        <f>HLOOKUP('Withdrawal Working'!G$2,'Yoy WAR OG'!$J$3:$FA$79,MATCH('Withdrawal Working'!$A93,'Yoy WAR OG'!$J$3:$J$79,0),0)</f>
        <v>0</v>
      </c>
      <c r="H93" s="58">
        <f t="shared" si="26"/>
        <v>0</v>
      </c>
      <c r="I93" s="58">
        <f>HLOOKUP('Withdrawal Working'!I$2,'Yoy WAR OG'!$J$3:$FA$79,MATCH('Withdrawal Working'!$A93,'Yoy WAR OG'!$J$3:$J$79,0),0)</f>
        <v>0</v>
      </c>
      <c r="J93" s="58">
        <f t="shared" si="27"/>
        <v>0</v>
      </c>
      <c r="K93" s="58">
        <f ca="1">HLOOKUP('Withdrawal Working'!K$2,'Yoy WAR OG'!$J$3:$FA$79,MATCH('Withdrawal Working'!$A93,'Yoy WAR OG'!$J$3:$J$79,0),0)</f>
        <v>0</v>
      </c>
      <c r="L93" s="58">
        <f t="shared" ca="1" si="28"/>
        <v>0</v>
      </c>
      <c r="M93" s="58">
        <f ca="1">HLOOKUP('Withdrawal Working'!M$2,'Yoy WAR OG'!$J$3:$FA$79,MATCH('Withdrawal Working'!$A93,'Yoy WAR OG'!$J$3:$J$79,0),0)</f>
        <v>0</v>
      </c>
      <c r="N93" s="58">
        <f t="shared" ca="1" si="29"/>
        <v>0</v>
      </c>
      <c r="O93" s="58">
        <f>HLOOKUP('Withdrawal Working'!O$2,'Yoy WAR OG'!$J$3:$FA$79,MATCH('Withdrawal Working'!$A93,'Yoy WAR OG'!$J$3:$J$79,0),0)</f>
        <v>0</v>
      </c>
      <c r="P93" s="58">
        <f t="shared" ca="1" si="30"/>
        <v>0</v>
      </c>
      <c r="Q93" s="58">
        <f>HLOOKUP('Withdrawal Working'!Q$2,'Yoy WAR OG'!$J$3:$FA$79,MATCH('Withdrawal Working'!$A93,'Yoy WAR OG'!$J$3:$J$79,0),0)</f>
        <v>0</v>
      </c>
      <c r="R93" s="58">
        <f t="shared" ca="1" si="31"/>
        <v>0</v>
      </c>
      <c r="S93" s="58">
        <f>HLOOKUP('Withdrawal Working'!S$2,'Yoy WAR OG'!$J$3:$FA$79,MATCH('Withdrawal Working'!$A93,'Yoy WAR OG'!$J$3:$J$79,0),0)</f>
        <v>0</v>
      </c>
      <c r="T93" s="58">
        <f t="shared" ca="1" si="32"/>
        <v>0</v>
      </c>
      <c r="U93" s="58">
        <f>HLOOKUP('Withdrawal Working'!U$2,'Yoy WAR OG'!$J$3:$FA$79,MATCH('Withdrawal Working'!$A93,'Yoy WAR OG'!$J$3:$J$79,0),0)</f>
        <v>0</v>
      </c>
      <c r="V93" s="58">
        <f t="shared" ca="1" si="33"/>
        <v>0</v>
      </c>
      <c r="AD93">
        <f>'Yoy WAR OG'!K94</f>
        <v>0</v>
      </c>
      <c r="AE93">
        <f ca="1">IF(AD93&lt;VLOOKUP('NWGC - SCENARIOS'!$D$7,'NWGC - SCENARIOS'!$B$11:$C$67,2,0),IF(V93&lt;0,-V93,0),IF(AI93&gt;0,'Withdrawal Working'!AI93,0))</f>
        <v>0</v>
      </c>
      <c r="AG93">
        <f>'Yoy WAR OG'!R94+'Yoy WAR OG'!X94+'Yoy WAR OG'!AD94+'Yoy WAR OG'!AJ94+'Yoy WAR OG'!AP94+'Yoy WAR OG'!AV94+'Yoy WAR OG'!BB94+'Yoy WAR OG'!BH94+'Yoy WAR OG'!BN94+'Yoy WAR OG'!BT94+'Yoy WAR OG'!BZ94+'Yoy WAR OG'!CF94+'Yoy WAR OG'!CL94+'Yoy WAR OG'!CR94+'Yoy WAR OG'!CX94+'Yoy WAR OG'!DD94+'Yoy WAR OG'!DJ94+'Yoy WAR OG'!DP94+'Yoy WAR OG'!DV94+'Yoy WAR OG'!EB94+'Yoy WAR OG'!EH94+'Yoy WAR OG'!EN94+'Yoy WAR OG'!ET94+'Yoy WAR OG'!EZ94</f>
        <v>0</v>
      </c>
      <c r="AH93" s="449">
        <f>'Yoy WAR OG'!M94</f>
        <v>0</v>
      </c>
      <c r="AI93" s="449">
        <f t="shared" si="23"/>
        <v>0</v>
      </c>
    </row>
    <row r="94" spans="1:35" x14ac:dyDescent="0.3">
      <c r="A94">
        <f>'Yoy WAR OG'!J95</f>
        <v>0</v>
      </c>
      <c r="B94" s="58">
        <f>'Yoy WAR OG'!M95</f>
        <v>0</v>
      </c>
      <c r="C94" s="58">
        <f>HLOOKUP('Withdrawal Working'!C$2,'Yoy WAR OG'!$J$3:$FA$79,MATCH('Withdrawal Working'!$A94,'Yoy WAR OG'!$J$3:$J$79,0),0)</f>
        <v>0</v>
      </c>
      <c r="D94" s="58">
        <f t="shared" si="24"/>
        <v>0</v>
      </c>
      <c r="E94" s="58">
        <f>HLOOKUP('Withdrawal Working'!E$2,'Yoy WAR OG'!$J$3:$FA$79,MATCH('Withdrawal Working'!$A94,'Yoy WAR OG'!$J$3:$J$79,0),0)</f>
        <v>0</v>
      </c>
      <c r="F94" s="58">
        <f t="shared" si="25"/>
        <v>0</v>
      </c>
      <c r="G94" s="58">
        <f>HLOOKUP('Withdrawal Working'!G$2,'Yoy WAR OG'!$J$3:$FA$79,MATCH('Withdrawal Working'!$A94,'Yoy WAR OG'!$J$3:$J$79,0),0)</f>
        <v>0</v>
      </c>
      <c r="H94" s="58">
        <f t="shared" si="26"/>
        <v>0</v>
      </c>
      <c r="I94" s="58">
        <f>HLOOKUP('Withdrawal Working'!I$2,'Yoy WAR OG'!$J$3:$FA$79,MATCH('Withdrawal Working'!$A94,'Yoy WAR OG'!$J$3:$J$79,0),0)</f>
        <v>0</v>
      </c>
      <c r="J94" s="58">
        <f t="shared" si="27"/>
        <v>0</v>
      </c>
      <c r="K94" s="58">
        <f ca="1">HLOOKUP('Withdrawal Working'!K$2,'Yoy WAR OG'!$J$3:$FA$79,MATCH('Withdrawal Working'!$A94,'Yoy WAR OG'!$J$3:$J$79,0),0)</f>
        <v>0</v>
      </c>
      <c r="L94" s="58">
        <f t="shared" ca="1" si="28"/>
        <v>0</v>
      </c>
      <c r="M94" s="58">
        <f ca="1">HLOOKUP('Withdrawal Working'!M$2,'Yoy WAR OG'!$J$3:$FA$79,MATCH('Withdrawal Working'!$A94,'Yoy WAR OG'!$J$3:$J$79,0),0)</f>
        <v>0</v>
      </c>
      <c r="N94" s="58">
        <f t="shared" ca="1" si="29"/>
        <v>0</v>
      </c>
      <c r="O94" s="58">
        <f>HLOOKUP('Withdrawal Working'!O$2,'Yoy WAR OG'!$J$3:$FA$79,MATCH('Withdrawal Working'!$A94,'Yoy WAR OG'!$J$3:$J$79,0),0)</f>
        <v>0</v>
      </c>
      <c r="P94" s="58">
        <f t="shared" ca="1" si="30"/>
        <v>0</v>
      </c>
      <c r="Q94" s="58">
        <f>HLOOKUP('Withdrawal Working'!Q$2,'Yoy WAR OG'!$J$3:$FA$79,MATCH('Withdrawal Working'!$A94,'Yoy WAR OG'!$J$3:$J$79,0),0)</f>
        <v>0</v>
      </c>
      <c r="R94" s="58">
        <f t="shared" ca="1" si="31"/>
        <v>0</v>
      </c>
      <c r="S94" s="58">
        <f>HLOOKUP('Withdrawal Working'!S$2,'Yoy WAR OG'!$J$3:$FA$79,MATCH('Withdrawal Working'!$A94,'Yoy WAR OG'!$J$3:$J$79,0),0)</f>
        <v>0</v>
      </c>
      <c r="T94" s="58">
        <f t="shared" ca="1" si="32"/>
        <v>0</v>
      </c>
      <c r="U94" s="58">
        <f>HLOOKUP('Withdrawal Working'!U$2,'Yoy WAR OG'!$J$3:$FA$79,MATCH('Withdrawal Working'!$A94,'Yoy WAR OG'!$J$3:$J$79,0),0)</f>
        <v>0</v>
      </c>
      <c r="V94" s="58">
        <f t="shared" ca="1" si="33"/>
        <v>0</v>
      </c>
      <c r="AD94">
        <f>'Yoy WAR OG'!K95</f>
        <v>0</v>
      </c>
      <c r="AE94">
        <f ca="1">IF(AD94&lt;VLOOKUP('NWGC - SCENARIOS'!$D$7,'NWGC - SCENARIOS'!$B$11:$C$67,2,0),IF(V94&lt;0,-V94,0),IF(AI94&gt;0,'Withdrawal Working'!AI94,0))</f>
        <v>0</v>
      </c>
      <c r="AG94">
        <f>'Yoy WAR OG'!R95+'Yoy WAR OG'!X95+'Yoy WAR OG'!AD95+'Yoy WAR OG'!AJ95+'Yoy WAR OG'!AP95+'Yoy WAR OG'!AV95+'Yoy WAR OG'!BB95+'Yoy WAR OG'!BH95+'Yoy WAR OG'!BN95+'Yoy WAR OG'!BT95+'Yoy WAR OG'!BZ95+'Yoy WAR OG'!CF95+'Yoy WAR OG'!CL95+'Yoy WAR OG'!CR95+'Yoy WAR OG'!CX95+'Yoy WAR OG'!DD95+'Yoy WAR OG'!DJ95+'Yoy WAR OG'!DP95+'Yoy WAR OG'!DV95+'Yoy WAR OG'!EB95+'Yoy WAR OG'!EH95+'Yoy WAR OG'!EN95+'Yoy WAR OG'!ET95+'Yoy WAR OG'!EZ95</f>
        <v>0</v>
      </c>
      <c r="AH94" s="449">
        <f>'Yoy WAR OG'!M95</f>
        <v>0</v>
      </c>
      <c r="AI94" s="449">
        <f t="shared" si="23"/>
        <v>0</v>
      </c>
    </row>
    <row r="95" spans="1:35" x14ac:dyDescent="0.3">
      <c r="A95">
        <f>'Yoy WAR OG'!J96</f>
        <v>0</v>
      </c>
      <c r="B95" s="58">
        <f>'Yoy WAR OG'!M96</f>
        <v>0</v>
      </c>
      <c r="C95" s="58">
        <f>HLOOKUP('Withdrawal Working'!C$2,'Yoy WAR OG'!$J$3:$FA$79,MATCH('Withdrawal Working'!$A95,'Yoy WAR OG'!$J$3:$J$79,0),0)</f>
        <v>0</v>
      </c>
      <c r="D95" s="58">
        <f t="shared" si="24"/>
        <v>0</v>
      </c>
      <c r="E95" s="58">
        <f>HLOOKUP('Withdrawal Working'!E$2,'Yoy WAR OG'!$J$3:$FA$79,MATCH('Withdrawal Working'!$A95,'Yoy WAR OG'!$J$3:$J$79,0),0)</f>
        <v>0</v>
      </c>
      <c r="F95" s="58">
        <f t="shared" si="25"/>
        <v>0</v>
      </c>
      <c r="G95" s="58">
        <f>HLOOKUP('Withdrawal Working'!G$2,'Yoy WAR OG'!$J$3:$FA$79,MATCH('Withdrawal Working'!$A95,'Yoy WAR OG'!$J$3:$J$79,0),0)</f>
        <v>0</v>
      </c>
      <c r="H95" s="58">
        <f t="shared" si="26"/>
        <v>0</v>
      </c>
      <c r="I95" s="58">
        <f>HLOOKUP('Withdrawal Working'!I$2,'Yoy WAR OG'!$J$3:$FA$79,MATCH('Withdrawal Working'!$A95,'Yoy WAR OG'!$J$3:$J$79,0),0)</f>
        <v>0</v>
      </c>
      <c r="J95" s="58">
        <f t="shared" si="27"/>
        <v>0</v>
      </c>
      <c r="K95" s="58">
        <f ca="1">HLOOKUP('Withdrawal Working'!K$2,'Yoy WAR OG'!$J$3:$FA$79,MATCH('Withdrawal Working'!$A95,'Yoy WAR OG'!$J$3:$J$79,0),0)</f>
        <v>0</v>
      </c>
      <c r="L95" s="58">
        <f t="shared" ca="1" si="28"/>
        <v>0</v>
      </c>
      <c r="M95" s="58">
        <f ca="1">HLOOKUP('Withdrawal Working'!M$2,'Yoy WAR OG'!$J$3:$FA$79,MATCH('Withdrawal Working'!$A95,'Yoy WAR OG'!$J$3:$J$79,0),0)</f>
        <v>0</v>
      </c>
      <c r="N95" s="58">
        <f t="shared" ca="1" si="29"/>
        <v>0</v>
      </c>
      <c r="O95" s="58">
        <f>HLOOKUP('Withdrawal Working'!O$2,'Yoy WAR OG'!$J$3:$FA$79,MATCH('Withdrawal Working'!$A95,'Yoy WAR OG'!$J$3:$J$79,0),0)</f>
        <v>0</v>
      </c>
      <c r="P95" s="58">
        <f t="shared" ca="1" si="30"/>
        <v>0</v>
      </c>
      <c r="Q95" s="58">
        <f>HLOOKUP('Withdrawal Working'!Q$2,'Yoy WAR OG'!$J$3:$FA$79,MATCH('Withdrawal Working'!$A95,'Yoy WAR OG'!$J$3:$J$79,0),0)</f>
        <v>0</v>
      </c>
      <c r="R95" s="58">
        <f t="shared" ca="1" si="31"/>
        <v>0</v>
      </c>
      <c r="S95" s="58">
        <f>HLOOKUP('Withdrawal Working'!S$2,'Yoy WAR OG'!$J$3:$FA$79,MATCH('Withdrawal Working'!$A95,'Yoy WAR OG'!$J$3:$J$79,0),0)</f>
        <v>0</v>
      </c>
      <c r="T95" s="58">
        <f t="shared" ca="1" si="32"/>
        <v>0</v>
      </c>
      <c r="U95" s="58">
        <f>HLOOKUP('Withdrawal Working'!U$2,'Yoy WAR OG'!$J$3:$FA$79,MATCH('Withdrawal Working'!$A95,'Yoy WAR OG'!$J$3:$J$79,0),0)</f>
        <v>0</v>
      </c>
      <c r="V95" s="58">
        <f t="shared" ca="1" si="33"/>
        <v>0</v>
      </c>
      <c r="AD95">
        <f>'Yoy WAR OG'!K96</f>
        <v>0</v>
      </c>
      <c r="AE95">
        <f ca="1">IF(AD95&lt;VLOOKUP('NWGC - SCENARIOS'!$D$7,'NWGC - SCENARIOS'!$B$11:$C$67,2,0),IF(V95&lt;0,-V95,0),IF(AI95&gt;0,'Withdrawal Working'!AI95,0))</f>
        <v>0</v>
      </c>
      <c r="AG95">
        <f>'Yoy WAR OG'!R96+'Yoy WAR OG'!X96+'Yoy WAR OG'!AD96+'Yoy WAR OG'!AJ96+'Yoy WAR OG'!AP96+'Yoy WAR OG'!AV96+'Yoy WAR OG'!BB96+'Yoy WAR OG'!BH96+'Yoy WAR OG'!BN96+'Yoy WAR OG'!BT96+'Yoy WAR OG'!BZ96+'Yoy WAR OG'!CF96+'Yoy WAR OG'!CL96+'Yoy WAR OG'!CR96+'Yoy WAR OG'!CX96+'Yoy WAR OG'!DD96+'Yoy WAR OG'!DJ96+'Yoy WAR OG'!DP96+'Yoy WAR OG'!DV96+'Yoy WAR OG'!EB96+'Yoy WAR OG'!EH96+'Yoy WAR OG'!EN96+'Yoy WAR OG'!ET96+'Yoy WAR OG'!EZ96</f>
        <v>0</v>
      </c>
      <c r="AH95" s="449">
        <f>'Yoy WAR OG'!M96</f>
        <v>0</v>
      </c>
      <c r="AI95" s="449">
        <f t="shared" si="23"/>
        <v>0</v>
      </c>
    </row>
    <row r="96" spans="1:35" x14ac:dyDescent="0.3">
      <c r="A96">
        <f>'Yoy WAR OG'!J97</f>
        <v>0</v>
      </c>
      <c r="B96" s="58">
        <f>'Yoy WAR OG'!M97</f>
        <v>0</v>
      </c>
      <c r="C96" s="58">
        <f>HLOOKUP('Withdrawal Working'!C$2,'Yoy WAR OG'!$J$3:$FA$79,MATCH('Withdrawal Working'!$A96,'Yoy WAR OG'!$J$3:$J$79,0),0)</f>
        <v>0</v>
      </c>
      <c r="D96" s="58">
        <f t="shared" si="24"/>
        <v>0</v>
      </c>
      <c r="E96" s="58">
        <f>HLOOKUP('Withdrawal Working'!E$2,'Yoy WAR OG'!$J$3:$FA$79,MATCH('Withdrawal Working'!$A96,'Yoy WAR OG'!$J$3:$J$79,0),0)</f>
        <v>0</v>
      </c>
      <c r="F96" s="58">
        <f t="shared" si="25"/>
        <v>0</v>
      </c>
      <c r="G96" s="58">
        <f>HLOOKUP('Withdrawal Working'!G$2,'Yoy WAR OG'!$J$3:$FA$79,MATCH('Withdrawal Working'!$A96,'Yoy WAR OG'!$J$3:$J$79,0),0)</f>
        <v>0</v>
      </c>
      <c r="H96" s="58">
        <f t="shared" si="26"/>
        <v>0</v>
      </c>
      <c r="I96" s="58">
        <f>HLOOKUP('Withdrawal Working'!I$2,'Yoy WAR OG'!$J$3:$FA$79,MATCH('Withdrawal Working'!$A96,'Yoy WAR OG'!$J$3:$J$79,0),0)</f>
        <v>0</v>
      </c>
      <c r="J96" s="58">
        <f t="shared" si="27"/>
        <v>0</v>
      </c>
      <c r="K96" s="58">
        <f ca="1">HLOOKUP('Withdrawal Working'!K$2,'Yoy WAR OG'!$J$3:$FA$79,MATCH('Withdrawal Working'!$A96,'Yoy WAR OG'!$J$3:$J$79,0),0)</f>
        <v>0</v>
      </c>
      <c r="L96" s="58">
        <f t="shared" ca="1" si="28"/>
        <v>0</v>
      </c>
      <c r="M96" s="58">
        <f ca="1">HLOOKUP('Withdrawal Working'!M$2,'Yoy WAR OG'!$J$3:$FA$79,MATCH('Withdrawal Working'!$A96,'Yoy WAR OG'!$J$3:$J$79,0),0)</f>
        <v>0</v>
      </c>
      <c r="N96" s="58">
        <f t="shared" ca="1" si="29"/>
        <v>0</v>
      </c>
      <c r="O96" s="58">
        <f>HLOOKUP('Withdrawal Working'!O$2,'Yoy WAR OG'!$J$3:$FA$79,MATCH('Withdrawal Working'!$A96,'Yoy WAR OG'!$J$3:$J$79,0),0)</f>
        <v>0</v>
      </c>
      <c r="P96" s="58">
        <f t="shared" ca="1" si="30"/>
        <v>0</v>
      </c>
      <c r="Q96" s="58">
        <f>HLOOKUP('Withdrawal Working'!Q$2,'Yoy WAR OG'!$J$3:$FA$79,MATCH('Withdrawal Working'!$A96,'Yoy WAR OG'!$J$3:$J$79,0),0)</f>
        <v>0</v>
      </c>
      <c r="R96" s="58">
        <f t="shared" ca="1" si="31"/>
        <v>0</v>
      </c>
      <c r="S96" s="58">
        <f>HLOOKUP('Withdrawal Working'!S$2,'Yoy WAR OG'!$J$3:$FA$79,MATCH('Withdrawal Working'!$A96,'Yoy WAR OG'!$J$3:$J$79,0),0)</f>
        <v>0</v>
      </c>
      <c r="T96" s="58">
        <f t="shared" ca="1" si="32"/>
        <v>0</v>
      </c>
      <c r="U96" s="58">
        <f>HLOOKUP('Withdrawal Working'!U$2,'Yoy WAR OG'!$J$3:$FA$79,MATCH('Withdrawal Working'!$A96,'Yoy WAR OG'!$J$3:$J$79,0),0)</f>
        <v>0</v>
      </c>
      <c r="V96" s="58">
        <f t="shared" ca="1" si="33"/>
        <v>0</v>
      </c>
      <c r="AD96">
        <f>'Yoy WAR OG'!K97</f>
        <v>0</v>
      </c>
      <c r="AE96">
        <f ca="1">IF(AD96&lt;VLOOKUP('NWGC - SCENARIOS'!$D$7,'NWGC - SCENARIOS'!$B$11:$C$67,2,0),IF(V96&lt;0,-V96,0),IF(AI96&gt;0,'Withdrawal Working'!AI96,0))</f>
        <v>0</v>
      </c>
      <c r="AG96">
        <f>'Yoy WAR OG'!R97+'Yoy WAR OG'!X97+'Yoy WAR OG'!AD97+'Yoy WAR OG'!AJ97+'Yoy WAR OG'!AP97+'Yoy WAR OG'!AV97+'Yoy WAR OG'!BB97+'Yoy WAR OG'!BH97+'Yoy WAR OG'!BN97+'Yoy WAR OG'!BT97+'Yoy WAR OG'!BZ97+'Yoy WAR OG'!CF97+'Yoy WAR OG'!CL97+'Yoy WAR OG'!CR97+'Yoy WAR OG'!CX97+'Yoy WAR OG'!DD97+'Yoy WAR OG'!DJ97+'Yoy WAR OG'!DP97+'Yoy WAR OG'!DV97+'Yoy WAR OG'!EB97+'Yoy WAR OG'!EH97+'Yoy WAR OG'!EN97+'Yoy WAR OG'!ET97+'Yoy WAR OG'!EZ97</f>
        <v>0</v>
      </c>
      <c r="AH96" s="449">
        <f>'Yoy WAR OG'!M97</f>
        <v>0</v>
      </c>
      <c r="AI96" s="449">
        <f t="shared" si="23"/>
        <v>0</v>
      </c>
    </row>
    <row r="97" spans="1:35" x14ac:dyDescent="0.3">
      <c r="A97">
        <f>'Yoy WAR OG'!J98</f>
        <v>0</v>
      </c>
      <c r="B97" s="58">
        <f>'Yoy WAR OG'!M98</f>
        <v>0</v>
      </c>
      <c r="C97" s="58">
        <f>HLOOKUP('Withdrawal Working'!C$2,'Yoy WAR OG'!$J$3:$FA$79,MATCH('Withdrawal Working'!$A97,'Yoy WAR OG'!$J$3:$J$79,0),0)</f>
        <v>0</v>
      </c>
      <c r="D97" s="58">
        <f t="shared" si="24"/>
        <v>0</v>
      </c>
      <c r="E97" s="58">
        <f>HLOOKUP('Withdrawal Working'!E$2,'Yoy WAR OG'!$J$3:$FA$79,MATCH('Withdrawal Working'!$A97,'Yoy WAR OG'!$J$3:$J$79,0),0)</f>
        <v>0</v>
      </c>
      <c r="F97" s="58">
        <f t="shared" si="25"/>
        <v>0</v>
      </c>
      <c r="G97" s="58">
        <f>HLOOKUP('Withdrawal Working'!G$2,'Yoy WAR OG'!$J$3:$FA$79,MATCH('Withdrawal Working'!$A97,'Yoy WAR OG'!$J$3:$J$79,0),0)</f>
        <v>0</v>
      </c>
      <c r="H97" s="58">
        <f t="shared" si="26"/>
        <v>0</v>
      </c>
      <c r="I97" s="58">
        <f>HLOOKUP('Withdrawal Working'!I$2,'Yoy WAR OG'!$J$3:$FA$79,MATCH('Withdrawal Working'!$A97,'Yoy WAR OG'!$J$3:$J$79,0),0)</f>
        <v>0</v>
      </c>
      <c r="J97" s="58">
        <f t="shared" si="27"/>
        <v>0</v>
      </c>
      <c r="K97" s="58">
        <f ca="1">HLOOKUP('Withdrawal Working'!K$2,'Yoy WAR OG'!$J$3:$FA$79,MATCH('Withdrawal Working'!$A97,'Yoy WAR OG'!$J$3:$J$79,0),0)</f>
        <v>0</v>
      </c>
      <c r="L97" s="58">
        <f t="shared" ca="1" si="28"/>
        <v>0</v>
      </c>
      <c r="M97" s="58">
        <f ca="1">HLOOKUP('Withdrawal Working'!M$2,'Yoy WAR OG'!$J$3:$FA$79,MATCH('Withdrawal Working'!$A97,'Yoy WAR OG'!$J$3:$J$79,0),0)</f>
        <v>0</v>
      </c>
      <c r="N97" s="58">
        <f t="shared" ca="1" si="29"/>
        <v>0</v>
      </c>
      <c r="O97" s="58">
        <f>HLOOKUP('Withdrawal Working'!O$2,'Yoy WAR OG'!$J$3:$FA$79,MATCH('Withdrawal Working'!$A97,'Yoy WAR OG'!$J$3:$J$79,0),0)</f>
        <v>0</v>
      </c>
      <c r="P97" s="58">
        <f t="shared" ca="1" si="30"/>
        <v>0</v>
      </c>
      <c r="Q97" s="58">
        <f>HLOOKUP('Withdrawal Working'!Q$2,'Yoy WAR OG'!$J$3:$FA$79,MATCH('Withdrawal Working'!$A97,'Yoy WAR OG'!$J$3:$J$79,0),0)</f>
        <v>0</v>
      </c>
      <c r="R97" s="58">
        <f t="shared" ca="1" si="31"/>
        <v>0</v>
      </c>
      <c r="S97" s="58">
        <f>HLOOKUP('Withdrawal Working'!S$2,'Yoy WAR OG'!$J$3:$FA$79,MATCH('Withdrawal Working'!$A97,'Yoy WAR OG'!$J$3:$J$79,0),0)</f>
        <v>0</v>
      </c>
      <c r="T97" s="58">
        <f t="shared" ca="1" si="32"/>
        <v>0</v>
      </c>
      <c r="U97" s="58">
        <f>HLOOKUP('Withdrawal Working'!U$2,'Yoy WAR OG'!$J$3:$FA$79,MATCH('Withdrawal Working'!$A97,'Yoy WAR OG'!$J$3:$J$79,0),0)</f>
        <v>0</v>
      </c>
      <c r="V97" s="58">
        <f t="shared" ca="1" si="33"/>
        <v>0</v>
      </c>
      <c r="AD97">
        <f>'Yoy WAR OG'!K98</f>
        <v>0</v>
      </c>
      <c r="AE97">
        <f ca="1">IF(AD97&lt;VLOOKUP('NWGC - SCENARIOS'!$D$7,'NWGC - SCENARIOS'!$B$11:$C$67,2,0),IF(V97&lt;0,-V97,0),IF(AI97&gt;0,'Withdrawal Working'!AI97,0))</f>
        <v>0</v>
      </c>
      <c r="AG97">
        <f>'Yoy WAR OG'!R98+'Yoy WAR OG'!X98+'Yoy WAR OG'!AD98+'Yoy WAR OG'!AJ98+'Yoy WAR OG'!AP98+'Yoy WAR OG'!AV98+'Yoy WAR OG'!BB98+'Yoy WAR OG'!BH98+'Yoy WAR OG'!BN98+'Yoy WAR OG'!BT98+'Yoy WAR OG'!BZ98+'Yoy WAR OG'!CF98+'Yoy WAR OG'!CL98+'Yoy WAR OG'!CR98+'Yoy WAR OG'!CX98+'Yoy WAR OG'!DD98+'Yoy WAR OG'!DJ98+'Yoy WAR OG'!DP98+'Yoy WAR OG'!DV98+'Yoy WAR OG'!EB98+'Yoy WAR OG'!EH98+'Yoy WAR OG'!EN98+'Yoy WAR OG'!ET98+'Yoy WAR OG'!EZ98</f>
        <v>0</v>
      </c>
      <c r="AH97" s="449">
        <f>'Yoy WAR OG'!M98</f>
        <v>0</v>
      </c>
      <c r="AI97" s="449">
        <f t="shared" si="23"/>
        <v>0</v>
      </c>
    </row>
    <row r="98" spans="1:35" x14ac:dyDescent="0.3">
      <c r="A98">
        <f>'Yoy WAR OG'!J99</f>
        <v>0</v>
      </c>
      <c r="B98" s="58">
        <f>'Yoy WAR OG'!M99</f>
        <v>0</v>
      </c>
      <c r="C98" s="58">
        <f>HLOOKUP('Withdrawal Working'!C$2,'Yoy WAR OG'!$J$3:$FA$79,MATCH('Withdrawal Working'!$A98,'Yoy WAR OG'!$J$3:$J$79,0),0)</f>
        <v>0</v>
      </c>
      <c r="D98" s="58">
        <f t="shared" si="24"/>
        <v>0</v>
      </c>
      <c r="E98" s="58">
        <f>HLOOKUP('Withdrawal Working'!E$2,'Yoy WAR OG'!$J$3:$FA$79,MATCH('Withdrawal Working'!$A98,'Yoy WAR OG'!$J$3:$J$79,0),0)</f>
        <v>0</v>
      </c>
      <c r="F98" s="58">
        <f t="shared" si="25"/>
        <v>0</v>
      </c>
      <c r="G98" s="58">
        <f>HLOOKUP('Withdrawal Working'!G$2,'Yoy WAR OG'!$J$3:$FA$79,MATCH('Withdrawal Working'!$A98,'Yoy WAR OG'!$J$3:$J$79,0),0)</f>
        <v>0</v>
      </c>
      <c r="H98" s="58">
        <f t="shared" si="26"/>
        <v>0</v>
      </c>
      <c r="I98" s="58">
        <f>HLOOKUP('Withdrawal Working'!I$2,'Yoy WAR OG'!$J$3:$FA$79,MATCH('Withdrawal Working'!$A98,'Yoy WAR OG'!$J$3:$J$79,0),0)</f>
        <v>0</v>
      </c>
      <c r="J98" s="58">
        <f t="shared" si="27"/>
        <v>0</v>
      </c>
      <c r="K98" s="58">
        <f ca="1">HLOOKUP('Withdrawal Working'!K$2,'Yoy WAR OG'!$J$3:$FA$79,MATCH('Withdrawal Working'!$A98,'Yoy WAR OG'!$J$3:$J$79,0),0)</f>
        <v>0</v>
      </c>
      <c r="L98" s="58">
        <f t="shared" ca="1" si="28"/>
        <v>0</v>
      </c>
      <c r="M98" s="58">
        <f ca="1">HLOOKUP('Withdrawal Working'!M$2,'Yoy WAR OG'!$J$3:$FA$79,MATCH('Withdrawal Working'!$A98,'Yoy WAR OG'!$J$3:$J$79,0),0)</f>
        <v>0</v>
      </c>
      <c r="N98" s="58">
        <f t="shared" ca="1" si="29"/>
        <v>0</v>
      </c>
      <c r="O98" s="58">
        <f>HLOOKUP('Withdrawal Working'!O$2,'Yoy WAR OG'!$J$3:$FA$79,MATCH('Withdrawal Working'!$A98,'Yoy WAR OG'!$J$3:$J$79,0),0)</f>
        <v>0</v>
      </c>
      <c r="P98" s="58">
        <f t="shared" ca="1" si="30"/>
        <v>0</v>
      </c>
      <c r="Q98" s="58">
        <f>HLOOKUP('Withdrawal Working'!Q$2,'Yoy WAR OG'!$J$3:$FA$79,MATCH('Withdrawal Working'!$A98,'Yoy WAR OG'!$J$3:$J$79,0),0)</f>
        <v>0</v>
      </c>
      <c r="R98" s="58">
        <f t="shared" ca="1" si="31"/>
        <v>0</v>
      </c>
      <c r="S98" s="58">
        <f>HLOOKUP('Withdrawal Working'!S$2,'Yoy WAR OG'!$J$3:$FA$79,MATCH('Withdrawal Working'!$A98,'Yoy WAR OG'!$J$3:$J$79,0),0)</f>
        <v>0</v>
      </c>
      <c r="T98" s="58">
        <f t="shared" ca="1" si="32"/>
        <v>0</v>
      </c>
      <c r="U98" s="58">
        <f>HLOOKUP('Withdrawal Working'!U$2,'Yoy WAR OG'!$J$3:$FA$79,MATCH('Withdrawal Working'!$A98,'Yoy WAR OG'!$J$3:$J$79,0),0)</f>
        <v>0</v>
      </c>
      <c r="V98" s="58">
        <f t="shared" ca="1" si="33"/>
        <v>0</v>
      </c>
      <c r="AD98">
        <f>'Yoy WAR OG'!K99</f>
        <v>0</v>
      </c>
      <c r="AE98">
        <f ca="1">IF(AD98&lt;VLOOKUP('NWGC - SCENARIOS'!$D$7,'NWGC - SCENARIOS'!$B$11:$C$67,2,0),IF(V98&lt;0,-V98,0),IF(AI98&gt;0,'Withdrawal Working'!AI98,0))</f>
        <v>0</v>
      </c>
      <c r="AG98">
        <f>'Yoy WAR OG'!R99+'Yoy WAR OG'!X99+'Yoy WAR OG'!AD99+'Yoy WAR OG'!AJ99+'Yoy WAR OG'!AP99+'Yoy WAR OG'!AV99+'Yoy WAR OG'!BB99+'Yoy WAR OG'!BH99+'Yoy WAR OG'!BN99+'Yoy WAR OG'!BT99+'Yoy WAR OG'!BZ99+'Yoy WAR OG'!CF99+'Yoy WAR OG'!CL99+'Yoy WAR OG'!CR99+'Yoy WAR OG'!CX99+'Yoy WAR OG'!DD99+'Yoy WAR OG'!DJ99+'Yoy WAR OG'!DP99+'Yoy WAR OG'!DV99+'Yoy WAR OG'!EB99+'Yoy WAR OG'!EH99+'Yoy WAR OG'!EN99+'Yoy WAR OG'!ET99+'Yoy WAR OG'!EZ99</f>
        <v>0</v>
      </c>
      <c r="AH98" s="449">
        <f>'Yoy WAR OG'!M99</f>
        <v>0</v>
      </c>
      <c r="AI98" s="449">
        <f t="shared" si="23"/>
        <v>0</v>
      </c>
    </row>
    <row r="99" spans="1:35" x14ac:dyDescent="0.3">
      <c r="A99">
        <f>'Yoy WAR OG'!J100</f>
        <v>0</v>
      </c>
      <c r="B99" s="58">
        <f>'Yoy WAR OG'!M100</f>
        <v>0</v>
      </c>
      <c r="C99" s="58">
        <f>HLOOKUP('Withdrawal Working'!C$2,'Yoy WAR OG'!$J$3:$FA$79,MATCH('Withdrawal Working'!$A99,'Yoy WAR OG'!$J$3:$J$79,0),0)</f>
        <v>0</v>
      </c>
      <c r="D99" s="58">
        <f t="shared" si="24"/>
        <v>0</v>
      </c>
      <c r="E99" s="58">
        <f>HLOOKUP('Withdrawal Working'!E$2,'Yoy WAR OG'!$J$3:$FA$79,MATCH('Withdrawal Working'!$A99,'Yoy WAR OG'!$J$3:$J$79,0),0)</f>
        <v>0</v>
      </c>
      <c r="F99" s="58">
        <f t="shared" si="25"/>
        <v>0</v>
      </c>
      <c r="G99" s="58">
        <f>HLOOKUP('Withdrawal Working'!G$2,'Yoy WAR OG'!$J$3:$FA$79,MATCH('Withdrawal Working'!$A99,'Yoy WAR OG'!$J$3:$J$79,0),0)</f>
        <v>0</v>
      </c>
      <c r="H99" s="58">
        <f t="shared" si="26"/>
        <v>0</v>
      </c>
      <c r="I99" s="58">
        <f>HLOOKUP('Withdrawal Working'!I$2,'Yoy WAR OG'!$J$3:$FA$79,MATCH('Withdrawal Working'!$A99,'Yoy WAR OG'!$J$3:$J$79,0),0)</f>
        <v>0</v>
      </c>
      <c r="J99" s="58">
        <f t="shared" si="27"/>
        <v>0</v>
      </c>
      <c r="K99" s="58">
        <f ca="1">HLOOKUP('Withdrawal Working'!K$2,'Yoy WAR OG'!$J$3:$FA$79,MATCH('Withdrawal Working'!$A99,'Yoy WAR OG'!$J$3:$J$79,0),0)</f>
        <v>0</v>
      </c>
      <c r="L99" s="58">
        <f t="shared" ca="1" si="28"/>
        <v>0</v>
      </c>
      <c r="M99" s="58">
        <f ca="1">HLOOKUP('Withdrawal Working'!M$2,'Yoy WAR OG'!$J$3:$FA$79,MATCH('Withdrawal Working'!$A99,'Yoy WAR OG'!$J$3:$J$79,0),0)</f>
        <v>0</v>
      </c>
      <c r="N99" s="58">
        <f t="shared" ca="1" si="29"/>
        <v>0</v>
      </c>
      <c r="O99" s="58">
        <f>HLOOKUP('Withdrawal Working'!O$2,'Yoy WAR OG'!$J$3:$FA$79,MATCH('Withdrawal Working'!$A99,'Yoy WAR OG'!$J$3:$J$79,0),0)</f>
        <v>0</v>
      </c>
      <c r="P99" s="58">
        <f t="shared" ca="1" si="30"/>
        <v>0</v>
      </c>
      <c r="Q99" s="58">
        <f>HLOOKUP('Withdrawal Working'!Q$2,'Yoy WAR OG'!$J$3:$FA$79,MATCH('Withdrawal Working'!$A99,'Yoy WAR OG'!$J$3:$J$79,0),0)</f>
        <v>0</v>
      </c>
      <c r="R99" s="58">
        <f t="shared" ca="1" si="31"/>
        <v>0</v>
      </c>
      <c r="S99" s="58">
        <f>HLOOKUP('Withdrawal Working'!S$2,'Yoy WAR OG'!$J$3:$FA$79,MATCH('Withdrawal Working'!$A99,'Yoy WAR OG'!$J$3:$J$79,0),0)</f>
        <v>0</v>
      </c>
      <c r="T99" s="58">
        <f t="shared" ca="1" si="32"/>
        <v>0</v>
      </c>
      <c r="U99" s="58">
        <f>HLOOKUP('Withdrawal Working'!U$2,'Yoy WAR OG'!$J$3:$FA$79,MATCH('Withdrawal Working'!$A99,'Yoy WAR OG'!$J$3:$J$79,0),0)</f>
        <v>0</v>
      </c>
      <c r="V99" s="58">
        <f t="shared" ca="1" si="33"/>
        <v>0</v>
      </c>
      <c r="AD99">
        <f>'Yoy WAR OG'!K100</f>
        <v>0</v>
      </c>
      <c r="AE99">
        <f ca="1">IF(AD99&lt;VLOOKUP('NWGC - SCENARIOS'!$D$7,'NWGC - SCENARIOS'!$B$11:$C$67,2,0),IF(V99&lt;0,-V99,0),IF(AI99&gt;0,'Withdrawal Working'!AI99,0))</f>
        <v>0</v>
      </c>
      <c r="AG99">
        <f>'Yoy WAR OG'!R100+'Yoy WAR OG'!X100+'Yoy WAR OG'!AD100+'Yoy WAR OG'!AJ100+'Yoy WAR OG'!AP100+'Yoy WAR OG'!AV100+'Yoy WAR OG'!BB100+'Yoy WAR OG'!BH100+'Yoy WAR OG'!BN100+'Yoy WAR OG'!BT100+'Yoy WAR OG'!BZ100+'Yoy WAR OG'!CF100+'Yoy WAR OG'!CL100+'Yoy WAR OG'!CR100+'Yoy WAR OG'!CX100+'Yoy WAR OG'!DD100+'Yoy WAR OG'!DJ100+'Yoy WAR OG'!DP100+'Yoy WAR OG'!DV100+'Yoy WAR OG'!EB100+'Yoy WAR OG'!EH100+'Yoy WAR OG'!EN100+'Yoy WAR OG'!ET100+'Yoy WAR OG'!EZ100</f>
        <v>0</v>
      </c>
      <c r="AH99" s="449">
        <f>'Yoy WAR OG'!M100</f>
        <v>0</v>
      </c>
      <c r="AI99" s="449">
        <f t="shared" si="23"/>
        <v>0</v>
      </c>
    </row>
    <row r="100" spans="1:35" x14ac:dyDescent="0.3">
      <c r="A100">
        <f>'Yoy WAR OG'!J101</f>
        <v>0</v>
      </c>
      <c r="B100" s="58">
        <f>'Yoy WAR OG'!M101</f>
        <v>0</v>
      </c>
      <c r="C100" s="58">
        <f>HLOOKUP('Withdrawal Working'!C$2,'Yoy WAR OG'!$J$3:$FA$79,MATCH('Withdrawal Working'!$A100,'Yoy WAR OG'!$J$3:$J$79,0),0)</f>
        <v>0</v>
      </c>
      <c r="D100" s="58">
        <f t="shared" si="24"/>
        <v>0</v>
      </c>
      <c r="E100" s="58">
        <f>HLOOKUP('Withdrawal Working'!E$2,'Yoy WAR OG'!$J$3:$FA$79,MATCH('Withdrawal Working'!$A100,'Yoy WAR OG'!$J$3:$J$79,0),0)</f>
        <v>0</v>
      </c>
      <c r="F100" s="58">
        <f t="shared" si="25"/>
        <v>0</v>
      </c>
      <c r="G100" s="58">
        <f>HLOOKUP('Withdrawal Working'!G$2,'Yoy WAR OG'!$J$3:$FA$79,MATCH('Withdrawal Working'!$A100,'Yoy WAR OG'!$J$3:$J$79,0),0)</f>
        <v>0</v>
      </c>
      <c r="H100" s="58">
        <f t="shared" si="26"/>
        <v>0</v>
      </c>
      <c r="I100" s="58">
        <f>HLOOKUP('Withdrawal Working'!I$2,'Yoy WAR OG'!$J$3:$FA$79,MATCH('Withdrawal Working'!$A100,'Yoy WAR OG'!$J$3:$J$79,0),0)</f>
        <v>0</v>
      </c>
      <c r="J100" s="58">
        <f t="shared" si="27"/>
        <v>0</v>
      </c>
      <c r="K100" s="58">
        <f ca="1">HLOOKUP('Withdrawal Working'!K$2,'Yoy WAR OG'!$J$3:$FA$79,MATCH('Withdrawal Working'!$A100,'Yoy WAR OG'!$J$3:$J$79,0),0)</f>
        <v>0</v>
      </c>
      <c r="L100" s="58">
        <f t="shared" ca="1" si="28"/>
        <v>0</v>
      </c>
      <c r="M100" s="58">
        <f ca="1">HLOOKUP('Withdrawal Working'!M$2,'Yoy WAR OG'!$J$3:$FA$79,MATCH('Withdrawal Working'!$A100,'Yoy WAR OG'!$J$3:$J$79,0),0)</f>
        <v>0</v>
      </c>
      <c r="N100" s="58">
        <f t="shared" ca="1" si="29"/>
        <v>0</v>
      </c>
      <c r="O100" s="58">
        <f>HLOOKUP('Withdrawal Working'!O$2,'Yoy WAR OG'!$J$3:$FA$79,MATCH('Withdrawal Working'!$A100,'Yoy WAR OG'!$J$3:$J$79,0),0)</f>
        <v>0</v>
      </c>
      <c r="P100" s="58">
        <f t="shared" ca="1" si="30"/>
        <v>0</v>
      </c>
      <c r="Q100" s="58">
        <f>HLOOKUP('Withdrawal Working'!Q$2,'Yoy WAR OG'!$J$3:$FA$79,MATCH('Withdrawal Working'!$A100,'Yoy WAR OG'!$J$3:$J$79,0),0)</f>
        <v>0</v>
      </c>
      <c r="R100" s="58">
        <f t="shared" ca="1" si="31"/>
        <v>0</v>
      </c>
      <c r="S100" s="58">
        <f>HLOOKUP('Withdrawal Working'!S$2,'Yoy WAR OG'!$J$3:$FA$79,MATCH('Withdrawal Working'!$A100,'Yoy WAR OG'!$J$3:$J$79,0),0)</f>
        <v>0</v>
      </c>
      <c r="T100" s="58">
        <f t="shared" ca="1" si="32"/>
        <v>0</v>
      </c>
      <c r="U100" s="58">
        <f>HLOOKUP('Withdrawal Working'!U$2,'Yoy WAR OG'!$J$3:$FA$79,MATCH('Withdrawal Working'!$A100,'Yoy WAR OG'!$J$3:$J$79,0),0)</f>
        <v>0</v>
      </c>
      <c r="V100" s="58">
        <f t="shared" ca="1" si="33"/>
        <v>0</v>
      </c>
      <c r="AD100">
        <f>'Yoy WAR OG'!K101</f>
        <v>0</v>
      </c>
      <c r="AE100">
        <f ca="1">IF(AD100&lt;VLOOKUP('NWGC - SCENARIOS'!$D$7,'NWGC - SCENARIOS'!$B$11:$C$67,2,0),IF(V100&lt;0,-V100,0),IF(AI100&gt;0,'Withdrawal Working'!AI100,0))</f>
        <v>0</v>
      </c>
      <c r="AG100">
        <f>'Yoy WAR OG'!R101+'Yoy WAR OG'!X101+'Yoy WAR OG'!AD101+'Yoy WAR OG'!AJ101+'Yoy WAR OG'!AP101+'Yoy WAR OG'!AV101+'Yoy WAR OG'!BB101+'Yoy WAR OG'!BH101+'Yoy WAR OG'!BN101+'Yoy WAR OG'!BT101+'Yoy WAR OG'!BZ101+'Yoy WAR OG'!CF101+'Yoy WAR OG'!CL101+'Yoy WAR OG'!CR101+'Yoy WAR OG'!CX101+'Yoy WAR OG'!DD101+'Yoy WAR OG'!DJ101+'Yoy WAR OG'!DP101+'Yoy WAR OG'!DV101+'Yoy WAR OG'!EB101+'Yoy WAR OG'!EH101+'Yoy WAR OG'!EN101+'Yoy WAR OG'!ET101+'Yoy WAR OG'!EZ101</f>
        <v>0</v>
      </c>
      <c r="AH100" s="449">
        <f>'Yoy WAR OG'!M101</f>
        <v>0</v>
      </c>
      <c r="AI100" s="449">
        <f t="shared" si="23"/>
        <v>0</v>
      </c>
    </row>
    <row r="101" spans="1:35" x14ac:dyDescent="0.3">
      <c r="A101">
        <f>'Yoy WAR OG'!J102</f>
        <v>0</v>
      </c>
      <c r="B101" s="58">
        <f>'Yoy WAR OG'!M102</f>
        <v>0</v>
      </c>
      <c r="C101" s="58">
        <f>HLOOKUP('Withdrawal Working'!C$2,'Yoy WAR OG'!$J$3:$FA$79,MATCH('Withdrawal Working'!$A101,'Yoy WAR OG'!$J$3:$J$79,0),0)</f>
        <v>0</v>
      </c>
      <c r="D101" s="58">
        <f t="shared" si="24"/>
        <v>0</v>
      </c>
      <c r="E101" s="58">
        <f>HLOOKUP('Withdrawal Working'!E$2,'Yoy WAR OG'!$J$3:$FA$79,MATCH('Withdrawal Working'!$A101,'Yoy WAR OG'!$J$3:$J$79,0),0)</f>
        <v>0</v>
      </c>
      <c r="F101" s="58">
        <f t="shared" si="25"/>
        <v>0</v>
      </c>
      <c r="G101" s="58">
        <f>HLOOKUP('Withdrawal Working'!G$2,'Yoy WAR OG'!$J$3:$FA$79,MATCH('Withdrawal Working'!$A101,'Yoy WAR OG'!$J$3:$J$79,0),0)</f>
        <v>0</v>
      </c>
      <c r="H101" s="58">
        <f t="shared" si="26"/>
        <v>0</v>
      </c>
      <c r="I101" s="58">
        <f>HLOOKUP('Withdrawal Working'!I$2,'Yoy WAR OG'!$J$3:$FA$79,MATCH('Withdrawal Working'!$A101,'Yoy WAR OG'!$J$3:$J$79,0),0)</f>
        <v>0</v>
      </c>
      <c r="J101" s="58">
        <f t="shared" si="27"/>
        <v>0</v>
      </c>
      <c r="K101" s="58">
        <f ca="1">HLOOKUP('Withdrawal Working'!K$2,'Yoy WAR OG'!$J$3:$FA$79,MATCH('Withdrawal Working'!$A101,'Yoy WAR OG'!$J$3:$J$79,0),0)</f>
        <v>0</v>
      </c>
      <c r="L101" s="58">
        <f t="shared" ca="1" si="28"/>
        <v>0</v>
      </c>
      <c r="M101" s="58">
        <f ca="1">HLOOKUP('Withdrawal Working'!M$2,'Yoy WAR OG'!$J$3:$FA$79,MATCH('Withdrawal Working'!$A101,'Yoy WAR OG'!$J$3:$J$79,0),0)</f>
        <v>0</v>
      </c>
      <c r="N101" s="58">
        <f t="shared" ca="1" si="29"/>
        <v>0</v>
      </c>
      <c r="O101" s="58">
        <f>HLOOKUP('Withdrawal Working'!O$2,'Yoy WAR OG'!$J$3:$FA$79,MATCH('Withdrawal Working'!$A101,'Yoy WAR OG'!$J$3:$J$79,0),0)</f>
        <v>0</v>
      </c>
      <c r="P101" s="58">
        <f t="shared" ca="1" si="30"/>
        <v>0</v>
      </c>
      <c r="Q101" s="58">
        <f>HLOOKUP('Withdrawal Working'!Q$2,'Yoy WAR OG'!$J$3:$FA$79,MATCH('Withdrawal Working'!$A101,'Yoy WAR OG'!$J$3:$J$79,0),0)</f>
        <v>0</v>
      </c>
      <c r="R101" s="58">
        <f t="shared" ca="1" si="31"/>
        <v>0</v>
      </c>
      <c r="S101" s="58">
        <f>HLOOKUP('Withdrawal Working'!S$2,'Yoy WAR OG'!$J$3:$FA$79,MATCH('Withdrawal Working'!$A101,'Yoy WAR OG'!$J$3:$J$79,0),0)</f>
        <v>0</v>
      </c>
      <c r="T101" s="58">
        <f t="shared" ca="1" si="32"/>
        <v>0</v>
      </c>
      <c r="U101" s="58">
        <f>HLOOKUP('Withdrawal Working'!U$2,'Yoy WAR OG'!$J$3:$FA$79,MATCH('Withdrawal Working'!$A101,'Yoy WAR OG'!$J$3:$J$79,0),0)</f>
        <v>0</v>
      </c>
      <c r="V101" s="58">
        <f t="shared" ca="1" si="33"/>
        <v>0</v>
      </c>
    </row>
    <row r="102" spans="1:35" x14ac:dyDescent="0.3">
      <c r="A102">
        <f>'Yoy WAR OG'!J103</f>
        <v>0</v>
      </c>
      <c r="B102" s="58">
        <f>'Yoy WAR OG'!M103</f>
        <v>0</v>
      </c>
      <c r="C102" s="58">
        <f>HLOOKUP('Withdrawal Working'!C$2,'Yoy WAR OG'!$J$3:$FA$79,MATCH('Withdrawal Working'!$A102,'Yoy WAR OG'!$J$3:$J$79,0),0)</f>
        <v>0</v>
      </c>
      <c r="D102" s="58">
        <f t="shared" si="24"/>
        <v>0</v>
      </c>
      <c r="E102" s="58">
        <f>HLOOKUP('Withdrawal Working'!E$2,'Yoy WAR OG'!$J$3:$FA$79,MATCH('Withdrawal Working'!$A102,'Yoy WAR OG'!$J$3:$J$79,0),0)</f>
        <v>0</v>
      </c>
      <c r="F102" s="58">
        <f t="shared" si="25"/>
        <v>0</v>
      </c>
      <c r="G102" s="58">
        <f>HLOOKUP('Withdrawal Working'!G$2,'Yoy WAR OG'!$J$3:$FA$79,MATCH('Withdrawal Working'!$A102,'Yoy WAR OG'!$J$3:$J$79,0),0)</f>
        <v>0</v>
      </c>
      <c r="H102" s="58">
        <f t="shared" si="26"/>
        <v>0</v>
      </c>
      <c r="I102" s="58">
        <f>HLOOKUP('Withdrawal Working'!I$2,'Yoy WAR OG'!$J$3:$FA$79,MATCH('Withdrawal Working'!$A102,'Yoy WAR OG'!$J$3:$J$79,0),0)</f>
        <v>0</v>
      </c>
      <c r="J102" s="58">
        <f t="shared" si="27"/>
        <v>0</v>
      </c>
      <c r="K102" s="58">
        <f ca="1">HLOOKUP('Withdrawal Working'!K$2,'Yoy WAR OG'!$J$3:$FA$79,MATCH('Withdrawal Working'!$A102,'Yoy WAR OG'!$J$3:$J$79,0),0)</f>
        <v>0</v>
      </c>
      <c r="L102" s="58">
        <f t="shared" ca="1" si="28"/>
        <v>0</v>
      </c>
      <c r="M102" s="58">
        <f ca="1">HLOOKUP('Withdrawal Working'!M$2,'Yoy WAR OG'!$J$3:$FA$79,MATCH('Withdrawal Working'!$A102,'Yoy WAR OG'!$J$3:$J$79,0),0)</f>
        <v>0</v>
      </c>
      <c r="N102" s="58">
        <f t="shared" ca="1" si="29"/>
        <v>0</v>
      </c>
      <c r="O102" s="58">
        <f>HLOOKUP('Withdrawal Working'!O$2,'Yoy WAR OG'!$J$3:$FA$79,MATCH('Withdrawal Working'!$A102,'Yoy WAR OG'!$J$3:$J$79,0),0)</f>
        <v>0</v>
      </c>
      <c r="P102" s="58">
        <f t="shared" ca="1" si="30"/>
        <v>0</v>
      </c>
      <c r="Q102" s="58">
        <f>HLOOKUP('Withdrawal Working'!Q$2,'Yoy WAR OG'!$J$3:$FA$79,MATCH('Withdrawal Working'!$A102,'Yoy WAR OG'!$J$3:$J$79,0),0)</f>
        <v>0</v>
      </c>
      <c r="R102" s="58">
        <f t="shared" ca="1" si="31"/>
        <v>0</v>
      </c>
      <c r="S102" s="58">
        <f>HLOOKUP('Withdrawal Working'!S$2,'Yoy WAR OG'!$J$3:$FA$79,MATCH('Withdrawal Working'!$A102,'Yoy WAR OG'!$J$3:$J$79,0),0)</f>
        <v>0</v>
      </c>
      <c r="T102" s="58">
        <f t="shared" ca="1" si="32"/>
        <v>0</v>
      </c>
      <c r="U102" s="58">
        <f>HLOOKUP('Withdrawal Working'!U$2,'Yoy WAR OG'!$J$3:$FA$79,MATCH('Withdrawal Working'!$A102,'Yoy WAR OG'!$J$3:$J$79,0),0)</f>
        <v>0</v>
      </c>
      <c r="V102" s="58">
        <f t="shared" ca="1" si="33"/>
        <v>0</v>
      </c>
    </row>
    <row r="103" spans="1:35" x14ac:dyDescent="0.3">
      <c r="A103">
        <f>'Yoy WAR OG'!J104</f>
        <v>0</v>
      </c>
      <c r="B103" s="58">
        <f>'Yoy WAR OG'!M104</f>
        <v>0</v>
      </c>
      <c r="C103" s="58">
        <f>HLOOKUP('Withdrawal Working'!C$2,'Yoy WAR OG'!$J$3:$FA$79,MATCH('Withdrawal Working'!$A103,'Yoy WAR OG'!$J$3:$J$79,0),0)</f>
        <v>0</v>
      </c>
      <c r="D103" s="58">
        <f t="shared" si="24"/>
        <v>0</v>
      </c>
      <c r="E103" s="58">
        <f>HLOOKUP('Withdrawal Working'!E$2,'Yoy WAR OG'!$J$3:$FA$79,MATCH('Withdrawal Working'!$A103,'Yoy WAR OG'!$J$3:$J$79,0),0)</f>
        <v>0</v>
      </c>
      <c r="F103" s="58">
        <f t="shared" si="25"/>
        <v>0</v>
      </c>
      <c r="G103" s="58">
        <f>HLOOKUP('Withdrawal Working'!G$2,'Yoy WAR OG'!$J$3:$FA$79,MATCH('Withdrawal Working'!$A103,'Yoy WAR OG'!$J$3:$J$79,0),0)</f>
        <v>0</v>
      </c>
      <c r="H103" s="58">
        <f t="shared" si="26"/>
        <v>0</v>
      </c>
      <c r="I103" s="58">
        <f>HLOOKUP('Withdrawal Working'!I$2,'Yoy WAR OG'!$J$3:$FA$79,MATCH('Withdrawal Working'!$A103,'Yoy WAR OG'!$J$3:$J$79,0),0)</f>
        <v>0</v>
      </c>
      <c r="J103" s="58">
        <f t="shared" si="27"/>
        <v>0</v>
      </c>
      <c r="K103" s="58">
        <f ca="1">HLOOKUP('Withdrawal Working'!K$2,'Yoy WAR OG'!$J$3:$FA$79,MATCH('Withdrawal Working'!$A103,'Yoy WAR OG'!$J$3:$J$79,0),0)</f>
        <v>0</v>
      </c>
      <c r="L103" s="58">
        <f t="shared" ca="1" si="28"/>
        <v>0</v>
      </c>
      <c r="M103" s="58">
        <f ca="1">HLOOKUP('Withdrawal Working'!M$2,'Yoy WAR OG'!$J$3:$FA$79,MATCH('Withdrawal Working'!$A103,'Yoy WAR OG'!$J$3:$J$79,0),0)</f>
        <v>0</v>
      </c>
      <c r="N103" s="58">
        <f t="shared" ca="1" si="29"/>
        <v>0</v>
      </c>
      <c r="O103" s="58">
        <f>HLOOKUP('Withdrawal Working'!O$2,'Yoy WAR OG'!$J$3:$FA$79,MATCH('Withdrawal Working'!$A103,'Yoy WAR OG'!$J$3:$J$79,0),0)</f>
        <v>0</v>
      </c>
      <c r="P103" s="58">
        <f t="shared" ca="1" si="30"/>
        <v>0</v>
      </c>
      <c r="Q103" s="58">
        <f>HLOOKUP('Withdrawal Working'!Q$2,'Yoy WAR OG'!$J$3:$FA$79,MATCH('Withdrawal Working'!$A103,'Yoy WAR OG'!$J$3:$J$79,0),0)</f>
        <v>0</v>
      </c>
      <c r="R103" s="58">
        <f t="shared" ca="1" si="31"/>
        <v>0</v>
      </c>
      <c r="S103" s="58">
        <f>HLOOKUP('Withdrawal Working'!S$2,'Yoy WAR OG'!$J$3:$FA$79,MATCH('Withdrawal Working'!$A103,'Yoy WAR OG'!$J$3:$J$79,0),0)</f>
        <v>0</v>
      </c>
      <c r="T103" s="58">
        <f t="shared" ca="1" si="32"/>
        <v>0</v>
      </c>
      <c r="U103" s="58">
        <f>HLOOKUP('Withdrawal Working'!U$2,'Yoy WAR OG'!$J$3:$FA$79,MATCH('Withdrawal Working'!$A103,'Yoy WAR OG'!$J$3:$J$79,0),0)</f>
        <v>0</v>
      </c>
      <c r="V103" s="58">
        <f t="shared" ca="1" si="33"/>
        <v>0</v>
      </c>
    </row>
    <row r="104" spans="1:35" x14ac:dyDescent="0.3">
      <c r="A104">
        <f>'Yoy WAR OG'!J105</f>
        <v>0</v>
      </c>
      <c r="B104" s="58">
        <f>'Yoy WAR OG'!M105</f>
        <v>0</v>
      </c>
      <c r="C104" s="58">
        <f>HLOOKUP('Withdrawal Working'!C$2,'Yoy WAR OG'!$J$3:$FA$79,MATCH('Withdrawal Working'!$A104,'Yoy WAR OG'!$J$3:$J$79,0),0)</f>
        <v>0</v>
      </c>
      <c r="D104" s="58">
        <f t="shared" si="24"/>
        <v>0</v>
      </c>
      <c r="E104" s="58">
        <f>HLOOKUP('Withdrawal Working'!E$2,'Yoy WAR OG'!$J$3:$FA$79,MATCH('Withdrawal Working'!$A104,'Yoy WAR OG'!$J$3:$J$79,0),0)</f>
        <v>0</v>
      </c>
      <c r="F104" s="58">
        <f t="shared" si="25"/>
        <v>0</v>
      </c>
      <c r="G104" s="58">
        <f>HLOOKUP('Withdrawal Working'!G$2,'Yoy WAR OG'!$J$3:$FA$79,MATCH('Withdrawal Working'!$A104,'Yoy WAR OG'!$J$3:$J$79,0),0)</f>
        <v>0</v>
      </c>
      <c r="H104" s="58">
        <f t="shared" si="26"/>
        <v>0</v>
      </c>
      <c r="I104" s="58">
        <f>HLOOKUP('Withdrawal Working'!I$2,'Yoy WAR OG'!$J$3:$FA$79,MATCH('Withdrawal Working'!$A104,'Yoy WAR OG'!$J$3:$J$79,0),0)</f>
        <v>0</v>
      </c>
      <c r="J104" s="58">
        <f t="shared" si="27"/>
        <v>0</v>
      </c>
      <c r="K104" s="58">
        <f ca="1">HLOOKUP('Withdrawal Working'!K$2,'Yoy WAR OG'!$J$3:$FA$79,MATCH('Withdrawal Working'!$A104,'Yoy WAR OG'!$J$3:$J$79,0),0)</f>
        <v>0</v>
      </c>
      <c r="L104" s="58">
        <f t="shared" ca="1" si="28"/>
        <v>0</v>
      </c>
      <c r="M104" s="58">
        <f ca="1">HLOOKUP('Withdrawal Working'!M$2,'Yoy WAR OG'!$J$3:$FA$79,MATCH('Withdrawal Working'!$A104,'Yoy WAR OG'!$J$3:$J$79,0),0)</f>
        <v>0</v>
      </c>
      <c r="N104" s="58">
        <f t="shared" ca="1" si="29"/>
        <v>0</v>
      </c>
      <c r="O104" s="58">
        <f>HLOOKUP('Withdrawal Working'!O$2,'Yoy WAR OG'!$J$3:$FA$79,MATCH('Withdrawal Working'!$A104,'Yoy WAR OG'!$J$3:$J$79,0),0)</f>
        <v>0</v>
      </c>
      <c r="P104" s="58">
        <f t="shared" ca="1" si="30"/>
        <v>0</v>
      </c>
      <c r="Q104" s="58">
        <f>HLOOKUP('Withdrawal Working'!Q$2,'Yoy WAR OG'!$J$3:$FA$79,MATCH('Withdrawal Working'!$A104,'Yoy WAR OG'!$J$3:$J$79,0),0)</f>
        <v>0</v>
      </c>
      <c r="R104" s="58">
        <f t="shared" ca="1" si="31"/>
        <v>0</v>
      </c>
      <c r="S104" s="58">
        <f>HLOOKUP('Withdrawal Working'!S$2,'Yoy WAR OG'!$J$3:$FA$79,MATCH('Withdrawal Working'!$A104,'Yoy WAR OG'!$J$3:$J$79,0),0)</f>
        <v>0</v>
      </c>
      <c r="T104" s="58">
        <f t="shared" ca="1" si="32"/>
        <v>0</v>
      </c>
      <c r="U104" s="58">
        <f>HLOOKUP('Withdrawal Working'!U$2,'Yoy WAR OG'!$J$3:$FA$79,MATCH('Withdrawal Working'!$A104,'Yoy WAR OG'!$J$3:$J$79,0),0)</f>
        <v>0</v>
      </c>
      <c r="V104" s="58">
        <f t="shared" ca="1" si="33"/>
        <v>0</v>
      </c>
    </row>
    <row r="105" spans="1:35" x14ac:dyDescent="0.3">
      <c r="A105">
        <f>'Yoy WAR OG'!J106</f>
        <v>0</v>
      </c>
      <c r="B105" s="58">
        <f>'Yoy WAR OG'!M106</f>
        <v>0</v>
      </c>
      <c r="C105" s="58">
        <f>HLOOKUP('Withdrawal Working'!C$2,'Yoy WAR OG'!$J$3:$FA$79,MATCH('Withdrawal Working'!$A105,'Yoy WAR OG'!$J$3:$J$79,0),0)</f>
        <v>0</v>
      </c>
      <c r="D105" s="58">
        <f t="shared" si="24"/>
        <v>0</v>
      </c>
      <c r="E105" s="58">
        <f>HLOOKUP('Withdrawal Working'!E$2,'Yoy WAR OG'!$J$3:$FA$79,MATCH('Withdrawal Working'!$A105,'Yoy WAR OG'!$J$3:$J$79,0),0)</f>
        <v>0</v>
      </c>
      <c r="F105" s="58">
        <f t="shared" si="25"/>
        <v>0</v>
      </c>
      <c r="G105" s="58">
        <f>HLOOKUP('Withdrawal Working'!G$2,'Yoy WAR OG'!$J$3:$FA$79,MATCH('Withdrawal Working'!$A105,'Yoy WAR OG'!$J$3:$J$79,0),0)</f>
        <v>0</v>
      </c>
      <c r="H105" s="58">
        <f t="shared" si="26"/>
        <v>0</v>
      </c>
      <c r="I105" s="58">
        <f>HLOOKUP('Withdrawal Working'!I$2,'Yoy WAR OG'!$J$3:$FA$79,MATCH('Withdrawal Working'!$A105,'Yoy WAR OG'!$J$3:$J$79,0),0)</f>
        <v>0</v>
      </c>
      <c r="J105" s="58">
        <f t="shared" si="27"/>
        <v>0</v>
      </c>
      <c r="K105" s="58">
        <f ca="1">HLOOKUP('Withdrawal Working'!K$2,'Yoy WAR OG'!$J$3:$FA$79,MATCH('Withdrawal Working'!$A105,'Yoy WAR OG'!$J$3:$J$79,0),0)</f>
        <v>0</v>
      </c>
      <c r="L105" s="58">
        <f t="shared" ca="1" si="28"/>
        <v>0</v>
      </c>
      <c r="M105" s="58">
        <f ca="1">HLOOKUP('Withdrawal Working'!M$2,'Yoy WAR OG'!$J$3:$FA$79,MATCH('Withdrawal Working'!$A105,'Yoy WAR OG'!$J$3:$J$79,0),0)</f>
        <v>0</v>
      </c>
      <c r="N105" s="58">
        <f t="shared" ca="1" si="29"/>
        <v>0</v>
      </c>
      <c r="O105" s="58">
        <f>HLOOKUP('Withdrawal Working'!O$2,'Yoy WAR OG'!$J$3:$FA$79,MATCH('Withdrawal Working'!$A105,'Yoy WAR OG'!$J$3:$J$79,0),0)</f>
        <v>0</v>
      </c>
      <c r="P105" s="58">
        <f t="shared" ca="1" si="30"/>
        <v>0</v>
      </c>
      <c r="Q105" s="58">
        <f>HLOOKUP('Withdrawal Working'!Q$2,'Yoy WAR OG'!$J$3:$FA$79,MATCH('Withdrawal Working'!$A105,'Yoy WAR OG'!$J$3:$J$79,0),0)</f>
        <v>0</v>
      </c>
      <c r="R105" s="58">
        <f t="shared" ca="1" si="31"/>
        <v>0</v>
      </c>
      <c r="S105" s="58">
        <f>HLOOKUP('Withdrawal Working'!S$2,'Yoy WAR OG'!$J$3:$FA$79,MATCH('Withdrawal Working'!$A105,'Yoy WAR OG'!$J$3:$J$79,0),0)</f>
        <v>0</v>
      </c>
      <c r="T105" s="58">
        <f t="shared" ca="1" si="32"/>
        <v>0</v>
      </c>
      <c r="U105" s="58">
        <f>HLOOKUP('Withdrawal Working'!U$2,'Yoy WAR OG'!$J$3:$FA$79,MATCH('Withdrawal Working'!$A105,'Yoy WAR OG'!$J$3:$J$79,0),0)</f>
        <v>0</v>
      </c>
      <c r="V105" s="58">
        <f t="shared" ca="1" si="33"/>
        <v>0</v>
      </c>
    </row>
    <row r="106" spans="1:35" x14ac:dyDescent="0.3">
      <c r="A106">
        <f>'Yoy WAR OG'!J107</f>
        <v>0</v>
      </c>
      <c r="B106" s="58">
        <f>'Yoy WAR OG'!M107</f>
        <v>0</v>
      </c>
      <c r="C106" s="58">
        <f>HLOOKUP('Withdrawal Working'!C$2,'Yoy WAR OG'!$J$3:$FA$79,MATCH('Withdrawal Working'!$A106,'Yoy WAR OG'!$J$3:$J$79,0),0)</f>
        <v>0</v>
      </c>
      <c r="D106" s="58">
        <f t="shared" si="24"/>
        <v>0</v>
      </c>
      <c r="E106" s="58">
        <f>HLOOKUP('Withdrawal Working'!E$2,'Yoy WAR OG'!$J$3:$FA$79,MATCH('Withdrawal Working'!$A106,'Yoy WAR OG'!$J$3:$J$79,0),0)</f>
        <v>0</v>
      </c>
      <c r="F106" s="58">
        <f t="shared" si="25"/>
        <v>0</v>
      </c>
      <c r="G106" s="58">
        <f>HLOOKUP('Withdrawal Working'!G$2,'Yoy WAR OG'!$J$3:$FA$79,MATCH('Withdrawal Working'!$A106,'Yoy WAR OG'!$J$3:$J$79,0),0)</f>
        <v>0</v>
      </c>
      <c r="H106" s="58">
        <f t="shared" si="26"/>
        <v>0</v>
      </c>
      <c r="I106" s="58">
        <f>HLOOKUP('Withdrawal Working'!I$2,'Yoy WAR OG'!$J$3:$FA$79,MATCH('Withdrawal Working'!$A106,'Yoy WAR OG'!$J$3:$J$79,0),0)</f>
        <v>0</v>
      </c>
      <c r="J106" s="58">
        <f t="shared" si="27"/>
        <v>0</v>
      </c>
      <c r="K106" s="58">
        <f ca="1">HLOOKUP('Withdrawal Working'!K$2,'Yoy WAR OG'!$J$3:$FA$79,MATCH('Withdrawal Working'!$A106,'Yoy WAR OG'!$J$3:$J$79,0),0)</f>
        <v>0</v>
      </c>
      <c r="L106" s="58">
        <f t="shared" ca="1" si="28"/>
        <v>0</v>
      </c>
      <c r="M106" s="58">
        <f ca="1">HLOOKUP('Withdrawal Working'!M$2,'Yoy WAR OG'!$J$3:$FA$79,MATCH('Withdrawal Working'!$A106,'Yoy WAR OG'!$J$3:$J$79,0),0)</f>
        <v>0</v>
      </c>
      <c r="N106" s="58">
        <f t="shared" ca="1" si="29"/>
        <v>0</v>
      </c>
      <c r="O106" s="58">
        <f>HLOOKUP('Withdrawal Working'!O$2,'Yoy WAR OG'!$J$3:$FA$79,MATCH('Withdrawal Working'!$A106,'Yoy WAR OG'!$J$3:$J$79,0),0)</f>
        <v>0</v>
      </c>
      <c r="P106" s="58">
        <f t="shared" ca="1" si="30"/>
        <v>0</v>
      </c>
      <c r="Q106" s="58">
        <f>HLOOKUP('Withdrawal Working'!Q$2,'Yoy WAR OG'!$J$3:$FA$79,MATCH('Withdrawal Working'!$A106,'Yoy WAR OG'!$J$3:$J$79,0),0)</f>
        <v>0</v>
      </c>
      <c r="R106" s="58">
        <f t="shared" ca="1" si="31"/>
        <v>0</v>
      </c>
      <c r="S106" s="58">
        <f>HLOOKUP('Withdrawal Working'!S$2,'Yoy WAR OG'!$J$3:$FA$79,MATCH('Withdrawal Working'!$A106,'Yoy WAR OG'!$J$3:$J$79,0),0)</f>
        <v>0</v>
      </c>
      <c r="T106" s="58">
        <f t="shared" ca="1" si="32"/>
        <v>0</v>
      </c>
      <c r="U106" s="58">
        <f>HLOOKUP('Withdrawal Working'!U$2,'Yoy WAR OG'!$J$3:$FA$79,MATCH('Withdrawal Working'!$A106,'Yoy WAR OG'!$J$3:$J$79,0),0)</f>
        <v>0</v>
      </c>
      <c r="V106" s="58">
        <f t="shared" ca="1" si="33"/>
        <v>0</v>
      </c>
    </row>
    <row r="107" spans="1:35" x14ac:dyDescent="0.3">
      <c r="A107">
        <f>'Yoy WAR OG'!J108</f>
        <v>0</v>
      </c>
      <c r="B107" s="58">
        <f>'Yoy WAR OG'!M108</f>
        <v>0</v>
      </c>
      <c r="C107" s="58">
        <f>HLOOKUP('Withdrawal Working'!C$2,'Yoy WAR OG'!$J$3:$FA$79,MATCH('Withdrawal Working'!$A107,'Yoy WAR OG'!$J$3:$J$79,0),0)</f>
        <v>0</v>
      </c>
      <c r="D107" s="58">
        <f t="shared" si="24"/>
        <v>0</v>
      </c>
      <c r="E107" s="58">
        <f>HLOOKUP('Withdrawal Working'!E$2,'Yoy WAR OG'!$J$3:$FA$79,MATCH('Withdrawal Working'!$A107,'Yoy WAR OG'!$J$3:$J$79,0),0)</f>
        <v>0</v>
      </c>
      <c r="F107" s="58">
        <f t="shared" si="25"/>
        <v>0</v>
      </c>
      <c r="G107" s="58">
        <f>HLOOKUP('Withdrawal Working'!G$2,'Yoy WAR OG'!$J$3:$FA$79,MATCH('Withdrawal Working'!$A107,'Yoy WAR OG'!$J$3:$J$79,0),0)</f>
        <v>0</v>
      </c>
      <c r="H107" s="58">
        <f t="shared" si="26"/>
        <v>0</v>
      </c>
      <c r="I107" s="58">
        <f>HLOOKUP('Withdrawal Working'!I$2,'Yoy WAR OG'!$J$3:$FA$79,MATCH('Withdrawal Working'!$A107,'Yoy WAR OG'!$J$3:$J$79,0),0)</f>
        <v>0</v>
      </c>
      <c r="J107" s="58">
        <f t="shared" si="27"/>
        <v>0</v>
      </c>
      <c r="K107" s="58">
        <f ca="1">HLOOKUP('Withdrawal Working'!K$2,'Yoy WAR OG'!$J$3:$FA$79,MATCH('Withdrawal Working'!$A107,'Yoy WAR OG'!$J$3:$J$79,0),0)</f>
        <v>0</v>
      </c>
      <c r="L107" s="58">
        <f t="shared" ca="1" si="28"/>
        <v>0</v>
      </c>
      <c r="M107" s="58">
        <f ca="1">HLOOKUP('Withdrawal Working'!M$2,'Yoy WAR OG'!$J$3:$FA$79,MATCH('Withdrawal Working'!$A107,'Yoy WAR OG'!$J$3:$J$79,0),0)</f>
        <v>0</v>
      </c>
      <c r="N107" s="58">
        <f t="shared" ca="1" si="29"/>
        <v>0</v>
      </c>
      <c r="O107" s="58">
        <f>HLOOKUP('Withdrawal Working'!O$2,'Yoy WAR OG'!$J$3:$FA$79,MATCH('Withdrawal Working'!$A107,'Yoy WAR OG'!$J$3:$J$79,0),0)</f>
        <v>0</v>
      </c>
      <c r="P107" s="58">
        <f t="shared" ca="1" si="30"/>
        <v>0</v>
      </c>
      <c r="Q107" s="58">
        <f>HLOOKUP('Withdrawal Working'!Q$2,'Yoy WAR OG'!$J$3:$FA$79,MATCH('Withdrawal Working'!$A107,'Yoy WAR OG'!$J$3:$J$79,0),0)</f>
        <v>0</v>
      </c>
      <c r="R107" s="58">
        <f t="shared" ca="1" si="31"/>
        <v>0</v>
      </c>
      <c r="S107" s="58">
        <f>HLOOKUP('Withdrawal Working'!S$2,'Yoy WAR OG'!$J$3:$FA$79,MATCH('Withdrawal Working'!$A107,'Yoy WAR OG'!$J$3:$J$79,0),0)</f>
        <v>0</v>
      </c>
      <c r="T107" s="58">
        <f t="shared" ca="1" si="32"/>
        <v>0</v>
      </c>
      <c r="U107" s="58">
        <f>HLOOKUP('Withdrawal Working'!U$2,'Yoy WAR OG'!$J$3:$FA$79,MATCH('Withdrawal Working'!$A107,'Yoy WAR OG'!$J$3:$J$79,0),0)</f>
        <v>0</v>
      </c>
      <c r="V107" s="58">
        <f t="shared" ca="1" si="33"/>
        <v>0</v>
      </c>
    </row>
    <row r="108" spans="1:35" x14ac:dyDescent="0.3">
      <c r="A108">
        <f>'Yoy WAR OG'!J109</f>
        <v>0</v>
      </c>
      <c r="B108" s="58">
        <f>'Yoy WAR OG'!M109</f>
        <v>0</v>
      </c>
      <c r="C108" s="58">
        <f>HLOOKUP('Withdrawal Working'!C$2,'Yoy WAR OG'!$J$3:$FA$79,MATCH('Withdrawal Working'!$A108,'Yoy WAR OG'!$J$3:$J$79,0),0)</f>
        <v>0</v>
      </c>
      <c r="D108" s="58">
        <f t="shared" si="24"/>
        <v>0</v>
      </c>
      <c r="E108" s="58">
        <f>HLOOKUP('Withdrawal Working'!E$2,'Yoy WAR OG'!$J$3:$FA$79,MATCH('Withdrawal Working'!$A108,'Yoy WAR OG'!$J$3:$J$79,0),0)</f>
        <v>0</v>
      </c>
      <c r="F108" s="58">
        <f t="shared" si="25"/>
        <v>0</v>
      </c>
      <c r="G108" s="58">
        <f>HLOOKUP('Withdrawal Working'!G$2,'Yoy WAR OG'!$J$3:$FA$79,MATCH('Withdrawal Working'!$A108,'Yoy WAR OG'!$J$3:$J$79,0),0)</f>
        <v>0</v>
      </c>
      <c r="H108" s="58">
        <f t="shared" si="26"/>
        <v>0</v>
      </c>
      <c r="I108" s="58">
        <f>HLOOKUP('Withdrawal Working'!I$2,'Yoy WAR OG'!$J$3:$FA$79,MATCH('Withdrawal Working'!$A108,'Yoy WAR OG'!$J$3:$J$79,0),0)</f>
        <v>0</v>
      </c>
      <c r="J108" s="58">
        <f t="shared" si="27"/>
        <v>0</v>
      </c>
      <c r="K108" s="58">
        <f ca="1">HLOOKUP('Withdrawal Working'!K$2,'Yoy WAR OG'!$J$3:$FA$79,MATCH('Withdrawal Working'!$A108,'Yoy WAR OG'!$J$3:$J$79,0),0)</f>
        <v>0</v>
      </c>
      <c r="L108" s="58">
        <f t="shared" ca="1" si="28"/>
        <v>0</v>
      </c>
      <c r="M108" s="58">
        <f ca="1">HLOOKUP('Withdrawal Working'!M$2,'Yoy WAR OG'!$J$3:$FA$79,MATCH('Withdrawal Working'!$A108,'Yoy WAR OG'!$J$3:$J$79,0),0)</f>
        <v>0</v>
      </c>
      <c r="N108" s="58">
        <f t="shared" ca="1" si="29"/>
        <v>0</v>
      </c>
      <c r="O108" s="58">
        <f>HLOOKUP('Withdrawal Working'!O$2,'Yoy WAR OG'!$J$3:$FA$79,MATCH('Withdrawal Working'!$A108,'Yoy WAR OG'!$J$3:$J$79,0),0)</f>
        <v>0</v>
      </c>
      <c r="P108" s="58">
        <f t="shared" ca="1" si="30"/>
        <v>0</v>
      </c>
      <c r="Q108" s="58">
        <f>HLOOKUP('Withdrawal Working'!Q$2,'Yoy WAR OG'!$J$3:$FA$79,MATCH('Withdrawal Working'!$A108,'Yoy WAR OG'!$J$3:$J$79,0),0)</f>
        <v>0</v>
      </c>
      <c r="R108" s="58">
        <f t="shared" ca="1" si="31"/>
        <v>0</v>
      </c>
      <c r="S108" s="58">
        <f>HLOOKUP('Withdrawal Working'!S$2,'Yoy WAR OG'!$J$3:$FA$79,MATCH('Withdrawal Working'!$A108,'Yoy WAR OG'!$J$3:$J$79,0),0)</f>
        <v>0</v>
      </c>
      <c r="T108" s="58">
        <f t="shared" ca="1" si="32"/>
        <v>0</v>
      </c>
      <c r="U108" s="58">
        <f>HLOOKUP('Withdrawal Working'!U$2,'Yoy WAR OG'!$J$3:$FA$79,MATCH('Withdrawal Working'!$A108,'Yoy WAR OG'!$J$3:$J$79,0),0)</f>
        <v>0</v>
      </c>
      <c r="V108" s="58">
        <f t="shared" ca="1" si="33"/>
        <v>0</v>
      </c>
    </row>
    <row r="109" spans="1:35" x14ac:dyDescent="0.3">
      <c r="A109">
        <f>'Yoy WAR OG'!J110</f>
        <v>0</v>
      </c>
      <c r="B109" s="58">
        <f>'Yoy WAR OG'!M110</f>
        <v>0</v>
      </c>
      <c r="C109" s="58">
        <f>HLOOKUP('Withdrawal Working'!C$2,'Yoy WAR OG'!$J$3:$FA$79,MATCH('Withdrawal Working'!$A109,'Yoy WAR OG'!$J$3:$J$79,0),0)</f>
        <v>0</v>
      </c>
      <c r="D109" s="58">
        <f t="shared" si="24"/>
        <v>0</v>
      </c>
      <c r="E109" s="58">
        <f>HLOOKUP('Withdrawal Working'!E$2,'Yoy WAR OG'!$J$3:$FA$79,MATCH('Withdrawal Working'!$A109,'Yoy WAR OG'!$J$3:$J$79,0),0)</f>
        <v>0</v>
      </c>
      <c r="F109" s="58">
        <f t="shared" si="25"/>
        <v>0</v>
      </c>
      <c r="G109" s="58">
        <f>HLOOKUP('Withdrawal Working'!G$2,'Yoy WAR OG'!$J$3:$FA$79,MATCH('Withdrawal Working'!$A109,'Yoy WAR OG'!$J$3:$J$79,0),0)</f>
        <v>0</v>
      </c>
      <c r="H109" s="58">
        <f t="shared" si="26"/>
        <v>0</v>
      </c>
      <c r="I109" s="58">
        <f>HLOOKUP('Withdrawal Working'!I$2,'Yoy WAR OG'!$J$3:$FA$79,MATCH('Withdrawal Working'!$A109,'Yoy WAR OG'!$J$3:$J$79,0),0)</f>
        <v>0</v>
      </c>
      <c r="J109" s="58">
        <f t="shared" si="27"/>
        <v>0</v>
      </c>
      <c r="K109" s="58">
        <f ca="1">HLOOKUP('Withdrawal Working'!K$2,'Yoy WAR OG'!$J$3:$FA$79,MATCH('Withdrawal Working'!$A109,'Yoy WAR OG'!$J$3:$J$79,0),0)</f>
        <v>0</v>
      </c>
      <c r="L109" s="58">
        <f t="shared" ca="1" si="28"/>
        <v>0</v>
      </c>
      <c r="M109" s="58">
        <f ca="1">HLOOKUP('Withdrawal Working'!M$2,'Yoy WAR OG'!$J$3:$FA$79,MATCH('Withdrawal Working'!$A109,'Yoy WAR OG'!$J$3:$J$79,0),0)</f>
        <v>0</v>
      </c>
      <c r="N109" s="58">
        <f t="shared" ca="1" si="29"/>
        <v>0</v>
      </c>
      <c r="O109" s="58">
        <f>HLOOKUP('Withdrawal Working'!O$2,'Yoy WAR OG'!$J$3:$FA$79,MATCH('Withdrawal Working'!$A109,'Yoy WAR OG'!$J$3:$J$79,0),0)</f>
        <v>0</v>
      </c>
      <c r="P109" s="58">
        <f t="shared" ca="1" si="30"/>
        <v>0</v>
      </c>
      <c r="Q109" s="58">
        <f>HLOOKUP('Withdrawal Working'!Q$2,'Yoy WAR OG'!$J$3:$FA$79,MATCH('Withdrawal Working'!$A109,'Yoy WAR OG'!$J$3:$J$79,0),0)</f>
        <v>0</v>
      </c>
      <c r="R109" s="58">
        <f t="shared" ca="1" si="31"/>
        <v>0</v>
      </c>
      <c r="S109" s="58">
        <f>HLOOKUP('Withdrawal Working'!S$2,'Yoy WAR OG'!$J$3:$FA$79,MATCH('Withdrawal Working'!$A109,'Yoy WAR OG'!$J$3:$J$79,0),0)</f>
        <v>0</v>
      </c>
      <c r="T109" s="58">
        <f t="shared" ca="1" si="32"/>
        <v>0</v>
      </c>
      <c r="U109" s="58">
        <f>HLOOKUP('Withdrawal Working'!U$2,'Yoy WAR OG'!$J$3:$FA$79,MATCH('Withdrawal Working'!$A109,'Yoy WAR OG'!$J$3:$J$79,0),0)</f>
        <v>0</v>
      </c>
      <c r="V109" s="58">
        <f t="shared" ca="1" si="33"/>
        <v>0</v>
      </c>
    </row>
    <row r="110" spans="1:35" x14ac:dyDescent="0.3">
      <c r="A110">
        <f>'Yoy WAR OG'!J111</f>
        <v>0</v>
      </c>
      <c r="B110" s="58">
        <f>'Yoy WAR OG'!M111</f>
        <v>0</v>
      </c>
      <c r="C110" s="58">
        <f>HLOOKUP('Withdrawal Working'!C$2,'Yoy WAR OG'!$J$3:$FA$79,MATCH('Withdrawal Working'!$A110,'Yoy WAR OG'!$J$3:$J$79,0),0)</f>
        <v>0</v>
      </c>
      <c r="D110" s="58">
        <f t="shared" si="24"/>
        <v>0</v>
      </c>
      <c r="E110" s="58">
        <f>HLOOKUP('Withdrawal Working'!E$2,'Yoy WAR OG'!$J$3:$FA$79,MATCH('Withdrawal Working'!$A110,'Yoy WAR OG'!$J$3:$J$79,0),0)</f>
        <v>0</v>
      </c>
      <c r="F110" s="58">
        <f t="shared" si="25"/>
        <v>0</v>
      </c>
      <c r="G110" s="58">
        <f>HLOOKUP('Withdrawal Working'!G$2,'Yoy WAR OG'!$J$3:$FA$79,MATCH('Withdrawal Working'!$A110,'Yoy WAR OG'!$J$3:$J$79,0),0)</f>
        <v>0</v>
      </c>
      <c r="H110" s="58">
        <f t="shared" si="26"/>
        <v>0</v>
      </c>
      <c r="I110" s="58">
        <f>HLOOKUP('Withdrawal Working'!I$2,'Yoy WAR OG'!$J$3:$FA$79,MATCH('Withdrawal Working'!$A110,'Yoy WAR OG'!$J$3:$J$79,0),0)</f>
        <v>0</v>
      </c>
      <c r="J110" s="58">
        <f t="shared" si="27"/>
        <v>0</v>
      </c>
      <c r="K110" s="58">
        <f ca="1">HLOOKUP('Withdrawal Working'!K$2,'Yoy WAR OG'!$J$3:$FA$79,MATCH('Withdrawal Working'!$A110,'Yoy WAR OG'!$J$3:$J$79,0),0)</f>
        <v>0</v>
      </c>
      <c r="L110" s="58">
        <f t="shared" ca="1" si="28"/>
        <v>0</v>
      </c>
      <c r="M110" s="58">
        <f ca="1">HLOOKUP('Withdrawal Working'!M$2,'Yoy WAR OG'!$J$3:$FA$79,MATCH('Withdrawal Working'!$A110,'Yoy WAR OG'!$J$3:$J$79,0),0)</f>
        <v>0</v>
      </c>
      <c r="N110" s="58">
        <f t="shared" ca="1" si="29"/>
        <v>0</v>
      </c>
      <c r="O110" s="58">
        <f>HLOOKUP('Withdrawal Working'!O$2,'Yoy WAR OG'!$J$3:$FA$79,MATCH('Withdrawal Working'!$A110,'Yoy WAR OG'!$J$3:$J$79,0),0)</f>
        <v>0</v>
      </c>
      <c r="P110" s="58">
        <f t="shared" ca="1" si="30"/>
        <v>0</v>
      </c>
      <c r="Q110" s="58">
        <f>HLOOKUP('Withdrawal Working'!Q$2,'Yoy WAR OG'!$J$3:$FA$79,MATCH('Withdrawal Working'!$A110,'Yoy WAR OG'!$J$3:$J$79,0),0)</f>
        <v>0</v>
      </c>
      <c r="R110" s="58">
        <f t="shared" ca="1" si="31"/>
        <v>0</v>
      </c>
      <c r="S110" s="58">
        <f>HLOOKUP('Withdrawal Working'!S$2,'Yoy WAR OG'!$J$3:$FA$79,MATCH('Withdrawal Working'!$A110,'Yoy WAR OG'!$J$3:$J$79,0),0)</f>
        <v>0</v>
      </c>
      <c r="T110" s="58">
        <f t="shared" ca="1" si="32"/>
        <v>0</v>
      </c>
      <c r="U110" s="58">
        <f>HLOOKUP('Withdrawal Working'!U$2,'Yoy WAR OG'!$J$3:$FA$79,MATCH('Withdrawal Working'!$A110,'Yoy WAR OG'!$J$3:$J$79,0),0)</f>
        <v>0</v>
      </c>
      <c r="V110" s="58">
        <f t="shared" ca="1" si="33"/>
        <v>0</v>
      </c>
    </row>
    <row r="111" spans="1:35" x14ac:dyDescent="0.3">
      <c r="A111">
        <f>'Yoy WAR OG'!J112</f>
        <v>0</v>
      </c>
      <c r="B111" s="58">
        <f>'Yoy WAR OG'!M112</f>
        <v>0</v>
      </c>
      <c r="C111" s="58">
        <f>HLOOKUP('Withdrawal Working'!C$2,'Yoy WAR OG'!$J$3:$FA$79,MATCH('Withdrawal Working'!$A111,'Yoy WAR OG'!$J$3:$J$79,0),0)</f>
        <v>0</v>
      </c>
      <c r="D111" s="58">
        <f t="shared" si="24"/>
        <v>0</v>
      </c>
      <c r="E111" s="58">
        <f>HLOOKUP('Withdrawal Working'!E$2,'Yoy WAR OG'!$J$3:$FA$79,MATCH('Withdrawal Working'!$A111,'Yoy WAR OG'!$J$3:$J$79,0),0)</f>
        <v>0</v>
      </c>
      <c r="F111" s="58">
        <f t="shared" si="25"/>
        <v>0</v>
      </c>
      <c r="G111" s="58">
        <f>HLOOKUP('Withdrawal Working'!G$2,'Yoy WAR OG'!$J$3:$FA$79,MATCH('Withdrawal Working'!$A111,'Yoy WAR OG'!$J$3:$J$79,0),0)</f>
        <v>0</v>
      </c>
      <c r="H111" s="58">
        <f t="shared" si="26"/>
        <v>0</v>
      </c>
      <c r="I111" s="58">
        <f>HLOOKUP('Withdrawal Working'!I$2,'Yoy WAR OG'!$J$3:$FA$79,MATCH('Withdrawal Working'!$A111,'Yoy WAR OG'!$J$3:$J$79,0),0)</f>
        <v>0</v>
      </c>
      <c r="J111" s="58">
        <f t="shared" si="27"/>
        <v>0</v>
      </c>
      <c r="K111" s="58">
        <f ca="1">HLOOKUP('Withdrawal Working'!K$2,'Yoy WAR OG'!$J$3:$FA$79,MATCH('Withdrawal Working'!$A111,'Yoy WAR OG'!$J$3:$J$79,0),0)</f>
        <v>0</v>
      </c>
      <c r="L111" s="58">
        <f t="shared" ca="1" si="28"/>
        <v>0</v>
      </c>
      <c r="M111" s="58">
        <f ca="1">HLOOKUP('Withdrawal Working'!M$2,'Yoy WAR OG'!$J$3:$FA$79,MATCH('Withdrawal Working'!$A111,'Yoy WAR OG'!$J$3:$J$79,0),0)</f>
        <v>0</v>
      </c>
      <c r="N111" s="58">
        <f t="shared" ca="1" si="29"/>
        <v>0</v>
      </c>
      <c r="O111" s="58">
        <f>HLOOKUP('Withdrawal Working'!O$2,'Yoy WAR OG'!$J$3:$FA$79,MATCH('Withdrawal Working'!$A111,'Yoy WAR OG'!$J$3:$J$79,0),0)</f>
        <v>0</v>
      </c>
      <c r="P111" s="58">
        <f t="shared" ca="1" si="30"/>
        <v>0</v>
      </c>
      <c r="Q111" s="58">
        <f>HLOOKUP('Withdrawal Working'!Q$2,'Yoy WAR OG'!$J$3:$FA$79,MATCH('Withdrawal Working'!$A111,'Yoy WAR OG'!$J$3:$J$79,0),0)</f>
        <v>0</v>
      </c>
      <c r="R111" s="58">
        <f t="shared" ca="1" si="31"/>
        <v>0</v>
      </c>
      <c r="S111" s="58">
        <f>HLOOKUP('Withdrawal Working'!S$2,'Yoy WAR OG'!$J$3:$FA$79,MATCH('Withdrawal Working'!$A111,'Yoy WAR OG'!$J$3:$J$79,0),0)</f>
        <v>0</v>
      </c>
      <c r="T111" s="58">
        <f t="shared" ca="1" si="32"/>
        <v>0</v>
      </c>
      <c r="U111" s="58">
        <f>HLOOKUP('Withdrawal Working'!U$2,'Yoy WAR OG'!$J$3:$FA$79,MATCH('Withdrawal Working'!$A111,'Yoy WAR OG'!$J$3:$J$79,0),0)</f>
        <v>0</v>
      </c>
      <c r="V111" s="58">
        <f t="shared" ca="1" si="33"/>
        <v>0</v>
      </c>
    </row>
    <row r="112" spans="1:35" x14ac:dyDescent="0.3">
      <c r="A112">
        <f>'Yoy WAR OG'!J113</f>
        <v>0</v>
      </c>
      <c r="B112" s="58">
        <f>'Yoy WAR OG'!M113</f>
        <v>0</v>
      </c>
      <c r="C112" s="58">
        <f>HLOOKUP('Withdrawal Working'!C$2,'Yoy WAR OG'!$J$3:$FA$79,MATCH('Withdrawal Working'!$A112,'Yoy WAR OG'!$J$3:$J$79,0),0)</f>
        <v>0</v>
      </c>
      <c r="D112" s="58">
        <f t="shared" si="24"/>
        <v>0</v>
      </c>
      <c r="E112" s="58">
        <f>HLOOKUP('Withdrawal Working'!E$2,'Yoy WAR OG'!$J$3:$FA$79,MATCH('Withdrawal Working'!$A112,'Yoy WAR OG'!$J$3:$J$79,0),0)</f>
        <v>0</v>
      </c>
      <c r="F112" s="58">
        <f t="shared" si="25"/>
        <v>0</v>
      </c>
      <c r="G112" s="58">
        <f>HLOOKUP('Withdrawal Working'!G$2,'Yoy WAR OG'!$J$3:$FA$79,MATCH('Withdrawal Working'!$A112,'Yoy WAR OG'!$J$3:$J$79,0),0)</f>
        <v>0</v>
      </c>
      <c r="H112" s="58">
        <f t="shared" si="26"/>
        <v>0</v>
      </c>
      <c r="I112" s="58">
        <f>HLOOKUP('Withdrawal Working'!I$2,'Yoy WAR OG'!$J$3:$FA$79,MATCH('Withdrawal Working'!$A112,'Yoy WAR OG'!$J$3:$J$79,0),0)</f>
        <v>0</v>
      </c>
      <c r="J112" s="58">
        <f t="shared" si="27"/>
        <v>0</v>
      </c>
      <c r="K112" s="58">
        <f ca="1">HLOOKUP('Withdrawal Working'!K$2,'Yoy WAR OG'!$J$3:$FA$79,MATCH('Withdrawal Working'!$A112,'Yoy WAR OG'!$J$3:$J$79,0),0)</f>
        <v>0</v>
      </c>
      <c r="L112" s="58">
        <f t="shared" ca="1" si="28"/>
        <v>0</v>
      </c>
      <c r="M112" s="58">
        <f ca="1">HLOOKUP('Withdrawal Working'!M$2,'Yoy WAR OG'!$J$3:$FA$79,MATCH('Withdrawal Working'!$A112,'Yoy WAR OG'!$J$3:$J$79,0),0)</f>
        <v>0</v>
      </c>
      <c r="N112" s="58">
        <f t="shared" ca="1" si="29"/>
        <v>0</v>
      </c>
      <c r="O112" s="58">
        <f>HLOOKUP('Withdrawal Working'!O$2,'Yoy WAR OG'!$J$3:$FA$79,MATCH('Withdrawal Working'!$A112,'Yoy WAR OG'!$J$3:$J$79,0),0)</f>
        <v>0</v>
      </c>
      <c r="P112" s="58">
        <f t="shared" ca="1" si="30"/>
        <v>0</v>
      </c>
      <c r="Q112" s="58">
        <f>HLOOKUP('Withdrawal Working'!Q$2,'Yoy WAR OG'!$J$3:$FA$79,MATCH('Withdrawal Working'!$A112,'Yoy WAR OG'!$J$3:$J$79,0),0)</f>
        <v>0</v>
      </c>
      <c r="R112" s="58">
        <f t="shared" ca="1" si="31"/>
        <v>0</v>
      </c>
      <c r="S112" s="58">
        <f>HLOOKUP('Withdrawal Working'!S$2,'Yoy WAR OG'!$J$3:$FA$79,MATCH('Withdrawal Working'!$A112,'Yoy WAR OG'!$J$3:$J$79,0),0)</f>
        <v>0</v>
      </c>
      <c r="T112" s="58">
        <f t="shared" ca="1" si="32"/>
        <v>0</v>
      </c>
      <c r="U112" s="58">
        <f>HLOOKUP('Withdrawal Working'!U$2,'Yoy WAR OG'!$J$3:$FA$79,MATCH('Withdrawal Working'!$A112,'Yoy WAR OG'!$J$3:$J$79,0),0)</f>
        <v>0</v>
      </c>
      <c r="V112" s="58">
        <f t="shared" ca="1" si="33"/>
        <v>0</v>
      </c>
    </row>
    <row r="113" spans="1:22" x14ac:dyDescent="0.3">
      <c r="A113">
        <f>'Yoy WAR OG'!J114</f>
        <v>0</v>
      </c>
      <c r="B113" s="58">
        <f>'Yoy WAR OG'!M114</f>
        <v>0</v>
      </c>
      <c r="C113" s="58">
        <f>HLOOKUP('Withdrawal Working'!C$2,'Yoy WAR OG'!$J$3:$FA$79,MATCH('Withdrawal Working'!$A113,'Yoy WAR OG'!$J$3:$J$79,0),0)</f>
        <v>0</v>
      </c>
      <c r="D113" s="58">
        <f t="shared" si="24"/>
        <v>0</v>
      </c>
      <c r="E113" s="58">
        <f>HLOOKUP('Withdrawal Working'!E$2,'Yoy WAR OG'!$J$3:$FA$79,MATCH('Withdrawal Working'!$A113,'Yoy WAR OG'!$J$3:$J$79,0),0)</f>
        <v>0</v>
      </c>
      <c r="F113" s="58">
        <f t="shared" si="25"/>
        <v>0</v>
      </c>
      <c r="G113" s="58">
        <f>HLOOKUP('Withdrawal Working'!G$2,'Yoy WAR OG'!$J$3:$FA$79,MATCH('Withdrawal Working'!$A113,'Yoy WAR OG'!$J$3:$J$79,0),0)</f>
        <v>0</v>
      </c>
      <c r="H113" s="58">
        <f t="shared" si="26"/>
        <v>0</v>
      </c>
      <c r="I113" s="58">
        <f>HLOOKUP('Withdrawal Working'!I$2,'Yoy WAR OG'!$J$3:$FA$79,MATCH('Withdrawal Working'!$A113,'Yoy WAR OG'!$J$3:$J$79,0),0)</f>
        <v>0</v>
      </c>
      <c r="J113" s="58">
        <f t="shared" si="27"/>
        <v>0</v>
      </c>
      <c r="K113" s="58">
        <f ca="1">HLOOKUP('Withdrawal Working'!K$2,'Yoy WAR OG'!$J$3:$FA$79,MATCH('Withdrawal Working'!$A113,'Yoy WAR OG'!$J$3:$J$79,0),0)</f>
        <v>0</v>
      </c>
      <c r="L113" s="58">
        <f t="shared" ca="1" si="28"/>
        <v>0</v>
      </c>
      <c r="M113" s="58">
        <f ca="1">HLOOKUP('Withdrawal Working'!M$2,'Yoy WAR OG'!$J$3:$FA$79,MATCH('Withdrawal Working'!$A113,'Yoy WAR OG'!$J$3:$J$79,0),0)</f>
        <v>0</v>
      </c>
      <c r="N113" s="58">
        <f t="shared" ca="1" si="29"/>
        <v>0</v>
      </c>
      <c r="O113" s="58">
        <f>HLOOKUP('Withdrawal Working'!O$2,'Yoy WAR OG'!$J$3:$FA$79,MATCH('Withdrawal Working'!$A113,'Yoy WAR OG'!$J$3:$J$79,0),0)</f>
        <v>0</v>
      </c>
      <c r="P113" s="58">
        <f t="shared" ca="1" si="30"/>
        <v>0</v>
      </c>
      <c r="Q113" s="58">
        <f>HLOOKUP('Withdrawal Working'!Q$2,'Yoy WAR OG'!$J$3:$FA$79,MATCH('Withdrawal Working'!$A113,'Yoy WAR OG'!$J$3:$J$79,0),0)</f>
        <v>0</v>
      </c>
      <c r="R113" s="58">
        <f t="shared" ca="1" si="31"/>
        <v>0</v>
      </c>
      <c r="S113" s="58">
        <f>HLOOKUP('Withdrawal Working'!S$2,'Yoy WAR OG'!$J$3:$FA$79,MATCH('Withdrawal Working'!$A113,'Yoy WAR OG'!$J$3:$J$79,0),0)</f>
        <v>0</v>
      </c>
      <c r="T113" s="58">
        <f t="shared" ca="1" si="32"/>
        <v>0</v>
      </c>
      <c r="U113" s="58">
        <f>HLOOKUP('Withdrawal Working'!U$2,'Yoy WAR OG'!$J$3:$FA$79,MATCH('Withdrawal Working'!$A113,'Yoy WAR OG'!$J$3:$J$79,0),0)</f>
        <v>0</v>
      </c>
      <c r="V113" s="58">
        <f t="shared" ca="1" si="33"/>
        <v>0</v>
      </c>
    </row>
    <row r="114" spans="1:22" x14ac:dyDescent="0.3">
      <c r="A114">
        <f>'Yoy WAR OG'!J115</f>
        <v>0</v>
      </c>
      <c r="B114" s="58">
        <f>'Yoy WAR OG'!M115</f>
        <v>0</v>
      </c>
      <c r="C114" s="58">
        <f>HLOOKUP('Withdrawal Working'!C$2,'Yoy WAR OG'!$J$3:$FA$79,MATCH('Withdrawal Working'!$A114,'Yoy WAR OG'!$J$3:$J$79,0),0)</f>
        <v>0</v>
      </c>
      <c r="D114" s="58">
        <f t="shared" si="24"/>
        <v>0</v>
      </c>
      <c r="E114" s="58">
        <f>HLOOKUP('Withdrawal Working'!E$2,'Yoy WAR OG'!$J$3:$FA$79,MATCH('Withdrawal Working'!$A114,'Yoy WAR OG'!$J$3:$J$79,0),0)</f>
        <v>0</v>
      </c>
      <c r="F114" s="58">
        <f t="shared" si="25"/>
        <v>0</v>
      </c>
      <c r="G114" s="58">
        <f>HLOOKUP('Withdrawal Working'!G$2,'Yoy WAR OG'!$J$3:$FA$79,MATCH('Withdrawal Working'!$A114,'Yoy WAR OG'!$J$3:$J$79,0),0)</f>
        <v>0</v>
      </c>
      <c r="H114" s="58">
        <f t="shared" si="26"/>
        <v>0</v>
      </c>
      <c r="I114" s="58">
        <f>HLOOKUP('Withdrawal Working'!I$2,'Yoy WAR OG'!$J$3:$FA$79,MATCH('Withdrawal Working'!$A114,'Yoy WAR OG'!$J$3:$J$79,0),0)</f>
        <v>0</v>
      </c>
      <c r="J114" s="58">
        <f t="shared" si="27"/>
        <v>0</v>
      </c>
      <c r="K114" s="58">
        <f ca="1">HLOOKUP('Withdrawal Working'!K$2,'Yoy WAR OG'!$J$3:$FA$79,MATCH('Withdrawal Working'!$A114,'Yoy WAR OG'!$J$3:$J$79,0),0)</f>
        <v>0</v>
      </c>
      <c r="L114" s="58">
        <f t="shared" ca="1" si="28"/>
        <v>0</v>
      </c>
      <c r="M114" s="58">
        <f ca="1">HLOOKUP('Withdrawal Working'!M$2,'Yoy WAR OG'!$J$3:$FA$79,MATCH('Withdrawal Working'!$A114,'Yoy WAR OG'!$J$3:$J$79,0),0)</f>
        <v>0</v>
      </c>
      <c r="N114" s="58">
        <f t="shared" ca="1" si="29"/>
        <v>0</v>
      </c>
      <c r="O114" s="58">
        <f>HLOOKUP('Withdrawal Working'!O$2,'Yoy WAR OG'!$J$3:$FA$79,MATCH('Withdrawal Working'!$A114,'Yoy WAR OG'!$J$3:$J$79,0),0)</f>
        <v>0</v>
      </c>
      <c r="P114" s="58">
        <f t="shared" ca="1" si="30"/>
        <v>0</v>
      </c>
      <c r="Q114" s="58">
        <f>HLOOKUP('Withdrawal Working'!Q$2,'Yoy WAR OG'!$J$3:$FA$79,MATCH('Withdrawal Working'!$A114,'Yoy WAR OG'!$J$3:$J$79,0),0)</f>
        <v>0</v>
      </c>
      <c r="R114" s="58">
        <f t="shared" ca="1" si="31"/>
        <v>0</v>
      </c>
      <c r="S114" s="58">
        <f>HLOOKUP('Withdrawal Working'!S$2,'Yoy WAR OG'!$J$3:$FA$79,MATCH('Withdrawal Working'!$A114,'Yoy WAR OG'!$J$3:$J$79,0),0)</f>
        <v>0</v>
      </c>
      <c r="T114" s="58">
        <f t="shared" ca="1" si="32"/>
        <v>0</v>
      </c>
      <c r="U114" s="58">
        <f>HLOOKUP('Withdrawal Working'!U$2,'Yoy WAR OG'!$J$3:$FA$79,MATCH('Withdrawal Working'!$A114,'Yoy WAR OG'!$J$3:$J$79,0),0)</f>
        <v>0</v>
      </c>
      <c r="V114" s="58">
        <f t="shared" ca="1" si="33"/>
        <v>0</v>
      </c>
    </row>
    <row r="115" spans="1:22" x14ac:dyDescent="0.3">
      <c r="A115">
        <f>'Yoy WAR OG'!J116</f>
        <v>0</v>
      </c>
      <c r="B115" s="58">
        <f>'Yoy WAR OG'!M116</f>
        <v>0</v>
      </c>
      <c r="C115" s="58">
        <f>HLOOKUP('Withdrawal Working'!C$2,'Yoy WAR OG'!$J$3:$FA$79,MATCH('Withdrawal Working'!$A115,'Yoy WAR OG'!$J$3:$J$79,0),0)</f>
        <v>0</v>
      </c>
      <c r="D115" s="58">
        <f t="shared" si="24"/>
        <v>0</v>
      </c>
      <c r="E115" s="58">
        <f>HLOOKUP('Withdrawal Working'!E$2,'Yoy WAR OG'!$J$3:$FA$79,MATCH('Withdrawal Working'!$A115,'Yoy WAR OG'!$J$3:$J$79,0),0)</f>
        <v>0</v>
      </c>
      <c r="F115" s="58">
        <f t="shared" si="25"/>
        <v>0</v>
      </c>
      <c r="G115" s="58">
        <f>HLOOKUP('Withdrawal Working'!G$2,'Yoy WAR OG'!$J$3:$FA$79,MATCH('Withdrawal Working'!$A115,'Yoy WAR OG'!$J$3:$J$79,0),0)</f>
        <v>0</v>
      </c>
      <c r="H115" s="58">
        <f t="shared" si="26"/>
        <v>0</v>
      </c>
      <c r="I115" s="58">
        <f>HLOOKUP('Withdrawal Working'!I$2,'Yoy WAR OG'!$J$3:$FA$79,MATCH('Withdrawal Working'!$A115,'Yoy WAR OG'!$J$3:$J$79,0),0)</f>
        <v>0</v>
      </c>
      <c r="J115" s="58">
        <f t="shared" si="27"/>
        <v>0</v>
      </c>
      <c r="K115" s="58">
        <f ca="1">HLOOKUP('Withdrawal Working'!K$2,'Yoy WAR OG'!$J$3:$FA$79,MATCH('Withdrawal Working'!$A115,'Yoy WAR OG'!$J$3:$J$79,0),0)</f>
        <v>0</v>
      </c>
      <c r="L115" s="58">
        <f t="shared" ca="1" si="28"/>
        <v>0</v>
      </c>
      <c r="M115" s="58">
        <f ca="1">HLOOKUP('Withdrawal Working'!M$2,'Yoy WAR OG'!$J$3:$FA$79,MATCH('Withdrawal Working'!$A115,'Yoy WAR OG'!$J$3:$J$79,0),0)</f>
        <v>0</v>
      </c>
      <c r="N115" s="58">
        <f t="shared" ca="1" si="29"/>
        <v>0</v>
      </c>
      <c r="O115" s="58">
        <f>HLOOKUP('Withdrawal Working'!O$2,'Yoy WAR OG'!$J$3:$FA$79,MATCH('Withdrawal Working'!$A115,'Yoy WAR OG'!$J$3:$J$79,0),0)</f>
        <v>0</v>
      </c>
      <c r="P115" s="58">
        <f t="shared" ca="1" si="30"/>
        <v>0</v>
      </c>
      <c r="Q115" s="58">
        <f>HLOOKUP('Withdrawal Working'!Q$2,'Yoy WAR OG'!$J$3:$FA$79,MATCH('Withdrawal Working'!$A115,'Yoy WAR OG'!$J$3:$J$79,0),0)</f>
        <v>0</v>
      </c>
      <c r="R115" s="58">
        <f t="shared" ca="1" si="31"/>
        <v>0</v>
      </c>
      <c r="S115" s="58">
        <f>HLOOKUP('Withdrawal Working'!S$2,'Yoy WAR OG'!$J$3:$FA$79,MATCH('Withdrawal Working'!$A115,'Yoy WAR OG'!$J$3:$J$79,0),0)</f>
        <v>0</v>
      </c>
      <c r="T115" s="58">
        <f t="shared" ca="1" si="32"/>
        <v>0</v>
      </c>
      <c r="U115" s="58">
        <f>HLOOKUP('Withdrawal Working'!U$2,'Yoy WAR OG'!$J$3:$FA$79,MATCH('Withdrawal Working'!$A115,'Yoy WAR OG'!$J$3:$J$79,0),0)</f>
        <v>0</v>
      </c>
      <c r="V115" s="58">
        <f t="shared" ca="1" si="33"/>
        <v>0</v>
      </c>
    </row>
    <row r="116" spans="1:22" x14ac:dyDescent="0.3">
      <c r="A116">
        <f>'Yoy WAR OG'!J117</f>
        <v>0</v>
      </c>
      <c r="B116" s="58">
        <f>'Yoy WAR OG'!M117</f>
        <v>0</v>
      </c>
      <c r="C116" s="58">
        <f>HLOOKUP('Withdrawal Working'!C$2,'Yoy WAR OG'!$J$3:$FA$79,MATCH('Withdrawal Working'!$A116,'Yoy WAR OG'!$J$3:$J$79,0),0)</f>
        <v>0</v>
      </c>
      <c r="D116" s="58">
        <f t="shared" si="24"/>
        <v>0</v>
      </c>
      <c r="E116" s="58">
        <f>HLOOKUP('Withdrawal Working'!E$2,'Yoy WAR OG'!$J$3:$FA$79,MATCH('Withdrawal Working'!$A116,'Yoy WAR OG'!$J$3:$J$79,0),0)</f>
        <v>0</v>
      </c>
      <c r="F116" s="58">
        <f t="shared" si="25"/>
        <v>0</v>
      </c>
      <c r="G116" s="58">
        <f>HLOOKUP('Withdrawal Working'!G$2,'Yoy WAR OG'!$J$3:$FA$79,MATCH('Withdrawal Working'!$A116,'Yoy WAR OG'!$J$3:$J$79,0),0)</f>
        <v>0</v>
      </c>
      <c r="H116" s="58">
        <f t="shared" si="26"/>
        <v>0</v>
      </c>
      <c r="I116" s="58">
        <f>HLOOKUP('Withdrawal Working'!I$2,'Yoy WAR OG'!$J$3:$FA$79,MATCH('Withdrawal Working'!$A116,'Yoy WAR OG'!$J$3:$J$79,0),0)</f>
        <v>0</v>
      </c>
      <c r="J116" s="58">
        <f t="shared" si="27"/>
        <v>0</v>
      </c>
      <c r="K116" s="58">
        <f ca="1">HLOOKUP('Withdrawal Working'!K$2,'Yoy WAR OG'!$J$3:$FA$79,MATCH('Withdrawal Working'!$A116,'Yoy WAR OG'!$J$3:$J$79,0),0)</f>
        <v>0</v>
      </c>
      <c r="L116" s="58">
        <f t="shared" ca="1" si="28"/>
        <v>0</v>
      </c>
      <c r="M116" s="58">
        <f ca="1">HLOOKUP('Withdrawal Working'!M$2,'Yoy WAR OG'!$J$3:$FA$79,MATCH('Withdrawal Working'!$A116,'Yoy WAR OG'!$J$3:$J$79,0),0)</f>
        <v>0</v>
      </c>
      <c r="N116" s="58">
        <f t="shared" ca="1" si="29"/>
        <v>0</v>
      </c>
      <c r="O116" s="58">
        <f>HLOOKUP('Withdrawal Working'!O$2,'Yoy WAR OG'!$J$3:$FA$79,MATCH('Withdrawal Working'!$A116,'Yoy WAR OG'!$J$3:$J$79,0),0)</f>
        <v>0</v>
      </c>
      <c r="P116" s="58">
        <f t="shared" ca="1" si="30"/>
        <v>0</v>
      </c>
      <c r="Q116" s="58">
        <f>HLOOKUP('Withdrawal Working'!Q$2,'Yoy WAR OG'!$J$3:$FA$79,MATCH('Withdrawal Working'!$A116,'Yoy WAR OG'!$J$3:$J$79,0),0)</f>
        <v>0</v>
      </c>
      <c r="R116" s="58">
        <f t="shared" ca="1" si="31"/>
        <v>0</v>
      </c>
      <c r="S116" s="58">
        <f>HLOOKUP('Withdrawal Working'!S$2,'Yoy WAR OG'!$J$3:$FA$79,MATCH('Withdrawal Working'!$A116,'Yoy WAR OG'!$J$3:$J$79,0),0)</f>
        <v>0</v>
      </c>
      <c r="T116" s="58">
        <f t="shared" ca="1" si="32"/>
        <v>0</v>
      </c>
      <c r="U116" s="58">
        <f>HLOOKUP('Withdrawal Working'!U$2,'Yoy WAR OG'!$J$3:$FA$79,MATCH('Withdrawal Working'!$A116,'Yoy WAR OG'!$J$3:$J$79,0),0)</f>
        <v>0</v>
      </c>
      <c r="V116" s="58">
        <f t="shared" ca="1" si="33"/>
        <v>0</v>
      </c>
    </row>
    <row r="117" spans="1:22" x14ac:dyDescent="0.3">
      <c r="A117">
        <f>'Yoy WAR OG'!J118</f>
        <v>0</v>
      </c>
      <c r="B117" s="58">
        <f>'Yoy WAR OG'!M118</f>
        <v>0</v>
      </c>
      <c r="C117" s="58">
        <f>HLOOKUP('Withdrawal Working'!C$2,'Yoy WAR OG'!$J$3:$FA$79,MATCH('Withdrawal Working'!$A117,'Yoy WAR OG'!$J$3:$J$79,0),0)</f>
        <v>0</v>
      </c>
      <c r="D117" s="58">
        <f t="shared" si="24"/>
        <v>0</v>
      </c>
      <c r="E117" s="58">
        <f>HLOOKUP('Withdrawal Working'!E$2,'Yoy WAR OG'!$J$3:$FA$79,MATCH('Withdrawal Working'!$A117,'Yoy WAR OG'!$J$3:$J$79,0),0)</f>
        <v>0</v>
      </c>
      <c r="F117" s="58">
        <f t="shared" si="25"/>
        <v>0</v>
      </c>
      <c r="G117" s="58">
        <f>HLOOKUP('Withdrawal Working'!G$2,'Yoy WAR OG'!$J$3:$FA$79,MATCH('Withdrawal Working'!$A117,'Yoy WAR OG'!$J$3:$J$79,0),0)</f>
        <v>0</v>
      </c>
      <c r="H117" s="58">
        <f t="shared" si="26"/>
        <v>0</v>
      </c>
      <c r="I117" s="58">
        <f>HLOOKUP('Withdrawal Working'!I$2,'Yoy WAR OG'!$J$3:$FA$79,MATCH('Withdrawal Working'!$A117,'Yoy WAR OG'!$J$3:$J$79,0),0)</f>
        <v>0</v>
      </c>
      <c r="J117" s="58">
        <f t="shared" si="27"/>
        <v>0</v>
      </c>
      <c r="K117" s="58">
        <f ca="1">HLOOKUP('Withdrawal Working'!K$2,'Yoy WAR OG'!$J$3:$FA$79,MATCH('Withdrawal Working'!$A117,'Yoy WAR OG'!$J$3:$J$79,0),0)</f>
        <v>0</v>
      </c>
      <c r="L117" s="58">
        <f t="shared" ca="1" si="28"/>
        <v>0</v>
      </c>
      <c r="M117" s="58">
        <f ca="1">HLOOKUP('Withdrawal Working'!M$2,'Yoy WAR OG'!$J$3:$FA$79,MATCH('Withdrawal Working'!$A117,'Yoy WAR OG'!$J$3:$J$79,0),0)</f>
        <v>0</v>
      </c>
      <c r="N117" s="58">
        <f t="shared" ca="1" si="29"/>
        <v>0</v>
      </c>
      <c r="O117" s="58">
        <f>HLOOKUP('Withdrawal Working'!O$2,'Yoy WAR OG'!$J$3:$FA$79,MATCH('Withdrawal Working'!$A117,'Yoy WAR OG'!$J$3:$J$79,0),0)</f>
        <v>0</v>
      </c>
      <c r="P117" s="58">
        <f t="shared" ca="1" si="30"/>
        <v>0</v>
      </c>
      <c r="Q117" s="58">
        <f>HLOOKUP('Withdrawal Working'!Q$2,'Yoy WAR OG'!$J$3:$FA$79,MATCH('Withdrawal Working'!$A117,'Yoy WAR OG'!$J$3:$J$79,0),0)</f>
        <v>0</v>
      </c>
      <c r="R117" s="58">
        <f t="shared" ca="1" si="31"/>
        <v>0</v>
      </c>
      <c r="S117" s="58">
        <f>HLOOKUP('Withdrawal Working'!S$2,'Yoy WAR OG'!$J$3:$FA$79,MATCH('Withdrawal Working'!$A117,'Yoy WAR OG'!$J$3:$J$79,0),0)</f>
        <v>0</v>
      </c>
      <c r="T117" s="58">
        <f t="shared" ca="1" si="32"/>
        <v>0</v>
      </c>
      <c r="U117" s="58">
        <f>HLOOKUP('Withdrawal Working'!U$2,'Yoy WAR OG'!$J$3:$FA$79,MATCH('Withdrawal Working'!$A117,'Yoy WAR OG'!$J$3:$J$79,0),0)</f>
        <v>0</v>
      </c>
      <c r="V117" s="58">
        <f t="shared" ca="1" si="33"/>
        <v>0</v>
      </c>
    </row>
    <row r="118" spans="1:22" x14ac:dyDescent="0.3">
      <c r="A118">
        <f>'Yoy WAR OG'!J119</f>
        <v>0</v>
      </c>
      <c r="B118" s="58">
        <f>'Yoy WAR OG'!M119</f>
        <v>0</v>
      </c>
      <c r="C118" s="58">
        <f>HLOOKUP('Withdrawal Working'!C$2,'Yoy WAR OG'!$J$3:$FA$79,MATCH('Withdrawal Working'!$A118,'Yoy WAR OG'!$J$3:$J$79,0),0)</f>
        <v>0</v>
      </c>
      <c r="D118" s="58">
        <f t="shared" si="24"/>
        <v>0</v>
      </c>
      <c r="E118" s="58">
        <f>HLOOKUP('Withdrawal Working'!E$2,'Yoy WAR OG'!$J$3:$FA$79,MATCH('Withdrawal Working'!$A118,'Yoy WAR OG'!$J$3:$J$79,0),0)</f>
        <v>0</v>
      </c>
      <c r="F118" s="58">
        <f t="shared" si="25"/>
        <v>0</v>
      </c>
      <c r="G118" s="58">
        <f>HLOOKUP('Withdrawal Working'!G$2,'Yoy WAR OG'!$J$3:$FA$79,MATCH('Withdrawal Working'!$A118,'Yoy WAR OG'!$J$3:$J$79,0),0)</f>
        <v>0</v>
      </c>
      <c r="H118" s="58">
        <f t="shared" si="26"/>
        <v>0</v>
      </c>
      <c r="I118" s="58">
        <f>HLOOKUP('Withdrawal Working'!I$2,'Yoy WAR OG'!$J$3:$FA$79,MATCH('Withdrawal Working'!$A118,'Yoy WAR OG'!$J$3:$J$79,0),0)</f>
        <v>0</v>
      </c>
      <c r="J118" s="58">
        <f t="shared" si="27"/>
        <v>0</v>
      </c>
      <c r="K118" s="58">
        <f ca="1">HLOOKUP('Withdrawal Working'!K$2,'Yoy WAR OG'!$J$3:$FA$79,MATCH('Withdrawal Working'!$A118,'Yoy WAR OG'!$J$3:$J$79,0),0)</f>
        <v>0</v>
      </c>
      <c r="L118" s="58">
        <f t="shared" ca="1" si="28"/>
        <v>0</v>
      </c>
      <c r="M118" s="58">
        <f ca="1">HLOOKUP('Withdrawal Working'!M$2,'Yoy WAR OG'!$J$3:$FA$79,MATCH('Withdrawal Working'!$A118,'Yoy WAR OG'!$J$3:$J$79,0),0)</f>
        <v>0</v>
      </c>
      <c r="N118" s="58">
        <f t="shared" ca="1" si="29"/>
        <v>0</v>
      </c>
      <c r="O118" s="58">
        <f>HLOOKUP('Withdrawal Working'!O$2,'Yoy WAR OG'!$J$3:$FA$79,MATCH('Withdrawal Working'!$A118,'Yoy WAR OG'!$J$3:$J$79,0),0)</f>
        <v>0</v>
      </c>
      <c r="P118" s="58">
        <f t="shared" ca="1" si="30"/>
        <v>0</v>
      </c>
      <c r="Q118" s="58">
        <f>HLOOKUP('Withdrawal Working'!Q$2,'Yoy WAR OG'!$J$3:$FA$79,MATCH('Withdrawal Working'!$A118,'Yoy WAR OG'!$J$3:$J$79,0),0)</f>
        <v>0</v>
      </c>
      <c r="R118" s="58">
        <f t="shared" ca="1" si="31"/>
        <v>0</v>
      </c>
      <c r="S118" s="58">
        <f>HLOOKUP('Withdrawal Working'!S$2,'Yoy WAR OG'!$J$3:$FA$79,MATCH('Withdrawal Working'!$A118,'Yoy WAR OG'!$J$3:$J$79,0),0)</f>
        <v>0</v>
      </c>
      <c r="T118" s="58">
        <f t="shared" ca="1" si="32"/>
        <v>0</v>
      </c>
      <c r="U118" s="58">
        <f>HLOOKUP('Withdrawal Working'!U$2,'Yoy WAR OG'!$J$3:$FA$79,MATCH('Withdrawal Working'!$A118,'Yoy WAR OG'!$J$3:$J$79,0),0)</f>
        <v>0</v>
      </c>
      <c r="V118" s="58">
        <f t="shared" ca="1" si="33"/>
        <v>0</v>
      </c>
    </row>
    <row r="119" spans="1:22" x14ac:dyDescent="0.3">
      <c r="A119">
        <f>'Yoy WAR OG'!J120</f>
        <v>0</v>
      </c>
      <c r="B119" s="58">
        <f>'Yoy WAR OG'!M120</f>
        <v>0</v>
      </c>
      <c r="C119" s="58">
        <f>HLOOKUP('Withdrawal Working'!C$2,'Yoy WAR OG'!$J$3:$FA$79,MATCH('Withdrawal Working'!$A119,'Yoy WAR OG'!$J$3:$J$79,0),0)</f>
        <v>0</v>
      </c>
      <c r="D119" s="58">
        <f t="shared" si="24"/>
        <v>0</v>
      </c>
      <c r="E119" s="58">
        <f>HLOOKUP('Withdrawal Working'!E$2,'Yoy WAR OG'!$J$3:$FA$79,MATCH('Withdrawal Working'!$A119,'Yoy WAR OG'!$J$3:$J$79,0),0)</f>
        <v>0</v>
      </c>
      <c r="F119" s="58">
        <f t="shared" si="25"/>
        <v>0</v>
      </c>
      <c r="G119" s="58">
        <f>HLOOKUP('Withdrawal Working'!G$2,'Yoy WAR OG'!$J$3:$FA$79,MATCH('Withdrawal Working'!$A119,'Yoy WAR OG'!$J$3:$J$79,0),0)</f>
        <v>0</v>
      </c>
      <c r="H119" s="58">
        <f t="shared" si="26"/>
        <v>0</v>
      </c>
      <c r="I119" s="58">
        <f>HLOOKUP('Withdrawal Working'!I$2,'Yoy WAR OG'!$J$3:$FA$79,MATCH('Withdrawal Working'!$A119,'Yoy WAR OG'!$J$3:$J$79,0),0)</f>
        <v>0</v>
      </c>
      <c r="J119" s="58">
        <f t="shared" si="27"/>
        <v>0</v>
      </c>
      <c r="K119" s="58">
        <f ca="1">HLOOKUP('Withdrawal Working'!K$2,'Yoy WAR OG'!$J$3:$FA$79,MATCH('Withdrawal Working'!$A119,'Yoy WAR OG'!$J$3:$J$79,0),0)</f>
        <v>0</v>
      </c>
      <c r="L119" s="58">
        <f t="shared" ca="1" si="28"/>
        <v>0</v>
      </c>
      <c r="M119" s="58">
        <f ca="1">HLOOKUP('Withdrawal Working'!M$2,'Yoy WAR OG'!$J$3:$FA$79,MATCH('Withdrawal Working'!$A119,'Yoy WAR OG'!$J$3:$J$79,0),0)</f>
        <v>0</v>
      </c>
      <c r="N119" s="58">
        <f t="shared" ca="1" si="29"/>
        <v>0</v>
      </c>
      <c r="O119" s="58">
        <f>HLOOKUP('Withdrawal Working'!O$2,'Yoy WAR OG'!$J$3:$FA$79,MATCH('Withdrawal Working'!$A119,'Yoy WAR OG'!$J$3:$J$79,0),0)</f>
        <v>0</v>
      </c>
      <c r="P119" s="58">
        <f t="shared" ca="1" si="30"/>
        <v>0</v>
      </c>
      <c r="Q119" s="58">
        <f>HLOOKUP('Withdrawal Working'!Q$2,'Yoy WAR OG'!$J$3:$FA$79,MATCH('Withdrawal Working'!$A119,'Yoy WAR OG'!$J$3:$J$79,0),0)</f>
        <v>0</v>
      </c>
      <c r="R119" s="58">
        <f t="shared" ca="1" si="31"/>
        <v>0</v>
      </c>
      <c r="S119" s="58">
        <f>HLOOKUP('Withdrawal Working'!S$2,'Yoy WAR OG'!$J$3:$FA$79,MATCH('Withdrawal Working'!$A119,'Yoy WAR OG'!$J$3:$J$79,0),0)</f>
        <v>0</v>
      </c>
      <c r="T119" s="58">
        <f t="shared" ca="1" si="32"/>
        <v>0</v>
      </c>
      <c r="U119" s="58">
        <f>HLOOKUP('Withdrawal Working'!U$2,'Yoy WAR OG'!$J$3:$FA$79,MATCH('Withdrawal Working'!$A119,'Yoy WAR OG'!$J$3:$J$79,0),0)</f>
        <v>0</v>
      </c>
      <c r="V119" s="58">
        <f t="shared" ca="1" si="33"/>
        <v>0</v>
      </c>
    </row>
    <row r="120" spans="1:22" x14ac:dyDescent="0.3">
      <c r="A120">
        <f>'Yoy WAR OG'!J121</f>
        <v>0</v>
      </c>
      <c r="B120" s="58">
        <f>'Yoy WAR OG'!M121</f>
        <v>0</v>
      </c>
      <c r="C120" s="58">
        <f>HLOOKUP('Withdrawal Working'!C$2,'Yoy WAR OG'!$J$3:$FA$79,MATCH('Withdrawal Working'!$A120,'Yoy WAR OG'!$J$3:$J$79,0),0)</f>
        <v>0</v>
      </c>
      <c r="D120" s="58">
        <f t="shared" si="24"/>
        <v>0</v>
      </c>
      <c r="E120" s="58">
        <f>HLOOKUP('Withdrawal Working'!E$2,'Yoy WAR OG'!$J$3:$FA$79,MATCH('Withdrawal Working'!$A120,'Yoy WAR OG'!$J$3:$J$79,0),0)</f>
        <v>0</v>
      </c>
      <c r="F120" s="58">
        <f t="shared" si="25"/>
        <v>0</v>
      </c>
      <c r="G120" s="58">
        <f>HLOOKUP('Withdrawal Working'!G$2,'Yoy WAR OG'!$J$3:$FA$79,MATCH('Withdrawal Working'!$A120,'Yoy WAR OG'!$J$3:$J$79,0),0)</f>
        <v>0</v>
      </c>
      <c r="H120" s="58">
        <f t="shared" si="26"/>
        <v>0</v>
      </c>
      <c r="I120" s="58">
        <f>HLOOKUP('Withdrawal Working'!I$2,'Yoy WAR OG'!$J$3:$FA$79,MATCH('Withdrawal Working'!$A120,'Yoy WAR OG'!$J$3:$J$79,0),0)</f>
        <v>0</v>
      </c>
      <c r="J120" s="58">
        <f t="shared" si="27"/>
        <v>0</v>
      </c>
      <c r="K120" s="58">
        <f ca="1">HLOOKUP('Withdrawal Working'!K$2,'Yoy WAR OG'!$J$3:$FA$79,MATCH('Withdrawal Working'!$A120,'Yoy WAR OG'!$J$3:$J$79,0),0)</f>
        <v>0</v>
      </c>
      <c r="L120" s="58">
        <f t="shared" ca="1" si="28"/>
        <v>0</v>
      </c>
      <c r="M120" s="58">
        <f ca="1">HLOOKUP('Withdrawal Working'!M$2,'Yoy WAR OG'!$J$3:$FA$79,MATCH('Withdrawal Working'!$A120,'Yoy WAR OG'!$J$3:$J$79,0),0)</f>
        <v>0</v>
      </c>
      <c r="N120" s="58">
        <f t="shared" ca="1" si="29"/>
        <v>0</v>
      </c>
      <c r="O120" s="58">
        <f>HLOOKUP('Withdrawal Working'!O$2,'Yoy WAR OG'!$J$3:$FA$79,MATCH('Withdrawal Working'!$A120,'Yoy WAR OG'!$J$3:$J$79,0),0)</f>
        <v>0</v>
      </c>
      <c r="P120" s="58">
        <f t="shared" ca="1" si="30"/>
        <v>0</v>
      </c>
      <c r="Q120" s="58">
        <f>HLOOKUP('Withdrawal Working'!Q$2,'Yoy WAR OG'!$J$3:$FA$79,MATCH('Withdrawal Working'!$A120,'Yoy WAR OG'!$J$3:$J$79,0),0)</f>
        <v>0</v>
      </c>
      <c r="R120" s="58">
        <f t="shared" ca="1" si="31"/>
        <v>0</v>
      </c>
      <c r="S120" s="58">
        <f>HLOOKUP('Withdrawal Working'!S$2,'Yoy WAR OG'!$J$3:$FA$79,MATCH('Withdrawal Working'!$A120,'Yoy WAR OG'!$J$3:$J$79,0),0)</f>
        <v>0</v>
      </c>
      <c r="T120" s="58">
        <f t="shared" ca="1" si="32"/>
        <v>0</v>
      </c>
      <c r="U120" s="58">
        <f>HLOOKUP('Withdrawal Working'!U$2,'Yoy WAR OG'!$J$3:$FA$79,MATCH('Withdrawal Working'!$A120,'Yoy WAR OG'!$J$3:$J$79,0),0)</f>
        <v>0</v>
      </c>
      <c r="V120" s="58">
        <f t="shared" ca="1" si="33"/>
        <v>0</v>
      </c>
    </row>
    <row r="121" spans="1:22" x14ac:dyDescent="0.3">
      <c r="A121">
        <f>'Yoy WAR OG'!J122</f>
        <v>0</v>
      </c>
      <c r="B121" s="58">
        <f>'Yoy WAR OG'!M122</f>
        <v>0</v>
      </c>
      <c r="C121" s="58">
        <f>HLOOKUP('Withdrawal Working'!C$2,'Yoy WAR OG'!$J$3:$FA$79,MATCH('Withdrawal Working'!$A121,'Yoy WAR OG'!$J$3:$J$79,0),0)</f>
        <v>0</v>
      </c>
      <c r="D121" s="58">
        <f t="shared" si="24"/>
        <v>0</v>
      </c>
      <c r="E121" s="58">
        <f>HLOOKUP('Withdrawal Working'!E$2,'Yoy WAR OG'!$J$3:$FA$79,MATCH('Withdrawal Working'!$A121,'Yoy WAR OG'!$J$3:$J$79,0),0)</f>
        <v>0</v>
      </c>
      <c r="F121" s="58">
        <f t="shared" si="25"/>
        <v>0</v>
      </c>
      <c r="G121" s="58">
        <f>HLOOKUP('Withdrawal Working'!G$2,'Yoy WAR OG'!$J$3:$FA$79,MATCH('Withdrawal Working'!$A121,'Yoy WAR OG'!$J$3:$J$79,0),0)</f>
        <v>0</v>
      </c>
      <c r="H121" s="58">
        <f t="shared" si="26"/>
        <v>0</v>
      </c>
      <c r="I121" s="58">
        <f>HLOOKUP('Withdrawal Working'!I$2,'Yoy WAR OG'!$J$3:$FA$79,MATCH('Withdrawal Working'!$A121,'Yoy WAR OG'!$J$3:$J$79,0),0)</f>
        <v>0</v>
      </c>
      <c r="J121" s="58">
        <f t="shared" si="27"/>
        <v>0</v>
      </c>
      <c r="K121" s="58">
        <f ca="1">HLOOKUP('Withdrawal Working'!K$2,'Yoy WAR OG'!$J$3:$FA$79,MATCH('Withdrawal Working'!$A121,'Yoy WAR OG'!$J$3:$J$79,0),0)</f>
        <v>0</v>
      </c>
      <c r="L121" s="58">
        <f t="shared" ca="1" si="28"/>
        <v>0</v>
      </c>
      <c r="M121" s="58">
        <f ca="1">HLOOKUP('Withdrawal Working'!M$2,'Yoy WAR OG'!$J$3:$FA$79,MATCH('Withdrawal Working'!$A121,'Yoy WAR OG'!$J$3:$J$79,0),0)</f>
        <v>0</v>
      </c>
      <c r="N121" s="58">
        <f t="shared" ca="1" si="29"/>
        <v>0</v>
      </c>
      <c r="O121" s="58">
        <f>HLOOKUP('Withdrawal Working'!O$2,'Yoy WAR OG'!$J$3:$FA$79,MATCH('Withdrawal Working'!$A121,'Yoy WAR OG'!$J$3:$J$79,0),0)</f>
        <v>0</v>
      </c>
      <c r="P121" s="58">
        <f t="shared" ca="1" si="30"/>
        <v>0</v>
      </c>
      <c r="Q121" s="58">
        <f>HLOOKUP('Withdrawal Working'!Q$2,'Yoy WAR OG'!$J$3:$FA$79,MATCH('Withdrawal Working'!$A121,'Yoy WAR OG'!$J$3:$J$79,0),0)</f>
        <v>0</v>
      </c>
      <c r="R121" s="58">
        <f t="shared" ca="1" si="31"/>
        <v>0</v>
      </c>
      <c r="S121" s="58">
        <f>HLOOKUP('Withdrawal Working'!S$2,'Yoy WAR OG'!$J$3:$FA$79,MATCH('Withdrawal Working'!$A121,'Yoy WAR OG'!$J$3:$J$79,0),0)</f>
        <v>0</v>
      </c>
      <c r="T121" s="58">
        <f t="shared" ca="1" si="32"/>
        <v>0</v>
      </c>
      <c r="U121" s="58">
        <f>HLOOKUP('Withdrawal Working'!U$2,'Yoy WAR OG'!$J$3:$FA$79,MATCH('Withdrawal Working'!$A121,'Yoy WAR OG'!$J$3:$J$79,0),0)</f>
        <v>0</v>
      </c>
      <c r="V121" s="58">
        <f t="shared" ca="1" si="33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11D1D-5CC1-4268-979D-35D2B035E1EE}">
  <sheetPr codeName="Sheet25"/>
  <dimension ref="A1:BA79"/>
  <sheetViews>
    <sheetView topLeftCell="AE1" workbookViewId="0">
      <selection activeCell="AX1" sqref="AX1"/>
    </sheetView>
  </sheetViews>
  <sheetFormatPr defaultRowHeight="14.4" x14ac:dyDescent="0.3"/>
  <cols>
    <col min="3" max="3" width="18.33203125" bestFit="1" customWidth="1"/>
    <col min="4" max="4" width="12.109375" bestFit="1" customWidth="1"/>
    <col min="5" max="5" width="13.88671875" bestFit="1" customWidth="1"/>
    <col min="6" max="6" width="18.5546875" bestFit="1" customWidth="1"/>
    <col min="7" max="7" width="17.33203125" bestFit="1" customWidth="1"/>
    <col min="8" max="12" width="9" bestFit="1" customWidth="1"/>
    <col min="13" max="13" width="9.88671875" bestFit="1" customWidth="1"/>
    <col min="14" max="15" width="13.88671875" bestFit="1" customWidth="1"/>
    <col min="16" max="18" width="9" bestFit="1" customWidth="1"/>
    <col min="19" max="19" width="13.88671875" bestFit="1" customWidth="1"/>
    <col min="20" max="25" width="9" bestFit="1" customWidth="1"/>
    <col min="26" max="26" width="13.88671875" bestFit="1" customWidth="1"/>
    <col min="27" max="27" width="2" customWidth="1"/>
    <col min="29" max="29" width="2.5546875" customWidth="1"/>
    <col min="36" max="36" width="24.44140625" bestFit="1" customWidth="1"/>
  </cols>
  <sheetData>
    <row r="1" spans="1:53" x14ac:dyDescent="0.3">
      <c r="AD1" s="313">
        <f>'Yoy WAR OG'!$D4</f>
        <v>3.5000000000000003E-2</v>
      </c>
      <c r="AE1" s="313">
        <f>'Yoy WAR OG'!$D5</f>
        <v>0.05</v>
      </c>
      <c r="AF1" s="313">
        <f>'Yoy WAR OG'!$D6</f>
        <v>0.11</v>
      </c>
      <c r="AG1" s="313">
        <f>'Yoy WAR OG'!$D7</f>
        <v>0.11</v>
      </c>
      <c r="AH1" s="313">
        <f>'Yoy WAR OG'!$D9</f>
        <v>5.5E-2</v>
      </c>
      <c r="AI1" s="313">
        <f>'Yoy WAR OG'!$D10</f>
        <v>0.09</v>
      </c>
      <c r="AJ1" s="313">
        <f>'Yoy WAR OG'!$D11</f>
        <v>7.0000000000000007E-2</v>
      </c>
      <c r="AK1" s="313">
        <f>'Yoy WAR OG'!$D12</f>
        <v>0.08</v>
      </c>
      <c r="AL1" s="313">
        <f>'Yoy WAR OG'!$D13</f>
        <v>7.0000000000000007E-2</v>
      </c>
      <c r="AM1" s="313">
        <f>'Yoy WAR OG'!$D14</f>
        <v>0.1</v>
      </c>
      <c r="AN1" s="313">
        <f>'Yoy WAR OG'!$D15</f>
        <v>0.08</v>
      </c>
      <c r="AO1" s="313">
        <f>'Yoy WAR OG'!$D16</f>
        <v>0.03</v>
      </c>
      <c r="AP1" s="313">
        <f>'Yoy WAR OG'!$D17</f>
        <v>0.03</v>
      </c>
      <c r="AQ1" s="313">
        <f>'Yoy WAR OG'!$D18</f>
        <v>0.05</v>
      </c>
      <c r="AR1" s="313">
        <f>'Yoy WAR OG'!$D19</f>
        <v>8.2000000000000003E-2</v>
      </c>
      <c r="AS1" s="313">
        <f>'Yoy WAR OG'!$D20</f>
        <v>0.1</v>
      </c>
      <c r="AT1" s="313">
        <f>'Yoy WAR OG'!$D21</f>
        <v>0.12</v>
      </c>
      <c r="AU1" s="313">
        <f>'Yoy WAR OG'!$D22</f>
        <v>7.6999999999999999E-2</v>
      </c>
      <c r="AV1" s="313">
        <f>'Yoy WAR OG'!$D23</f>
        <v>0.05</v>
      </c>
      <c r="AW1" s="313">
        <f>'Yoy WAR OG'!$D24</f>
        <v>0.1</v>
      </c>
      <c r="AX1" s="313"/>
      <c r="AY1" s="313">
        <f>'Yoy WAR OG'!$D25</f>
        <v>7.0999999999999994E-2</v>
      </c>
      <c r="AZ1" s="313">
        <f>'Yoy WAR OG'!$D26</f>
        <v>8.1000000000000003E-2</v>
      </c>
      <c r="BA1" s="313">
        <f>'Yoy WAR OG'!$D27</f>
        <v>8.5000000000000006E-2</v>
      </c>
    </row>
    <row r="2" spans="1:53" s="319" customFormat="1" x14ac:dyDescent="0.3">
      <c r="C2" s="319" t="s">
        <v>55</v>
      </c>
      <c r="D2" s="319" t="s">
        <v>56</v>
      </c>
      <c r="E2" s="319" t="s">
        <v>57</v>
      </c>
      <c r="F2" s="319" t="s">
        <v>58</v>
      </c>
      <c r="G2" s="319" t="s">
        <v>60</v>
      </c>
      <c r="H2" s="319" t="s">
        <v>66</v>
      </c>
      <c r="I2" s="319" t="s">
        <v>375</v>
      </c>
      <c r="J2" s="319" t="s">
        <v>63</v>
      </c>
      <c r="K2" s="319" t="s">
        <v>64</v>
      </c>
      <c r="L2" s="319" t="s">
        <v>376</v>
      </c>
      <c r="M2" s="319" t="s">
        <v>377</v>
      </c>
      <c r="N2" s="319" t="s">
        <v>69</v>
      </c>
      <c r="O2" s="319" t="s">
        <v>70</v>
      </c>
      <c r="P2" s="319" t="s">
        <v>102</v>
      </c>
      <c r="Q2" s="319" t="s">
        <v>378</v>
      </c>
      <c r="R2" s="319" t="s">
        <v>78</v>
      </c>
      <c r="S2" s="319" t="s">
        <v>79</v>
      </c>
      <c r="T2" s="319" t="s">
        <v>75</v>
      </c>
      <c r="U2" s="319" t="s">
        <v>76</v>
      </c>
      <c r="V2" s="319" t="s">
        <v>379</v>
      </c>
      <c r="W2" s="319" t="s">
        <v>59</v>
      </c>
      <c r="X2" s="319" t="s">
        <v>73</v>
      </c>
      <c r="Y2" s="319" t="s">
        <v>74</v>
      </c>
      <c r="Z2" s="319" t="s">
        <v>80</v>
      </c>
      <c r="AB2" s="319" t="s">
        <v>111</v>
      </c>
      <c r="AD2" s="319" t="s">
        <v>55</v>
      </c>
      <c r="AE2" s="319" t="s">
        <v>56</v>
      </c>
      <c r="AF2" s="319" t="s">
        <v>57</v>
      </c>
      <c r="AG2" s="319" t="s">
        <v>58</v>
      </c>
      <c r="AH2" s="319" t="s">
        <v>60</v>
      </c>
      <c r="AI2" s="319" t="s">
        <v>66</v>
      </c>
      <c r="AJ2" s="319" t="s">
        <v>375</v>
      </c>
      <c r="AK2" s="319" t="s">
        <v>63</v>
      </c>
      <c r="AL2" s="319" t="s">
        <v>64</v>
      </c>
      <c r="AM2" s="319" t="s">
        <v>376</v>
      </c>
      <c r="AN2" s="319" t="s">
        <v>377</v>
      </c>
      <c r="AO2" s="319" t="s">
        <v>69</v>
      </c>
      <c r="AP2" s="319" t="s">
        <v>70</v>
      </c>
      <c r="AQ2" s="319" t="s">
        <v>102</v>
      </c>
      <c r="AR2" s="319" t="s">
        <v>378</v>
      </c>
      <c r="AS2" s="319" t="s">
        <v>78</v>
      </c>
      <c r="AT2" s="319" t="s">
        <v>79</v>
      </c>
      <c r="AU2" s="319" t="s">
        <v>75</v>
      </c>
      <c r="AV2" s="319" t="s">
        <v>76</v>
      </c>
      <c r="AW2" s="319" t="s">
        <v>379</v>
      </c>
      <c r="AX2" s="319" t="s">
        <v>59</v>
      </c>
      <c r="AY2" s="319" t="s">
        <v>73</v>
      </c>
      <c r="AZ2" s="319" t="s">
        <v>74</v>
      </c>
      <c r="BA2" s="319" t="s">
        <v>80</v>
      </c>
    </row>
    <row r="3" spans="1:53" x14ac:dyDescent="0.3">
      <c r="A3">
        <f>'NWGC - SCENARIOS'!B11</f>
        <v>49</v>
      </c>
      <c r="B3">
        <f>'NWGC - SCENARIOS'!C11</f>
        <v>2025</v>
      </c>
      <c r="C3" s="58">
        <f>'Yoy WAR OG'!S4</f>
        <v>1552499.9999999998</v>
      </c>
      <c r="D3" s="58">
        <f>'Yoy WAR OG'!Y4</f>
        <v>0</v>
      </c>
      <c r="E3" s="58">
        <f>'Yoy WAR OG'!AE4</f>
        <v>286815.12000000005</v>
      </c>
      <c r="F3" s="58">
        <f>'Yoy WAR OG'!AK4</f>
        <v>9874734.5700000003</v>
      </c>
      <c r="G3" s="58">
        <f>'Yoy WAR OG'!AQ4</f>
        <v>2412713.6150000002</v>
      </c>
      <c r="H3" s="58">
        <f>'Yoy WAR OG'!AW4</f>
        <v>1882715.58</v>
      </c>
      <c r="I3" s="58">
        <f>'Yoy WAR OG'!BC4</f>
        <v>4280000</v>
      </c>
      <c r="J3" s="58">
        <f>'Yoy WAR OG'!BI4</f>
        <v>239193.00000000003</v>
      </c>
      <c r="K3" s="58">
        <f ca="1">'Yoy WAR OG'!BO4</f>
        <v>0</v>
      </c>
      <c r="L3" s="58">
        <f ca="1">'Yoy WAR OG'!BU4</f>
        <v>2200000</v>
      </c>
      <c r="M3" s="58">
        <f ca="1">'Yoy WAR OG'!CA4</f>
        <v>648000</v>
      </c>
      <c r="N3" s="58">
        <f>'Yoy WAR OG'!CG4</f>
        <v>8755000</v>
      </c>
      <c r="O3" s="58">
        <f ca="1">'Yoy WAR OG'!CM4</f>
        <v>0</v>
      </c>
      <c r="P3" s="58">
        <f>'Yoy WAR OG'!CS4</f>
        <v>2625000</v>
      </c>
      <c r="Q3" s="58">
        <f ca="1">'Yoy WAR OG'!CY4</f>
        <v>1664800</v>
      </c>
      <c r="R3" s="58">
        <f ca="1">'Yoy WAR OG'!DE4</f>
        <v>0</v>
      </c>
      <c r="S3" s="58">
        <f ca="1">'Yoy WAR OG'!DK4</f>
        <v>1680000.0000000002</v>
      </c>
      <c r="T3" s="58">
        <f ca="1">'Yoy WAR OG'!DQ4</f>
        <v>0</v>
      </c>
      <c r="U3" s="58">
        <f ca="1">'Yoy WAR OG'!DW4</f>
        <v>0</v>
      </c>
      <c r="V3" s="58">
        <f ca="1">'Yoy WAR OG'!EC4</f>
        <v>0</v>
      </c>
      <c r="W3" s="58">
        <f ca="1">'Yoy WAR OG'!EI4</f>
        <v>0</v>
      </c>
      <c r="X3" s="58">
        <f ca="1">'Yoy WAR OG'!EO4</f>
        <v>3791400</v>
      </c>
      <c r="Y3" s="58">
        <f ca="1">'Yoy WAR OG'!EU4</f>
        <v>31060832</v>
      </c>
      <c r="Z3" s="58">
        <f ca="1">'Yoy WAR OG'!FA4</f>
        <v>6903000</v>
      </c>
      <c r="AB3" s="200">
        <f ca="1">SUMPRODUCT(AD3:BA3,$AD$1:$BA$1)</f>
        <v>7.7247271034482423E-2</v>
      </c>
      <c r="AD3">
        <f ca="1">IFERROR(C3/SUM($C3:$Z3),0)</f>
        <v>1.944107287768505E-2</v>
      </c>
      <c r="AE3">
        <f t="shared" ref="AE3:BA3" ca="1" si="0">IFERROR(D3/SUM($C3:$Z3),0)</f>
        <v>0</v>
      </c>
      <c r="AF3">
        <f t="shared" ca="1" si="0"/>
        <v>3.5916223190608598E-3</v>
      </c>
      <c r="AG3">
        <f t="shared" ca="1" si="0"/>
        <v>0.12365567434664476</v>
      </c>
      <c r="AH3">
        <f t="shared" ca="1" si="0"/>
        <v>3.0213037824282103E-2</v>
      </c>
      <c r="AI3">
        <f t="shared" ca="1" si="0"/>
        <v>2.3576174427525336E-2</v>
      </c>
      <c r="AJ3">
        <f t="shared" ca="1" si="0"/>
        <v>5.3596001234455418E-2</v>
      </c>
      <c r="AK3">
        <f t="shared" ca="1" si="0"/>
        <v>2.9952776456245549E-3</v>
      </c>
      <c r="AL3">
        <f t="shared" ca="1" si="0"/>
        <v>0</v>
      </c>
      <c r="AM3">
        <f t="shared" ca="1" si="0"/>
        <v>2.7549346428925682E-2</v>
      </c>
      <c r="AN3">
        <f t="shared" ca="1" si="0"/>
        <v>8.1145347663381089E-3</v>
      </c>
      <c r="AO3">
        <f t="shared" ca="1" si="0"/>
        <v>0.10963387635692924</v>
      </c>
      <c r="AP3">
        <f t="shared" ca="1" si="0"/>
        <v>0</v>
      </c>
      <c r="AQ3">
        <f t="shared" ca="1" si="0"/>
        <v>3.2871379261786321E-2</v>
      </c>
      <c r="AR3">
        <f t="shared" ca="1" si="0"/>
        <v>2.0847341788579759E-2</v>
      </c>
      <c r="AS3">
        <f t="shared" ca="1" si="0"/>
        <v>0</v>
      </c>
      <c r="AT3">
        <f t="shared" ca="1" si="0"/>
        <v>2.103768272754325E-2</v>
      </c>
      <c r="AU3">
        <f t="shared" ca="1" si="0"/>
        <v>0</v>
      </c>
      <c r="AV3">
        <f t="shared" ca="1" si="0"/>
        <v>0</v>
      </c>
      <c r="AW3">
        <f t="shared" ca="1" si="0"/>
        <v>0</v>
      </c>
      <c r="AX3">
        <f t="shared" ca="1" si="0"/>
        <v>0</v>
      </c>
      <c r="AY3">
        <f t="shared" ca="1" si="0"/>
        <v>4.7477541841194917E-2</v>
      </c>
      <c r="AZ3">
        <f t="shared" ca="1" si="0"/>
        <v>0.38895710051757293</v>
      </c>
      <c r="BA3">
        <f t="shared" ca="1" si="0"/>
        <v>8.6442335635851811E-2</v>
      </c>
    </row>
    <row r="4" spans="1:53" x14ac:dyDescent="0.3">
      <c r="A4">
        <f>'NWGC - SCENARIOS'!B12</f>
        <v>50</v>
      </c>
      <c r="B4">
        <f>'NWGC - SCENARIOS'!C12</f>
        <v>2026</v>
      </c>
      <c r="C4" s="58">
        <f ca="1">'Yoy WAR OG'!S5</f>
        <v>1606837.4999999995</v>
      </c>
      <c r="D4" s="58">
        <f ca="1">'Yoy WAR OG'!Y5</f>
        <v>0</v>
      </c>
      <c r="E4" s="58">
        <f ca="1">'Yoy WAR OG'!AE5</f>
        <v>318364.78320000006</v>
      </c>
      <c r="F4" s="58">
        <f ca="1">'Yoy WAR OG'!AK5</f>
        <v>15071998.470530549</v>
      </c>
      <c r="G4" s="58">
        <f ca="1">'Yoy WAR OG'!AQ5</f>
        <v>5286108.2623786982</v>
      </c>
      <c r="H4" s="58">
        <f ca="1">'Yoy WAR OG'!AW5</f>
        <v>2052159.9822000002</v>
      </c>
      <c r="I4" s="58">
        <f ca="1">'Yoy WAR OG'!BC5</f>
        <v>4579600</v>
      </c>
      <c r="J4" s="58">
        <f ca="1">'Yoy WAR OG'!BI5</f>
        <v>258328.44000000006</v>
      </c>
      <c r="K4" s="58">
        <f ca="1">'Yoy WAR OG'!BO5</f>
        <v>0</v>
      </c>
      <c r="L4" s="58">
        <f ca="1">'Yoy WAR OG'!BU5</f>
        <v>2420000</v>
      </c>
      <c r="M4" s="58">
        <f ca="1">'Yoy WAR OG'!CA5</f>
        <v>699840</v>
      </c>
      <c r="N4" s="58">
        <f ca="1">'Yoy WAR OG'!CG5</f>
        <v>9017650</v>
      </c>
      <c r="O4" s="58">
        <f ca="1">'Yoy WAR OG'!CM5</f>
        <v>0</v>
      </c>
      <c r="P4" s="58">
        <f ca="1">'Yoy WAR OG'!CS5</f>
        <v>2756250</v>
      </c>
      <c r="Q4" s="58">
        <f ca="1">'Yoy WAR OG'!CY5</f>
        <v>1951313.6</v>
      </c>
      <c r="R4" s="58">
        <f ca="1">'Yoy WAR OG'!DE5</f>
        <v>0</v>
      </c>
      <c r="S4" s="58">
        <f ca="1">'Yoy WAR OG'!DK5</f>
        <v>1881600.0000000005</v>
      </c>
      <c r="T4" s="58">
        <f ca="1">'Yoy WAR OG'!DQ5</f>
        <v>0</v>
      </c>
      <c r="U4" s="58">
        <f ca="1">'Yoy WAR OG'!DW5</f>
        <v>0</v>
      </c>
      <c r="V4" s="58">
        <f ca="1">'Yoy WAR OG'!EC5</f>
        <v>0</v>
      </c>
      <c r="W4" s="58">
        <f ca="1">'Yoy WAR OG'!EI5</f>
        <v>0</v>
      </c>
      <c r="X4" s="58">
        <f ca="1">'Yoy WAR OG'!EO5</f>
        <v>4210589.4000000004</v>
      </c>
      <c r="Y4" s="58">
        <f ca="1">'Yoy WAR OG'!EU5</f>
        <v>35015376.695615754</v>
      </c>
      <c r="Z4" s="58">
        <f ca="1">'Yoy WAR OG'!FA5</f>
        <v>8533755</v>
      </c>
      <c r="AB4" s="200">
        <f t="shared" ref="AB4:AB67" ca="1" si="1">SUMPRODUCT(AD4:BA4,$AD$1:$BA$1)</f>
        <v>7.8596709783690474E-2</v>
      </c>
      <c r="AD4">
        <f t="shared" ref="AD4:AD67" ca="1" si="2">IFERROR(C4/SUM($C4:$Z4),0)</f>
        <v>1.6797421362768926E-2</v>
      </c>
      <c r="AE4">
        <f t="shared" ref="AE4:AE67" ca="1" si="3">IFERROR(D4/SUM($C4:$Z4),0)</f>
        <v>0</v>
      </c>
      <c r="AF4">
        <f t="shared" ref="AF4:AF67" ca="1" si="4">IFERROR(E4/SUM($C4:$Z4),0)</f>
        <v>3.3280947267393126E-3</v>
      </c>
      <c r="AG4">
        <f t="shared" ref="AG4:AG67" ca="1" si="5">IFERROR(F4/SUM($C4:$Z4),0)</f>
        <v>0.1575583773023162</v>
      </c>
      <c r="AH4">
        <f t="shared" ref="AH4:AH67" ca="1" si="6">IFERROR(G4/SUM($C4:$Z4),0)</f>
        <v>5.5259469518472965E-2</v>
      </c>
      <c r="AI4">
        <f t="shared" ref="AI4:AI67" ca="1" si="7">IFERROR(H4/SUM($C4:$Z4),0)</f>
        <v>2.1452695698741031E-2</v>
      </c>
      <c r="AJ4">
        <f t="shared" ref="AJ4:AJ67" ca="1" si="8">IFERROR(I4/SUM($C4:$Z4),0)</f>
        <v>4.7873833460406919E-2</v>
      </c>
      <c r="AK4">
        <f t="shared" ref="AK4:AK67" ca="1" si="9">IFERROR(J4/SUM($C4:$Z4),0)</f>
        <v>2.7004919020540493E-3</v>
      </c>
      <c r="AL4">
        <f t="shared" ref="AL4:AL67" ca="1" si="10">IFERROR(K4/SUM($C4:$Z4),0)</f>
        <v>0</v>
      </c>
      <c r="AM4">
        <f t="shared" ref="AM4:AM67" ca="1" si="11">IFERROR(L4/SUM($C4:$Z4),0)</f>
        <v>2.5297990430208913E-2</v>
      </c>
      <c r="AN4">
        <f t="shared" ref="AN4:AN67" ca="1" si="12">IFERROR(M4/SUM($C4:$Z4),0)</f>
        <v>7.3159279432551258E-3</v>
      </c>
      <c r="AO4">
        <f t="shared" ref="AO4:AO67" ca="1" si="13">IFERROR(N4/SUM($C4:$Z4),0)</f>
        <v>9.4267943554947692E-2</v>
      </c>
      <c r="AP4">
        <f t="shared" ref="AP4:AP67" ca="1" si="14">IFERROR(O4/SUM($C4:$Z4),0)</f>
        <v>0</v>
      </c>
      <c r="AQ4">
        <f t="shared" ref="AQ4:AQ67" ca="1" si="15">IFERROR(P4/SUM($C4:$Z4),0)</f>
        <v>2.8813052117050958E-2</v>
      </c>
      <c r="AR4">
        <f t="shared" ref="AR4:AR67" ca="1" si="16">IFERROR(Q4/SUM($C4:$Z4),0)</f>
        <v>2.0398476355015085E-2</v>
      </c>
      <c r="AS4">
        <f t="shared" ref="AS4:AS67" ca="1" si="17">IFERROR(R4/SUM($C4:$Z4),0)</f>
        <v>0</v>
      </c>
      <c r="AT4">
        <f t="shared" ref="AT4:AT67" ca="1" si="18">IFERROR(S4/SUM($C4:$Z4),0)</f>
        <v>1.9669710245240123E-2</v>
      </c>
      <c r="AU4">
        <f t="shared" ref="AU4:AU67" ca="1" si="19">IFERROR(T4/SUM($C4:$Z4),0)</f>
        <v>0</v>
      </c>
      <c r="AV4">
        <f t="shared" ref="AV4:AV67" ca="1" si="20">IFERROR(U4/SUM($C4:$Z4),0)</f>
        <v>0</v>
      </c>
      <c r="AW4">
        <f t="shared" ref="AW4:AW67" ca="1" si="21">IFERROR(V4/SUM($C4:$Z4),0)</f>
        <v>0</v>
      </c>
      <c r="AX4">
        <f t="shared" ref="AX4:AX67" ca="1" si="22">IFERROR(W4/SUM($C4:$Z4),0)</f>
        <v>0</v>
      </c>
      <c r="AY4">
        <f t="shared" ref="AY4:AY67" ca="1" si="23">IFERROR(X4/SUM($C4:$Z4),0)</f>
        <v>4.4016301796173184E-2</v>
      </c>
      <c r="AZ4">
        <f t="shared" ref="AZ4:AZ67" ca="1" si="24">IFERROR(Y4/SUM($C4:$Z4),0)</f>
        <v>0.36604077047762296</v>
      </c>
      <c r="BA4">
        <f t="shared" ref="BA4:BA67" ca="1" si="25">IFERROR(Z4/SUM($C4:$Z4),0)</f>
        <v>8.9209443108986555E-2</v>
      </c>
    </row>
    <row r="5" spans="1:53" x14ac:dyDescent="0.3">
      <c r="A5">
        <f>'NWGC - SCENARIOS'!B13</f>
        <v>51</v>
      </c>
      <c r="B5">
        <f>'NWGC - SCENARIOS'!C13</f>
        <v>2027</v>
      </c>
      <c r="C5" s="58">
        <f ca="1">'Yoy WAR OG'!S6</f>
        <v>1663076.8124999993</v>
      </c>
      <c r="D5" s="58">
        <f ca="1">'Yoy WAR OG'!Y6</f>
        <v>0</v>
      </c>
      <c r="E5" s="58">
        <f ca="1">'Yoy WAR OG'!AE6</f>
        <v>353384.9093520001</v>
      </c>
      <c r="F5" s="58">
        <f ca="1">'Yoy WAR OG'!AK6</f>
        <v>21112851.235540897</v>
      </c>
      <c r="G5" s="58">
        <f ca="1">'Yoy WAR OG'!AQ6</f>
        <v>8498799.5056441836</v>
      </c>
      <c r="H5" s="58">
        <f ca="1">'Yoy WAR OG'!AW6</f>
        <v>2236854.3805980003</v>
      </c>
      <c r="I5" s="58">
        <f ca="1">'Yoy WAR OG'!BC6</f>
        <v>4900172</v>
      </c>
      <c r="J5" s="58">
        <f ca="1">'Yoy WAR OG'!BI6</f>
        <v>278994.71520000009</v>
      </c>
      <c r="K5" s="58">
        <f ca="1">'Yoy WAR OG'!BO6</f>
        <v>0</v>
      </c>
      <c r="L5" s="58">
        <f ca="1">'Yoy WAR OG'!BU6</f>
        <v>2662000</v>
      </c>
      <c r="M5" s="58">
        <f ca="1">'Yoy WAR OG'!CA6</f>
        <v>755827.20000000007</v>
      </c>
      <c r="N5" s="58">
        <f ca="1">'Yoy WAR OG'!CG6</f>
        <v>9288179.5</v>
      </c>
      <c r="O5" s="58">
        <f ca="1">'Yoy WAR OG'!CM6</f>
        <v>0</v>
      </c>
      <c r="P5" s="58">
        <f ca="1">'Yoy WAR OG'!CS6</f>
        <v>2894062.5</v>
      </c>
      <c r="Q5" s="58">
        <f ca="1">'Yoy WAR OG'!CY6</f>
        <v>2261321.3152000001</v>
      </c>
      <c r="R5" s="58">
        <f ca="1">'Yoy WAR OG'!DE6</f>
        <v>0</v>
      </c>
      <c r="S5" s="58">
        <f ca="1">'Yoy WAR OG'!DK6</f>
        <v>2107392.0000000009</v>
      </c>
      <c r="T5" s="58">
        <f ca="1">'Yoy WAR OG'!DQ6</f>
        <v>0</v>
      </c>
      <c r="U5" s="58">
        <f ca="1">'Yoy WAR OG'!DW6</f>
        <v>0</v>
      </c>
      <c r="V5" s="58">
        <f ca="1">'Yoy WAR OG'!EC6</f>
        <v>0</v>
      </c>
      <c r="W5" s="58">
        <f ca="1">'Yoy WAR OG'!EI6</f>
        <v>0</v>
      </c>
      <c r="X5" s="58">
        <f ca="1">'Yoy WAR OG'!EO6</f>
        <v>4659541.2473999998</v>
      </c>
      <c r="Y5" s="58">
        <f ca="1">'Yoy WAR OG'!EU6</f>
        <v>39403838.569873989</v>
      </c>
      <c r="Z5" s="58">
        <f ca="1">'Yoy WAR OG'!FA6</f>
        <v>10303124.174999999</v>
      </c>
      <c r="AB5" s="200">
        <f t="shared" ca="1" si="1"/>
        <v>7.9734136272839151E-2</v>
      </c>
      <c r="AD5">
        <f t="shared" ca="1" si="2"/>
        <v>1.4668242362920551E-2</v>
      </c>
      <c r="AE5">
        <f t="shared" ca="1" si="3"/>
        <v>0</v>
      </c>
      <c r="AF5">
        <f t="shared" ca="1" si="4"/>
        <v>3.1168346878589223E-3</v>
      </c>
      <c r="AG5">
        <f t="shared" ca="1" si="5"/>
        <v>0.18621414030159272</v>
      </c>
      <c r="AH5">
        <f t="shared" ca="1" si="6"/>
        <v>7.4958925532285545E-2</v>
      </c>
      <c r="AI5">
        <f t="shared" ca="1" si="7"/>
        <v>1.9728927695077229E-2</v>
      </c>
      <c r="AJ5">
        <f t="shared" ca="1" si="8"/>
        <v>4.3219236763904524E-2</v>
      </c>
      <c r="AK5">
        <f t="shared" ca="1" si="9"/>
        <v>2.4607174303487543E-3</v>
      </c>
      <c r="AL5">
        <f t="shared" ca="1" si="10"/>
        <v>0</v>
      </c>
      <c r="AM5">
        <f t="shared" ca="1" si="11"/>
        <v>2.3478687741065794E-2</v>
      </c>
      <c r="AN5">
        <f t="shared" ca="1" si="12"/>
        <v>6.6663526728039388E-3</v>
      </c>
      <c r="AO5">
        <f t="shared" ca="1" si="13"/>
        <v>8.1921211932182048E-2</v>
      </c>
      <c r="AP5">
        <f t="shared" ca="1" si="14"/>
        <v>0</v>
      </c>
      <c r="AQ5">
        <f t="shared" ca="1" si="15"/>
        <v>2.5525465717741631E-2</v>
      </c>
      <c r="AR5">
        <f t="shared" ca="1" si="16"/>
        <v>1.994472465882683E-2</v>
      </c>
      <c r="AS5">
        <f t="shared" ca="1" si="17"/>
        <v>0</v>
      </c>
      <c r="AT5">
        <f t="shared" ca="1" si="18"/>
        <v>1.858707690308796E-2</v>
      </c>
      <c r="AU5">
        <f t="shared" ca="1" si="19"/>
        <v>0</v>
      </c>
      <c r="AV5">
        <f t="shared" ca="1" si="20"/>
        <v>0</v>
      </c>
      <c r="AW5">
        <f t="shared" ca="1" si="21"/>
        <v>0</v>
      </c>
      <c r="AX5">
        <f t="shared" ca="1" si="22"/>
        <v>0</v>
      </c>
      <c r="AY5">
        <f t="shared" ca="1" si="23"/>
        <v>4.1096887289376702E-2</v>
      </c>
      <c r="AZ5">
        <f t="shared" ca="1" si="24"/>
        <v>0.34753960239723364</v>
      </c>
      <c r="BA5">
        <f t="shared" ca="1" si="25"/>
        <v>9.0872965913693121E-2</v>
      </c>
    </row>
    <row r="6" spans="1:53" x14ac:dyDescent="0.3">
      <c r="A6">
        <f>'NWGC - SCENARIOS'!B14</f>
        <v>52</v>
      </c>
      <c r="B6">
        <f>'NWGC - SCENARIOS'!C14</f>
        <v>2028</v>
      </c>
      <c r="C6" s="58">
        <f ca="1">'Yoy WAR OG'!S7</f>
        <v>1721284.5009374991</v>
      </c>
      <c r="D6" s="58">
        <f ca="1">'Yoy WAR OG'!Y7</f>
        <v>0</v>
      </c>
      <c r="E6" s="58">
        <f ca="1">'Yoy WAR OG'!AE7</f>
        <v>392257.24938072014</v>
      </c>
      <c r="F6" s="58">
        <f ca="1">'Yoy WAR OG'!AK7</f>
        <v>28392723.283877932</v>
      </c>
      <c r="G6" s="58">
        <f ca="1">'Yoy WAR OG'!AQ7</f>
        <v>12271205.753406305</v>
      </c>
      <c r="H6" s="58">
        <f ca="1">'Yoy WAR OG'!AW7</f>
        <v>2438171.2748518204</v>
      </c>
      <c r="I6" s="58">
        <f ca="1">'Yoy WAR OG'!BC7</f>
        <v>5243184.04</v>
      </c>
      <c r="J6" s="58">
        <f ca="1">'Yoy WAR OG'!BI7</f>
        <v>301314.2924160001</v>
      </c>
      <c r="K6" s="58">
        <f ca="1">'Yoy WAR OG'!BO7</f>
        <v>0</v>
      </c>
      <c r="L6" s="58">
        <f ca="1">'Yoy WAR OG'!BU7</f>
        <v>2928200.0000000005</v>
      </c>
      <c r="M6" s="58">
        <f ca="1">'Yoy WAR OG'!CA7</f>
        <v>816293.37600000016</v>
      </c>
      <c r="N6" s="58">
        <f ca="1">'Yoy WAR OG'!CG7</f>
        <v>9566824.8849999998</v>
      </c>
      <c r="O6" s="58">
        <f ca="1">'Yoy WAR OG'!CM7</f>
        <v>0</v>
      </c>
      <c r="P6" s="58">
        <f ca="1">'Yoy WAR OG'!CS7</f>
        <v>3038765.625</v>
      </c>
      <c r="Q6" s="58">
        <f ca="1">'Yoy WAR OG'!CY7</f>
        <v>2596749.6630464001</v>
      </c>
      <c r="R6" s="58">
        <f ca="1">'Yoy WAR OG'!DE7</f>
        <v>0</v>
      </c>
      <c r="S6" s="58">
        <f ca="1">'Yoy WAR OG'!DK7</f>
        <v>2360279.0400000014</v>
      </c>
      <c r="T6" s="58">
        <f ca="1">'Yoy WAR OG'!DQ7</f>
        <v>0</v>
      </c>
      <c r="U6" s="58">
        <f ca="1">'Yoy WAR OG'!DW7</f>
        <v>0</v>
      </c>
      <c r="V6" s="58">
        <f ca="1">'Yoy WAR OG'!EC7</f>
        <v>0</v>
      </c>
      <c r="W6" s="58">
        <f ca="1">'Yoy WAR OG'!EI7</f>
        <v>0</v>
      </c>
      <c r="X6" s="58">
        <f ca="1">'Yoy WAR OG'!EO7</f>
        <v>5140368.6759653995</v>
      </c>
      <c r="Y6" s="58">
        <f ca="1">'Yoy WAR OG'!EU7</f>
        <v>44270335.156722486</v>
      </c>
      <c r="Z6" s="58">
        <f ca="1">'Yoy WAR OG'!FA7</f>
        <v>12222889.729874998</v>
      </c>
      <c r="AB6" s="200">
        <f t="shared" ca="1" si="1"/>
        <v>8.0740812479321147E-2</v>
      </c>
      <c r="AD6">
        <f t="shared" ca="1" si="2"/>
        <v>1.2874148110491689E-2</v>
      </c>
      <c r="AE6">
        <f t="shared" ca="1" si="3"/>
        <v>0</v>
      </c>
      <c r="AF6">
        <f t="shared" ca="1" si="4"/>
        <v>2.9338426757406985E-3</v>
      </c>
      <c r="AG6">
        <f t="shared" ca="1" si="5"/>
        <v>0.21236008609719256</v>
      </c>
      <c r="AH6">
        <f t="shared" ca="1" si="6"/>
        <v>9.1781062501652605E-2</v>
      </c>
      <c r="AI6">
        <f t="shared" ca="1" si="7"/>
        <v>1.8236019724858048E-2</v>
      </c>
      <c r="AJ6">
        <f t="shared" ca="1" si="8"/>
        <v>3.921578789837555E-2</v>
      </c>
      <c r="AK6">
        <f t="shared" ca="1" si="9"/>
        <v>2.2536453597640583E-3</v>
      </c>
      <c r="AL6">
        <f t="shared" ca="1" si="10"/>
        <v>0</v>
      </c>
      <c r="AM6">
        <f t="shared" ca="1" si="11"/>
        <v>2.1901132832259557E-2</v>
      </c>
      <c r="AN6">
        <f t="shared" ca="1" si="12"/>
        <v>6.1053717839866118E-3</v>
      </c>
      <c r="AO6">
        <f t="shared" ca="1" si="13"/>
        <v>7.1553958947254706E-2</v>
      </c>
      <c r="AP6">
        <f t="shared" ca="1" si="14"/>
        <v>0</v>
      </c>
      <c r="AQ6">
        <f t="shared" ca="1" si="15"/>
        <v>2.2728095621620526E-2</v>
      </c>
      <c r="AR6">
        <f t="shared" ca="1" si="16"/>
        <v>1.9422088416947082E-2</v>
      </c>
      <c r="AS6">
        <f t="shared" ca="1" si="17"/>
        <v>0</v>
      </c>
      <c r="AT6">
        <f t="shared" ca="1" si="18"/>
        <v>1.7653433773730652E-2</v>
      </c>
      <c r="AU6">
        <f t="shared" ca="1" si="19"/>
        <v>0</v>
      </c>
      <c r="AV6">
        <f t="shared" ca="1" si="20"/>
        <v>0</v>
      </c>
      <c r="AW6">
        <f t="shared" ca="1" si="21"/>
        <v>0</v>
      </c>
      <c r="AX6">
        <f t="shared" ca="1" si="22"/>
        <v>0</v>
      </c>
      <c r="AY6">
        <f t="shared" ca="1" si="23"/>
        <v>3.8446792288472226E-2</v>
      </c>
      <c r="AZ6">
        <f t="shared" ca="1" si="24"/>
        <v>0.33111484556930171</v>
      </c>
      <c r="BA6">
        <f t="shared" ca="1" si="25"/>
        <v>9.1419688398351698E-2</v>
      </c>
    </row>
    <row r="7" spans="1:53" x14ac:dyDescent="0.3">
      <c r="A7">
        <f>'NWGC - SCENARIOS'!B15</f>
        <v>53</v>
      </c>
      <c r="B7">
        <f>'NWGC - SCENARIOS'!C15</f>
        <v>2029</v>
      </c>
      <c r="C7" s="58">
        <f ca="1">'Yoy WAR OG'!S8</f>
        <v>1781529.4584703115</v>
      </c>
      <c r="D7" s="58">
        <f ca="1">'Yoy WAR OG'!Y8</f>
        <v>0</v>
      </c>
      <c r="E7" s="58">
        <f ca="1">'Yoy WAR OG'!AE8</f>
        <v>435405.54681259941</v>
      </c>
      <c r="F7" s="58">
        <f ca="1">'Yoy WAR OG'!AK8</f>
        <v>35064790.826924756</v>
      </c>
      <c r="G7" s="58">
        <f ca="1">'Yoy WAR OG'!AQ8</f>
        <v>15312034.057723815</v>
      </c>
      <c r="H7" s="58">
        <f ca="1">'Yoy WAR OG'!AW8</f>
        <v>2657606.6895884844</v>
      </c>
      <c r="I7" s="58">
        <f ca="1">'Yoy WAR OG'!BC8</f>
        <v>5610206.9228000008</v>
      </c>
      <c r="J7" s="58">
        <f ca="1">'Yoy WAR OG'!BI8</f>
        <v>325419.43580928014</v>
      </c>
      <c r="K7" s="58">
        <f ca="1">'Yoy WAR OG'!BO8</f>
        <v>0</v>
      </c>
      <c r="L7" s="58">
        <f ca="1">'Yoy WAR OG'!BU8</f>
        <v>3221020.0000000009</v>
      </c>
      <c r="M7" s="58">
        <f ca="1">'Yoy WAR OG'!CA8</f>
        <v>881596.84608000028</v>
      </c>
      <c r="N7" s="58">
        <f ca="1">'Yoy WAR OG'!CG8</f>
        <v>9853829.6315499991</v>
      </c>
      <c r="O7" s="58">
        <f ca="1">'Yoy WAR OG'!CM8</f>
        <v>0</v>
      </c>
      <c r="P7" s="58">
        <f ca="1">'Yoy WAR OG'!CS8</f>
        <v>3190703.90625</v>
      </c>
      <c r="Q7" s="58">
        <f ca="1">'Yoy WAR OG'!CY8</f>
        <v>2959683.135416205</v>
      </c>
      <c r="R7" s="58">
        <f ca="1">'Yoy WAR OG'!DE8</f>
        <v>0</v>
      </c>
      <c r="S7" s="58">
        <f ca="1">'Yoy WAR OG'!DK8</f>
        <v>2643512.5248000016</v>
      </c>
      <c r="T7" s="58">
        <f ca="1">'Yoy WAR OG'!DQ8</f>
        <v>0</v>
      </c>
      <c r="U7" s="58">
        <f ca="1">'Yoy WAR OG'!DW8</f>
        <v>0</v>
      </c>
      <c r="V7" s="58">
        <f ca="1">'Yoy WAR OG'!EC8</f>
        <v>0</v>
      </c>
      <c r="W7" s="58">
        <f ca="1">'Yoy WAR OG'!EI8</f>
        <v>0</v>
      </c>
      <c r="X7" s="58">
        <f ca="1">'Yoy WAR OG'!EO8</f>
        <v>5655334.8519589426</v>
      </c>
      <c r="Y7" s="58">
        <f ca="1">'Yoy WAR OG'!EU8</f>
        <v>49663265.837094203</v>
      </c>
      <c r="Z7" s="58">
        <f ca="1">'Yoy WAR OG'!FA8</f>
        <v>14305835.356914373</v>
      </c>
      <c r="AB7" s="200">
        <f t="shared" ca="1" si="1"/>
        <v>8.1500844264240258E-2</v>
      </c>
      <c r="AD7">
        <f t="shared" ca="1" si="2"/>
        <v>1.1601386205279497E-2</v>
      </c>
      <c r="AE7">
        <f t="shared" ca="1" si="3"/>
        <v>0</v>
      </c>
      <c r="AF7">
        <f t="shared" ca="1" si="4"/>
        <v>2.8353771420827983E-3</v>
      </c>
      <c r="AG7">
        <f t="shared" ca="1" si="5"/>
        <v>0.22834322422026629</v>
      </c>
      <c r="AH7">
        <f t="shared" ca="1" si="6"/>
        <v>9.9712536240953345E-2</v>
      </c>
      <c r="AI7">
        <f t="shared" ca="1" si="7"/>
        <v>1.7306433772991778E-2</v>
      </c>
      <c r="AJ7">
        <f t="shared" ca="1" si="8"/>
        <v>3.6533876492180442E-2</v>
      </c>
      <c r="AK7">
        <f t="shared" ca="1" si="9"/>
        <v>2.1191434896447063E-3</v>
      </c>
      <c r="AL7">
        <f t="shared" ca="1" si="10"/>
        <v>0</v>
      </c>
      <c r="AM7">
        <f t="shared" ca="1" si="11"/>
        <v>2.0975402240620375E-2</v>
      </c>
      <c r="AN7">
        <f t="shared" ca="1" si="12"/>
        <v>5.740991505979562E-3</v>
      </c>
      <c r="AO7">
        <f t="shared" ca="1" si="13"/>
        <v>6.4168505669727371E-2</v>
      </c>
      <c r="AP7">
        <f t="shared" ca="1" si="14"/>
        <v>0</v>
      </c>
      <c r="AQ7">
        <f t="shared" ca="1" si="15"/>
        <v>2.077798270867999E-2</v>
      </c>
      <c r="AR7">
        <f t="shared" ca="1" si="16"/>
        <v>1.9273566842222461E-2</v>
      </c>
      <c r="AS7">
        <f t="shared" ca="1" si="17"/>
        <v>0</v>
      </c>
      <c r="AT7">
        <f t="shared" ca="1" si="18"/>
        <v>1.7214652046804418E-2</v>
      </c>
      <c r="AU7">
        <f t="shared" ca="1" si="19"/>
        <v>0</v>
      </c>
      <c r="AV7">
        <f t="shared" ca="1" si="20"/>
        <v>0</v>
      </c>
      <c r="AW7">
        <f t="shared" ca="1" si="21"/>
        <v>0</v>
      </c>
      <c r="AX7">
        <f t="shared" ca="1" si="22"/>
        <v>0</v>
      </c>
      <c r="AY7">
        <f t="shared" ca="1" si="23"/>
        <v>3.6827751248125776E-2</v>
      </c>
      <c r="AZ7">
        <f t="shared" ca="1" si="24"/>
        <v>0.3234090373595665</v>
      </c>
      <c r="BA7">
        <f t="shared" ca="1" si="25"/>
        <v>9.3160132814874744E-2</v>
      </c>
    </row>
    <row r="8" spans="1:53" x14ac:dyDescent="0.3">
      <c r="A8">
        <f>'NWGC - SCENARIOS'!B16</f>
        <v>54</v>
      </c>
      <c r="B8">
        <f>'NWGC - SCENARIOS'!C16</f>
        <v>2030</v>
      </c>
      <c r="C8" s="58">
        <f ca="1">'Yoy WAR OG'!S9</f>
        <v>0</v>
      </c>
      <c r="D8" s="58">
        <f ca="1">'Yoy WAR OG'!Y9</f>
        <v>0</v>
      </c>
      <c r="E8" s="58">
        <f ca="1">'Yoy WAR OG'!AE9</f>
        <v>483300.1569619854</v>
      </c>
      <c r="F8" s="58">
        <f ca="1">'Yoy WAR OG'!AK9</f>
        <v>38921917.817886479</v>
      </c>
      <c r="G8" s="58">
        <f ca="1">'Yoy WAR OG'!AQ9</f>
        <v>15959224.653687097</v>
      </c>
      <c r="H8" s="58">
        <f ca="1">'Yoy WAR OG'!AW9</f>
        <v>0</v>
      </c>
      <c r="I8" s="58">
        <f ca="1">'Yoy WAR OG'!BC9</f>
        <v>6002921.4073960008</v>
      </c>
      <c r="J8" s="58">
        <f ca="1">'Yoy WAR OG'!BI9</f>
        <v>0</v>
      </c>
      <c r="K8" s="58">
        <f ca="1">'Yoy WAR OG'!BO9</f>
        <v>0</v>
      </c>
      <c r="L8" s="58">
        <f ca="1">'Yoy WAR OG'!BU9</f>
        <v>3543122.0000000014</v>
      </c>
      <c r="M8" s="58">
        <f ca="1">'Yoy WAR OG'!CA9</f>
        <v>952124.59376640036</v>
      </c>
      <c r="N8" s="58">
        <f ca="1">'Yoy WAR OG'!CG9</f>
        <v>21742185.263496496</v>
      </c>
      <c r="O8" s="58">
        <f ca="1">'Yoy WAR OG'!CM9</f>
        <v>0</v>
      </c>
      <c r="P8" s="58">
        <f ca="1">'Yoy WAR OG'!CS9</f>
        <v>3350239.1015625</v>
      </c>
      <c r="Q8" s="58">
        <f ca="1">'Yoy WAR OG'!CY9</f>
        <v>3352377.1525203339</v>
      </c>
      <c r="R8" s="58">
        <f ca="1">'Yoy WAR OG'!DE9</f>
        <v>0</v>
      </c>
      <c r="S8" s="58">
        <f ca="1">'Yoy WAR OG'!DK9</f>
        <v>2960734.027776002</v>
      </c>
      <c r="T8" s="58">
        <f ca="1">'Yoy WAR OG'!DQ9</f>
        <v>0</v>
      </c>
      <c r="U8" s="58">
        <f ca="1">'Yoy WAR OG'!DW9</f>
        <v>0</v>
      </c>
      <c r="V8" s="58">
        <f ca="1">'Yoy WAR OG'!EC9</f>
        <v>0</v>
      </c>
      <c r="W8" s="58">
        <f ca="1">'Yoy WAR OG'!EI9</f>
        <v>0</v>
      </c>
      <c r="X8" s="58">
        <f ca="1">'Yoy WAR OG'!EO9</f>
        <v>6206863.6264480269</v>
      </c>
      <c r="Y8" s="58">
        <f ca="1">'Yoy WAR OG'!EU9</f>
        <v>55635714.60086555</v>
      </c>
      <c r="Z8" s="58">
        <f ca="1">'Yoy WAR OG'!FA9</f>
        <v>16565831.362252094</v>
      </c>
      <c r="AB8" s="200">
        <f t="shared" ca="1" si="1"/>
        <v>7.8941975652965041E-2</v>
      </c>
      <c r="AD8">
        <f t="shared" ca="1" si="2"/>
        <v>0</v>
      </c>
      <c r="AE8">
        <f t="shared" ca="1" si="3"/>
        <v>0</v>
      </c>
      <c r="AF8">
        <f t="shared" ca="1" si="4"/>
        <v>2.7510794189836993E-3</v>
      </c>
      <c r="AG8">
        <f t="shared" ca="1" si="5"/>
        <v>0.22155442226472261</v>
      </c>
      <c r="AH8">
        <f t="shared" ca="1" si="6"/>
        <v>9.0844362153081698E-2</v>
      </c>
      <c r="AI8">
        <f t="shared" ca="1" si="7"/>
        <v>0</v>
      </c>
      <c r="AJ8">
        <f t="shared" ca="1" si="8"/>
        <v>3.4170304519397808E-2</v>
      </c>
      <c r="AK8">
        <f t="shared" ca="1" si="9"/>
        <v>0</v>
      </c>
      <c r="AL8">
        <f t="shared" ca="1" si="10"/>
        <v>0</v>
      </c>
      <c r="AM8">
        <f t="shared" ca="1" si="11"/>
        <v>2.0168439576805398E-2</v>
      </c>
      <c r="AN8">
        <f t="shared" ca="1" si="12"/>
        <v>5.4197589975643013E-3</v>
      </c>
      <c r="AO8">
        <f t="shared" ca="1" si="13"/>
        <v>0.12376258840495406</v>
      </c>
      <c r="AP8">
        <f t="shared" ca="1" si="14"/>
        <v>0</v>
      </c>
      <c r="AQ8">
        <f t="shared" ca="1" si="15"/>
        <v>1.9070496270722277E-2</v>
      </c>
      <c r="AR8">
        <f t="shared" ca="1" si="16"/>
        <v>1.9082666653665682E-2</v>
      </c>
      <c r="AS8">
        <f t="shared" ca="1" si="17"/>
        <v>0</v>
      </c>
      <c r="AT8">
        <f t="shared" ca="1" si="18"/>
        <v>1.6853324650461358E-2</v>
      </c>
      <c r="AU8">
        <f t="shared" ca="1" si="19"/>
        <v>0</v>
      </c>
      <c r="AV8">
        <f t="shared" ca="1" si="20"/>
        <v>0</v>
      </c>
      <c r="AW8">
        <f t="shared" ca="1" si="21"/>
        <v>0</v>
      </c>
      <c r="AX8">
        <f t="shared" ca="1" si="22"/>
        <v>0</v>
      </c>
      <c r="AY8">
        <f t="shared" ca="1" si="23"/>
        <v>3.5331200565910006E-2</v>
      </c>
      <c r="AZ8">
        <f t="shared" ca="1" si="24"/>
        <v>0.31669401963577493</v>
      </c>
      <c r="BA8">
        <f t="shared" ca="1" si="25"/>
        <v>9.4297336887956176E-2</v>
      </c>
    </row>
    <row r="9" spans="1:53" x14ac:dyDescent="0.3">
      <c r="A9">
        <f>'NWGC - SCENARIOS'!B17</f>
        <v>55</v>
      </c>
      <c r="B9">
        <f>'NWGC - SCENARIOS'!C17</f>
        <v>2031</v>
      </c>
      <c r="C9" s="58">
        <f ca="1">'Yoy WAR OG'!S10</f>
        <v>0</v>
      </c>
      <c r="D9" s="58">
        <f ca="1">'Yoy WAR OG'!Y10</f>
        <v>0</v>
      </c>
      <c r="E9" s="58">
        <f ca="1">'Yoy WAR OG'!AE10</f>
        <v>0</v>
      </c>
      <c r="F9" s="58">
        <f ca="1">'Yoy WAR OG'!AK10</f>
        <v>78111887.778543115</v>
      </c>
      <c r="G9" s="58">
        <f ca="1">'Yoy WAR OG'!AQ10</f>
        <v>82511835.800103411</v>
      </c>
      <c r="H9" s="58">
        <f ca="1">'Yoy WAR OG'!AW10</f>
        <v>0</v>
      </c>
      <c r="I9" s="58">
        <f ca="1">'Yoy WAR OG'!BC10</f>
        <v>6423125.9059137208</v>
      </c>
      <c r="J9" s="58">
        <f ca="1">'Yoy WAR OG'!BI10</f>
        <v>0</v>
      </c>
      <c r="K9" s="58">
        <f ca="1">'Yoy WAR OG'!BO10</f>
        <v>0</v>
      </c>
      <c r="L9" s="58">
        <f ca="1">'Yoy WAR OG'!BU10</f>
        <v>0</v>
      </c>
      <c r="M9" s="58">
        <f ca="1">'Yoy WAR OG'!CA10</f>
        <v>0</v>
      </c>
      <c r="N9" s="58">
        <f ca="1">'Yoy WAR OG'!CG10</f>
        <v>22394450.821401391</v>
      </c>
      <c r="O9" s="58">
        <f ca="1">'Yoy WAR OG'!CM10</f>
        <v>0</v>
      </c>
      <c r="P9" s="58">
        <f ca="1">'Yoy WAR OG'!CS10</f>
        <v>3517751.056640625</v>
      </c>
      <c r="Q9" s="58">
        <f ca="1">'Yoy WAR OG'!CY10</f>
        <v>0</v>
      </c>
      <c r="R9" s="58">
        <f ca="1">'Yoy WAR OG'!DE10</f>
        <v>0</v>
      </c>
      <c r="S9" s="58">
        <f ca="1">'Yoy WAR OG'!DK10</f>
        <v>0</v>
      </c>
      <c r="T9" s="58">
        <f ca="1">'Yoy WAR OG'!DQ10</f>
        <v>0</v>
      </c>
      <c r="U9" s="58">
        <f ca="1">'Yoy WAR OG'!DW10</f>
        <v>0</v>
      </c>
      <c r="V9" s="58">
        <f ca="1">'Yoy WAR OG'!EC10</f>
        <v>0</v>
      </c>
      <c r="W9" s="58">
        <f ca="1">'Yoy WAR OG'!EI10</f>
        <v>0</v>
      </c>
      <c r="X9" s="58">
        <f ca="1">'Yoy WAR OG'!EO10</f>
        <v>0</v>
      </c>
      <c r="Y9" s="58">
        <f ca="1">'Yoy WAR OG'!EU10</f>
        <v>0</v>
      </c>
      <c r="Z9" s="58">
        <f ca="1">'Yoy WAR OG'!FA10</f>
        <v>0</v>
      </c>
      <c r="AB9" s="200">
        <f t="shared" ca="1" si="1"/>
        <v>7.4771296882161914E-2</v>
      </c>
      <c r="AD9">
        <f t="shared" ca="1" si="2"/>
        <v>0</v>
      </c>
      <c r="AE9">
        <f t="shared" ca="1" si="3"/>
        <v>0</v>
      </c>
      <c r="AF9">
        <f t="shared" ca="1" si="4"/>
        <v>0</v>
      </c>
      <c r="AG9">
        <f t="shared" ca="1" si="5"/>
        <v>0.40481069546594028</v>
      </c>
      <c r="AH9">
        <f t="shared" ca="1" si="6"/>
        <v>0.42761319159395067</v>
      </c>
      <c r="AI9">
        <f t="shared" ca="1" si="7"/>
        <v>0</v>
      </c>
      <c r="AJ9">
        <f t="shared" ca="1" si="8"/>
        <v>3.3287507689098217E-2</v>
      </c>
      <c r="AK9">
        <f t="shared" ca="1" si="9"/>
        <v>0</v>
      </c>
      <c r="AL9">
        <f t="shared" ca="1" si="10"/>
        <v>0</v>
      </c>
      <c r="AM9">
        <f t="shared" ca="1" si="11"/>
        <v>0</v>
      </c>
      <c r="AN9">
        <f t="shared" ca="1" si="12"/>
        <v>0</v>
      </c>
      <c r="AO9">
        <f t="shared" ca="1" si="13"/>
        <v>0.11605804787731093</v>
      </c>
      <c r="AP9">
        <f t="shared" ca="1" si="14"/>
        <v>0</v>
      </c>
      <c r="AQ9">
        <f t="shared" ca="1" si="15"/>
        <v>1.8230557373699892E-2</v>
      </c>
      <c r="AR9">
        <f t="shared" ca="1" si="16"/>
        <v>0</v>
      </c>
      <c r="AS9">
        <f t="shared" ca="1" si="17"/>
        <v>0</v>
      </c>
      <c r="AT9">
        <f t="shared" ca="1" si="18"/>
        <v>0</v>
      </c>
      <c r="AU9">
        <f t="shared" ca="1" si="19"/>
        <v>0</v>
      </c>
      <c r="AV9">
        <f t="shared" ca="1" si="20"/>
        <v>0</v>
      </c>
      <c r="AW9">
        <f t="shared" ca="1" si="21"/>
        <v>0</v>
      </c>
      <c r="AX9">
        <f t="shared" ca="1" si="22"/>
        <v>0</v>
      </c>
      <c r="AY9">
        <f t="shared" ca="1" si="23"/>
        <v>0</v>
      </c>
      <c r="AZ9">
        <f t="shared" ca="1" si="24"/>
        <v>0</v>
      </c>
      <c r="BA9">
        <f t="shared" ca="1" si="25"/>
        <v>0</v>
      </c>
    </row>
    <row r="10" spans="1:53" x14ac:dyDescent="0.3">
      <c r="A10">
        <f>'NWGC - SCENARIOS'!B18</f>
        <v>56</v>
      </c>
      <c r="B10">
        <f>'NWGC - SCENARIOS'!C18</f>
        <v>2032</v>
      </c>
      <c r="C10" s="58">
        <f ca="1">'Yoy WAR OG'!S11</f>
        <v>0</v>
      </c>
      <c r="D10" s="58">
        <f ca="1">'Yoy WAR OG'!Y11</f>
        <v>0</v>
      </c>
      <c r="E10" s="58">
        <f ca="1">'Yoy WAR OG'!AE11</f>
        <v>0</v>
      </c>
      <c r="F10" s="58">
        <f ca="1">'Yoy WAR OG'!AK11</f>
        <v>82377297.611289993</v>
      </c>
      <c r="G10" s="58">
        <f ca="1">'Yoy WAR OG'!AQ11</f>
        <v>91253703.201770812</v>
      </c>
      <c r="H10" s="58">
        <f ca="1">'Yoy WAR OG'!AW11</f>
        <v>0</v>
      </c>
      <c r="I10" s="58">
        <f ca="1">'Yoy WAR OG'!BC11</f>
        <v>6872744.7193276817</v>
      </c>
      <c r="J10" s="58">
        <f ca="1">'Yoy WAR OG'!BI11</f>
        <v>0</v>
      </c>
      <c r="K10" s="58">
        <f ca="1">'Yoy WAR OG'!BO11</f>
        <v>0</v>
      </c>
      <c r="L10" s="58">
        <f ca="1">'Yoy WAR OG'!BU11</f>
        <v>0</v>
      </c>
      <c r="M10" s="58">
        <f ca="1">'Yoy WAR OG'!CA11</f>
        <v>0</v>
      </c>
      <c r="N10" s="58">
        <f ca="1">'Yoy WAR OG'!CG11</f>
        <v>23066284.346043434</v>
      </c>
      <c r="O10" s="58">
        <f ca="1">'Yoy WAR OG'!CM11</f>
        <v>0</v>
      </c>
      <c r="P10" s="58">
        <f ca="1">'Yoy WAR OG'!CS11</f>
        <v>3693638.6094726566</v>
      </c>
      <c r="Q10" s="58">
        <f ca="1">'Yoy WAR OG'!CY11</f>
        <v>0</v>
      </c>
      <c r="R10" s="58">
        <f ca="1">'Yoy WAR OG'!DE11</f>
        <v>0</v>
      </c>
      <c r="S10" s="58">
        <f ca="1">'Yoy WAR OG'!DK11</f>
        <v>0</v>
      </c>
      <c r="T10" s="58">
        <f ca="1">'Yoy WAR OG'!DQ11</f>
        <v>0</v>
      </c>
      <c r="U10" s="58">
        <f ca="1">'Yoy WAR OG'!DW11</f>
        <v>0</v>
      </c>
      <c r="V10" s="58">
        <f ca="1">'Yoy WAR OG'!EC11</f>
        <v>0</v>
      </c>
      <c r="W10" s="58">
        <f ca="1">'Yoy WAR OG'!EI11</f>
        <v>0</v>
      </c>
      <c r="X10" s="58">
        <f ca="1">'Yoy WAR OG'!EO11</f>
        <v>0</v>
      </c>
      <c r="Y10" s="58">
        <f ca="1">'Yoy WAR OG'!EU11</f>
        <v>0</v>
      </c>
      <c r="Z10" s="58">
        <f ca="1">'Yoy WAR OG'!FA11</f>
        <v>0</v>
      </c>
      <c r="AB10" s="200">
        <f t="shared" ca="1" si="1"/>
        <v>7.4485890929061216E-2</v>
      </c>
      <c r="AD10">
        <f t="shared" ca="1" si="2"/>
        <v>0</v>
      </c>
      <c r="AE10">
        <f t="shared" ca="1" si="3"/>
        <v>0</v>
      </c>
      <c r="AF10">
        <f t="shared" ca="1" si="4"/>
        <v>0</v>
      </c>
      <c r="AG10">
        <f t="shared" ca="1" si="5"/>
        <v>0.39745170107368494</v>
      </c>
      <c r="AH10">
        <f t="shared" ca="1" si="6"/>
        <v>0.44027833661110821</v>
      </c>
      <c r="AI10">
        <f t="shared" ca="1" si="7"/>
        <v>0</v>
      </c>
      <c r="AJ10">
        <f t="shared" ca="1" si="8"/>
        <v>3.3159428130689284E-2</v>
      </c>
      <c r="AK10">
        <f t="shared" ca="1" si="9"/>
        <v>0</v>
      </c>
      <c r="AL10">
        <f t="shared" ca="1" si="10"/>
        <v>0</v>
      </c>
      <c r="AM10">
        <f t="shared" ca="1" si="11"/>
        <v>0</v>
      </c>
      <c r="AN10">
        <f t="shared" ca="1" si="12"/>
        <v>0</v>
      </c>
      <c r="AO10">
        <f t="shared" ca="1" si="13"/>
        <v>0.11128956905145933</v>
      </c>
      <c r="AP10">
        <f t="shared" ca="1" si="14"/>
        <v>0</v>
      </c>
      <c r="AQ10">
        <f t="shared" ca="1" si="15"/>
        <v>1.782096513305808E-2</v>
      </c>
      <c r="AR10">
        <f t="shared" ca="1" si="16"/>
        <v>0</v>
      </c>
      <c r="AS10">
        <f t="shared" ca="1" si="17"/>
        <v>0</v>
      </c>
      <c r="AT10">
        <f t="shared" ca="1" si="18"/>
        <v>0</v>
      </c>
      <c r="AU10">
        <f t="shared" ca="1" si="19"/>
        <v>0</v>
      </c>
      <c r="AV10">
        <f t="shared" ca="1" si="20"/>
        <v>0</v>
      </c>
      <c r="AW10">
        <f t="shared" ca="1" si="21"/>
        <v>0</v>
      </c>
      <c r="AX10">
        <f t="shared" ca="1" si="22"/>
        <v>0</v>
      </c>
      <c r="AY10">
        <f t="shared" ca="1" si="23"/>
        <v>0</v>
      </c>
      <c r="AZ10">
        <f t="shared" ca="1" si="24"/>
        <v>0</v>
      </c>
      <c r="BA10">
        <f t="shared" ca="1" si="25"/>
        <v>0</v>
      </c>
    </row>
    <row r="11" spans="1:53" x14ac:dyDescent="0.3">
      <c r="A11">
        <f>'NWGC - SCENARIOS'!B19</f>
        <v>57</v>
      </c>
      <c r="B11">
        <f>'NWGC - SCENARIOS'!C19</f>
        <v>2033</v>
      </c>
      <c r="C11" s="58">
        <f ca="1">'Yoy WAR OG'!S12</f>
        <v>0</v>
      </c>
      <c r="D11" s="58">
        <f ca="1">'Yoy WAR OG'!Y12</f>
        <v>0</v>
      </c>
      <c r="E11" s="58">
        <f ca="1">'Yoy WAR OG'!AE12</f>
        <v>0</v>
      </c>
      <c r="F11" s="58">
        <f ca="1">'Yoy WAR OG'!AK12</f>
        <v>94650694.382724941</v>
      </c>
      <c r="G11" s="58">
        <f ca="1">'Yoy WAR OG'!AQ12</f>
        <v>106457966.25023796</v>
      </c>
      <c r="H11" s="58">
        <f ca="1">'Yoy WAR OG'!AW12</f>
        <v>0</v>
      </c>
      <c r="I11" s="58">
        <f ca="1">'Yoy WAR OG'!BC12</f>
        <v>7353836.8496806202</v>
      </c>
      <c r="J11" s="58">
        <f ca="1">'Yoy WAR OG'!BI12</f>
        <v>0</v>
      </c>
      <c r="K11" s="58">
        <f ca="1">'Yoy WAR OG'!BO12</f>
        <v>0</v>
      </c>
      <c r="L11" s="58">
        <f ca="1">'Yoy WAR OG'!BU12</f>
        <v>0</v>
      </c>
      <c r="M11" s="58">
        <f ca="1">'Yoy WAR OG'!CA12</f>
        <v>0</v>
      </c>
      <c r="N11" s="58">
        <f ca="1">'Yoy WAR OG'!CG12</f>
        <v>23758272.876424737</v>
      </c>
      <c r="O11" s="58">
        <f ca="1">'Yoy WAR OG'!CM12</f>
        <v>0</v>
      </c>
      <c r="P11" s="58">
        <f ca="1">'Yoy WAR OG'!CS12</f>
        <v>3878320.5399462897</v>
      </c>
      <c r="Q11" s="58">
        <f ca="1">'Yoy WAR OG'!CY12</f>
        <v>0</v>
      </c>
      <c r="R11" s="58">
        <f ca="1">'Yoy WAR OG'!DE12</f>
        <v>0</v>
      </c>
      <c r="S11" s="58">
        <f ca="1">'Yoy WAR OG'!DK12</f>
        <v>0</v>
      </c>
      <c r="T11" s="58">
        <f ca="1">'Yoy WAR OG'!DQ12</f>
        <v>0</v>
      </c>
      <c r="U11" s="58">
        <f ca="1">'Yoy WAR OG'!DW12</f>
        <v>0</v>
      </c>
      <c r="V11" s="58">
        <f ca="1">'Yoy WAR OG'!EC12</f>
        <v>0</v>
      </c>
      <c r="W11" s="58">
        <f ca="1">'Yoy WAR OG'!EI12</f>
        <v>0</v>
      </c>
      <c r="X11" s="58">
        <f ca="1">'Yoy WAR OG'!EO12</f>
        <v>0</v>
      </c>
      <c r="Y11" s="58">
        <f ca="1">'Yoy WAR OG'!EU12</f>
        <v>0</v>
      </c>
      <c r="Z11" s="58">
        <f ca="1">'Yoy WAR OG'!FA12</f>
        <v>0</v>
      </c>
      <c r="AB11" s="200">
        <f t="shared" ca="1" si="1"/>
        <v>7.4918532092934711E-2</v>
      </c>
      <c r="AD11">
        <f t="shared" ca="1" si="2"/>
        <v>0</v>
      </c>
      <c r="AE11">
        <f t="shared" ca="1" si="3"/>
        <v>0</v>
      </c>
      <c r="AF11">
        <f t="shared" ca="1" si="4"/>
        <v>0</v>
      </c>
      <c r="AG11">
        <f t="shared" ca="1" si="5"/>
        <v>0.40089393831342368</v>
      </c>
      <c r="AH11">
        <f t="shared" ca="1" si="6"/>
        <v>0.45090375335571575</v>
      </c>
      <c r="AI11">
        <f t="shared" ca="1" si="7"/>
        <v>0</v>
      </c>
      <c r="AJ11">
        <f t="shared" ca="1" si="8"/>
        <v>3.1147247630978977E-2</v>
      </c>
      <c r="AK11">
        <f t="shared" ca="1" si="9"/>
        <v>0</v>
      </c>
      <c r="AL11">
        <f t="shared" ca="1" si="10"/>
        <v>0</v>
      </c>
      <c r="AM11">
        <f t="shared" ca="1" si="11"/>
        <v>0</v>
      </c>
      <c r="AN11">
        <f t="shared" ca="1" si="12"/>
        <v>0</v>
      </c>
      <c r="AO11">
        <f t="shared" ca="1" si="13"/>
        <v>0.10062839626344323</v>
      </c>
      <c r="AP11">
        <f t="shared" ca="1" si="14"/>
        <v>0</v>
      </c>
      <c r="AQ11">
        <f t="shared" ca="1" si="15"/>
        <v>1.6426664436438445E-2</v>
      </c>
      <c r="AR11">
        <f t="shared" ca="1" si="16"/>
        <v>0</v>
      </c>
      <c r="AS11">
        <f t="shared" ca="1" si="17"/>
        <v>0</v>
      </c>
      <c r="AT11">
        <f t="shared" ca="1" si="18"/>
        <v>0</v>
      </c>
      <c r="AU11">
        <f t="shared" ca="1" si="19"/>
        <v>0</v>
      </c>
      <c r="AV11">
        <f t="shared" ca="1" si="20"/>
        <v>0</v>
      </c>
      <c r="AW11">
        <f t="shared" ca="1" si="21"/>
        <v>0</v>
      </c>
      <c r="AX11">
        <f t="shared" ca="1" si="22"/>
        <v>0</v>
      </c>
      <c r="AY11">
        <f t="shared" ca="1" si="23"/>
        <v>0</v>
      </c>
      <c r="AZ11">
        <f t="shared" ca="1" si="24"/>
        <v>0</v>
      </c>
      <c r="BA11">
        <f t="shared" ca="1" si="25"/>
        <v>0</v>
      </c>
    </row>
    <row r="12" spans="1:53" x14ac:dyDescent="0.3">
      <c r="A12">
        <f>'NWGC - SCENARIOS'!B20</f>
        <v>58</v>
      </c>
      <c r="B12">
        <f>'NWGC - SCENARIOS'!C20</f>
        <v>2034</v>
      </c>
      <c r="C12" s="58">
        <f ca="1">'Yoy WAR OG'!S13</f>
        <v>0</v>
      </c>
      <c r="D12" s="58">
        <f ca="1">'Yoy WAR OG'!Y13</f>
        <v>0</v>
      </c>
      <c r="E12" s="58">
        <f ca="1">'Yoy WAR OG'!AE13</f>
        <v>0</v>
      </c>
      <c r="F12" s="58">
        <f ca="1">'Yoy WAR OG'!AK13</f>
        <v>106120292.26190808</v>
      </c>
      <c r="G12" s="58">
        <f ca="1">'Yoy WAR OG'!AQ13</f>
        <v>115197391.0337296</v>
      </c>
      <c r="H12" s="58">
        <f ca="1">'Yoy WAR OG'!AW13</f>
        <v>0</v>
      </c>
      <c r="I12" s="58">
        <f ca="1">'Yoy WAR OG'!BC13</f>
        <v>7868605.4291582638</v>
      </c>
      <c r="J12" s="58">
        <f ca="1">'Yoy WAR OG'!BI13</f>
        <v>0</v>
      </c>
      <c r="K12" s="58">
        <f ca="1">'Yoy WAR OG'!BO13</f>
        <v>0</v>
      </c>
      <c r="L12" s="58">
        <f ca="1">'Yoy WAR OG'!BU13</f>
        <v>0</v>
      </c>
      <c r="M12" s="58">
        <f ca="1">'Yoy WAR OG'!CA13</f>
        <v>0</v>
      </c>
      <c r="N12" s="58">
        <f ca="1">'Yoy WAR OG'!CG13</f>
        <v>24471021.062717479</v>
      </c>
      <c r="O12" s="58">
        <f ca="1">'Yoy WAR OG'!CM13</f>
        <v>0</v>
      </c>
      <c r="P12" s="58">
        <f ca="1">'Yoy WAR OG'!CS13</f>
        <v>4072236.5669436045</v>
      </c>
      <c r="Q12" s="58">
        <f ca="1">'Yoy WAR OG'!CY13</f>
        <v>0</v>
      </c>
      <c r="R12" s="58">
        <f ca="1">'Yoy WAR OG'!DE13</f>
        <v>0</v>
      </c>
      <c r="S12" s="58">
        <f ca="1">'Yoy WAR OG'!DK13</f>
        <v>0</v>
      </c>
      <c r="T12" s="58">
        <f ca="1">'Yoy WAR OG'!DQ13</f>
        <v>0</v>
      </c>
      <c r="U12" s="58">
        <f ca="1">'Yoy WAR OG'!DW13</f>
        <v>0</v>
      </c>
      <c r="V12" s="58">
        <f ca="1">'Yoy WAR OG'!EC13</f>
        <v>0</v>
      </c>
      <c r="W12" s="58">
        <f ca="1">'Yoy WAR OG'!EI13</f>
        <v>0</v>
      </c>
      <c r="X12" s="58">
        <f ca="1">'Yoy WAR OG'!EO13</f>
        <v>0</v>
      </c>
      <c r="Y12" s="58">
        <f ca="1">'Yoy WAR OG'!EU13</f>
        <v>0</v>
      </c>
      <c r="Z12" s="58">
        <f ca="1">'Yoy WAR OG'!FA13</f>
        <v>0</v>
      </c>
      <c r="AB12" s="200">
        <f t="shared" ca="1" si="1"/>
        <v>7.5651526073458361E-2</v>
      </c>
      <c r="AD12">
        <f t="shared" ca="1" si="2"/>
        <v>0</v>
      </c>
      <c r="AE12">
        <f t="shared" ca="1" si="3"/>
        <v>0</v>
      </c>
      <c r="AF12">
        <f t="shared" ca="1" si="4"/>
        <v>0</v>
      </c>
      <c r="AG12">
        <f t="shared" ca="1" si="5"/>
        <v>0.41175058802129033</v>
      </c>
      <c r="AH12">
        <f t="shared" ca="1" si="6"/>
        <v>0.4469700609153206</v>
      </c>
      <c r="AI12">
        <f t="shared" ca="1" si="7"/>
        <v>0</v>
      </c>
      <c r="AJ12">
        <f t="shared" ca="1" si="8"/>
        <v>3.0530474834796484E-2</v>
      </c>
      <c r="AK12">
        <f t="shared" ca="1" si="9"/>
        <v>0</v>
      </c>
      <c r="AL12">
        <f t="shared" ca="1" si="10"/>
        <v>0</v>
      </c>
      <c r="AM12">
        <f t="shared" ca="1" si="11"/>
        <v>0</v>
      </c>
      <c r="AN12">
        <f t="shared" ca="1" si="12"/>
        <v>0</v>
      </c>
      <c r="AO12">
        <f t="shared" ca="1" si="13"/>
        <v>9.4948450454579753E-2</v>
      </c>
      <c r="AP12">
        <f t="shared" ca="1" si="14"/>
        <v>0</v>
      </c>
      <c r="AQ12">
        <f t="shared" ca="1" si="15"/>
        <v>1.5800425774012857E-2</v>
      </c>
      <c r="AR12">
        <f t="shared" ca="1" si="16"/>
        <v>0</v>
      </c>
      <c r="AS12">
        <f t="shared" ca="1" si="17"/>
        <v>0</v>
      </c>
      <c r="AT12">
        <f t="shared" ca="1" si="18"/>
        <v>0</v>
      </c>
      <c r="AU12">
        <f t="shared" ca="1" si="19"/>
        <v>0</v>
      </c>
      <c r="AV12">
        <f t="shared" ca="1" si="20"/>
        <v>0</v>
      </c>
      <c r="AW12">
        <f t="shared" ca="1" si="21"/>
        <v>0</v>
      </c>
      <c r="AX12">
        <f t="shared" ca="1" si="22"/>
        <v>0</v>
      </c>
      <c r="AY12">
        <f t="shared" ca="1" si="23"/>
        <v>0</v>
      </c>
      <c r="AZ12">
        <f t="shared" ca="1" si="24"/>
        <v>0</v>
      </c>
      <c r="BA12">
        <f t="shared" ca="1" si="25"/>
        <v>0</v>
      </c>
    </row>
    <row r="13" spans="1:53" x14ac:dyDescent="0.3">
      <c r="A13">
        <f>'NWGC - SCENARIOS'!B21</f>
        <v>59</v>
      </c>
      <c r="B13">
        <f>'NWGC - SCENARIOS'!C21</f>
        <v>2035</v>
      </c>
      <c r="C13" s="58">
        <f ca="1">'Yoy WAR OG'!S14</f>
        <v>0</v>
      </c>
      <c r="D13" s="58">
        <f ca="1">'Yoy WAR OG'!Y14</f>
        <v>0</v>
      </c>
      <c r="E13" s="58">
        <f ca="1">'Yoy WAR OG'!AE14</f>
        <v>0</v>
      </c>
      <c r="F13" s="58">
        <f ca="1">'Yoy WAR OG'!AK14</f>
        <v>117793524.41071798</v>
      </c>
      <c r="G13" s="58">
        <f ca="1">'Yoy WAR OG'!AQ14</f>
        <v>121191930.59187265</v>
      </c>
      <c r="H13" s="58">
        <f ca="1">'Yoy WAR OG'!AW14</f>
        <v>0</v>
      </c>
      <c r="I13" s="58">
        <f ca="1">'Yoy WAR OG'!BC14</f>
        <v>8419407.8091993425</v>
      </c>
      <c r="J13" s="58">
        <f ca="1">'Yoy WAR OG'!BI14</f>
        <v>0</v>
      </c>
      <c r="K13" s="58">
        <f ca="1">'Yoy WAR OG'!BO14</f>
        <v>0</v>
      </c>
      <c r="L13" s="58">
        <f ca="1">'Yoy WAR OG'!BU14</f>
        <v>0</v>
      </c>
      <c r="M13" s="58">
        <f ca="1">'Yoy WAR OG'!CA14</f>
        <v>0</v>
      </c>
      <c r="N13" s="58">
        <f ca="1">'Yoy WAR OG'!CG14</f>
        <v>25205151.694599003</v>
      </c>
      <c r="O13" s="58">
        <f ca="1">'Yoy WAR OG'!CM14</f>
        <v>0</v>
      </c>
      <c r="P13" s="58">
        <f ca="1">'Yoy WAR OG'!CS14</f>
        <v>4275848.3952907845</v>
      </c>
      <c r="Q13" s="58">
        <f ca="1">'Yoy WAR OG'!CY14</f>
        <v>0</v>
      </c>
      <c r="R13" s="58">
        <f ca="1">'Yoy WAR OG'!DE14</f>
        <v>0</v>
      </c>
      <c r="S13" s="58">
        <f ca="1">'Yoy WAR OG'!DK14</f>
        <v>0</v>
      </c>
      <c r="T13" s="58">
        <f ca="1">'Yoy WAR OG'!DQ14</f>
        <v>0</v>
      </c>
      <c r="U13" s="58">
        <f ca="1">'Yoy WAR OG'!DW14</f>
        <v>0</v>
      </c>
      <c r="V13" s="58">
        <f ca="1">'Yoy WAR OG'!EC14</f>
        <v>0</v>
      </c>
      <c r="W13" s="58">
        <f ca="1">'Yoy WAR OG'!EI14</f>
        <v>0</v>
      </c>
      <c r="X13" s="58">
        <f ca="1">'Yoy WAR OG'!EO14</f>
        <v>0</v>
      </c>
      <c r="Y13" s="58">
        <f ca="1">'Yoy WAR OG'!EU14</f>
        <v>0</v>
      </c>
      <c r="Z13" s="58">
        <f ca="1">'Yoy WAR OG'!FA14</f>
        <v>0</v>
      </c>
      <c r="AB13" s="200">
        <f t="shared" ca="1" si="1"/>
        <v>7.6501375559575147E-2</v>
      </c>
      <c r="AD13">
        <f t="shared" ca="1" si="2"/>
        <v>0</v>
      </c>
      <c r="AE13">
        <f t="shared" ca="1" si="3"/>
        <v>0</v>
      </c>
      <c r="AF13">
        <f t="shared" ca="1" si="4"/>
        <v>0</v>
      </c>
      <c r="AG13">
        <f t="shared" ca="1" si="5"/>
        <v>0.42542267480281448</v>
      </c>
      <c r="AH13">
        <f t="shared" ca="1" si="6"/>
        <v>0.43769634650833389</v>
      </c>
      <c r="AI13">
        <f t="shared" ca="1" si="7"/>
        <v>0</v>
      </c>
      <c r="AJ13">
        <f t="shared" ca="1" si="8"/>
        <v>3.0407503369679137E-2</v>
      </c>
      <c r="AK13">
        <f t="shared" ca="1" si="9"/>
        <v>0</v>
      </c>
      <c r="AL13">
        <f t="shared" ca="1" si="10"/>
        <v>0</v>
      </c>
      <c r="AM13">
        <f t="shared" ca="1" si="11"/>
        <v>0</v>
      </c>
      <c r="AN13">
        <f t="shared" ca="1" si="12"/>
        <v>0</v>
      </c>
      <c r="AO13">
        <f t="shared" ca="1" si="13"/>
        <v>9.1030836426449033E-2</v>
      </c>
      <c r="AP13">
        <f t="shared" ca="1" si="14"/>
        <v>0</v>
      </c>
      <c r="AQ13">
        <f t="shared" ca="1" si="15"/>
        <v>1.5442638892723492E-2</v>
      </c>
      <c r="AR13">
        <f t="shared" ca="1" si="16"/>
        <v>0</v>
      </c>
      <c r="AS13">
        <f t="shared" ca="1" si="17"/>
        <v>0</v>
      </c>
      <c r="AT13">
        <f t="shared" ca="1" si="18"/>
        <v>0</v>
      </c>
      <c r="AU13">
        <f t="shared" ca="1" si="19"/>
        <v>0</v>
      </c>
      <c r="AV13">
        <f t="shared" ca="1" si="20"/>
        <v>0</v>
      </c>
      <c r="AW13">
        <f t="shared" ca="1" si="21"/>
        <v>0</v>
      </c>
      <c r="AX13">
        <f t="shared" ca="1" si="22"/>
        <v>0</v>
      </c>
      <c r="AY13">
        <f t="shared" ca="1" si="23"/>
        <v>0</v>
      </c>
      <c r="AZ13">
        <f t="shared" ca="1" si="24"/>
        <v>0</v>
      </c>
      <c r="BA13">
        <f t="shared" ca="1" si="25"/>
        <v>0</v>
      </c>
    </row>
    <row r="14" spans="1:53" x14ac:dyDescent="0.3">
      <c r="A14">
        <f>'NWGC - SCENARIOS'!B22</f>
        <v>60</v>
      </c>
      <c r="B14">
        <f>'NWGC - SCENARIOS'!C22</f>
        <v>2036</v>
      </c>
      <c r="C14" s="58">
        <f ca="1">'Yoy WAR OG'!S15</f>
        <v>0</v>
      </c>
      <c r="D14" s="58">
        <f ca="1">'Yoy WAR OG'!Y15</f>
        <v>0</v>
      </c>
      <c r="E14" s="58">
        <f ca="1">'Yoy WAR OG'!AE15</f>
        <v>0</v>
      </c>
      <c r="F14" s="58">
        <f ca="1">'Yoy WAR OG'!AK15</f>
        <v>132069316.64052705</v>
      </c>
      <c r="G14" s="58">
        <f ca="1">'Yoy WAR OG'!AQ15</f>
        <v>128784834.97081546</v>
      </c>
      <c r="H14" s="58">
        <f ca="1">'Yoy WAR OG'!AW15</f>
        <v>0</v>
      </c>
      <c r="I14" s="58">
        <f ca="1">'Yoy WAR OG'!BC15</f>
        <v>9008766.3558432963</v>
      </c>
      <c r="J14" s="58">
        <f ca="1">'Yoy WAR OG'!BI15</f>
        <v>0</v>
      </c>
      <c r="K14" s="58">
        <f ca="1">'Yoy WAR OG'!BO15</f>
        <v>0</v>
      </c>
      <c r="L14" s="58">
        <f ca="1">'Yoy WAR OG'!BU15</f>
        <v>0</v>
      </c>
      <c r="M14" s="58">
        <f ca="1">'Yoy WAR OG'!CA15</f>
        <v>0</v>
      </c>
      <c r="N14" s="58">
        <f ca="1">'Yoy WAR OG'!CG15</f>
        <v>25961306.245436974</v>
      </c>
      <c r="O14" s="58">
        <f ca="1">'Yoy WAR OG'!CM15</f>
        <v>0</v>
      </c>
      <c r="P14" s="58">
        <f ca="1">'Yoy WAR OG'!CS15</f>
        <v>4489640.8150553238</v>
      </c>
      <c r="Q14" s="58">
        <f ca="1">'Yoy WAR OG'!CY15</f>
        <v>0</v>
      </c>
      <c r="R14" s="58">
        <f ca="1">'Yoy WAR OG'!DE15</f>
        <v>0</v>
      </c>
      <c r="S14" s="58">
        <f ca="1">'Yoy WAR OG'!DK15</f>
        <v>0</v>
      </c>
      <c r="T14" s="58">
        <f ca="1">'Yoy WAR OG'!DQ15</f>
        <v>0</v>
      </c>
      <c r="U14" s="58">
        <f ca="1">'Yoy WAR OG'!DW15</f>
        <v>0</v>
      </c>
      <c r="V14" s="58">
        <f ca="1">'Yoy WAR OG'!EC15</f>
        <v>0</v>
      </c>
      <c r="W14" s="58">
        <f ca="1">'Yoy WAR OG'!EI15</f>
        <v>0</v>
      </c>
      <c r="X14" s="58">
        <f ca="1">'Yoy WAR OG'!EO15</f>
        <v>0</v>
      </c>
      <c r="Y14" s="58">
        <f ca="1">'Yoy WAR OG'!EU15</f>
        <v>0</v>
      </c>
      <c r="Z14" s="58">
        <f ca="1">'Yoy WAR OG'!FA15</f>
        <v>0</v>
      </c>
      <c r="AB14" s="200">
        <f t="shared" ca="1" si="1"/>
        <v>7.740144007249021E-2</v>
      </c>
      <c r="AD14">
        <f t="shared" ca="1" si="2"/>
        <v>0</v>
      </c>
      <c r="AE14">
        <f t="shared" ca="1" si="3"/>
        <v>0</v>
      </c>
      <c r="AF14">
        <f t="shared" ca="1" si="4"/>
        <v>0</v>
      </c>
      <c r="AG14">
        <f t="shared" ca="1" si="5"/>
        <v>0.4397709597202748</v>
      </c>
      <c r="AH14">
        <f t="shared" ca="1" si="6"/>
        <v>0.4288341297826731</v>
      </c>
      <c r="AI14">
        <f t="shared" ca="1" si="7"/>
        <v>0</v>
      </c>
      <c r="AJ14">
        <f t="shared" ca="1" si="8"/>
        <v>2.9997836946399441E-2</v>
      </c>
      <c r="AK14">
        <f t="shared" ca="1" si="9"/>
        <v>0</v>
      </c>
      <c r="AL14">
        <f t="shared" ca="1" si="10"/>
        <v>0</v>
      </c>
      <c r="AM14">
        <f t="shared" ca="1" si="11"/>
        <v>0</v>
      </c>
      <c r="AN14">
        <f t="shared" ca="1" si="12"/>
        <v>0</v>
      </c>
      <c r="AO14">
        <f t="shared" ca="1" si="13"/>
        <v>8.644724492838278E-2</v>
      </c>
      <c r="AP14">
        <f t="shared" ca="1" si="14"/>
        <v>0</v>
      </c>
      <c r="AQ14">
        <f t="shared" ca="1" si="15"/>
        <v>1.4949828622270041E-2</v>
      </c>
      <c r="AR14">
        <f t="shared" ca="1" si="16"/>
        <v>0</v>
      </c>
      <c r="AS14">
        <f t="shared" ca="1" si="17"/>
        <v>0</v>
      </c>
      <c r="AT14">
        <f t="shared" ca="1" si="18"/>
        <v>0</v>
      </c>
      <c r="AU14">
        <f t="shared" ca="1" si="19"/>
        <v>0</v>
      </c>
      <c r="AV14">
        <f t="shared" ca="1" si="20"/>
        <v>0</v>
      </c>
      <c r="AW14">
        <f t="shared" ca="1" si="21"/>
        <v>0</v>
      </c>
      <c r="AX14">
        <f t="shared" ca="1" si="22"/>
        <v>0</v>
      </c>
      <c r="AY14">
        <f t="shared" ca="1" si="23"/>
        <v>0</v>
      </c>
      <c r="AZ14">
        <f t="shared" ca="1" si="24"/>
        <v>0</v>
      </c>
      <c r="BA14">
        <f t="shared" ca="1" si="25"/>
        <v>0</v>
      </c>
    </row>
    <row r="15" spans="1:53" x14ac:dyDescent="0.3">
      <c r="A15">
        <f>'NWGC - SCENARIOS'!B23</f>
        <v>61</v>
      </c>
      <c r="B15">
        <f>'NWGC - SCENARIOS'!C23</f>
        <v>2037</v>
      </c>
      <c r="C15" s="58">
        <f ca="1">'Yoy WAR OG'!S16</f>
        <v>0</v>
      </c>
      <c r="D15" s="58">
        <f ca="1">'Yoy WAR OG'!Y16</f>
        <v>0</v>
      </c>
      <c r="E15" s="58">
        <f ca="1">'Yoy WAR OG'!AE16</f>
        <v>0</v>
      </c>
      <c r="F15" s="58">
        <f ca="1">'Yoy WAR OG'!AK16</f>
        <v>141339404.0560177</v>
      </c>
      <c r="G15" s="58">
        <f ca="1">'Yoy WAR OG'!AQ16</f>
        <v>144208109.62847614</v>
      </c>
      <c r="H15" s="58">
        <f ca="1">'Yoy WAR OG'!AW16</f>
        <v>0</v>
      </c>
      <c r="I15" s="58">
        <f ca="1">'Yoy WAR OG'!BC16</f>
        <v>9639380.000752328</v>
      </c>
      <c r="J15" s="58">
        <f ca="1">'Yoy WAR OG'!BI16</f>
        <v>0</v>
      </c>
      <c r="K15" s="58">
        <f ca="1">'Yoy WAR OG'!BO16</f>
        <v>0</v>
      </c>
      <c r="L15" s="58">
        <f ca="1">'Yoy WAR OG'!BU16</f>
        <v>0</v>
      </c>
      <c r="M15" s="58">
        <f ca="1">'Yoy WAR OG'!CA16</f>
        <v>0</v>
      </c>
      <c r="N15" s="58">
        <f ca="1">'Yoy WAR OG'!CG16</f>
        <v>26740145.432800084</v>
      </c>
      <c r="O15" s="58">
        <f ca="1">'Yoy WAR OG'!CM16</f>
        <v>0</v>
      </c>
      <c r="P15" s="58">
        <f ca="1">'Yoy WAR OG'!CS16</f>
        <v>4714122.8558080904</v>
      </c>
      <c r="Q15" s="58">
        <f ca="1">'Yoy WAR OG'!CY16</f>
        <v>0</v>
      </c>
      <c r="R15" s="58">
        <f ca="1">'Yoy WAR OG'!DE16</f>
        <v>0</v>
      </c>
      <c r="S15" s="58">
        <f ca="1">'Yoy WAR OG'!DK16</f>
        <v>0</v>
      </c>
      <c r="T15" s="58">
        <f ca="1">'Yoy WAR OG'!DQ16</f>
        <v>0</v>
      </c>
      <c r="U15" s="58">
        <f ca="1">'Yoy WAR OG'!DW16</f>
        <v>0</v>
      </c>
      <c r="V15" s="58">
        <f ca="1">'Yoy WAR OG'!EC16</f>
        <v>0</v>
      </c>
      <c r="W15" s="58">
        <f ca="1">'Yoy WAR OG'!EI16</f>
        <v>0</v>
      </c>
      <c r="X15" s="58">
        <f ca="1">'Yoy WAR OG'!EO16</f>
        <v>0</v>
      </c>
      <c r="Y15" s="58">
        <f ca="1">'Yoy WAR OG'!EU16</f>
        <v>0</v>
      </c>
      <c r="Z15" s="58">
        <f ca="1">'Yoy WAR OG'!FA16</f>
        <v>0</v>
      </c>
      <c r="AB15" s="200">
        <f t="shared" ca="1" si="1"/>
        <v>7.7122697670208601E-2</v>
      </c>
      <c r="AD15">
        <f t="shared" ca="1" si="2"/>
        <v>0</v>
      </c>
      <c r="AE15">
        <f t="shared" ca="1" si="3"/>
        <v>0</v>
      </c>
      <c r="AF15">
        <f t="shared" ca="1" si="4"/>
        <v>0</v>
      </c>
      <c r="AG15">
        <f t="shared" ca="1" si="5"/>
        <v>0.43270542880119639</v>
      </c>
      <c r="AH15">
        <f t="shared" ca="1" si="6"/>
        <v>0.44148786624760761</v>
      </c>
      <c r="AI15">
        <f t="shared" ca="1" si="7"/>
        <v>0</v>
      </c>
      <c r="AJ15">
        <f t="shared" ca="1" si="8"/>
        <v>2.9510610183060462E-2</v>
      </c>
      <c r="AK15">
        <f t="shared" ca="1" si="9"/>
        <v>0</v>
      </c>
      <c r="AL15">
        <f t="shared" ca="1" si="10"/>
        <v>0</v>
      </c>
      <c r="AM15">
        <f t="shared" ca="1" si="11"/>
        <v>0</v>
      </c>
      <c r="AN15">
        <f t="shared" ca="1" si="12"/>
        <v>0</v>
      </c>
      <c r="AO15">
        <f t="shared" ca="1" si="13"/>
        <v>8.1863979638121878E-2</v>
      </c>
      <c r="AP15">
        <f t="shared" ca="1" si="14"/>
        <v>0</v>
      </c>
      <c r="AQ15">
        <f t="shared" ca="1" si="15"/>
        <v>1.4432115130013612E-2</v>
      </c>
      <c r="AR15">
        <f t="shared" ca="1" si="16"/>
        <v>0</v>
      </c>
      <c r="AS15">
        <f t="shared" ca="1" si="17"/>
        <v>0</v>
      </c>
      <c r="AT15">
        <f t="shared" ca="1" si="18"/>
        <v>0</v>
      </c>
      <c r="AU15">
        <f t="shared" ca="1" si="19"/>
        <v>0</v>
      </c>
      <c r="AV15">
        <f t="shared" ca="1" si="20"/>
        <v>0</v>
      </c>
      <c r="AW15">
        <f t="shared" ca="1" si="21"/>
        <v>0</v>
      </c>
      <c r="AX15">
        <f t="shared" ca="1" si="22"/>
        <v>0</v>
      </c>
      <c r="AY15">
        <f t="shared" ca="1" si="23"/>
        <v>0</v>
      </c>
      <c r="AZ15">
        <f t="shared" ca="1" si="24"/>
        <v>0</v>
      </c>
      <c r="BA15">
        <f t="shared" ca="1" si="25"/>
        <v>0</v>
      </c>
    </row>
    <row r="16" spans="1:53" x14ac:dyDescent="0.3">
      <c r="A16">
        <f>'NWGC - SCENARIOS'!B24</f>
        <v>62</v>
      </c>
      <c r="B16">
        <f>'NWGC - SCENARIOS'!C24</f>
        <v>2038</v>
      </c>
      <c r="C16" s="58">
        <f ca="1">'Yoy WAR OG'!S17</f>
        <v>0</v>
      </c>
      <c r="D16" s="58">
        <f ca="1">'Yoy WAR OG'!Y17</f>
        <v>0</v>
      </c>
      <c r="E16" s="58">
        <f ca="1">'Yoy WAR OG'!AE17</f>
        <v>0</v>
      </c>
      <c r="F16" s="58">
        <f ca="1">'Yoy WAR OG'!AK17</f>
        <v>151035479.82467291</v>
      </c>
      <c r="G16" s="58">
        <f ca="1">'Yoy WAR OG'!AQ17</f>
        <v>161037449.14561221</v>
      </c>
      <c r="H16" s="58">
        <f ca="1">'Yoy WAR OG'!AW17</f>
        <v>0</v>
      </c>
      <c r="I16" s="58">
        <f ca="1">'Yoy WAR OG'!BC17</f>
        <v>10314136.600804992</v>
      </c>
      <c r="J16" s="58">
        <f ca="1">'Yoy WAR OG'!BI17</f>
        <v>0</v>
      </c>
      <c r="K16" s="58">
        <f ca="1">'Yoy WAR OG'!BO17</f>
        <v>0</v>
      </c>
      <c r="L16" s="58">
        <f ca="1">'Yoy WAR OG'!BU17</f>
        <v>0</v>
      </c>
      <c r="M16" s="58">
        <f ca="1">'Yoy WAR OG'!CA17</f>
        <v>0</v>
      </c>
      <c r="N16" s="58">
        <f ca="1">'Yoy WAR OG'!CG17</f>
        <v>27542349.795784086</v>
      </c>
      <c r="O16" s="58">
        <f ca="1">'Yoy WAR OG'!CM17</f>
        <v>0</v>
      </c>
      <c r="P16" s="58">
        <f ca="1">'Yoy WAR OG'!CS17</f>
        <v>4949828.9985984955</v>
      </c>
      <c r="Q16" s="58">
        <f ca="1">'Yoy WAR OG'!CY17</f>
        <v>0</v>
      </c>
      <c r="R16" s="58">
        <f ca="1">'Yoy WAR OG'!DE17</f>
        <v>0</v>
      </c>
      <c r="S16" s="58">
        <f ca="1">'Yoy WAR OG'!DK17</f>
        <v>0</v>
      </c>
      <c r="T16" s="58">
        <f ca="1">'Yoy WAR OG'!DQ17</f>
        <v>0</v>
      </c>
      <c r="U16" s="58">
        <f ca="1">'Yoy WAR OG'!DW17</f>
        <v>0</v>
      </c>
      <c r="V16" s="58">
        <f ca="1">'Yoy WAR OG'!EC17</f>
        <v>0</v>
      </c>
      <c r="W16" s="58">
        <f ca="1">'Yoy WAR OG'!EI17</f>
        <v>0</v>
      </c>
      <c r="X16" s="58">
        <f ca="1">'Yoy WAR OG'!EO17</f>
        <v>0</v>
      </c>
      <c r="Y16" s="58">
        <f ca="1">'Yoy WAR OG'!EU17</f>
        <v>0</v>
      </c>
      <c r="Z16" s="58">
        <f ca="1">'Yoy WAR OG'!FA17</f>
        <v>0</v>
      </c>
      <c r="AB16" s="200">
        <f t="shared" ca="1" si="1"/>
        <v>7.6833780567628338E-2</v>
      </c>
      <c r="AD16">
        <f t="shared" ca="1" si="2"/>
        <v>0</v>
      </c>
      <c r="AE16">
        <f t="shared" ca="1" si="3"/>
        <v>0</v>
      </c>
      <c r="AF16">
        <f t="shared" ca="1" si="4"/>
        <v>0</v>
      </c>
      <c r="AG16">
        <f t="shared" ca="1" si="5"/>
        <v>0.42559682546305488</v>
      </c>
      <c r="AH16">
        <f t="shared" ca="1" si="6"/>
        <v>0.45378097395791239</v>
      </c>
      <c r="AI16">
        <f t="shared" ca="1" si="7"/>
        <v>0</v>
      </c>
      <c r="AJ16">
        <f t="shared" ca="1" si="8"/>
        <v>2.9063792161885264E-2</v>
      </c>
      <c r="AK16">
        <f t="shared" ca="1" si="9"/>
        <v>0</v>
      </c>
      <c r="AL16">
        <f t="shared" ca="1" si="10"/>
        <v>0</v>
      </c>
      <c r="AM16">
        <f t="shared" ca="1" si="11"/>
        <v>0</v>
      </c>
      <c r="AN16">
        <f t="shared" ca="1" si="12"/>
        <v>0</v>
      </c>
      <c r="AO16">
        <f t="shared" ca="1" si="13"/>
        <v>7.7610483659110732E-2</v>
      </c>
      <c r="AP16">
        <f t="shared" ca="1" si="14"/>
        <v>0</v>
      </c>
      <c r="AQ16">
        <f t="shared" ca="1" si="15"/>
        <v>1.3947924758036594E-2</v>
      </c>
      <c r="AR16">
        <f t="shared" ca="1" si="16"/>
        <v>0</v>
      </c>
      <c r="AS16">
        <f t="shared" ca="1" si="17"/>
        <v>0</v>
      </c>
      <c r="AT16">
        <f t="shared" ca="1" si="18"/>
        <v>0</v>
      </c>
      <c r="AU16">
        <f t="shared" ca="1" si="19"/>
        <v>0</v>
      </c>
      <c r="AV16">
        <f t="shared" ca="1" si="20"/>
        <v>0</v>
      </c>
      <c r="AW16">
        <f t="shared" ca="1" si="21"/>
        <v>0</v>
      </c>
      <c r="AX16">
        <f t="shared" ca="1" si="22"/>
        <v>0</v>
      </c>
      <c r="AY16">
        <f t="shared" ca="1" si="23"/>
        <v>0</v>
      </c>
      <c r="AZ16">
        <f t="shared" ca="1" si="24"/>
        <v>0</v>
      </c>
      <c r="BA16">
        <f t="shared" ca="1" si="25"/>
        <v>0</v>
      </c>
    </row>
    <row r="17" spans="1:53" x14ac:dyDescent="0.3">
      <c r="A17">
        <f>'NWGC - SCENARIOS'!B25</f>
        <v>63</v>
      </c>
      <c r="B17">
        <f>'NWGC - SCENARIOS'!C25</f>
        <v>2039</v>
      </c>
      <c r="C17" s="58">
        <f ca="1">'Yoy WAR OG'!S18</f>
        <v>0</v>
      </c>
      <c r="D17" s="58">
        <f ca="1">'Yoy WAR OG'!Y18</f>
        <v>0</v>
      </c>
      <c r="E17" s="58">
        <f ca="1">'Yoy WAR OG'!AE18</f>
        <v>0</v>
      </c>
      <c r="F17" s="58">
        <f ca="1">'Yoy WAR OG'!AK18</f>
        <v>159143629.25362432</v>
      </c>
      <c r="G17" s="58">
        <f ca="1">'Yoy WAR OG'!AQ18</f>
        <v>171060466.84433928</v>
      </c>
      <c r="H17" s="58">
        <f ca="1">'Yoy WAR OG'!AW18</f>
        <v>0</v>
      </c>
      <c r="I17" s="58">
        <f ca="1">'Yoy WAR OG'!BC18</f>
        <v>11036126.162861342</v>
      </c>
      <c r="J17" s="58">
        <f ca="1">'Yoy WAR OG'!BI18</f>
        <v>0</v>
      </c>
      <c r="K17" s="58">
        <f ca="1">'Yoy WAR OG'!BO18</f>
        <v>0</v>
      </c>
      <c r="L17" s="58">
        <f ca="1">'Yoy WAR OG'!BU18</f>
        <v>0</v>
      </c>
      <c r="M17" s="58">
        <f ca="1">'Yoy WAR OG'!CA18</f>
        <v>0</v>
      </c>
      <c r="N17" s="58">
        <f ca="1">'Yoy WAR OG'!CG18</f>
        <v>28368620.289657608</v>
      </c>
      <c r="O17" s="58">
        <f ca="1">'Yoy WAR OG'!CM18</f>
        <v>0</v>
      </c>
      <c r="P17" s="58">
        <f ca="1">'Yoy WAR OG'!CS18</f>
        <v>5197320.4485284202</v>
      </c>
      <c r="Q17" s="58">
        <f ca="1">'Yoy WAR OG'!CY18</f>
        <v>0</v>
      </c>
      <c r="R17" s="58">
        <f ca="1">'Yoy WAR OG'!DE18</f>
        <v>0</v>
      </c>
      <c r="S17" s="58">
        <f ca="1">'Yoy WAR OG'!DK18</f>
        <v>0</v>
      </c>
      <c r="T17" s="58">
        <f ca="1">'Yoy WAR OG'!DQ18</f>
        <v>0</v>
      </c>
      <c r="U17" s="58">
        <f ca="1">'Yoy WAR OG'!DW18</f>
        <v>0</v>
      </c>
      <c r="V17" s="58">
        <f ca="1">'Yoy WAR OG'!EC18</f>
        <v>0</v>
      </c>
      <c r="W17" s="58">
        <f ca="1">'Yoy WAR OG'!EI18</f>
        <v>0</v>
      </c>
      <c r="X17" s="58">
        <f ca="1">'Yoy WAR OG'!EO18</f>
        <v>0</v>
      </c>
      <c r="Y17" s="58">
        <f ca="1">'Yoy WAR OG'!EU18</f>
        <v>0</v>
      </c>
      <c r="Z17" s="58">
        <f ca="1">'Yoy WAR OG'!FA18</f>
        <v>0</v>
      </c>
      <c r="AB17" s="200">
        <f t="shared" ca="1" si="1"/>
        <v>7.683325729339667E-2</v>
      </c>
      <c r="AD17">
        <f t="shared" ca="1" si="2"/>
        <v>0</v>
      </c>
      <c r="AE17">
        <f t="shared" ca="1" si="3"/>
        <v>0</v>
      </c>
      <c r="AF17">
        <f t="shared" ca="1" si="4"/>
        <v>0</v>
      </c>
      <c r="AG17">
        <f t="shared" ca="1" si="5"/>
        <v>0.42460248780392729</v>
      </c>
      <c r="AH17">
        <f t="shared" ca="1" si="6"/>
        <v>0.45639715600084912</v>
      </c>
      <c r="AI17">
        <f t="shared" ca="1" si="7"/>
        <v>0</v>
      </c>
      <c r="AJ17">
        <f t="shared" ca="1" si="8"/>
        <v>2.9444889791981527E-2</v>
      </c>
      <c r="AK17">
        <f t="shared" ca="1" si="9"/>
        <v>0</v>
      </c>
      <c r="AL17">
        <f t="shared" ca="1" si="10"/>
        <v>0</v>
      </c>
      <c r="AM17">
        <f t="shared" ca="1" si="11"/>
        <v>0</v>
      </c>
      <c r="AN17">
        <f t="shared" ca="1" si="12"/>
        <v>0</v>
      </c>
      <c r="AO17">
        <f t="shared" ca="1" si="13"/>
        <v>7.5688777534142285E-2</v>
      </c>
      <c r="AP17">
        <f t="shared" ca="1" si="14"/>
        <v>0</v>
      </c>
      <c r="AQ17">
        <f t="shared" ca="1" si="15"/>
        <v>1.3866688869099881E-2</v>
      </c>
      <c r="AR17">
        <f t="shared" ca="1" si="16"/>
        <v>0</v>
      </c>
      <c r="AS17">
        <f t="shared" ca="1" si="17"/>
        <v>0</v>
      </c>
      <c r="AT17">
        <f t="shared" ca="1" si="18"/>
        <v>0</v>
      </c>
      <c r="AU17">
        <f t="shared" ca="1" si="19"/>
        <v>0</v>
      </c>
      <c r="AV17">
        <f t="shared" ca="1" si="20"/>
        <v>0</v>
      </c>
      <c r="AW17">
        <f t="shared" ca="1" si="21"/>
        <v>0</v>
      </c>
      <c r="AX17">
        <f t="shared" ca="1" si="22"/>
        <v>0</v>
      </c>
      <c r="AY17">
        <f t="shared" ca="1" si="23"/>
        <v>0</v>
      </c>
      <c r="AZ17">
        <f t="shared" ca="1" si="24"/>
        <v>0</v>
      </c>
      <c r="BA17">
        <f t="shared" ca="1" si="25"/>
        <v>0</v>
      </c>
    </row>
    <row r="18" spans="1:53" x14ac:dyDescent="0.3">
      <c r="A18">
        <f>'NWGC - SCENARIOS'!B26</f>
        <v>64</v>
      </c>
      <c r="B18">
        <f>'NWGC - SCENARIOS'!C26</f>
        <v>2040</v>
      </c>
      <c r="C18" s="58">
        <f ca="1">'Yoy WAR OG'!S19</f>
        <v>0</v>
      </c>
      <c r="D18" s="58">
        <f ca="1">'Yoy WAR OG'!Y19</f>
        <v>0</v>
      </c>
      <c r="E18" s="58">
        <f ca="1">'Yoy WAR OG'!AE19</f>
        <v>0</v>
      </c>
      <c r="F18" s="58">
        <f ca="1">'Yoy WAR OG'!AK19</f>
        <v>167455755.6516194</v>
      </c>
      <c r="G18" s="58">
        <f ca="1">'Yoy WAR OG'!AQ19</f>
        <v>181728027.15615383</v>
      </c>
      <c r="H18" s="58">
        <f ca="1">'Yoy WAR OG'!AW19</f>
        <v>0</v>
      </c>
      <c r="I18" s="58">
        <f ca="1">'Yoy WAR OG'!BC19</f>
        <v>11808654.994261635</v>
      </c>
      <c r="J18" s="58">
        <f ca="1">'Yoy WAR OG'!BI19</f>
        <v>0</v>
      </c>
      <c r="K18" s="58">
        <f ca="1">'Yoy WAR OG'!BO19</f>
        <v>0</v>
      </c>
      <c r="L18" s="58">
        <f ca="1">'Yoy WAR OG'!BU19</f>
        <v>0</v>
      </c>
      <c r="M18" s="58">
        <f ca="1">'Yoy WAR OG'!CA19</f>
        <v>0</v>
      </c>
      <c r="N18" s="58">
        <f ca="1">'Yoy WAR OG'!CG19</f>
        <v>29219678.898347337</v>
      </c>
      <c r="O18" s="58">
        <f ca="1">'Yoy WAR OG'!CM19</f>
        <v>0</v>
      </c>
      <c r="P18" s="58">
        <f ca="1">'Yoy WAR OG'!CS19</f>
        <v>5457186.470954841</v>
      </c>
      <c r="Q18" s="58">
        <f ca="1">'Yoy WAR OG'!CY19</f>
        <v>0</v>
      </c>
      <c r="R18" s="58">
        <f ca="1">'Yoy WAR OG'!DE19</f>
        <v>0</v>
      </c>
      <c r="S18" s="58">
        <f ca="1">'Yoy WAR OG'!DK19</f>
        <v>0</v>
      </c>
      <c r="T18" s="58">
        <f ca="1">'Yoy WAR OG'!DQ19</f>
        <v>0</v>
      </c>
      <c r="U18" s="58">
        <f ca="1">'Yoy WAR OG'!DW19</f>
        <v>0</v>
      </c>
      <c r="V18" s="58">
        <f ca="1">'Yoy WAR OG'!EC19</f>
        <v>0</v>
      </c>
      <c r="W18" s="58">
        <f ca="1">'Yoy WAR OG'!EI19</f>
        <v>0</v>
      </c>
      <c r="X18" s="58">
        <f ca="1">'Yoy WAR OG'!EO19</f>
        <v>0</v>
      </c>
      <c r="Y18" s="58">
        <f ca="1">'Yoy WAR OG'!EU19</f>
        <v>0</v>
      </c>
      <c r="Z18" s="58">
        <f ca="1">'Yoy WAR OG'!FA19</f>
        <v>0</v>
      </c>
      <c r="AB18" s="200">
        <f t="shared" ca="1" si="1"/>
        <v>7.6809673916509849E-2</v>
      </c>
      <c r="AD18">
        <f t="shared" ca="1" si="2"/>
        <v>0</v>
      </c>
      <c r="AE18">
        <f t="shared" ca="1" si="3"/>
        <v>0</v>
      </c>
      <c r="AF18">
        <f t="shared" ca="1" si="4"/>
        <v>0</v>
      </c>
      <c r="AG18">
        <f t="shared" ca="1" si="5"/>
        <v>0.42322149913941115</v>
      </c>
      <c r="AH18">
        <f t="shared" ca="1" si="6"/>
        <v>0.45929271161442614</v>
      </c>
      <c r="AI18">
        <f t="shared" ca="1" si="7"/>
        <v>0</v>
      </c>
      <c r="AJ18">
        <f t="shared" ca="1" si="8"/>
        <v>2.9844758993467137E-2</v>
      </c>
      <c r="AK18">
        <f t="shared" ca="1" si="9"/>
        <v>0</v>
      </c>
      <c r="AL18">
        <f t="shared" ca="1" si="10"/>
        <v>0</v>
      </c>
      <c r="AM18">
        <f t="shared" ca="1" si="11"/>
        <v>0</v>
      </c>
      <c r="AN18">
        <f t="shared" ca="1" si="12"/>
        <v>0</v>
      </c>
      <c r="AO18">
        <f t="shared" ca="1" si="13"/>
        <v>7.3848738489814852E-2</v>
      </c>
      <c r="AP18">
        <f t="shared" ca="1" si="14"/>
        <v>0</v>
      </c>
      <c r="AQ18">
        <f t="shared" ca="1" si="15"/>
        <v>1.3792291762880859E-2</v>
      </c>
      <c r="AR18">
        <f t="shared" ca="1" si="16"/>
        <v>0</v>
      </c>
      <c r="AS18">
        <f t="shared" ca="1" si="17"/>
        <v>0</v>
      </c>
      <c r="AT18">
        <f t="shared" ca="1" si="18"/>
        <v>0</v>
      </c>
      <c r="AU18">
        <f t="shared" ca="1" si="19"/>
        <v>0</v>
      </c>
      <c r="AV18">
        <f t="shared" ca="1" si="20"/>
        <v>0</v>
      </c>
      <c r="AW18">
        <f t="shared" ca="1" si="21"/>
        <v>0</v>
      </c>
      <c r="AX18">
        <f t="shared" ca="1" si="22"/>
        <v>0</v>
      </c>
      <c r="AY18">
        <f t="shared" ca="1" si="23"/>
        <v>0</v>
      </c>
      <c r="AZ18">
        <f t="shared" ca="1" si="24"/>
        <v>0</v>
      </c>
      <c r="BA18">
        <f t="shared" ca="1" si="25"/>
        <v>0</v>
      </c>
    </row>
    <row r="19" spans="1:53" x14ac:dyDescent="0.3">
      <c r="A19">
        <f>'NWGC - SCENARIOS'!B27</f>
        <v>65</v>
      </c>
      <c r="B19">
        <f>'NWGC - SCENARIOS'!C27</f>
        <v>2041</v>
      </c>
      <c r="C19" s="58">
        <f ca="1">'Yoy WAR OG'!S20</f>
        <v>0</v>
      </c>
      <c r="D19" s="58">
        <f ca="1">'Yoy WAR OG'!Y20</f>
        <v>0</v>
      </c>
      <c r="E19" s="58">
        <f ca="1">'Yoy WAR OG'!AE20</f>
        <v>0</v>
      </c>
      <c r="F19" s="58">
        <f ca="1">'Yoy WAR OG'!AK20</f>
        <v>175939262.92780164</v>
      </c>
      <c r="G19" s="58">
        <f ca="1">'Yoy WAR OG'!AQ20</f>
        <v>193083042.05594826</v>
      </c>
      <c r="H19" s="58">
        <f ca="1">'Yoy WAR OG'!AW20</f>
        <v>0</v>
      </c>
      <c r="I19" s="58">
        <f ca="1">'Yoy WAR OG'!BC20</f>
        <v>12635260.84385995</v>
      </c>
      <c r="J19" s="58">
        <f ca="1">'Yoy WAR OG'!BI20</f>
        <v>0</v>
      </c>
      <c r="K19" s="58">
        <f ca="1">'Yoy WAR OG'!BO20</f>
        <v>0</v>
      </c>
      <c r="L19" s="58">
        <f ca="1">'Yoy WAR OG'!BU20</f>
        <v>0</v>
      </c>
      <c r="M19" s="58">
        <f ca="1">'Yoy WAR OG'!CA20</f>
        <v>0</v>
      </c>
      <c r="N19" s="58">
        <f ca="1">'Yoy WAR OG'!CG20</f>
        <v>30096269.265297759</v>
      </c>
      <c r="O19" s="58">
        <f ca="1">'Yoy WAR OG'!CM20</f>
        <v>0</v>
      </c>
      <c r="P19" s="58">
        <f ca="1">'Yoy WAR OG'!CS20</f>
        <v>5730045.7945025833</v>
      </c>
      <c r="Q19" s="58">
        <f ca="1">'Yoy WAR OG'!CY20</f>
        <v>0</v>
      </c>
      <c r="R19" s="58">
        <f ca="1">'Yoy WAR OG'!DE20</f>
        <v>0</v>
      </c>
      <c r="S19" s="58">
        <f ca="1">'Yoy WAR OG'!DK20</f>
        <v>0</v>
      </c>
      <c r="T19" s="58">
        <f ca="1">'Yoy WAR OG'!DQ20</f>
        <v>0</v>
      </c>
      <c r="U19" s="58">
        <f ca="1">'Yoy WAR OG'!DW20</f>
        <v>0</v>
      </c>
      <c r="V19" s="58">
        <f ca="1">'Yoy WAR OG'!EC20</f>
        <v>0</v>
      </c>
      <c r="W19" s="58">
        <f ca="1">'Yoy WAR OG'!EI20</f>
        <v>0</v>
      </c>
      <c r="X19" s="58">
        <f ca="1">'Yoy WAR OG'!EO20</f>
        <v>0</v>
      </c>
      <c r="Y19" s="58">
        <f ca="1">'Yoy WAR OG'!EU20</f>
        <v>0</v>
      </c>
      <c r="Z19" s="58">
        <f ca="1">'Yoy WAR OG'!FA20</f>
        <v>0</v>
      </c>
      <c r="AB19" s="200">
        <f t="shared" ca="1" si="1"/>
        <v>7.6761633991162814E-2</v>
      </c>
      <c r="AD19">
        <f t="shared" ca="1" si="2"/>
        <v>0</v>
      </c>
      <c r="AE19">
        <f t="shared" ca="1" si="3"/>
        <v>0</v>
      </c>
      <c r="AF19">
        <f t="shared" ca="1" si="4"/>
        <v>0</v>
      </c>
      <c r="AG19">
        <f t="shared" ca="1" si="5"/>
        <v>0.4214276789652871</v>
      </c>
      <c r="AH19">
        <f t="shared" ca="1" si="6"/>
        <v>0.462492208430965</v>
      </c>
      <c r="AI19">
        <f t="shared" ca="1" si="7"/>
        <v>0</v>
      </c>
      <c r="AJ19">
        <f t="shared" ca="1" si="8"/>
        <v>3.0265266330767659E-2</v>
      </c>
      <c r="AK19">
        <f t="shared" ca="1" si="9"/>
        <v>0</v>
      </c>
      <c r="AL19">
        <f t="shared" ca="1" si="10"/>
        <v>0</v>
      </c>
      <c r="AM19">
        <f t="shared" ca="1" si="11"/>
        <v>0</v>
      </c>
      <c r="AN19">
        <f t="shared" ca="1" si="12"/>
        <v>0</v>
      </c>
      <c r="AO19">
        <f t="shared" ca="1" si="13"/>
        <v>7.2089655776229417E-2</v>
      </c>
      <c r="AP19">
        <f t="shared" ca="1" si="14"/>
        <v>0</v>
      </c>
      <c r="AQ19">
        <f t="shared" ca="1" si="15"/>
        <v>1.3725190496750941E-2</v>
      </c>
      <c r="AR19">
        <f t="shared" ca="1" si="16"/>
        <v>0</v>
      </c>
      <c r="AS19">
        <f t="shared" ca="1" si="17"/>
        <v>0</v>
      </c>
      <c r="AT19">
        <f t="shared" ca="1" si="18"/>
        <v>0</v>
      </c>
      <c r="AU19">
        <f t="shared" ca="1" si="19"/>
        <v>0</v>
      </c>
      <c r="AV19">
        <f t="shared" ca="1" si="20"/>
        <v>0</v>
      </c>
      <c r="AW19">
        <f t="shared" ca="1" si="21"/>
        <v>0</v>
      </c>
      <c r="AX19">
        <f t="shared" ca="1" si="22"/>
        <v>0</v>
      </c>
      <c r="AY19">
        <f t="shared" ca="1" si="23"/>
        <v>0</v>
      </c>
      <c r="AZ19">
        <f t="shared" ca="1" si="24"/>
        <v>0</v>
      </c>
      <c r="BA19">
        <f t="shared" ca="1" si="25"/>
        <v>0</v>
      </c>
    </row>
    <row r="20" spans="1:53" x14ac:dyDescent="0.3">
      <c r="A20">
        <f>'NWGC - SCENARIOS'!B28</f>
        <v>66</v>
      </c>
      <c r="B20">
        <f>'NWGC - SCENARIOS'!C28</f>
        <v>2042</v>
      </c>
      <c r="C20" s="58">
        <f ca="1">'Yoy WAR OG'!S21</f>
        <v>0</v>
      </c>
      <c r="D20" s="58">
        <f ca="1">'Yoy WAR OG'!Y21</f>
        <v>0</v>
      </c>
      <c r="E20" s="58">
        <f ca="1">'Yoy WAR OG'!AE21</f>
        <v>0</v>
      </c>
      <c r="F20" s="58">
        <f ca="1">'Yoy WAR OG'!AK21</f>
        <v>184553566.73672426</v>
      </c>
      <c r="G20" s="58">
        <f ca="1">'Yoy WAR OG'!AQ21</f>
        <v>205171380.64772785</v>
      </c>
      <c r="H20" s="58">
        <f ca="1">'Yoy WAR OG'!AW21</f>
        <v>0</v>
      </c>
      <c r="I20" s="58">
        <f ca="1">'Yoy WAR OG'!BC21</f>
        <v>13519729.102930147</v>
      </c>
      <c r="J20" s="58">
        <f ca="1">'Yoy WAR OG'!BI21</f>
        <v>0</v>
      </c>
      <c r="K20" s="58">
        <f ca="1">'Yoy WAR OG'!BO21</f>
        <v>0</v>
      </c>
      <c r="L20" s="58">
        <f ca="1">'Yoy WAR OG'!BU21</f>
        <v>0</v>
      </c>
      <c r="M20" s="58">
        <f ca="1">'Yoy WAR OG'!CA21</f>
        <v>0</v>
      </c>
      <c r="N20" s="58">
        <f ca="1">'Yoy WAR OG'!CG21</f>
        <v>30999157.343256693</v>
      </c>
      <c r="O20" s="58">
        <f ca="1">'Yoy WAR OG'!CM21</f>
        <v>0</v>
      </c>
      <c r="P20" s="58">
        <f ca="1">'Yoy WAR OG'!CS21</f>
        <v>6016548.0842277128</v>
      </c>
      <c r="Q20" s="58">
        <f ca="1">'Yoy WAR OG'!CY21</f>
        <v>0</v>
      </c>
      <c r="R20" s="58">
        <f ca="1">'Yoy WAR OG'!DE21</f>
        <v>0</v>
      </c>
      <c r="S20" s="58">
        <f ca="1">'Yoy WAR OG'!DK21</f>
        <v>0</v>
      </c>
      <c r="T20" s="58">
        <f ca="1">'Yoy WAR OG'!DQ21</f>
        <v>0</v>
      </c>
      <c r="U20" s="58">
        <f ca="1">'Yoy WAR OG'!DW21</f>
        <v>0</v>
      </c>
      <c r="V20" s="58">
        <f ca="1">'Yoy WAR OG'!EC21</f>
        <v>0</v>
      </c>
      <c r="W20" s="58">
        <f ca="1">'Yoy WAR OG'!EI21</f>
        <v>0</v>
      </c>
      <c r="X20" s="58">
        <f ca="1">'Yoy WAR OG'!EO21</f>
        <v>0</v>
      </c>
      <c r="Y20" s="58">
        <f ca="1">'Yoy WAR OG'!EU21</f>
        <v>0</v>
      </c>
      <c r="Z20" s="58">
        <f ca="1">'Yoy WAR OG'!FA21</f>
        <v>0</v>
      </c>
      <c r="AB20" s="200">
        <f t="shared" ca="1" si="1"/>
        <v>7.6687575864838028E-2</v>
      </c>
      <c r="AD20">
        <f t="shared" ca="1" si="2"/>
        <v>0</v>
      </c>
      <c r="AE20">
        <f t="shared" ca="1" si="3"/>
        <v>0</v>
      </c>
      <c r="AF20">
        <f t="shared" ca="1" si="4"/>
        <v>0</v>
      </c>
      <c r="AG20">
        <f t="shared" ca="1" si="5"/>
        <v>0.41919185626930078</v>
      </c>
      <c r="AH20">
        <f t="shared" ca="1" si="6"/>
        <v>0.46602281076338575</v>
      </c>
      <c r="AI20">
        <f t="shared" ca="1" si="7"/>
        <v>0</v>
      </c>
      <c r="AJ20">
        <f t="shared" ca="1" si="8"/>
        <v>3.0708484474863473E-2</v>
      </c>
      <c r="AK20">
        <f t="shared" ca="1" si="9"/>
        <v>0</v>
      </c>
      <c r="AL20">
        <f t="shared" ca="1" si="10"/>
        <v>0</v>
      </c>
      <c r="AM20">
        <f t="shared" ca="1" si="11"/>
        <v>0</v>
      </c>
      <c r="AN20">
        <f t="shared" ca="1" si="12"/>
        <v>0</v>
      </c>
      <c r="AO20">
        <f t="shared" ca="1" si="13"/>
        <v>7.0410962731711366E-2</v>
      </c>
      <c r="AP20">
        <f t="shared" ca="1" si="14"/>
        <v>0</v>
      </c>
      <c r="AQ20">
        <f t="shared" ca="1" si="15"/>
        <v>1.3665885760738596E-2</v>
      </c>
      <c r="AR20">
        <f t="shared" ca="1" si="16"/>
        <v>0</v>
      </c>
      <c r="AS20">
        <f t="shared" ca="1" si="17"/>
        <v>0</v>
      </c>
      <c r="AT20">
        <f t="shared" ca="1" si="18"/>
        <v>0</v>
      </c>
      <c r="AU20">
        <f t="shared" ca="1" si="19"/>
        <v>0</v>
      </c>
      <c r="AV20">
        <f t="shared" ca="1" si="20"/>
        <v>0</v>
      </c>
      <c r="AW20">
        <f t="shared" ca="1" si="21"/>
        <v>0</v>
      </c>
      <c r="AX20">
        <f t="shared" ca="1" si="22"/>
        <v>0</v>
      </c>
      <c r="AY20">
        <f t="shared" ca="1" si="23"/>
        <v>0</v>
      </c>
      <c r="AZ20">
        <f t="shared" ca="1" si="24"/>
        <v>0</v>
      </c>
      <c r="BA20">
        <f t="shared" ca="1" si="25"/>
        <v>0</v>
      </c>
    </row>
    <row r="21" spans="1:53" x14ac:dyDescent="0.3">
      <c r="A21">
        <f>'NWGC - SCENARIOS'!B29</f>
        <v>67</v>
      </c>
      <c r="B21">
        <f>'NWGC - SCENARIOS'!C29</f>
        <v>2043</v>
      </c>
      <c r="C21" s="58">
        <f ca="1">'Yoy WAR OG'!S22</f>
        <v>0</v>
      </c>
      <c r="D21" s="58">
        <f ca="1">'Yoy WAR OG'!Y22</f>
        <v>0</v>
      </c>
      <c r="E21" s="58">
        <f ca="1">'Yoy WAR OG'!AE22</f>
        <v>0</v>
      </c>
      <c r="F21" s="58">
        <f ca="1">'Yoy WAR OG'!AK22</f>
        <v>193248863.55557749</v>
      </c>
      <c r="G21" s="58">
        <f ca="1">'Yoy WAR OG'!AQ22</f>
        <v>218042079.5643515</v>
      </c>
      <c r="H21" s="58">
        <f ca="1">'Yoy WAR OG'!AW22</f>
        <v>0</v>
      </c>
      <c r="I21" s="58">
        <f ca="1">'Yoy WAR OG'!BC22</f>
        <v>14466110.140135258</v>
      </c>
      <c r="J21" s="58">
        <f ca="1">'Yoy WAR OG'!BI22</f>
        <v>0</v>
      </c>
      <c r="K21" s="58">
        <f ca="1">'Yoy WAR OG'!BO22</f>
        <v>0</v>
      </c>
      <c r="L21" s="58">
        <f ca="1">'Yoy WAR OG'!BU22</f>
        <v>0</v>
      </c>
      <c r="M21" s="58">
        <f ca="1">'Yoy WAR OG'!CA22</f>
        <v>0</v>
      </c>
      <c r="N21" s="58">
        <f ca="1">'Yoy WAR OG'!CG22</f>
        <v>31929132.063554395</v>
      </c>
      <c r="O21" s="58">
        <f ca="1">'Yoy WAR OG'!CM22</f>
        <v>0</v>
      </c>
      <c r="P21" s="58">
        <f ca="1">'Yoy WAR OG'!CS22</f>
        <v>6317375.4884390989</v>
      </c>
      <c r="Q21" s="58">
        <f ca="1">'Yoy WAR OG'!CY22</f>
        <v>0</v>
      </c>
      <c r="R21" s="58">
        <f ca="1">'Yoy WAR OG'!DE22</f>
        <v>0</v>
      </c>
      <c r="S21" s="58">
        <f ca="1">'Yoy WAR OG'!DK22</f>
        <v>0</v>
      </c>
      <c r="T21" s="58">
        <f ca="1">'Yoy WAR OG'!DQ22</f>
        <v>0</v>
      </c>
      <c r="U21" s="58">
        <f ca="1">'Yoy WAR OG'!DW22</f>
        <v>0</v>
      </c>
      <c r="V21" s="58">
        <f ca="1">'Yoy WAR OG'!EC22</f>
        <v>0</v>
      </c>
      <c r="W21" s="58">
        <f ca="1">'Yoy WAR OG'!EI22</f>
        <v>0</v>
      </c>
      <c r="X21" s="58">
        <f ca="1">'Yoy WAR OG'!EO22</f>
        <v>0</v>
      </c>
      <c r="Y21" s="58">
        <f ca="1">'Yoy WAR OG'!EU22</f>
        <v>0</v>
      </c>
      <c r="Z21" s="58">
        <f ca="1">'Yoy WAR OG'!FA22</f>
        <v>0</v>
      </c>
      <c r="AB21" s="200">
        <f t="shared" ca="1" si="1"/>
        <v>7.6585748072921817E-2</v>
      </c>
      <c r="AD21">
        <f t="shared" ca="1" si="2"/>
        <v>0</v>
      </c>
      <c r="AE21">
        <f t="shared" ca="1" si="3"/>
        <v>0</v>
      </c>
      <c r="AF21">
        <f t="shared" ca="1" si="4"/>
        <v>0</v>
      </c>
      <c r="AG21">
        <f t="shared" ca="1" si="5"/>
        <v>0.41648142358513485</v>
      </c>
      <c r="AH21">
        <f t="shared" ca="1" si="6"/>
        <v>0.46991466872097631</v>
      </c>
      <c r="AI21">
        <f t="shared" ca="1" si="7"/>
        <v>0</v>
      </c>
      <c r="AJ21">
        <f t="shared" ca="1" si="8"/>
        <v>3.1176722253635211E-2</v>
      </c>
      <c r="AK21">
        <f t="shared" ca="1" si="9"/>
        <v>0</v>
      </c>
      <c r="AL21">
        <f t="shared" ca="1" si="10"/>
        <v>0</v>
      </c>
      <c r="AM21">
        <f t="shared" ca="1" si="11"/>
        <v>0</v>
      </c>
      <c r="AN21">
        <f t="shared" ca="1" si="12"/>
        <v>0</v>
      </c>
      <c r="AO21">
        <f t="shared" ca="1" si="13"/>
        <v>6.8812256543193048E-2</v>
      </c>
      <c r="AP21">
        <f t="shared" ca="1" si="14"/>
        <v>0</v>
      </c>
      <c r="AQ21">
        <f t="shared" ca="1" si="15"/>
        <v>1.3614928897060598E-2</v>
      </c>
      <c r="AR21">
        <f t="shared" ca="1" si="16"/>
        <v>0</v>
      </c>
      <c r="AS21">
        <f t="shared" ca="1" si="17"/>
        <v>0</v>
      </c>
      <c r="AT21">
        <f t="shared" ca="1" si="18"/>
        <v>0</v>
      </c>
      <c r="AU21">
        <f t="shared" ca="1" si="19"/>
        <v>0</v>
      </c>
      <c r="AV21">
        <f t="shared" ca="1" si="20"/>
        <v>0</v>
      </c>
      <c r="AW21">
        <f t="shared" ca="1" si="21"/>
        <v>0</v>
      </c>
      <c r="AX21">
        <f t="shared" ca="1" si="22"/>
        <v>0</v>
      </c>
      <c r="AY21">
        <f t="shared" ca="1" si="23"/>
        <v>0</v>
      </c>
      <c r="AZ21">
        <f t="shared" ca="1" si="24"/>
        <v>0</v>
      </c>
      <c r="BA21">
        <f t="shared" ca="1" si="25"/>
        <v>0</v>
      </c>
    </row>
    <row r="22" spans="1:53" x14ac:dyDescent="0.3">
      <c r="A22">
        <f>'NWGC - SCENARIOS'!B30</f>
        <v>68</v>
      </c>
      <c r="B22">
        <f>'NWGC - SCENARIOS'!C30</f>
        <v>2044</v>
      </c>
      <c r="C22" s="58">
        <f ca="1">'Yoy WAR OG'!S23</f>
        <v>0</v>
      </c>
      <c r="D22" s="58">
        <f ca="1">'Yoy WAR OG'!Y23</f>
        <v>0</v>
      </c>
      <c r="E22" s="58">
        <f ca="1">'Yoy WAR OG'!AE23</f>
        <v>0</v>
      </c>
      <c r="F22" s="58">
        <f ca="1">'Yoy WAR OG'!AK23</f>
        <v>201964736.18272969</v>
      </c>
      <c r="G22" s="58">
        <f ca="1">'Yoy WAR OG'!AQ23</f>
        <v>231747568.75986937</v>
      </c>
      <c r="H22" s="58">
        <f ca="1">'Yoy WAR OG'!AW23</f>
        <v>0</v>
      </c>
      <c r="I22" s="58">
        <f ca="1">'Yoy WAR OG'!BC23</f>
        <v>15478737.849944727</v>
      </c>
      <c r="J22" s="58">
        <f ca="1">'Yoy WAR OG'!BI23</f>
        <v>0</v>
      </c>
      <c r="K22" s="58">
        <f ca="1">'Yoy WAR OG'!BO23</f>
        <v>0</v>
      </c>
      <c r="L22" s="58">
        <f ca="1">'Yoy WAR OG'!BU23</f>
        <v>0</v>
      </c>
      <c r="M22" s="58">
        <f ca="1">'Yoy WAR OG'!CA23</f>
        <v>0</v>
      </c>
      <c r="N22" s="58">
        <f ca="1">'Yoy WAR OG'!CG23</f>
        <v>32887006.025461029</v>
      </c>
      <c r="O22" s="58">
        <f ca="1">'Yoy WAR OG'!CM23</f>
        <v>0</v>
      </c>
      <c r="P22" s="58">
        <f ca="1">'Yoy WAR OG'!CS23</f>
        <v>6633244.2628610544</v>
      </c>
      <c r="Q22" s="58">
        <f ca="1">'Yoy WAR OG'!CY23</f>
        <v>0</v>
      </c>
      <c r="R22" s="58">
        <f ca="1">'Yoy WAR OG'!DE23</f>
        <v>0</v>
      </c>
      <c r="S22" s="58">
        <f ca="1">'Yoy WAR OG'!DK23</f>
        <v>0</v>
      </c>
      <c r="T22" s="58">
        <f ca="1">'Yoy WAR OG'!DQ23</f>
        <v>0</v>
      </c>
      <c r="U22" s="58">
        <f ca="1">'Yoy WAR OG'!DW23</f>
        <v>0</v>
      </c>
      <c r="V22" s="58">
        <f ca="1">'Yoy WAR OG'!EC23</f>
        <v>0</v>
      </c>
      <c r="W22" s="58">
        <f ca="1">'Yoy WAR OG'!EI23</f>
        <v>0</v>
      </c>
      <c r="X22" s="58">
        <f ca="1">'Yoy WAR OG'!EO23</f>
        <v>0</v>
      </c>
      <c r="Y22" s="58">
        <f ca="1">'Yoy WAR OG'!EU23</f>
        <v>0</v>
      </c>
      <c r="Z22" s="58">
        <f ca="1">'Yoy WAR OG'!FA23</f>
        <v>0</v>
      </c>
      <c r="AB22" s="200">
        <f t="shared" ca="1" si="1"/>
        <v>7.6454180278403283E-2</v>
      </c>
      <c r="AD22">
        <f t="shared" ca="1" si="2"/>
        <v>0</v>
      </c>
      <c r="AE22">
        <f t="shared" ca="1" si="3"/>
        <v>0</v>
      </c>
      <c r="AF22">
        <f t="shared" ca="1" si="4"/>
        <v>0</v>
      </c>
      <c r="AG22">
        <f t="shared" ca="1" si="5"/>
        <v>0.41325981012129198</v>
      </c>
      <c r="AH22">
        <f t="shared" ca="1" si="6"/>
        <v>0.47420137827983988</v>
      </c>
      <c r="AI22">
        <f t="shared" ca="1" si="7"/>
        <v>0</v>
      </c>
      <c r="AJ22">
        <f t="shared" ca="1" si="8"/>
        <v>3.1672560198815577E-2</v>
      </c>
      <c r="AK22">
        <f t="shared" ca="1" si="9"/>
        <v>0</v>
      </c>
      <c r="AL22">
        <f t="shared" ca="1" si="10"/>
        <v>0</v>
      </c>
      <c r="AM22">
        <f t="shared" ca="1" si="11"/>
        <v>0</v>
      </c>
      <c r="AN22">
        <f t="shared" ca="1" si="12"/>
        <v>0</v>
      </c>
      <c r="AO22">
        <f t="shared" ca="1" si="13"/>
        <v>6.7293321212487919E-2</v>
      </c>
      <c r="AP22">
        <f t="shared" ca="1" si="14"/>
        <v>0</v>
      </c>
      <c r="AQ22">
        <f t="shared" ca="1" si="15"/>
        <v>1.3572930187564681E-2</v>
      </c>
      <c r="AR22">
        <f t="shared" ca="1" si="16"/>
        <v>0</v>
      </c>
      <c r="AS22">
        <f t="shared" ca="1" si="17"/>
        <v>0</v>
      </c>
      <c r="AT22">
        <f t="shared" ca="1" si="18"/>
        <v>0</v>
      </c>
      <c r="AU22">
        <f t="shared" ca="1" si="19"/>
        <v>0</v>
      </c>
      <c r="AV22">
        <f t="shared" ca="1" si="20"/>
        <v>0</v>
      </c>
      <c r="AW22">
        <f t="shared" ca="1" si="21"/>
        <v>0</v>
      </c>
      <c r="AX22">
        <f t="shared" ca="1" si="22"/>
        <v>0</v>
      </c>
      <c r="AY22">
        <f t="shared" ca="1" si="23"/>
        <v>0</v>
      </c>
      <c r="AZ22">
        <f t="shared" ca="1" si="24"/>
        <v>0</v>
      </c>
      <c r="BA22">
        <f t="shared" ca="1" si="25"/>
        <v>0</v>
      </c>
    </row>
    <row r="23" spans="1:53" x14ac:dyDescent="0.3">
      <c r="A23">
        <f>'NWGC - SCENARIOS'!B31</f>
        <v>69</v>
      </c>
      <c r="B23">
        <f>'NWGC - SCENARIOS'!C31</f>
        <v>2045</v>
      </c>
      <c r="C23" s="58">
        <f ca="1">'Yoy WAR OG'!S24</f>
        <v>0</v>
      </c>
      <c r="D23" s="58">
        <f ca="1">'Yoy WAR OG'!Y24</f>
        <v>0</v>
      </c>
      <c r="E23" s="58">
        <f ca="1">'Yoy WAR OG'!AE24</f>
        <v>0</v>
      </c>
      <c r="F23" s="58">
        <f ca="1">'Yoy WAR OG'!AK24</f>
        <v>210628575.40975171</v>
      </c>
      <c r="G23" s="58">
        <f ca="1">'Yoy WAR OG'!AQ24</f>
        <v>246343913.846699</v>
      </c>
      <c r="H23" s="58">
        <f ca="1">'Yoy WAR OG'!AW24</f>
        <v>0</v>
      </c>
      <c r="I23" s="58">
        <f ca="1">'Yoy WAR OG'!BC24</f>
        <v>16562249.49944086</v>
      </c>
      <c r="J23" s="58">
        <f ca="1">'Yoy WAR OG'!BI24</f>
        <v>0</v>
      </c>
      <c r="K23" s="58">
        <f ca="1">'Yoy WAR OG'!BO24</f>
        <v>0</v>
      </c>
      <c r="L23" s="58">
        <f ca="1">'Yoy WAR OG'!BU24</f>
        <v>0</v>
      </c>
      <c r="M23" s="58">
        <f ca="1">'Yoy WAR OG'!CA24</f>
        <v>0</v>
      </c>
      <c r="N23" s="58">
        <f ca="1">'Yoy WAR OG'!CG24</f>
        <v>33873616.206224859</v>
      </c>
      <c r="O23" s="58">
        <f ca="1">'Yoy WAR OG'!CM24</f>
        <v>0</v>
      </c>
      <c r="P23" s="58">
        <f ca="1">'Yoy WAR OG'!CS24</f>
        <v>6964906.4760041079</v>
      </c>
      <c r="Q23" s="58">
        <f ca="1">'Yoy WAR OG'!CY24</f>
        <v>0</v>
      </c>
      <c r="R23" s="58">
        <f ca="1">'Yoy WAR OG'!DE24</f>
        <v>0</v>
      </c>
      <c r="S23" s="58">
        <f ca="1">'Yoy WAR OG'!DK24</f>
        <v>0</v>
      </c>
      <c r="T23" s="58">
        <f ca="1">'Yoy WAR OG'!DQ24</f>
        <v>0</v>
      </c>
      <c r="U23" s="58">
        <f ca="1">'Yoy WAR OG'!DW24</f>
        <v>0</v>
      </c>
      <c r="V23" s="58">
        <f ca="1">'Yoy WAR OG'!EC24</f>
        <v>0</v>
      </c>
      <c r="W23" s="58">
        <f ca="1">'Yoy WAR OG'!EI24</f>
        <v>0</v>
      </c>
      <c r="X23" s="58">
        <f ca="1">'Yoy WAR OG'!EO24</f>
        <v>0</v>
      </c>
      <c r="Y23" s="58">
        <f ca="1">'Yoy WAR OG'!EU24</f>
        <v>0</v>
      </c>
      <c r="Z23" s="58">
        <f ca="1">'Yoy WAR OG'!FA24</f>
        <v>0</v>
      </c>
      <c r="AB23" s="200">
        <f t="shared" ca="1" si="1"/>
        <v>7.6290648782702641E-2</v>
      </c>
      <c r="AD23">
        <f t="shared" ca="1" si="2"/>
        <v>0</v>
      </c>
      <c r="AE23">
        <f t="shared" ca="1" si="3"/>
        <v>0</v>
      </c>
      <c r="AF23">
        <f t="shared" ca="1" si="4"/>
        <v>0</v>
      </c>
      <c r="AG23">
        <f t="shared" ca="1" si="5"/>
        <v>0.40948585628432882</v>
      </c>
      <c r="AH23">
        <f t="shared" ca="1" si="6"/>
        <v>0.47892052778551036</v>
      </c>
      <c r="AI23">
        <f t="shared" ca="1" si="7"/>
        <v>0</v>
      </c>
      <c r="AJ23">
        <f t="shared" ca="1" si="8"/>
        <v>3.219889279068467E-2</v>
      </c>
      <c r="AK23">
        <f t="shared" ca="1" si="9"/>
        <v>0</v>
      </c>
      <c r="AL23">
        <f t="shared" ca="1" si="10"/>
        <v>0</v>
      </c>
      <c r="AM23">
        <f t="shared" ca="1" si="11"/>
        <v>0</v>
      </c>
      <c r="AN23">
        <f t="shared" ca="1" si="12"/>
        <v>0</v>
      </c>
      <c r="AO23">
        <f t="shared" ca="1" si="13"/>
        <v>6.5854154454915964E-2</v>
      </c>
      <c r="AP23">
        <f t="shared" ca="1" si="14"/>
        <v>0</v>
      </c>
      <c r="AQ23">
        <f t="shared" ca="1" si="15"/>
        <v>1.3540568684560193E-2</v>
      </c>
      <c r="AR23">
        <f t="shared" ca="1" si="16"/>
        <v>0</v>
      </c>
      <c r="AS23">
        <f t="shared" ca="1" si="17"/>
        <v>0</v>
      </c>
      <c r="AT23">
        <f t="shared" ca="1" si="18"/>
        <v>0</v>
      </c>
      <c r="AU23">
        <f t="shared" ca="1" si="19"/>
        <v>0</v>
      </c>
      <c r="AV23">
        <f t="shared" ca="1" si="20"/>
        <v>0</v>
      </c>
      <c r="AW23">
        <f t="shared" ca="1" si="21"/>
        <v>0</v>
      </c>
      <c r="AX23">
        <f t="shared" ca="1" si="22"/>
        <v>0</v>
      </c>
      <c r="AY23">
        <f t="shared" ca="1" si="23"/>
        <v>0</v>
      </c>
      <c r="AZ23">
        <f t="shared" ca="1" si="24"/>
        <v>0</v>
      </c>
      <c r="BA23">
        <f t="shared" ca="1" si="25"/>
        <v>0</v>
      </c>
    </row>
    <row r="24" spans="1:53" x14ac:dyDescent="0.3">
      <c r="A24">
        <f>'NWGC - SCENARIOS'!B32</f>
        <v>70</v>
      </c>
      <c r="B24">
        <f>'NWGC - SCENARIOS'!C32</f>
        <v>2046</v>
      </c>
      <c r="C24" s="58">
        <f ca="1">'Yoy WAR OG'!S25</f>
        <v>0</v>
      </c>
      <c r="D24" s="58">
        <f ca="1">'Yoy WAR OG'!Y25</f>
        <v>0</v>
      </c>
      <c r="E24" s="58">
        <f ca="1">'Yoy WAR OG'!AE25</f>
        <v>0</v>
      </c>
      <c r="F24" s="58">
        <f ca="1">'Yoy WAR OG'!AK25</f>
        <v>219153795.2114999</v>
      </c>
      <c r="G24" s="58">
        <f ca="1">'Yoy WAR OG'!AQ25</f>
        <v>261891076.21770719</v>
      </c>
      <c r="H24" s="58">
        <f ca="1">'Yoy WAR OG'!AW25</f>
        <v>0</v>
      </c>
      <c r="I24" s="58">
        <f ca="1">'Yoy WAR OG'!BC25</f>
        <v>17721606.964401722</v>
      </c>
      <c r="J24" s="58">
        <f ca="1">'Yoy WAR OG'!BI25</f>
        <v>0</v>
      </c>
      <c r="K24" s="58">
        <f ca="1">'Yoy WAR OG'!BO25</f>
        <v>0</v>
      </c>
      <c r="L24" s="58">
        <f ca="1">'Yoy WAR OG'!BU25</f>
        <v>0</v>
      </c>
      <c r="M24" s="58">
        <f ca="1">'Yoy WAR OG'!CA25</f>
        <v>0</v>
      </c>
      <c r="N24" s="58">
        <f ca="1">'Yoy WAR OG'!CG25</f>
        <v>34889824.692411609</v>
      </c>
      <c r="O24" s="58">
        <f ca="1">'Yoy WAR OG'!CM25</f>
        <v>0</v>
      </c>
      <c r="P24" s="58">
        <f ca="1">'Yoy WAR OG'!CS25</f>
        <v>7313151.7998043131</v>
      </c>
      <c r="Q24" s="58">
        <f ca="1">'Yoy WAR OG'!CY25</f>
        <v>0</v>
      </c>
      <c r="R24" s="58">
        <f ca="1">'Yoy WAR OG'!DE25</f>
        <v>0</v>
      </c>
      <c r="S24" s="58">
        <f ca="1">'Yoy WAR OG'!DK25</f>
        <v>0</v>
      </c>
      <c r="T24" s="58">
        <f ca="1">'Yoy WAR OG'!DQ25</f>
        <v>0</v>
      </c>
      <c r="U24" s="58">
        <f ca="1">'Yoy WAR OG'!DW25</f>
        <v>0</v>
      </c>
      <c r="V24" s="58">
        <f ca="1">'Yoy WAR OG'!EC25</f>
        <v>0</v>
      </c>
      <c r="W24" s="58">
        <f ca="1">'Yoy WAR OG'!EI25</f>
        <v>0</v>
      </c>
      <c r="X24" s="58">
        <f ca="1">'Yoy WAR OG'!EO25</f>
        <v>0</v>
      </c>
      <c r="Y24" s="58">
        <f ca="1">'Yoy WAR OG'!EU25</f>
        <v>0</v>
      </c>
      <c r="Z24" s="58">
        <f ca="1">'Yoy WAR OG'!FA25</f>
        <v>0</v>
      </c>
      <c r="AB24" s="200">
        <f t="shared" ca="1" si="1"/>
        <v>7.6092635382153814E-2</v>
      </c>
      <c r="AD24">
        <f t="shared" ca="1" si="2"/>
        <v>0</v>
      </c>
      <c r="AE24">
        <f t="shared" ca="1" si="3"/>
        <v>0</v>
      </c>
      <c r="AF24">
        <f t="shared" ca="1" si="4"/>
        <v>0</v>
      </c>
      <c r="AG24">
        <f t="shared" ca="1" si="5"/>
        <v>0.40511306735008507</v>
      </c>
      <c r="AH24">
        <f t="shared" ca="1" si="6"/>
        <v>0.48411435036194622</v>
      </c>
      <c r="AI24">
        <f t="shared" ca="1" si="7"/>
        <v>0</v>
      </c>
      <c r="AJ24">
        <f t="shared" ca="1" si="8"/>
        <v>3.2758978911557934E-2</v>
      </c>
      <c r="AK24">
        <f t="shared" ca="1" si="9"/>
        <v>0</v>
      </c>
      <c r="AL24">
        <f t="shared" ca="1" si="10"/>
        <v>0</v>
      </c>
      <c r="AM24">
        <f t="shared" ca="1" si="11"/>
        <v>0</v>
      </c>
      <c r="AN24">
        <f t="shared" ca="1" si="12"/>
        <v>0</v>
      </c>
      <c r="AO24">
        <f t="shared" ca="1" si="13"/>
        <v>6.4494999444608833E-2</v>
      </c>
      <c r="AP24">
        <f t="shared" ca="1" si="14"/>
        <v>0</v>
      </c>
      <c r="AQ24">
        <f t="shared" ca="1" si="15"/>
        <v>1.3518603931802035E-2</v>
      </c>
      <c r="AR24">
        <f t="shared" ca="1" si="16"/>
        <v>0</v>
      </c>
      <c r="AS24">
        <f t="shared" ca="1" si="17"/>
        <v>0</v>
      </c>
      <c r="AT24">
        <f t="shared" ca="1" si="18"/>
        <v>0</v>
      </c>
      <c r="AU24">
        <f t="shared" ca="1" si="19"/>
        <v>0</v>
      </c>
      <c r="AV24">
        <f t="shared" ca="1" si="20"/>
        <v>0</v>
      </c>
      <c r="AW24">
        <f t="shared" ca="1" si="21"/>
        <v>0</v>
      </c>
      <c r="AX24">
        <f t="shared" ca="1" si="22"/>
        <v>0</v>
      </c>
      <c r="AY24">
        <f t="shared" ca="1" si="23"/>
        <v>0</v>
      </c>
      <c r="AZ24">
        <f t="shared" ca="1" si="24"/>
        <v>0</v>
      </c>
      <c r="BA24">
        <f t="shared" ca="1" si="25"/>
        <v>0</v>
      </c>
    </row>
    <row r="25" spans="1:53" x14ac:dyDescent="0.3">
      <c r="A25">
        <f>'NWGC - SCENARIOS'!B33</f>
        <v>71</v>
      </c>
      <c r="B25">
        <f>'NWGC - SCENARIOS'!C33</f>
        <v>2047</v>
      </c>
      <c r="C25" s="58">
        <f ca="1">'Yoy WAR OG'!S26</f>
        <v>0</v>
      </c>
      <c r="D25" s="58">
        <f ca="1">'Yoy WAR OG'!Y26</f>
        <v>0</v>
      </c>
      <c r="E25" s="58">
        <f ca="1">'Yoy WAR OG'!AE26</f>
        <v>0</v>
      </c>
      <c r="F25" s="58">
        <f ca="1">'Yoy WAR OG'!AK26</f>
        <v>227437816.11197442</v>
      </c>
      <c r="G25" s="58">
        <f ca="1">'Yoy WAR OG'!AQ26</f>
        <v>278453192.28787601</v>
      </c>
      <c r="H25" s="58">
        <f ca="1">'Yoy WAR OG'!AW26</f>
        <v>0</v>
      </c>
      <c r="I25" s="58">
        <f ca="1">'Yoy WAR OG'!BC26</f>
        <v>18962119.451909844</v>
      </c>
      <c r="J25" s="58">
        <f ca="1">'Yoy WAR OG'!BI26</f>
        <v>0</v>
      </c>
      <c r="K25" s="58">
        <f ca="1">'Yoy WAR OG'!BO26</f>
        <v>0</v>
      </c>
      <c r="L25" s="58">
        <f ca="1">'Yoy WAR OG'!BU26</f>
        <v>0</v>
      </c>
      <c r="M25" s="58">
        <f ca="1">'Yoy WAR OG'!CA26</f>
        <v>0</v>
      </c>
      <c r="N25" s="58">
        <f ca="1">'Yoy WAR OG'!CG26</f>
        <v>35936519.433183961</v>
      </c>
      <c r="O25" s="58">
        <f ca="1">'Yoy WAR OG'!CM26</f>
        <v>0</v>
      </c>
      <c r="P25" s="58">
        <f ca="1">'Yoy WAR OG'!CS26</f>
        <v>7678809.3897945294</v>
      </c>
      <c r="Q25" s="58">
        <f ca="1">'Yoy WAR OG'!CY26</f>
        <v>0</v>
      </c>
      <c r="R25" s="58">
        <f ca="1">'Yoy WAR OG'!DE26</f>
        <v>0</v>
      </c>
      <c r="S25" s="58">
        <f ca="1">'Yoy WAR OG'!DK26</f>
        <v>0</v>
      </c>
      <c r="T25" s="58">
        <f ca="1">'Yoy WAR OG'!DQ26</f>
        <v>0</v>
      </c>
      <c r="U25" s="58">
        <f ca="1">'Yoy WAR OG'!DW26</f>
        <v>0</v>
      </c>
      <c r="V25" s="58">
        <f ca="1">'Yoy WAR OG'!EC26</f>
        <v>0</v>
      </c>
      <c r="W25" s="58">
        <f ca="1">'Yoy WAR OG'!EI26</f>
        <v>0</v>
      </c>
      <c r="X25" s="58">
        <f ca="1">'Yoy WAR OG'!EO26</f>
        <v>0</v>
      </c>
      <c r="Y25" s="58">
        <f ca="1">'Yoy WAR OG'!EU26</f>
        <v>0</v>
      </c>
      <c r="Z25" s="58">
        <f ca="1">'Yoy WAR OG'!FA26</f>
        <v>0</v>
      </c>
      <c r="AB25" s="200">
        <f t="shared" ca="1" si="1"/>
        <v>7.585727801770141E-2</v>
      </c>
      <c r="AD25">
        <f t="shared" ca="1" si="2"/>
        <v>0</v>
      </c>
      <c r="AE25">
        <f t="shared" ca="1" si="3"/>
        <v>0</v>
      </c>
      <c r="AF25">
        <f t="shared" ca="1" si="4"/>
        <v>0</v>
      </c>
      <c r="AG25">
        <f t="shared" ca="1" si="5"/>
        <v>0.40008871810121871</v>
      </c>
      <c r="AH25">
        <f t="shared" ca="1" si="6"/>
        <v>0.4898305068968829</v>
      </c>
      <c r="AI25">
        <f t="shared" ca="1" si="7"/>
        <v>0</v>
      </c>
      <c r="AJ25">
        <f t="shared" ca="1" si="8"/>
        <v>3.3356502422014635E-2</v>
      </c>
      <c r="AK25">
        <f t="shared" ca="1" si="9"/>
        <v>0</v>
      </c>
      <c r="AL25">
        <f t="shared" ca="1" si="10"/>
        <v>0</v>
      </c>
      <c r="AM25">
        <f t="shared" ca="1" si="11"/>
        <v>0</v>
      </c>
      <c r="AN25">
        <f t="shared" ca="1" si="12"/>
        <v>0</v>
      </c>
      <c r="AO25">
        <f t="shared" ca="1" si="13"/>
        <v>6.3216382564821538E-2</v>
      </c>
      <c r="AP25">
        <f t="shared" ca="1" si="14"/>
        <v>0</v>
      </c>
      <c r="AQ25">
        <f t="shared" ca="1" si="15"/>
        <v>1.3507890015062212E-2</v>
      </c>
      <c r="AR25">
        <f t="shared" ca="1" si="16"/>
        <v>0</v>
      </c>
      <c r="AS25">
        <f t="shared" ca="1" si="17"/>
        <v>0</v>
      </c>
      <c r="AT25">
        <f t="shared" ca="1" si="18"/>
        <v>0</v>
      </c>
      <c r="AU25">
        <f t="shared" ca="1" si="19"/>
        <v>0</v>
      </c>
      <c r="AV25">
        <f t="shared" ca="1" si="20"/>
        <v>0</v>
      </c>
      <c r="AW25">
        <f t="shared" ca="1" si="21"/>
        <v>0</v>
      </c>
      <c r="AX25">
        <f t="shared" ca="1" si="22"/>
        <v>0</v>
      </c>
      <c r="AY25">
        <f t="shared" ca="1" si="23"/>
        <v>0</v>
      </c>
      <c r="AZ25">
        <f t="shared" ca="1" si="24"/>
        <v>0</v>
      </c>
      <c r="BA25">
        <f t="shared" ca="1" si="25"/>
        <v>0</v>
      </c>
    </row>
    <row r="26" spans="1:53" x14ac:dyDescent="0.3">
      <c r="A26">
        <f>'NWGC - SCENARIOS'!B34</f>
        <v>72</v>
      </c>
      <c r="B26">
        <f>'NWGC - SCENARIOS'!C34</f>
        <v>2048</v>
      </c>
      <c r="C26" s="58">
        <f ca="1">'Yoy WAR OG'!S27</f>
        <v>0</v>
      </c>
      <c r="D26" s="58">
        <f ca="1">'Yoy WAR OG'!Y27</f>
        <v>0</v>
      </c>
      <c r="E26" s="58">
        <f ca="1">'Yoy WAR OG'!AE27</f>
        <v>0</v>
      </c>
      <c r="F26" s="58">
        <f ca="1">'Yoy WAR OG'!AK27</f>
        <v>235359788.38567787</v>
      </c>
      <c r="G26" s="58">
        <f ca="1">'Yoy WAR OG'!AQ27</f>
        <v>296098873.29215974</v>
      </c>
      <c r="H26" s="58">
        <f ca="1">'Yoy WAR OG'!AW27</f>
        <v>0</v>
      </c>
      <c r="I26" s="58">
        <f ca="1">'Yoy WAR OG'!BC27</f>
        <v>20289467.813543536</v>
      </c>
      <c r="J26" s="58">
        <f ca="1">'Yoy WAR OG'!BI27</f>
        <v>0</v>
      </c>
      <c r="K26" s="58">
        <f ca="1">'Yoy WAR OG'!BO27</f>
        <v>0</v>
      </c>
      <c r="L26" s="58">
        <f ca="1">'Yoy WAR OG'!BU27</f>
        <v>0</v>
      </c>
      <c r="M26" s="58">
        <f ca="1">'Yoy WAR OG'!CA27</f>
        <v>0</v>
      </c>
      <c r="N26" s="58">
        <f ca="1">'Yoy WAR OG'!CG27</f>
        <v>37014615.01617948</v>
      </c>
      <c r="O26" s="58">
        <f ca="1">'Yoy WAR OG'!CM27</f>
        <v>0</v>
      </c>
      <c r="P26" s="58">
        <f ca="1">'Yoy WAR OG'!CS27</f>
        <v>8062749.8592842566</v>
      </c>
      <c r="Q26" s="58">
        <f ca="1">'Yoy WAR OG'!CY27</f>
        <v>0</v>
      </c>
      <c r="R26" s="58">
        <f ca="1">'Yoy WAR OG'!DE27</f>
        <v>0</v>
      </c>
      <c r="S26" s="58">
        <f ca="1">'Yoy WAR OG'!DK27</f>
        <v>0</v>
      </c>
      <c r="T26" s="58">
        <f ca="1">'Yoy WAR OG'!DQ27</f>
        <v>0</v>
      </c>
      <c r="U26" s="58">
        <f ca="1">'Yoy WAR OG'!DW27</f>
        <v>0</v>
      </c>
      <c r="V26" s="58">
        <f ca="1">'Yoy WAR OG'!EC27</f>
        <v>0</v>
      </c>
      <c r="W26" s="58">
        <f ca="1">'Yoy WAR OG'!EI27</f>
        <v>0</v>
      </c>
      <c r="X26" s="58">
        <f ca="1">'Yoy WAR OG'!EO27</f>
        <v>0</v>
      </c>
      <c r="Y26" s="58">
        <f ca="1">'Yoy WAR OG'!EU27</f>
        <v>0</v>
      </c>
      <c r="Z26" s="58">
        <f ca="1">'Yoy WAR OG'!FA27</f>
        <v>0</v>
      </c>
      <c r="AB26" s="200">
        <f t="shared" ca="1" si="1"/>
        <v>7.5581311236956605E-2</v>
      </c>
      <c r="AD26">
        <f t="shared" ca="1" si="2"/>
        <v>0</v>
      </c>
      <c r="AE26">
        <f t="shared" ca="1" si="3"/>
        <v>0</v>
      </c>
      <c r="AF26">
        <f t="shared" ca="1" si="4"/>
        <v>0</v>
      </c>
      <c r="AG26">
        <f t="shared" ca="1" si="5"/>
        <v>0.39435277247223555</v>
      </c>
      <c r="AH26">
        <f t="shared" ca="1" si="6"/>
        <v>0.49612303108177802</v>
      </c>
      <c r="AI26">
        <f t="shared" ca="1" si="7"/>
        <v>0</v>
      </c>
      <c r="AJ26">
        <f t="shared" ca="1" si="8"/>
        <v>3.3995645301761197E-2</v>
      </c>
      <c r="AK26">
        <f t="shared" ca="1" si="9"/>
        <v>0</v>
      </c>
      <c r="AL26">
        <f t="shared" ca="1" si="10"/>
        <v>0</v>
      </c>
      <c r="AM26">
        <f t="shared" ca="1" si="11"/>
        <v>0</v>
      </c>
      <c r="AN26">
        <f t="shared" ca="1" si="12"/>
        <v>0</v>
      </c>
      <c r="AO26">
        <f t="shared" ca="1" si="13"/>
        <v>6.2019158641081894E-2</v>
      </c>
      <c r="AP26">
        <f t="shared" ca="1" si="14"/>
        <v>0</v>
      </c>
      <c r="AQ26">
        <f t="shared" ca="1" si="15"/>
        <v>1.3509392503143314E-2</v>
      </c>
      <c r="AR26">
        <f t="shared" ca="1" si="16"/>
        <v>0</v>
      </c>
      <c r="AS26">
        <f t="shared" ca="1" si="17"/>
        <v>0</v>
      </c>
      <c r="AT26">
        <f t="shared" ca="1" si="18"/>
        <v>0</v>
      </c>
      <c r="AU26">
        <f t="shared" ca="1" si="19"/>
        <v>0</v>
      </c>
      <c r="AV26">
        <f t="shared" ca="1" si="20"/>
        <v>0</v>
      </c>
      <c r="AW26">
        <f t="shared" ca="1" si="21"/>
        <v>0</v>
      </c>
      <c r="AX26">
        <f t="shared" ca="1" si="22"/>
        <v>0</v>
      </c>
      <c r="AY26">
        <f t="shared" ca="1" si="23"/>
        <v>0</v>
      </c>
      <c r="AZ26">
        <f t="shared" ca="1" si="24"/>
        <v>0</v>
      </c>
      <c r="BA26">
        <f t="shared" ca="1" si="25"/>
        <v>0</v>
      </c>
    </row>
    <row r="27" spans="1:53" x14ac:dyDescent="0.3">
      <c r="A27">
        <f>'NWGC - SCENARIOS'!B35</f>
        <v>73</v>
      </c>
      <c r="B27">
        <f>'NWGC - SCENARIOS'!C35</f>
        <v>2049</v>
      </c>
      <c r="C27" s="58">
        <f ca="1">'Yoy WAR OG'!S28</f>
        <v>0</v>
      </c>
      <c r="D27" s="58">
        <f ca="1">'Yoy WAR OG'!Y28</f>
        <v>0</v>
      </c>
      <c r="E27" s="58">
        <f ca="1">'Yoy WAR OG'!AE28</f>
        <v>0</v>
      </c>
      <c r="F27" s="58">
        <f ca="1">'Yoy WAR OG'!AK28</f>
        <v>242778023.40959963</v>
      </c>
      <c r="G27" s="58">
        <f ca="1">'Yoy WAR OG'!AQ28</f>
        <v>314901527.18595511</v>
      </c>
      <c r="H27" s="58">
        <f ca="1">'Yoy WAR OG'!AW28</f>
        <v>0</v>
      </c>
      <c r="I27" s="58">
        <f ca="1">'Yoy WAR OG'!BC28</f>
        <v>21709730.560491584</v>
      </c>
      <c r="J27" s="58">
        <f ca="1">'Yoy WAR OG'!BI28</f>
        <v>0</v>
      </c>
      <c r="K27" s="58">
        <f ca="1">'Yoy WAR OG'!BO28</f>
        <v>0</v>
      </c>
      <c r="L27" s="58">
        <f ca="1">'Yoy WAR OG'!BU28</f>
        <v>0</v>
      </c>
      <c r="M27" s="58">
        <f ca="1">'Yoy WAR OG'!CA28</f>
        <v>0</v>
      </c>
      <c r="N27" s="58">
        <f ca="1">'Yoy WAR OG'!CG28</f>
        <v>38125053.466664866</v>
      </c>
      <c r="O27" s="58">
        <f ca="1">'Yoy WAR OG'!CM28</f>
        <v>0</v>
      </c>
      <c r="P27" s="58">
        <f ca="1">'Yoy WAR OG'!CS28</f>
        <v>8465887.3522484694</v>
      </c>
      <c r="Q27" s="58">
        <f ca="1">'Yoy WAR OG'!CY28</f>
        <v>0</v>
      </c>
      <c r="R27" s="58">
        <f ca="1">'Yoy WAR OG'!DE28</f>
        <v>0</v>
      </c>
      <c r="S27" s="58">
        <f ca="1">'Yoy WAR OG'!DK28</f>
        <v>0</v>
      </c>
      <c r="T27" s="58">
        <f ca="1">'Yoy WAR OG'!DQ28</f>
        <v>0</v>
      </c>
      <c r="U27" s="58">
        <f ca="1">'Yoy WAR OG'!DW28</f>
        <v>0</v>
      </c>
      <c r="V27" s="58">
        <f ca="1">'Yoy WAR OG'!EC28</f>
        <v>0</v>
      </c>
      <c r="W27" s="58">
        <f ca="1">'Yoy WAR OG'!EI28</f>
        <v>0</v>
      </c>
      <c r="X27" s="58">
        <f ca="1">'Yoy WAR OG'!EO28</f>
        <v>0</v>
      </c>
      <c r="Y27" s="58">
        <f ca="1">'Yoy WAR OG'!EU28</f>
        <v>0</v>
      </c>
      <c r="Z27" s="58">
        <f ca="1">'Yoy WAR OG'!FA28</f>
        <v>0</v>
      </c>
      <c r="AB27" s="200">
        <f t="shared" ca="1" si="1"/>
        <v>7.5260993921649547E-2</v>
      </c>
      <c r="AD27">
        <f t="shared" ca="1" si="2"/>
        <v>0</v>
      </c>
      <c r="AE27">
        <f t="shared" ca="1" si="3"/>
        <v>0</v>
      </c>
      <c r="AF27">
        <f t="shared" ca="1" si="4"/>
        <v>0</v>
      </c>
      <c r="AG27">
        <f t="shared" ca="1" si="5"/>
        <v>0.38783657196650412</v>
      </c>
      <c r="AH27">
        <f t="shared" ca="1" si="6"/>
        <v>0.5030534769811813</v>
      </c>
      <c r="AI27">
        <f t="shared" ca="1" si="7"/>
        <v>0</v>
      </c>
      <c r="AJ27">
        <f t="shared" ca="1" si="8"/>
        <v>3.4681176494678473E-2</v>
      </c>
      <c r="AK27">
        <f t="shared" ca="1" si="9"/>
        <v>0</v>
      </c>
      <c r="AL27">
        <f t="shared" ca="1" si="10"/>
        <v>0</v>
      </c>
      <c r="AM27">
        <f t="shared" ca="1" si="11"/>
        <v>0</v>
      </c>
      <c r="AN27">
        <f t="shared" ca="1" si="12"/>
        <v>0</v>
      </c>
      <c r="AO27">
        <f t="shared" ca="1" si="13"/>
        <v>6.0904565557008829E-2</v>
      </c>
      <c r="AP27">
        <f t="shared" ca="1" si="14"/>
        <v>0</v>
      </c>
      <c r="AQ27">
        <f t="shared" ca="1" si="15"/>
        <v>1.3524209000627372E-2</v>
      </c>
      <c r="AR27">
        <f t="shared" ca="1" si="16"/>
        <v>0</v>
      </c>
      <c r="AS27">
        <f t="shared" ca="1" si="17"/>
        <v>0</v>
      </c>
      <c r="AT27">
        <f t="shared" ca="1" si="18"/>
        <v>0</v>
      </c>
      <c r="AU27">
        <f t="shared" ca="1" si="19"/>
        <v>0</v>
      </c>
      <c r="AV27">
        <f t="shared" ca="1" si="20"/>
        <v>0</v>
      </c>
      <c r="AW27">
        <f t="shared" ca="1" si="21"/>
        <v>0</v>
      </c>
      <c r="AX27">
        <f t="shared" ca="1" si="22"/>
        <v>0</v>
      </c>
      <c r="AY27">
        <f t="shared" ca="1" si="23"/>
        <v>0</v>
      </c>
      <c r="AZ27">
        <f t="shared" ca="1" si="24"/>
        <v>0</v>
      </c>
      <c r="BA27">
        <f t="shared" ca="1" si="25"/>
        <v>0</v>
      </c>
    </row>
    <row r="28" spans="1:53" x14ac:dyDescent="0.3">
      <c r="A28">
        <f>'NWGC - SCENARIOS'!B36</f>
        <v>74</v>
      </c>
      <c r="B28">
        <f>'NWGC - SCENARIOS'!C36</f>
        <v>2050</v>
      </c>
      <c r="C28" s="58">
        <f ca="1">'Yoy WAR OG'!S29</f>
        <v>0</v>
      </c>
      <c r="D28" s="58">
        <f ca="1">'Yoy WAR OG'!Y29</f>
        <v>0</v>
      </c>
      <c r="E28" s="58">
        <f ca="1">'Yoy WAR OG'!AE29</f>
        <v>0</v>
      </c>
      <c r="F28" s="58">
        <f ca="1">'Yoy WAR OG'!AK29</f>
        <v>249527097.75027257</v>
      </c>
      <c r="G28" s="58">
        <f ca="1">'Yoy WAR OG'!AQ29</f>
        <v>334939704.31292737</v>
      </c>
      <c r="H28" s="58">
        <f ca="1">'Yoy WAR OG'!AW29</f>
        <v>0</v>
      </c>
      <c r="I28" s="58">
        <f ca="1">'Yoy WAR OG'!BC29</f>
        <v>23229411.699725997</v>
      </c>
      <c r="J28" s="58">
        <f ca="1">'Yoy WAR OG'!BI29</f>
        <v>0</v>
      </c>
      <c r="K28" s="58">
        <f ca="1">'Yoy WAR OG'!BO29</f>
        <v>0</v>
      </c>
      <c r="L28" s="58">
        <f ca="1">'Yoy WAR OG'!BU29</f>
        <v>0</v>
      </c>
      <c r="M28" s="58">
        <f ca="1">'Yoy WAR OG'!CA29</f>
        <v>0</v>
      </c>
      <c r="N28" s="58">
        <f ca="1">'Yoy WAR OG'!CG29</f>
        <v>39268805.070664816</v>
      </c>
      <c r="O28" s="58">
        <f ca="1">'Yoy WAR OG'!CM29</f>
        <v>0</v>
      </c>
      <c r="P28" s="58">
        <f ca="1">'Yoy WAR OG'!CS29</f>
        <v>8889181.7198608927</v>
      </c>
      <c r="Q28" s="58">
        <f ca="1">'Yoy WAR OG'!CY29</f>
        <v>0</v>
      </c>
      <c r="R28" s="58">
        <f ca="1">'Yoy WAR OG'!DE29</f>
        <v>0</v>
      </c>
      <c r="S28" s="58">
        <f ca="1">'Yoy WAR OG'!DK29</f>
        <v>0</v>
      </c>
      <c r="T28" s="58">
        <f ca="1">'Yoy WAR OG'!DQ29</f>
        <v>0</v>
      </c>
      <c r="U28" s="58">
        <f ca="1">'Yoy WAR OG'!DW29</f>
        <v>0</v>
      </c>
      <c r="V28" s="58">
        <f ca="1">'Yoy WAR OG'!EC29</f>
        <v>0</v>
      </c>
      <c r="W28" s="58">
        <f ca="1">'Yoy WAR OG'!EI29</f>
        <v>0</v>
      </c>
      <c r="X28" s="58">
        <f ca="1">'Yoy WAR OG'!EO29</f>
        <v>0</v>
      </c>
      <c r="Y28" s="58">
        <f ca="1">'Yoy WAR OG'!EU29</f>
        <v>0</v>
      </c>
      <c r="Z28" s="58">
        <f ca="1">'Yoy WAR OG'!FA29</f>
        <v>0</v>
      </c>
      <c r="AB28" s="200">
        <f t="shared" ca="1" si="1"/>
        <v>7.4892020978726187E-2</v>
      </c>
      <c r="AD28">
        <f t="shared" ca="1" si="2"/>
        <v>0</v>
      </c>
      <c r="AE28">
        <f t="shared" ca="1" si="3"/>
        <v>0</v>
      </c>
      <c r="AF28">
        <f t="shared" ca="1" si="4"/>
        <v>0</v>
      </c>
      <c r="AG28">
        <f t="shared" ca="1" si="5"/>
        <v>0.38046123290771894</v>
      </c>
      <c r="AH28">
        <f t="shared" ca="1" si="6"/>
        <v>0.51069232160178868</v>
      </c>
      <c r="AI28">
        <f t="shared" ca="1" si="7"/>
        <v>0</v>
      </c>
      <c r="AJ28">
        <f t="shared" ca="1" si="8"/>
        <v>3.5418560527817826E-2</v>
      </c>
      <c r="AK28">
        <f t="shared" ca="1" si="9"/>
        <v>0</v>
      </c>
      <c r="AL28">
        <f t="shared" ca="1" si="10"/>
        <v>0</v>
      </c>
      <c r="AM28">
        <f t="shared" ca="1" si="11"/>
        <v>0</v>
      </c>
      <c r="AN28">
        <f t="shared" ca="1" si="12"/>
        <v>0</v>
      </c>
      <c r="AO28">
        <f t="shared" ca="1" si="13"/>
        <v>5.9874290715112126E-2</v>
      </c>
      <c r="AP28">
        <f t="shared" ca="1" si="14"/>
        <v>0</v>
      </c>
      <c r="AQ28">
        <f t="shared" ca="1" si="15"/>
        <v>1.3553594247562391E-2</v>
      </c>
      <c r="AR28">
        <f t="shared" ca="1" si="16"/>
        <v>0</v>
      </c>
      <c r="AS28">
        <f t="shared" ca="1" si="17"/>
        <v>0</v>
      </c>
      <c r="AT28">
        <f t="shared" ca="1" si="18"/>
        <v>0</v>
      </c>
      <c r="AU28">
        <f t="shared" ca="1" si="19"/>
        <v>0</v>
      </c>
      <c r="AV28">
        <f t="shared" ca="1" si="20"/>
        <v>0</v>
      </c>
      <c r="AW28">
        <f t="shared" ca="1" si="21"/>
        <v>0</v>
      </c>
      <c r="AX28">
        <f t="shared" ca="1" si="22"/>
        <v>0</v>
      </c>
      <c r="AY28">
        <f t="shared" ca="1" si="23"/>
        <v>0</v>
      </c>
      <c r="AZ28">
        <f t="shared" ca="1" si="24"/>
        <v>0</v>
      </c>
      <c r="BA28">
        <f t="shared" ca="1" si="25"/>
        <v>0</v>
      </c>
    </row>
    <row r="29" spans="1:53" x14ac:dyDescent="0.3">
      <c r="A29">
        <f>'NWGC - SCENARIOS'!B37</f>
        <v>75</v>
      </c>
      <c r="B29">
        <f>'NWGC - SCENARIOS'!C37</f>
        <v>2051</v>
      </c>
      <c r="C29" s="58">
        <f ca="1">'Yoy WAR OG'!S30</f>
        <v>0</v>
      </c>
      <c r="D29" s="58">
        <f ca="1">'Yoy WAR OG'!Y30</f>
        <v>0</v>
      </c>
      <c r="E29" s="58">
        <f ca="1">'Yoy WAR OG'!AE30</f>
        <v>0</v>
      </c>
      <c r="F29" s="58">
        <f ca="1">'Yoy WAR OG'!AK30</f>
        <v>255414590.40966889</v>
      </c>
      <c r="G29" s="58">
        <f ca="1">'Yoy WAR OG'!AQ30</f>
        <v>356297468.63242263</v>
      </c>
      <c r="H29" s="58">
        <f ca="1">'Yoy WAR OG'!AW30</f>
        <v>0</v>
      </c>
      <c r="I29" s="58">
        <f ca="1">'Yoy WAR OG'!BC30</f>
        <v>24855470.518706817</v>
      </c>
      <c r="J29" s="58">
        <f ca="1">'Yoy WAR OG'!BI30</f>
        <v>0</v>
      </c>
      <c r="K29" s="58">
        <f ca="1">'Yoy WAR OG'!BO30</f>
        <v>0</v>
      </c>
      <c r="L29" s="58">
        <f ca="1">'Yoy WAR OG'!BU30</f>
        <v>0</v>
      </c>
      <c r="M29" s="58">
        <f ca="1">'Yoy WAR OG'!CA30</f>
        <v>0</v>
      </c>
      <c r="N29" s="58">
        <f ca="1">'Yoy WAR OG'!CG30</f>
        <v>40446869.222784758</v>
      </c>
      <c r="O29" s="58">
        <f ca="1">'Yoy WAR OG'!CM30</f>
        <v>0</v>
      </c>
      <c r="P29" s="58">
        <f ca="1">'Yoy WAR OG'!CS30</f>
        <v>9333640.8058539387</v>
      </c>
      <c r="Q29" s="58">
        <f ca="1">'Yoy WAR OG'!CY30</f>
        <v>0</v>
      </c>
      <c r="R29" s="58">
        <f ca="1">'Yoy WAR OG'!DE30</f>
        <v>0</v>
      </c>
      <c r="S29" s="58">
        <f ca="1">'Yoy WAR OG'!DK30</f>
        <v>0</v>
      </c>
      <c r="T29" s="58">
        <f ca="1">'Yoy WAR OG'!DQ30</f>
        <v>0</v>
      </c>
      <c r="U29" s="58">
        <f ca="1">'Yoy WAR OG'!DW30</f>
        <v>0</v>
      </c>
      <c r="V29" s="58">
        <f ca="1">'Yoy WAR OG'!EC30</f>
        <v>0</v>
      </c>
      <c r="W29" s="58">
        <f ca="1">'Yoy WAR OG'!EI30</f>
        <v>0</v>
      </c>
      <c r="X29" s="58">
        <f ca="1">'Yoy WAR OG'!EO30</f>
        <v>0</v>
      </c>
      <c r="Y29" s="58">
        <f ca="1">'Yoy WAR OG'!EU30</f>
        <v>0</v>
      </c>
      <c r="Z29" s="58">
        <f ca="1">'Yoy WAR OG'!FA30</f>
        <v>0</v>
      </c>
      <c r="AB29" s="200">
        <f t="shared" ca="1" si="1"/>
        <v>7.4469414677292484E-2</v>
      </c>
      <c r="AD29">
        <f t="shared" ca="1" si="2"/>
        <v>0</v>
      </c>
      <c r="AE29">
        <f t="shared" ca="1" si="3"/>
        <v>0</v>
      </c>
      <c r="AF29">
        <f t="shared" ca="1" si="4"/>
        <v>0</v>
      </c>
      <c r="AG29">
        <f t="shared" ca="1" si="5"/>
        <v>0.37213567414347687</v>
      </c>
      <c r="AH29">
        <f t="shared" ca="1" si="6"/>
        <v>0.51912069107905423</v>
      </c>
      <c r="AI29">
        <f t="shared" ca="1" si="7"/>
        <v>0</v>
      </c>
      <c r="AJ29">
        <f t="shared" ca="1" si="8"/>
        <v>3.6214091226333192E-2</v>
      </c>
      <c r="AK29">
        <f t="shared" ca="1" si="9"/>
        <v>0</v>
      </c>
      <c r="AL29">
        <f t="shared" ca="1" si="10"/>
        <v>0</v>
      </c>
      <c r="AM29">
        <f t="shared" ca="1" si="11"/>
        <v>0</v>
      </c>
      <c r="AN29">
        <f t="shared" ca="1" si="12"/>
        <v>0</v>
      </c>
      <c r="AO29">
        <f t="shared" ca="1" si="13"/>
        <v>5.8930552561903521E-2</v>
      </c>
      <c r="AP29">
        <f t="shared" ca="1" si="14"/>
        <v>0</v>
      </c>
      <c r="AQ29">
        <f t="shared" ca="1" si="15"/>
        <v>1.35989909892322E-2</v>
      </c>
      <c r="AR29">
        <f t="shared" ca="1" si="16"/>
        <v>0</v>
      </c>
      <c r="AS29">
        <f t="shared" ca="1" si="17"/>
        <v>0</v>
      </c>
      <c r="AT29">
        <f t="shared" ca="1" si="18"/>
        <v>0</v>
      </c>
      <c r="AU29">
        <f t="shared" ca="1" si="19"/>
        <v>0</v>
      </c>
      <c r="AV29">
        <f t="shared" ca="1" si="20"/>
        <v>0</v>
      </c>
      <c r="AW29">
        <f t="shared" ca="1" si="21"/>
        <v>0</v>
      </c>
      <c r="AX29">
        <f t="shared" ca="1" si="22"/>
        <v>0</v>
      </c>
      <c r="AY29">
        <f t="shared" ca="1" si="23"/>
        <v>0</v>
      </c>
      <c r="AZ29">
        <f t="shared" ca="1" si="24"/>
        <v>0</v>
      </c>
      <c r="BA29">
        <f t="shared" ca="1" si="25"/>
        <v>0</v>
      </c>
    </row>
    <row r="30" spans="1:53" x14ac:dyDescent="0.3">
      <c r="A30">
        <f>'NWGC - SCENARIOS'!B38</f>
        <v>76</v>
      </c>
      <c r="B30">
        <f>'NWGC - SCENARIOS'!C38</f>
        <v>2052</v>
      </c>
      <c r="C30" s="58">
        <f ca="1">'Yoy WAR OG'!S31</f>
        <v>0</v>
      </c>
      <c r="D30" s="58">
        <f ca="1">'Yoy WAR OG'!Y31</f>
        <v>0</v>
      </c>
      <c r="E30" s="58">
        <f ca="1">'Yoy WAR OG'!AE31</f>
        <v>0</v>
      </c>
      <c r="F30" s="58">
        <f ca="1">'Yoy WAR OG'!AK31</f>
        <v>260217409.01414809</v>
      </c>
      <c r="G30" s="58">
        <f ca="1">'Yoy WAR OG'!AQ31</f>
        <v>379064796.43607289</v>
      </c>
      <c r="H30" s="58">
        <f ca="1">'Yoy WAR OG'!AW31</f>
        <v>0</v>
      </c>
      <c r="I30" s="58">
        <f ca="1">'Yoy WAR OG'!BC31</f>
        <v>26595353.455016296</v>
      </c>
      <c r="J30" s="58">
        <f ca="1">'Yoy WAR OG'!BI31</f>
        <v>0</v>
      </c>
      <c r="K30" s="58">
        <f ca="1">'Yoy WAR OG'!BO31</f>
        <v>0</v>
      </c>
      <c r="L30" s="58">
        <f ca="1">'Yoy WAR OG'!BU31</f>
        <v>0</v>
      </c>
      <c r="M30" s="58">
        <f ca="1">'Yoy WAR OG'!CA31</f>
        <v>0</v>
      </c>
      <c r="N30" s="58">
        <f ca="1">'Yoy WAR OG'!CG31</f>
        <v>41660275.299468301</v>
      </c>
      <c r="O30" s="58">
        <f ca="1">'Yoy WAR OG'!CM31</f>
        <v>0</v>
      </c>
      <c r="P30" s="58">
        <f ca="1">'Yoy WAR OG'!CS31</f>
        <v>9800322.8461466357</v>
      </c>
      <c r="Q30" s="58">
        <f ca="1">'Yoy WAR OG'!CY31</f>
        <v>0</v>
      </c>
      <c r="R30" s="58">
        <f ca="1">'Yoy WAR OG'!DE31</f>
        <v>0</v>
      </c>
      <c r="S30" s="58">
        <f ca="1">'Yoy WAR OG'!DK31</f>
        <v>0</v>
      </c>
      <c r="T30" s="58">
        <f ca="1">'Yoy WAR OG'!DQ31</f>
        <v>0</v>
      </c>
      <c r="U30" s="58">
        <f ca="1">'Yoy WAR OG'!DW31</f>
        <v>0</v>
      </c>
      <c r="V30" s="58">
        <f ca="1">'Yoy WAR OG'!EC31</f>
        <v>0</v>
      </c>
      <c r="W30" s="58">
        <f ca="1">'Yoy WAR OG'!EI31</f>
        <v>0</v>
      </c>
      <c r="X30" s="58">
        <f ca="1">'Yoy WAR OG'!EO31</f>
        <v>0</v>
      </c>
      <c r="Y30" s="58">
        <f ca="1">'Yoy WAR OG'!EU31</f>
        <v>0</v>
      </c>
      <c r="Z30" s="58">
        <f ca="1">'Yoy WAR OG'!FA31</f>
        <v>0</v>
      </c>
      <c r="AB30" s="200">
        <f t="shared" ca="1" si="1"/>
        <v>7.398738993180369E-2</v>
      </c>
      <c r="AD30">
        <f t="shared" ca="1" si="2"/>
        <v>0</v>
      </c>
      <c r="AE30">
        <f t="shared" ca="1" si="3"/>
        <v>0</v>
      </c>
      <c r="AF30">
        <f t="shared" ca="1" si="4"/>
        <v>0</v>
      </c>
      <c r="AG30">
        <f t="shared" ca="1" si="5"/>
        <v>0.36275417173396129</v>
      </c>
      <c r="AH30">
        <f t="shared" ca="1" si="6"/>
        <v>0.52843250105988859</v>
      </c>
      <c r="AI30">
        <f t="shared" ca="1" si="7"/>
        <v>0</v>
      </c>
      <c r="AJ30">
        <f t="shared" ca="1" si="8"/>
        <v>3.7075057549365735E-2</v>
      </c>
      <c r="AK30">
        <f t="shared" ca="1" si="9"/>
        <v>0</v>
      </c>
      <c r="AL30">
        <f t="shared" ca="1" si="10"/>
        <v>0</v>
      </c>
      <c r="AM30">
        <f t="shared" ca="1" si="11"/>
        <v>0</v>
      </c>
      <c r="AN30">
        <f t="shared" ca="1" si="12"/>
        <v>0</v>
      </c>
      <c r="AO30">
        <f t="shared" ca="1" si="13"/>
        <v>5.8076201426038192E-2</v>
      </c>
      <c r="AP30">
        <f t="shared" ca="1" si="14"/>
        <v>0</v>
      </c>
      <c r="AQ30">
        <f t="shared" ca="1" si="15"/>
        <v>1.3662068230746425E-2</v>
      </c>
      <c r="AR30">
        <f t="shared" ca="1" si="16"/>
        <v>0</v>
      </c>
      <c r="AS30">
        <f t="shared" ca="1" si="17"/>
        <v>0</v>
      </c>
      <c r="AT30">
        <f t="shared" ca="1" si="18"/>
        <v>0</v>
      </c>
      <c r="AU30">
        <f t="shared" ca="1" si="19"/>
        <v>0</v>
      </c>
      <c r="AV30">
        <f t="shared" ca="1" si="20"/>
        <v>0</v>
      </c>
      <c r="AW30">
        <f t="shared" ca="1" si="21"/>
        <v>0</v>
      </c>
      <c r="AX30">
        <f t="shared" ca="1" si="22"/>
        <v>0</v>
      </c>
      <c r="AY30">
        <f t="shared" ca="1" si="23"/>
        <v>0</v>
      </c>
      <c r="AZ30">
        <f t="shared" ca="1" si="24"/>
        <v>0</v>
      </c>
      <c r="BA30">
        <f t="shared" ca="1" si="25"/>
        <v>0</v>
      </c>
    </row>
    <row r="31" spans="1:53" x14ac:dyDescent="0.3">
      <c r="A31">
        <f>'NWGC - SCENARIOS'!B39</f>
        <v>77</v>
      </c>
      <c r="B31">
        <f>'NWGC - SCENARIOS'!C39</f>
        <v>2053</v>
      </c>
      <c r="C31" s="58">
        <f ca="1">'Yoy WAR OG'!S32</f>
        <v>0</v>
      </c>
      <c r="D31" s="58">
        <f ca="1">'Yoy WAR OG'!Y32</f>
        <v>0</v>
      </c>
      <c r="E31" s="58">
        <f ca="1">'Yoy WAR OG'!AE32</f>
        <v>0</v>
      </c>
      <c r="F31" s="58">
        <f ca="1">'Yoy WAR OG'!AK32</f>
        <v>263677655.55787325</v>
      </c>
      <c r="G31" s="58">
        <f ca="1">'Yoy WAR OG'!AQ32</f>
        <v>403338004.63123327</v>
      </c>
      <c r="H31" s="58">
        <f ca="1">'Yoy WAR OG'!AW32</f>
        <v>0</v>
      </c>
      <c r="I31" s="58">
        <f ca="1">'Yoy WAR OG'!BC32</f>
        <v>28457028.19686744</v>
      </c>
      <c r="J31" s="58">
        <f ca="1">'Yoy WAR OG'!BI32</f>
        <v>0</v>
      </c>
      <c r="K31" s="58">
        <f ca="1">'Yoy WAR OG'!BO32</f>
        <v>0</v>
      </c>
      <c r="L31" s="58">
        <f ca="1">'Yoy WAR OG'!BU32</f>
        <v>0</v>
      </c>
      <c r="M31" s="58">
        <f ca="1">'Yoy WAR OG'!CA32</f>
        <v>0</v>
      </c>
      <c r="N31" s="58">
        <f ca="1">'Yoy WAR OG'!CG32</f>
        <v>42910083.558452353</v>
      </c>
      <c r="O31" s="58">
        <f ca="1">'Yoy WAR OG'!CM32</f>
        <v>0</v>
      </c>
      <c r="P31" s="58">
        <f ca="1">'Yoy WAR OG'!CS32</f>
        <v>10290338.988453967</v>
      </c>
      <c r="Q31" s="58">
        <f ca="1">'Yoy WAR OG'!CY32</f>
        <v>0</v>
      </c>
      <c r="R31" s="58">
        <f ca="1">'Yoy WAR OG'!DE32</f>
        <v>0</v>
      </c>
      <c r="S31" s="58">
        <f ca="1">'Yoy WAR OG'!DK32</f>
        <v>0</v>
      </c>
      <c r="T31" s="58">
        <f ca="1">'Yoy WAR OG'!DQ32</f>
        <v>0</v>
      </c>
      <c r="U31" s="58">
        <f ca="1">'Yoy WAR OG'!DW32</f>
        <v>0</v>
      </c>
      <c r="V31" s="58">
        <f ca="1">'Yoy WAR OG'!EC32</f>
        <v>0</v>
      </c>
      <c r="W31" s="58">
        <f ca="1">'Yoy WAR OG'!EI32</f>
        <v>0</v>
      </c>
      <c r="X31" s="58">
        <f ca="1">'Yoy WAR OG'!EO32</f>
        <v>0</v>
      </c>
      <c r="Y31" s="58">
        <f ca="1">'Yoy WAR OG'!EU32</f>
        <v>0</v>
      </c>
      <c r="Z31" s="58">
        <f ca="1">'Yoy WAR OG'!FA32</f>
        <v>0</v>
      </c>
      <c r="AB31" s="200">
        <f t="shared" ca="1" si="1"/>
        <v>7.3439185931936171E-2</v>
      </c>
      <c r="AD31">
        <f t="shared" ca="1" si="2"/>
        <v>0</v>
      </c>
      <c r="AE31">
        <f t="shared" ca="1" si="3"/>
        <v>0</v>
      </c>
      <c r="AF31">
        <f t="shared" ca="1" si="4"/>
        <v>0</v>
      </c>
      <c r="AG31">
        <f t="shared" ca="1" si="5"/>
        <v>0.35219330266759424</v>
      </c>
      <c r="AH31">
        <f t="shared" ca="1" si="6"/>
        <v>0.53873713205574592</v>
      </c>
      <c r="AI31">
        <f t="shared" ca="1" si="7"/>
        <v>0</v>
      </c>
      <c r="AJ31">
        <f t="shared" ca="1" si="8"/>
        <v>3.8009950913568548E-2</v>
      </c>
      <c r="AK31">
        <f t="shared" ca="1" si="9"/>
        <v>0</v>
      </c>
      <c r="AL31">
        <f t="shared" ca="1" si="10"/>
        <v>0</v>
      </c>
      <c r="AM31">
        <f t="shared" ca="1" si="11"/>
        <v>0</v>
      </c>
      <c r="AN31">
        <f t="shared" ca="1" si="12"/>
        <v>0</v>
      </c>
      <c r="AO31">
        <f t="shared" ca="1" si="13"/>
        <v>5.7314845333478671E-2</v>
      </c>
      <c r="AP31">
        <f t="shared" ca="1" si="14"/>
        <v>0</v>
      </c>
      <c r="AQ31">
        <f t="shared" ca="1" si="15"/>
        <v>1.3744769029612594E-2</v>
      </c>
      <c r="AR31">
        <f t="shared" ca="1" si="16"/>
        <v>0</v>
      </c>
      <c r="AS31">
        <f t="shared" ca="1" si="17"/>
        <v>0</v>
      </c>
      <c r="AT31">
        <f t="shared" ca="1" si="18"/>
        <v>0</v>
      </c>
      <c r="AU31">
        <f t="shared" ca="1" si="19"/>
        <v>0</v>
      </c>
      <c r="AV31">
        <f t="shared" ca="1" si="20"/>
        <v>0</v>
      </c>
      <c r="AW31">
        <f t="shared" ca="1" si="21"/>
        <v>0</v>
      </c>
      <c r="AX31">
        <f t="shared" ca="1" si="22"/>
        <v>0</v>
      </c>
      <c r="AY31">
        <f t="shared" ca="1" si="23"/>
        <v>0</v>
      </c>
      <c r="AZ31">
        <f t="shared" ca="1" si="24"/>
        <v>0</v>
      </c>
      <c r="BA31">
        <f t="shared" ca="1" si="25"/>
        <v>0</v>
      </c>
    </row>
    <row r="32" spans="1:53" x14ac:dyDescent="0.3">
      <c r="A32">
        <f>'NWGC - SCENARIOS'!B40</f>
        <v>78</v>
      </c>
      <c r="B32">
        <f>'NWGC - SCENARIOS'!C40</f>
        <v>2054</v>
      </c>
      <c r="C32" s="58">
        <f ca="1">'Yoy WAR OG'!S33</f>
        <v>0</v>
      </c>
      <c r="D32" s="58">
        <f ca="1">'Yoy WAR OG'!Y33</f>
        <v>0</v>
      </c>
      <c r="E32" s="58">
        <f ca="1">'Yoy WAR OG'!AE33</f>
        <v>0</v>
      </c>
      <c r="F32" s="58">
        <f ca="1">'Yoy WAR OG'!AK33</f>
        <v>265497976.54558167</v>
      </c>
      <c r="G32" s="58">
        <f ca="1">'Yoy WAR OG'!AQ33</f>
        <v>429220210.82842159</v>
      </c>
      <c r="H32" s="58">
        <f ca="1">'Yoy WAR OG'!AW33</f>
        <v>0</v>
      </c>
      <c r="I32" s="58">
        <f ca="1">'Yoy WAR OG'!BC33</f>
        <v>30449020.170648161</v>
      </c>
      <c r="J32" s="58">
        <f ca="1">'Yoy WAR OG'!BI33</f>
        <v>0</v>
      </c>
      <c r="K32" s="58">
        <f ca="1">'Yoy WAR OG'!BO33</f>
        <v>0</v>
      </c>
      <c r="L32" s="58">
        <f ca="1">'Yoy WAR OG'!BU33</f>
        <v>0</v>
      </c>
      <c r="M32" s="58">
        <f ca="1">'Yoy WAR OG'!CA33</f>
        <v>0</v>
      </c>
      <c r="N32" s="58">
        <f ca="1">'Yoy WAR OG'!CG33</f>
        <v>44197386.065205924</v>
      </c>
      <c r="O32" s="58">
        <f ca="1">'Yoy WAR OG'!CM33</f>
        <v>0</v>
      </c>
      <c r="P32" s="58">
        <f ca="1">'Yoy WAR OG'!CS33</f>
        <v>10804855.937876666</v>
      </c>
      <c r="Q32" s="58">
        <f ca="1">'Yoy WAR OG'!CY33</f>
        <v>0</v>
      </c>
      <c r="R32" s="58">
        <f ca="1">'Yoy WAR OG'!DE33</f>
        <v>0</v>
      </c>
      <c r="S32" s="58">
        <f ca="1">'Yoy WAR OG'!DK33</f>
        <v>0</v>
      </c>
      <c r="T32" s="58">
        <f ca="1">'Yoy WAR OG'!DQ33</f>
        <v>0</v>
      </c>
      <c r="U32" s="58">
        <f ca="1">'Yoy WAR OG'!DW33</f>
        <v>0</v>
      </c>
      <c r="V32" s="58">
        <f ca="1">'Yoy WAR OG'!EC33</f>
        <v>0</v>
      </c>
      <c r="W32" s="58">
        <f ca="1">'Yoy WAR OG'!EI33</f>
        <v>0</v>
      </c>
      <c r="X32" s="58">
        <f ca="1">'Yoy WAR OG'!EO33</f>
        <v>0</v>
      </c>
      <c r="Y32" s="58">
        <f ca="1">'Yoy WAR OG'!EU33</f>
        <v>0</v>
      </c>
      <c r="Z32" s="58">
        <f ca="1">'Yoy WAR OG'!FA33</f>
        <v>0</v>
      </c>
      <c r="AB32" s="200">
        <f t="shared" ca="1" si="1"/>
        <v>7.281685387617412E-2</v>
      </c>
      <c r="AD32">
        <f t="shared" ca="1" si="2"/>
        <v>0</v>
      </c>
      <c r="AE32">
        <f t="shared" ca="1" si="3"/>
        <v>0</v>
      </c>
      <c r="AF32">
        <f t="shared" ca="1" si="4"/>
        <v>0</v>
      </c>
      <c r="AG32">
        <f t="shared" ca="1" si="5"/>
        <v>0.34030809165815373</v>
      </c>
      <c r="AH32">
        <f t="shared" ca="1" si="6"/>
        <v>0.55016280255172956</v>
      </c>
      <c r="AI32">
        <f t="shared" ca="1" si="7"/>
        <v>0</v>
      </c>
      <c r="AJ32">
        <f t="shared" ca="1" si="8"/>
        <v>3.9028726628938783E-2</v>
      </c>
      <c r="AK32">
        <f t="shared" ca="1" si="9"/>
        <v>0</v>
      </c>
      <c r="AL32">
        <f t="shared" ca="1" si="10"/>
        <v>0</v>
      </c>
      <c r="AM32">
        <f t="shared" ca="1" si="11"/>
        <v>0</v>
      </c>
      <c r="AN32">
        <f t="shared" ca="1" si="12"/>
        <v>0</v>
      </c>
      <c r="AO32">
        <f t="shared" ca="1" si="13"/>
        <v>5.665100843262607E-2</v>
      </c>
      <c r="AP32">
        <f t="shared" ca="1" si="14"/>
        <v>0</v>
      </c>
      <c r="AQ32">
        <f t="shared" ca="1" si="15"/>
        <v>1.3849370728551681E-2</v>
      </c>
      <c r="AR32">
        <f t="shared" ca="1" si="16"/>
        <v>0</v>
      </c>
      <c r="AS32">
        <f t="shared" ca="1" si="17"/>
        <v>0</v>
      </c>
      <c r="AT32">
        <f t="shared" ca="1" si="18"/>
        <v>0</v>
      </c>
      <c r="AU32">
        <f t="shared" ca="1" si="19"/>
        <v>0</v>
      </c>
      <c r="AV32">
        <f t="shared" ca="1" si="20"/>
        <v>0</v>
      </c>
      <c r="AW32">
        <f t="shared" ca="1" si="21"/>
        <v>0</v>
      </c>
      <c r="AX32">
        <f t="shared" ca="1" si="22"/>
        <v>0</v>
      </c>
      <c r="AY32">
        <f t="shared" ca="1" si="23"/>
        <v>0</v>
      </c>
      <c r="AZ32">
        <f t="shared" ca="1" si="24"/>
        <v>0</v>
      </c>
      <c r="BA32">
        <f t="shared" ca="1" si="25"/>
        <v>0</v>
      </c>
    </row>
    <row r="33" spans="1:53" x14ac:dyDescent="0.3">
      <c r="A33">
        <f>'NWGC - SCENARIOS'!B41</f>
        <v>79</v>
      </c>
      <c r="B33">
        <f>'NWGC - SCENARIOS'!C41</f>
        <v>2055</v>
      </c>
      <c r="C33" s="58">
        <f ca="1">'Yoy WAR OG'!S34</f>
        <v>0</v>
      </c>
      <c r="D33" s="58">
        <f ca="1">'Yoy WAR OG'!Y34</f>
        <v>0</v>
      </c>
      <c r="E33" s="58">
        <f ca="1">'Yoy WAR OG'!AE34</f>
        <v>0</v>
      </c>
      <c r="F33" s="58">
        <f ca="1">'Yoy WAR OG'!AK34</f>
        <v>265987744.05829099</v>
      </c>
      <c r="G33" s="58">
        <f ca="1">'Yoy WAR OG'!AQ34</f>
        <v>456202696.51384479</v>
      </c>
      <c r="H33" s="58">
        <f ca="1">'Yoy WAR OG'!AW34</f>
        <v>0</v>
      </c>
      <c r="I33" s="58">
        <f ca="1">'Yoy WAR OG'!BC34</f>
        <v>32580451.582593534</v>
      </c>
      <c r="J33" s="58">
        <f ca="1">'Yoy WAR OG'!BI34</f>
        <v>0</v>
      </c>
      <c r="K33" s="58">
        <f ca="1">'Yoy WAR OG'!BO34</f>
        <v>0</v>
      </c>
      <c r="L33" s="58">
        <f ca="1">'Yoy WAR OG'!BU34</f>
        <v>0</v>
      </c>
      <c r="M33" s="58">
        <f ca="1">'Yoy WAR OG'!CA34</f>
        <v>0</v>
      </c>
      <c r="N33" s="58">
        <f ca="1">'Yoy WAR OG'!CG34</f>
        <v>45523307.647162102</v>
      </c>
      <c r="O33" s="58">
        <f ca="1">'Yoy WAR OG'!CM34</f>
        <v>0</v>
      </c>
      <c r="P33" s="58">
        <f ca="1">'Yoy WAR OG'!CS34</f>
        <v>11345098.734770499</v>
      </c>
      <c r="Q33" s="58">
        <f ca="1">'Yoy WAR OG'!CY34</f>
        <v>0</v>
      </c>
      <c r="R33" s="58">
        <f ca="1">'Yoy WAR OG'!DE34</f>
        <v>0</v>
      </c>
      <c r="S33" s="58">
        <f ca="1">'Yoy WAR OG'!DK34</f>
        <v>0</v>
      </c>
      <c r="T33" s="58">
        <f ca="1">'Yoy WAR OG'!DQ34</f>
        <v>0</v>
      </c>
      <c r="U33" s="58">
        <f ca="1">'Yoy WAR OG'!DW34</f>
        <v>0</v>
      </c>
      <c r="V33" s="58">
        <f ca="1">'Yoy WAR OG'!EC34</f>
        <v>0</v>
      </c>
      <c r="W33" s="58">
        <f ca="1">'Yoy WAR OG'!EI34</f>
        <v>0</v>
      </c>
      <c r="X33" s="58">
        <f ca="1">'Yoy WAR OG'!EO34</f>
        <v>0</v>
      </c>
      <c r="Y33" s="58">
        <f ca="1">'Yoy WAR OG'!EU34</f>
        <v>0</v>
      </c>
      <c r="Z33" s="58">
        <f ca="1">'Yoy WAR OG'!FA34</f>
        <v>0</v>
      </c>
      <c r="AB33" s="200">
        <f t="shared" ca="1" si="1"/>
        <v>7.2154448456592413E-2</v>
      </c>
      <c r="AD33">
        <f t="shared" ca="1" si="2"/>
        <v>0</v>
      </c>
      <c r="AE33">
        <f t="shared" ca="1" si="3"/>
        <v>0</v>
      </c>
      <c r="AF33">
        <f t="shared" ca="1" si="4"/>
        <v>0</v>
      </c>
      <c r="AG33">
        <f t="shared" ca="1" si="5"/>
        <v>0.3277166895908703</v>
      </c>
      <c r="AH33">
        <f t="shared" ca="1" si="6"/>
        <v>0.56207566259587416</v>
      </c>
      <c r="AI33">
        <f t="shared" ca="1" si="7"/>
        <v>0</v>
      </c>
      <c r="AJ33">
        <f t="shared" ca="1" si="8"/>
        <v>4.0141540264664585E-2</v>
      </c>
      <c r="AK33">
        <f t="shared" ca="1" si="9"/>
        <v>0</v>
      </c>
      <c r="AL33">
        <f t="shared" ca="1" si="10"/>
        <v>0</v>
      </c>
      <c r="AM33">
        <f t="shared" ca="1" si="11"/>
        <v>0</v>
      </c>
      <c r="AN33">
        <f t="shared" ca="1" si="12"/>
        <v>0</v>
      </c>
      <c r="AO33">
        <f t="shared" ca="1" si="13"/>
        <v>5.6088101856622705E-2</v>
      </c>
      <c r="AP33">
        <f t="shared" ca="1" si="14"/>
        <v>0</v>
      </c>
      <c r="AQ33">
        <f t="shared" ca="1" si="15"/>
        <v>1.3978005691968151E-2</v>
      </c>
      <c r="AR33">
        <f t="shared" ca="1" si="16"/>
        <v>0</v>
      </c>
      <c r="AS33">
        <f t="shared" ca="1" si="17"/>
        <v>0</v>
      </c>
      <c r="AT33">
        <f t="shared" ca="1" si="18"/>
        <v>0</v>
      </c>
      <c r="AU33">
        <f t="shared" ca="1" si="19"/>
        <v>0</v>
      </c>
      <c r="AV33">
        <f t="shared" ca="1" si="20"/>
        <v>0</v>
      </c>
      <c r="AW33">
        <f t="shared" ca="1" si="21"/>
        <v>0</v>
      </c>
      <c r="AX33">
        <f t="shared" ca="1" si="22"/>
        <v>0</v>
      </c>
      <c r="AY33">
        <f t="shared" ca="1" si="23"/>
        <v>0</v>
      </c>
      <c r="AZ33">
        <f t="shared" ca="1" si="24"/>
        <v>0</v>
      </c>
      <c r="BA33">
        <f t="shared" ca="1" si="25"/>
        <v>0</v>
      </c>
    </row>
    <row r="34" spans="1:53" x14ac:dyDescent="0.3">
      <c r="A34">
        <f>'NWGC - SCENARIOS'!B42</f>
        <v>80</v>
      </c>
      <c r="B34">
        <f>'NWGC - SCENARIOS'!C42</f>
        <v>2056</v>
      </c>
      <c r="C34" s="58">
        <f ca="1">'Yoy WAR OG'!S35</f>
        <v>0</v>
      </c>
      <c r="D34" s="58">
        <f ca="1">'Yoy WAR OG'!Y35</f>
        <v>0</v>
      </c>
      <c r="E34" s="58">
        <f ca="1">'Yoy WAR OG'!AE35</f>
        <v>0</v>
      </c>
      <c r="F34" s="58">
        <f ca="1">'Yoy WAR OG'!AK35</f>
        <v>264226726.00481394</v>
      </c>
      <c r="G34" s="58">
        <f ca="1">'Yoy WAR OG'!AQ35</f>
        <v>484939248.83915502</v>
      </c>
      <c r="H34" s="58">
        <f ca="1">'Yoy WAR OG'!AW35</f>
        <v>0</v>
      </c>
      <c r="I34" s="58">
        <f ca="1">'Yoy WAR OG'!BC35</f>
        <v>34861083.193375081</v>
      </c>
      <c r="J34" s="58">
        <f ca="1">'Yoy WAR OG'!BI35</f>
        <v>0</v>
      </c>
      <c r="K34" s="58">
        <f ca="1">'Yoy WAR OG'!BO35</f>
        <v>0</v>
      </c>
      <c r="L34" s="58">
        <f ca="1">'Yoy WAR OG'!BU35</f>
        <v>0</v>
      </c>
      <c r="M34" s="58">
        <f ca="1">'Yoy WAR OG'!CA35</f>
        <v>0</v>
      </c>
      <c r="N34" s="58">
        <f ca="1">'Yoy WAR OG'!CG35</f>
        <v>46889006.876576968</v>
      </c>
      <c r="O34" s="58">
        <f ca="1">'Yoy WAR OG'!CM35</f>
        <v>0</v>
      </c>
      <c r="P34" s="58">
        <f ca="1">'Yoy WAR OG'!CS35</f>
        <v>11912353.671509024</v>
      </c>
      <c r="Q34" s="58">
        <f ca="1">'Yoy WAR OG'!CY35</f>
        <v>0</v>
      </c>
      <c r="R34" s="58">
        <f ca="1">'Yoy WAR OG'!DE35</f>
        <v>0</v>
      </c>
      <c r="S34" s="58">
        <f ca="1">'Yoy WAR OG'!DK35</f>
        <v>0</v>
      </c>
      <c r="T34" s="58">
        <f ca="1">'Yoy WAR OG'!DQ35</f>
        <v>0</v>
      </c>
      <c r="U34" s="58">
        <f ca="1">'Yoy WAR OG'!DW35</f>
        <v>0</v>
      </c>
      <c r="V34" s="58">
        <f ca="1">'Yoy WAR OG'!EC35</f>
        <v>0</v>
      </c>
      <c r="W34" s="58">
        <f ca="1">'Yoy WAR OG'!EI35</f>
        <v>0</v>
      </c>
      <c r="X34" s="58">
        <f ca="1">'Yoy WAR OG'!EO35</f>
        <v>0</v>
      </c>
      <c r="Y34" s="58">
        <f ca="1">'Yoy WAR OG'!EU35</f>
        <v>0</v>
      </c>
      <c r="Z34" s="58">
        <f ca="1">'Yoy WAR OG'!FA35</f>
        <v>0</v>
      </c>
      <c r="AB34" s="200">
        <f t="shared" ca="1" si="1"/>
        <v>7.1401439406960671E-2</v>
      </c>
      <c r="AD34">
        <f t="shared" ca="1" si="2"/>
        <v>0</v>
      </c>
      <c r="AE34">
        <f t="shared" ca="1" si="3"/>
        <v>0</v>
      </c>
      <c r="AF34">
        <f t="shared" ca="1" si="4"/>
        <v>0</v>
      </c>
      <c r="AG34">
        <f t="shared" ca="1" si="5"/>
        <v>0.31350001990711424</v>
      </c>
      <c r="AH34">
        <f t="shared" ca="1" si="6"/>
        <v>0.5753712596130276</v>
      </c>
      <c r="AI34">
        <f t="shared" ca="1" si="7"/>
        <v>0</v>
      </c>
      <c r="AJ34">
        <f t="shared" ca="1" si="8"/>
        <v>4.1362016781404387E-2</v>
      </c>
      <c r="AK34">
        <f t="shared" ca="1" si="9"/>
        <v>0</v>
      </c>
      <c r="AL34">
        <f t="shared" ca="1" si="10"/>
        <v>0</v>
      </c>
      <c r="AM34">
        <f t="shared" ca="1" si="11"/>
        <v>0</v>
      </c>
      <c r="AN34">
        <f t="shared" ca="1" si="12"/>
        <v>0</v>
      </c>
      <c r="AO34">
        <f t="shared" ca="1" si="13"/>
        <v>5.5632921057970047E-2</v>
      </c>
      <c r="AP34">
        <f t="shared" ca="1" si="14"/>
        <v>0</v>
      </c>
      <c r="AQ34">
        <f t="shared" ca="1" si="15"/>
        <v>1.4133782640483631E-2</v>
      </c>
      <c r="AR34">
        <f t="shared" ca="1" si="16"/>
        <v>0</v>
      </c>
      <c r="AS34">
        <f t="shared" ca="1" si="17"/>
        <v>0</v>
      </c>
      <c r="AT34">
        <f t="shared" ca="1" si="18"/>
        <v>0</v>
      </c>
      <c r="AU34">
        <f t="shared" ca="1" si="19"/>
        <v>0</v>
      </c>
      <c r="AV34">
        <f t="shared" ca="1" si="20"/>
        <v>0</v>
      </c>
      <c r="AW34">
        <f t="shared" ca="1" si="21"/>
        <v>0</v>
      </c>
      <c r="AX34">
        <f t="shared" ca="1" si="22"/>
        <v>0</v>
      </c>
      <c r="AY34">
        <f t="shared" ca="1" si="23"/>
        <v>0</v>
      </c>
      <c r="AZ34">
        <f t="shared" ca="1" si="24"/>
        <v>0</v>
      </c>
      <c r="BA34">
        <f t="shared" ca="1" si="25"/>
        <v>0</v>
      </c>
    </row>
    <row r="35" spans="1:53" x14ac:dyDescent="0.3">
      <c r="A35">
        <f>'NWGC - SCENARIOS'!B43</f>
        <v>81</v>
      </c>
      <c r="B35">
        <f>'NWGC - SCENARIOS'!C43</f>
        <v>2057</v>
      </c>
      <c r="C35" s="58">
        <f ca="1">'Yoy WAR OG'!S36</f>
        <v>0</v>
      </c>
      <c r="D35" s="58">
        <f ca="1">'Yoy WAR OG'!Y36</f>
        <v>0</v>
      </c>
      <c r="E35" s="58">
        <f ca="1">'Yoy WAR OG'!AE36</f>
        <v>0</v>
      </c>
      <c r="F35" s="58">
        <f ca="1">'Yoy WAR OG'!AK36</f>
        <v>259782963.17346328</v>
      </c>
      <c r="G35" s="58">
        <f ca="1">'Yoy WAR OG'!AQ36</f>
        <v>516167074.99172938</v>
      </c>
      <c r="H35" s="58">
        <f ca="1">'Yoy WAR OG'!AW36</f>
        <v>0</v>
      </c>
      <c r="I35" s="58">
        <f ca="1">'Yoy WAR OG'!BC36</f>
        <v>37301359.016911335</v>
      </c>
      <c r="J35" s="58">
        <f ca="1">'Yoy WAR OG'!BI36</f>
        <v>0</v>
      </c>
      <c r="K35" s="58">
        <f ca="1">'Yoy WAR OG'!BO36</f>
        <v>0</v>
      </c>
      <c r="L35" s="58">
        <f ca="1">'Yoy WAR OG'!BU36</f>
        <v>0</v>
      </c>
      <c r="M35" s="58">
        <f ca="1">'Yoy WAR OG'!CA36</f>
        <v>0</v>
      </c>
      <c r="N35" s="58">
        <f ca="1">'Yoy WAR OG'!CG36</f>
        <v>48295677.082874276</v>
      </c>
      <c r="O35" s="58">
        <f ca="1">'Yoy WAR OG'!CM36</f>
        <v>0</v>
      </c>
      <c r="P35" s="58">
        <f ca="1">'Yoy WAR OG'!CS36</f>
        <v>12507971.355084475</v>
      </c>
      <c r="Q35" s="58">
        <f ca="1">'Yoy WAR OG'!CY36</f>
        <v>0</v>
      </c>
      <c r="R35" s="58">
        <f ca="1">'Yoy WAR OG'!DE36</f>
        <v>0</v>
      </c>
      <c r="S35" s="58">
        <f ca="1">'Yoy WAR OG'!DK36</f>
        <v>0</v>
      </c>
      <c r="T35" s="58">
        <f ca="1">'Yoy WAR OG'!DQ36</f>
        <v>0</v>
      </c>
      <c r="U35" s="58">
        <f ca="1">'Yoy WAR OG'!DW36</f>
        <v>0</v>
      </c>
      <c r="V35" s="58">
        <f ca="1">'Yoy WAR OG'!EC36</f>
        <v>0</v>
      </c>
      <c r="W35" s="58">
        <f ca="1">'Yoy WAR OG'!EI36</f>
        <v>0</v>
      </c>
      <c r="X35" s="58">
        <f ca="1">'Yoy WAR OG'!EO36</f>
        <v>0</v>
      </c>
      <c r="Y35" s="58">
        <f ca="1">'Yoy WAR OG'!EU36</f>
        <v>0</v>
      </c>
      <c r="Z35" s="58">
        <f ca="1">'Yoy WAR OG'!FA36</f>
        <v>0</v>
      </c>
      <c r="AB35" s="200">
        <f t="shared" ca="1" si="1"/>
        <v>7.0534092096356193E-2</v>
      </c>
      <c r="AD35">
        <f t="shared" ca="1" si="2"/>
        <v>0</v>
      </c>
      <c r="AE35">
        <f t="shared" ca="1" si="3"/>
        <v>0</v>
      </c>
      <c r="AF35">
        <f t="shared" ca="1" si="4"/>
        <v>0</v>
      </c>
      <c r="AG35">
        <f t="shared" ca="1" si="5"/>
        <v>0.2972157926154077</v>
      </c>
      <c r="AH35">
        <f t="shared" ca="1" si="6"/>
        <v>0.59054298419564144</v>
      </c>
      <c r="AI35">
        <f t="shared" ca="1" si="7"/>
        <v>0</v>
      </c>
      <c r="AJ35">
        <f t="shared" ca="1" si="8"/>
        <v>4.2676212675426414E-2</v>
      </c>
      <c r="AK35">
        <f t="shared" ca="1" si="9"/>
        <v>0</v>
      </c>
      <c r="AL35">
        <f t="shared" ca="1" si="10"/>
        <v>0</v>
      </c>
      <c r="AM35">
        <f t="shared" ca="1" si="11"/>
        <v>0</v>
      </c>
      <c r="AN35">
        <f t="shared" ca="1" si="12"/>
        <v>0</v>
      </c>
      <c r="AO35">
        <f t="shared" ca="1" si="13"/>
        <v>5.5254731752750051E-2</v>
      </c>
      <c r="AP35">
        <f t="shared" ca="1" si="14"/>
        <v>0</v>
      </c>
      <c r="AQ35">
        <f t="shared" ca="1" si="15"/>
        <v>1.4310278760774391E-2</v>
      </c>
      <c r="AR35">
        <f t="shared" ca="1" si="16"/>
        <v>0</v>
      </c>
      <c r="AS35">
        <f t="shared" ca="1" si="17"/>
        <v>0</v>
      </c>
      <c r="AT35">
        <f t="shared" ca="1" si="18"/>
        <v>0</v>
      </c>
      <c r="AU35">
        <f t="shared" ca="1" si="19"/>
        <v>0</v>
      </c>
      <c r="AV35">
        <f t="shared" ca="1" si="20"/>
        <v>0</v>
      </c>
      <c r="AW35">
        <f t="shared" ca="1" si="21"/>
        <v>0</v>
      </c>
      <c r="AX35">
        <f t="shared" ca="1" si="22"/>
        <v>0</v>
      </c>
      <c r="AY35">
        <f t="shared" ca="1" si="23"/>
        <v>0</v>
      </c>
      <c r="AZ35">
        <f t="shared" ca="1" si="24"/>
        <v>0</v>
      </c>
      <c r="BA35">
        <f t="shared" ca="1" si="25"/>
        <v>0</v>
      </c>
    </row>
    <row r="36" spans="1:53" x14ac:dyDescent="0.3">
      <c r="A36">
        <f>'NWGC - SCENARIOS'!B44</f>
        <v>82</v>
      </c>
      <c r="B36">
        <f>'NWGC - SCENARIOS'!C44</f>
        <v>2058</v>
      </c>
      <c r="C36" s="58">
        <f ca="1">'Yoy WAR OG'!S37</f>
        <v>0</v>
      </c>
      <c r="D36" s="58">
        <f ca="1">'Yoy WAR OG'!Y37</f>
        <v>0</v>
      </c>
      <c r="E36" s="58">
        <f ca="1">'Yoy WAR OG'!AE37</f>
        <v>0</v>
      </c>
      <c r="F36" s="58">
        <f ca="1">'Yoy WAR OG'!AK37</f>
        <v>252162231.01531363</v>
      </c>
      <c r="G36" s="58">
        <f ca="1">'Yoy WAR OG'!AQ37</f>
        <v>549476924.98000896</v>
      </c>
      <c r="H36" s="58">
        <f ca="1">'Yoy WAR OG'!AW37</f>
        <v>0</v>
      </c>
      <c r="I36" s="58">
        <f ca="1">'Yoy WAR OG'!BC37</f>
        <v>39912454.148095131</v>
      </c>
      <c r="J36" s="58">
        <f ca="1">'Yoy WAR OG'!BI37</f>
        <v>0</v>
      </c>
      <c r="K36" s="58">
        <f ca="1">'Yoy WAR OG'!BO37</f>
        <v>0</v>
      </c>
      <c r="L36" s="58">
        <f ca="1">'Yoy WAR OG'!BU37</f>
        <v>0</v>
      </c>
      <c r="M36" s="58">
        <f ca="1">'Yoy WAR OG'!CA37</f>
        <v>0</v>
      </c>
      <c r="N36" s="58">
        <f ca="1">'Yoy WAR OG'!CG37</f>
        <v>49744547.395360507</v>
      </c>
      <c r="O36" s="58">
        <f ca="1">'Yoy WAR OG'!CM37</f>
        <v>0</v>
      </c>
      <c r="P36" s="58">
        <f ca="1">'Yoy WAR OG'!CS37</f>
        <v>13133369.922838699</v>
      </c>
      <c r="Q36" s="58">
        <f ca="1">'Yoy WAR OG'!CY37</f>
        <v>0</v>
      </c>
      <c r="R36" s="58">
        <f ca="1">'Yoy WAR OG'!DE37</f>
        <v>0</v>
      </c>
      <c r="S36" s="58">
        <f ca="1">'Yoy WAR OG'!DK37</f>
        <v>0</v>
      </c>
      <c r="T36" s="58">
        <f ca="1">'Yoy WAR OG'!DQ37</f>
        <v>0</v>
      </c>
      <c r="U36" s="58">
        <f ca="1">'Yoy WAR OG'!DW37</f>
        <v>0</v>
      </c>
      <c r="V36" s="58">
        <f ca="1">'Yoy WAR OG'!EC37</f>
        <v>0</v>
      </c>
      <c r="W36" s="58">
        <f ca="1">'Yoy WAR OG'!EI37</f>
        <v>0</v>
      </c>
      <c r="X36" s="58">
        <f ca="1">'Yoy WAR OG'!EO37</f>
        <v>0</v>
      </c>
      <c r="Y36" s="58">
        <f ca="1">'Yoy WAR OG'!EU37</f>
        <v>0</v>
      </c>
      <c r="Z36" s="58">
        <f ca="1">'Yoy WAR OG'!FA37</f>
        <v>0</v>
      </c>
      <c r="AB36" s="200">
        <f t="shared" ca="1" si="1"/>
        <v>6.9548760941602381E-2</v>
      </c>
      <c r="AD36">
        <f t="shared" ca="1" si="2"/>
        <v>0</v>
      </c>
      <c r="AE36">
        <f t="shared" ca="1" si="3"/>
        <v>0</v>
      </c>
      <c r="AF36">
        <f t="shared" ca="1" si="4"/>
        <v>0</v>
      </c>
      <c r="AG36">
        <f t="shared" ca="1" si="5"/>
        <v>0.27880804790068636</v>
      </c>
      <c r="AH36">
        <f t="shared" ca="1" si="6"/>
        <v>0.6075397897746414</v>
      </c>
      <c r="AI36">
        <f t="shared" ca="1" si="7"/>
        <v>0</v>
      </c>
      <c r="AJ36">
        <f t="shared" ca="1" si="8"/>
        <v>4.4129976892853022E-2</v>
      </c>
      <c r="AK36">
        <f t="shared" ca="1" si="9"/>
        <v>0</v>
      </c>
      <c r="AL36">
        <f t="shared" ca="1" si="10"/>
        <v>0</v>
      </c>
      <c r="AM36">
        <f t="shared" ca="1" si="11"/>
        <v>0</v>
      </c>
      <c r="AN36">
        <f t="shared" ca="1" si="12"/>
        <v>0</v>
      </c>
      <c r="AO36">
        <f t="shared" ca="1" si="13"/>
        <v>5.5001020958453412E-2</v>
      </c>
      <c r="AP36">
        <f t="shared" ca="1" si="14"/>
        <v>0</v>
      </c>
      <c r="AQ36">
        <f t="shared" ca="1" si="15"/>
        <v>1.4521164473365855E-2</v>
      </c>
      <c r="AR36">
        <f t="shared" ca="1" si="16"/>
        <v>0</v>
      </c>
      <c r="AS36">
        <f t="shared" ca="1" si="17"/>
        <v>0</v>
      </c>
      <c r="AT36">
        <f t="shared" ca="1" si="18"/>
        <v>0</v>
      </c>
      <c r="AU36">
        <f t="shared" ca="1" si="19"/>
        <v>0</v>
      </c>
      <c r="AV36">
        <f t="shared" ca="1" si="20"/>
        <v>0</v>
      </c>
      <c r="AW36">
        <f t="shared" ca="1" si="21"/>
        <v>0</v>
      </c>
      <c r="AX36">
        <f t="shared" ca="1" si="22"/>
        <v>0</v>
      </c>
      <c r="AY36">
        <f t="shared" ca="1" si="23"/>
        <v>0</v>
      </c>
      <c r="AZ36">
        <f t="shared" ca="1" si="24"/>
        <v>0</v>
      </c>
      <c r="BA36">
        <f t="shared" ca="1" si="25"/>
        <v>0</v>
      </c>
    </row>
    <row r="37" spans="1:53" x14ac:dyDescent="0.3">
      <c r="A37">
        <f>'NWGC - SCENARIOS'!B45</f>
        <v>83</v>
      </c>
      <c r="B37">
        <f>'NWGC - SCENARIOS'!C45</f>
        <v>2059</v>
      </c>
      <c r="C37" s="58">
        <f ca="1">'Yoy WAR OG'!S38</f>
        <v>0</v>
      </c>
      <c r="D37" s="58">
        <f ca="1">'Yoy WAR OG'!Y38</f>
        <v>0</v>
      </c>
      <c r="E37" s="58">
        <f ca="1">'Yoy WAR OG'!AE38</f>
        <v>0</v>
      </c>
      <c r="F37" s="58">
        <f ca="1">'Yoy WAR OG'!AK38</f>
        <v>240800010.47118905</v>
      </c>
      <c r="G37" s="58">
        <f ca="1">'Yoy WAR OG'!AQ38</f>
        <v>585012469.58674276</v>
      </c>
      <c r="H37" s="58">
        <f ca="1">'Yoy WAR OG'!AW38</f>
        <v>0</v>
      </c>
      <c r="I37" s="58">
        <f ca="1">'Yoy WAR OG'!BC38</f>
        <v>42706325.938461795</v>
      </c>
      <c r="J37" s="58">
        <f ca="1">'Yoy WAR OG'!BI38</f>
        <v>0</v>
      </c>
      <c r="K37" s="58">
        <f ca="1">'Yoy WAR OG'!BO38</f>
        <v>0</v>
      </c>
      <c r="L37" s="58">
        <f ca="1">'Yoy WAR OG'!BU38</f>
        <v>0</v>
      </c>
      <c r="M37" s="58">
        <f ca="1">'Yoy WAR OG'!CA38</f>
        <v>0</v>
      </c>
      <c r="N37" s="58">
        <f ca="1">'Yoy WAR OG'!CG38</f>
        <v>51236883.817221321</v>
      </c>
      <c r="O37" s="58">
        <f ca="1">'Yoy WAR OG'!CM38</f>
        <v>0</v>
      </c>
      <c r="P37" s="58">
        <f ca="1">'Yoy WAR OG'!CS38</f>
        <v>13790038.418980634</v>
      </c>
      <c r="Q37" s="58">
        <f ca="1">'Yoy WAR OG'!CY38</f>
        <v>0</v>
      </c>
      <c r="R37" s="58">
        <f ca="1">'Yoy WAR OG'!DE38</f>
        <v>0</v>
      </c>
      <c r="S37" s="58">
        <f ca="1">'Yoy WAR OG'!DK38</f>
        <v>0</v>
      </c>
      <c r="T37" s="58">
        <f ca="1">'Yoy WAR OG'!DQ38</f>
        <v>0</v>
      </c>
      <c r="U37" s="58">
        <f ca="1">'Yoy WAR OG'!DW38</f>
        <v>0</v>
      </c>
      <c r="V37" s="58">
        <f ca="1">'Yoy WAR OG'!EC38</f>
        <v>0</v>
      </c>
      <c r="W37" s="58">
        <f ca="1">'Yoy WAR OG'!EI38</f>
        <v>0</v>
      </c>
      <c r="X37" s="58">
        <f ca="1">'Yoy WAR OG'!EO38</f>
        <v>0</v>
      </c>
      <c r="Y37" s="58">
        <f ca="1">'Yoy WAR OG'!EU38</f>
        <v>0</v>
      </c>
      <c r="Z37" s="58">
        <f ca="1">'Yoy WAR OG'!FA38</f>
        <v>0</v>
      </c>
      <c r="AB37" s="200">
        <f t="shared" ca="1" si="1"/>
        <v>6.842700501795218E-2</v>
      </c>
      <c r="AD37">
        <f t="shared" ca="1" si="2"/>
        <v>0</v>
      </c>
      <c r="AE37">
        <f t="shared" ca="1" si="3"/>
        <v>0</v>
      </c>
      <c r="AF37">
        <f t="shared" ca="1" si="4"/>
        <v>0</v>
      </c>
      <c r="AG37">
        <f t="shared" ca="1" si="5"/>
        <v>0.25794131255581415</v>
      </c>
      <c r="AH37">
        <f t="shared" ca="1" si="6"/>
        <v>0.62665646887410464</v>
      </c>
      <c r="AI37">
        <f t="shared" ca="1" si="7"/>
        <v>0</v>
      </c>
      <c r="AJ37">
        <f t="shared" ca="1" si="8"/>
        <v>4.5746367475018215E-2</v>
      </c>
      <c r="AK37">
        <f t="shared" ca="1" si="9"/>
        <v>0</v>
      </c>
      <c r="AL37">
        <f t="shared" ca="1" si="10"/>
        <v>0</v>
      </c>
      <c r="AM37">
        <f t="shared" ca="1" si="11"/>
        <v>0</v>
      </c>
      <c r="AN37">
        <f t="shared" ca="1" si="12"/>
        <v>0</v>
      </c>
      <c r="AO37">
        <f t="shared" ca="1" si="13"/>
        <v>5.4884171463377436E-2</v>
      </c>
      <c r="AP37">
        <f t="shared" ca="1" si="14"/>
        <v>0</v>
      </c>
      <c r="AQ37">
        <f t="shared" ca="1" si="15"/>
        <v>1.477167963168571E-2</v>
      </c>
      <c r="AR37">
        <f t="shared" ca="1" si="16"/>
        <v>0</v>
      </c>
      <c r="AS37">
        <f t="shared" ca="1" si="17"/>
        <v>0</v>
      </c>
      <c r="AT37">
        <f t="shared" ca="1" si="18"/>
        <v>0</v>
      </c>
      <c r="AU37">
        <f t="shared" ca="1" si="19"/>
        <v>0</v>
      </c>
      <c r="AV37">
        <f t="shared" ca="1" si="20"/>
        <v>0</v>
      </c>
      <c r="AW37">
        <f t="shared" ca="1" si="21"/>
        <v>0</v>
      </c>
      <c r="AX37">
        <f t="shared" ca="1" si="22"/>
        <v>0</v>
      </c>
      <c r="AY37">
        <f t="shared" ca="1" si="23"/>
        <v>0</v>
      </c>
      <c r="AZ37">
        <f t="shared" ca="1" si="24"/>
        <v>0</v>
      </c>
      <c r="BA37">
        <f t="shared" ca="1" si="25"/>
        <v>0</v>
      </c>
    </row>
    <row r="38" spans="1:53" x14ac:dyDescent="0.3">
      <c r="A38">
        <f>'NWGC - SCENARIOS'!B46</f>
        <v>84</v>
      </c>
      <c r="B38">
        <f>'NWGC - SCENARIOS'!C46</f>
        <v>2060</v>
      </c>
      <c r="C38" s="58">
        <f ca="1">'Yoy WAR OG'!S39</f>
        <v>0</v>
      </c>
      <c r="D38" s="58">
        <f ca="1">'Yoy WAR OG'!Y39</f>
        <v>0</v>
      </c>
      <c r="E38" s="58">
        <f ca="1">'Yoy WAR OG'!AE39</f>
        <v>0</v>
      </c>
      <c r="F38" s="58">
        <f ca="1">'Yoy WAR OG'!AK39</f>
        <v>225052481.19074604</v>
      </c>
      <c r="G38" s="58">
        <f ca="1">'Yoy WAR OG'!AQ39</f>
        <v>622927614.24547362</v>
      </c>
      <c r="H38" s="58">
        <f ca="1">'Yoy WAR OG'!AW39</f>
        <v>0</v>
      </c>
      <c r="I38" s="58">
        <f ca="1">'Yoy WAR OG'!BC39</f>
        <v>45695768.754154123</v>
      </c>
      <c r="J38" s="58">
        <f ca="1">'Yoy WAR OG'!BI39</f>
        <v>0</v>
      </c>
      <c r="K38" s="58">
        <f ca="1">'Yoy WAR OG'!BO39</f>
        <v>0</v>
      </c>
      <c r="L38" s="58">
        <f ca="1">'Yoy WAR OG'!BU39</f>
        <v>0</v>
      </c>
      <c r="M38" s="58">
        <f ca="1">'Yoy WAR OG'!CA39</f>
        <v>0</v>
      </c>
      <c r="N38" s="58">
        <f ca="1">'Yoy WAR OG'!CG39</f>
        <v>52773990.331737965</v>
      </c>
      <c r="O38" s="58">
        <f ca="1">'Yoy WAR OG'!CM39</f>
        <v>0</v>
      </c>
      <c r="P38" s="58">
        <f ca="1">'Yoy WAR OG'!CS39</f>
        <v>14479540.339929666</v>
      </c>
      <c r="Q38" s="58">
        <f ca="1">'Yoy WAR OG'!CY39</f>
        <v>0</v>
      </c>
      <c r="R38" s="58">
        <f ca="1">'Yoy WAR OG'!DE39</f>
        <v>0</v>
      </c>
      <c r="S38" s="58">
        <f ca="1">'Yoy WAR OG'!DK39</f>
        <v>0</v>
      </c>
      <c r="T38" s="58">
        <f ca="1">'Yoy WAR OG'!DQ39</f>
        <v>0</v>
      </c>
      <c r="U38" s="58">
        <f ca="1">'Yoy WAR OG'!DW39</f>
        <v>0</v>
      </c>
      <c r="V38" s="58">
        <f ca="1">'Yoy WAR OG'!EC39</f>
        <v>0</v>
      </c>
      <c r="W38" s="58">
        <f ca="1">'Yoy WAR OG'!EI39</f>
        <v>0</v>
      </c>
      <c r="X38" s="58">
        <f ca="1">'Yoy WAR OG'!EO39</f>
        <v>0</v>
      </c>
      <c r="Y38" s="58">
        <f ca="1">'Yoy WAR OG'!EU39</f>
        <v>0</v>
      </c>
      <c r="Z38" s="58">
        <f ca="1">'Yoy WAR OG'!FA39</f>
        <v>0</v>
      </c>
      <c r="AB38" s="200">
        <f t="shared" ca="1" si="1"/>
        <v>6.7146132274875314E-2</v>
      </c>
      <c r="AD38">
        <f t="shared" ca="1" si="2"/>
        <v>0</v>
      </c>
      <c r="AE38">
        <f t="shared" ca="1" si="3"/>
        <v>0</v>
      </c>
      <c r="AF38">
        <f t="shared" ca="1" si="4"/>
        <v>0</v>
      </c>
      <c r="AG38">
        <f t="shared" ca="1" si="5"/>
        <v>0.23420293144748303</v>
      </c>
      <c r="AH38">
        <f t="shared" ca="1" si="6"/>
        <v>0.64825534277146968</v>
      </c>
      <c r="AI38">
        <f t="shared" ca="1" si="7"/>
        <v>0</v>
      </c>
      <c r="AJ38">
        <f t="shared" ca="1" si="8"/>
        <v>4.7553721426863586E-2</v>
      </c>
      <c r="AK38">
        <f t="shared" ca="1" si="9"/>
        <v>0</v>
      </c>
      <c r="AL38">
        <f t="shared" ca="1" si="10"/>
        <v>0</v>
      </c>
      <c r="AM38">
        <f t="shared" ca="1" si="11"/>
        <v>0</v>
      </c>
      <c r="AN38">
        <f t="shared" ca="1" si="12"/>
        <v>0</v>
      </c>
      <c r="AO38">
        <f t="shared" ca="1" si="13"/>
        <v>5.491973771841438E-2</v>
      </c>
      <c r="AP38">
        <f t="shared" ca="1" si="14"/>
        <v>0</v>
      </c>
      <c r="AQ38">
        <f t="shared" ca="1" si="15"/>
        <v>1.5068266635769283E-2</v>
      </c>
      <c r="AR38">
        <f t="shared" ca="1" si="16"/>
        <v>0</v>
      </c>
      <c r="AS38">
        <f t="shared" ca="1" si="17"/>
        <v>0</v>
      </c>
      <c r="AT38">
        <f t="shared" ca="1" si="18"/>
        <v>0</v>
      </c>
      <c r="AU38">
        <f t="shared" ca="1" si="19"/>
        <v>0</v>
      </c>
      <c r="AV38">
        <f t="shared" ca="1" si="20"/>
        <v>0</v>
      </c>
      <c r="AW38">
        <f t="shared" ca="1" si="21"/>
        <v>0</v>
      </c>
      <c r="AX38">
        <f t="shared" ca="1" si="22"/>
        <v>0</v>
      </c>
      <c r="AY38">
        <f t="shared" ca="1" si="23"/>
        <v>0</v>
      </c>
      <c r="AZ38">
        <f t="shared" ca="1" si="24"/>
        <v>0</v>
      </c>
      <c r="BA38">
        <f t="shared" ca="1" si="25"/>
        <v>0</v>
      </c>
    </row>
    <row r="39" spans="1:53" x14ac:dyDescent="0.3">
      <c r="A39">
        <f>'NWGC - SCENARIOS'!B47</f>
        <v>85</v>
      </c>
      <c r="B39">
        <f>'NWGC - SCENARIOS'!C47</f>
        <v>2061</v>
      </c>
      <c r="C39" s="58">
        <f ca="1">'Yoy WAR OG'!S40</f>
        <v>0</v>
      </c>
      <c r="D39" s="58">
        <f ca="1">'Yoy WAR OG'!Y40</f>
        <v>0</v>
      </c>
      <c r="E39" s="58">
        <f ca="1">'Yoy WAR OG'!AE40</f>
        <v>0</v>
      </c>
      <c r="F39" s="58">
        <f ca="1">'Yoy WAR OG'!AK40</f>
        <v>204186422.05487239</v>
      </c>
      <c r="G39" s="58">
        <f ca="1">'Yoy WAR OG'!AQ40</f>
        <v>663387248.56695139</v>
      </c>
      <c r="H39" s="58">
        <f ca="1">'Yoy WAR OG'!AW40</f>
        <v>0</v>
      </c>
      <c r="I39" s="58">
        <f ca="1">'Yoy WAR OG'!BC40</f>
        <v>48894472.566944912</v>
      </c>
      <c r="J39" s="58">
        <f ca="1">'Yoy WAR OG'!BI40</f>
        <v>0</v>
      </c>
      <c r="K39" s="58">
        <f ca="1">'Yoy WAR OG'!BO40</f>
        <v>0</v>
      </c>
      <c r="L39" s="58">
        <f ca="1">'Yoy WAR OG'!BU40</f>
        <v>0</v>
      </c>
      <c r="M39" s="58">
        <f ca="1">'Yoy WAR OG'!CA40</f>
        <v>0</v>
      </c>
      <c r="N39" s="58">
        <f ca="1">'Yoy WAR OG'!CG40</f>
        <v>54357210.041690104</v>
      </c>
      <c r="O39" s="58">
        <f ca="1">'Yoy WAR OG'!CM40</f>
        <v>0</v>
      </c>
      <c r="P39" s="58">
        <f ca="1">'Yoy WAR OG'!CS40</f>
        <v>15203517.356926151</v>
      </c>
      <c r="Q39" s="58">
        <f ca="1">'Yoy WAR OG'!CY40</f>
        <v>0</v>
      </c>
      <c r="R39" s="58">
        <f ca="1">'Yoy WAR OG'!DE40</f>
        <v>0</v>
      </c>
      <c r="S39" s="58">
        <f ca="1">'Yoy WAR OG'!DK40</f>
        <v>0</v>
      </c>
      <c r="T39" s="58">
        <f ca="1">'Yoy WAR OG'!DQ40</f>
        <v>0</v>
      </c>
      <c r="U39" s="58">
        <f ca="1">'Yoy WAR OG'!DW40</f>
        <v>0</v>
      </c>
      <c r="V39" s="58">
        <f ca="1">'Yoy WAR OG'!EC40</f>
        <v>0</v>
      </c>
      <c r="W39" s="58">
        <f ca="1">'Yoy WAR OG'!EI40</f>
        <v>0</v>
      </c>
      <c r="X39" s="58">
        <f ca="1">'Yoy WAR OG'!EO40</f>
        <v>0</v>
      </c>
      <c r="Y39" s="58">
        <f ca="1">'Yoy WAR OG'!EU40</f>
        <v>0</v>
      </c>
      <c r="Z39" s="58">
        <f ca="1">'Yoy WAR OG'!FA40</f>
        <v>0</v>
      </c>
      <c r="AB39" s="200">
        <f t="shared" ca="1" si="1"/>
        <v>6.5677904854269845E-2</v>
      </c>
      <c r="AD39">
        <f t="shared" ca="1" si="2"/>
        <v>0</v>
      </c>
      <c r="AE39">
        <f t="shared" ca="1" si="3"/>
        <v>0</v>
      </c>
      <c r="AF39">
        <f t="shared" ca="1" si="4"/>
        <v>0</v>
      </c>
      <c r="AG39">
        <f t="shared" ca="1" si="5"/>
        <v>0.20707955734930658</v>
      </c>
      <c r="AH39">
        <f t="shared" ca="1" si="6"/>
        <v>0.67278684058385274</v>
      </c>
      <c r="AI39">
        <f t="shared" ca="1" si="7"/>
        <v>0</v>
      </c>
      <c r="AJ39">
        <f t="shared" ca="1" si="8"/>
        <v>4.9587262630371151E-2</v>
      </c>
      <c r="AK39">
        <f t="shared" ca="1" si="9"/>
        <v>0</v>
      </c>
      <c r="AL39">
        <f t="shared" ca="1" si="10"/>
        <v>0</v>
      </c>
      <c r="AM39">
        <f t="shared" ca="1" si="11"/>
        <v>0</v>
      </c>
      <c r="AN39">
        <f t="shared" ca="1" si="12"/>
        <v>0</v>
      </c>
      <c r="AO39">
        <f t="shared" ca="1" si="13"/>
        <v>5.5127402110760802E-2</v>
      </c>
      <c r="AP39">
        <f t="shared" ca="1" si="14"/>
        <v>0</v>
      </c>
      <c r="AQ39">
        <f t="shared" ca="1" si="15"/>
        <v>1.5418937325708626E-2</v>
      </c>
      <c r="AR39">
        <f t="shared" ca="1" si="16"/>
        <v>0</v>
      </c>
      <c r="AS39">
        <f t="shared" ca="1" si="17"/>
        <v>0</v>
      </c>
      <c r="AT39">
        <f t="shared" ca="1" si="18"/>
        <v>0</v>
      </c>
      <c r="AU39">
        <f t="shared" ca="1" si="19"/>
        <v>0</v>
      </c>
      <c r="AV39">
        <f t="shared" ca="1" si="20"/>
        <v>0</v>
      </c>
      <c r="AW39">
        <f t="shared" ca="1" si="21"/>
        <v>0</v>
      </c>
      <c r="AX39">
        <f t="shared" ca="1" si="22"/>
        <v>0</v>
      </c>
      <c r="AY39">
        <f t="shared" ca="1" si="23"/>
        <v>0</v>
      </c>
      <c r="AZ39">
        <f t="shared" ca="1" si="24"/>
        <v>0</v>
      </c>
      <c r="BA39">
        <f t="shared" ca="1" si="25"/>
        <v>0</v>
      </c>
    </row>
    <row r="40" spans="1:53" x14ac:dyDescent="0.3">
      <c r="A40">
        <f>'NWGC - SCENARIOS'!B48</f>
        <v>86</v>
      </c>
      <c r="B40">
        <f>'NWGC - SCENARIOS'!C48</f>
        <v>2062</v>
      </c>
      <c r="C40" s="58">
        <f ca="1">'Yoy WAR OG'!S41</f>
        <v>0</v>
      </c>
      <c r="D40" s="58">
        <f ca="1">'Yoy WAR OG'!Y41</f>
        <v>0</v>
      </c>
      <c r="E40" s="58">
        <f ca="1">'Yoy WAR OG'!AE41</f>
        <v>0</v>
      </c>
      <c r="F40" s="58">
        <f ca="1">'Yoy WAR OG'!AK41</f>
        <v>177367890.6487042</v>
      </c>
      <c r="G40" s="58">
        <f ca="1">'Yoy WAR OG'!AQ41</f>
        <v>706568052.01914859</v>
      </c>
      <c r="H40" s="58">
        <f ca="1">'Yoy WAR OG'!AW41</f>
        <v>0</v>
      </c>
      <c r="I40" s="58">
        <f ca="1">'Yoy WAR OG'!BC41</f>
        <v>52317085.646631062</v>
      </c>
      <c r="J40" s="58">
        <f ca="1">'Yoy WAR OG'!BI41</f>
        <v>0</v>
      </c>
      <c r="K40" s="58">
        <f ca="1">'Yoy WAR OG'!BO41</f>
        <v>0</v>
      </c>
      <c r="L40" s="58">
        <f ca="1">'Yoy WAR OG'!BU41</f>
        <v>0</v>
      </c>
      <c r="M40" s="58">
        <f ca="1">'Yoy WAR OG'!CA41</f>
        <v>0</v>
      </c>
      <c r="N40" s="58">
        <f ca="1">'Yoy WAR OG'!CG41</f>
        <v>55987926.342940807</v>
      </c>
      <c r="O40" s="58">
        <f ca="1">'Yoy WAR OG'!CM41</f>
        <v>0</v>
      </c>
      <c r="P40" s="58">
        <f ca="1">'Yoy WAR OG'!CS41</f>
        <v>15963693.224772459</v>
      </c>
      <c r="Q40" s="58">
        <f ca="1">'Yoy WAR OG'!CY41</f>
        <v>0</v>
      </c>
      <c r="R40" s="58">
        <f ca="1">'Yoy WAR OG'!DE41</f>
        <v>0</v>
      </c>
      <c r="S40" s="58">
        <f ca="1">'Yoy WAR OG'!DK41</f>
        <v>0</v>
      </c>
      <c r="T40" s="58">
        <f ca="1">'Yoy WAR OG'!DQ41</f>
        <v>0</v>
      </c>
      <c r="U40" s="58">
        <f ca="1">'Yoy WAR OG'!DW41</f>
        <v>0</v>
      </c>
      <c r="V40" s="58">
        <f ca="1">'Yoy WAR OG'!EC41</f>
        <v>0</v>
      </c>
      <c r="W40" s="58">
        <f ca="1">'Yoy WAR OG'!EI41</f>
        <v>0</v>
      </c>
      <c r="X40" s="58">
        <f ca="1">'Yoy WAR OG'!EO41</f>
        <v>0</v>
      </c>
      <c r="Y40" s="58">
        <f ca="1">'Yoy WAR OG'!EU41</f>
        <v>0</v>
      </c>
      <c r="Z40" s="58">
        <f ca="1">'Yoy WAR OG'!FA41</f>
        <v>0</v>
      </c>
      <c r="AB40" s="200">
        <f t="shared" ca="1" si="1"/>
        <v>6.3986740603421091E-2</v>
      </c>
      <c r="AD40">
        <f t="shared" ca="1" si="2"/>
        <v>0</v>
      </c>
      <c r="AE40">
        <f t="shared" ca="1" si="3"/>
        <v>0</v>
      </c>
      <c r="AF40">
        <f t="shared" ca="1" si="4"/>
        <v>0</v>
      </c>
      <c r="AG40">
        <f t="shared" ca="1" si="5"/>
        <v>0.17592449213686684</v>
      </c>
      <c r="AH40">
        <f t="shared" ca="1" si="6"/>
        <v>0.70081808639083654</v>
      </c>
      <c r="AI40">
        <f t="shared" ca="1" si="7"/>
        <v>0</v>
      </c>
      <c r="AJ40">
        <f t="shared" ca="1" si="8"/>
        <v>5.1891335510629397E-2</v>
      </c>
      <c r="AK40">
        <f t="shared" ca="1" si="9"/>
        <v>0</v>
      </c>
      <c r="AL40">
        <f t="shared" ca="1" si="10"/>
        <v>0</v>
      </c>
      <c r="AM40">
        <f t="shared" ca="1" si="11"/>
        <v>0</v>
      </c>
      <c r="AN40">
        <f t="shared" ca="1" si="12"/>
        <v>0</v>
      </c>
      <c r="AO40">
        <f t="shared" ca="1" si="13"/>
        <v>5.553230334788406E-2</v>
      </c>
      <c r="AP40">
        <f t="shared" ca="1" si="14"/>
        <v>0</v>
      </c>
      <c r="AQ40">
        <f t="shared" ca="1" si="15"/>
        <v>1.5833782613783112E-2</v>
      </c>
      <c r="AR40">
        <f t="shared" ca="1" si="16"/>
        <v>0</v>
      </c>
      <c r="AS40">
        <f t="shared" ca="1" si="17"/>
        <v>0</v>
      </c>
      <c r="AT40">
        <f t="shared" ca="1" si="18"/>
        <v>0</v>
      </c>
      <c r="AU40">
        <f t="shared" ca="1" si="19"/>
        <v>0</v>
      </c>
      <c r="AV40">
        <f t="shared" ca="1" si="20"/>
        <v>0</v>
      </c>
      <c r="AW40">
        <f t="shared" ca="1" si="21"/>
        <v>0</v>
      </c>
      <c r="AX40">
        <f t="shared" ca="1" si="22"/>
        <v>0</v>
      </c>
      <c r="AY40">
        <f t="shared" ca="1" si="23"/>
        <v>0</v>
      </c>
      <c r="AZ40">
        <f t="shared" ca="1" si="24"/>
        <v>0</v>
      </c>
      <c r="BA40">
        <f t="shared" ca="1" si="25"/>
        <v>0</v>
      </c>
    </row>
    <row r="41" spans="1:53" x14ac:dyDescent="0.3">
      <c r="A41">
        <f>'NWGC - SCENARIOS'!B49</f>
        <v>87</v>
      </c>
      <c r="B41">
        <f>'NWGC - SCENARIOS'!C49</f>
        <v>2063</v>
      </c>
      <c r="C41" s="58">
        <f ca="1">'Yoy WAR OG'!S42</f>
        <v>0</v>
      </c>
      <c r="D41" s="58">
        <f ca="1">'Yoy WAR OG'!Y42</f>
        <v>0</v>
      </c>
      <c r="E41" s="58">
        <f ca="1">'Yoy WAR OG'!AE42</f>
        <v>0</v>
      </c>
      <c r="F41" s="58">
        <f ca="1">'Yoy WAR OG'!AK42</f>
        <v>143649538.56128114</v>
      </c>
      <c r="G41" s="58">
        <f ca="1">'Yoy WAR OG'!AQ42</f>
        <v>752659360.04369783</v>
      </c>
      <c r="H41" s="58">
        <f ca="1">'Yoy WAR OG'!AW42</f>
        <v>0</v>
      </c>
      <c r="I41" s="58">
        <f ca="1">'Yoy WAR OG'!BC42</f>
        <v>55979281.641895242</v>
      </c>
      <c r="J41" s="58">
        <f ca="1">'Yoy WAR OG'!BI42</f>
        <v>0</v>
      </c>
      <c r="K41" s="58">
        <f ca="1">'Yoy WAR OG'!BO42</f>
        <v>0</v>
      </c>
      <c r="L41" s="58">
        <f ca="1">'Yoy WAR OG'!BU42</f>
        <v>0</v>
      </c>
      <c r="M41" s="58">
        <f ca="1">'Yoy WAR OG'!CA42</f>
        <v>0</v>
      </c>
      <c r="N41" s="58">
        <f ca="1">'Yoy WAR OG'!CG42</f>
        <v>57667564.133229032</v>
      </c>
      <c r="O41" s="58">
        <f ca="1">'Yoy WAR OG'!CM42</f>
        <v>0</v>
      </c>
      <c r="P41" s="58">
        <f ca="1">'Yoy WAR OG'!CS42</f>
        <v>16761877.886011083</v>
      </c>
      <c r="Q41" s="58">
        <f ca="1">'Yoy WAR OG'!CY42</f>
        <v>0</v>
      </c>
      <c r="R41" s="58">
        <f ca="1">'Yoy WAR OG'!DE42</f>
        <v>0</v>
      </c>
      <c r="S41" s="58">
        <f ca="1">'Yoy WAR OG'!DK42</f>
        <v>0</v>
      </c>
      <c r="T41" s="58">
        <f ca="1">'Yoy WAR OG'!DQ42</f>
        <v>0</v>
      </c>
      <c r="U41" s="58">
        <f ca="1">'Yoy WAR OG'!DW42</f>
        <v>0</v>
      </c>
      <c r="V41" s="58">
        <f ca="1">'Yoy WAR OG'!EC42</f>
        <v>0</v>
      </c>
      <c r="W41" s="58">
        <f ca="1">'Yoy WAR OG'!EI42</f>
        <v>0</v>
      </c>
      <c r="X41" s="58">
        <f ca="1">'Yoy WAR OG'!EO42</f>
        <v>0</v>
      </c>
      <c r="Y41" s="58">
        <f ca="1">'Yoy WAR OG'!EU42</f>
        <v>0</v>
      </c>
      <c r="Z41" s="58">
        <f ca="1">'Yoy WAR OG'!FA42</f>
        <v>0</v>
      </c>
      <c r="AB41" s="200">
        <f t="shared" ca="1" si="1"/>
        <v>6.202716618110999E-2</v>
      </c>
      <c r="AD41">
        <f t="shared" ca="1" si="2"/>
        <v>0</v>
      </c>
      <c r="AE41">
        <f t="shared" ca="1" si="3"/>
        <v>0</v>
      </c>
      <c r="AF41">
        <f t="shared" ca="1" si="4"/>
        <v>0</v>
      </c>
      <c r="AG41">
        <f t="shared" ca="1" si="5"/>
        <v>0.13991143762023467</v>
      </c>
      <c r="AH41">
        <f t="shared" ca="1" si="6"/>
        <v>0.73307338232148933</v>
      </c>
      <c r="AI41">
        <f t="shared" ca="1" si="7"/>
        <v>0</v>
      </c>
      <c r="AJ41">
        <f t="shared" ca="1" si="8"/>
        <v>5.4522568258194362E-2</v>
      </c>
      <c r="AK41">
        <f t="shared" ca="1" si="9"/>
        <v>0</v>
      </c>
      <c r="AL41">
        <f t="shared" ca="1" si="10"/>
        <v>0</v>
      </c>
      <c r="AM41">
        <f t="shared" ca="1" si="11"/>
        <v>0</v>
      </c>
      <c r="AN41">
        <f t="shared" ca="1" si="12"/>
        <v>0</v>
      </c>
      <c r="AO41">
        <f t="shared" ca="1" si="13"/>
        <v>5.6166917643770804E-2</v>
      </c>
      <c r="AP41">
        <f t="shared" ca="1" si="14"/>
        <v>0</v>
      </c>
      <c r="AQ41">
        <f t="shared" ca="1" si="15"/>
        <v>1.6325694156310661E-2</v>
      </c>
      <c r="AR41">
        <f t="shared" ca="1" si="16"/>
        <v>0</v>
      </c>
      <c r="AS41">
        <f t="shared" ca="1" si="17"/>
        <v>0</v>
      </c>
      <c r="AT41">
        <f t="shared" ca="1" si="18"/>
        <v>0</v>
      </c>
      <c r="AU41">
        <f t="shared" ca="1" si="19"/>
        <v>0</v>
      </c>
      <c r="AV41">
        <f t="shared" ca="1" si="20"/>
        <v>0</v>
      </c>
      <c r="AW41">
        <f t="shared" ca="1" si="21"/>
        <v>0</v>
      </c>
      <c r="AX41">
        <f t="shared" ca="1" si="22"/>
        <v>0</v>
      </c>
      <c r="AY41">
        <f t="shared" ca="1" si="23"/>
        <v>0</v>
      </c>
      <c r="AZ41">
        <f t="shared" ca="1" si="24"/>
        <v>0</v>
      </c>
      <c r="BA41">
        <f t="shared" ca="1" si="25"/>
        <v>0</v>
      </c>
    </row>
    <row r="42" spans="1:53" x14ac:dyDescent="0.3">
      <c r="A42">
        <f>'NWGC - SCENARIOS'!B50</f>
        <v>88</v>
      </c>
      <c r="B42">
        <f>'NWGC - SCENARIOS'!C50</f>
        <v>2064</v>
      </c>
      <c r="C42" s="58">
        <f ca="1">'Yoy WAR OG'!S43</f>
        <v>0</v>
      </c>
      <c r="D42" s="58">
        <f ca="1">'Yoy WAR OG'!Y43</f>
        <v>0</v>
      </c>
      <c r="E42" s="58">
        <f ca="1">'Yoy WAR OG'!AE43</f>
        <v>0</v>
      </c>
      <c r="F42" s="58">
        <f ca="1">'Yoy WAR OG'!AK43</f>
        <v>101956402.9395391</v>
      </c>
      <c r="G42" s="58">
        <f ca="1">'Yoy WAR OG'!AQ43</f>
        <v>801864095.22267687</v>
      </c>
      <c r="H42" s="58">
        <f ca="1">'Yoy WAR OG'!AW43</f>
        <v>0</v>
      </c>
      <c r="I42" s="58">
        <f ca="1">'Yoy WAR OG'!BC43</f>
        <v>59897831.356827915</v>
      </c>
      <c r="J42" s="58">
        <f ca="1">'Yoy WAR OG'!BI43</f>
        <v>0</v>
      </c>
      <c r="K42" s="58">
        <f ca="1">'Yoy WAR OG'!BO43</f>
        <v>0</v>
      </c>
      <c r="L42" s="58">
        <f ca="1">'Yoy WAR OG'!BU43</f>
        <v>0</v>
      </c>
      <c r="M42" s="58">
        <f ca="1">'Yoy WAR OG'!CA43</f>
        <v>0</v>
      </c>
      <c r="N42" s="58">
        <f ca="1">'Yoy WAR OG'!CG43</f>
        <v>59397591.057225905</v>
      </c>
      <c r="O42" s="58">
        <f ca="1">'Yoy WAR OG'!CM43</f>
        <v>0</v>
      </c>
      <c r="P42" s="58">
        <f ca="1">'Yoy WAR OG'!CS43</f>
        <v>17599971.780311637</v>
      </c>
      <c r="Q42" s="58">
        <f ca="1">'Yoy WAR OG'!CY43</f>
        <v>0</v>
      </c>
      <c r="R42" s="58">
        <f ca="1">'Yoy WAR OG'!DE43</f>
        <v>0</v>
      </c>
      <c r="S42" s="58">
        <f ca="1">'Yoy WAR OG'!DK43</f>
        <v>0</v>
      </c>
      <c r="T42" s="58">
        <f ca="1">'Yoy WAR OG'!DQ43</f>
        <v>0</v>
      </c>
      <c r="U42" s="58">
        <f ca="1">'Yoy WAR OG'!DW43</f>
        <v>0</v>
      </c>
      <c r="V42" s="58">
        <f ca="1">'Yoy WAR OG'!EC43</f>
        <v>0</v>
      </c>
      <c r="W42" s="58">
        <f ca="1">'Yoy WAR OG'!EI43</f>
        <v>0</v>
      </c>
      <c r="X42" s="58">
        <f ca="1">'Yoy WAR OG'!EO43</f>
        <v>0</v>
      </c>
      <c r="Y42" s="58">
        <f ca="1">'Yoy WAR OG'!EU43</f>
        <v>0</v>
      </c>
      <c r="Z42" s="58">
        <f ca="1">'Yoy WAR OG'!FA43</f>
        <v>0</v>
      </c>
      <c r="AB42" s="200">
        <f t="shared" ca="1" si="1"/>
        <v>5.9740131320109233E-2</v>
      </c>
      <c r="AD42">
        <f t="shared" ca="1" si="2"/>
        <v>0</v>
      </c>
      <c r="AE42">
        <f t="shared" ca="1" si="3"/>
        <v>0</v>
      </c>
      <c r="AF42">
        <f t="shared" ca="1" si="4"/>
        <v>0</v>
      </c>
      <c r="AG42">
        <f t="shared" ca="1" si="5"/>
        <v>9.7967566065192441E-2</v>
      </c>
      <c r="AH42">
        <f t="shared" ca="1" si="6"/>
        <v>0.77049279357783984</v>
      </c>
      <c r="AI42">
        <f t="shared" ca="1" si="7"/>
        <v>0</v>
      </c>
      <c r="AJ42">
        <f t="shared" ca="1" si="8"/>
        <v>5.7554450543842631E-2</v>
      </c>
      <c r="AK42">
        <f t="shared" ca="1" si="9"/>
        <v>0</v>
      </c>
      <c r="AL42">
        <f t="shared" ca="1" si="10"/>
        <v>0</v>
      </c>
      <c r="AM42">
        <f t="shared" ca="1" si="11"/>
        <v>0</v>
      </c>
      <c r="AN42">
        <f t="shared" ca="1" si="12"/>
        <v>0</v>
      </c>
      <c r="AO42">
        <f t="shared" ca="1" si="13"/>
        <v>5.7073781128418141E-2</v>
      </c>
      <c r="AP42">
        <f t="shared" ca="1" si="14"/>
        <v>0</v>
      </c>
      <c r="AQ42">
        <f t="shared" ca="1" si="15"/>
        <v>1.691140868470695E-2</v>
      </c>
      <c r="AR42">
        <f t="shared" ca="1" si="16"/>
        <v>0</v>
      </c>
      <c r="AS42">
        <f t="shared" ca="1" si="17"/>
        <v>0</v>
      </c>
      <c r="AT42">
        <f t="shared" ca="1" si="18"/>
        <v>0</v>
      </c>
      <c r="AU42">
        <f t="shared" ca="1" si="19"/>
        <v>0</v>
      </c>
      <c r="AV42">
        <f t="shared" ca="1" si="20"/>
        <v>0</v>
      </c>
      <c r="AW42">
        <f t="shared" ca="1" si="21"/>
        <v>0</v>
      </c>
      <c r="AX42">
        <f t="shared" ca="1" si="22"/>
        <v>0</v>
      </c>
      <c r="AY42">
        <f t="shared" ca="1" si="23"/>
        <v>0</v>
      </c>
      <c r="AZ42">
        <f t="shared" ca="1" si="24"/>
        <v>0</v>
      </c>
      <c r="BA42">
        <f t="shared" ca="1" si="25"/>
        <v>0</v>
      </c>
    </row>
    <row r="43" spans="1:53" x14ac:dyDescent="0.3">
      <c r="A43">
        <f>'NWGC - SCENARIOS'!B51</f>
        <v>89</v>
      </c>
      <c r="B43">
        <f>'NWGC - SCENARIOS'!C51</f>
        <v>2065</v>
      </c>
      <c r="C43" s="58">
        <f ca="1">'Yoy WAR OG'!S44</f>
        <v>0</v>
      </c>
      <c r="D43" s="58">
        <f ca="1">'Yoy WAR OG'!Y44</f>
        <v>0</v>
      </c>
      <c r="E43" s="58">
        <f ca="1">'Yoy WAR OG'!AE44</f>
        <v>0</v>
      </c>
      <c r="F43" s="58">
        <f ca="1">'Yoy WAR OG'!AK44</f>
        <v>51069996.410326816</v>
      </c>
      <c r="G43" s="58">
        <f ca="1">'Yoy WAR OG'!AQ44</f>
        <v>854399768.46662593</v>
      </c>
      <c r="H43" s="58">
        <f ca="1">'Yoy WAR OG'!AW44</f>
        <v>0</v>
      </c>
      <c r="I43" s="58">
        <f ca="1">'Yoy WAR OG'!BC44</f>
        <v>64090679.551805869</v>
      </c>
      <c r="J43" s="58">
        <f ca="1">'Yoy WAR OG'!BI44</f>
        <v>0</v>
      </c>
      <c r="K43" s="58">
        <f ca="1">'Yoy WAR OG'!BO44</f>
        <v>0</v>
      </c>
      <c r="L43" s="58">
        <f ca="1">'Yoy WAR OG'!BU44</f>
        <v>0</v>
      </c>
      <c r="M43" s="58">
        <f ca="1">'Yoy WAR OG'!CA44</f>
        <v>0</v>
      </c>
      <c r="N43" s="58">
        <f ca="1">'Yoy WAR OG'!CG44</f>
        <v>61179518.788942687</v>
      </c>
      <c r="O43" s="58">
        <f ca="1">'Yoy WAR OG'!CM44</f>
        <v>0</v>
      </c>
      <c r="P43" s="58">
        <f ca="1">'Yoy WAR OG'!CS44</f>
        <v>18479970.369327221</v>
      </c>
      <c r="Q43" s="58">
        <f ca="1">'Yoy WAR OG'!CY44</f>
        <v>0</v>
      </c>
      <c r="R43" s="58">
        <f ca="1">'Yoy WAR OG'!DE44</f>
        <v>0</v>
      </c>
      <c r="S43" s="58">
        <f ca="1">'Yoy WAR OG'!DK44</f>
        <v>0</v>
      </c>
      <c r="T43" s="58">
        <f ca="1">'Yoy WAR OG'!DQ44</f>
        <v>0</v>
      </c>
      <c r="U43" s="58">
        <f ca="1">'Yoy WAR OG'!DW44</f>
        <v>0</v>
      </c>
      <c r="V43" s="58">
        <f ca="1">'Yoy WAR OG'!EC44</f>
        <v>0</v>
      </c>
      <c r="W43" s="58">
        <f ca="1">'Yoy WAR OG'!EI44</f>
        <v>0</v>
      </c>
      <c r="X43" s="58">
        <f ca="1">'Yoy WAR OG'!EO44</f>
        <v>0</v>
      </c>
      <c r="Y43" s="58">
        <f ca="1">'Yoy WAR OG'!EU44</f>
        <v>0</v>
      </c>
      <c r="Z43" s="58">
        <f ca="1">'Yoy WAR OG'!FA44</f>
        <v>0</v>
      </c>
      <c r="AB43" s="200">
        <f t="shared" ca="1" si="1"/>
        <v>5.7047542279272445E-2</v>
      </c>
      <c r="AD43">
        <f t="shared" ca="1" si="2"/>
        <v>0</v>
      </c>
      <c r="AE43">
        <f t="shared" ca="1" si="3"/>
        <v>0</v>
      </c>
      <c r="AF43">
        <f t="shared" ca="1" si="4"/>
        <v>0</v>
      </c>
      <c r="AG43">
        <f t="shared" ca="1" si="5"/>
        <v>4.8674252914477981E-2</v>
      </c>
      <c r="AH43">
        <f t="shared" ca="1" si="6"/>
        <v>0.8143190394273585</v>
      </c>
      <c r="AI43">
        <f t="shared" ca="1" si="7"/>
        <v>0</v>
      </c>
      <c r="AJ43">
        <f t="shared" ca="1" si="8"/>
        <v>6.1084123071027993E-2</v>
      </c>
      <c r="AK43">
        <f t="shared" ca="1" si="9"/>
        <v>0</v>
      </c>
      <c r="AL43">
        <f t="shared" ca="1" si="10"/>
        <v>0</v>
      </c>
      <c r="AM43">
        <f t="shared" ca="1" si="11"/>
        <v>0</v>
      </c>
      <c r="AN43">
        <f t="shared" ca="1" si="12"/>
        <v>0</v>
      </c>
      <c r="AO43">
        <f t="shared" ca="1" si="13"/>
        <v>5.8309527707679693E-2</v>
      </c>
      <c r="AP43">
        <f t="shared" ca="1" si="14"/>
        <v>0</v>
      </c>
      <c r="AQ43">
        <f t="shared" ca="1" si="15"/>
        <v>1.761305687945585E-2</v>
      </c>
      <c r="AR43">
        <f t="shared" ca="1" si="16"/>
        <v>0</v>
      </c>
      <c r="AS43">
        <f t="shared" ca="1" si="17"/>
        <v>0</v>
      </c>
      <c r="AT43">
        <f t="shared" ca="1" si="18"/>
        <v>0</v>
      </c>
      <c r="AU43">
        <f t="shared" ca="1" si="19"/>
        <v>0</v>
      </c>
      <c r="AV43">
        <f t="shared" ca="1" si="20"/>
        <v>0</v>
      </c>
      <c r="AW43">
        <f t="shared" ca="1" si="21"/>
        <v>0</v>
      </c>
      <c r="AX43">
        <f t="shared" ca="1" si="22"/>
        <v>0</v>
      </c>
      <c r="AY43">
        <f t="shared" ca="1" si="23"/>
        <v>0</v>
      </c>
      <c r="AZ43">
        <f t="shared" ca="1" si="24"/>
        <v>0</v>
      </c>
      <c r="BA43">
        <f t="shared" ca="1" si="25"/>
        <v>0</v>
      </c>
    </row>
    <row r="44" spans="1:53" x14ac:dyDescent="0.3">
      <c r="A44">
        <f>'NWGC - SCENARIOS'!B52</f>
        <v>90</v>
      </c>
      <c r="B44">
        <f>'NWGC - SCENARIOS'!C52</f>
        <v>2066</v>
      </c>
      <c r="C44" s="58">
        <f ca="1">'Yoy WAR OG'!S45</f>
        <v>0</v>
      </c>
      <c r="D44" s="58">
        <f ca="1">'Yoy WAR OG'!Y45</f>
        <v>0</v>
      </c>
      <c r="E44" s="58">
        <f ca="1">'Yoy WAR OG'!AE45</f>
        <v>0</v>
      </c>
      <c r="F44" s="58">
        <f ca="1">'Yoy WAR OG'!AK45</f>
        <v>0</v>
      </c>
      <c r="G44" s="58">
        <f ca="1">'Yoy WAR OG'!AQ45</f>
        <v>900624847.86322618</v>
      </c>
      <c r="H44" s="58">
        <f ca="1">'Yoy WAR OG'!AW45</f>
        <v>0</v>
      </c>
      <c r="I44" s="58">
        <f ca="1">'Yoy WAR OG'!BC45</f>
        <v>68577027.120432287</v>
      </c>
      <c r="J44" s="58">
        <f ca="1">'Yoy WAR OG'!BI45</f>
        <v>0</v>
      </c>
      <c r="K44" s="58">
        <f ca="1">'Yoy WAR OG'!BO45</f>
        <v>0</v>
      </c>
      <c r="L44" s="58">
        <f ca="1">'Yoy WAR OG'!BU45</f>
        <v>0</v>
      </c>
      <c r="M44" s="58">
        <f ca="1">'Yoy WAR OG'!CA45</f>
        <v>0</v>
      </c>
      <c r="N44" s="58">
        <f ca="1">'Yoy WAR OG'!CG45</f>
        <v>63014904.352610968</v>
      </c>
      <c r="O44" s="58">
        <f ca="1">'Yoy WAR OG'!CM45</f>
        <v>0</v>
      </c>
      <c r="P44" s="58">
        <f ca="1">'Yoy WAR OG'!CS45</f>
        <v>19403968.887793582</v>
      </c>
      <c r="Q44" s="58">
        <f ca="1">'Yoy WAR OG'!CY45</f>
        <v>0</v>
      </c>
      <c r="R44" s="58">
        <f ca="1">'Yoy WAR OG'!DE45</f>
        <v>0</v>
      </c>
      <c r="S44" s="58">
        <f ca="1">'Yoy WAR OG'!DK45</f>
        <v>0</v>
      </c>
      <c r="T44" s="58">
        <f ca="1">'Yoy WAR OG'!DQ45</f>
        <v>0</v>
      </c>
      <c r="U44" s="58">
        <f ca="1">'Yoy WAR OG'!DW45</f>
        <v>0</v>
      </c>
      <c r="V44" s="58">
        <f ca="1">'Yoy WAR OG'!EC45</f>
        <v>0</v>
      </c>
      <c r="W44" s="58">
        <f ca="1">'Yoy WAR OG'!EI45</f>
        <v>0</v>
      </c>
      <c r="X44" s="58">
        <f ca="1">'Yoy WAR OG'!EO45</f>
        <v>0</v>
      </c>
      <c r="Y44" s="58">
        <f ca="1">'Yoy WAR OG'!EU45</f>
        <v>0</v>
      </c>
      <c r="Z44" s="58">
        <f ca="1">'Yoy WAR OG'!FA45</f>
        <v>0</v>
      </c>
      <c r="AB44" s="200">
        <f t="shared" ca="1" si="1"/>
        <v>5.4387861976349483E-2</v>
      </c>
      <c r="AD44">
        <f t="shared" ca="1" si="2"/>
        <v>0</v>
      </c>
      <c r="AE44">
        <f t="shared" ca="1" si="3"/>
        <v>0</v>
      </c>
      <c r="AF44">
        <f t="shared" ca="1" si="4"/>
        <v>0</v>
      </c>
      <c r="AG44">
        <f t="shared" ca="1" si="5"/>
        <v>0</v>
      </c>
      <c r="AH44">
        <f t="shared" ca="1" si="6"/>
        <v>0.85641601250656862</v>
      </c>
      <c r="AI44">
        <f t="shared" ca="1" si="7"/>
        <v>0</v>
      </c>
      <c r="AJ44">
        <f t="shared" ca="1" si="8"/>
        <v>6.5210796987642705E-2</v>
      </c>
      <c r="AK44">
        <f t="shared" ca="1" si="9"/>
        <v>0</v>
      </c>
      <c r="AL44">
        <f t="shared" ca="1" si="10"/>
        <v>0</v>
      </c>
      <c r="AM44">
        <f t="shared" ca="1" si="11"/>
        <v>0</v>
      </c>
      <c r="AN44">
        <f t="shared" ca="1" si="12"/>
        <v>0</v>
      </c>
      <c r="AO44">
        <f t="shared" ca="1" si="13"/>
        <v>5.9921701296810792E-2</v>
      </c>
      <c r="AP44">
        <f t="shared" ca="1" si="14"/>
        <v>0</v>
      </c>
      <c r="AQ44">
        <f t="shared" ca="1" si="15"/>
        <v>1.845148920897792E-2</v>
      </c>
      <c r="AR44">
        <f t="shared" ca="1" si="16"/>
        <v>0</v>
      </c>
      <c r="AS44">
        <f t="shared" ca="1" si="17"/>
        <v>0</v>
      </c>
      <c r="AT44">
        <f t="shared" ca="1" si="18"/>
        <v>0</v>
      </c>
      <c r="AU44">
        <f t="shared" ca="1" si="19"/>
        <v>0</v>
      </c>
      <c r="AV44">
        <f t="shared" ca="1" si="20"/>
        <v>0</v>
      </c>
      <c r="AW44">
        <f t="shared" ca="1" si="21"/>
        <v>0</v>
      </c>
      <c r="AX44">
        <f t="shared" ca="1" si="22"/>
        <v>0</v>
      </c>
      <c r="AY44">
        <f t="shared" ca="1" si="23"/>
        <v>0</v>
      </c>
      <c r="AZ44">
        <f t="shared" ca="1" si="24"/>
        <v>0</v>
      </c>
      <c r="BA44">
        <f t="shared" ca="1" si="25"/>
        <v>0</v>
      </c>
    </row>
    <row r="45" spans="1:53" x14ac:dyDescent="0.3">
      <c r="A45">
        <f>'NWGC - SCENARIOS'!B53</f>
        <v>91</v>
      </c>
      <c r="B45">
        <f>'NWGC - SCENARIOS'!C53</f>
        <v>2067</v>
      </c>
      <c r="C45" s="58">
        <f ca="1">'Yoy WAR OG'!S46</f>
        <v>0</v>
      </c>
      <c r="D45" s="58">
        <f ca="1">'Yoy WAR OG'!Y46</f>
        <v>0</v>
      </c>
      <c r="E45" s="58">
        <f ca="1">'Yoy WAR OG'!AE46</f>
        <v>0</v>
      </c>
      <c r="F45" s="58">
        <f ca="1">'Yoy WAR OG'!AK46</f>
        <v>0</v>
      </c>
      <c r="G45" s="58">
        <f ca="1">'Yoy WAR OG'!AQ46</f>
        <v>891134710.48718774</v>
      </c>
      <c r="H45" s="58">
        <f ca="1">'Yoy WAR OG'!AW46</f>
        <v>0</v>
      </c>
      <c r="I45" s="58">
        <f ca="1">'Yoy WAR OG'!BC46</f>
        <v>73377419.018862545</v>
      </c>
      <c r="J45" s="58">
        <f ca="1">'Yoy WAR OG'!BI46</f>
        <v>0</v>
      </c>
      <c r="K45" s="58">
        <f ca="1">'Yoy WAR OG'!BO46</f>
        <v>0</v>
      </c>
      <c r="L45" s="58">
        <f ca="1">'Yoy WAR OG'!BU46</f>
        <v>0</v>
      </c>
      <c r="M45" s="58">
        <f ca="1">'Yoy WAR OG'!CA46</f>
        <v>0</v>
      </c>
      <c r="N45" s="58">
        <f ca="1">'Yoy WAR OG'!CG46</f>
        <v>64905351.4831893</v>
      </c>
      <c r="O45" s="58">
        <f ca="1">'Yoy WAR OG'!CM46</f>
        <v>0</v>
      </c>
      <c r="P45" s="58">
        <f ca="1">'Yoy WAR OG'!CS46</f>
        <v>20374167.33218326</v>
      </c>
      <c r="Q45" s="58">
        <f ca="1">'Yoy WAR OG'!CY46</f>
        <v>0</v>
      </c>
      <c r="R45" s="58">
        <f ca="1">'Yoy WAR OG'!DE46</f>
        <v>0</v>
      </c>
      <c r="S45" s="58">
        <f ca="1">'Yoy WAR OG'!DK46</f>
        <v>0</v>
      </c>
      <c r="T45" s="58">
        <f ca="1">'Yoy WAR OG'!DQ46</f>
        <v>0</v>
      </c>
      <c r="U45" s="58">
        <f ca="1">'Yoy WAR OG'!DW46</f>
        <v>0</v>
      </c>
      <c r="V45" s="58">
        <f ca="1">'Yoy WAR OG'!EC46</f>
        <v>0</v>
      </c>
      <c r="W45" s="58">
        <f ca="1">'Yoy WAR OG'!EI46</f>
        <v>0</v>
      </c>
      <c r="X45" s="58">
        <f ca="1">'Yoy WAR OG'!EO46</f>
        <v>0</v>
      </c>
      <c r="Y45" s="58">
        <f ca="1">'Yoy WAR OG'!EU46</f>
        <v>0</v>
      </c>
      <c r="Z45" s="58">
        <f ca="1">'Yoy WAR OG'!FA46</f>
        <v>0</v>
      </c>
      <c r="AB45" s="200">
        <f t="shared" ca="1" si="1"/>
        <v>5.4405745569175358E-2</v>
      </c>
      <c r="AD45">
        <f t="shared" ca="1" si="2"/>
        <v>0</v>
      </c>
      <c r="AE45">
        <f t="shared" ca="1" si="3"/>
        <v>0</v>
      </c>
      <c r="AF45">
        <f t="shared" ca="1" si="4"/>
        <v>0</v>
      </c>
      <c r="AG45">
        <f t="shared" ca="1" si="5"/>
        <v>0</v>
      </c>
      <c r="AH45">
        <f t="shared" ca="1" si="6"/>
        <v>0.84886816532792808</v>
      </c>
      <c r="AI45">
        <f t="shared" ca="1" si="7"/>
        <v>0</v>
      </c>
      <c r="AJ45">
        <f t="shared" ca="1" si="8"/>
        <v>6.9897125907021893E-2</v>
      </c>
      <c r="AK45">
        <f t="shared" ca="1" si="9"/>
        <v>0</v>
      </c>
      <c r="AL45">
        <f t="shared" ca="1" si="10"/>
        <v>0</v>
      </c>
      <c r="AM45">
        <f t="shared" ca="1" si="11"/>
        <v>0</v>
      </c>
      <c r="AN45">
        <f t="shared" ca="1" si="12"/>
        <v>0</v>
      </c>
      <c r="AO45">
        <f t="shared" ca="1" si="13"/>
        <v>6.182688878023606E-2</v>
      </c>
      <c r="AP45">
        <f t="shared" ca="1" si="14"/>
        <v>0</v>
      </c>
      <c r="AQ45">
        <f t="shared" ca="1" si="15"/>
        <v>1.9407819984813921E-2</v>
      </c>
      <c r="AR45">
        <f t="shared" ca="1" si="16"/>
        <v>0</v>
      </c>
      <c r="AS45">
        <f t="shared" ca="1" si="17"/>
        <v>0</v>
      </c>
      <c r="AT45">
        <f t="shared" ca="1" si="18"/>
        <v>0</v>
      </c>
      <c r="AU45">
        <f t="shared" ca="1" si="19"/>
        <v>0</v>
      </c>
      <c r="AV45">
        <f t="shared" ca="1" si="20"/>
        <v>0</v>
      </c>
      <c r="AW45">
        <f t="shared" ca="1" si="21"/>
        <v>0</v>
      </c>
      <c r="AX45">
        <f t="shared" ca="1" si="22"/>
        <v>0</v>
      </c>
      <c r="AY45">
        <f t="shared" ca="1" si="23"/>
        <v>0</v>
      </c>
      <c r="AZ45">
        <f t="shared" ca="1" si="24"/>
        <v>0</v>
      </c>
      <c r="BA45">
        <f t="shared" ca="1" si="25"/>
        <v>0</v>
      </c>
    </row>
    <row r="46" spans="1:53" x14ac:dyDescent="0.3">
      <c r="A46">
        <f>'NWGC - SCENARIOS'!B54</f>
        <v>92</v>
      </c>
      <c r="B46">
        <f>'NWGC - SCENARIOS'!C54</f>
        <v>2068</v>
      </c>
      <c r="C46" s="58">
        <f ca="1">'Yoy WAR OG'!S47</f>
        <v>0</v>
      </c>
      <c r="D46" s="58">
        <f ca="1">'Yoy WAR OG'!Y47</f>
        <v>0</v>
      </c>
      <c r="E46" s="58">
        <f ca="1">'Yoy WAR OG'!AE47</f>
        <v>0</v>
      </c>
      <c r="F46" s="58">
        <f ca="1">'Yoy WAR OG'!AK47</f>
        <v>0</v>
      </c>
      <c r="G46" s="58">
        <f ca="1">'Yoy WAR OG'!AQ47</f>
        <v>876393565.63478589</v>
      </c>
      <c r="H46" s="58">
        <f ca="1">'Yoy WAR OG'!AW47</f>
        <v>0</v>
      </c>
      <c r="I46" s="58">
        <f ca="1">'Yoy WAR OG'!BC47</f>
        <v>78513838.350182936</v>
      </c>
      <c r="J46" s="58">
        <f ca="1">'Yoy WAR OG'!BI47</f>
        <v>0</v>
      </c>
      <c r="K46" s="58">
        <f ca="1">'Yoy WAR OG'!BO47</f>
        <v>0</v>
      </c>
      <c r="L46" s="58">
        <f ca="1">'Yoy WAR OG'!BU47</f>
        <v>0</v>
      </c>
      <c r="M46" s="58">
        <f ca="1">'Yoy WAR OG'!CA47</f>
        <v>0</v>
      </c>
      <c r="N46" s="58">
        <f ca="1">'Yoy WAR OG'!CG47</f>
        <v>66852512.027684979</v>
      </c>
      <c r="O46" s="58">
        <f ca="1">'Yoy WAR OG'!CM47</f>
        <v>0</v>
      </c>
      <c r="P46" s="58">
        <f ca="1">'Yoy WAR OG'!CS47</f>
        <v>21392875.698792424</v>
      </c>
      <c r="Q46" s="58">
        <f ca="1">'Yoy WAR OG'!CY47</f>
        <v>0</v>
      </c>
      <c r="R46" s="58">
        <f ca="1">'Yoy WAR OG'!DE47</f>
        <v>0</v>
      </c>
      <c r="S46" s="58">
        <f ca="1">'Yoy WAR OG'!DK47</f>
        <v>0</v>
      </c>
      <c r="T46" s="58">
        <f ca="1">'Yoy WAR OG'!DQ47</f>
        <v>0</v>
      </c>
      <c r="U46" s="58">
        <f ca="1">'Yoy WAR OG'!DW47</f>
        <v>0</v>
      </c>
      <c r="V46" s="58">
        <f ca="1">'Yoy WAR OG'!EC47</f>
        <v>0</v>
      </c>
      <c r="W46" s="58">
        <f ca="1">'Yoy WAR OG'!EI47</f>
        <v>0</v>
      </c>
      <c r="X46" s="58">
        <f ca="1">'Yoy WAR OG'!EO47</f>
        <v>0</v>
      </c>
      <c r="Y46" s="58">
        <f ca="1">'Yoy WAR OG'!EU47</f>
        <v>0</v>
      </c>
      <c r="Z46" s="58">
        <f ca="1">'Yoy WAR OG'!FA47</f>
        <v>0</v>
      </c>
      <c r="AB46" s="200">
        <f t="shared" ca="1" si="1"/>
        <v>5.4424274556224866E-2</v>
      </c>
      <c r="AD46">
        <f t="shared" ca="1" si="2"/>
        <v>0</v>
      </c>
      <c r="AE46">
        <f t="shared" ca="1" si="3"/>
        <v>0</v>
      </c>
      <c r="AF46">
        <f t="shared" ca="1" si="4"/>
        <v>0</v>
      </c>
      <c r="AG46">
        <f t="shared" ca="1" si="5"/>
        <v>0</v>
      </c>
      <c r="AH46">
        <f t="shared" ca="1" si="6"/>
        <v>0.84013921316064621</v>
      </c>
      <c r="AI46">
        <f t="shared" ca="1" si="7"/>
        <v>0</v>
      </c>
      <c r="AJ46">
        <f t="shared" ca="1" si="8"/>
        <v>7.5265904452375951E-2</v>
      </c>
      <c r="AK46">
        <f t="shared" ca="1" si="9"/>
        <v>0</v>
      </c>
      <c r="AL46">
        <f t="shared" ca="1" si="10"/>
        <v>0</v>
      </c>
      <c r="AM46">
        <f t="shared" ca="1" si="11"/>
        <v>0</v>
      </c>
      <c r="AN46">
        <f t="shared" ca="1" si="12"/>
        <v>0</v>
      </c>
      <c r="AO46">
        <f t="shared" ca="1" si="13"/>
        <v>6.4086979931294211E-2</v>
      </c>
      <c r="AP46">
        <f t="shared" ca="1" si="14"/>
        <v>0</v>
      </c>
      <c r="AQ46">
        <f t="shared" ca="1" si="15"/>
        <v>2.0507902455683652E-2</v>
      </c>
      <c r="AR46">
        <f t="shared" ca="1" si="16"/>
        <v>0</v>
      </c>
      <c r="AS46">
        <f t="shared" ca="1" si="17"/>
        <v>0</v>
      </c>
      <c r="AT46">
        <f t="shared" ca="1" si="18"/>
        <v>0</v>
      </c>
      <c r="AU46">
        <f t="shared" ca="1" si="19"/>
        <v>0</v>
      </c>
      <c r="AV46">
        <f t="shared" ca="1" si="20"/>
        <v>0</v>
      </c>
      <c r="AW46">
        <f t="shared" ca="1" si="21"/>
        <v>0</v>
      </c>
      <c r="AX46">
        <f t="shared" ca="1" si="22"/>
        <v>0</v>
      </c>
      <c r="AY46">
        <f t="shared" ca="1" si="23"/>
        <v>0</v>
      </c>
      <c r="AZ46">
        <f t="shared" ca="1" si="24"/>
        <v>0</v>
      </c>
      <c r="BA46">
        <f t="shared" ca="1" si="25"/>
        <v>0</v>
      </c>
    </row>
    <row r="47" spans="1:53" x14ac:dyDescent="0.3">
      <c r="A47">
        <f>'NWGC - SCENARIOS'!B55</f>
        <v>93</v>
      </c>
      <c r="B47">
        <f>'NWGC - SCENARIOS'!C55</f>
        <v>2069</v>
      </c>
      <c r="C47" s="58">
        <f ca="1">'Yoy WAR OG'!S48</f>
        <v>0</v>
      </c>
      <c r="D47" s="58">
        <f ca="1">'Yoy WAR OG'!Y48</f>
        <v>0</v>
      </c>
      <c r="E47" s="58">
        <f ca="1">'Yoy WAR OG'!AE48</f>
        <v>0</v>
      </c>
      <c r="F47" s="58">
        <f ca="1">'Yoy WAR OG'!AK48</f>
        <v>0</v>
      </c>
      <c r="G47" s="58">
        <f ca="1">'Yoy WAR OG'!AQ48</f>
        <v>855734283.90116632</v>
      </c>
      <c r="H47" s="58">
        <f ca="1">'Yoy WAR OG'!AW48</f>
        <v>0</v>
      </c>
      <c r="I47" s="58">
        <f ca="1">'Yoy WAR OG'!BC48</f>
        <v>84009807.034695745</v>
      </c>
      <c r="J47" s="58">
        <f ca="1">'Yoy WAR OG'!BI48</f>
        <v>0</v>
      </c>
      <c r="K47" s="58">
        <f ca="1">'Yoy WAR OG'!BO48</f>
        <v>0</v>
      </c>
      <c r="L47" s="58">
        <f ca="1">'Yoy WAR OG'!BU48</f>
        <v>0</v>
      </c>
      <c r="M47" s="58">
        <f ca="1">'Yoy WAR OG'!CA48</f>
        <v>0</v>
      </c>
      <c r="N47" s="58">
        <f ca="1">'Yoy WAR OG'!CG48</f>
        <v>68858087.388515532</v>
      </c>
      <c r="O47" s="58">
        <f ca="1">'Yoy WAR OG'!CM48</f>
        <v>0</v>
      </c>
      <c r="P47" s="58">
        <f ca="1">'Yoy WAR OG'!CS48</f>
        <v>22462519.483732045</v>
      </c>
      <c r="Q47" s="58">
        <f ca="1">'Yoy WAR OG'!CY48</f>
        <v>0</v>
      </c>
      <c r="R47" s="58">
        <f ca="1">'Yoy WAR OG'!DE48</f>
        <v>0</v>
      </c>
      <c r="S47" s="58">
        <f ca="1">'Yoy WAR OG'!DK48</f>
        <v>0</v>
      </c>
      <c r="T47" s="58">
        <f ca="1">'Yoy WAR OG'!DQ48</f>
        <v>0</v>
      </c>
      <c r="U47" s="58">
        <f ca="1">'Yoy WAR OG'!DW48</f>
        <v>0</v>
      </c>
      <c r="V47" s="58">
        <f ca="1">'Yoy WAR OG'!EC48</f>
        <v>0</v>
      </c>
      <c r="W47" s="58">
        <f ca="1">'Yoy WAR OG'!EI48</f>
        <v>0</v>
      </c>
      <c r="X47" s="58">
        <f ca="1">'Yoy WAR OG'!EO48</f>
        <v>0</v>
      </c>
      <c r="Y47" s="58">
        <f ca="1">'Yoy WAR OG'!EU48</f>
        <v>0</v>
      </c>
      <c r="Z47" s="58">
        <f ca="1">'Yoy WAR OG'!FA48</f>
        <v>0</v>
      </c>
      <c r="AB47" s="200">
        <f t="shared" ca="1" si="1"/>
        <v>5.4443664711021016E-2</v>
      </c>
      <c r="AD47">
        <f t="shared" ca="1" si="2"/>
        <v>0</v>
      </c>
      <c r="AE47">
        <f t="shared" ca="1" si="3"/>
        <v>0</v>
      </c>
      <c r="AF47">
        <f t="shared" ca="1" si="4"/>
        <v>0</v>
      </c>
      <c r="AG47">
        <f t="shared" ca="1" si="5"/>
        <v>0</v>
      </c>
      <c r="AH47">
        <f t="shared" ca="1" si="6"/>
        <v>0.82995207354138922</v>
      </c>
      <c r="AI47">
        <f t="shared" ca="1" si="7"/>
        <v>0</v>
      </c>
      <c r="AJ47">
        <f t="shared" ca="1" si="8"/>
        <v>8.1478695966691633E-2</v>
      </c>
      <c r="AK47">
        <f t="shared" ca="1" si="9"/>
        <v>0</v>
      </c>
      <c r="AL47">
        <f t="shared" ca="1" si="10"/>
        <v>0</v>
      </c>
      <c r="AM47">
        <f t="shared" ca="1" si="11"/>
        <v>0</v>
      </c>
      <c r="AN47">
        <f t="shared" ca="1" si="12"/>
        <v>0</v>
      </c>
      <c r="AO47">
        <f t="shared" ca="1" si="13"/>
        <v>6.6783478800988533E-2</v>
      </c>
      <c r="AP47">
        <f t="shared" ca="1" si="14"/>
        <v>0</v>
      </c>
      <c r="AQ47">
        <f t="shared" ca="1" si="15"/>
        <v>2.178575169093077E-2</v>
      </c>
      <c r="AR47">
        <f t="shared" ca="1" si="16"/>
        <v>0</v>
      </c>
      <c r="AS47">
        <f t="shared" ca="1" si="17"/>
        <v>0</v>
      </c>
      <c r="AT47">
        <f t="shared" ca="1" si="18"/>
        <v>0</v>
      </c>
      <c r="AU47">
        <f t="shared" ca="1" si="19"/>
        <v>0</v>
      </c>
      <c r="AV47">
        <f t="shared" ca="1" si="20"/>
        <v>0</v>
      </c>
      <c r="AW47">
        <f t="shared" ca="1" si="21"/>
        <v>0</v>
      </c>
      <c r="AX47">
        <f t="shared" ca="1" si="22"/>
        <v>0</v>
      </c>
      <c r="AY47">
        <f t="shared" ca="1" si="23"/>
        <v>0</v>
      </c>
      <c r="AZ47">
        <f t="shared" ca="1" si="24"/>
        <v>0</v>
      </c>
      <c r="BA47">
        <f t="shared" ca="1" si="25"/>
        <v>0</v>
      </c>
    </row>
    <row r="48" spans="1:53" x14ac:dyDescent="0.3">
      <c r="A48">
        <f>'NWGC - SCENARIOS'!B56</f>
        <v>94</v>
      </c>
      <c r="B48">
        <f>'NWGC - SCENARIOS'!C56</f>
        <v>2070</v>
      </c>
      <c r="C48" s="58">
        <f ca="1">'Yoy WAR OG'!S49</f>
        <v>0</v>
      </c>
      <c r="D48" s="58">
        <f ca="1">'Yoy WAR OG'!Y49</f>
        <v>0</v>
      </c>
      <c r="E48" s="58">
        <f ca="1">'Yoy WAR OG'!AE49</f>
        <v>0</v>
      </c>
      <c r="F48" s="58">
        <f ca="1">'Yoy WAR OG'!AK49</f>
        <v>0</v>
      </c>
      <c r="G48" s="58">
        <f ca="1">'Yoy WAR OG'!AQ49</f>
        <v>828422777.844715</v>
      </c>
      <c r="H48" s="58">
        <f ca="1">'Yoy WAR OG'!AW49</f>
        <v>0</v>
      </c>
      <c r="I48" s="58">
        <f ca="1">'Yoy WAR OG'!BC49</f>
        <v>89890493.52712445</v>
      </c>
      <c r="J48" s="58">
        <f ca="1">'Yoy WAR OG'!BI49</f>
        <v>0</v>
      </c>
      <c r="K48" s="58">
        <f ca="1">'Yoy WAR OG'!BO49</f>
        <v>0</v>
      </c>
      <c r="L48" s="58">
        <f ca="1">'Yoy WAR OG'!BU49</f>
        <v>0</v>
      </c>
      <c r="M48" s="58">
        <f ca="1">'Yoy WAR OG'!CA49</f>
        <v>0</v>
      </c>
      <c r="N48" s="58">
        <f ca="1">'Yoy WAR OG'!CG49</f>
        <v>70923830.010170996</v>
      </c>
      <c r="O48" s="58">
        <f ca="1">'Yoy WAR OG'!CM49</f>
        <v>0</v>
      </c>
      <c r="P48" s="58">
        <f ca="1">'Yoy WAR OG'!CS49</f>
        <v>23585645.457918648</v>
      </c>
      <c r="Q48" s="58">
        <f ca="1">'Yoy WAR OG'!CY49</f>
        <v>0</v>
      </c>
      <c r="R48" s="58">
        <f ca="1">'Yoy WAR OG'!DE49</f>
        <v>0</v>
      </c>
      <c r="S48" s="58">
        <f ca="1">'Yoy WAR OG'!DK49</f>
        <v>0</v>
      </c>
      <c r="T48" s="58">
        <f ca="1">'Yoy WAR OG'!DQ49</f>
        <v>0</v>
      </c>
      <c r="U48" s="58">
        <f ca="1">'Yoy WAR OG'!DW49</f>
        <v>0</v>
      </c>
      <c r="V48" s="58">
        <f ca="1">'Yoy WAR OG'!EC49</f>
        <v>0</v>
      </c>
      <c r="W48" s="58">
        <f ca="1">'Yoy WAR OG'!EI49</f>
        <v>0</v>
      </c>
      <c r="X48" s="58">
        <f ca="1">'Yoy WAR OG'!EO49</f>
        <v>0</v>
      </c>
      <c r="Y48" s="58">
        <f ca="1">'Yoy WAR OG'!EU49</f>
        <v>0</v>
      </c>
      <c r="Z48" s="58">
        <f ca="1">'Yoy WAR OG'!FA49</f>
        <v>0</v>
      </c>
      <c r="AB48" s="200">
        <f t="shared" ca="1" si="1"/>
        <v>5.4464203804337773E-2</v>
      </c>
      <c r="AD48">
        <f t="shared" ca="1" si="2"/>
        <v>0</v>
      </c>
      <c r="AE48">
        <f t="shared" ca="1" si="3"/>
        <v>0</v>
      </c>
      <c r="AF48">
        <f t="shared" ca="1" si="4"/>
        <v>0</v>
      </c>
      <c r="AG48">
        <f t="shared" ca="1" si="5"/>
        <v>0</v>
      </c>
      <c r="AH48">
        <f t="shared" ca="1" si="6"/>
        <v>0.81793460941655027</v>
      </c>
      <c r="AI48">
        <f t="shared" ca="1" si="7"/>
        <v>0</v>
      </c>
      <c r="AJ48">
        <f t="shared" ca="1" si="8"/>
        <v>8.8752443413804102E-2</v>
      </c>
      <c r="AK48">
        <f t="shared" ca="1" si="9"/>
        <v>0</v>
      </c>
      <c r="AL48">
        <f t="shared" ca="1" si="10"/>
        <v>0</v>
      </c>
      <c r="AM48">
        <f t="shared" ca="1" si="11"/>
        <v>0</v>
      </c>
      <c r="AN48">
        <f t="shared" ca="1" si="12"/>
        <v>0</v>
      </c>
      <c r="AO48">
        <f t="shared" ca="1" si="13"/>
        <v>7.002590555105305E-2</v>
      </c>
      <c r="AP48">
        <f t="shared" ca="1" si="14"/>
        <v>0</v>
      </c>
      <c r="AQ48">
        <f t="shared" ca="1" si="15"/>
        <v>2.3287041618592543E-2</v>
      </c>
      <c r="AR48">
        <f t="shared" ca="1" si="16"/>
        <v>0</v>
      </c>
      <c r="AS48">
        <f t="shared" ca="1" si="17"/>
        <v>0</v>
      </c>
      <c r="AT48">
        <f t="shared" ca="1" si="18"/>
        <v>0</v>
      </c>
      <c r="AU48">
        <f t="shared" ca="1" si="19"/>
        <v>0</v>
      </c>
      <c r="AV48">
        <f t="shared" ca="1" si="20"/>
        <v>0</v>
      </c>
      <c r="AW48">
        <f t="shared" ca="1" si="21"/>
        <v>0</v>
      </c>
      <c r="AX48">
        <f t="shared" ca="1" si="22"/>
        <v>0</v>
      </c>
      <c r="AY48">
        <f t="shared" ca="1" si="23"/>
        <v>0</v>
      </c>
      <c r="AZ48">
        <f t="shared" ca="1" si="24"/>
        <v>0</v>
      </c>
      <c r="BA48">
        <f t="shared" ca="1" si="25"/>
        <v>0</v>
      </c>
    </row>
    <row r="49" spans="1:53" x14ac:dyDescent="0.3">
      <c r="A49">
        <f>'NWGC - SCENARIOS'!B57</f>
        <v>95</v>
      </c>
      <c r="B49">
        <f>'NWGC - SCENARIOS'!C57</f>
        <v>2071</v>
      </c>
      <c r="C49" s="58">
        <f ca="1">'Yoy WAR OG'!S50</f>
        <v>0</v>
      </c>
      <c r="D49" s="58">
        <f ca="1">'Yoy WAR OG'!Y50</f>
        <v>0</v>
      </c>
      <c r="E49" s="58">
        <f ca="1">'Yoy WAR OG'!AE50</f>
        <v>0</v>
      </c>
      <c r="F49" s="58">
        <f ca="1">'Yoy WAR OG'!AK50</f>
        <v>0</v>
      </c>
      <c r="G49" s="58">
        <f ca="1">'Yoy WAR OG'!AQ50</f>
        <v>793651898.02147758</v>
      </c>
      <c r="H49" s="58">
        <f ca="1">'Yoy WAR OG'!AW50</f>
        <v>0</v>
      </c>
      <c r="I49" s="58">
        <f ca="1">'Yoy WAR OG'!BC50</f>
        <v>96182828.074023172</v>
      </c>
      <c r="J49" s="58">
        <f ca="1">'Yoy WAR OG'!BI50</f>
        <v>0</v>
      </c>
      <c r="K49" s="58">
        <f ca="1">'Yoy WAR OG'!BO50</f>
        <v>0</v>
      </c>
      <c r="L49" s="58">
        <f ca="1">'Yoy WAR OG'!BU50</f>
        <v>0</v>
      </c>
      <c r="M49" s="58">
        <f ca="1">'Yoy WAR OG'!CA50</f>
        <v>0</v>
      </c>
      <c r="N49" s="58">
        <f ca="1">'Yoy WAR OG'!CG50</f>
        <v>73051544.910476133</v>
      </c>
      <c r="O49" s="58">
        <f ca="1">'Yoy WAR OG'!CM50</f>
        <v>0</v>
      </c>
      <c r="P49" s="58">
        <f ca="1">'Yoy WAR OG'!CS50</f>
        <v>24764927.73081458</v>
      </c>
      <c r="Q49" s="58">
        <f ca="1">'Yoy WAR OG'!CY50</f>
        <v>0</v>
      </c>
      <c r="R49" s="58">
        <f ca="1">'Yoy WAR OG'!DE50</f>
        <v>0</v>
      </c>
      <c r="S49" s="58">
        <f ca="1">'Yoy WAR OG'!DK50</f>
        <v>0</v>
      </c>
      <c r="T49" s="58">
        <f ca="1">'Yoy WAR OG'!DQ50</f>
        <v>0</v>
      </c>
      <c r="U49" s="58">
        <f ca="1">'Yoy WAR OG'!DW50</f>
        <v>0</v>
      </c>
      <c r="V49" s="58">
        <f ca="1">'Yoy WAR OG'!EC50</f>
        <v>0</v>
      </c>
      <c r="W49" s="58">
        <f ca="1">'Yoy WAR OG'!EI50</f>
        <v>0</v>
      </c>
      <c r="X49" s="58">
        <f ca="1">'Yoy WAR OG'!EO50</f>
        <v>0</v>
      </c>
      <c r="Y49" s="58">
        <f ca="1">'Yoy WAR OG'!EU50</f>
        <v>0</v>
      </c>
      <c r="Z49" s="58">
        <f ca="1">'Yoy WAR OG'!FA50</f>
        <v>0</v>
      </c>
      <c r="AB49" s="200">
        <f t="shared" ca="1" si="1"/>
        <v>5.4486285400195379E-2</v>
      </c>
      <c r="AD49">
        <f t="shared" ca="1" si="2"/>
        <v>0</v>
      </c>
      <c r="AE49">
        <f t="shared" ca="1" si="3"/>
        <v>0</v>
      </c>
      <c r="AF49">
        <f t="shared" ca="1" si="4"/>
        <v>0</v>
      </c>
      <c r="AG49">
        <f t="shared" ca="1" si="5"/>
        <v>0</v>
      </c>
      <c r="AH49">
        <f t="shared" ca="1" si="6"/>
        <v>0.8035750870717927</v>
      </c>
      <c r="AI49">
        <f t="shared" ca="1" si="7"/>
        <v>0</v>
      </c>
      <c r="AJ49">
        <f t="shared" ca="1" si="8"/>
        <v>9.7385421287435561E-2</v>
      </c>
      <c r="AK49">
        <f t="shared" ca="1" si="9"/>
        <v>0</v>
      </c>
      <c r="AL49">
        <f t="shared" ca="1" si="10"/>
        <v>0</v>
      </c>
      <c r="AM49">
        <f t="shared" ca="1" si="11"/>
        <v>0</v>
      </c>
      <c r="AN49">
        <f t="shared" ca="1" si="12"/>
        <v>0</v>
      </c>
      <c r="AO49">
        <f t="shared" ca="1" si="13"/>
        <v>7.3964923045614958E-2</v>
      </c>
      <c r="AP49">
        <f t="shared" ca="1" si="14"/>
        <v>0</v>
      </c>
      <c r="AQ49">
        <f t="shared" ca="1" si="15"/>
        <v>2.5074568595156863E-2</v>
      </c>
      <c r="AR49">
        <f t="shared" ca="1" si="16"/>
        <v>0</v>
      </c>
      <c r="AS49">
        <f t="shared" ca="1" si="17"/>
        <v>0</v>
      </c>
      <c r="AT49">
        <f t="shared" ca="1" si="18"/>
        <v>0</v>
      </c>
      <c r="AU49">
        <f t="shared" ca="1" si="19"/>
        <v>0</v>
      </c>
      <c r="AV49">
        <f t="shared" ca="1" si="20"/>
        <v>0</v>
      </c>
      <c r="AW49">
        <f t="shared" ca="1" si="21"/>
        <v>0</v>
      </c>
      <c r="AX49">
        <f t="shared" ca="1" si="22"/>
        <v>0</v>
      </c>
      <c r="AY49">
        <f t="shared" ca="1" si="23"/>
        <v>0</v>
      </c>
      <c r="AZ49">
        <f t="shared" ca="1" si="24"/>
        <v>0</v>
      </c>
      <c r="BA49">
        <f t="shared" ca="1" si="25"/>
        <v>0</v>
      </c>
    </row>
    <row r="50" spans="1:53" x14ac:dyDescent="0.3">
      <c r="A50">
        <f>'NWGC - SCENARIOS'!B58</f>
        <v>96</v>
      </c>
      <c r="B50">
        <f>'NWGC - SCENARIOS'!C58</f>
        <v>2072</v>
      </c>
      <c r="C50" s="58">
        <f ca="1">'Yoy WAR OG'!S51</f>
        <v>0</v>
      </c>
      <c r="D50" s="58">
        <f ca="1">'Yoy WAR OG'!Y51</f>
        <v>0</v>
      </c>
      <c r="E50" s="58">
        <f ca="1">'Yoy WAR OG'!AE51</f>
        <v>0</v>
      </c>
      <c r="F50" s="58">
        <f ca="1">'Yoy WAR OG'!AK51</f>
        <v>0</v>
      </c>
      <c r="G50" s="58">
        <f ca="1">'Yoy WAR OG'!AQ51</f>
        <v>750534799.59958637</v>
      </c>
      <c r="H50" s="58">
        <f ca="1">'Yoy WAR OG'!AW51</f>
        <v>0</v>
      </c>
      <c r="I50" s="58">
        <f ca="1">'Yoy WAR OG'!BC51</f>
        <v>102915626.03920481</v>
      </c>
      <c r="J50" s="58">
        <f ca="1">'Yoy WAR OG'!BI51</f>
        <v>0</v>
      </c>
      <c r="K50" s="58">
        <f ca="1">'Yoy WAR OG'!BO51</f>
        <v>0</v>
      </c>
      <c r="L50" s="58">
        <f ca="1">'Yoy WAR OG'!BU51</f>
        <v>0</v>
      </c>
      <c r="M50" s="58">
        <f ca="1">'Yoy WAR OG'!CA51</f>
        <v>0</v>
      </c>
      <c r="N50" s="58">
        <f ca="1">'Yoy WAR OG'!CG51</f>
        <v>75243091.257790416</v>
      </c>
      <c r="O50" s="58">
        <f ca="1">'Yoy WAR OG'!CM51</f>
        <v>0</v>
      </c>
      <c r="P50" s="58">
        <f ca="1">'Yoy WAR OG'!CS51</f>
        <v>26003174.117355309</v>
      </c>
      <c r="Q50" s="58">
        <f ca="1">'Yoy WAR OG'!CY51</f>
        <v>0</v>
      </c>
      <c r="R50" s="58">
        <f ca="1">'Yoy WAR OG'!DE51</f>
        <v>0</v>
      </c>
      <c r="S50" s="58">
        <f ca="1">'Yoy WAR OG'!DK51</f>
        <v>0</v>
      </c>
      <c r="T50" s="58">
        <f ca="1">'Yoy WAR OG'!DQ51</f>
        <v>0</v>
      </c>
      <c r="U50" s="58">
        <f ca="1">'Yoy WAR OG'!DW51</f>
        <v>0</v>
      </c>
      <c r="V50" s="58">
        <f ca="1">'Yoy WAR OG'!EC51</f>
        <v>0</v>
      </c>
      <c r="W50" s="58">
        <f ca="1">'Yoy WAR OG'!EI51</f>
        <v>0</v>
      </c>
      <c r="X50" s="58">
        <f ca="1">'Yoy WAR OG'!EO51</f>
        <v>0</v>
      </c>
      <c r="Y50" s="58">
        <f ca="1">'Yoy WAR OG'!EU51</f>
        <v>0</v>
      </c>
      <c r="Z50" s="58">
        <f ca="1">'Yoy WAR OG'!FA51</f>
        <v>0</v>
      </c>
      <c r="AB50" s="200">
        <f t="shared" ca="1" si="1"/>
        <v>5.451046362070544E-2</v>
      </c>
      <c r="AD50">
        <f t="shared" ca="1" si="2"/>
        <v>0</v>
      </c>
      <c r="AE50">
        <f t="shared" ca="1" si="3"/>
        <v>0</v>
      </c>
      <c r="AF50">
        <f t="shared" ca="1" si="4"/>
        <v>0</v>
      </c>
      <c r="AG50">
        <f t="shared" ca="1" si="5"/>
        <v>0</v>
      </c>
      <c r="AH50">
        <f t="shared" ca="1" si="6"/>
        <v>0.78614999576722089</v>
      </c>
      <c r="AI50">
        <f t="shared" ca="1" si="7"/>
        <v>0</v>
      </c>
      <c r="AJ50">
        <f t="shared" ca="1" si="8"/>
        <v>0.10779929061019695</v>
      </c>
      <c r="AK50">
        <f t="shared" ca="1" si="9"/>
        <v>0</v>
      </c>
      <c r="AL50">
        <f t="shared" ca="1" si="10"/>
        <v>0</v>
      </c>
      <c r="AM50">
        <f t="shared" ca="1" si="11"/>
        <v>0</v>
      </c>
      <c r="AN50">
        <f t="shared" ca="1" si="12"/>
        <v>0</v>
      </c>
      <c r="AO50">
        <f t="shared" ca="1" si="13"/>
        <v>7.8813608516730457E-2</v>
      </c>
      <c r="AP50">
        <f t="shared" ca="1" si="14"/>
        <v>0</v>
      </c>
      <c r="AQ50">
        <f t="shared" ca="1" si="15"/>
        <v>2.7237105105851579E-2</v>
      </c>
      <c r="AR50">
        <f t="shared" ca="1" si="16"/>
        <v>0</v>
      </c>
      <c r="AS50">
        <f t="shared" ca="1" si="17"/>
        <v>0</v>
      </c>
      <c r="AT50">
        <f t="shared" ca="1" si="18"/>
        <v>0</v>
      </c>
      <c r="AU50">
        <f t="shared" ca="1" si="19"/>
        <v>0</v>
      </c>
      <c r="AV50">
        <f t="shared" ca="1" si="20"/>
        <v>0</v>
      </c>
      <c r="AW50">
        <f t="shared" ca="1" si="21"/>
        <v>0</v>
      </c>
      <c r="AX50">
        <f t="shared" ca="1" si="22"/>
        <v>0</v>
      </c>
      <c r="AY50">
        <f t="shared" ca="1" si="23"/>
        <v>0</v>
      </c>
      <c r="AZ50">
        <f t="shared" ca="1" si="24"/>
        <v>0</v>
      </c>
      <c r="BA50">
        <f t="shared" ca="1" si="25"/>
        <v>0</v>
      </c>
    </row>
    <row r="51" spans="1:53" x14ac:dyDescent="0.3">
      <c r="A51">
        <f>'NWGC - SCENARIOS'!B59</f>
        <v>97</v>
      </c>
      <c r="B51">
        <f>'NWGC - SCENARIOS'!C59</f>
        <v>2073</v>
      </c>
      <c r="C51" s="58">
        <f ca="1">'Yoy WAR OG'!S52</f>
        <v>0</v>
      </c>
      <c r="D51" s="58">
        <f ca="1">'Yoy WAR OG'!Y52</f>
        <v>0</v>
      </c>
      <c r="E51" s="58">
        <f ca="1">'Yoy WAR OG'!AE52</f>
        <v>0</v>
      </c>
      <c r="F51" s="58">
        <f ca="1">'Yoy WAR OG'!AK52</f>
        <v>0</v>
      </c>
      <c r="G51" s="58">
        <f ca="1">'Yoy WAR OG'!AQ52</f>
        <v>698097734.93944538</v>
      </c>
      <c r="H51" s="58">
        <f ca="1">'Yoy WAR OG'!AW52</f>
        <v>0</v>
      </c>
      <c r="I51" s="58">
        <f ca="1">'Yoy WAR OG'!BC52</f>
        <v>110119719.86194915</v>
      </c>
      <c r="J51" s="58">
        <f ca="1">'Yoy WAR OG'!BI52</f>
        <v>0</v>
      </c>
      <c r="K51" s="58">
        <f ca="1">'Yoy WAR OG'!BO52</f>
        <v>0</v>
      </c>
      <c r="L51" s="58">
        <f ca="1">'Yoy WAR OG'!BU52</f>
        <v>0</v>
      </c>
      <c r="M51" s="58">
        <f ca="1">'Yoy WAR OG'!CA52</f>
        <v>0</v>
      </c>
      <c r="N51" s="58">
        <f ca="1">'Yoy WAR OG'!CG52</f>
        <v>77500383.995524138</v>
      </c>
      <c r="O51" s="58">
        <f ca="1">'Yoy WAR OG'!CM52</f>
        <v>0</v>
      </c>
      <c r="P51" s="58">
        <f ca="1">'Yoy WAR OG'!CS52</f>
        <v>27303332.823223077</v>
      </c>
      <c r="Q51" s="58">
        <f ca="1">'Yoy WAR OG'!CY52</f>
        <v>0</v>
      </c>
      <c r="R51" s="58">
        <f ca="1">'Yoy WAR OG'!DE52</f>
        <v>0</v>
      </c>
      <c r="S51" s="58">
        <f ca="1">'Yoy WAR OG'!DK52</f>
        <v>0</v>
      </c>
      <c r="T51" s="58">
        <f ca="1">'Yoy WAR OG'!DQ52</f>
        <v>0</v>
      </c>
      <c r="U51" s="58">
        <f ca="1">'Yoy WAR OG'!DW52</f>
        <v>0</v>
      </c>
      <c r="V51" s="58">
        <f ca="1">'Yoy WAR OG'!EC52</f>
        <v>0</v>
      </c>
      <c r="W51" s="58">
        <f ca="1">'Yoy WAR OG'!EI52</f>
        <v>0</v>
      </c>
      <c r="X51" s="58">
        <f ca="1">'Yoy WAR OG'!EO52</f>
        <v>0</v>
      </c>
      <c r="Y51" s="58">
        <f ca="1">'Yoy WAR OG'!EU52</f>
        <v>0</v>
      </c>
      <c r="Z51" s="58">
        <f ca="1">'Yoy WAR OG'!FA52</f>
        <v>0</v>
      </c>
      <c r="AB51" s="200">
        <f t="shared" ca="1" si="1"/>
        <v>5.4537545810327992E-2</v>
      </c>
      <c r="AD51">
        <f t="shared" ca="1" si="2"/>
        <v>0</v>
      </c>
      <c r="AE51">
        <f t="shared" ca="1" si="3"/>
        <v>0</v>
      </c>
      <c r="AF51">
        <f t="shared" ca="1" si="4"/>
        <v>0</v>
      </c>
      <c r="AG51">
        <f t="shared" ca="1" si="5"/>
        <v>0</v>
      </c>
      <c r="AH51">
        <f t="shared" ca="1" si="6"/>
        <v>0.76460191355769103</v>
      </c>
      <c r="AI51">
        <f t="shared" ca="1" si="7"/>
        <v>0</v>
      </c>
      <c r="AJ51">
        <f t="shared" ca="1" si="8"/>
        <v>0.12061025886896296</v>
      </c>
      <c r="AK51">
        <f t="shared" ca="1" si="9"/>
        <v>0</v>
      </c>
      <c r="AL51">
        <f t="shared" ca="1" si="10"/>
        <v>0</v>
      </c>
      <c r="AM51">
        <f t="shared" ca="1" si="11"/>
        <v>0</v>
      </c>
      <c r="AN51">
        <f t="shared" ca="1" si="12"/>
        <v>0</v>
      </c>
      <c r="AO51">
        <f t="shared" ca="1" si="13"/>
        <v>8.4883446741986196E-2</v>
      </c>
      <c r="AP51">
        <f t="shared" ca="1" si="14"/>
        <v>0</v>
      </c>
      <c r="AQ51">
        <f t="shared" ca="1" si="15"/>
        <v>2.9904380831359847E-2</v>
      </c>
      <c r="AR51">
        <f t="shared" ca="1" si="16"/>
        <v>0</v>
      </c>
      <c r="AS51">
        <f t="shared" ca="1" si="17"/>
        <v>0</v>
      </c>
      <c r="AT51">
        <f t="shared" ca="1" si="18"/>
        <v>0</v>
      </c>
      <c r="AU51">
        <f t="shared" ca="1" si="19"/>
        <v>0</v>
      </c>
      <c r="AV51">
        <f t="shared" ca="1" si="20"/>
        <v>0</v>
      </c>
      <c r="AW51">
        <f t="shared" ca="1" si="21"/>
        <v>0</v>
      </c>
      <c r="AX51">
        <f t="shared" ca="1" si="22"/>
        <v>0</v>
      </c>
      <c r="AY51">
        <f t="shared" ca="1" si="23"/>
        <v>0</v>
      </c>
      <c r="AZ51">
        <f t="shared" ca="1" si="24"/>
        <v>0</v>
      </c>
      <c r="BA51">
        <f t="shared" ca="1" si="25"/>
        <v>0</v>
      </c>
    </row>
    <row r="52" spans="1:53" x14ac:dyDescent="0.3">
      <c r="A52">
        <f>'NWGC - SCENARIOS'!B60</f>
        <v>98</v>
      </c>
      <c r="B52">
        <f>'NWGC - SCENARIOS'!C60</f>
        <v>2074</v>
      </c>
      <c r="C52" s="58">
        <f ca="1">'Yoy WAR OG'!S53</f>
        <v>0</v>
      </c>
      <c r="D52" s="58">
        <f ca="1">'Yoy WAR OG'!Y53</f>
        <v>0</v>
      </c>
      <c r="E52" s="58">
        <f ca="1">'Yoy WAR OG'!AE53</f>
        <v>0</v>
      </c>
      <c r="F52" s="58">
        <f ca="1">'Yoy WAR OG'!AK53</f>
        <v>0</v>
      </c>
      <c r="G52" s="58">
        <f ca="1">'Yoy WAR OG'!AQ53</f>
        <v>635272223.83194721</v>
      </c>
      <c r="H52" s="58">
        <f ca="1">'Yoy WAR OG'!AW53</f>
        <v>0</v>
      </c>
      <c r="I52" s="58">
        <f ca="1">'Yoy WAR OG'!BC53</f>
        <v>117828100.2522856</v>
      </c>
      <c r="J52" s="58">
        <f ca="1">'Yoy WAR OG'!BI53</f>
        <v>0</v>
      </c>
      <c r="K52" s="58">
        <f ca="1">'Yoy WAR OG'!BO53</f>
        <v>0</v>
      </c>
      <c r="L52" s="58">
        <f ca="1">'Yoy WAR OG'!BU53</f>
        <v>0</v>
      </c>
      <c r="M52" s="58">
        <f ca="1">'Yoy WAR OG'!CA53</f>
        <v>0</v>
      </c>
      <c r="N52" s="58">
        <f ca="1">'Yoy WAR OG'!CG53</f>
        <v>79825395.51538986</v>
      </c>
      <c r="O52" s="58">
        <f ca="1">'Yoy WAR OG'!CM53</f>
        <v>0</v>
      </c>
      <c r="P52" s="58">
        <f ca="1">'Yoy WAR OG'!CS53</f>
        <v>28668499.464384232</v>
      </c>
      <c r="Q52" s="58">
        <f ca="1">'Yoy WAR OG'!CY53</f>
        <v>0</v>
      </c>
      <c r="R52" s="58">
        <f ca="1">'Yoy WAR OG'!DE53</f>
        <v>0</v>
      </c>
      <c r="S52" s="58">
        <f ca="1">'Yoy WAR OG'!DK53</f>
        <v>0</v>
      </c>
      <c r="T52" s="58">
        <f ca="1">'Yoy WAR OG'!DQ53</f>
        <v>0</v>
      </c>
      <c r="U52" s="58">
        <f ca="1">'Yoy WAR OG'!DW53</f>
        <v>0</v>
      </c>
      <c r="V52" s="58">
        <f ca="1">'Yoy WAR OG'!EC53</f>
        <v>0</v>
      </c>
      <c r="W52" s="58">
        <f ca="1">'Yoy WAR OG'!EI53</f>
        <v>0</v>
      </c>
      <c r="X52" s="58">
        <f ca="1">'Yoy WAR OG'!EO53</f>
        <v>0</v>
      </c>
      <c r="Y52" s="58">
        <f ca="1">'Yoy WAR OG'!EU53</f>
        <v>0</v>
      </c>
      <c r="Z52" s="58">
        <f ca="1">'Yoy WAR OG'!FA53</f>
        <v>0</v>
      </c>
      <c r="AB52" s="200">
        <f t="shared" ca="1" si="1"/>
        <v>5.4568757689871662E-2</v>
      </c>
      <c r="AD52">
        <f t="shared" ca="1" si="2"/>
        <v>0</v>
      </c>
      <c r="AE52">
        <f t="shared" ca="1" si="3"/>
        <v>0</v>
      </c>
      <c r="AF52">
        <f t="shared" ca="1" si="4"/>
        <v>0</v>
      </c>
      <c r="AG52">
        <f t="shared" ca="1" si="5"/>
        <v>0</v>
      </c>
      <c r="AH52">
        <f t="shared" ca="1" si="6"/>
        <v>0.73732182711494432</v>
      </c>
      <c r="AI52">
        <f t="shared" ca="1" si="7"/>
        <v>0</v>
      </c>
      <c r="AJ52">
        <f t="shared" ca="1" si="8"/>
        <v>0.13675590857641567</v>
      </c>
      <c r="AK52">
        <f t="shared" ca="1" si="9"/>
        <v>0</v>
      </c>
      <c r="AL52">
        <f t="shared" ca="1" si="10"/>
        <v>0</v>
      </c>
      <c r="AM52">
        <f t="shared" ca="1" si="11"/>
        <v>0</v>
      </c>
      <c r="AN52">
        <f t="shared" ca="1" si="12"/>
        <v>0</v>
      </c>
      <c r="AO52">
        <f t="shared" ca="1" si="13"/>
        <v>9.2648480861568683E-2</v>
      </c>
      <c r="AP52">
        <f t="shared" ca="1" si="14"/>
        <v>0</v>
      </c>
      <c r="AQ52">
        <f t="shared" ca="1" si="15"/>
        <v>3.3273783447071249E-2</v>
      </c>
      <c r="AR52">
        <f t="shared" ca="1" si="16"/>
        <v>0</v>
      </c>
      <c r="AS52">
        <f t="shared" ca="1" si="17"/>
        <v>0</v>
      </c>
      <c r="AT52">
        <f t="shared" ca="1" si="18"/>
        <v>0</v>
      </c>
      <c r="AU52">
        <f t="shared" ca="1" si="19"/>
        <v>0</v>
      </c>
      <c r="AV52">
        <f t="shared" ca="1" si="20"/>
        <v>0</v>
      </c>
      <c r="AW52">
        <f t="shared" ca="1" si="21"/>
        <v>0</v>
      </c>
      <c r="AX52">
        <f t="shared" ca="1" si="22"/>
        <v>0</v>
      </c>
      <c r="AY52">
        <f t="shared" ca="1" si="23"/>
        <v>0</v>
      </c>
      <c r="AZ52">
        <f t="shared" ca="1" si="24"/>
        <v>0</v>
      </c>
      <c r="BA52">
        <f t="shared" ca="1" si="25"/>
        <v>0</v>
      </c>
    </row>
    <row r="53" spans="1:53" x14ac:dyDescent="0.3">
      <c r="A53">
        <f>'NWGC - SCENARIOS'!B61</f>
        <v>99</v>
      </c>
      <c r="B53">
        <f>'NWGC - SCENARIOS'!C61</f>
        <v>2075</v>
      </c>
      <c r="C53" s="58">
        <f ca="1">'Yoy WAR OG'!S54</f>
        <v>0</v>
      </c>
      <c r="D53" s="58">
        <f ca="1">'Yoy WAR OG'!Y54</f>
        <v>0</v>
      </c>
      <c r="E53" s="58">
        <f ca="1">'Yoy WAR OG'!AE54</f>
        <v>0</v>
      </c>
      <c r="F53" s="58">
        <f ca="1">'Yoy WAR OG'!AK54</f>
        <v>0</v>
      </c>
      <c r="G53" s="58">
        <f ca="1">'Yoy WAR OG'!AQ54</f>
        <v>560886549.09120321</v>
      </c>
      <c r="H53" s="58">
        <f ca="1">'Yoy WAR OG'!AW54</f>
        <v>0</v>
      </c>
      <c r="I53" s="58">
        <f ca="1">'Yoy WAR OG'!BC54</f>
        <v>126076067.26994559</v>
      </c>
      <c r="J53" s="58">
        <f ca="1">'Yoy WAR OG'!BI54</f>
        <v>0</v>
      </c>
      <c r="K53" s="58">
        <f ca="1">'Yoy WAR OG'!BO54</f>
        <v>0</v>
      </c>
      <c r="L53" s="58">
        <f ca="1">'Yoy WAR OG'!BU54</f>
        <v>0</v>
      </c>
      <c r="M53" s="58">
        <f ca="1">'Yoy WAR OG'!CA54</f>
        <v>0</v>
      </c>
      <c r="N53" s="58">
        <f ca="1">'Yoy WAR OG'!CG54</f>
        <v>82220157.380851552</v>
      </c>
      <c r="O53" s="58">
        <f ca="1">'Yoy WAR OG'!CM54</f>
        <v>0</v>
      </c>
      <c r="P53" s="58">
        <f ca="1">'Yoy WAR OG'!CS54</f>
        <v>30101924.437603444</v>
      </c>
      <c r="Q53" s="58">
        <f ca="1">'Yoy WAR OG'!CY54</f>
        <v>0</v>
      </c>
      <c r="R53" s="58">
        <f ca="1">'Yoy WAR OG'!DE54</f>
        <v>0</v>
      </c>
      <c r="S53" s="58">
        <f ca="1">'Yoy WAR OG'!DK54</f>
        <v>0</v>
      </c>
      <c r="T53" s="58">
        <f ca="1">'Yoy WAR OG'!DQ54</f>
        <v>0</v>
      </c>
      <c r="U53" s="58">
        <f ca="1">'Yoy WAR OG'!DW54</f>
        <v>0</v>
      </c>
      <c r="V53" s="58">
        <f ca="1">'Yoy WAR OG'!EC54</f>
        <v>0</v>
      </c>
      <c r="W53" s="58">
        <f ca="1">'Yoy WAR OG'!EI54</f>
        <v>0</v>
      </c>
      <c r="X53" s="58">
        <f ca="1">'Yoy WAR OG'!EO54</f>
        <v>0</v>
      </c>
      <c r="Y53" s="58">
        <f ca="1">'Yoy WAR OG'!EU54</f>
        <v>0</v>
      </c>
      <c r="Z53" s="58">
        <f ca="1">'Yoy WAR OG'!FA54</f>
        <v>0</v>
      </c>
      <c r="AB53" s="200">
        <f t="shared" ca="1" si="1"/>
        <v>5.4606057080315379E-2</v>
      </c>
      <c r="AD53">
        <f t="shared" ca="1" si="2"/>
        <v>0</v>
      </c>
      <c r="AE53">
        <f t="shared" ca="1" si="3"/>
        <v>0</v>
      </c>
      <c r="AF53">
        <f t="shared" ca="1" si="4"/>
        <v>0</v>
      </c>
      <c r="AG53">
        <f t="shared" ca="1" si="5"/>
        <v>0</v>
      </c>
      <c r="AH53">
        <f t="shared" ca="1" si="6"/>
        <v>0.7017356273285853</v>
      </c>
      <c r="AI53">
        <f t="shared" ca="1" si="7"/>
        <v>0</v>
      </c>
      <c r="AJ53">
        <f t="shared" ca="1" si="8"/>
        <v>0.15773612025488268</v>
      </c>
      <c r="AK53">
        <f t="shared" ca="1" si="9"/>
        <v>0</v>
      </c>
      <c r="AL53">
        <f t="shared" ca="1" si="10"/>
        <v>0</v>
      </c>
      <c r="AM53">
        <f t="shared" ca="1" si="11"/>
        <v>0</v>
      </c>
      <c r="AN53">
        <f t="shared" ca="1" si="12"/>
        <v>0</v>
      </c>
      <c r="AO53">
        <f t="shared" ca="1" si="13"/>
        <v>0.10286717307126055</v>
      </c>
      <c r="AP53">
        <f t="shared" ca="1" si="14"/>
        <v>0</v>
      </c>
      <c r="AQ53">
        <f t="shared" ca="1" si="15"/>
        <v>3.7661079345271499E-2</v>
      </c>
      <c r="AR53">
        <f t="shared" ca="1" si="16"/>
        <v>0</v>
      </c>
      <c r="AS53">
        <f t="shared" ca="1" si="17"/>
        <v>0</v>
      </c>
      <c r="AT53">
        <f t="shared" ca="1" si="18"/>
        <v>0</v>
      </c>
      <c r="AU53">
        <f t="shared" ca="1" si="19"/>
        <v>0</v>
      </c>
      <c r="AV53">
        <f t="shared" ca="1" si="20"/>
        <v>0</v>
      </c>
      <c r="AW53">
        <f t="shared" ca="1" si="21"/>
        <v>0</v>
      </c>
      <c r="AX53">
        <f t="shared" ca="1" si="22"/>
        <v>0</v>
      </c>
      <c r="AY53">
        <f t="shared" ca="1" si="23"/>
        <v>0</v>
      </c>
      <c r="AZ53">
        <f t="shared" ca="1" si="24"/>
        <v>0</v>
      </c>
      <c r="BA53">
        <f t="shared" ca="1" si="25"/>
        <v>0</v>
      </c>
    </row>
    <row r="54" spans="1:53" x14ac:dyDescent="0.3">
      <c r="A54">
        <f>'NWGC - SCENARIOS'!B62</f>
        <v>100</v>
      </c>
      <c r="B54">
        <f>'NWGC - SCENARIOS'!C62</f>
        <v>2076</v>
      </c>
      <c r="C54" s="58">
        <f ca="1">'Yoy WAR OG'!S55</f>
        <v>0</v>
      </c>
      <c r="D54" s="58">
        <f ca="1">'Yoy WAR OG'!Y55</f>
        <v>0</v>
      </c>
      <c r="E54" s="58">
        <f ca="1">'Yoy WAR OG'!AE55</f>
        <v>0</v>
      </c>
      <c r="F54" s="58">
        <f ca="1">'Yoy WAR OG'!AK55</f>
        <v>0</v>
      </c>
      <c r="G54" s="58">
        <f ca="1">'Yoy WAR OG'!AQ55</f>
        <v>473656520.87559819</v>
      </c>
      <c r="H54" s="58">
        <f ca="1">'Yoy WAR OG'!AW55</f>
        <v>0</v>
      </c>
      <c r="I54" s="58">
        <f ca="1">'Yoy WAR OG'!BC55</f>
        <v>134901391.97884178</v>
      </c>
      <c r="J54" s="58">
        <f ca="1">'Yoy WAR OG'!BI55</f>
        <v>0</v>
      </c>
      <c r="K54" s="58">
        <f ca="1">'Yoy WAR OG'!BO55</f>
        <v>0</v>
      </c>
      <c r="L54" s="58">
        <f ca="1">'Yoy WAR OG'!BU55</f>
        <v>0</v>
      </c>
      <c r="M54" s="58">
        <f ca="1">'Yoy WAR OG'!CA55</f>
        <v>0</v>
      </c>
      <c r="N54" s="58">
        <f ca="1">'Yoy WAR OG'!CG55</f>
        <v>84686762.1022771</v>
      </c>
      <c r="O54" s="58">
        <f ca="1">'Yoy WAR OG'!CM55</f>
        <v>0</v>
      </c>
      <c r="P54" s="58">
        <f ca="1">'Yoy WAR OG'!CS55</f>
        <v>31607020.659483619</v>
      </c>
      <c r="Q54" s="58">
        <f ca="1">'Yoy WAR OG'!CY55</f>
        <v>0</v>
      </c>
      <c r="R54" s="58">
        <f ca="1">'Yoy WAR OG'!DE55</f>
        <v>0</v>
      </c>
      <c r="S54" s="58">
        <f ca="1">'Yoy WAR OG'!DK55</f>
        <v>0</v>
      </c>
      <c r="T54" s="58">
        <f ca="1">'Yoy WAR OG'!DQ55</f>
        <v>0</v>
      </c>
      <c r="U54" s="58">
        <f ca="1">'Yoy WAR OG'!DW55</f>
        <v>0</v>
      </c>
      <c r="V54" s="58">
        <f ca="1">'Yoy WAR OG'!EC55</f>
        <v>0</v>
      </c>
      <c r="W54" s="58">
        <f ca="1">'Yoy WAR OG'!EI55</f>
        <v>0</v>
      </c>
      <c r="X54" s="58">
        <f ca="1">'Yoy WAR OG'!EO55</f>
        <v>0</v>
      </c>
      <c r="Y54" s="58">
        <f ca="1">'Yoy WAR OG'!EU55</f>
        <v>0</v>
      </c>
      <c r="Z54" s="58">
        <f ca="1">'Yoy WAR OG'!FA55</f>
        <v>0</v>
      </c>
      <c r="AB54" s="200">
        <f t="shared" ca="1" si="1"/>
        <v>5.4652779626930777E-2</v>
      </c>
      <c r="AD54">
        <f t="shared" ca="1" si="2"/>
        <v>0</v>
      </c>
      <c r="AE54">
        <f t="shared" ca="1" si="3"/>
        <v>0</v>
      </c>
      <c r="AF54">
        <f t="shared" ca="1" si="4"/>
        <v>0</v>
      </c>
      <c r="AG54">
        <f t="shared" ca="1" si="5"/>
        <v>0</v>
      </c>
      <c r="AH54">
        <f t="shared" ca="1" si="6"/>
        <v>0.65345300802937356</v>
      </c>
      <c r="AI54">
        <f t="shared" ca="1" si="7"/>
        <v>0</v>
      </c>
      <c r="AJ54">
        <f t="shared" ca="1" si="8"/>
        <v>0.18610895552111706</v>
      </c>
      <c r="AK54">
        <f t="shared" ca="1" si="9"/>
        <v>0</v>
      </c>
      <c r="AL54">
        <f t="shared" ca="1" si="10"/>
        <v>0</v>
      </c>
      <c r="AM54">
        <f t="shared" ca="1" si="11"/>
        <v>0</v>
      </c>
      <c r="AN54">
        <f t="shared" ca="1" si="12"/>
        <v>0</v>
      </c>
      <c r="AO54">
        <f t="shared" ca="1" si="13"/>
        <v>0.11683322618192178</v>
      </c>
      <c r="AP54">
        <f t="shared" ca="1" si="14"/>
        <v>0</v>
      </c>
      <c r="AQ54">
        <f t="shared" ca="1" si="15"/>
        <v>4.360481026758764E-2</v>
      </c>
      <c r="AR54">
        <f t="shared" ca="1" si="16"/>
        <v>0</v>
      </c>
      <c r="AS54">
        <f t="shared" ca="1" si="17"/>
        <v>0</v>
      </c>
      <c r="AT54">
        <f t="shared" ca="1" si="18"/>
        <v>0</v>
      </c>
      <c r="AU54">
        <f t="shared" ca="1" si="19"/>
        <v>0</v>
      </c>
      <c r="AV54">
        <f t="shared" ca="1" si="20"/>
        <v>0</v>
      </c>
      <c r="AW54">
        <f t="shared" ca="1" si="21"/>
        <v>0</v>
      </c>
      <c r="AX54">
        <f t="shared" ca="1" si="22"/>
        <v>0</v>
      </c>
      <c r="AY54">
        <f t="shared" ca="1" si="23"/>
        <v>0</v>
      </c>
      <c r="AZ54">
        <f t="shared" ca="1" si="24"/>
        <v>0</v>
      </c>
      <c r="BA54">
        <f t="shared" ca="1" si="25"/>
        <v>0</v>
      </c>
    </row>
    <row r="55" spans="1:53" x14ac:dyDescent="0.3">
      <c r="A55">
        <f>'NWGC - SCENARIOS'!B63</f>
        <v>101</v>
      </c>
      <c r="B55">
        <f>'NWGC - SCENARIOS'!C63</f>
        <v>2077</v>
      </c>
      <c r="C55" s="58">
        <f ca="1">'Yoy WAR OG'!S56</f>
        <v>0</v>
      </c>
      <c r="D55" s="58">
        <f ca="1">'Yoy WAR OG'!Y56</f>
        <v>0</v>
      </c>
      <c r="E55" s="58">
        <f ca="1">'Yoy WAR OG'!AE56</f>
        <v>0</v>
      </c>
      <c r="F55" s="58">
        <f ca="1">'Yoy WAR OG'!AK56</f>
        <v>0</v>
      </c>
      <c r="G55" s="58">
        <f ca="1">'Yoy WAR OG'!AQ56</f>
        <v>372175448.43488526</v>
      </c>
      <c r="H55" s="58">
        <f ca="1">'Yoy WAR OG'!AW56</f>
        <v>0</v>
      </c>
      <c r="I55" s="58">
        <f ca="1">'Yoy WAR OG'!BC56</f>
        <v>144344489.41736072</v>
      </c>
      <c r="J55" s="58">
        <f ca="1">'Yoy WAR OG'!BI56</f>
        <v>0</v>
      </c>
      <c r="K55" s="58">
        <f ca="1">'Yoy WAR OG'!BO56</f>
        <v>0</v>
      </c>
      <c r="L55" s="58">
        <f ca="1">'Yoy WAR OG'!BU56</f>
        <v>0</v>
      </c>
      <c r="M55" s="58">
        <f ca="1">'Yoy WAR OG'!CA56</f>
        <v>0</v>
      </c>
      <c r="N55" s="58">
        <f ca="1">'Yoy WAR OG'!CG56</f>
        <v>87227364.965345412</v>
      </c>
      <c r="O55" s="58">
        <f ca="1">'Yoy WAR OG'!CM56</f>
        <v>0</v>
      </c>
      <c r="P55" s="58">
        <f ca="1">'Yoy WAR OG'!CS56</f>
        <v>33187371.692457803</v>
      </c>
      <c r="Q55" s="58">
        <f ca="1">'Yoy WAR OG'!CY56</f>
        <v>0</v>
      </c>
      <c r="R55" s="58">
        <f ca="1">'Yoy WAR OG'!DE56</f>
        <v>0</v>
      </c>
      <c r="S55" s="58">
        <f ca="1">'Yoy WAR OG'!DK56</f>
        <v>0</v>
      </c>
      <c r="T55" s="58">
        <f ca="1">'Yoy WAR OG'!DQ56</f>
        <v>0</v>
      </c>
      <c r="U55" s="58">
        <f ca="1">'Yoy WAR OG'!DW56</f>
        <v>0</v>
      </c>
      <c r="V55" s="58">
        <f ca="1">'Yoy WAR OG'!EC56</f>
        <v>0</v>
      </c>
      <c r="W55" s="58">
        <f ca="1">'Yoy WAR OG'!EI56</f>
        <v>0</v>
      </c>
      <c r="X55" s="58">
        <f ca="1">'Yoy WAR OG'!EO56</f>
        <v>0</v>
      </c>
      <c r="Y55" s="58">
        <f ca="1">'Yoy WAR OG'!EU56</f>
        <v>0</v>
      </c>
      <c r="Z55" s="58">
        <f ca="1">'Yoy WAR OG'!FA56</f>
        <v>0</v>
      </c>
      <c r="AB55" s="200">
        <f t="shared" ca="1" si="1"/>
        <v>5.4715114204647287E-2</v>
      </c>
      <c r="AD55">
        <f t="shared" ca="1" si="2"/>
        <v>0</v>
      </c>
      <c r="AE55">
        <f t="shared" ca="1" si="3"/>
        <v>0</v>
      </c>
      <c r="AF55">
        <f t="shared" ca="1" si="4"/>
        <v>0</v>
      </c>
      <c r="AG55">
        <f t="shared" ca="1" si="5"/>
        <v>0</v>
      </c>
      <c r="AH55">
        <f t="shared" ca="1" si="6"/>
        <v>0.5843227937326142</v>
      </c>
      <c r="AI55">
        <f t="shared" ca="1" si="7"/>
        <v>0</v>
      </c>
      <c r="AJ55">
        <f t="shared" ca="1" si="8"/>
        <v>0.22662369500984567</v>
      </c>
      <c r="AK55">
        <f t="shared" ca="1" si="9"/>
        <v>0</v>
      </c>
      <c r="AL55">
        <f t="shared" ca="1" si="10"/>
        <v>0</v>
      </c>
      <c r="AM55">
        <f t="shared" ca="1" si="11"/>
        <v>0</v>
      </c>
      <c r="AN55">
        <f t="shared" ca="1" si="12"/>
        <v>0</v>
      </c>
      <c r="AO55">
        <f t="shared" ca="1" si="13"/>
        <v>0.13694868321063464</v>
      </c>
      <c r="AP55">
        <f t="shared" ca="1" si="14"/>
        <v>0</v>
      </c>
      <c r="AQ55">
        <f t="shared" ca="1" si="15"/>
        <v>5.2104828046905444E-2</v>
      </c>
      <c r="AR55">
        <f t="shared" ca="1" si="16"/>
        <v>0</v>
      </c>
      <c r="AS55">
        <f t="shared" ca="1" si="17"/>
        <v>0</v>
      </c>
      <c r="AT55">
        <f t="shared" ca="1" si="18"/>
        <v>0</v>
      </c>
      <c r="AU55">
        <f t="shared" ca="1" si="19"/>
        <v>0</v>
      </c>
      <c r="AV55">
        <f t="shared" ca="1" si="20"/>
        <v>0</v>
      </c>
      <c r="AW55">
        <f t="shared" ca="1" si="21"/>
        <v>0</v>
      </c>
      <c r="AX55">
        <f t="shared" ca="1" si="22"/>
        <v>0</v>
      </c>
      <c r="AY55">
        <f t="shared" ca="1" si="23"/>
        <v>0</v>
      </c>
      <c r="AZ55">
        <f t="shared" ca="1" si="24"/>
        <v>0</v>
      </c>
      <c r="BA55">
        <f t="shared" ca="1" si="25"/>
        <v>0</v>
      </c>
    </row>
    <row r="56" spans="1:53" x14ac:dyDescent="0.3">
      <c r="A56">
        <f>'NWGC - SCENARIOS'!B64</f>
        <v>102</v>
      </c>
      <c r="B56">
        <f>'NWGC - SCENARIOS'!C64</f>
        <v>2078</v>
      </c>
      <c r="C56" s="58">
        <f ca="1">'Yoy WAR OG'!S57</f>
        <v>0</v>
      </c>
      <c r="D56" s="58">
        <f ca="1">'Yoy WAR OG'!Y57</f>
        <v>0</v>
      </c>
      <c r="E56" s="58">
        <f ca="1">'Yoy WAR OG'!AE57</f>
        <v>0</v>
      </c>
      <c r="F56" s="58">
        <f ca="1">'Yoy WAR OG'!AK57</f>
        <v>0</v>
      </c>
      <c r="G56" s="58">
        <f ca="1">'Yoy WAR OG'!AQ57</f>
        <v>254903252.92282343</v>
      </c>
      <c r="H56" s="58">
        <f ca="1">'Yoy WAR OG'!AW57</f>
        <v>0</v>
      </c>
      <c r="I56" s="58">
        <f ca="1">'Yoy WAR OG'!BC57</f>
        <v>154448603.67657599</v>
      </c>
      <c r="J56" s="58">
        <f ca="1">'Yoy WAR OG'!BI57</f>
        <v>0</v>
      </c>
      <c r="K56" s="58">
        <f ca="1">'Yoy WAR OG'!BO57</f>
        <v>0</v>
      </c>
      <c r="L56" s="58">
        <f ca="1">'Yoy WAR OG'!BU57</f>
        <v>0</v>
      </c>
      <c r="M56" s="58">
        <f ca="1">'Yoy WAR OG'!CA57</f>
        <v>0</v>
      </c>
      <c r="N56" s="58">
        <f ca="1">'Yoy WAR OG'!CG57</f>
        <v>89844185.914305776</v>
      </c>
      <c r="O56" s="58">
        <f ca="1">'Yoy WAR OG'!CM57</f>
        <v>0</v>
      </c>
      <c r="P56" s="58">
        <f ca="1">'Yoy WAR OG'!CS57</f>
        <v>34846740.277080692</v>
      </c>
      <c r="Q56" s="58">
        <f ca="1">'Yoy WAR OG'!CY57</f>
        <v>0</v>
      </c>
      <c r="R56" s="58">
        <f ca="1">'Yoy WAR OG'!DE57</f>
        <v>0</v>
      </c>
      <c r="S56" s="58">
        <f ca="1">'Yoy WAR OG'!DK57</f>
        <v>0</v>
      </c>
      <c r="T56" s="58">
        <f ca="1">'Yoy WAR OG'!DQ57</f>
        <v>0</v>
      </c>
      <c r="U56" s="58">
        <f ca="1">'Yoy WAR OG'!DW57</f>
        <v>0</v>
      </c>
      <c r="V56" s="58">
        <f ca="1">'Yoy WAR OG'!EC57</f>
        <v>0</v>
      </c>
      <c r="W56" s="58">
        <f ca="1">'Yoy WAR OG'!EI57</f>
        <v>0</v>
      </c>
      <c r="X56" s="58">
        <f ca="1">'Yoy WAR OG'!EO57</f>
        <v>0</v>
      </c>
      <c r="Y56" s="58">
        <f ca="1">'Yoy WAR OG'!EU57</f>
        <v>0</v>
      </c>
      <c r="Z56" s="58">
        <f ca="1">'Yoy WAR OG'!FA57</f>
        <v>0</v>
      </c>
      <c r="AB56" s="200">
        <f t="shared" ca="1" si="1"/>
        <v>5.4805990648252985E-2</v>
      </c>
      <c r="AD56">
        <f t="shared" ca="1" si="2"/>
        <v>0</v>
      </c>
      <c r="AE56">
        <f t="shared" ca="1" si="3"/>
        <v>0</v>
      </c>
      <c r="AF56">
        <f t="shared" ca="1" si="4"/>
        <v>0</v>
      </c>
      <c r="AG56">
        <f t="shared" ca="1" si="5"/>
        <v>0</v>
      </c>
      <c r="AH56">
        <f t="shared" ca="1" si="6"/>
        <v>0.47730867476713584</v>
      </c>
      <c r="AI56">
        <f t="shared" ca="1" si="7"/>
        <v>0</v>
      </c>
      <c r="AJ56">
        <f t="shared" ca="1" si="8"/>
        <v>0.28920642437945282</v>
      </c>
      <c r="AK56">
        <f t="shared" ca="1" si="9"/>
        <v>0</v>
      </c>
      <c r="AL56">
        <f t="shared" ca="1" si="10"/>
        <v>0</v>
      </c>
      <c r="AM56">
        <f t="shared" ca="1" si="11"/>
        <v>0</v>
      </c>
      <c r="AN56">
        <f t="shared" ca="1" si="12"/>
        <v>0</v>
      </c>
      <c r="AO56">
        <f t="shared" ca="1" si="13"/>
        <v>0.16823406065858718</v>
      </c>
      <c r="AP56">
        <f t="shared" ca="1" si="14"/>
        <v>0</v>
      </c>
      <c r="AQ56">
        <f t="shared" ca="1" si="15"/>
        <v>6.5250840194824022E-2</v>
      </c>
      <c r="AR56">
        <f t="shared" ca="1" si="16"/>
        <v>0</v>
      </c>
      <c r="AS56">
        <f t="shared" ca="1" si="17"/>
        <v>0</v>
      </c>
      <c r="AT56">
        <f t="shared" ca="1" si="18"/>
        <v>0</v>
      </c>
      <c r="AU56">
        <f t="shared" ca="1" si="19"/>
        <v>0</v>
      </c>
      <c r="AV56">
        <f t="shared" ca="1" si="20"/>
        <v>0</v>
      </c>
      <c r="AW56">
        <f t="shared" ca="1" si="21"/>
        <v>0</v>
      </c>
      <c r="AX56">
        <f t="shared" ca="1" si="22"/>
        <v>0</v>
      </c>
      <c r="AY56">
        <f t="shared" ca="1" si="23"/>
        <v>0</v>
      </c>
      <c r="AZ56">
        <f t="shared" ca="1" si="24"/>
        <v>0</v>
      </c>
      <c r="BA56">
        <f t="shared" ca="1" si="25"/>
        <v>0</v>
      </c>
    </row>
    <row r="57" spans="1:53" x14ac:dyDescent="0.3">
      <c r="A57">
        <f>'NWGC - SCENARIOS'!B65</f>
        <v>103</v>
      </c>
      <c r="B57">
        <f>'NWGC - SCENARIOS'!C65</f>
        <v>2079</v>
      </c>
      <c r="C57" s="58">
        <f ca="1">'Yoy WAR OG'!S58</f>
        <v>0</v>
      </c>
      <c r="D57" s="58">
        <f ca="1">'Yoy WAR OG'!Y58</f>
        <v>0</v>
      </c>
      <c r="E57" s="58">
        <f ca="1">'Yoy WAR OG'!AE58</f>
        <v>0</v>
      </c>
      <c r="F57" s="58">
        <f ca="1">'Yoy WAR OG'!AK58</f>
        <v>0</v>
      </c>
      <c r="G57" s="58">
        <f ca="1">'Yoy WAR OG'!AQ58</f>
        <v>120154649.44351973</v>
      </c>
      <c r="H57" s="58">
        <f ca="1">'Yoy WAR OG'!AW58</f>
        <v>0</v>
      </c>
      <c r="I57" s="58">
        <f ca="1">'Yoy WAR OG'!BC58</f>
        <v>165260005.93393633</v>
      </c>
      <c r="J57" s="58">
        <f ca="1">'Yoy WAR OG'!BI58</f>
        <v>0</v>
      </c>
      <c r="K57" s="58">
        <f ca="1">'Yoy WAR OG'!BO58</f>
        <v>0</v>
      </c>
      <c r="L57" s="58">
        <f ca="1">'Yoy WAR OG'!BU58</f>
        <v>0</v>
      </c>
      <c r="M57" s="58">
        <f ca="1">'Yoy WAR OG'!CA58</f>
        <v>0</v>
      </c>
      <c r="N57" s="58">
        <f ca="1">'Yoy WAR OG'!CG58</f>
        <v>92539511.491734952</v>
      </c>
      <c r="O57" s="58">
        <f ca="1">'Yoy WAR OG'!CM58</f>
        <v>0</v>
      </c>
      <c r="P57" s="58">
        <f ca="1">'Yoy WAR OG'!CS58</f>
        <v>36589077.290934727</v>
      </c>
      <c r="Q57" s="58">
        <f ca="1">'Yoy WAR OG'!CY58</f>
        <v>0</v>
      </c>
      <c r="R57" s="58">
        <f ca="1">'Yoy WAR OG'!DE58</f>
        <v>0</v>
      </c>
      <c r="S57" s="58">
        <f ca="1">'Yoy WAR OG'!DK58</f>
        <v>0</v>
      </c>
      <c r="T57" s="58">
        <f ca="1">'Yoy WAR OG'!DQ58</f>
        <v>0</v>
      </c>
      <c r="U57" s="58">
        <f ca="1">'Yoy WAR OG'!DW58</f>
        <v>0</v>
      </c>
      <c r="V57" s="58">
        <f ca="1">'Yoy WAR OG'!EC58</f>
        <v>0</v>
      </c>
      <c r="W57" s="58">
        <f ca="1">'Yoy WAR OG'!EI58</f>
        <v>0</v>
      </c>
      <c r="X57" s="58">
        <f ca="1">'Yoy WAR OG'!EO58</f>
        <v>0</v>
      </c>
      <c r="Y57" s="58">
        <f ca="1">'Yoy WAR OG'!EU58</f>
        <v>0</v>
      </c>
      <c r="Z57" s="58">
        <f ca="1">'Yoy WAR OG'!FA58</f>
        <v>0</v>
      </c>
      <c r="AB57" s="200">
        <f t="shared" ca="1" si="1"/>
        <v>5.495770505252226E-2</v>
      </c>
      <c r="AD57">
        <f t="shared" ca="1" si="2"/>
        <v>0</v>
      </c>
      <c r="AE57">
        <f t="shared" ca="1" si="3"/>
        <v>0</v>
      </c>
      <c r="AF57">
        <f t="shared" ca="1" si="4"/>
        <v>0</v>
      </c>
      <c r="AG57">
        <f t="shared" ca="1" si="5"/>
        <v>0</v>
      </c>
      <c r="AH57">
        <f t="shared" ca="1" si="6"/>
        <v>0.28984828756998759</v>
      </c>
      <c r="AI57">
        <f t="shared" ca="1" si="7"/>
        <v>0</v>
      </c>
      <c r="AJ57">
        <f t="shared" ca="1" si="8"/>
        <v>0.39865564874602388</v>
      </c>
      <c r="AK57">
        <f t="shared" ca="1" si="9"/>
        <v>0</v>
      </c>
      <c r="AL57">
        <f t="shared" ca="1" si="10"/>
        <v>0</v>
      </c>
      <c r="AM57">
        <f t="shared" ca="1" si="11"/>
        <v>0</v>
      </c>
      <c r="AN57">
        <f t="shared" ca="1" si="12"/>
        <v>0</v>
      </c>
      <c r="AO57">
        <f t="shared" ca="1" si="13"/>
        <v>0.22323246801240759</v>
      </c>
      <c r="AP57">
        <f t="shared" ca="1" si="14"/>
        <v>0</v>
      </c>
      <c r="AQ57">
        <f t="shared" ca="1" si="15"/>
        <v>8.8263595671580763E-2</v>
      </c>
      <c r="AR57">
        <f t="shared" ca="1" si="16"/>
        <v>0</v>
      </c>
      <c r="AS57">
        <f t="shared" ca="1" si="17"/>
        <v>0</v>
      </c>
      <c r="AT57">
        <f t="shared" ca="1" si="18"/>
        <v>0</v>
      </c>
      <c r="AU57">
        <f t="shared" ca="1" si="19"/>
        <v>0</v>
      </c>
      <c r="AV57">
        <f t="shared" ca="1" si="20"/>
        <v>0</v>
      </c>
      <c r="AW57">
        <f t="shared" ca="1" si="21"/>
        <v>0</v>
      </c>
      <c r="AX57">
        <f t="shared" ca="1" si="22"/>
        <v>0</v>
      </c>
      <c r="AY57">
        <f t="shared" ca="1" si="23"/>
        <v>0</v>
      </c>
      <c r="AZ57">
        <f t="shared" ca="1" si="24"/>
        <v>0</v>
      </c>
      <c r="BA57">
        <f t="shared" ca="1" si="25"/>
        <v>0</v>
      </c>
    </row>
    <row r="58" spans="1:53" x14ac:dyDescent="0.3">
      <c r="A58">
        <f>'NWGC - SCENARIOS'!B66</f>
        <v>104</v>
      </c>
      <c r="B58">
        <f>'NWGC - SCENARIOS'!C66</f>
        <v>2080</v>
      </c>
      <c r="C58" s="58">
        <f ca="1">'Yoy WAR OG'!S59</f>
        <v>0</v>
      </c>
      <c r="D58" s="58">
        <f ca="1">'Yoy WAR OG'!Y59</f>
        <v>0</v>
      </c>
      <c r="E58" s="58">
        <f ca="1">'Yoy WAR OG'!AE59</f>
        <v>0</v>
      </c>
      <c r="F58" s="58">
        <f ca="1">'Yoy WAR OG'!AK59</f>
        <v>0</v>
      </c>
      <c r="G58" s="58">
        <f ca="1">'Yoy WAR OG'!AQ59</f>
        <v>0</v>
      </c>
      <c r="H58" s="58">
        <f ca="1">'Yoy WAR OG'!AW59</f>
        <v>0</v>
      </c>
      <c r="I58" s="58">
        <f ca="1">'Yoy WAR OG'!BC59</f>
        <v>176828206.34931189</v>
      </c>
      <c r="J58" s="58">
        <f ca="1">'Yoy WAR OG'!BI59</f>
        <v>0</v>
      </c>
      <c r="K58" s="58">
        <f ca="1">'Yoy WAR OG'!BO59</f>
        <v>0</v>
      </c>
      <c r="L58" s="58">
        <f ca="1">'Yoy WAR OG'!BU59</f>
        <v>0</v>
      </c>
      <c r="M58" s="58">
        <f ca="1">'Yoy WAR OG'!CA59</f>
        <v>0</v>
      </c>
      <c r="N58" s="58">
        <f ca="1">'Yoy WAR OG'!CG59</f>
        <v>95315696.83648701</v>
      </c>
      <c r="O58" s="58">
        <f ca="1">'Yoy WAR OG'!CM59</f>
        <v>0</v>
      </c>
      <c r="P58" s="58">
        <f ca="1">'Yoy WAR OG'!CS59</f>
        <v>38418531.155481465</v>
      </c>
      <c r="Q58" s="58">
        <f ca="1">'Yoy WAR OG'!CY59</f>
        <v>0</v>
      </c>
      <c r="R58" s="58">
        <f ca="1">'Yoy WAR OG'!DE59</f>
        <v>0</v>
      </c>
      <c r="S58" s="58">
        <f ca="1">'Yoy WAR OG'!DK59</f>
        <v>0</v>
      </c>
      <c r="T58" s="58">
        <f ca="1">'Yoy WAR OG'!DQ59</f>
        <v>0</v>
      </c>
      <c r="U58" s="58">
        <f ca="1">'Yoy WAR OG'!DW59</f>
        <v>0</v>
      </c>
      <c r="V58" s="58">
        <f ca="1">'Yoy WAR OG'!EC59</f>
        <v>0</v>
      </c>
      <c r="W58" s="58">
        <f ca="1">'Yoy WAR OG'!EI59</f>
        <v>0</v>
      </c>
      <c r="X58" s="58">
        <f ca="1">'Yoy WAR OG'!EO59</f>
        <v>0</v>
      </c>
      <c r="Y58" s="58">
        <f ca="1">'Yoy WAR OG'!EU59</f>
        <v>0</v>
      </c>
      <c r="Z58" s="58">
        <f ca="1">'Yoy WAR OG'!FA59</f>
        <v>0</v>
      </c>
      <c r="AB58" s="200">
        <f t="shared" ca="1" si="1"/>
        <v>5.5249347667287417E-2</v>
      </c>
      <c r="AD58">
        <f t="shared" ca="1" si="2"/>
        <v>0</v>
      </c>
      <c r="AE58">
        <f t="shared" ca="1" si="3"/>
        <v>0</v>
      </c>
      <c r="AF58">
        <f t="shared" ca="1" si="4"/>
        <v>0</v>
      </c>
      <c r="AG58">
        <f t="shared" ca="1" si="5"/>
        <v>0</v>
      </c>
      <c r="AH58">
        <f t="shared" ca="1" si="6"/>
        <v>0</v>
      </c>
      <c r="AI58">
        <f t="shared" ca="1" si="7"/>
        <v>0</v>
      </c>
      <c r="AJ58">
        <f t="shared" ca="1" si="8"/>
        <v>0.56938053929276422</v>
      </c>
      <c r="AK58">
        <f t="shared" ca="1" si="9"/>
        <v>0</v>
      </c>
      <c r="AL58">
        <f t="shared" ca="1" si="10"/>
        <v>0</v>
      </c>
      <c r="AM58">
        <f t="shared" ca="1" si="11"/>
        <v>0</v>
      </c>
      <c r="AN58">
        <f t="shared" ca="1" si="12"/>
        <v>0</v>
      </c>
      <c r="AO58">
        <f t="shared" ca="1" si="13"/>
        <v>0.30691315592839402</v>
      </c>
      <c r="AP58">
        <f t="shared" ca="1" si="14"/>
        <v>0</v>
      </c>
      <c r="AQ58">
        <f t="shared" ca="1" si="15"/>
        <v>0.12370630477884179</v>
      </c>
      <c r="AR58">
        <f t="shared" ca="1" si="16"/>
        <v>0</v>
      </c>
      <c r="AS58">
        <f t="shared" ca="1" si="17"/>
        <v>0</v>
      </c>
      <c r="AT58">
        <f t="shared" ca="1" si="18"/>
        <v>0</v>
      </c>
      <c r="AU58">
        <f t="shared" ca="1" si="19"/>
        <v>0</v>
      </c>
      <c r="AV58">
        <f t="shared" ca="1" si="20"/>
        <v>0</v>
      </c>
      <c r="AW58">
        <f t="shared" ca="1" si="21"/>
        <v>0</v>
      </c>
      <c r="AX58">
        <f t="shared" ca="1" si="22"/>
        <v>0</v>
      </c>
      <c r="AY58">
        <f t="shared" ca="1" si="23"/>
        <v>0</v>
      </c>
      <c r="AZ58">
        <f t="shared" ca="1" si="24"/>
        <v>0</v>
      </c>
      <c r="BA58">
        <f t="shared" ca="1" si="25"/>
        <v>0</v>
      </c>
    </row>
    <row r="59" spans="1:53" x14ac:dyDescent="0.3">
      <c r="A59">
        <f>'NWGC - SCENARIOS'!B67</f>
        <v>105</v>
      </c>
      <c r="B59">
        <f>'NWGC - SCENARIOS'!C67</f>
        <v>2081</v>
      </c>
      <c r="C59" s="58">
        <f ca="1">'Yoy WAR OG'!S60</f>
        <v>0</v>
      </c>
      <c r="D59" s="58">
        <f ca="1">'Yoy WAR OG'!Y60</f>
        <v>0</v>
      </c>
      <c r="E59" s="58">
        <f ca="1">'Yoy WAR OG'!AE60</f>
        <v>0</v>
      </c>
      <c r="F59" s="58">
        <f ca="1">'Yoy WAR OG'!AK60</f>
        <v>0</v>
      </c>
      <c r="G59" s="58">
        <f ca="1">'Yoy WAR OG'!AQ60</f>
        <v>0</v>
      </c>
      <c r="H59" s="58">
        <f ca="1">'Yoy WAR OG'!AW60</f>
        <v>0</v>
      </c>
      <c r="I59" s="58">
        <f ca="1">'Yoy WAR OG'!BC60</f>
        <v>189206180.79376373</v>
      </c>
      <c r="J59" s="58">
        <f ca="1">'Yoy WAR OG'!BI60</f>
        <v>0</v>
      </c>
      <c r="K59" s="58">
        <f ca="1">'Yoy WAR OG'!BO60</f>
        <v>0</v>
      </c>
      <c r="L59" s="58">
        <f ca="1">'Yoy WAR OG'!BU60</f>
        <v>0</v>
      </c>
      <c r="M59" s="58">
        <f ca="1">'Yoy WAR OG'!CA60</f>
        <v>0</v>
      </c>
      <c r="N59" s="58">
        <f ca="1">'Yoy WAR OG'!CG60</f>
        <v>98175167.741581619</v>
      </c>
      <c r="O59" s="58">
        <f ca="1">'Yoy WAR OG'!CM60</f>
        <v>0</v>
      </c>
      <c r="P59" s="58">
        <f ca="1">'Yoy WAR OG'!CS60</f>
        <v>40339457.71325554</v>
      </c>
      <c r="Q59" s="58">
        <f ca="1">'Yoy WAR OG'!CY60</f>
        <v>0</v>
      </c>
      <c r="R59" s="58">
        <f ca="1">'Yoy WAR OG'!DE60</f>
        <v>0</v>
      </c>
      <c r="S59" s="58">
        <f ca="1">'Yoy WAR OG'!DK60</f>
        <v>0</v>
      </c>
      <c r="T59" s="58">
        <f ca="1">'Yoy WAR OG'!DQ60</f>
        <v>0</v>
      </c>
      <c r="U59" s="58">
        <f ca="1">'Yoy WAR OG'!DW60</f>
        <v>0</v>
      </c>
      <c r="V59" s="58">
        <f ca="1">'Yoy WAR OG'!EC60</f>
        <v>0</v>
      </c>
      <c r="W59" s="58">
        <f ca="1">'Yoy WAR OG'!EI60</f>
        <v>0</v>
      </c>
      <c r="X59" s="58">
        <f ca="1">'Yoy WAR OG'!EO60</f>
        <v>0</v>
      </c>
      <c r="Y59" s="58">
        <f ca="1">'Yoy WAR OG'!EU60</f>
        <v>0</v>
      </c>
      <c r="Z59" s="58">
        <f ca="1">'Yoy WAR OG'!FA60</f>
        <v>0</v>
      </c>
      <c r="AB59" s="200">
        <f t="shared" ca="1" si="1"/>
        <v>5.555540028686054E-2</v>
      </c>
      <c r="AD59">
        <f t="shared" ca="1" si="2"/>
        <v>0</v>
      </c>
      <c r="AE59">
        <f t="shared" ca="1" si="3"/>
        <v>0</v>
      </c>
      <c r="AF59">
        <f t="shared" ca="1" si="4"/>
        <v>0</v>
      </c>
      <c r="AG59">
        <f t="shared" ca="1" si="5"/>
        <v>0</v>
      </c>
      <c r="AH59">
        <f t="shared" ca="1" si="6"/>
        <v>0</v>
      </c>
      <c r="AI59">
        <f t="shared" ca="1" si="7"/>
        <v>0</v>
      </c>
      <c r="AJ59">
        <f t="shared" ca="1" si="8"/>
        <v>0.57733954386233455</v>
      </c>
      <c r="AK59">
        <f t="shared" ca="1" si="9"/>
        <v>0</v>
      </c>
      <c r="AL59">
        <f t="shared" ca="1" si="10"/>
        <v>0</v>
      </c>
      <c r="AM59">
        <f t="shared" ca="1" si="11"/>
        <v>0</v>
      </c>
      <c r="AN59">
        <f t="shared" ca="1" si="12"/>
        <v>0</v>
      </c>
      <c r="AO59">
        <f t="shared" ca="1" si="13"/>
        <v>0.29956952951930793</v>
      </c>
      <c r="AP59">
        <f t="shared" ca="1" si="14"/>
        <v>0</v>
      </c>
      <c r="AQ59">
        <f t="shared" ca="1" si="15"/>
        <v>0.12309092661835767</v>
      </c>
      <c r="AR59">
        <f t="shared" ca="1" si="16"/>
        <v>0</v>
      </c>
      <c r="AS59">
        <f t="shared" ca="1" si="17"/>
        <v>0</v>
      </c>
      <c r="AT59">
        <f t="shared" ca="1" si="18"/>
        <v>0</v>
      </c>
      <c r="AU59">
        <f t="shared" ca="1" si="19"/>
        <v>0</v>
      </c>
      <c r="AV59">
        <f t="shared" ca="1" si="20"/>
        <v>0</v>
      </c>
      <c r="AW59">
        <f t="shared" ca="1" si="21"/>
        <v>0</v>
      </c>
      <c r="AX59">
        <f t="shared" ca="1" si="22"/>
        <v>0</v>
      </c>
      <c r="AY59">
        <f t="shared" ca="1" si="23"/>
        <v>0</v>
      </c>
      <c r="AZ59">
        <f t="shared" ca="1" si="24"/>
        <v>0</v>
      </c>
      <c r="BA59">
        <f t="shared" ca="1" si="25"/>
        <v>0</v>
      </c>
    </row>
    <row r="60" spans="1:53" x14ac:dyDescent="0.3">
      <c r="A60" t="e">
        <f>'NWGC - SCENARIOS'!#REF!</f>
        <v>#REF!</v>
      </c>
      <c r="B60" t="e">
        <f>'NWGC - SCENARIOS'!#REF!</f>
        <v>#REF!</v>
      </c>
      <c r="C60" s="58" t="e">
        <f ca="1">'Yoy WAR OG'!S61</f>
        <v>#REF!</v>
      </c>
      <c r="D60" s="58" t="e">
        <f ca="1">'Yoy WAR OG'!Y61</f>
        <v>#REF!</v>
      </c>
      <c r="E60" s="58" t="e">
        <f ca="1">'Yoy WAR OG'!AE61</f>
        <v>#REF!</v>
      </c>
      <c r="F60" s="58" t="e">
        <f ca="1">'Yoy WAR OG'!AK61</f>
        <v>#REF!</v>
      </c>
      <c r="G60" s="58" t="e">
        <f ca="1">'Yoy WAR OG'!AQ61</f>
        <v>#REF!</v>
      </c>
      <c r="H60" s="58" t="e">
        <f ca="1">'Yoy WAR OG'!AW61</f>
        <v>#REF!</v>
      </c>
      <c r="I60" s="58" t="e">
        <f ca="1">'Yoy WAR OG'!BC61</f>
        <v>#REF!</v>
      </c>
      <c r="J60" s="58" t="e">
        <f ca="1">'Yoy WAR OG'!BI61</f>
        <v>#REF!</v>
      </c>
      <c r="K60" s="58" t="e">
        <f ca="1">'Yoy WAR OG'!BO61</f>
        <v>#REF!</v>
      </c>
      <c r="L60" s="58" t="e">
        <f ca="1">'Yoy WAR OG'!BU61</f>
        <v>#REF!</v>
      </c>
      <c r="M60" s="58" t="e">
        <f ca="1">'Yoy WAR OG'!CA61</f>
        <v>#REF!</v>
      </c>
      <c r="N60" s="58" t="e">
        <f ca="1">'Yoy WAR OG'!CG61</f>
        <v>#REF!</v>
      </c>
      <c r="O60" s="58" t="e">
        <f ca="1">'Yoy WAR OG'!CM61</f>
        <v>#REF!</v>
      </c>
      <c r="P60" s="58" t="e">
        <f ca="1">'Yoy WAR OG'!CS61</f>
        <v>#REF!</v>
      </c>
      <c r="Q60" s="58">
        <f ca="1">'Yoy WAR OG'!CY61</f>
        <v>0</v>
      </c>
      <c r="R60" s="58" t="e">
        <f ca="1">'Yoy WAR OG'!DE61</f>
        <v>#REF!</v>
      </c>
      <c r="S60" s="58">
        <f ca="1">'Yoy WAR OG'!DK61</f>
        <v>0</v>
      </c>
      <c r="T60" s="58" t="e">
        <f ca="1">'Yoy WAR OG'!DQ61</f>
        <v>#REF!</v>
      </c>
      <c r="U60" s="58" t="e">
        <f ca="1">'Yoy WAR OG'!DW61</f>
        <v>#REF!</v>
      </c>
      <c r="V60" s="58" t="e">
        <f ca="1">'Yoy WAR OG'!EC61</f>
        <v>#REF!</v>
      </c>
      <c r="W60" s="58" t="e">
        <f ca="1">'Yoy WAR OG'!EI61</f>
        <v>#REF!</v>
      </c>
      <c r="X60" s="58">
        <f ca="1">'Yoy WAR OG'!EO61</f>
        <v>0</v>
      </c>
      <c r="Y60" s="58">
        <f ca="1">'Yoy WAR OG'!EU61</f>
        <v>0</v>
      </c>
      <c r="Z60" s="58">
        <f ca="1">'Yoy WAR OG'!FA61</f>
        <v>0</v>
      </c>
      <c r="AB60" s="200">
        <f t="shared" ca="1" si="1"/>
        <v>0</v>
      </c>
      <c r="AD60">
        <f t="shared" ca="1" si="2"/>
        <v>0</v>
      </c>
      <c r="AE60">
        <f t="shared" ca="1" si="3"/>
        <v>0</v>
      </c>
      <c r="AF60">
        <f t="shared" ca="1" si="4"/>
        <v>0</v>
      </c>
      <c r="AG60">
        <f t="shared" ca="1" si="5"/>
        <v>0</v>
      </c>
      <c r="AH60">
        <f t="shared" ca="1" si="6"/>
        <v>0</v>
      </c>
      <c r="AI60">
        <f t="shared" ca="1" si="7"/>
        <v>0</v>
      </c>
      <c r="AJ60">
        <f t="shared" ca="1" si="8"/>
        <v>0</v>
      </c>
      <c r="AK60">
        <f t="shared" ca="1" si="9"/>
        <v>0</v>
      </c>
      <c r="AL60">
        <f t="shared" ca="1" si="10"/>
        <v>0</v>
      </c>
      <c r="AM60">
        <f t="shared" ca="1" si="11"/>
        <v>0</v>
      </c>
      <c r="AN60">
        <f t="shared" ca="1" si="12"/>
        <v>0</v>
      </c>
      <c r="AO60">
        <f t="shared" ca="1" si="13"/>
        <v>0</v>
      </c>
      <c r="AP60">
        <f t="shared" ca="1" si="14"/>
        <v>0</v>
      </c>
      <c r="AQ60">
        <f t="shared" ca="1" si="15"/>
        <v>0</v>
      </c>
      <c r="AR60">
        <f t="shared" ca="1" si="16"/>
        <v>0</v>
      </c>
      <c r="AS60">
        <f t="shared" ca="1" si="17"/>
        <v>0</v>
      </c>
      <c r="AT60">
        <f t="shared" ca="1" si="18"/>
        <v>0</v>
      </c>
      <c r="AU60">
        <f t="shared" ca="1" si="19"/>
        <v>0</v>
      </c>
      <c r="AV60">
        <f t="shared" ca="1" si="20"/>
        <v>0</v>
      </c>
      <c r="AW60">
        <f t="shared" ca="1" si="21"/>
        <v>0</v>
      </c>
      <c r="AX60">
        <f t="shared" ca="1" si="22"/>
        <v>0</v>
      </c>
      <c r="AY60">
        <f t="shared" ca="1" si="23"/>
        <v>0</v>
      </c>
      <c r="AZ60">
        <f t="shared" ca="1" si="24"/>
        <v>0</v>
      </c>
      <c r="BA60">
        <f t="shared" ca="1" si="25"/>
        <v>0</v>
      </c>
    </row>
    <row r="61" spans="1:53" x14ac:dyDescent="0.3">
      <c r="A61" t="e">
        <f>'NWGC - SCENARIOS'!#REF!</f>
        <v>#REF!</v>
      </c>
      <c r="B61" t="e">
        <f>'NWGC - SCENARIOS'!#REF!</f>
        <v>#REF!</v>
      </c>
      <c r="C61" s="58" t="e">
        <f ca="1">'Yoy WAR OG'!S62</f>
        <v>#REF!</v>
      </c>
      <c r="D61" s="58" t="e">
        <f ca="1">'Yoy WAR OG'!Y62</f>
        <v>#REF!</v>
      </c>
      <c r="E61" s="58" t="e">
        <f ca="1">'Yoy WAR OG'!AE62</f>
        <v>#REF!</v>
      </c>
      <c r="F61" s="58" t="e">
        <f ca="1">'Yoy WAR OG'!AK62</f>
        <v>#REF!</v>
      </c>
      <c r="G61" s="58" t="e">
        <f ca="1">'Yoy WAR OG'!AQ62</f>
        <v>#REF!</v>
      </c>
      <c r="H61" s="58" t="e">
        <f ca="1">'Yoy WAR OG'!AW62</f>
        <v>#REF!</v>
      </c>
      <c r="I61" s="58" t="e">
        <f ca="1">'Yoy WAR OG'!BC62</f>
        <v>#REF!</v>
      </c>
      <c r="J61" s="58" t="e">
        <f ca="1">'Yoy WAR OG'!BI62</f>
        <v>#REF!</v>
      </c>
      <c r="K61" s="58" t="e">
        <f ca="1">'Yoy WAR OG'!BO62</f>
        <v>#REF!</v>
      </c>
      <c r="L61" s="58" t="e">
        <f ca="1">'Yoy WAR OG'!BU62</f>
        <v>#REF!</v>
      </c>
      <c r="M61" s="58" t="e">
        <f ca="1">'Yoy WAR OG'!CA62</f>
        <v>#REF!</v>
      </c>
      <c r="N61" s="58" t="e">
        <f ca="1">'Yoy WAR OG'!CG62</f>
        <v>#REF!</v>
      </c>
      <c r="O61" s="58" t="e">
        <f ca="1">'Yoy WAR OG'!CM62</f>
        <v>#REF!</v>
      </c>
      <c r="P61" s="58" t="e">
        <f ca="1">'Yoy WAR OG'!CS62</f>
        <v>#REF!</v>
      </c>
      <c r="Q61" s="58">
        <f ca="1">'Yoy WAR OG'!CY62</f>
        <v>0</v>
      </c>
      <c r="R61" s="58" t="e">
        <f ca="1">'Yoy WAR OG'!DE62</f>
        <v>#REF!</v>
      </c>
      <c r="S61" s="58">
        <f ca="1">'Yoy WAR OG'!DK62</f>
        <v>0</v>
      </c>
      <c r="T61" s="58" t="e">
        <f ca="1">'Yoy WAR OG'!DQ62</f>
        <v>#REF!</v>
      </c>
      <c r="U61" s="58" t="e">
        <f ca="1">'Yoy WAR OG'!DW62</f>
        <v>#REF!</v>
      </c>
      <c r="V61" s="58" t="e">
        <f ca="1">'Yoy WAR OG'!EC62</f>
        <v>#REF!</v>
      </c>
      <c r="W61" s="58" t="e">
        <f ca="1">'Yoy WAR OG'!EI62</f>
        <v>#REF!</v>
      </c>
      <c r="X61" s="58">
        <f ca="1">'Yoy WAR OG'!EO62</f>
        <v>0</v>
      </c>
      <c r="Y61" s="58">
        <f ca="1">'Yoy WAR OG'!EU62</f>
        <v>0</v>
      </c>
      <c r="Z61" s="58">
        <f ca="1">'Yoy WAR OG'!FA62</f>
        <v>0</v>
      </c>
      <c r="AB61" s="200">
        <f t="shared" ca="1" si="1"/>
        <v>0</v>
      </c>
      <c r="AD61">
        <f t="shared" ca="1" si="2"/>
        <v>0</v>
      </c>
      <c r="AE61">
        <f t="shared" ca="1" si="3"/>
        <v>0</v>
      </c>
      <c r="AF61">
        <f t="shared" ca="1" si="4"/>
        <v>0</v>
      </c>
      <c r="AG61">
        <f t="shared" ca="1" si="5"/>
        <v>0</v>
      </c>
      <c r="AH61">
        <f t="shared" ca="1" si="6"/>
        <v>0</v>
      </c>
      <c r="AI61">
        <f t="shared" ca="1" si="7"/>
        <v>0</v>
      </c>
      <c r="AJ61">
        <f t="shared" ca="1" si="8"/>
        <v>0</v>
      </c>
      <c r="AK61">
        <f t="shared" ca="1" si="9"/>
        <v>0</v>
      </c>
      <c r="AL61">
        <f t="shared" ca="1" si="10"/>
        <v>0</v>
      </c>
      <c r="AM61">
        <f t="shared" ca="1" si="11"/>
        <v>0</v>
      </c>
      <c r="AN61">
        <f t="shared" ca="1" si="12"/>
        <v>0</v>
      </c>
      <c r="AO61">
        <f t="shared" ca="1" si="13"/>
        <v>0</v>
      </c>
      <c r="AP61">
        <f t="shared" ca="1" si="14"/>
        <v>0</v>
      </c>
      <c r="AQ61">
        <f t="shared" ca="1" si="15"/>
        <v>0</v>
      </c>
      <c r="AR61">
        <f t="shared" ca="1" si="16"/>
        <v>0</v>
      </c>
      <c r="AS61">
        <f t="shared" ca="1" si="17"/>
        <v>0</v>
      </c>
      <c r="AT61">
        <f t="shared" ca="1" si="18"/>
        <v>0</v>
      </c>
      <c r="AU61">
        <f t="shared" ca="1" si="19"/>
        <v>0</v>
      </c>
      <c r="AV61">
        <f t="shared" ca="1" si="20"/>
        <v>0</v>
      </c>
      <c r="AW61">
        <f t="shared" ca="1" si="21"/>
        <v>0</v>
      </c>
      <c r="AX61">
        <f t="shared" ca="1" si="22"/>
        <v>0</v>
      </c>
      <c r="AY61">
        <f t="shared" ca="1" si="23"/>
        <v>0</v>
      </c>
      <c r="AZ61">
        <f t="shared" ca="1" si="24"/>
        <v>0</v>
      </c>
      <c r="BA61">
        <f t="shared" ca="1" si="25"/>
        <v>0</v>
      </c>
    </row>
    <row r="62" spans="1:53" x14ac:dyDescent="0.3">
      <c r="A62" t="e">
        <f>'NWGC - SCENARIOS'!#REF!</f>
        <v>#REF!</v>
      </c>
      <c r="B62" t="e">
        <f>'NWGC - SCENARIOS'!#REF!</f>
        <v>#REF!</v>
      </c>
      <c r="C62" s="58" t="e">
        <f ca="1">'Yoy WAR OG'!S63</f>
        <v>#REF!</v>
      </c>
      <c r="D62" s="58" t="e">
        <f ca="1">'Yoy WAR OG'!Y63</f>
        <v>#REF!</v>
      </c>
      <c r="E62" s="58" t="e">
        <f ca="1">'Yoy WAR OG'!AE63</f>
        <v>#REF!</v>
      </c>
      <c r="F62" s="58" t="e">
        <f ca="1">'Yoy WAR OG'!AK63</f>
        <v>#REF!</v>
      </c>
      <c r="G62" s="58" t="e">
        <f ca="1">'Yoy WAR OG'!AQ63</f>
        <v>#REF!</v>
      </c>
      <c r="H62" s="58" t="e">
        <f ca="1">'Yoy WAR OG'!AW63</f>
        <v>#REF!</v>
      </c>
      <c r="I62" s="58" t="e">
        <f ca="1">'Yoy WAR OG'!BC63</f>
        <v>#REF!</v>
      </c>
      <c r="J62" s="58" t="e">
        <f ca="1">'Yoy WAR OG'!BI63</f>
        <v>#REF!</v>
      </c>
      <c r="K62" s="58" t="e">
        <f ca="1">'Yoy WAR OG'!BO63</f>
        <v>#REF!</v>
      </c>
      <c r="L62" s="58" t="e">
        <f ca="1">'Yoy WAR OG'!BU63</f>
        <v>#REF!</v>
      </c>
      <c r="M62" s="58" t="e">
        <f ca="1">'Yoy WAR OG'!CA63</f>
        <v>#REF!</v>
      </c>
      <c r="N62" s="58" t="e">
        <f ca="1">'Yoy WAR OG'!CG63</f>
        <v>#REF!</v>
      </c>
      <c r="O62" s="58" t="e">
        <f ca="1">'Yoy WAR OG'!CM63</f>
        <v>#REF!</v>
      </c>
      <c r="P62" s="58" t="e">
        <f ca="1">'Yoy WAR OG'!CS63</f>
        <v>#REF!</v>
      </c>
      <c r="Q62" s="58">
        <f ca="1">'Yoy WAR OG'!CY63</f>
        <v>0</v>
      </c>
      <c r="R62" s="58" t="e">
        <f ca="1">'Yoy WAR OG'!DE63</f>
        <v>#REF!</v>
      </c>
      <c r="S62" s="58">
        <f ca="1">'Yoy WAR OG'!DK63</f>
        <v>0</v>
      </c>
      <c r="T62" s="58" t="e">
        <f ca="1">'Yoy WAR OG'!DQ63</f>
        <v>#REF!</v>
      </c>
      <c r="U62" s="58" t="e">
        <f ca="1">'Yoy WAR OG'!DW63</f>
        <v>#REF!</v>
      </c>
      <c r="V62" s="58" t="e">
        <f ca="1">'Yoy WAR OG'!EC63</f>
        <v>#REF!</v>
      </c>
      <c r="W62" s="58" t="e">
        <f ca="1">'Yoy WAR OG'!EI63</f>
        <v>#REF!</v>
      </c>
      <c r="X62" s="58">
        <f ca="1">'Yoy WAR OG'!EO63</f>
        <v>0</v>
      </c>
      <c r="Y62" s="58">
        <f ca="1">'Yoy WAR OG'!EU63</f>
        <v>0</v>
      </c>
      <c r="Z62" s="58">
        <f ca="1">'Yoy WAR OG'!FA63</f>
        <v>0</v>
      </c>
      <c r="AB62" s="200">
        <f t="shared" ca="1" si="1"/>
        <v>0</v>
      </c>
      <c r="AD62">
        <f t="shared" ca="1" si="2"/>
        <v>0</v>
      </c>
      <c r="AE62">
        <f t="shared" ca="1" si="3"/>
        <v>0</v>
      </c>
      <c r="AF62">
        <f t="shared" ca="1" si="4"/>
        <v>0</v>
      </c>
      <c r="AG62">
        <f t="shared" ca="1" si="5"/>
        <v>0</v>
      </c>
      <c r="AH62">
        <f t="shared" ca="1" si="6"/>
        <v>0</v>
      </c>
      <c r="AI62">
        <f t="shared" ca="1" si="7"/>
        <v>0</v>
      </c>
      <c r="AJ62">
        <f t="shared" ca="1" si="8"/>
        <v>0</v>
      </c>
      <c r="AK62">
        <f t="shared" ca="1" si="9"/>
        <v>0</v>
      </c>
      <c r="AL62">
        <f t="shared" ca="1" si="10"/>
        <v>0</v>
      </c>
      <c r="AM62">
        <f t="shared" ca="1" si="11"/>
        <v>0</v>
      </c>
      <c r="AN62">
        <f t="shared" ca="1" si="12"/>
        <v>0</v>
      </c>
      <c r="AO62">
        <f t="shared" ca="1" si="13"/>
        <v>0</v>
      </c>
      <c r="AP62">
        <f t="shared" ca="1" si="14"/>
        <v>0</v>
      </c>
      <c r="AQ62">
        <f t="shared" ca="1" si="15"/>
        <v>0</v>
      </c>
      <c r="AR62">
        <f t="shared" ca="1" si="16"/>
        <v>0</v>
      </c>
      <c r="AS62">
        <f t="shared" ca="1" si="17"/>
        <v>0</v>
      </c>
      <c r="AT62">
        <f t="shared" ca="1" si="18"/>
        <v>0</v>
      </c>
      <c r="AU62">
        <f t="shared" ca="1" si="19"/>
        <v>0</v>
      </c>
      <c r="AV62">
        <f t="shared" ca="1" si="20"/>
        <v>0</v>
      </c>
      <c r="AW62">
        <f t="shared" ca="1" si="21"/>
        <v>0</v>
      </c>
      <c r="AX62">
        <f t="shared" ca="1" si="22"/>
        <v>0</v>
      </c>
      <c r="AY62">
        <f t="shared" ca="1" si="23"/>
        <v>0</v>
      </c>
      <c r="AZ62">
        <f t="shared" ca="1" si="24"/>
        <v>0</v>
      </c>
      <c r="BA62">
        <f t="shared" ca="1" si="25"/>
        <v>0</v>
      </c>
    </row>
    <row r="63" spans="1:53" x14ac:dyDescent="0.3">
      <c r="A63" t="e">
        <f>'NWGC - SCENARIOS'!#REF!</f>
        <v>#REF!</v>
      </c>
      <c r="B63" t="e">
        <f>'NWGC - SCENARIOS'!#REF!</f>
        <v>#REF!</v>
      </c>
      <c r="C63" s="58" t="e">
        <f ca="1">'Yoy WAR OG'!S64</f>
        <v>#REF!</v>
      </c>
      <c r="D63" s="58" t="e">
        <f ca="1">'Yoy WAR OG'!Y64</f>
        <v>#REF!</v>
      </c>
      <c r="E63" s="58" t="e">
        <f ca="1">'Yoy WAR OG'!AE64</f>
        <v>#REF!</v>
      </c>
      <c r="F63" s="58" t="e">
        <f ca="1">'Yoy WAR OG'!AK64</f>
        <v>#REF!</v>
      </c>
      <c r="G63" s="58" t="e">
        <f ca="1">'Yoy WAR OG'!AQ64</f>
        <v>#REF!</v>
      </c>
      <c r="H63" s="58" t="e">
        <f ca="1">'Yoy WAR OG'!AW64</f>
        <v>#REF!</v>
      </c>
      <c r="I63" s="58" t="e">
        <f ca="1">'Yoy WAR OG'!BC64</f>
        <v>#REF!</v>
      </c>
      <c r="J63" s="58" t="e">
        <f ca="1">'Yoy WAR OG'!BI64</f>
        <v>#REF!</v>
      </c>
      <c r="K63" s="58" t="e">
        <f ca="1">'Yoy WAR OG'!BO64</f>
        <v>#REF!</v>
      </c>
      <c r="L63" s="58" t="e">
        <f ca="1">'Yoy WAR OG'!BU64</f>
        <v>#REF!</v>
      </c>
      <c r="M63" s="58" t="e">
        <f ca="1">'Yoy WAR OG'!CA64</f>
        <v>#REF!</v>
      </c>
      <c r="N63" s="58" t="e">
        <f ca="1">'Yoy WAR OG'!CG64</f>
        <v>#REF!</v>
      </c>
      <c r="O63" s="58" t="e">
        <f ca="1">'Yoy WAR OG'!CM64</f>
        <v>#REF!</v>
      </c>
      <c r="P63" s="58" t="e">
        <f ca="1">'Yoy WAR OG'!CS64</f>
        <v>#REF!</v>
      </c>
      <c r="Q63" s="58">
        <f ca="1">'Yoy WAR OG'!CY64</f>
        <v>0</v>
      </c>
      <c r="R63" s="58" t="e">
        <f ca="1">'Yoy WAR OG'!DE64</f>
        <v>#REF!</v>
      </c>
      <c r="S63" s="58">
        <f ca="1">'Yoy WAR OG'!DK64</f>
        <v>0</v>
      </c>
      <c r="T63" s="58" t="e">
        <f ca="1">'Yoy WAR OG'!DQ64</f>
        <v>#REF!</v>
      </c>
      <c r="U63" s="58" t="e">
        <f ca="1">'Yoy WAR OG'!DW64</f>
        <v>#REF!</v>
      </c>
      <c r="V63" s="58" t="e">
        <f ca="1">'Yoy WAR OG'!EC64</f>
        <v>#REF!</v>
      </c>
      <c r="W63" s="58" t="e">
        <f ca="1">'Yoy WAR OG'!EI64</f>
        <v>#REF!</v>
      </c>
      <c r="X63" s="58">
        <f ca="1">'Yoy WAR OG'!EO64</f>
        <v>0</v>
      </c>
      <c r="Y63" s="58">
        <f ca="1">'Yoy WAR OG'!EU64</f>
        <v>0</v>
      </c>
      <c r="Z63" s="58">
        <f ca="1">'Yoy WAR OG'!FA64</f>
        <v>0</v>
      </c>
      <c r="AB63" s="200">
        <f t="shared" ca="1" si="1"/>
        <v>0</v>
      </c>
      <c r="AD63">
        <f t="shared" ca="1" si="2"/>
        <v>0</v>
      </c>
      <c r="AE63">
        <f t="shared" ca="1" si="3"/>
        <v>0</v>
      </c>
      <c r="AF63">
        <f t="shared" ca="1" si="4"/>
        <v>0</v>
      </c>
      <c r="AG63">
        <f t="shared" ca="1" si="5"/>
        <v>0</v>
      </c>
      <c r="AH63">
        <f t="shared" ca="1" si="6"/>
        <v>0</v>
      </c>
      <c r="AI63">
        <f t="shared" ca="1" si="7"/>
        <v>0</v>
      </c>
      <c r="AJ63">
        <f t="shared" ca="1" si="8"/>
        <v>0</v>
      </c>
      <c r="AK63">
        <f t="shared" ca="1" si="9"/>
        <v>0</v>
      </c>
      <c r="AL63">
        <f t="shared" ca="1" si="10"/>
        <v>0</v>
      </c>
      <c r="AM63">
        <f t="shared" ca="1" si="11"/>
        <v>0</v>
      </c>
      <c r="AN63">
        <f t="shared" ca="1" si="12"/>
        <v>0</v>
      </c>
      <c r="AO63">
        <f t="shared" ca="1" si="13"/>
        <v>0</v>
      </c>
      <c r="AP63">
        <f t="shared" ca="1" si="14"/>
        <v>0</v>
      </c>
      <c r="AQ63">
        <f t="shared" ca="1" si="15"/>
        <v>0</v>
      </c>
      <c r="AR63">
        <f t="shared" ca="1" si="16"/>
        <v>0</v>
      </c>
      <c r="AS63">
        <f t="shared" ca="1" si="17"/>
        <v>0</v>
      </c>
      <c r="AT63">
        <f t="shared" ca="1" si="18"/>
        <v>0</v>
      </c>
      <c r="AU63">
        <f t="shared" ca="1" si="19"/>
        <v>0</v>
      </c>
      <c r="AV63">
        <f t="shared" ca="1" si="20"/>
        <v>0</v>
      </c>
      <c r="AW63">
        <f t="shared" ca="1" si="21"/>
        <v>0</v>
      </c>
      <c r="AX63">
        <f t="shared" ca="1" si="22"/>
        <v>0</v>
      </c>
      <c r="AY63">
        <f t="shared" ca="1" si="23"/>
        <v>0</v>
      </c>
      <c r="AZ63">
        <f t="shared" ca="1" si="24"/>
        <v>0</v>
      </c>
      <c r="BA63">
        <f t="shared" ca="1" si="25"/>
        <v>0</v>
      </c>
    </row>
    <row r="64" spans="1:53" x14ac:dyDescent="0.3">
      <c r="A64" t="e">
        <f>'NWGC - SCENARIOS'!#REF!</f>
        <v>#REF!</v>
      </c>
      <c r="B64" t="e">
        <f>'NWGC - SCENARIOS'!#REF!</f>
        <v>#REF!</v>
      </c>
      <c r="C64" s="58" t="e">
        <f ca="1">'Yoy WAR OG'!S65</f>
        <v>#REF!</v>
      </c>
      <c r="D64" s="58" t="e">
        <f ca="1">'Yoy WAR OG'!Y65</f>
        <v>#REF!</v>
      </c>
      <c r="E64" s="58" t="e">
        <f ca="1">'Yoy WAR OG'!AE65</f>
        <v>#REF!</v>
      </c>
      <c r="F64" s="58" t="e">
        <f ca="1">'Yoy WAR OG'!AK65</f>
        <v>#REF!</v>
      </c>
      <c r="G64" s="58" t="e">
        <f ca="1">'Yoy WAR OG'!AQ65</f>
        <v>#REF!</v>
      </c>
      <c r="H64" s="58" t="e">
        <f ca="1">'Yoy WAR OG'!AW65</f>
        <v>#REF!</v>
      </c>
      <c r="I64" s="58" t="e">
        <f ca="1">'Yoy WAR OG'!BC65</f>
        <v>#REF!</v>
      </c>
      <c r="J64" s="58" t="e">
        <f ca="1">'Yoy WAR OG'!BI65</f>
        <v>#REF!</v>
      </c>
      <c r="K64" s="58" t="e">
        <f ca="1">'Yoy WAR OG'!BO65</f>
        <v>#REF!</v>
      </c>
      <c r="L64" s="58" t="e">
        <f ca="1">'Yoy WAR OG'!BU65</f>
        <v>#REF!</v>
      </c>
      <c r="M64" s="58" t="e">
        <f ca="1">'Yoy WAR OG'!CA65</f>
        <v>#REF!</v>
      </c>
      <c r="N64" s="58" t="e">
        <f ca="1">'Yoy WAR OG'!CG65</f>
        <v>#REF!</v>
      </c>
      <c r="O64" s="58" t="e">
        <f ca="1">'Yoy WAR OG'!CM65</f>
        <v>#REF!</v>
      </c>
      <c r="P64" s="58" t="e">
        <f ca="1">'Yoy WAR OG'!CS65</f>
        <v>#REF!</v>
      </c>
      <c r="Q64" s="58">
        <f ca="1">'Yoy WAR OG'!CY65</f>
        <v>0</v>
      </c>
      <c r="R64" s="58" t="e">
        <f ca="1">'Yoy WAR OG'!DE65</f>
        <v>#REF!</v>
      </c>
      <c r="S64" s="58">
        <f ca="1">'Yoy WAR OG'!DK65</f>
        <v>0</v>
      </c>
      <c r="T64" s="58" t="e">
        <f ca="1">'Yoy WAR OG'!DQ65</f>
        <v>#REF!</v>
      </c>
      <c r="U64" s="58" t="e">
        <f ca="1">'Yoy WAR OG'!DW65</f>
        <v>#REF!</v>
      </c>
      <c r="V64" s="58" t="e">
        <f ca="1">'Yoy WAR OG'!EC65</f>
        <v>#REF!</v>
      </c>
      <c r="W64" s="58" t="e">
        <f ca="1">'Yoy WAR OG'!EI65</f>
        <v>#REF!</v>
      </c>
      <c r="X64" s="58">
        <f ca="1">'Yoy WAR OG'!EO65</f>
        <v>0</v>
      </c>
      <c r="Y64" s="58">
        <f ca="1">'Yoy WAR OG'!EU65</f>
        <v>0</v>
      </c>
      <c r="Z64" s="58">
        <f ca="1">'Yoy WAR OG'!FA65</f>
        <v>0</v>
      </c>
      <c r="AB64" s="200">
        <f t="shared" ca="1" si="1"/>
        <v>0</v>
      </c>
      <c r="AD64">
        <f t="shared" ca="1" si="2"/>
        <v>0</v>
      </c>
      <c r="AE64">
        <f t="shared" ca="1" si="3"/>
        <v>0</v>
      </c>
      <c r="AF64">
        <f t="shared" ca="1" si="4"/>
        <v>0</v>
      </c>
      <c r="AG64">
        <f t="shared" ca="1" si="5"/>
        <v>0</v>
      </c>
      <c r="AH64">
        <f t="shared" ca="1" si="6"/>
        <v>0</v>
      </c>
      <c r="AI64">
        <f t="shared" ca="1" si="7"/>
        <v>0</v>
      </c>
      <c r="AJ64">
        <f t="shared" ca="1" si="8"/>
        <v>0</v>
      </c>
      <c r="AK64">
        <f t="shared" ca="1" si="9"/>
        <v>0</v>
      </c>
      <c r="AL64">
        <f t="shared" ca="1" si="10"/>
        <v>0</v>
      </c>
      <c r="AM64">
        <f t="shared" ca="1" si="11"/>
        <v>0</v>
      </c>
      <c r="AN64">
        <f t="shared" ca="1" si="12"/>
        <v>0</v>
      </c>
      <c r="AO64">
        <f t="shared" ca="1" si="13"/>
        <v>0</v>
      </c>
      <c r="AP64">
        <f t="shared" ca="1" si="14"/>
        <v>0</v>
      </c>
      <c r="AQ64">
        <f t="shared" ca="1" si="15"/>
        <v>0</v>
      </c>
      <c r="AR64">
        <f t="shared" ca="1" si="16"/>
        <v>0</v>
      </c>
      <c r="AS64">
        <f t="shared" ca="1" si="17"/>
        <v>0</v>
      </c>
      <c r="AT64">
        <f t="shared" ca="1" si="18"/>
        <v>0</v>
      </c>
      <c r="AU64">
        <f t="shared" ca="1" si="19"/>
        <v>0</v>
      </c>
      <c r="AV64">
        <f t="shared" ca="1" si="20"/>
        <v>0</v>
      </c>
      <c r="AW64">
        <f t="shared" ca="1" si="21"/>
        <v>0</v>
      </c>
      <c r="AX64">
        <f t="shared" ca="1" si="22"/>
        <v>0</v>
      </c>
      <c r="AY64">
        <f t="shared" ca="1" si="23"/>
        <v>0</v>
      </c>
      <c r="AZ64">
        <f t="shared" ca="1" si="24"/>
        <v>0</v>
      </c>
      <c r="BA64">
        <f t="shared" ca="1" si="25"/>
        <v>0</v>
      </c>
    </row>
    <row r="65" spans="1:53" x14ac:dyDescent="0.3">
      <c r="A65" t="e">
        <f>'NWGC - SCENARIOS'!#REF!</f>
        <v>#REF!</v>
      </c>
      <c r="B65" t="e">
        <f>'NWGC - SCENARIOS'!#REF!</f>
        <v>#REF!</v>
      </c>
      <c r="C65" s="58" t="e">
        <f ca="1">'Yoy WAR OG'!S66</f>
        <v>#REF!</v>
      </c>
      <c r="D65" s="58" t="e">
        <f ca="1">'Yoy WAR OG'!Y66</f>
        <v>#REF!</v>
      </c>
      <c r="E65" s="58" t="e">
        <f ca="1">'Yoy WAR OG'!AE66</f>
        <v>#REF!</v>
      </c>
      <c r="F65" s="58" t="e">
        <f ca="1">'Yoy WAR OG'!AK66</f>
        <v>#REF!</v>
      </c>
      <c r="G65" s="58" t="e">
        <f ca="1">'Yoy WAR OG'!AQ66</f>
        <v>#REF!</v>
      </c>
      <c r="H65" s="58" t="e">
        <f ca="1">'Yoy WAR OG'!AW66</f>
        <v>#REF!</v>
      </c>
      <c r="I65" s="58" t="e">
        <f ca="1">'Yoy WAR OG'!BC66</f>
        <v>#REF!</v>
      </c>
      <c r="J65" s="58" t="e">
        <f ca="1">'Yoy WAR OG'!BI66</f>
        <v>#REF!</v>
      </c>
      <c r="K65" s="58" t="e">
        <f ca="1">'Yoy WAR OG'!BO66</f>
        <v>#REF!</v>
      </c>
      <c r="L65" s="58" t="e">
        <f ca="1">'Yoy WAR OG'!BU66</f>
        <v>#REF!</v>
      </c>
      <c r="M65" s="58" t="e">
        <f ca="1">'Yoy WAR OG'!CA66</f>
        <v>#REF!</v>
      </c>
      <c r="N65" s="58" t="e">
        <f ca="1">'Yoy WAR OG'!CG66</f>
        <v>#REF!</v>
      </c>
      <c r="O65" s="58" t="e">
        <f ca="1">'Yoy WAR OG'!CM66</f>
        <v>#REF!</v>
      </c>
      <c r="P65" s="58" t="e">
        <f ca="1">'Yoy WAR OG'!CS66</f>
        <v>#REF!</v>
      </c>
      <c r="Q65" s="58">
        <f ca="1">'Yoy WAR OG'!CY66</f>
        <v>0</v>
      </c>
      <c r="R65" s="58" t="e">
        <f ca="1">'Yoy WAR OG'!DE66</f>
        <v>#REF!</v>
      </c>
      <c r="S65" s="58">
        <f ca="1">'Yoy WAR OG'!DK66</f>
        <v>0</v>
      </c>
      <c r="T65" s="58" t="e">
        <f ca="1">'Yoy WAR OG'!DQ66</f>
        <v>#REF!</v>
      </c>
      <c r="U65" s="58" t="e">
        <f ca="1">'Yoy WAR OG'!DW66</f>
        <v>#REF!</v>
      </c>
      <c r="V65" s="58" t="e">
        <f ca="1">'Yoy WAR OG'!EC66</f>
        <v>#REF!</v>
      </c>
      <c r="W65" s="58" t="e">
        <f ca="1">'Yoy WAR OG'!EI66</f>
        <v>#REF!</v>
      </c>
      <c r="X65" s="58">
        <f ca="1">'Yoy WAR OG'!EO66</f>
        <v>0</v>
      </c>
      <c r="Y65" s="58">
        <f ca="1">'Yoy WAR OG'!EU66</f>
        <v>0</v>
      </c>
      <c r="Z65" s="58">
        <f ca="1">'Yoy WAR OG'!FA66</f>
        <v>0</v>
      </c>
      <c r="AB65" s="200">
        <f t="shared" ca="1" si="1"/>
        <v>0</v>
      </c>
      <c r="AD65">
        <f t="shared" ca="1" si="2"/>
        <v>0</v>
      </c>
      <c r="AE65">
        <f t="shared" ca="1" si="3"/>
        <v>0</v>
      </c>
      <c r="AF65">
        <f t="shared" ca="1" si="4"/>
        <v>0</v>
      </c>
      <c r="AG65">
        <f t="shared" ca="1" si="5"/>
        <v>0</v>
      </c>
      <c r="AH65">
        <f t="shared" ca="1" si="6"/>
        <v>0</v>
      </c>
      <c r="AI65">
        <f t="shared" ca="1" si="7"/>
        <v>0</v>
      </c>
      <c r="AJ65">
        <f t="shared" ca="1" si="8"/>
        <v>0</v>
      </c>
      <c r="AK65">
        <f t="shared" ca="1" si="9"/>
        <v>0</v>
      </c>
      <c r="AL65">
        <f t="shared" ca="1" si="10"/>
        <v>0</v>
      </c>
      <c r="AM65">
        <f t="shared" ca="1" si="11"/>
        <v>0</v>
      </c>
      <c r="AN65">
        <f t="shared" ca="1" si="12"/>
        <v>0</v>
      </c>
      <c r="AO65">
        <f t="shared" ca="1" si="13"/>
        <v>0</v>
      </c>
      <c r="AP65">
        <f t="shared" ca="1" si="14"/>
        <v>0</v>
      </c>
      <c r="AQ65">
        <f t="shared" ca="1" si="15"/>
        <v>0</v>
      </c>
      <c r="AR65">
        <f t="shared" ca="1" si="16"/>
        <v>0</v>
      </c>
      <c r="AS65">
        <f t="shared" ca="1" si="17"/>
        <v>0</v>
      </c>
      <c r="AT65">
        <f t="shared" ca="1" si="18"/>
        <v>0</v>
      </c>
      <c r="AU65">
        <f t="shared" ca="1" si="19"/>
        <v>0</v>
      </c>
      <c r="AV65">
        <f t="shared" ca="1" si="20"/>
        <v>0</v>
      </c>
      <c r="AW65">
        <f t="shared" ca="1" si="21"/>
        <v>0</v>
      </c>
      <c r="AX65">
        <f t="shared" ca="1" si="22"/>
        <v>0</v>
      </c>
      <c r="AY65">
        <f t="shared" ca="1" si="23"/>
        <v>0</v>
      </c>
      <c r="AZ65">
        <f t="shared" ca="1" si="24"/>
        <v>0</v>
      </c>
      <c r="BA65">
        <f t="shared" ca="1" si="25"/>
        <v>0</v>
      </c>
    </row>
    <row r="66" spans="1:53" x14ac:dyDescent="0.3">
      <c r="A66" t="e">
        <f>'NWGC - SCENARIOS'!#REF!</f>
        <v>#REF!</v>
      </c>
      <c r="B66" t="e">
        <f>'NWGC - SCENARIOS'!#REF!</f>
        <v>#REF!</v>
      </c>
      <c r="C66" s="58" t="e">
        <f ca="1">'Yoy WAR OG'!S67</f>
        <v>#REF!</v>
      </c>
      <c r="D66" s="58" t="e">
        <f ca="1">'Yoy WAR OG'!Y67</f>
        <v>#REF!</v>
      </c>
      <c r="E66" s="58" t="e">
        <f ca="1">'Yoy WAR OG'!AE67</f>
        <v>#REF!</v>
      </c>
      <c r="F66" s="58" t="e">
        <f ca="1">'Yoy WAR OG'!AK67</f>
        <v>#REF!</v>
      </c>
      <c r="G66" s="58" t="e">
        <f ca="1">'Yoy WAR OG'!AQ67</f>
        <v>#REF!</v>
      </c>
      <c r="H66" s="58" t="e">
        <f ca="1">'Yoy WAR OG'!AW67</f>
        <v>#REF!</v>
      </c>
      <c r="I66" s="58" t="e">
        <f ca="1">'Yoy WAR OG'!BC67</f>
        <v>#REF!</v>
      </c>
      <c r="J66" s="58" t="e">
        <f ca="1">'Yoy WAR OG'!BI67</f>
        <v>#REF!</v>
      </c>
      <c r="K66" s="58" t="e">
        <f ca="1">'Yoy WAR OG'!BO67</f>
        <v>#REF!</v>
      </c>
      <c r="L66" s="58" t="e">
        <f ca="1">'Yoy WAR OG'!BU67</f>
        <v>#REF!</v>
      </c>
      <c r="M66" s="58" t="e">
        <f ca="1">'Yoy WAR OG'!CA67</f>
        <v>#REF!</v>
      </c>
      <c r="N66" s="58" t="e">
        <f ca="1">'Yoy WAR OG'!CG67</f>
        <v>#REF!</v>
      </c>
      <c r="O66" s="58" t="e">
        <f ca="1">'Yoy WAR OG'!CM67</f>
        <v>#REF!</v>
      </c>
      <c r="P66" s="58" t="e">
        <f ca="1">'Yoy WAR OG'!CS67</f>
        <v>#REF!</v>
      </c>
      <c r="Q66" s="58">
        <f ca="1">'Yoy WAR OG'!CY67</f>
        <v>0</v>
      </c>
      <c r="R66" s="58" t="e">
        <f ca="1">'Yoy WAR OG'!DE67</f>
        <v>#REF!</v>
      </c>
      <c r="S66" s="58">
        <f ca="1">'Yoy WAR OG'!DK67</f>
        <v>0</v>
      </c>
      <c r="T66" s="58" t="e">
        <f ca="1">'Yoy WAR OG'!DQ67</f>
        <v>#REF!</v>
      </c>
      <c r="U66" s="58" t="e">
        <f ca="1">'Yoy WAR OG'!DW67</f>
        <v>#REF!</v>
      </c>
      <c r="V66" s="58" t="e">
        <f ca="1">'Yoy WAR OG'!EC67</f>
        <v>#REF!</v>
      </c>
      <c r="W66" s="58" t="e">
        <f ca="1">'Yoy WAR OG'!EI67</f>
        <v>#REF!</v>
      </c>
      <c r="X66" s="58">
        <f ca="1">'Yoy WAR OG'!EO67</f>
        <v>0</v>
      </c>
      <c r="Y66" s="58">
        <f ca="1">'Yoy WAR OG'!EU67</f>
        <v>0</v>
      </c>
      <c r="Z66" s="58">
        <f ca="1">'Yoy WAR OG'!FA67</f>
        <v>0</v>
      </c>
      <c r="AB66" s="200">
        <f t="shared" ca="1" si="1"/>
        <v>0</v>
      </c>
      <c r="AD66">
        <f t="shared" ca="1" si="2"/>
        <v>0</v>
      </c>
      <c r="AE66">
        <f t="shared" ca="1" si="3"/>
        <v>0</v>
      </c>
      <c r="AF66">
        <f t="shared" ca="1" si="4"/>
        <v>0</v>
      </c>
      <c r="AG66">
        <f t="shared" ca="1" si="5"/>
        <v>0</v>
      </c>
      <c r="AH66">
        <f t="shared" ca="1" si="6"/>
        <v>0</v>
      </c>
      <c r="AI66">
        <f t="shared" ca="1" si="7"/>
        <v>0</v>
      </c>
      <c r="AJ66">
        <f t="shared" ca="1" si="8"/>
        <v>0</v>
      </c>
      <c r="AK66">
        <f t="shared" ca="1" si="9"/>
        <v>0</v>
      </c>
      <c r="AL66">
        <f t="shared" ca="1" si="10"/>
        <v>0</v>
      </c>
      <c r="AM66">
        <f t="shared" ca="1" si="11"/>
        <v>0</v>
      </c>
      <c r="AN66">
        <f t="shared" ca="1" si="12"/>
        <v>0</v>
      </c>
      <c r="AO66">
        <f t="shared" ca="1" si="13"/>
        <v>0</v>
      </c>
      <c r="AP66">
        <f t="shared" ca="1" si="14"/>
        <v>0</v>
      </c>
      <c r="AQ66">
        <f t="shared" ca="1" si="15"/>
        <v>0</v>
      </c>
      <c r="AR66">
        <f t="shared" ca="1" si="16"/>
        <v>0</v>
      </c>
      <c r="AS66">
        <f t="shared" ca="1" si="17"/>
        <v>0</v>
      </c>
      <c r="AT66">
        <f t="shared" ca="1" si="18"/>
        <v>0</v>
      </c>
      <c r="AU66">
        <f t="shared" ca="1" si="19"/>
        <v>0</v>
      </c>
      <c r="AV66">
        <f t="shared" ca="1" si="20"/>
        <v>0</v>
      </c>
      <c r="AW66">
        <f t="shared" ca="1" si="21"/>
        <v>0</v>
      </c>
      <c r="AX66">
        <f t="shared" ca="1" si="22"/>
        <v>0</v>
      </c>
      <c r="AY66">
        <f t="shared" ca="1" si="23"/>
        <v>0</v>
      </c>
      <c r="AZ66">
        <f t="shared" ca="1" si="24"/>
        <v>0</v>
      </c>
      <c r="BA66">
        <f t="shared" ca="1" si="25"/>
        <v>0</v>
      </c>
    </row>
    <row r="67" spans="1:53" x14ac:dyDescent="0.3">
      <c r="A67" t="e">
        <f>'NWGC - SCENARIOS'!#REF!</f>
        <v>#REF!</v>
      </c>
      <c r="B67" t="e">
        <f>'NWGC - SCENARIOS'!#REF!</f>
        <v>#REF!</v>
      </c>
      <c r="C67" s="58" t="e">
        <f ca="1">'Yoy WAR OG'!S68</f>
        <v>#REF!</v>
      </c>
      <c r="D67" s="58" t="e">
        <f ca="1">'Yoy WAR OG'!Y68</f>
        <v>#REF!</v>
      </c>
      <c r="E67" s="58" t="e">
        <f ca="1">'Yoy WAR OG'!AE68</f>
        <v>#REF!</v>
      </c>
      <c r="F67" s="58" t="e">
        <f ca="1">'Yoy WAR OG'!AK68</f>
        <v>#REF!</v>
      </c>
      <c r="G67" s="58" t="e">
        <f ca="1">'Yoy WAR OG'!AQ68</f>
        <v>#REF!</v>
      </c>
      <c r="H67" s="58" t="e">
        <f ca="1">'Yoy WAR OG'!AW68</f>
        <v>#REF!</v>
      </c>
      <c r="I67" s="58" t="e">
        <f ca="1">'Yoy WAR OG'!BC68</f>
        <v>#REF!</v>
      </c>
      <c r="J67" s="58" t="e">
        <f ca="1">'Yoy WAR OG'!BI68</f>
        <v>#REF!</v>
      </c>
      <c r="K67" s="58" t="e">
        <f ca="1">'Yoy WAR OG'!BO68</f>
        <v>#REF!</v>
      </c>
      <c r="L67" s="58" t="e">
        <f ca="1">'Yoy WAR OG'!BU68</f>
        <v>#REF!</v>
      </c>
      <c r="M67" s="58" t="e">
        <f ca="1">'Yoy WAR OG'!CA68</f>
        <v>#REF!</v>
      </c>
      <c r="N67" s="58" t="e">
        <f ca="1">'Yoy WAR OG'!CG68</f>
        <v>#REF!</v>
      </c>
      <c r="O67" s="58" t="e">
        <f ca="1">'Yoy WAR OG'!CM68</f>
        <v>#REF!</v>
      </c>
      <c r="P67" s="58" t="e">
        <f ca="1">'Yoy WAR OG'!CS68</f>
        <v>#REF!</v>
      </c>
      <c r="Q67" s="58">
        <f ca="1">'Yoy WAR OG'!CY68</f>
        <v>0</v>
      </c>
      <c r="R67" s="58" t="e">
        <f ca="1">'Yoy WAR OG'!DE68</f>
        <v>#REF!</v>
      </c>
      <c r="S67" s="58">
        <f ca="1">'Yoy WAR OG'!DK68</f>
        <v>0</v>
      </c>
      <c r="T67" s="58" t="e">
        <f ca="1">'Yoy WAR OG'!DQ68</f>
        <v>#REF!</v>
      </c>
      <c r="U67" s="58" t="e">
        <f ca="1">'Yoy WAR OG'!DW68</f>
        <v>#REF!</v>
      </c>
      <c r="V67" s="58" t="e">
        <f ca="1">'Yoy WAR OG'!EC68</f>
        <v>#REF!</v>
      </c>
      <c r="W67" s="58" t="e">
        <f ca="1">'Yoy WAR OG'!EI68</f>
        <v>#REF!</v>
      </c>
      <c r="X67" s="58">
        <f ca="1">'Yoy WAR OG'!EO68</f>
        <v>0</v>
      </c>
      <c r="Y67" s="58">
        <f ca="1">'Yoy WAR OG'!EU68</f>
        <v>0</v>
      </c>
      <c r="Z67" s="58">
        <f ca="1">'Yoy WAR OG'!FA68</f>
        <v>0</v>
      </c>
      <c r="AB67" s="200">
        <f t="shared" ca="1" si="1"/>
        <v>0</v>
      </c>
      <c r="AD67">
        <f t="shared" ca="1" si="2"/>
        <v>0</v>
      </c>
      <c r="AE67">
        <f t="shared" ca="1" si="3"/>
        <v>0</v>
      </c>
      <c r="AF67">
        <f t="shared" ca="1" si="4"/>
        <v>0</v>
      </c>
      <c r="AG67">
        <f t="shared" ca="1" si="5"/>
        <v>0</v>
      </c>
      <c r="AH67">
        <f t="shared" ca="1" si="6"/>
        <v>0</v>
      </c>
      <c r="AI67">
        <f t="shared" ca="1" si="7"/>
        <v>0</v>
      </c>
      <c r="AJ67">
        <f t="shared" ca="1" si="8"/>
        <v>0</v>
      </c>
      <c r="AK67">
        <f t="shared" ca="1" si="9"/>
        <v>0</v>
      </c>
      <c r="AL67">
        <f t="shared" ca="1" si="10"/>
        <v>0</v>
      </c>
      <c r="AM67">
        <f t="shared" ca="1" si="11"/>
        <v>0</v>
      </c>
      <c r="AN67">
        <f t="shared" ca="1" si="12"/>
        <v>0</v>
      </c>
      <c r="AO67">
        <f t="shared" ca="1" si="13"/>
        <v>0</v>
      </c>
      <c r="AP67">
        <f t="shared" ca="1" si="14"/>
        <v>0</v>
      </c>
      <c r="AQ67">
        <f t="shared" ca="1" si="15"/>
        <v>0</v>
      </c>
      <c r="AR67">
        <f t="shared" ca="1" si="16"/>
        <v>0</v>
      </c>
      <c r="AS67">
        <f t="shared" ca="1" si="17"/>
        <v>0</v>
      </c>
      <c r="AT67">
        <f t="shared" ca="1" si="18"/>
        <v>0</v>
      </c>
      <c r="AU67">
        <f t="shared" ca="1" si="19"/>
        <v>0</v>
      </c>
      <c r="AV67">
        <f t="shared" ca="1" si="20"/>
        <v>0</v>
      </c>
      <c r="AW67">
        <f t="shared" ca="1" si="21"/>
        <v>0</v>
      </c>
      <c r="AX67">
        <f t="shared" ca="1" si="22"/>
        <v>0</v>
      </c>
      <c r="AY67">
        <f t="shared" ca="1" si="23"/>
        <v>0</v>
      </c>
      <c r="AZ67">
        <f t="shared" ca="1" si="24"/>
        <v>0</v>
      </c>
      <c r="BA67">
        <f t="shared" ca="1" si="25"/>
        <v>0</v>
      </c>
    </row>
    <row r="68" spans="1:53" x14ac:dyDescent="0.3">
      <c r="A68" t="e">
        <f>'NWGC - SCENARIOS'!#REF!</f>
        <v>#REF!</v>
      </c>
      <c r="B68" t="e">
        <f>'NWGC - SCENARIOS'!#REF!</f>
        <v>#REF!</v>
      </c>
      <c r="C68" s="58" t="e">
        <f ca="1">'Yoy WAR OG'!S69</f>
        <v>#REF!</v>
      </c>
      <c r="D68" s="58" t="e">
        <f ca="1">'Yoy WAR OG'!Y69</f>
        <v>#REF!</v>
      </c>
      <c r="E68" s="58" t="e">
        <f ca="1">'Yoy WAR OG'!AE69</f>
        <v>#REF!</v>
      </c>
      <c r="F68" s="58" t="e">
        <f ca="1">'Yoy WAR OG'!AK69</f>
        <v>#REF!</v>
      </c>
      <c r="G68" s="58" t="e">
        <f ca="1">'Yoy WAR OG'!AQ69</f>
        <v>#REF!</v>
      </c>
      <c r="H68" s="58" t="e">
        <f ca="1">'Yoy WAR OG'!AW69</f>
        <v>#REF!</v>
      </c>
      <c r="I68" s="58" t="e">
        <f ca="1">'Yoy WAR OG'!BC69</f>
        <v>#REF!</v>
      </c>
      <c r="J68" s="58" t="e">
        <f ca="1">'Yoy WAR OG'!BI69</f>
        <v>#REF!</v>
      </c>
      <c r="K68" s="58" t="e">
        <f ca="1">'Yoy WAR OG'!BO69</f>
        <v>#REF!</v>
      </c>
      <c r="L68" s="58" t="e">
        <f ca="1">'Yoy WAR OG'!BU69</f>
        <v>#REF!</v>
      </c>
      <c r="M68" s="58" t="e">
        <f ca="1">'Yoy WAR OG'!CA69</f>
        <v>#REF!</v>
      </c>
      <c r="N68" s="58" t="e">
        <f ca="1">'Yoy WAR OG'!CG69</f>
        <v>#REF!</v>
      </c>
      <c r="O68" s="58" t="e">
        <f ca="1">'Yoy WAR OG'!CM69</f>
        <v>#REF!</v>
      </c>
      <c r="P68" s="58" t="e">
        <f ca="1">'Yoy WAR OG'!CS69</f>
        <v>#REF!</v>
      </c>
      <c r="Q68" s="58">
        <f ca="1">'Yoy WAR OG'!CY69</f>
        <v>0</v>
      </c>
      <c r="R68" s="58" t="e">
        <f ca="1">'Yoy WAR OG'!DE69</f>
        <v>#REF!</v>
      </c>
      <c r="S68" s="58">
        <f ca="1">'Yoy WAR OG'!DK69</f>
        <v>0</v>
      </c>
      <c r="T68" s="58" t="e">
        <f ca="1">'Yoy WAR OG'!DQ69</f>
        <v>#REF!</v>
      </c>
      <c r="U68" s="58" t="e">
        <f ca="1">'Yoy WAR OG'!DW69</f>
        <v>#REF!</v>
      </c>
      <c r="V68" s="58" t="e">
        <f ca="1">'Yoy WAR OG'!EC69</f>
        <v>#REF!</v>
      </c>
      <c r="W68" s="58" t="e">
        <f ca="1">'Yoy WAR OG'!EI69</f>
        <v>#REF!</v>
      </c>
      <c r="X68" s="58">
        <f ca="1">'Yoy WAR OG'!EO69</f>
        <v>0</v>
      </c>
      <c r="Y68" s="58">
        <f ca="1">'Yoy WAR OG'!EU69</f>
        <v>0</v>
      </c>
      <c r="Z68" s="58">
        <f ca="1">'Yoy WAR OG'!FA69</f>
        <v>0</v>
      </c>
      <c r="AB68" s="200">
        <f t="shared" ref="AB68:AB79" ca="1" si="26">SUMPRODUCT(AD68:BA68,$AD$1:$BA$1)</f>
        <v>0</v>
      </c>
      <c r="AD68">
        <f t="shared" ref="AD68:AD79" ca="1" si="27">IFERROR(C68/SUM($C68:$Z68),0)</f>
        <v>0</v>
      </c>
      <c r="AE68">
        <f t="shared" ref="AE68:AE79" ca="1" si="28">IFERROR(D68/SUM($C68:$Z68),0)</f>
        <v>0</v>
      </c>
      <c r="AF68">
        <f t="shared" ref="AF68:AF79" ca="1" si="29">IFERROR(E68/SUM($C68:$Z68),0)</f>
        <v>0</v>
      </c>
      <c r="AG68">
        <f t="shared" ref="AG68:AG79" ca="1" si="30">IFERROR(F68/SUM($C68:$Z68),0)</f>
        <v>0</v>
      </c>
      <c r="AH68">
        <f t="shared" ref="AH68:AH79" ca="1" si="31">IFERROR(G68/SUM($C68:$Z68),0)</f>
        <v>0</v>
      </c>
      <c r="AI68">
        <f t="shared" ref="AI68:AI79" ca="1" si="32">IFERROR(H68/SUM($C68:$Z68),0)</f>
        <v>0</v>
      </c>
      <c r="AJ68">
        <f t="shared" ref="AJ68:AJ79" ca="1" si="33">IFERROR(I68/SUM($C68:$Z68),0)</f>
        <v>0</v>
      </c>
      <c r="AK68">
        <f t="shared" ref="AK68:AK79" ca="1" si="34">IFERROR(J68/SUM($C68:$Z68),0)</f>
        <v>0</v>
      </c>
      <c r="AL68">
        <f t="shared" ref="AL68:AL79" ca="1" si="35">IFERROR(K68/SUM($C68:$Z68),0)</f>
        <v>0</v>
      </c>
      <c r="AM68">
        <f t="shared" ref="AM68:AM79" ca="1" si="36">IFERROR(L68/SUM($C68:$Z68),0)</f>
        <v>0</v>
      </c>
      <c r="AN68">
        <f t="shared" ref="AN68:AN79" ca="1" si="37">IFERROR(M68/SUM($C68:$Z68),0)</f>
        <v>0</v>
      </c>
      <c r="AO68">
        <f t="shared" ref="AO68:AO79" ca="1" si="38">IFERROR(N68/SUM($C68:$Z68),0)</f>
        <v>0</v>
      </c>
      <c r="AP68">
        <f t="shared" ref="AP68:AP79" ca="1" si="39">IFERROR(O68/SUM($C68:$Z68),0)</f>
        <v>0</v>
      </c>
      <c r="AQ68">
        <f t="shared" ref="AQ68:AQ79" ca="1" si="40">IFERROR(P68/SUM($C68:$Z68),0)</f>
        <v>0</v>
      </c>
      <c r="AR68">
        <f t="shared" ref="AR68:AR79" ca="1" si="41">IFERROR(Q68/SUM($C68:$Z68),0)</f>
        <v>0</v>
      </c>
      <c r="AS68">
        <f t="shared" ref="AS68:AS79" ca="1" si="42">IFERROR(R68/SUM($C68:$Z68),0)</f>
        <v>0</v>
      </c>
      <c r="AT68">
        <f t="shared" ref="AT68:AT79" ca="1" si="43">IFERROR(S68/SUM($C68:$Z68),0)</f>
        <v>0</v>
      </c>
      <c r="AU68">
        <f t="shared" ref="AU68:AU79" ca="1" si="44">IFERROR(T68/SUM($C68:$Z68),0)</f>
        <v>0</v>
      </c>
      <c r="AV68">
        <f t="shared" ref="AV68:AV79" ca="1" si="45">IFERROR(U68/SUM($C68:$Z68),0)</f>
        <v>0</v>
      </c>
      <c r="AW68">
        <f t="shared" ref="AW68:AW79" ca="1" si="46">IFERROR(V68/SUM($C68:$Z68),0)</f>
        <v>0</v>
      </c>
      <c r="AX68">
        <f t="shared" ref="AX68:AX79" ca="1" si="47">IFERROR(W68/SUM($C68:$Z68),0)</f>
        <v>0</v>
      </c>
      <c r="AY68">
        <f t="shared" ref="AY68:AY79" ca="1" si="48">IFERROR(X68/SUM($C68:$Z68),0)</f>
        <v>0</v>
      </c>
      <c r="AZ68">
        <f t="shared" ref="AZ68:AZ79" ca="1" si="49">IFERROR(Y68/SUM($C68:$Z68),0)</f>
        <v>0</v>
      </c>
      <c r="BA68">
        <f t="shared" ref="BA68:BA79" ca="1" si="50">IFERROR(Z68/SUM($C68:$Z68),0)</f>
        <v>0</v>
      </c>
    </row>
    <row r="69" spans="1:53" x14ac:dyDescent="0.3">
      <c r="A69" t="e">
        <f>'NWGC - SCENARIOS'!#REF!</f>
        <v>#REF!</v>
      </c>
      <c r="B69" t="e">
        <f>'NWGC - SCENARIOS'!#REF!</f>
        <v>#REF!</v>
      </c>
      <c r="C69" s="58" t="e">
        <f ca="1">'Yoy WAR OG'!S70</f>
        <v>#REF!</v>
      </c>
      <c r="D69" s="58" t="e">
        <f ca="1">'Yoy WAR OG'!Y70</f>
        <v>#REF!</v>
      </c>
      <c r="E69" s="58" t="e">
        <f ca="1">'Yoy WAR OG'!AE70</f>
        <v>#REF!</v>
      </c>
      <c r="F69" s="58" t="e">
        <f ca="1">'Yoy WAR OG'!AK70</f>
        <v>#REF!</v>
      </c>
      <c r="G69" s="58" t="e">
        <f ca="1">'Yoy WAR OG'!AQ70</f>
        <v>#REF!</v>
      </c>
      <c r="H69" s="58" t="e">
        <f ca="1">'Yoy WAR OG'!AW70</f>
        <v>#REF!</v>
      </c>
      <c r="I69" s="58" t="e">
        <f ca="1">'Yoy WAR OG'!BC70</f>
        <v>#REF!</v>
      </c>
      <c r="J69" s="58" t="e">
        <f ca="1">'Yoy WAR OG'!BI70</f>
        <v>#REF!</v>
      </c>
      <c r="K69" s="58" t="e">
        <f ca="1">'Yoy WAR OG'!BO70</f>
        <v>#REF!</v>
      </c>
      <c r="L69" s="58" t="e">
        <f ca="1">'Yoy WAR OG'!BU70</f>
        <v>#REF!</v>
      </c>
      <c r="M69" s="58" t="e">
        <f ca="1">'Yoy WAR OG'!CA70</f>
        <v>#REF!</v>
      </c>
      <c r="N69" s="58" t="e">
        <f ca="1">'Yoy WAR OG'!CG70</f>
        <v>#REF!</v>
      </c>
      <c r="O69" s="58" t="e">
        <f ca="1">'Yoy WAR OG'!CM70</f>
        <v>#REF!</v>
      </c>
      <c r="P69" s="58" t="e">
        <f ca="1">'Yoy WAR OG'!CS70</f>
        <v>#REF!</v>
      </c>
      <c r="Q69" s="58">
        <f ca="1">'Yoy WAR OG'!CY70</f>
        <v>0</v>
      </c>
      <c r="R69" s="58" t="e">
        <f ca="1">'Yoy WAR OG'!DE70</f>
        <v>#REF!</v>
      </c>
      <c r="S69" s="58">
        <f ca="1">'Yoy WAR OG'!DK70</f>
        <v>0</v>
      </c>
      <c r="T69" s="58" t="e">
        <f ca="1">'Yoy WAR OG'!DQ70</f>
        <v>#REF!</v>
      </c>
      <c r="U69" s="58" t="e">
        <f ca="1">'Yoy WAR OG'!DW70</f>
        <v>#REF!</v>
      </c>
      <c r="V69" s="58" t="e">
        <f ca="1">'Yoy WAR OG'!EC70</f>
        <v>#REF!</v>
      </c>
      <c r="W69" s="58" t="e">
        <f ca="1">'Yoy WAR OG'!EI70</f>
        <v>#REF!</v>
      </c>
      <c r="X69" s="58">
        <f ca="1">'Yoy WAR OG'!EO70</f>
        <v>0</v>
      </c>
      <c r="Y69" s="58">
        <f ca="1">'Yoy WAR OG'!EU70</f>
        <v>0</v>
      </c>
      <c r="Z69" s="58">
        <f ca="1">'Yoy WAR OG'!FA70</f>
        <v>0</v>
      </c>
      <c r="AB69" s="200">
        <f t="shared" ca="1" si="26"/>
        <v>0</v>
      </c>
      <c r="AD69">
        <f t="shared" ca="1" si="27"/>
        <v>0</v>
      </c>
      <c r="AE69">
        <f t="shared" ca="1" si="28"/>
        <v>0</v>
      </c>
      <c r="AF69">
        <f t="shared" ca="1" si="29"/>
        <v>0</v>
      </c>
      <c r="AG69">
        <f t="shared" ca="1" si="30"/>
        <v>0</v>
      </c>
      <c r="AH69">
        <f t="shared" ca="1" si="31"/>
        <v>0</v>
      </c>
      <c r="AI69">
        <f t="shared" ca="1" si="32"/>
        <v>0</v>
      </c>
      <c r="AJ69">
        <f t="shared" ca="1" si="33"/>
        <v>0</v>
      </c>
      <c r="AK69">
        <f t="shared" ca="1" si="34"/>
        <v>0</v>
      </c>
      <c r="AL69">
        <f t="shared" ca="1" si="35"/>
        <v>0</v>
      </c>
      <c r="AM69">
        <f t="shared" ca="1" si="36"/>
        <v>0</v>
      </c>
      <c r="AN69">
        <f t="shared" ca="1" si="37"/>
        <v>0</v>
      </c>
      <c r="AO69">
        <f t="shared" ca="1" si="38"/>
        <v>0</v>
      </c>
      <c r="AP69">
        <f t="shared" ca="1" si="39"/>
        <v>0</v>
      </c>
      <c r="AQ69">
        <f t="shared" ca="1" si="40"/>
        <v>0</v>
      </c>
      <c r="AR69">
        <f t="shared" ca="1" si="41"/>
        <v>0</v>
      </c>
      <c r="AS69">
        <f t="shared" ca="1" si="42"/>
        <v>0</v>
      </c>
      <c r="AT69">
        <f t="shared" ca="1" si="43"/>
        <v>0</v>
      </c>
      <c r="AU69">
        <f t="shared" ca="1" si="44"/>
        <v>0</v>
      </c>
      <c r="AV69">
        <f t="shared" ca="1" si="45"/>
        <v>0</v>
      </c>
      <c r="AW69">
        <f t="shared" ca="1" si="46"/>
        <v>0</v>
      </c>
      <c r="AX69">
        <f t="shared" ca="1" si="47"/>
        <v>0</v>
      </c>
      <c r="AY69">
        <f t="shared" ca="1" si="48"/>
        <v>0</v>
      </c>
      <c r="AZ69">
        <f t="shared" ca="1" si="49"/>
        <v>0</v>
      </c>
      <c r="BA69">
        <f t="shared" ca="1" si="50"/>
        <v>0</v>
      </c>
    </row>
    <row r="70" spans="1:53" x14ac:dyDescent="0.3">
      <c r="A70" t="e">
        <f>'NWGC - SCENARIOS'!#REF!</f>
        <v>#REF!</v>
      </c>
      <c r="B70" t="e">
        <f>'NWGC - SCENARIOS'!#REF!</f>
        <v>#REF!</v>
      </c>
      <c r="C70" s="58" t="e">
        <f ca="1">'Yoy WAR OG'!S71</f>
        <v>#REF!</v>
      </c>
      <c r="D70" s="58" t="e">
        <f ca="1">'Yoy WAR OG'!Y71</f>
        <v>#REF!</v>
      </c>
      <c r="E70" s="58" t="e">
        <f ca="1">'Yoy WAR OG'!AE71</f>
        <v>#REF!</v>
      </c>
      <c r="F70" s="58" t="e">
        <f ca="1">'Yoy WAR OG'!AK71</f>
        <v>#REF!</v>
      </c>
      <c r="G70" s="58" t="e">
        <f ca="1">'Yoy WAR OG'!AQ71</f>
        <v>#REF!</v>
      </c>
      <c r="H70" s="58" t="e">
        <f ca="1">'Yoy WAR OG'!AW71</f>
        <v>#REF!</v>
      </c>
      <c r="I70" s="58" t="e">
        <f ca="1">'Yoy WAR OG'!BC71</f>
        <v>#REF!</v>
      </c>
      <c r="J70" s="58" t="e">
        <f ca="1">'Yoy WAR OG'!BI71</f>
        <v>#REF!</v>
      </c>
      <c r="K70" s="58" t="e">
        <f ca="1">'Yoy WAR OG'!BO71</f>
        <v>#REF!</v>
      </c>
      <c r="L70" s="58" t="e">
        <f ca="1">'Yoy WAR OG'!BU71</f>
        <v>#REF!</v>
      </c>
      <c r="M70" s="58" t="e">
        <f ca="1">'Yoy WAR OG'!CA71</f>
        <v>#REF!</v>
      </c>
      <c r="N70" s="58" t="e">
        <f ca="1">'Yoy WAR OG'!CG71</f>
        <v>#REF!</v>
      </c>
      <c r="O70" s="58" t="e">
        <f ca="1">'Yoy WAR OG'!CM71</f>
        <v>#REF!</v>
      </c>
      <c r="P70" s="58" t="e">
        <f ca="1">'Yoy WAR OG'!CS71</f>
        <v>#REF!</v>
      </c>
      <c r="Q70" s="58">
        <f ca="1">'Yoy WAR OG'!CY71</f>
        <v>0</v>
      </c>
      <c r="R70" s="58" t="e">
        <f ca="1">'Yoy WAR OG'!DE71</f>
        <v>#REF!</v>
      </c>
      <c r="S70" s="58">
        <f ca="1">'Yoy WAR OG'!DK71</f>
        <v>0</v>
      </c>
      <c r="T70" s="58" t="e">
        <f ca="1">'Yoy WAR OG'!DQ71</f>
        <v>#REF!</v>
      </c>
      <c r="U70" s="58" t="e">
        <f ca="1">'Yoy WAR OG'!DW71</f>
        <v>#REF!</v>
      </c>
      <c r="V70" s="58" t="e">
        <f ca="1">'Yoy WAR OG'!EC71</f>
        <v>#REF!</v>
      </c>
      <c r="W70" s="58" t="e">
        <f ca="1">'Yoy WAR OG'!EI71</f>
        <v>#REF!</v>
      </c>
      <c r="X70" s="58">
        <f ca="1">'Yoy WAR OG'!EO71</f>
        <v>0</v>
      </c>
      <c r="Y70" s="58">
        <f ca="1">'Yoy WAR OG'!EU71</f>
        <v>0</v>
      </c>
      <c r="Z70" s="58">
        <f ca="1">'Yoy WAR OG'!FA71</f>
        <v>0</v>
      </c>
      <c r="AB70" s="200">
        <f t="shared" ca="1" si="26"/>
        <v>0</v>
      </c>
      <c r="AD70">
        <f t="shared" ca="1" si="27"/>
        <v>0</v>
      </c>
      <c r="AE70">
        <f t="shared" ca="1" si="28"/>
        <v>0</v>
      </c>
      <c r="AF70">
        <f t="shared" ca="1" si="29"/>
        <v>0</v>
      </c>
      <c r="AG70">
        <f t="shared" ca="1" si="30"/>
        <v>0</v>
      </c>
      <c r="AH70">
        <f t="shared" ca="1" si="31"/>
        <v>0</v>
      </c>
      <c r="AI70">
        <f t="shared" ca="1" si="32"/>
        <v>0</v>
      </c>
      <c r="AJ70">
        <f t="shared" ca="1" si="33"/>
        <v>0</v>
      </c>
      <c r="AK70">
        <f t="shared" ca="1" si="34"/>
        <v>0</v>
      </c>
      <c r="AL70">
        <f t="shared" ca="1" si="35"/>
        <v>0</v>
      </c>
      <c r="AM70">
        <f t="shared" ca="1" si="36"/>
        <v>0</v>
      </c>
      <c r="AN70">
        <f t="shared" ca="1" si="37"/>
        <v>0</v>
      </c>
      <c r="AO70">
        <f t="shared" ca="1" si="38"/>
        <v>0</v>
      </c>
      <c r="AP70">
        <f t="shared" ca="1" si="39"/>
        <v>0</v>
      </c>
      <c r="AQ70">
        <f t="shared" ca="1" si="40"/>
        <v>0</v>
      </c>
      <c r="AR70">
        <f t="shared" ca="1" si="41"/>
        <v>0</v>
      </c>
      <c r="AS70">
        <f t="shared" ca="1" si="42"/>
        <v>0</v>
      </c>
      <c r="AT70">
        <f t="shared" ca="1" si="43"/>
        <v>0</v>
      </c>
      <c r="AU70">
        <f t="shared" ca="1" si="44"/>
        <v>0</v>
      </c>
      <c r="AV70">
        <f t="shared" ca="1" si="45"/>
        <v>0</v>
      </c>
      <c r="AW70">
        <f t="shared" ca="1" si="46"/>
        <v>0</v>
      </c>
      <c r="AX70">
        <f t="shared" ca="1" si="47"/>
        <v>0</v>
      </c>
      <c r="AY70">
        <f t="shared" ca="1" si="48"/>
        <v>0</v>
      </c>
      <c r="AZ70">
        <f t="shared" ca="1" si="49"/>
        <v>0</v>
      </c>
      <c r="BA70">
        <f t="shared" ca="1" si="50"/>
        <v>0</v>
      </c>
    </row>
    <row r="71" spans="1:53" x14ac:dyDescent="0.3">
      <c r="A71" t="e">
        <f>'NWGC - SCENARIOS'!#REF!</f>
        <v>#REF!</v>
      </c>
      <c r="B71" t="e">
        <f>'NWGC - SCENARIOS'!#REF!</f>
        <v>#REF!</v>
      </c>
      <c r="C71" s="58" t="e">
        <f ca="1">'Yoy WAR OG'!S72</f>
        <v>#REF!</v>
      </c>
      <c r="D71" s="58" t="e">
        <f ca="1">'Yoy WAR OG'!Y72</f>
        <v>#REF!</v>
      </c>
      <c r="E71" s="58" t="e">
        <f ca="1">'Yoy WAR OG'!AE72</f>
        <v>#REF!</v>
      </c>
      <c r="F71" s="58" t="e">
        <f ca="1">'Yoy WAR OG'!AK72</f>
        <v>#REF!</v>
      </c>
      <c r="G71" s="58" t="e">
        <f ca="1">'Yoy WAR OG'!AQ72</f>
        <v>#REF!</v>
      </c>
      <c r="H71" s="58" t="e">
        <f ca="1">'Yoy WAR OG'!AW72</f>
        <v>#REF!</v>
      </c>
      <c r="I71" s="58" t="e">
        <f ca="1">'Yoy WAR OG'!BC72</f>
        <v>#REF!</v>
      </c>
      <c r="J71" s="58" t="e">
        <f ca="1">'Yoy WAR OG'!BI72</f>
        <v>#REF!</v>
      </c>
      <c r="K71" s="58" t="e">
        <f ca="1">'Yoy WAR OG'!BO72</f>
        <v>#REF!</v>
      </c>
      <c r="L71" s="58" t="e">
        <f ca="1">'Yoy WAR OG'!BU72</f>
        <v>#REF!</v>
      </c>
      <c r="M71" s="58" t="e">
        <f ca="1">'Yoy WAR OG'!CA72</f>
        <v>#REF!</v>
      </c>
      <c r="N71" s="58" t="e">
        <f ca="1">'Yoy WAR OG'!CG72</f>
        <v>#REF!</v>
      </c>
      <c r="O71" s="58" t="e">
        <f ca="1">'Yoy WAR OG'!CM72</f>
        <v>#REF!</v>
      </c>
      <c r="P71" s="58" t="e">
        <f ca="1">'Yoy WAR OG'!CS72</f>
        <v>#REF!</v>
      </c>
      <c r="Q71" s="58">
        <f ca="1">'Yoy WAR OG'!CY72</f>
        <v>0</v>
      </c>
      <c r="R71" s="58" t="e">
        <f ca="1">'Yoy WAR OG'!DE72</f>
        <v>#REF!</v>
      </c>
      <c r="S71" s="58">
        <f ca="1">'Yoy WAR OG'!DK72</f>
        <v>0</v>
      </c>
      <c r="T71" s="58" t="e">
        <f ca="1">'Yoy WAR OG'!DQ72</f>
        <v>#REF!</v>
      </c>
      <c r="U71" s="58" t="e">
        <f ca="1">'Yoy WAR OG'!DW72</f>
        <v>#REF!</v>
      </c>
      <c r="V71" s="58" t="e">
        <f ca="1">'Yoy WAR OG'!EC72</f>
        <v>#REF!</v>
      </c>
      <c r="W71" s="58" t="e">
        <f ca="1">'Yoy WAR OG'!EI72</f>
        <v>#REF!</v>
      </c>
      <c r="X71" s="58">
        <f ca="1">'Yoy WAR OG'!EO72</f>
        <v>0</v>
      </c>
      <c r="Y71" s="58">
        <f ca="1">'Yoy WAR OG'!EU72</f>
        <v>0</v>
      </c>
      <c r="Z71" s="58">
        <f ca="1">'Yoy WAR OG'!FA72</f>
        <v>0</v>
      </c>
      <c r="AB71" s="200">
        <f t="shared" ca="1" si="26"/>
        <v>0</v>
      </c>
      <c r="AD71">
        <f t="shared" ca="1" si="27"/>
        <v>0</v>
      </c>
      <c r="AE71">
        <f t="shared" ca="1" si="28"/>
        <v>0</v>
      </c>
      <c r="AF71">
        <f t="shared" ca="1" si="29"/>
        <v>0</v>
      </c>
      <c r="AG71">
        <f t="shared" ca="1" si="30"/>
        <v>0</v>
      </c>
      <c r="AH71">
        <f t="shared" ca="1" si="31"/>
        <v>0</v>
      </c>
      <c r="AI71">
        <f t="shared" ca="1" si="32"/>
        <v>0</v>
      </c>
      <c r="AJ71">
        <f t="shared" ca="1" si="33"/>
        <v>0</v>
      </c>
      <c r="AK71">
        <f t="shared" ca="1" si="34"/>
        <v>0</v>
      </c>
      <c r="AL71">
        <f t="shared" ca="1" si="35"/>
        <v>0</v>
      </c>
      <c r="AM71">
        <f t="shared" ca="1" si="36"/>
        <v>0</v>
      </c>
      <c r="AN71">
        <f t="shared" ca="1" si="37"/>
        <v>0</v>
      </c>
      <c r="AO71">
        <f t="shared" ca="1" si="38"/>
        <v>0</v>
      </c>
      <c r="AP71">
        <f t="shared" ca="1" si="39"/>
        <v>0</v>
      </c>
      <c r="AQ71">
        <f t="shared" ca="1" si="40"/>
        <v>0</v>
      </c>
      <c r="AR71">
        <f t="shared" ca="1" si="41"/>
        <v>0</v>
      </c>
      <c r="AS71">
        <f t="shared" ca="1" si="42"/>
        <v>0</v>
      </c>
      <c r="AT71">
        <f t="shared" ca="1" si="43"/>
        <v>0</v>
      </c>
      <c r="AU71">
        <f t="shared" ca="1" si="44"/>
        <v>0</v>
      </c>
      <c r="AV71">
        <f t="shared" ca="1" si="45"/>
        <v>0</v>
      </c>
      <c r="AW71">
        <f t="shared" ca="1" si="46"/>
        <v>0</v>
      </c>
      <c r="AX71">
        <f t="shared" ca="1" si="47"/>
        <v>0</v>
      </c>
      <c r="AY71">
        <f t="shared" ca="1" si="48"/>
        <v>0</v>
      </c>
      <c r="AZ71">
        <f t="shared" ca="1" si="49"/>
        <v>0</v>
      </c>
      <c r="BA71">
        <f t="shared" ca="1" si="50"/>
        <v>0</v>
      </c>
    </row>
    <row r="72" spans="1:53" x14ac:dyDescent="0.3">
      <c r="A72" t="e">
        <f>'NWGC - SCENARIOS'!#REF!</f>
        <v>#REF!</v>
      </c>
      <c r="B72" t="e">
        <f>'NWGC - SCENARIOS'!#REF!</f>
        <v>#REF!</v>
      </c>
      <c r="C72" s="58" t="e">
        <f ca="1">'Yoy WAR OG'!S73</f>
        <v>#REF!</v>
      </c>
      <c r="D72" s="58" t="e">
        <f ca="1">'Yoy WAR OG'!Y73</f>
        <v>#REF!</v>
      </c>
      <c r="E72" s="58" t="e">
        <f ca="1">'Yoy WAR OG'!AE73</f>
        <v>#REF!</v>
      </c>
      <c r="F72" s="58" t="e">
        <f ca="1">'Yoy WAR OG'!AK73</f>
        <v>#REF!</v>
      </c>
      <c r="G72" s="58" t="e">
        <f ca="1">'Yoy WAR OG'!AQ73</f>
        <v>#REF!</v>
      </c>
      <c r="H72" s="58" t="e">
        <f ca="1">'Yoy WAR OG'!AW73</f>
        <v>#REF!</v>
      </c>
      <c r="I72" s="58" t="e">
        <f ca="1">'Yoy WAR OG'!BC73</f>
        <v>#REF!</v>
      </c>
      <c r="J72" s="58" t="e">
        <f ca="1">'Yoy WAR OG'!BI73</f>
        <v>#REF!</v>
      </c>
      <c r="K72" s="58" t="e">
        <f ca="1">'Yoy WAR OG'!BO73</f>
        <v>#REF!</v>
      </c>
      <c r="L72" s="58" t="e">
        <f ca="1">'Yoy WAR OG'!BU73</f>
        <v>#REF!</v>
      </c>
      <c r="M72" s="58" t="e">
        <f ca="1">'Yoy WAR OG'!CA73</f>
        <v>#REF!</v>
      </c>
      <c r="N72" s="58" t="e">
        <f ca="1">'Yoy WAR OG'!CG73</f>
        <v>#REF!</v>
      </c>
      <c r="O72" s="58" t="e">
        <f ca="1">'Yoy WAR OG'!CM73</f>
        <v>#REF!</v>
      </c>
      <c r="P72" s="58" t="e">
        <f ca="1">'Yoy WAR OG'!CS73</f>
        <v>#REF!</v>
      </c>
      <c r="Q72" s="58">
        <f ca="1">'Yoy WAR OG'!CY73</f>
        <v>0</v>
      </c>
      <c r="R72" s="58" t="e">
        <f ca="1">'Yoy WAR OG'!DE73</f>
        <v>#REF!</v>
      </c>
      <c r="S72" s="58">
        <f ca="1">'Yoy WAR OG'!DK73</f>
        <v>0</v>
      </c>
      <c r="T72" s="58" t="e">
        <f ca="1">'Yoy WAR OG'!DQ73</f>
        <v>#REF!</v>
      </c>
      <c r="U72" s="58" t="e">
        <f ca="1">'Yoy WAR OG'!DW73</f>
        <v>#REF!</v>
      </c>
      <c r="V72" s="58" t="e">
        <f ca="1">'Yoy WAR OG'!EC73</f>
        <v>#REF!</v>
      </c>
      <c r="W72" s="58" t="e">
        <f ca="1">'Yoy WAR OG'!EI73</f>
        <v>#REF!</v>
      </c>
      <c r="X72" s="58">
        <f ca="1">'Yoy WAR OG'!EO73</f>
        <v>0</v>
      </c>
      <c r="Y72" s="58">
        <f ca="1">'Yoy WAR OG'!EU73</f>
        <v>0</v>
      </c>
      <c r="Z72" s="58">
        <f ca="1">'Yoy WAR OG'!FA73</f>
        <v>0</v>
      </c>
      <c r="AB72" s="200">
        <f t="shared" ca="1" si="26"/>
        <v>0</v>
      </c>
      <c r="AD72">
        <f t="shared" ca="1" si="27"/>
        <v>0</v>
      </c>
      <c r="AE72">
        <f t="shared" ca="1" si="28"/>
        <v>0</v>
      </c>
      <c r="AF72">
        <f t="shared" ca="1" si="29"/>
        <v>0</v>
      </c>
      <c r="AG72">
        <f t="shared" ca="1" si="30"/>
        <v>0</v>
      </c>
      <c r="AH72">
        <f t="shared" ca="1" si="31"/>
        <v>0</v>
      </c>
      <c r="AI72">
        <f t="shared" ca="1" si="32"/>
        <v>0</v>
      </c>
      <c r="AJ72">
        <f t="shared" ca="1" si="33"/>
        <v>0</v>
      </c>
      <c r="AK72">
        <f t="shared" ca="1" si="34"/>
        <v>0</v>
      </c>
      <c r="AL72">
        <f t="shared" ca="1" si="35"/>
        <v>0</v>
      </c>
      <c r="AM72">
        <f t="shared" ca="1" si="36"/>
        <v>0</v>
      </c>
      <c r="AN72">
        <f t="shared" ca="1" si="37"/>
        <v>0</v>
      </c>
      <c r="AO72">
        <f t="shared" ca="1" si="38"/>
        <v>0</v>
      </c>
      <c r="AP72">
        <f t="shared" ca="1" si="39"/>
        <v>0</v>
      </c>
      <c r="AQ72">
        <f t="shared" ca="1" si="40"/>
        <v>0</v>
      </c>
      <c r="AR72">
        <f t="shared" ca="1" si="41"/>
        <v>0</v>
      </c>
      <c r="AS72">
        <f t="shared" ca="1" si="42"/>
        <v>0</v>
      </c>
      <c r="AT72">
        <f t="shared" ca="1" si="43"/>
        <v>0</v>
      </c>
      <c r="AU72">
        <f t="shared" ca="1" si="44"/>
        <v>0</v>
      </c>
      <c r="AV72">
        <f t="shared" ca="1" si="45"/>
        <v>0</v>
      </c>
      <c r="AW72">
        <f t="shared" ca="1" si="46"/>
        <v>0</v>
      </c>
      <c r="AX72">
        <f t="shared" ca="1" si="47"/>
        <v>0</v>
      </c>
      <c r="AY72">
        <f t="shared" ca="1" si="48"/>
        <v>0</v>
      </c>
      <c r="AZ72">
        <f t="shared" ca="1" si="49"/>
        <v>0</v>
      </c>
      <c r="BA72">
        <f t="shared" ca="1" si="50"/>
        <v>0</v>
      </c>
    </row>
    <row r="73" spans="1:53" x14ac:dyDescent="0.3">
      <c r="A73" t="e">
        <f>'NWGC - SCENARIOS'!#REF!</f>
        <v>#REF!</v>
      </c>
      <c r="B73" t="e">
        <f>'NWGC - SCENARIOS'!#REF!</f>
        <v>#REF!</v>
      </c>
      <c r="C73" s="58" t="e">
        <f ca="1">'Yoy WAR OG'!S74</f>
        <v>#REF!</v>
      </c>
      <c r="D73" s="58" t="e">
        <f ca="1">'Yoy WAR OG'!Y74</f>
        <v>#REF!</v>
      </c>
      <c r="E73" s="58" t="e">
        <f ca="1">'Yoy WAR OG'!AE74</f>
        <v>#REF!</v>
      </c>
      <c r="F73" s="58" t="e">
        <f ca="1">'Yoy WAR OG'!AK74</f>
        <v>#REF!</v>
      </c>
      <c r="G73" s="58" t="e">
        <f ca="1">'Yoy WAR OG'!AQ74</f>
        <v>#REF!</v>
      </c>
      <c r="H73" s="58" t="e">
        <f ca="1">'Yoy WAR OG'!AW74</f>
        <v>#REF!</v>
      </c>
      <c r="I73" s="58" t="e">
        <f ca="1">'Yoy WAR OG'!BC74</f>
        <v>#REF!</v>
      </c>
      <c r="J73" s="58" t="e">
        <f ca="1">'Yoy WAR OG'!BI74</f>
        <v>#REF!</v>
      </c>
      <c r="K73" s="58" t="e">
        <f ca="1">'Yoy WAR OG'!BO74</f>
        <v>#REF!</v>
      </c>
      <c r="L73" s="58" t="e">
        <f ca="1">'Yoy WAR OG'!BU74</f>
        <v>#REF!</v>
      </c>
      <c r="M73" s="58" t="e">
        <f ca="1">'Yoy WAR OG'!CA74</f>
        <v>#REF!</v>
      </c>
      <c r="N73" s="58" t="e">
        <f ca="1">'Yoy WAR OG'!CG74</f>
        <v>#REF!</v>
      </c>
      <c r="O73" s="58" t="e">
        <f ca="1">'Yoy WAR OG'!CM74</f>
        <v>#REF!</v>
      </c>
      <c r="P73" s="58" t="e">
        <f ca="1">'Yoy WAR OG'!CS74</f>
        <v>#REF!</v>
      </c>
      <c r="Q73" s="58">
        <f ca="1">'Yoy WAR OG'!CY74</f>
        <v>0</v>
      </c>
      <c r="R73" s="58" t="e">
        <f ca="1">'Yoy WAR OG'!DE74</f>
        <v>#REF!</v>
      </c>
      <c r="S73" s="58">
        <f ca="1">'Yoy WAR OG'!DK74</f>
        <v>0</v>
      </c>
      <c r="T73" s="58" t="e">
        <f ca="1">'Yoy WAR OG'!DQ74</f>
        <v>#REF!</v>
      </c>
      <c r="U73" s="58" t="e">
        <f ca="1">'Yoy WAR OG'!DW74</f>
        <v>#REF!</v>
      </c>
      <c r="V73" s="58" t="e">
        <f ca="1">'Yoy WAR OG'!EC74</f>
        <v>#REF!</v>
      </c>
      <c r="W73" s="58" t="e">
        <f ca="1">'Yoy WAR OG'!EI74</f>
        <v>#REF!</v>
      </c>
      <c r="X73" s="58">
        <f ca="1">'Yoy WAR OG'!EO74</f>
        <v>0</v>
      </c>
      <c r="Y73" s="58">
        <f ca="1">'Yoy WAR OG'!EU74</f>
        <v>0</v>
      </c>
      <c r="Z73" s="58">
        <f ca="1">'Yoy WAR OG'!FA74</f>
        <v>0</v>
      </c>
      <c r="AB73" s="200">
        <f t="shared" ca="1" si="26"/>
        <v>0</v>
      </c>
      <c r="AD73">
        <f t="shared" ca="1" si="27"/>
        <v>0</v>
      </c>
      <c r="AE73">
        <f t="shared" ca="1" si="28"/>
        <v>0</v>
      </c>
      <c r="AF73">
        <f t="shared" ca="1" si="29"/>
        <v>0</v>
      </c>
      <c r="AG73">
        <f t="shared" ca="1" si="30"/>
        <v>0</v>
      </c>
      <c r="AH73">
        <f t="shared" ca="1" si="31"/>
        <v>0</v>
      </c>
      <c r="AI73">
        <f t="shared" ca="1" si="32"/>
        <v>0</v>
      </c>
      <c r="AJ73">
        <f t="shared" ca="1" si="33"/>
        <v>0</v>
      </c>
      <c r="AK73">
        <f t="shared" ca="1" si="34"/>
        <v>0</v>
      </c>
      <c r="AL73">
        <f t="shared" ca="1" si="35"/>
        <v>0</v>
      </c>
      <c r="AM73">
        <f t="shared" ca="1" si="36"/>
        <v>0</v>
      </c>
      <c r="AN73">
        <f t="shared" ca="1" si="37"/>
        <v>0</v>
      </c>
      <c r="AO73">
        <f t="shared" ca="1" si="38"/>
        <v>0</v>
      </c>
      <c r="AP73">
        <f t="shared" ca="1" si="39"/>
        <v>0</v>
      </c>
      <c r="AQ73">
        <f t="shared" ca="1" si="40"/>
        <v>0</v>
      </c>
      <c r="AR73">
        <f t="shared" ca="1" si="41"/>
        <v>0</v>
      </c>
      <c r="AS73">
        <f t="shared" ca="1" si="42"/>
        <v>0</v>
      </c>
      <c r="AT73">
        <f t="shared" ca="1" si="43"/>
        <v>0</v>
      </c>
      <c r="AU73">
        <f t="shared" ca="1" si="44"/>
        <v>0</v>
      </c>
      <c r="AV73">
        <f t="shared" ca="1" si="45"/>
        <v>0</v>
      </c>
      <c r="AW73">
        <f t="shared" ca="1" si="46"/>
        <v>0</v>
      </c>
      <c r="AX73">
        <f t="shared" ca="1" si="47"/>
        <v>0</v>
      </c>
      <c r="AY73">
        <f t="shared" ca="1" si="48"/>
        <v>0</v>
      </c>
      <c r="AZ73">
        <f t="shared" ca="1" si="49"/>
        <v>0</v>
      </c>
      <c r="BA73">
        <f t="shared" ca="1" si="50"/>
        <v>0</v>
      </c>
    </row>
    <row r="74" spans="1:53" x14ac:dyDescent="0.3">
      <c r="A74" t="e">
        <f>'NWGC - SCENARIOS'!#REF!</f>
        <v>#REF!</v>
      </c>
      <c r="B74" t="e">
        <f>'NWGC - SCENARIOS'!#REF!</f>
        <v>#REF!</v>
      </c>
      <c r="C74" s="58" t="e">
        <f ca="1">'Yoy WAR OG'!S75</f>
        <v>#REF!</v>
      </c>
      <c r="D74" s="58" t="e">
        <f ca="1">'Yoy WAR OG'!Y75</f>
        <v>#REF!</v>
      </c>
      <c r="E74" s="58" t="e">
        <f ca="1">'Yoy WAR OG'!AE75</f>
        <v>#REF!</v>
      </c>
      <c r="F74" s="58" t="e">
        <f ca="1">'Yoy WAR OG'!AK75</f>
        <v>#REF!</v>
      </c>
      <c r="G74" s="58" t="e">
        <f ca="1">'Yoy WAR OG'!AQ75</f>
        <v>#REF!</v>
      </c>
      <c r="H74" s="58" t="e">
        <f ca="1">'Yoy WAR OG'!AW75</f>
        <v>#REF!</v>
      </c>
      <c r="I74" s="58" t="e">
        <f ca="1">'Yoy WAR OG'!BC75</f>
        <v>#REF!</v>
      </c>
      <c r="J74" s="58" t="e">
        <f ca="1">'Yoy WAR OG'!BI75</f>
        <v>#REF!</v>
      </c>
      <c r="K74" s="58" t="e">
        <f ca="1">'Yoy WAR OG'!BO75</f>
        <v>#REF!</v>
      </c>
      <c r="L74" s="58" t="e">
        <f ca="1">'Yoy WAR OG'!BU75</f>
        <v>#REF!</v>
      </c>
      <c r="M74" s="58" t="e">
        <f ca="1">'Yoy WAR OG'!CA75</f>
        <v>#REF!</v>
      </c>
      <c r="N74" s="58" t="e">
        <f ca="1">'Yoy WAR OG'!CG75</f>
        <v>#REF!</v>
      </c>
      <c r="O74" s="58" t="e">
        <f ca="1">'Yoy WAR OG'!CM75</f>
        <v>#REF!</v>
      </c>
      <c r="P74" s="58" t="e">
        <f ca="1">'Yoy WAR OG'!CS75</f>
        <v>#REF!</v>
      </c>
      <c r="Q74" s="58">
        <f ca="1">'Yoy WAR OG'!CY75</f>
        <v>0</v>
      </c>
      <c r="R74" s="58" t="e">
        <f ca="1">'Yoy WAR OG'!DE75</f>
        <v>#REF!</v>
      </c>
      <c r="S74" s="58">
        <f ca="1">'Yoy WAR OG'!DK75</f>
        <v>0</v>
      </c>
      <c r="T74" s="58" t="e">
        <f ca="1">'Yoy WAR OG'!DQ75</f>
        <v>#REF!</v>
      </c>
      <c r="U74" s="58" t="e">
        <f ca="1">'Yoy WAR OG'!DW75</f>
        <v>#REF!</v>
      </c>
      <c r="V74" s="58" t="e">
        <f ca="1">'Yoy WAR OG'!EC75</f>
        <v>#REF!</v>
      </c>
      <c r="W74" s="58" t="e">
        <f ca="1">'Yoy WAR OG'!EI75</f>
        <v>#REF!</v>
      </c>
      <c r="X74" s="58">
        <f ca="1">'Yoy WAR OG'!EO75</f>
        <v>0</v>
      </c>
      <c r="Y74" s="58">
        <f ca="1">'Yoy WAR OG'!EU75</f>
        <v>0</v>
      </c>
      <c r="Z74" s="58">
        <f ca="1">'Yoy WAR OG'!FA75</f>
        <v>0</v>
      </c>
      <c r="AB74" s="200">
        <f t="shared" ca="1" si="26"/>
        <v>0</v>
      </c>
      <c r="AD74">
        <f t="shared" ca="1" si="27"/>
        <v>0</v>
      </c>
      <c r="AE74">
        <f t="shared" ca="1" si="28"/>
        <v>0</v>
      </c>
      <c r="AF74">
        <f t="shared" ca="1" si="29"/>
        <v>0</v>
      </c>
      <c r="AG74">
        <f t="shared" ca="1" si="30"/>
        <v>0</v>
      </c>
      <c r="AH74">
        <f t="shared" ca="1" si="31"/>
        <v>0</v>
      </c>
      <c r="AI74">
        <f t="shared" ca="1" si="32"/>
        <v>0</v>
      </c>
      <c r="AJ74">
        <f t="shared" ca="1" si="33"/>
        <v>0</v>
      </c>
      <c r="AK74">
        <f t="shared" ca="1" si="34"/>
        <v>0</v>
      </c>
      <c r="AL74">
        <f t="shared" ca="1" si="35"/>
        <v>0</v>
      </c>
      <c r="AM74">
        <f t="shared" ca="1" si="36"/>
        <v>0</v>
      </c>
      <c r="AN74">
        <f t="shared" ca="1" si="37"/>
        <v>0</v>
      </c>
      <c r="AO74">
        <f t="shared" ca="1" si="38"/>
        <v>0</v>
      </c>
      <c r="AP74">
        <f t="shared" ca="1" si="39"/>
        <v>0</v>
      </c>
      <c r="AQ74">
        <f t="shared" ca="1" si="40"/>
        <v>0</v>
      </c>
      <c r="AR74">
        <f t="shared" ca="1" si="41"/>
        <v>0</v>
      </c>
      <c r="AS74">
        <f t="shared" ca="1" si="42"/>
        <v>0</v>
      </c>
      <c r="AT74">
        <f t="shared" ca="1" si="43"/>
        <v>0</v>
      </c>
      <c r="AU74">
        <f t="shared" ca="1" si="44"/>
        <v>0</v>
      </c>
      <c r="AV74">
        <f t="shared" ca="1" si="45"/>
        <v>0</v>
      </c>
      <c r="AW74">
        <f t="shared" ca="1" si="46"/>
        <v>0</v>
      </c>
      <c r="AX74">
        <f t="shared" ca="1" si="47"/>
        <v>0</v>
      </c>
      <c r="AY74">
        <f t="shared" ca="1" si="48"/>
        <v>0</v>
      </c>
      <c r="AZ74">
        <f t="shared" ca="1" si="49"/>
        <v>0</v>
      </c>
      <c r="BA74">
        <f t="shared" ca="1" si="50"/>
        <v>0</v>
      </c>
    </row>
    <row r="75" spans="1:53" x14ac:dyDescent="0.3">
      <c r="A75" t="e">
        <f>'NWGC - SCENARIOS'!#REF!</f>
        <v>#REF!</v>
      </c>
      <c r="B75" t="e">
        <f>'NWGC - SCENARIOS'!#REF!</f>
        <v>#REF!</v>
      </c>
      <c r="C75" s="58" t="e">
        <f ca="1">'Yoy WAR OG'!S76</f>
        <v>#REF!</v>
      </c>
      <c r="D75" s="58" t="e">
        <f ca="1">'Yoy WAR OG'!Y76</f>
        <v>#REF!</v>
      </c>
      <c r="E75" s="58" t="e">
        <f ca="1">'Yoy WAR OG'!AE76</f>
        <v>#REF!</v>
      </c>
      <c r="F75" s="58" t="e">
        <f ca="1">'Yoy WAR OG'!AK76</f>
        <v>#REF!</v>
      </c>
      <c r="G75" s="58" t="e">
        <f ca="1">'Yoy WAR OG'!AQ76</f>
        <v>#REF!</v>
      </c>
      <c r="H75" s="58" t="e">
        <f ca="1">'Yoy WAR OG'!AW76</f>
        <v>#REF!</v>
      </c>
      <c r="I75" s="58" t="e">
        <f ca="1">'Yoy WAR OG'!BC76</f>
        <v>#REF!</v>
      </c>
      <c r="J75" s="58" t="e">
        <f ca="1">'Yoy WAR OG'!BI76</f>
        <v>#REF!</v>
      </c>
      <c r="K75" s="58" t="e">
        <f ca="1">'Yoy WAR OG'!BO76</f>
        <v>#REF!</v>
      </c>
      <c r="L75" s="58" t="e">
        <f ca="1">'Yoy WAR OG'!BU76</f>
        <v>#REF!</v>
      </c>
      <c r="M75" s="58" t="e">
        <f ca="1">'Yoy WAR OG'!CA76</f>
        <v>#REF!</v>
      </c>
      <c r="N75" s="58" t="e">
        <f ca="1">'Yoy WAR OG'!CG76</f>
        <v>#REF!</v>
      </c>
      <c r="O75" s="58" t="e">
        <f ca="1">'Yoy WAR OG'!CM76</f>
        <v>#REF!</v>
      </c>
      <c r="P75" s="58" t="e">
        <f ca="1">'Yoy WAR OG'!CS76</f>
        <v>#REF!</v>
      </c>
      <c r="Q75" s="58">
        <f ca="1">'Yoy WAR OG'!CY76</f>
        <v>0</v>
      </c>
      <c r="R75" s="58" t="e">
        <f ca="1">'Yoy WAR OG'!DE76</f>
        <v>#REF!</v>
      </c>
      <c r="S75" s="58">
        <f ca="1">'Yoy WAR OG'!DK76</f>
        <v>0</v>
      </c>
      <c r="T75" s="58" t="e">
        <f ca="1">'Yoy WAR OG'!DQ76</f>
        <v>#REF!</v>
      </c>
      <c r="U75" s="58" t="e">
        <f ca="1">'Yoy WAR OG'!DW76</f>
        <v>#REF!</v>
      </c>
      <c r="V75" s="58" t="e">
        <f ca="1">'Yoy WAR OG'!EC76</f>
        <v>#REF!</v>
      </c>
      <c r="W75" s="58" t="e">
        <f ca="1">'Yoy WAR OG'!EI76</f>
        <v>#REF!</v>
      </c>
      <c r="X75" s="58">
        <f ca="1">'Yoy WAR OG'!EO76</f>
        <v>0</v>
      </c>
      <c r="Y75" s="58">
        <f ca="1">'Yoy WAR OG'!EU76</f>
        <v>0</v>
      </c>
      <c r="Z75" s="58">
        <f ca="1">'Yoy WAR OG'!FA76</f>
        <v>0</v>
      </c>
      <c r="AB75" s="200">
        <f t="shared" ca="1" si="26"/>
        <v>0</v>
      </c>
      <c r="AD75">
        <f t="shared" ca="1" si="27"/>
        <v>0</v>
      </c>
      <c r="AE75">
        <f t="shared" ca="1" si="28"/>
        <v>0</v>
      </c>
      <c r="AF75">
        <f t="shared" ca="1" si="29"/>
        <v>0</v>
      </c>
      <c r="AG75">
        <f t="shared" ca="1" si="30"/>
        <v>0</v>
      </c>
      <c r="AH75">
        <f t="shared" ca="1" si="31"/>
        <v>0</v>
      </c>
      <c r="AI75">
        <f t="shared" ca="1" si="32"/>
        <v>0</v>
      </c>
      <c r="AJ75">
        <f t="shared" ca="1" si="33"/>
        <v>0</v>
      </c>
      <c r="AK75">
        <f t="shared" ca="1" si="34"/>
        <v>0</v>
      </c>
      <c r="AL75">
        <f t="shared" ca="1" si="35"/>
        <v>0</v>
      </c>
      <c r="AM75">
        <f t="shared" ca="1" si="36"/>
        <v>0</v>
      </c>
      <c r="AN75">
        <f t="shared" ca="1" si="37"/>
        <v>0</v>
      </c>
      <c r="AO75">
        <f t="shared" ca="1" si="38"/>
        <v>0</v>
      </c>
      <c r="AP75">
        <f t="shared" ca="1" si="39"/>
        <v>0</v>
      </c>
      <c r="AQ75">
        <f t="shared" ca="1" si="40"/>
        <v>0</v>
      </c>
      <c r="AR75">
        <f t="shared" ca="1" si="41"/>
        <v>0</v>
      </c>
      <c r="AS75">
        <f t="shared" ca="1" si="42"/>
        <v>0</v>
      </c>
      <c r="AT75">
        <f t="shared" ca="1" si="43"/>
        <v>0</v>
      </c>
      <c r="AU75">
        <f t="shared" ca="1" si="44"/>
        <v>0</v>
      </c>
      <c r="AV75">
        <f t="shared" ca="1" si="45"/>
        <v>0</v>
      </c>
      <c r="AW75">
        <f t="shared" ca="1" si="46"/>
        <v>0</v>
      </c>
      <c r="AX75">
        <f t="shared" ca="1" si="47"/>
        <v>0</v>
      </c>
      <c r="AY75">
        <f t="shared" ca="1" si="48"/>
        <v>0</v>
      </c>
      <c r="AZ75">
        <f t="shared" ca="1" si="49"/>
        <v>0</v>
      </c>
      <c r="BA75">
        <f t="shared" ca="1" si="50"/>
        <v>0</v>
      </c>
    </row>
    <row r="76" spans="1:53" x14ac:dyDescent="0.3">
      <c r="A76" t="e">
        <f>'NWGC - SCENARIOS'!#REF!</f>
        <v>#REF!</v>
      </c>
      <c r="B76" t="e">
        <f>'NWGC - SCENARIOS'!#REF!</f>
        <v>#REF!</v>
      </c>
      <c r="C76" s="58" t="e">
        <f ca="1">'Yoy WAR OG'!S77</f>
        <v>#REF!</v>
      </c>
      <c r="D76" s="58" t="e">
        <f ca="1">'Yoy WAR OG'!Y77</f>
        <v>#REF!</v>
      </c>
      <c r="E76" s="58" t="e">
        <f ca="1">'Yoy WAR OG'!AE77</f>
        <v>#REF!</v>
      </c>
      <c r="F76" s="58" t="e">
        <f ca="1">'Yoy WAR OG'!AK77</f>
        <v>#REF!</v>
      </c>
      <c r="G76" s="58" t="e">
        <f ca="1">'Yoy WAR OG'!AQ77</f>
        <v>#REF!</v>
      </c>
      <c r="H76" s="58" t="e">
        <f ca="1">'Yoy WAR OG'!AW77</f>
        <v>#REF!</v>
      </c>
      <c r="I76" s="58" t="e">
        <f ca="1">'Yoy WAR OG'!BC77</f>
        <v>#REF!</v>
      </c>
      <c r="J76" s="58" t="e">
        <f ca="1">'Yoy WAR OG'!BI77</f>
        <v>#REF!</v>
      </c>
      <c r="K76" s="58" t="e">
        <f ca="1">'Yoy WAR OG'!BO77</f>
        <v>#REF!</v>
      </c>
      <c r="L76" s="58" t="e">
        <f ca="1">'Yoy WAR OG'!BU77</f>
        <v>#REF!</v>
      </c>
      <c r="M76" s="58" t="e">
        <f ca="1">'Yoy WAR OG'!CA77</f>
        <v>#REF!</v>
      </c>
      <c r="N76" s="58" t="e">
        <f ca="1">'Yoy WAR OG'!CG77</f>
        <v>#REF!</v>
      </c>
      <c r="O76" s="58" t="e">
        <f ca="1">'Yoy WAR OG'!CM77</f>
        <v>#REF!</v>
      </c>
      <c r="P76" s="58" t="e">
        <f ca="1">'Yoy WAR OG'!CS77</f>
        <v>#REF!</v>
      </c>
      <c r="Q76" s="58">
        <f ca="1">'Yoy WAR OG'!CY77</f>
        <v>0</v>
      </c>
      <c r="R76" s="58" t="e">
        <f ca="1">'Yoy WAR OG'!DE77</f>
        <v>#REF!</v>
      </c>
      <c r="S76" s="58">
        <f ca="1">'Yoy WAR OG'!DK77</f>
        <v>0</v>
      </c>
      <c r="T76" s="58" t="e">
        <f ca="1">'Yoy WAR OG'!DQ77</f>
        <v>#REF!</v>
      </c>
      <c r="U76" s="58" t="e">
        <f ca="1">'Yoy WAR OG'!DW77</f>
        <v>#REF!</v>
      </c>
      <c r="V76" s="58" t="e">
        <f ca="1">'Yoy WAR OG'!EC77</f>
        <v>#REF!</v>
      </c>
      <c r="W76" s="58" t="e">
        <f ca="1">'Yoy WAR OG'!EI77</f>
        <v>#REF!</v>
      </c>
      <c r="X76" s="58">
        <f ca="1">'Yoy WAR OG'!EO77</f>
        <v>0</v>
      </c>
      <c r="Y76" s="58">
        <f ca="1">'Yoy WAR OG'!EU77</f>
        <v>0</v>
      </c>
      <c r="Z76" s="58">
        <f ca="1">'Yoy WAR OG'!FA77</f>
        <v>0</v>
      </c>
      <c r="AB76" s="200">
        <f t="shared" ca="1" si="26"/>
        <v>0</v>
      </c>
      <c r="AD76">
        <f t="shared" ca="1" si="27"/>
        <v>0</v>
      </c>
      <c r="AE76">
        <f t="shared" ca="1" si="28"/>
        <v>0</v>
      </c>
      <c r="AF76">
        <f t="shared" ca="1" si="29"/>
        <v>0</v>
      </c>
      <c r="AG76">
        <f t="shared" ca="1" si="30"/>
        <v>0</v>
      </c>
      <c r="AH76">
        <f t="shared" ca="1" si="31"/>
        <v>0</v>
      </c>
      <c r="AI76">
        <f t="shared" ca="1" si="32"/>
        <v>0</v>
      </c>
      <c r="AJ76">
        <f t="shared" ca="1" si="33"/>
        <v>0</v>
      </c>
      <c r="AK76">
        <f t="shared" ca="1" si="34"/>
        <v>0</v>
      </c>
      <c r="AL76">
        <f t="shared" ca="1" si="35"/>
        <v>0</v>
      </c>
      <c r="AM76">
        <f t="shared" ca="1" si="36"/>
        <v>0</v>
      </c>
      <c r="AN76">
        <f t="shared" ca="1" si="37"/>
        <v>0</v>
      </c>
      <c r="AO76">
        <f t="shared" ca="1" si="38"/>
        <v>0</v>
      </c>
      <c r="AP76">
        <f t="shared" ca="1" si="39"/>
        <v>0</v>
      </c>
      <c r="AQ76">
        <f t="shared" ca="1" si="40"/>
        <v>0</v>
      </c>
      <c r="AR76">
        <f t="shared" ca="1" si="41"/>
        <v>0</v>
      </c>
      <c r="AS76">
        <f t="shared" ca="1" si="42"/>
        <v>0</v>
      </c>
      <c r="AT76">
        <f t="shared" ca="1" si="43"/>
        <v>0</v>
      </c>
      <c r="AU76">
        <f t="shared" ca="1" si="44"/>
        <v>0</v>
      </c>
      <c r="AV76">
        <f t="shared" ca="1" si="45"/>
        <v>0</v>
      </c>
      <c r="AW76">
        <f t="shared" ca="1" si="46"/>
        <v>0</v>
      </c>
      <c r="AX76">
        <f t="shared" ca="1" si="47"/>
        <v>0</v>
      </c>
      <c r="AY76">
        <f t="shared" ca="1" si="48"/>
        <v>0</v>
      </c>
      <c r="AZ76">
        <f t="shared" ca="1" si="49"/>
        <v>0</v>
      </c>
      <c r="BA76">
        <f t="shared" ca="1" si="50"/>
        <v>0</v>
      </c>
    </row>
    <row r="77" spans="1:53" x14ac:dyDescent="0.3">
      <c r="A77" t="e">
        <f>'NWGC - SCENARIOS'!#REF!</f>
        <v>#REF!</v>
      </c>
      <c r="B77" t="e">
        <f>'NWGC - SCENARIOS'!#REF!</f>
        <v>#REF!</v>
      </c>
      <c r="C77" s="58" t="e">
        <f ca="1">'Yoy WAR OG'!S78</f>
        <v>#REF!</v>
      </c>
      <c r="D77" s="58" t="e">
        <f ca="1">'Yoy WAR OG'!Y78</f>
        <v>#REF!</v>
      </c>
      <c r="E77" s="58" t="e">
        <f ca="1">'Yoy WAR OG'!AE78</f>
        <v>#REF!</v>
      </c>
      <c r="F77" s="58" t="e">
        <f ca="1">'Yoy WAR OG'!AK78</f>
        <v>#REF!</v>
      </c>
      <c r="G77" s="58" t="e">
        <f ca="1">'Yoy WAR OG'!AQ78</f>
        <v>#REF!</v>
      </c>
      <c r="H77" s="58" t="e">
        <f ca="1">'Yoy WAR OG'!AW78</f>
        <v>#REF!</v>
      </c>
      <c r="I77" s="58" t="e">
        <f ca="1">'Yoy WAR OG'!BC78</f>
        <v>#REF!</v>
      </c>
      <c r="J77" s="58" t="e">
        <f ca="1">'Yoy WAR OG'!BI78</f>
        <v>#REF!</v>
      </c>
      <c r="K77" s="58" t="e">
        <f ca="1">'Yoy WAR OG'!BO78</f>
        <v>#REF!</v>
      </c>
      <c r="L77" s="58" t="e">
        <f ca="1">'Yoy WAR OG'!BU78</f>
        <v>#REF!</v>
      </c>
      <c r="M77" s="58" t="e">
        <f ca="1">'Yoy WAR OG'!CA78</f>
        <v>#REF!</v>
      </c>
      <c r="N77" s="58" t="e">
        <f ca="1">'Yoy WAR OG'!CG78</f>
        <v>#REF!</v>
      </c>
      <c r="O77" s="58" t="e">
        <f ca="1">'Yoy WAR OG'!CM78</f>
        <v>#REF!</v>
      </c>
      <c r="P77" s="58" t="e">
        <f ca="1">'Yoy WAR OG'!CS78</f>
        <v>#REF!</v>
      </c>
      <c r="Q77" s="58">
        <f ca="1">'Yoy WAR OG'!CY78</f>
        <v>0</v>
      </c>
      <c r="R77" s="58" t="e">
        <f ca="1">'Yoy WAR OG'!DE78</f>
        <v>#REF!</v>
      </c>
      <c r="S77" s="58">
        <f ca="1">'Yoy WAR OG'!DK78</f>
        <v>0</v>
      </c>
      <c r="T77" s="58" t="e">
        <f ca="1">'Yoy WAR OG'!DQ78</f>
        <v>#REF!</v>
      </c>
      <c r="U77" s="58" t="e">
        <f ca="1">'Yoy WAR OG'!DW78</f>
        <v>#REF!</v>
      </c>
      <c r="V77" s="58" t="e">
        <f ca="1">'Yoy WAR OG'!EC78</f>
        <v>#REF!</v>
      </c>
      <c r="W77" s="58" t="e">
        <f ca="1">'Yoy WAR OG'!EI78</f>
        <v>#REF!</v>
      </c>
      <c r="X77" s="58">
        <f ca="1">'Yoy WAR OG'!EO78</f>
        <v>0</v>
      </c>
      <c r="Y77" s="58">
        <f ca="1">'Yoy WAR OG'!EU78</f>
        <v>0</v>
      </c>
      <c r="Z77" s="58">
        <f ca="1">'Yoy WAR OG'!FA78</f>
        <v>0</v>
      </c>
      <c r="AB77" s="200">
        <f t="shared" ca="1" si="26"/>
        <v>0</v>
      </c>
      <c r="AD77">
        <f t="shared" ca="1" si="27"/>
        <v>0</v>
      </c>
      <c r="AE77">
        <f t="shared" ca="1" si="28"/>
        <v>0</v>
      </c>
      <c r="AF77">
        <f t="shared" ca="1" si="29"/>
        <v>0</v>
      </c>
      <c r="AG77">
        <f t="shared" ca="1" si="30"/>
        <v>0</v>
      </c>
      <c r="AH77">
        <f t="shared" ca="1" si="31"/>
        <v>0</v>
      </c>
      <c r="AI77">
        <f t="shared" ca="1" si="32"/>
        <v>0</v>
      </c>
      <c r="AJ77">
        <f t="shared" ca="1" si="33"/>
        <v>0</v>
      </c>
      <c r="AK77">
        <f t="shared" ca="1" si="34"/>
        <v>0</v>
      </c>
      <c r="AL77">
        <f t="shared" ca="1" si="35"/>
        <v>0</v>
      </c>
      <c r="AM77">
        <f t="shared" ca="1" si="36"/>
        <v>0</v>
      </c>
      <c r="AN77">
        <f t="shared" ca="1" si="37"/>
        <v>0</v>
      </c>
      <c r="AO77">
        <f t="shared" ca="1" si="38"/>
        <v>0</v>
      </c>
      <c r="AP77">
        <f t="shared" ca="1" si="39"/>
        <v>0</v>
      </c>
      <c r="AQ77">
        <f t="shared" ca="1" si="40"/>
        <v>0</v>
      </c>
      <c r="AR77">
        <f t="shared" ca="1" si="41"/>
        <v>0</v>
      </c>
      <c r="AS77">
        <f t="shared" ca="1" si="42"/>
        <v>0</v>
      </c>
      <c r="AT77">
        <f t="shared" ca="1" si="43"/>
        <v>0</v>
      </c>
      <c r="AU77">
        <f t="shared" ca="1" si="44"/>
        <v>0</v>
      </c>
      <c r="AV77">
        <f t="shared" ca="1" si="45"/>
        <v>0</v>
      </c>
      <c r="AW77">
        <f t="shared" ca="1" si="46"/>
        <v>0</v>
      </c>
      <c r="AX77">
        <f t="shared" ca="1" si="47"/>
        <v>0</v>
      </c>
      <c r="AY77">
        <f t="shared" ca="1" si="48"/>
        <v>0</v>
      </c>
      <c r="AZ77">
        <f t="shared" ca="1" si="49"/>
        <v>0</v>
      </c>
      <c r="BA77">
        <f t="shared" ca="1" si="50"/>
        <v>0</v>
      </c>
    </row>
    <row r="78" spans="1:53" x14ac:dyDescent="0.3">
      <c r="A78" t="e">
        <f>'NWGC - SCENARIOS'!#REF!</f>
        <v>#REF!</v>
      </c>
      <c r="B78" t="e">
        <f>'NWGC - SCENARIOS'!#REF!</f>
        <v>#REF!</v>
      </c>
      <c r="C78" s="58" t="e">
        <f ca="1">'Yoy WAR OG'!S79</f>
        <v>#REF!</v>
      </c>
      <c r="D78" s="58" t="e">
        <f ca="1">'Yoy WAR OG'!Y79</f>
        <v>#REF!</v>
      </c>
      <c r="E78" s="58" t="e">
        <f ca="1">'Yoy WAR OG'!AE79</f>
        <v>#REF!</v>
      </c>
      <c r="F78" s="58" t="e">
        <f ca="1">'Yoy WAR OG'!AK79</f>
        <v>#REF!</v>
      </c>
      <c r="G78" s="58" t="e">
        <f ca="1">'Yoy WAR OG'!AQ79</f>
        <v>#REF!</v>
      </c>
      <c r="H78" s="58" t="e">
        <f ca="1">'Yoy WAR OG'!AW79</f>
        <v>#REF!</v>
      </c>
      <c r="I78" s="58" t="e">
        <f ca="1">'Yoy WAR OG'!BC79</f>
        <v>#REF!</v>
      </c>
      <c r="J78" s="58" t="e">
        <f ca="1">'Yoy WAR OG'!BI79</f>
        <v>#REF!</v>
      </c>
      <c r="K78" s="58" t="e">
        <f ca="1">'Yoy WAR OG'!BO79</f>
        <v>#REF!</v>
      </c>
      <c r="L78" s="58" t="e">
        <f ca="1">'Yoy WAR OG'!BU79</f>
        <v>#REF!</v>
      </c>
      <c r="M78" s="58" t="e">
        <f ca="1">'Yoy WAR OG'!CA79</f>
        <v>#REF!</v>
      </c>
      <c r="N78" s="58" t="e">
        <f ca="1">'Yoy WAR OG'!CG79</f>
        <v>#REF!</v>
      </c>
      <c r="O78" s="58" t="e">
        <f ca="1">'Yoy WAR OG'!CM79</f>
        <v>#REF!</v>
      </c>
      <c r="P78" s="58" t="e">
        <f ca="1">'Yoy WAR OG'!CS79</f>
        <v>#REF!</v>
      </c>
      <c r="Q78" s="58">
        <f ca="1">'Yoy WAR OG'!CY79</f>
        <v>0</v>
      </c>
      <c r="R78" s="58" t="e">
        <f ca="1">'Yoy WAR OG'!DE79</f>
        <v>#REF!</v>
      </c>
      <c r="S78" s="58">
        <f ca="1">'Yoy WAR OG'!DK79</f>
        <v>0</v>
      </c>
      <c r="T78" s="58" t="e">
        <f ca="1">'Yoy WAR OG'!DQ79</f>
        <v>#REF!</v>
      </c>
      <c r="U78" s="58" t="e">
        <f ca="1">'Yoy WAR OG'!DW79</f>
        <v>#REF!</v>
      </c>
      <c r="V78" s="58" t="e">
        <f ca="1">'Yoy WAR OG'!EC79</f>
        <v>#REF!</v>
      </c>
      <c r="W78" s="58" t="e">
        <f ca="1">'Yoy WAR OG'!EI79</f>
        <v>#REF!</v>
      </c>
      <c r="X78" s="58">
        <f ca="1">'Yoy WAR OG'!EO79</f>
        <v>0</v>
      </c>
      <c r="Y78" s="58">
        <f ca="1">'Yoy WAR OG'!EU79</f>
        <v>0</v>
      </c>
      <c r="Z78" s="58">
        <f ca="1">'Yoy WAR OG'!FA79</f>
        <v>0</v>
      </c>
      <c r="AB78" s="200">
        <f t="shared" ca="1" si="26"/>
        <v>0</v>
      </c>
      <c r="AD78">
        <f t="shared" ca="1" si="27"/>
        <v>0</v>
      </c>
      <c r="AE78">
        <f t="shared" ca="1" si="28"/>
        <v>0</v>
      </c>
      <c r="AF78">
        <f t="shared" ca="1" si="29"/>
        <v>0</v>
      </c>
      <c r="AG78">
        <f t="shared" ca="1" si="30"/>
        <v>0</v>
      </c>
      <c r="AH78">
        <f t="shared" ca="1" si="31"/>
        <v>0</v>
      </c>
      <c r="AI78">
        <f t="shared" ca="1" si="32"/>
        <v>0</v>
      </c>
      <c r="AJ78">
        <f t="shared" ca="1" si="33"/>
        <v>0</v>
      </c>
      <c r="AK78">
        <f t="shared" ca="1" si="34"/>
        <v>0</v>
      </c>
      <c r="AL78">
        <f t="shared" ca="1" si="35"/>
        <v>0</v>
      </c>
      <c r="AM78">
        <f t="shared" ca="1" si="36"/>
        <v>0</v>
      </c>
      <c r="AN78">
        <f t="shared" ca="1" si="37"/>
        <v>0</v>
      </c>
      <c r="AO78">
        <f t="shared" ca="1" si="38"/>
        <v>0</v>
      </c>
      <c r="AP78">
        <f t="shared" ca="1" si="39"/>
        <v>0</v>
      </c>
      <c r="AQ78">
        <f t="shared" ca="1" si="40"/>
        <v>0</v>
      </c>
      <c r="AR78">
        <f t="shared" ca="1" si="41"/>
        <v>0</v>
      </c>
      <c r="AS78">
        <f t="shared" ca="1" si="42"/>
        <v>0</v>
      </c>
      <c r="AT78">
        <f t="shared" ca="1" si="43"/>
        <v>0</v>
      </c>
      <c r="AU78">
        <f t="shared" ca="1" si="44"/>
        <v>0</v>
      </c>
      <c r="AV78">
        <f t="shared" ca="1" si="45"/>
        <v>0</v>
      </c>
      <c r="AW78">
        <f t="shared" ca="1" si="46"/>
        <v>0</v>
      </c>
      <c r="AX78">
        <f t="shared" ca="1" si="47"/>
        <v>0</v>
      </c>
      <c r="AY78">
        <f t="shared" ca="1" si="48"/>
        <v>0</v>
      </c>
      <c r="AZ78">
        <f t="shared" ca="1" si="49"/>
        <v>0</v>
      </c>
      <c r="BA78">
        <f t="shared" ca="1" si="50"/>
        <v>0</v>
      </c>
    </row>
    <row r="79" spans="1:53" x14ac:dyDescent="0.3">
      <c r="A79" t="e">
        <f>'NWGC - SCENARIOS'!#REF!</f>
        <v>#REF!</v>
      </c>
      <c r="B79" t="e">
        <f>'NWGC - SCENARIOS'!#REF!</f>
        <v>#REF!</v>
      </c>
      <c r="C79" s="58" t="e">
        <f ca="1">'Yoy WAR OG'!S80</f>
        <v>#REF!</v>
      </c>
      <c r="D79" s="58" t="e">
        <f ca="1">'Yoy WAR OG'!Y80</f>
        <v>#REF!</v>
      </c>
      <c r="E79" s="58" t="e">
        <f ca="1">'Yoy WAR OG'!AE80</f>
        <v>#REF!</v>
      </c>
      <c r="F79" s="58" t="e">
        <f ca="1">'Yoy WAR OG'!AK80</f>
        <v>#REF!</v>
      </c>
      <c r="G79" s="58" t="e">
        <f ca="1">'Yoy WAR OG'!AQ80</f>
        <v>#REF!</v>
      </c>
      <c r="H79" s="58" t="e">
        <f ca="1">'Yoy WAR OG'!AW80</f>
        <v>#REF!</v>
      </c>
      <c r="I79" s="58" t="e">
        <f ca="1">'Yoy WAR OG'!BC80</f>
        <v>#REF!</v>
      </c>
      <c r="J79" s="58" t="e">
        <f ca="1">'Yoy WAR OG'!BI80</f>
        <v>#REF!</v>
      </c>
      <c r="K79" s="58" t="e">
        <f ca="1">'Yoy WAR OG'!BO80</f>
        <v>#REF!</v>
      </c>
      <c r="L79" s="58" t="e">
        <f ca="1">'Yoy WAR OG'!BU80</f>
        <v>#REF!</v>
      </c>
      <c r="M79" s="58" t="e">
        <f ca="1">'Yoy WAR OG'!CA80</f>
        <v>#REF!</v>
      </c>
      <c r="N79" s="58" t="e">
        <f ca="1">'Yoy WAR OG'!CG80</f>
        <v>#REF!</v>
      </c>
      <c r="O79" s="58" t="e">
        <f ca="1">'Yoy WAR OG'!CM80</f>
        <v>#REF!</v>
      </c>
      <c r="P79" s="58" t="e">
        <f ca="1">'Yoy WAR OG'!CS80</f>
        <v>#REF!</v>
      </c>
      <c r="Q79" s="58">
        <f ca="1">'Yoy WAR OG'!CY80</f>
        <v>0</v>
      </c>
      <c r="R79" s="58" t="e">
        <f ca="1">'Yoy WAR OG'!DE80</f>
        <v>#REF!</v>
      </c>
      <c r="S79" s="58">
        <f ca="1">'Yoy WAR OG'!DK80</f>
        <v>0</v>
      </c>
      <c r="T79" s="58" t="e">
        <f ca="1">'Yoy WAR OG'!DQ80</f>
        <v>#REF!</v>
      </c>
      <c r="U79" s="58" t="e">
        <f ca="1">'Yoy WAR OG'!DW80</f>
        <v>#REF!</v>
      </c>
      <c r="V79" s="58" t="e">
        <f ca="1">'Yoy WAR OG'!EC80</f>
        <v>#REF!</v>
      </c>
      <c r="W79" s="58" t="e">
        <f ca="1">'Yoy WAR OG'!EI80</f>
        <v>#REF!</v>
      </c>
      <c r="X79" s="58">
        <f ca="1">'Yoy WAR OG'!EO80</f>
        <v>0</v>
      </c>
      <c r="Y79" s="58">
        <f ca="1">'Yoy WAR OG'!EU80</f>
        <v>0</v>
      </c>
      <c r="Z79" s="58">
        <f ca="1">'Yoy WAR OG'!FA80</f>
        <v>0</v>
      </c>
      <c r="AB79" s="200">
        <f t="shared" ca="1" si="26"/>
        <v>0</v>
      </c>
      <c r="AD79">
        <f t="shared" ca="1" si="27"/>
        <v>0</v>
      </c>
      <c r="AE79">
        <f t="shared" ca="1" si="28"/>
        <v>0</v>
      </c>
      <c r="AF79">
        <f t="shared" ca="1" si="29"/>
        <v>0</v>
      </c>
      <c r="AG79">
        <f t="shared" ca="1" si="30"/>
        <v>0</v>
      </c>
      <c r="AH79">
        <f t="shared" ca="1" si="31"/>
        <v>0</v>
      </c>
      <c r="AI79">
        <f t="shared" ca="1" si="32"/>
        <v>0</v>
      </c>
      <c r="AJ79">
        <f t="shared" ca="1" si="33"/>
        <v>0</v>
      </c>
      <c r="AK79">
        <f t="shared" ca="1" si="34"/>
        <v>0</v>
      </c>
      <c r="AL79">
        <f t="shared" ca="1" si="35"/>
        <v>0</v>
      </c>
      <c r="AM79">
        <f t="shared" ca="1" si="36"/>
        <v>0</v>
      </c>
      <c r="AN79">
        <f t="shared" ca="1" si="37"/>
        <v>0</v>
      </c>
      <c r="AO79">
        <f t="shared" ca="1" si="38"/>
        <v>0</v>
      </c>
      <c r="AP79">
        <f t="shared" ca="1" si="39"/>
        <v>0</v>
      </c>
      <c r="AQ79">
        <f t="shared" ca="1" si="40"/>
        <v>0</v>
      </c>
      <c r="AR79">
        <f t="shared" ca="1" si="41"/>
        <v>0</v>
      </c>
      <c r="AS79">
        <f t="shared" ca="1" si="42"/>
        <v>0</v>
      </c>
      <c r="AT79">
        <f t="shared" ca="1" si="43"/>
        <v>0</v>
      </c>
      <c r="AU79">
        <f t="shared" ca="1" si="44"/>
        <v>0</v>
      </c>
      <c r="AV79">
        <f t="shared" ca="1" si="45"/>
        <v>0</v>
      </c>
      <c r="AW79">
        <f t="shared" ca="1" si="46"/>
        <v>0</v>
      </c>
      <c r="AX79">
        <f t="shared" ca="1" si="47"/>
        <v>0</v>
      </c>
      <c r="AY79">
        <f t="shared" ca="1" si="48"/>
        <v>0</v>
      </c>
      <c r="AZ79">
        <f t="shared" ca="1" si="49"/>
        <v>0</v>
      </c>
      <c r="BA79">
        <f t="shared" ca="1" si="50"/>
        <v>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CC2D3-3C4A-40F6-8CD6-5FE8007ADE2D}">
  <sheetPr codeName="Sheet19"/>
  <dimension ref="A1:CJ476"/>
  <sheetViews>
    <sheetView zoomScale="90" zoomScaleNormal="90" workbookViewId="0">
      <selection activeCell="G13" sqref="G13"/>
    </sheetView>
  </sheetViews>
  <sheetFormatPr defaultRowHeight="14.4" x14ac:dyDescent="0.3"/>
  <cols>
    <col min="1" max="1" width="10.5546875" style="1" customWidth="1"/>
    <col min="2" max="2" width="10.33203125" customWidth="1"/>
    <col min="3" max="3" width="10.6640625" customWidth="1"/>
    <col min="4" max="4" width="20.44140625" customWidth="1"/>
    <col min="5" max="6" width="19.88671875" customWidth="1"/>
    <col min="7" max="7" width="20.6640625" customWidth="1"/>
    <col min="8" max="9" width="21" customWidth="1"/>
    <col min="10" max="11" width="20.6640625" customWidth="1"/>
    <col min="12" max="12" width="19.33203125" customWidth="1"/>
    <col min="13" max="13" width="38" hidden="1" customWidth="1"/>
    <col min="14" max="16" width="8.88671875" style="1"/>
    <col min="27" max="27" width="8.88671875" style="1"/>
    <col min="28" max="28" width="17.33203125" style="1" bestFit="1" customWidth="1"/>
    <col min="29" max="29" width="20.6640625" style="1" customWidth="1"/>
    <col min="30" max="30" width="11.33203125" bestFit="1" customWidth="1"/>
  </cols>
  <sheetData>
    <row r="1" spans="1:88" s="1" customFormat="1" ht="9" customHeight="1" thickBot="1" x14ac:dyDescent="0.35"/>
    <row r="2" spans="1:88" ht="27.6" customHeight="1" thickTop="1" thickBot="1" x14ac:dyDescent="0.35">
      <c r="B2" s="679" t="s">
        <v>380</v>
      </c>
      <c r="C2" s="680"/>
      <c r="D2" s="680"/>
      <c r="E2" s="680"/>
      <c r="F2" s="680"/>
      <c r="G2" s="680"/>
      <c r="H2" s="680"/>
      <c r="I2" s="680"/>
      <c r="J2" s="680"/>
      <c r="K2" s="680"/>
      <c r="L2" s="681"/>
      <c r="M2" s="1"/>
      <c r="Q2" s="1"/>
      <c r="R2" s="1"/>
      <c r="S2" s="1"/>
      <c r="T2" s="1"/>
      <c r="U2" s="1"/>
      <c r="V2" s="1"/>
      <c r="W2" s="1"/>
      <c r="X2" s="1"/>
      <c r="Y2" s="1"/>
      <c r="Z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</row>
    <row r="3" spans="1:88" ht="20.100000000000001" customHeight="1" thickTop="1" thickBot="1" x14ac:dyDescent="0.35">
      <c r="B3" s="456"/>
      <c r="C3" s="457"/>
      <c r="D3" s="457"/>
      <c r="E3" s="457"/>
      <c r="F3" s="457"/>
      <c r="G3" s="457"/>
      <c r="H3" s="457"/>
      <c r="I3" s="457"/>
      <c r="J3" s="457"/>
      <c r="K3" s="457"/>
      <c r="L3" s="458"/>
      <c r="M3" s="459"/>
      <c r="Q3" s="1"/>
      <c r="R3" s="1"/>
      <c r="S3" s="1"/>
      <c r="T3" s="1"/>
      <c r="U3" s="1"/>
      <c r="V3" s="1"/>
      <c r="W3" s="1"/>
      <c r="X3" s="1"/>
      <c r="Y3" s="1"/>
      <c r="Z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</row>
    <row r="4" spans="1:88" ht="33" customHeight="1" thickTop="1" x14ac:dyDescent="0.3">
      <c r="A4" s="162"/>
      <c r="B4" s="682" t="s">
        <v>381</v>
      </c>
      <c r="C4" s="683"/>
      <c r="D4" s="197">
        <v>66194949</v>
      </c>
      <c r="E4" s="684" t="s">
        <v>382</v>
      </c>
      <c r="F4" s="685"/>
      <c r="G4" s="685"/>
      <c r="H4" s="685"/>
      <c r="I4" s="685"/>
      <c r="J4" s="686"/>
      <c r="K4" s="492" t="s">
        <v>383</v>
      </c>
      <c r="L4" s="199">
        <v>7.5700000000000003E-2</v>
      </c>
      <c r="M4" s="1"/>
      <c r="Q4" s="1"/>
      <c r="R4" s="1"/>
      <c r="S4" s="1"/>
      <c r="T4" s="1"/>
      <c r="U4" s="1"/>
      <c r="V4" s="1"/>
      <c r="W4" s="1"/>
      <c r="X4" s="1"/>
      <c r="Y4" s="1"/>
      <c r="Z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</row>
    <row r="5" spans="1:88" ht="33" customHeight="1" x14ac:dyDescent="0.3">
      <c r="A5" s="162"/>
      <c r="B5" s="682" t="s">
        <v>384</v>
      </c>
      <c r="C5" s="683"/>
      <c r="D5" s="196">
        <v>12278664</v>
      </c>
      <c r="E5" s="687"/>
      <c r="F5" s="688"/>
      <c r="G5" s="688"/>
      <c r="H5" s="688"/>
      <c r="I5" s="688"/>
      <c r="J5" s="689"/>
      <c r="K5" s="85" t="s">
        <v>385</v>
      </c>
      <c r="L5" s="89">
        <v>7.9000000000000001E-2</v>
      </c>
      <c r="M5" s="1"/>
      <c r="Q5" s="1"/>
      <c r="R5" s="1"/>
      <c r="S5" s="1"/>
      <c r="T5" s="1"/>
      <c r="U5" s="1"/>
      <c r="V5" s="1"/>
      <c r="W5" s="1"/>
      <c r="X5" s="1"/>
      <c r="Y5" s="1"/>
      <c r="Z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</row>
    <row r="6" spans="1:88" ht="33" customHeight="1" x14ac:dyDescent="0.3">
      <c r="A6" s="162"/>
      <c r="B6" s="682" t="s">
        <v>386</v>
      </c>
      <c r="C6" s="683"/>
      <c r="D6" s="196">
        <v>3199223</v>
      </c>
      <c r="E6" s="687"/>
      <c r="F6" s="688"/>
      <c r="G6" s="688"/>
      <c r="H6" s="688"/>
      <c r="I6" s="688"/>
      <c r="J6" s="689"/>
      <c r="K6" s="59" t="s">
        <v>387</v>
      </c>
      <c r="L6" s="195">
        <v>0.08</v>
      </c>
      <c r="M6" s="1"/>
      <c r="Q6" s="1"/>
      <c r="R6" s="1"/>
      <c r="S6" s="1"/>
      <c r="T6" s="1"/>
      <c r="U6" s="1"/>
      <c r="V6" s="1"/>
      <c r="W6" s="1"/>
      <c r="X6" s="1"/>
      <c r="Y6" s="1"/>
      <c r="Z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</row>
    <row r="7" spans="1:88" ht="33" customHeight="1" thickBot="1" x14ac:dyDescent="0.35">
      <c r="A7" s="162"/>
      <c r="B7" s="693" t="s">
        <v>388</v>
      </c>
      <c r="C7" s="694"/>
      <c r="D7" s="198">
        <v>55</v>
      </c>
      <c r="E7" s="690"/>
      <c r="F7" s="691"/>
      <c r="G7" s="691"/>
      <c r="H7" s="691"/>
      <c r="I7" s="691"/>
      <c r="J7" s="692"/>
      <c r="K7" s="97" t="s">
        <v>389</v>
      </c>
      <c r="L7" s="91" t="s">
        <v>42</v>
      </c>
      <c r="M7" s="1"/>
      <c r="Q7" s="1"/>
      <c r="R7" s="1"/>
      <c r="S7" s="1"/>
      <c r="T7" s="1"/>
      <c r="U7" s="1"/>
      <c r="V7" s="1"/>
      <c r="W7" s="1"/>
      <c r="X7" s="1"/>
      <c r="Y7" s="1"/>
      <c r="Z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</row>
    <row r="8" spans="1:88" ht="18.899999999999999" customHeight="1" thickTop="1" thickBot="1" x14ac:dyDescent="0.35">
      <c r="B8" s="105"/>
      <c r="C8" s="106"/>
      <c r="D8" s="107"/>
      <c r="E8" s="101"/>
      <c r="F8" s="101"/>
      <c r="G8" s="1"/>
      <c r="H8" s="108"/>
      <c r="I8" s="108"/>
      <c r="J8" s="458"/>
      <c r="K8" s="1"/>
      <c r="L8" s="1"/>
      <c r="M8" s="193"/>
      <c r="Q8" s="1"/>
      <c r="R8" s="1"/>
      <c r="S8" s="1"/>
      <c r="T8" s="1"/>
      <c r="U8" s="1"/>
      <c r="V8" s="1"/>
      <c r="W8" s="1"/>
      <c r="X8" s="1"/>
      <c r="Y8" s="1"/>
      <c r="Z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</row>
    <row r="9" spans="1:88" s="6" customFormat="1" ht="73.2" thickTop="1" thickBot="1" x14ac:dyDescent="0.35">
      <c r="A9" s="83"/>
      <c r="B9" s="2" t="s">
        <v>204</v>
      </c>
      <c r="C9" s="3" t="s">
        <v>168</v>
      </c>
      <c r="D9" s="3" t="s">
        <v>339</v>
      </c>
      <c r="E9" s="3" t="s">
        <v>342</v>
      </c>
      <c r="F9" s="84" t="s">
        <v>167</v>
      </c>
      <c r="G9" s="4" t="s">
        <v>106</v>
      </c>
      <c r="H9" s="94" t="s">
        <v>370</v>
      </c>
      <c r="I9" s="465" t="s">
        <v>390</v>
      </c>
      <c r="J9" s="465" t="s">
        <v>391</v>
      </c>
      <c r="K9" s="465" t="s">
        <v>83</v>
      </c>
      <c r="L9" s="5" t="s">
        <v>392</v>
      </c>
      <c r="M9" s="491" t="s">
        <v>393</v>
      </c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427" t="s">
        <v>204</v>
      </c>
      <c r="AB9" s="54" t="s">
        <v>370</v>
      </c>
      <c r="AC9" s="5" t="s">
        <v>394</v>
      </c>
      <c r="AD9" s="5" t="s">
        <v>395</v>
      </c>
      <c r="AE9" s="83" t="s">
        <v>83</v>
      </c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83"/>
      <c r="BU9" s="83"/>
      <c r="BV9" s="83"/>
      <c r="BW9" s="83"/>
      <c r="BX9" s="83"/>
      <c r="BY9" s="83"/>
      <c r="BZ9" s="83"/>
      <c r="CA9" s="83"/>
      <c r="CB9" s="83"/>
      <c r="CC9" s="83"/>
      <c r="CD9" s="83"/>
      <c r="CE9" s="83"/>
    </row>
    <row r="10" spans="1:88" s="6" customFormat="1" ht="15" thickTop="1" x14ac:dyDescent="0.3">
      <c r="A10" s="83"/>
      <c r="B10" s="497" t="s">
        <v>396</v>
      </c>
      <c r="C10" s="493">
        <v>2025</v>
      </c>
      <c r="D10" s="499"/>
      <c r="E10" s="493"/>
      <c r="F10" s="499"/>
      <c r="G10" s="494"/>
      <c r="H10" s="495"/>
      <c r="I10" s="486">
        <v>15994949</v>
      </c>
      <c r="J10" s="466">
        <v>50200000</v>
      </c>
      <c r="K10" s="466">
        <v>1138560</v>
      </c>
      <c r="L10" s="487">
        <v>65056389</v>
      </c>
      <c r="M10" s="491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427"/>
      <c r="AB10" s="54"/>
      <c r="AC10" s="496"/>
      <c r="AD10" s="496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83"/>
      <c r="BU10" s="83"/>
      <c r="BV10" s="83"/>
      <c r="BW10" s="83"/>
      <c r="BX10" s="83"/>
      <c r="BY10" s="83"/>
      <c r="BZ10" s="83"/>
      <c r="CA10" s="83"/>
      <c r="CB10" s="83"/>
      <c r="CC10" s="83"/>
      <c r="CD10" s="83"/>
      <c r="CE10" s="83"/>
    </row>
    <row r="11" spans="1:88" s="10" customFormat="1" ht="17.399999999999999" customHeight="1" x14ac:dyDescent="0.3">
      <c r="A11" s="7"/>
      <c r="B11" s="498">
        <v>49</v>
      </c>
      <c r="C11" s="498">
        <v>2025</v>
      </c>
      <c r="D11" s="8">
        <v>12278664</v>
      </c>
      <c r="E11" s="469">
        <v>3199223</v>
      </c>
      <c r="F11" s="96">
        <v>0</v>
      </c>
      <c r="G11" s="487">
        <v>9079441</v>
      </c>
      <c r="H11" s="487">
        <v>0</v>
      </c>
      <c r="I11" s="486">
        <v>19739631.885000002</v>
      </c>
      <c r="J11" s="466">
        <v>56264032</v>
      </c>
      <c r="K11" s="466">
        <v>651043.57811891346</v>
      </c>
      <c r="L11" s="487">
        <v>75352620.306881085</v>
      </c>
      <c r="M11" s="490">
        <f ca="1">'Yoy Assets Working'!AB3</f>
        <v>7.7247271034482423E-2</v>
      </c>
      <c r="N11" s="112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>
        <f t="shared" ref="AA11:AA74" si="0">B11</f>
        <v>49</v>
      </c>
      <c r="AB11" s="425">
        <f>H11</f>
        <v>0</v>
      </c>
      <c r="AC11" s="426">
        <f>I11</f>
        <v>19739631.885000002</v>
      </c>
      <c r="AD11" s="161">
        <f>J11</f>
        <v>56264032</v>
      </c>
      <c r="AE11" s="489">
        <f>K11</f>
        <v>651043.57811891346</v>
      </c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</row>
    <row r="12" spans="1:88" s="10" customFormat="1" ht="17.399999999999999" customHeight="1" x14ac:dyDescent="0.3">
      <c r="A12" s="7"/>
      <c r="B12" s="86">
        <v>50</v>
      </c>
      <c r="C12" s="87">
        <v>2026</v>
      </c>
      <c r="D12" s="8">
        <v>13248237.120000001</v>
      </c>
      <c r="E12" s="468">
        <v>3851081.3200000003</v>
      </c>
      <c r="F12" s="96">
        <v>0</v>
      </c>
      <c r="G12" s="8">
        <v>9397155.8000000007</v>
      </c>
      <c r="H12" s="8">
        <v>0</v>
      </c>
      <c r="I12" s="466">
        <v>28288738.308349658</v>
      </c>
      <c r="J12" s="466">
        <v>62916174.695615754</v>
      </c>
      <c r="K12" s="466">
        <v>118323.79165416726</v>
      </c>
      <c r="L12" s="8">
        <v>91086589.212311238</v>
      </c>
      <c r="M12" s="490">
        <f ca="1">'Yoy Assets Working'!AB4</f>
        <v>7.8596709783690474E-2</v>
      </c>
      <c r="N12" s="112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>
        <f t="shared" si="0"/>
        <v>50</v>
      </c>
      <c r="AB12" s="425">
        <f>H12</f>
        <v>0</v>
      </c>
      <c r="AC12" s="426">
        <f>I12</f>
        <v>28288738.308349658</v>
      </c>
      <c r="AD12" s="161">
        <f>J12</f>
        <v>62916174.695615754</v>
      </c>
      <c r="AE12" s="489">
        <f t="shared" ref="AE12:AE75" si="1">K12</f>
        <v>118323.79165416726</v>
      </c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</row>
    <row r="13" spans="1:88" s="10" customFormat="1" ht="17.399999999999999" customHeight="1" x14ac:dyDescent="0.3">
      <c r="A13" s="7"/>
      <c r="B13" s="86">
        <v>51</v>
      </c>
      <c r="C13" s="87">
        <v>2027</v>
      </c>
      <c r="D13" s="8">
        <v>14295076.089600002</v>
      </c>
      <c r="E13" s="468">
        <v>4071569.4262520713</v>
      </c>
      <c r="F13" s="96">
        <v>0</v>
      </c>
      <c r="G13" s="8">
        <v>10223506.663347932</v>
      </c>
      <c r="H13" s="8">
        <v>0</v>
      </c>
      <c r="I13" s="466">
        <v>38208624.89649529</v>
      </c>
      <c r="J13" s="466">
        <v>70212818.707473993</v>
      </c>
      <c r="K13" s="466">
        <v>0</v>
      </c>
      <c r="L13" s="8">
        <v>108421443.60396928</v>
      </c>
      <c r="M13" s="490">
        <f ca="1">'Yoy Assets Working'!AB5</f>
        <v>7.9734136272839151E-2</v>
      </c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>
        <f t="shared" si="0"/>
        <v>51</v>
      </c>
      <c r="AB13" s="425">
        <f>IF(AND(I12&lt;0,I11&lt;0),0,H13)</f>
        <v>0</v>
      </c>
      <c r="AC13" s="425">
        <f>IF(AND(I12&lt;0,I11&lt;0),0,I13)</f>
        <v>38208624.89649529</v>
      </c>
      <c r="AD13" s="161">
        <f t="shared" ref="AD13:AE76" si="2">J13</f>
        <v>70212818.707473993</v>
      </c>
      <c r="AE13" s="489">
        <f t="shared" si="1"/>
        <v>0</v>
      </c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</row>
    <row r="14" spans="1:88" s="10" customFormat="1" ht="17.399999999999999" customHeight="1" x14ac:dyDescent="0.3">
      <c r="A14" s="7"/>
      <c r="B14" s="86">
        <v>52</v>
      </c>
      <c r="C14" s="87">
        <v>2028</v>
      </c>
      <c r="D14" s="8">
        <v>15425347.176768001</v>
      </c>
      <c r="E14" s="468">
        <v>3787012.9060480003</v>
      </c>
      <c r="F14" s="96">
        <v>0</v>
      </c>
      <c r="G14" s="8">
        <v>11638334.270720001</v>
      </c>
      <c r="H14" s="8">
        <v>0</v>
      </c>
      <c r="I14" s="466">
        <v>50187064.942046508</v>
      </c>
      <c r="J14" s="466">
        <v>78215677.724609286</v>
      </c>
      <c r="K14" s="466">
        <v>0</v>
      </c>
      <c r="L14" s="8">
        <v>128402742.66665579</v>
      </c>
      <c r="M14" s="490">
        <f ca="1">'Yoy Assets Working'!AB6</f>
        <v>8.0740812479321147E-2</v>
      </c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>
        <f t="shared" si="0"/>
        <v>52</v>
      </c>
      <c r="AB14" s="425">
        <f t="shared" ref="AB14:AB43" si="3">IF(AND(I13&lt;0,I12&lt;0,I11&lt;0),0,H14)</f>
        <v>0</v>
      </c>
      <c r="AC14" s="425">
        <f t="shared" ref="AC14:AC77" si="4">IF(AND(I13&lt;0,I12&lt;0,I11&lt;0),0,I14)</f>
        <v>50187064.942046508</v>
      </c>
      <c r="AD14" s="161">
        <f t="shared" si="2"/>
        <v>78215677.724609286</v>
      </c>
      <c r="AE14" s="489">
        <f t="shared" si="1"/>
        <v>0</v>
      </c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</row>
    <row r="15" spans="1:88" s="10" customFormat="1" ht="17.399999999999999" customHeight="1" x14ac:dyDescent="0.3">
      <c r="A15" s="7"/>
      <c r="B15" s="86">
        <v>53</v>
      </c>
      <c r="C15" s="87">
        <v>2029</v>
      </c>
      <c r="D15" s="8">
        <v>16645709.200909443</v>
      </c>
      <c r="E15" s="468">
        <v>4070320.0185318412</v>
      </c>
      <c r="F15" s="96">
        <v>3509575.6800000006</v>
      </c>
      <c r="G15" s="8">
        <v>12575389.182377603</v>
      </c>
      <c r="H15" s="8">
        <v>3509575.6800000006</v>
      </c>
      <c r="I15" s="466">
        <v>60386803.63467212</v>
      </c>
      <c r="J15" s="466">
        <v>86992284.713648722</v>
      </c>
      <c r="K15" s="466">
        <v>0</v>
      </c>
      <c r="L15" s="8">
        <v>147379088.34832084</v>
      </c>
      <c r="M15" s="490">
        <f ca="1">'Yoy Assets Working'!AB7</f>
        <v>8.1500844264240258E-2</v>
      </c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>
        <f t="shared" si="0"/>
        <v>53</v>
      </c>
      <c r="AB15" s="425">
        <f t="shared" si="3"/>
        <v>3509575.6800000006</v>
      </c>
      <c r="AC15" s="425">
        <f t="shared" si="4"/>
        <v>60386803.63467212</v>
      </c>
      <c r="AD15" s="161">
        <f t="shared" si="2"/>
        <v>86992284.713648722</v>
      </c>
      <c r="AE15" s="489">
        <f t="shared" si="1"/>
        <v>0</v>
      </c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</row>
    <row r="16" spans="1:88" s="10" customFormat="1" ht="17.399999999999999" customHeight="1" x14ac:dyDescent="0.3">
      <c r="A16" s="7"/>
      <c r="B16" s="86">
        <v>54</v>
      </c>
      <c r="C16" s="87">
        <v>2030</v>
      </c>
      <c r="D16" s="8">
        <v>17963352.899482198</v>
      </c>
      <c r="E16" s="468">
        <v>4376291.7000143863</v>
      </c>
      <c r="F16" s="96">
        <v>15242699.450199999</v>
      </c>
      <c r="G16" s="8">
        <v>13587061.199467812</v>
      </c>
      <c r="H16" s="8">
        <v>15242699.450199999</v>
      </c>
      <c r="I16" s="466">
        <v>60207972.472017586</v>
      </c>
      <c r="J16" s="466">
        <v>108209274.75950752</v>
      </c>
      <c r="K16" s="466">
        <v>0</v>
      </c>
      <c r="L16" s="8">
        <v>168417247.23152512</v>
      </c>
      <c r="M16" s="490">
        <f ca="1">'Yoy Assets Working'!AB8</f>
        <v>7.8941975652965041E-2</v>
      </c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>
        <f t="shared" si="0"/>
        <v>54</v>
      </c>
      <c r="AB16" s="425">
        <f t="shared" si="3"/>
        <v>15242699.450199999</v>
      </c>
      <c r="AC16" s="425">
        <f t="shared" si="4"/>
        <v>60207972.472017586</v>
      </c>
      <c r="AD16" s="161">
        <f t="shared" si="2"/>
        <v>108209274.75950752</v>
      </c>
      <c r="AE16" s="489">
        <f t="shared" si="1"/>
        <v>0</v>
      </c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</row>
    <row r="17" spans="1:83" s="10" customFormat="1" ht="17.399999999999999" customHeight="1" x14ac:dyDescent="0.3">
      <c r="A17" s="7"/>
      <c r="B17" s="86">
        <v>55</v>
      </c>
      <c r="C17" s="87">
        <v>2031</v>
      </c>
      <c r="D17" s="8">
        <v>19386043.442065779</v>
      </c>
      <c r="E17" s="468">
        <v>4706741.1160155404</v>
      </c>
      <c r="F17" s="96">
        <v>3795957.0554880011</v>
      </c>
      <c r="G17" s="8">
        <v>14679302.326050239</v>
      </c>
      <c r="H17" s="8">
        <v>3795957.0554880011</v>
      </c>
      <c r="I17" s="466">
        <v>158688656.08484358</v>
      </c>
      <c r="J17" s="466">
        <v>25912201.878042016</v>
      </c>
      <c r="K17" s="466">
        <v>0</v>
      </c>
      <c r="L17" s="8">
        <v>184600857.96288559</v>
      </c>
      <c r="M17" s="490">
        <f ca="1">'Yoy Assets Working'!AB9</f>
        <v>7.4771296882161914E-2</v>
      </c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>
        <f t="shared" si="0"/>
        <v>55</v>
      </c>
      <c r="AB17" s="425">
        <f t="shared" si="3"/>
        <v>3795957.0554880011</v>
      </c>
      <c r="AC17" s="425">
        <f t="shared" si="4"/>
        <v>158688656.08484358</v>
      </c>
      <c r="AD17" s="161">
        <f t="shared" si="2"/>
        <v>25912201.878042016</v>
      </c>
      <c r="AE17" s="489">
        <f t="shared" si="1"/>
        <v>0</v>
      </c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</row>
    <row r="18" spans="1:83" s="10" customFormat="1" ht="17.399999999999999" customHeight="1" x14ac:dyDescent="0.3">
      <c r="A18" s="7"/>
      <c r="B18" s="86">
        <v>56</v>
      </c>
      <c r="C18" s="87">
        <v>2032</v>
      </c>
      <c r="D18" s="8">
        <v>879567.36516510625</v>
      </c>
      <c r="E18" s="468">
        <v>3789657.9240290704</v>
      </c>
      <c r="F18" s="96">
        <v>3947795.3377075209</v>
      </c>
      <c r="G18" s="8">
        <v>0</v>
      </c>
      <c r="H18" s="8">
        <v>6857885.8965714853</v>
      </c>
      <c r="I18" s="466">
        <v>162925294.14664334</v>
      </c>
      <c r="J18" s="466">
        <v>26759922.955516092</v>
      </c>
      <c r="K18" s="466">
        <v>0</v>
      </c>
      <c r="L18" s="8">
        <v>189685217.10215944</v>
      </c>
      <c r="M18" s="490">
        <f ca="1">'Yoy Assets Working'!AB10</f>
        <v>7.4485890929061216E-2</v>
      </c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>
        <f t="shared" si="0"/>
        <v>56</v>
      </c>
      <c r="AB18" s="425">
        <f t="shared" si="3"/>
        <v>6857885.8965714853</v>
      </c>
      <c r="AC18" s="425">
        <f t="shared" si="4"/>
        <v>162925294.14664334</v>
      </c>
      <c r="AD18" s="161">
        <f t="shared" si="2"/>
        <v>26759922.955516092</v>
      </c>
      <c r="AE18" s="489">
        <f t="shared" si="1"/>
        <v>0</v>
      </c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</row>
    <row r="19" spans="1:83" s="10" customFormat="1" ht="17.399999999999999" customHeight="1" x14ac:dyDescent="0.3">
      <c r="A19" s="7"/>
      <c r="B19" s="86">
        <v>57</v>
      </c>
      <c r="C19" s="87">
        <v>2033</v>
      </c>
      <c r="D19" s="8">
        <v>10139279.063084565</v>
      </c>
      <c r="E19" s="468">
        <v>4092830.5579513963</v>
      </c>
      <c r="F19" s="96">
        <v>0</v>
      </c>
      <c r="G19" s="8">
        <v>6046448.5051331688</v>
      </c>
      <c r="H19" s="8">
        <v>0</v>
      </c>
      <c r="I19" s="466">
        <v>180745827.97346497</v>
      </c>
      <c r="J19" s="466">
        <v>27636593.416371025</v>
      </c>
      <c r="K19" s="466">
        <v>0</v>
      </c>
      <c r="L19" s="8">
        <v>208382421.38983598</v>
      </c>
      <c r="M19" s="490">
        <f ca="1">'Yoy Assets Working'!AB11</f>
        <v>7.4918532092934711E-2</v>
      </c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>
        <f t="shared" si="0"/>
        <v>57</v>
      </c>
      <c r="AB19" s="425">
        <f t="shared" si="3"/>
        <v>0</v>
      </c>
      <c r="AC19" s="425">
        <f t="shared" si="4"/>
        <v>180745827.97346497</v>
      </c>
      <c r="AD19" s="161">
        <f t="shared" si="2"/>
        <v>27636593.416371025</v>
      </c>
      <c r="AE19" s="489">
        <f t="shared" si="1"/>
        <v>0</v>
      </c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</row>
    <row r="20" spans="1:83" s="10" customFormat="1" ht="17.399999999999999" customHeight="1" x14ac:dyDescent="0.3">
      <c r="A20" s="7"/>
      <c r="B20" s="86">
        <v>58</v>
      </c>
      <c r="C20" s="87">
        <v>2034</v>
      </c>
      <c r="D20" s="8">
        <v>683701.38813132991</v>
      </c>
      <c r="E20" s="468">
        <v>4420257.0025875093</v>
      </c>
      <c r="F20" s="96">
        <v>0</v>
      </c>
      <c r="G20" s="8">
        <v>0</v>
      </c>
      <c r="H20" s="8">
        <v>3736555.6144561796</v>
      </c>
      <c r="I20" s="466">
        <v>189377218.6397292</v>
      </c>
      <c r="J20" s="466">
        <v>28543257.629661083</v>
      </c>
      <c r="K20" s="466">
        <v>0</v>
      </c>
      <c r="L20" s="8">
        <v>217920476.26939029</v>
      </c>
      <c r="M20" s="490">
        <f ca="1">'Yoy Assets Working'!AB12</f>
        <v>7.5651526073458361E-2</v>
      </c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>
        <f t="shared" si="0"/>
        <v>58</v>
      </c>
      <c r="AB20" s="425">
        <f t="shared" si="3"/>
        <v>3736555.6144561796</v>
      </c>
      <c r="AC20" s="425">
        <f t="shared" si="4"/>
        <v>189377218.6397292</v>
      </c>
      <c r="AD20" s="161">
        <f t="shared" si="2"/>
        <v>28543257.629661083</v>
      </c>
      <c r="AE20" s="489">
        <f t="shared" si="1"/>
        <v>0</v>
      </c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</row>
    <row r="21" spans="1:83" s="10" customFormat="1" ht="17.399999999999999" customHeight="1" x14ac:dyDescent="0.3">
      <c r="A21" s="7"/>
      <c r="B21" s="86">
        <v>59</v>
      </c>
      <c r="C21" s="87">
        <v>2035</v>
      </c>
      <c r="D21" s="8">
        <v>731677.49918183638</v>
      </c>
      <c r="E21" s="468">
        <v>4773877.5627945084</v>
      </c>
      <c r="F21" s="96">
        <v>4317849.9945455752</v>
      </c>
      <c r="G21" s="8">
        <v>0</v>
      </c>
      <c r="H21" s="8">
        <v>8360050.0581582468</v>
      </c>
      <c r="I21" s="466">
        <v>193593483.35423115</v>
      </c>
      <c r="J21" s="466">
        <v>29481000.089889787</v>
      </c>
      <c r="K21" s="466">
        <v>0</v>
      </c>
      <c r="L21" s="8">
        <v>223074483.44412094</v>
      </c>
      <c r="M21" s="490">
        <f ca="1">'Yoy Assets Working'!AB13</f>
        <v>7.6501375559575147E-2</v>
      </c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>
        <f t="shared" si="0"/>
        <v>59</v>
      </c>
      <c r="AB21" s="425">
        <f t="shared" si="3"/>
        <v>8360050.0581582468</v>
      </c>
      <c r="AC21" s="425">
        <f t="shared" si="4"/>
        <v>193593483.35423115</v>
      </c>
      <c r="AD21" s="161">
        <f t="shared" si="2"/>
        <v>29481000.089889787</v>
      </c>
      <c r="AE21" s="489">
        <f t="shared" si="1"/>
        <v>0</v>
      </c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</row>
    <row r="22" spans="1:83" s="10" customFormat="1" ht="17.399999999999999" customHeight="1" x14ac:dyDescent="0.3">
      <c r="A22" s="7"/>
      <c r="B22" s="86">
        <v>60</v>
      </c>
      <c r="C22" s="87">
        <v>2036</v>
      </c>
      <c r="D22" s="8">
        <v>84000</v>
      </c>
      <c r="E22" s="468">
        <v>5155787.7678180691</v>
      </c>
      <c r="F22" s="96">
        <v>1165819.4985273054</v>
      </c>
      <c r="G22" s="8">
        <v>0</v>
      </c>
      <c r="H22" s="8">
        <v>6237607.2663453743</v>
      </c>
      <c r="I22" s="466">
        <v>200242926.4315863</v>
      </c>
      <c r="J22" s="466">
        <v>30450947.060492299</v>
      </c>
      <c r="K22" s="466">
        <v>0</v>
      </c>
      <c r="L22" s="8">
        <v>230693873.4920786</v>
      </c>
      <c r="M22" s="490">
        <f ca="1">'Yoy Assets Working'!AB14</f>
        <v>7.740144007249021E-2</v>
      </c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>
        <f t="shared" si="0"/>
        <v>60</v>
      </c>
      <c r="AB22" s="425">
        <f t="shared" si="3"/>
        <v>6237607.2663453743</v>
      </c>
      <c r="AC22" s="425">
        <f t="shared" si="4"/>
        <v>200242926.4315863</v>
      </c>
      <c r="AD22" s="161">
        <f t="shared" si="2"/>
        <v>30450947.060492299</v>
      </c>
      <c r="AE22" s="489">
        <f t="shared" si="1"/>
        <v>0</v>
      </c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</row>
    <row r="23" spans="1:83" s="10" customFormat="1" ht="17.399999999999999" customHeight="1" x14ac:dyDescent="0.3">
      <c r="A23" s="7"/>
      <c r="B23" s="86">
        <v>61</v>
      </c>
      <c r="C23" s="87">
        <v>2037</v>
      </c>
      <c r="D23" s="8">
        <v>84000</v>
      </c>
      <c r="E23" s="468">
        <v>5568250.7892435156</v>
      </c>
      <c r="F23" s="96">
        <v>0</v>
      </c>
      <c r="G23" s="8">
        <v>0</v>
      </c>
      <c r="H23" s="8">
        <v>5484250.7892435156</v>
      </c>
      <c r="I23" s="466">
        <v>207984358.02438226</v>
      </c>
      <c r="J23" s="466">
        <v>31454268.288608175</v>
      </c>
      <c r="K23" s="466">
        <v>0</v>
      </c>
      <c r="L23" s="8">
        <v>239438626.31299043</v>
      </c>
      <c r="M23" s="490">
        <f ca="1">'Yoy Assets Working'!AB15</f>
        <v>7.7122697670208601E-2</v>
      </c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>
        <f t="shared" si="0"/>
        <v>61</v>
      </c>
      <c r="AB23" s="425">
        <f t="shared" si="3"/>
        <v>5484250.7892435156</v>
      </c>
      <c r="AC23" s="425">
        <f t="shared" si="4"/>
        <v>207984358.02438226</v>
      </c>
      <c r="AD23" s="161">
        <f t="shared" si="2"/>
        <v>31454268.288608175</v>
      </c>
      <c r="AE23" s="489">
        <f t="shared" si="1"/>
        <v>0</v>
      </c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</row>
    <row r="24" spans="1:83" s="10" customFormat="1" ht="17.399999999999999" customHeight="1" x14ac:dyDescent="0.3">
      <c r="A24" s="7"/>
      <c r="B24" s="86">
        <v>62</v>
      </c>
      <c r="C24" s="87">
        <v>2038</v>
      </c>
      <c r="D24" s="8">
        <v>84000</v>
      </c>
      <c r="E24" s="468">
        <v>6013710.8523829971</v>
      </c>
      <c r="F24" s="96">
        <v>0</v>
      </c>
      <c r="G24" s="8">
        <v>0</v>
      </c>
      <c r="H24" s="8">
        <v>5929710.8523829971</v>
      </c>
      <c r="I24" s="466">
        <v>215576971.48395598</v>
      </c>
      <c r="J24" s="466">
        <v>32492178.79438258</v>
      </c>
      <c r="K24" s="466">
        <v>0</v>
      </c>
      <c r="L24" s="8">
        <v>248069150.27833855</v>
      </c>
      <c r="M24" s="490">
        <f ca="1">'Yoy Assets Working'!AB16</f>
        <v>7.6833780567628338E-2</v>
      </c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>
        <f t="shared" si="0"/>
        <v>62</v>
      </c>
      <c r="AB24" s="425">
        <f t="shared" si="3"/>
        <v>5929710.8523829971</v>
      </c>
      <c r="AC24" s="425">
        <f t="shared" si="4"/>
        <v>215576971.48395598</v>
      </c>
      <c r="AD24" s="161">
        <f t="shared" si="2"/>
        <v>32492178.79438258</v>
      </c>
      <c r="AE24" s="489">
        <f t="shared" si="1"/>
        <v>0</v>
      </c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</row>
    <row r="25" spans="1:83" s="10" customFormat="1" ht="17.399999999999999" customHeight="1" x14ac:dyDescent="0.3">
      <c r="A25" s="7"/>
      <c r="B25" s="86">
        <v>63</v>
      </c>
      <c r="C25" s="87">
        <v>2039</v>
      </c>
      <c r="D25" s="8">
        <v>84000</v>
      </c>
      <c r="E25" s="468">
        <v>6494807.7205736376</v>
      </c>
      <c r="F25" s="96">
        <v>0</v>
      </c>
      <c r="G25" s="8">
        <v>0</v>
      </c>
      <c r="H25" s="8">
        <v>6410807.7205736376</v>
      </c>
      <c r="I25" s="466">
        <v>222932611.6418995</v>
      </c>
      <c r="J25" s="466">
        <v>33565940.738186032</v>
      </c>
      <c r="K25" s="466">
        <v>0</v>
      </c>
      <c r="L25" s="8">
        <v>256498552.38008553</v>
      </c>
      <c r="M25" s="490">
        <f ca="1">'Yoy Assets Working'!AB17</f>
        <v>7.683325729339667E-2</v>
      </c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>
        <f t="shared" si="0"/>
        <v>63</v>
      </c>
      <c r="AB25" s="425">
        <f t="shared" si="3"/>
        <v>6410807.7205736376</v>
      </c>
      <c r="AC25" s="425">
        <f t="shared" si="4"/>
        <v>222932611.6418995</v>
      </c>
      <c r="AD25" s="161">
        <f t="shared" si="2"/>
        <v>33565940.738186032</v>
      </c>
      <c r="AE25" s="489">
        <f t="shared" si="1"/>
        <v>0</v>
      </c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</row>
    <row r="26" spans="1:83" s="10" customFormat="1" ht="17.399999999999999" customHeight="1" x14ac:dyDescent="0.3">
      <c r="A26" s="7"/>
      <c r="B26" s="86">
        <v>64</v>
      </c>
      <c r="C26" s="87">
        <v>2040</v>
      </c>
      <c r="D26" s="8">
        <v>84000</v>
      </c>
      <c r="E26" s="468">
        <v>7014392.338219529</v>
      </c>
      <c r="F26" s="96">
        <v>0</v>
      </c>
      <c r="G26" s="8">
        <v>0</v>
      </c>
      <c r="H26" s="8">
        <v>6930392.338219529</v>
      </c>
      <c r="I26" s="466">
        <v>229948136.91550046</v>
      </c>
      <c r="J26" s="466">
        <v>34676865.369302176</v>
      </c>
      <c r="K26" s="466">
        <v>0</v>
      </c>
      <c r="L26" s="8">
        <v>264625002.28480265</v>
      </c>
      <c r="M26" s="490">
        <f ca="1">'Yoy Assets Working'!AB18</f>
        <v>7.6809673916509849E-2</v>
      </c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>
        <f t="shared" si="0"/>
        <v>64</v>
      </c>
      <c r="AB26" s="425">
        <f t="shared" si="3"/>
        <v>6930392.338219529</v>
      </c>
      <c r="AC26" s="425">
        <f t="shared" si="4"/>
        <v>229948136.91550046</v>
      </c>
      <c r="AD26" s="161">
        <f t="shared" si="2"/>
        <v>34676865.369302176</v>
      </c>
      <c r="AE26" s="489">
        <f t="shared" si="1"/>
        <v>0</v>
      </c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</row>
    <row r="27" spans="1:83" s="10" customFormat="1" ht="17.399999999999999" customHeight="1" x14ac:dyDescent="0.3">
      <c r="A27" s="7"/>
      <c r="B27" s="86">
        <v>65</v>
      </c>
      <c r="C27" s="87">
        <v>2041</v>
      </c>
      <c r="D27" s="8">
        <v>84000</v>
      </c>
      <c r="E27" s="468">
        <v>7575543.7252770923</v>
      </c>
      <c r="F27" s="96">
        <v>0</v>
      </c>
      <c r="G27" s="8">
        <v>0</v>
      </c>
      <c r="H27" s="8">
        <v>7491543.7252770923</v>
      </c>
      <c r="I27" s="466">
        <v>236503372.59525275</v>
      </c>
      <c r="J27" s="466">
        <v>35826315.059800342</v>
      </c>
      <c r="K27" s="466">
        <v>0</v>
      </c>
      <c r="L27" s="8">
        <v>272329687.65505308</v>
      </c>
      <c r="M27" s="490">
        <f ca="1">'Yoy Assets Working'!AB19</f>
        <v>7.6761633991162814E-2</v>
      </c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>
        <f t="shared" si="0"/>
        <v>65</v>
      </c>
      <c r="AB27" s="425">
        <f t="shared" si="3"/>
        <v>7491543.7252770923</v>
      </c>
      <c r="AC27" s="425">
        <f t="shared" si="4"/>
        <v>236503372.59525275</v>
      </c>
      <c r="AD27" s="161">
        <f t="shared" si="2"/>
        <v>35826315.059800342</v>
      </c>
      <c r="AE27" s="489">
        <f t="shared" si="1"/>
        <v>0</v>
      </c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</row>
    <row r="28" spans="1:83" s="10" customFormat="1" ht="17.399999999999999" customHeight="1" x14ac:dyDescent="0.3">
      <c r="A28" s="7"/>
      <c r="B28" s="86">
        <v>66</v>
      </c>
      <c r="C28" s="87">
        <v>2042</v>
      </c>
      <c r="D28" s="8">
        <v>84000</v>
      </c>
      <c r="E28" s="468">
        <v>8181587.2232992593</v>
      </c>
      <c r="F28" s="96">
        <v>0</v>
      </c>
      <c r="G28" s="8">
        <v>0</v>
      </c>
      <c r="H28" s="8">
        <v>8097587.2232992593</v>
      </c>
      <c r="I28" s="466">
        <v>242458808.50918129</v>
      </c>
      <c r="J28" s="466">
        <v>37015705.427484408</v>
      </c>
      <c r="K28" s="466">
        <v>0</v>
      </c>
      <c r="L28" s="8">
        <v>279474513.93666571</v>
      </c>
      <c r="M28" s="490">
        <f ca="1">'Yoy Assets Working'!AB20</f>
        <v>7.6687575864838028E-2</v>
      </c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>
        <f t="shared" si="0"/>
        <v>66</v>
      </c>
      <c r="AB28" s="425">
        <f t="shared" si="3"/>
        <v>8097587.2232992593</v>
      </c>
      <c r="AC28" s="425">
        <f t="shared" si="4"/>
        <v>242458808.50918129</v>
      </c>
      <c r="AD28" s="161">
        <f t="shared" si="2"/>
        <v>37015705.427484408</v>
      </c>
      <c r="AE28" s="489">
        <f t="shared" si="1"/>
        <v>0</v>
      </c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</row>
    <row r="29" spans="1:83" s="10" customFormat="1" ht="17.399999999999999" customHeight="1" x14ac:dyDescent="0.3">
      <c r="A29" s="7"/>
      <c r="B29" s="86">
        <v>67</v>
      </c>
      <c r="C29" s="87">
        <v>2043</v>
      </c>
      <c r="D29" s="8">
        <v>84000</v>
      </c>
      <c r="E29" s="468">
        <v>8836114.2011632025</v>
      </c>
      <c r="F29" s="96">
        <v>0</v>
      </c>
      <c r="G29" s="8">
        <v>0</v>
      </c>
      <c r="H29" s="8">
        <v>8752114.2011632025</v>
      </c>
      <c r="I29" s="466">
        <v>247653010.58209121</v>
      </c>
      <c r="J29" s="466">
        <v>38246507.551993497</v>
      </c>
      <c r="K29" s="466">
        <v>0</v>
      </c>
      <c r="L29" s="8">
        <v>285899518.1340847</v>
      </c>
      <c r="M29" s="490">
        <f ca="1">'Yoy Assets Working'!AB21</f>
        <v>7.6585748072921817E-2</v>
      </c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>
        <f t="shared" si="0"/>
        <v>67</v>
      </c>
      <c r="AB29" s="425">
        <f t="shared" si="3"/>
        <v>8752114.2011632025</v>
      </c>
      <c r="AC29" s="425">
        <f t="shared" si="4"/>
        <v>247653010.58209121</v>
      </c>
      <c r="AD29" s="161">
        <f t="shared" si="2"/>
        <v>38246507.551993497</v>
      </c>
      <c r="AE29" s="489">
        <f t="shared" si="1"/>
        <v>0</v>
      </c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</row>
    <row r="30" spans="1:83" s="10" customFormat="1" ht="17.399999999999999" customHeight="1" x14ac:dyDescent="0.3">
      <c r="A30" s="7"/>
      <c r="B30" s="86">
        <v>68</v>
      </c>
      <c r="C30" s="87">
        <v>2044</v>
      </c>
      <c r="D30" s="8">
        <v>84000</v>
      </c>
      <c r="E30" s="468">
        <v>9543003.3372562584</v>
      </c>
      <c r="F30" s="96">
        <v>0</v>
      </c>
      <c r="G30" s="8">
        <v>0</v>
      </c>
      <c r="H30" s="8">
        <v>9459003.3372562584</v>
      </c>
      <c r="I30" s="466">
        <v>251899712.26992586</v>
      </c>
      <c r="J30" s="466">
        <v>39520250.288322084</v>
      </c>
      <c r="K30" s="466">
        <v>0</v>
      </c>
      <c r="L30" s="8">
        <v>291419962.55824792</v>
      </c>
      <c r="M30" s="490">
        <f ca="1">'Yoy Assets Working'!AB22</f>
        <v>7.6454180278403283E-2</v>
      </c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>
        <f t="shared" si="0"/>
        <v>68</v>
      </c>
      <c r="AB30" s="425">
        <f t="shared" si="3"/>
        <v>9459003.3372562584</v>
      </c>
      <c r="AC30" s="425">
        <f t="shared" si="4"/>
        <v>251899712.26992586</v>
      </c>
      <c r="AD30" s="161">
        <f t="shared" si="2"/>
        <v>39520250.288322084</v>
      </c>
      <c r="AE30" s="489">
        <f t="shared" si="1"/>
        <v>0</v>
      </c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</row>
    <row r="31" spans="1:83" s="10" customFormat="1" ht="17.399999999999999" customHeight="1" x14ac:dyDescent="0.3">
      <c r="A31" s="7"/>
      <c r="B31" s="86">
        <v>69</v>
      </c>
      <c r="C31" s="87">
        <v>2045</v>
      </c>
      <c r="D31" s="8">
        <v>84000</v>
      </c>
      <c r="E31" s="468">
        <v>10306443.604236759</v>
      </c>
      <c r="F31" s="96">
        <v>0</v>
      </c>
      <c r="G31" s="8">
        <v>0</v>
      </c>
      <c r="H31" s="8">
        <v>10222443.604236759</v>
      </c>
      <c r="I31" s="466">
        <v>254984547.90775675</v>
      </c>
      <c r="J31" s="466">
        <v>40838522.682228968</v>
      </c>
      <c r="K31" s="466">
        <v>0</v>
      </c>
      <c r="L31" s="8">
        <v>295823070.58998573</v>
      </c>
      <c r="M31" s="490">
        <f ca="1">'Yoy Assets Working'!AB23</f>
        <v>7.6290648782702641E-2</v>
      </c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>
        <f t="shared" si="0"/>
        <v>69</v>
      </c>
      <c r="AB31" s="425">
        <f t="shared" si="3"/>
        <v>10222443.604236759</v>
      </c>
      <c r="AC31" s="425">
        <f t="shared" si="4"/>
        <v>254984547.90775675</v>
      </c>
      <c r="AD31" s="161">
        <f t="shared" si="2"/>
        <v>40838522.682228968</v>
      </c>
      <c r="AE31" s="489">
        <f t="shared" si="1"/>
        <v>0</v>
      </c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</row>
    <row r="32" spans="1:83" s="10" customFormat="1" ht="17.399999999999999" customHeight="1" x14ac:dyDescent="0.3">
      <c r="A32" s="7"/>
      <c r="B32" s="86">
        <v>70</v>
      </c>
      <c r="C32" s="87">
        <v>2046</v>
      </c>
      <c r="D32" s="8">
        <v>84000</v>
      </c>
      <c r="E32" s="468">
        <v>11130959.092575699</v>
      </c>
      <c r="F32" s="96">
        <v>0</v>
      </c>
      <c r="G32" s="8">
        <v>0</v>
      </c>
      <c r="H32" s="8">
        <v>11046959.092575699</v>
      </c>
      <c r="I32" s="466">
        <v>257354156.20001599</v>
      </c>
      <c r="J32" s="466">
        <v>42202976.492215924</v>
      </c>
      <c r="K32" s="466">
        <v>0</v>
      </c>
      <c r="L32" s="8">
        <v>299557132.69223189</v>
      </c>
      <c r="M32" s="490">
        <f ca="1">'Yoy Assets Working'!AB24</f>
        <v>7.6092635382153814E-2</v>
      </c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>
        <f t="shared" si="0"/>
        <v>70</v>
      </c>
      <c r="AB32" s="425">
        <f t="shared" si="3"/>
        <v>11046959.092575699</v>
      </c>
      <c r="AC32" s="425">
        <f t="shared" si="4"/>
        <v>257354156.20001599</v>
      </c>
      <c r="AD32" s="161">
        <f t="shared" si="2"/>
        <v>42202976.492215924</v>
      </c>
      <c r="AE32" s="489">
        <f t="shared" si="1"/>
        <v>0</v>
      </c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</row>
    <row r="33" spans="1:83" s="10" customFormat="1" ht="17.399999999999999" customHeight="1" x14ac:dyDescent="0.3">
      <c r="A33" s="7"/>
      <c r="B33" s="86">
        <v>71</v>
      </c>
      <c r="C33" s="87">
        <v>2047</v>
      </c>
      <c r="D33" s="8">
        <v>84000</v>
      </c>
      <c r="E33" s="468">
        <v>12021435.819981758</v>
      </c>
      <c r="F33" s="96">
        <v>0</v>
      </c>
      <c r="G33" s="8">
        <v>0</v>
      </c>
      <c r="H33" s="8">
        <v>11937435.819981758</v>
      </c>
      <c r="I33" s="466">
        <v>258914640.00093612</v>
      </c>
      <c r="J33" s="466">
        <v>43615328.822978489</v>
      </c>
      <c r="K33" s="466">
        <v>0</v>
      </c>
      <c r="L33" s="8">
        <v>302529968.82391459</v>
      </c>
      <c r="M33" s="490">
        <f ca="1">'Yoy Assets Working'!AB25</f>
        <v>7.585727801770141E-2</v>
      </c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>
        <f t="shared" si="0"/>
        <v>71</v>
      </c>
      <c r="AB33" s="425">
        <f t="shared" si="3"/>
        <v>11937435.819981758</v>
      </c>
      <c r="AC33" s="425">
        <f t="shared" si="4"/>
        <v>258914640.00093612</v>
      </c>
      <c r="AD33" s="161">
        <f t="shared" si="2"/>
        <v>43615328.822978489</v>
      </c>
      <c r="AE33" s="489">
        <f t="shared" si="1"/>
        <v>0</v>
      </c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</row>
    <row r="34" spans="1:83" s="10" customFormat="1" ht="17.399999999999999" customHeight="1" x14ac:dyDescent="0.3">
      <c r="A34" s="7"/>
      <c r="B34" s="86">
        <v>72</v>
      </c>
      <c r="C34" s="87">
        <v>2048</v>
      </c>
      <c r="D34" s="8">
        <v>84000</v>
      </c>
      <c r="E34" s="468">
        <v>12983150.685580298</v>
      </c>
      <c r="F34" s="96">
        <v>0</v>
      </c>
      <c r="G34" s="8">
        <v>0</v>
      </c>
      <c r="H34" s="8">
        <v>12899150.685580298</v>
      </c>
      <c r="I34" s="466">
        <v>259546341.22770038</v>
      </c>
      <c r="J34" s="466">
        <v>45077364.875463739</v>
      </c>
      <c r="K34" s="466">
        <v>0</v>
      </c>
      <c r="L34" s="8">
        <v>304623706.10316414</v>
      </c>
      <c r="M34" s="490">
        <f ca="1">'Yoy Assets Working'!AB26</f>
        <v>7.5581311236956605E-2</v>
      </c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>
        <f t="shared" si="0"/>
        <v>72</v>
      </c>
      <c r="AB34" s="425">
        <f t="shared" si="3"/>
        <v>12899150.685580298</v>
      </c>
      <c r="AC34" s="425">
        <f t="shared" si="4"/>
        <v>259546341.22770038</v>
      </c>
      <c r="AD34" s="161">
        <f t="shared" si="2"/>
        <v>45077364.875463739</v>
      </c>
      <c r="AE34" s="489">
        <f t="shared" si="1"/>
        <v>0</v>
      </c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</row>
    <row r="35" spans="1:83" s="10" customFormat="1" ht="17.399999999999999" customHeight="1" x14ac:dyDescent="0.3">
      <c r="A35" s="7"/>
      <c r="B35" s="86">
        <v>73</v>
      </c>
      <c r="C35" s="87">
        <v>2049</v>
      </c>
      <c r="D35" s="8">
        <v>84000</v>
      </c>
      <c r="E35" s="468">
        <v>14021802.740426721</v>
      </c>
      <c r="F35" s="96">
        <v>0</v>
      </c>
      <c r="G35" s="8">
        <v>0</v>
      </c>
      <c r="H35" s="8">
        <v>13937802.740426721</v>
      </c>
      <c r="I35" s="466">
        <v>259117008.1040737</v>
      </c>
      <c r="J35" s="466">
        <v>46590940.818913333</v>
      </c>
      <c r="K35" s="466">
        <v>0</v>
      </c>
      <c r="L35" s="8">
        <v>305707948.92298704</v>
      </c>
      <c r="M35" s="490">
        <f ca="1">'Yoy Assets Working'!AB27</f>
        <v>7.5260993921649547E-2</v>
      </c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>
        <f t="shared" si="0"/>
        <v>73</v>
      </c>
      <c r="AB35" s="425">
        <f t="shared" si="3"/>
        <v>13937802.740426721</v>
      </c>
      <c r="AC35" s="425">
        <f t="shared" si="4"/>
        <v>259117008.1040737</v>
      </c>
      <c r="AD35" s="161">
        <f t="shared" si="2"/>
        <v>46590940.818913333</v>
      </c>
      <c r="AE35" s="489">
        <f t="shared" si="1"/>
        <v>0</v>
      </c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</row>
    <row r="36" spans="1:83" s="10" customFormat="1" ht="17.399999999999999" customHeight="1" x14ac:dyDescent="0.3">
      <c r="A36" s="7"/>
      <c r="B36" s="86">
        <v>74</v>
      </c>
      <c r="C36" s="87">
        <v>2050</v>
      </c>
      <c r="D36" s="8">
        <v>84000</v>
      </c>
      <c r="E36" s="468">
        <v>15143546.95966086</v>
      </c>
      <c r="F36" s="96">
        <v>0</v>
      </c>
      <c r="G36" s="8">
        <v>0</v>
      </c>
      <c r="H36" s="8">
        <v>15059546.95966086</v>
      </c>
      <c r="I36" s="466">
        <v>257480621.50735554</v>
      </c>
      <c r="J36" s="466">
        <v>48157986.790525705</v>
      </c>
      <c r="K36" s="466">
        <v>0</v>
      </c>
      <c r="L36" s="8">
        <v>305638608.29788125</v>
      </c>
      <c r="M36" s="490">
        <f ca="1">'Yoy Assets Working'!AB28</f>
        <v>7.4892020978726187E-2</v>
      </c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>
        <f t="shared" si="0"/>
        <v>74</v>
      </c>
      <c r="AB36" s="425">
        <f t="shared" si="3"/>
        <v>15059546.95966086</v>
      </c>
      <c r="AC36" s="425">
        <f t="shared" si="4"/>
        <v>257480621.50735554</v>
      </c>
      <c r="AD36" s="161">
        <f t="shared" si="2"/>
        <v>48157986.790525705</v>
      </c>
      <c r="AE36" s="489">
        <f t="shared" si="1"/>
        <v>0</v>
      </c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</row>
    <row r="37" spans="1:83" s="10" customFormat="1" ht="17.399999999999999" customHeight="1" x14ac:dyDescent="0.3">
      <c r="A37" s="7"/>
      <c r="B37" s="86">
        <v>75</v>
      </c>
      <c r="C37" s="87">
        <v>2051</v>
      </c>
      <c r="D37" s="8">
        <v>84000</v>
      </c>
      <c r="E37" s="468">
        <v>16355030.71643373</v>
      </c>
      <c r="F37" s="96">
        <v>0</v>
      </c>
      <c r="G37" s="8">
        <v>0</v>
      </c>
      <c r="H37" s="8">
        <v>16271030.71643373</v>
      </c>
      <c r="I37" s="466">
        <v>254476118.28442249</v>
      </c>
      <c r="J37" s="466">
        <v>49780510.028638698</v>
      </c>
      <c r="K37" s="466">
        <v>0</v>
      </c>
      <c r="L37" s="8">
        <v>304256628.31306118</v>
      </c>
      <c r="M37" s="490">
        <f ca="1">'Yoy Assets Working'!AB29</f>
        <v>7.4469414677292484E-2</v>
      </c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>
        <f t="shared" si="0"/>
        <v>75</v>
      </c>
      <c r="AB37" s="425">
        <f t="shared" si="3"/>
        <v>16271030.71643373</v>
      </c>
      <c r="AC37" s="425">
        <f t="shared" si="4"/>
        <v>254476118.28442249</v>
      </c>
      <c r="AD37" s="161">
        <f t="shared" si="2"/>
        <v>49780510.028638698</v>
      </c>
      <c r="AE37" s="489">
        <f t="shared" si="1"/>
        <v>0</v>
      </c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</row>
    <row r="38" spans="1:83" s="10" customFormat="1" ht="17.399999999999999" customHeight="1" x14ac:dyDescent="0.3">
      <c r="A38" s="7"/>
      <c r="B38" s="86">
        <v>76</v>
      </c>
      <c r="C38" s="87">
        <v>2052</v>
      </c>
      <c r="D38" s="8">
        <v>84000</v>
      </c>
      <c r="E38" s="468">
        <v>17663433.173748426</v>
      </c>
      <c r="F38" s="96">
        <v>0</v>
      </c>
      <c r="G38" s="8">
        <v>0</v>
      </c>
      <c r="H38" s="8">
        <v>17579433.173748426</v>
      </c>
      <c r="I38" s="466">
        <v>249926002.7917611</v>
      </c>
      <c r="J38" s="466">
        <v>51460598.145614937</v>
      </c>
      <c r="K38" s="466">
        <v>0</v>
      </c>
      <c r="L38" s="8">
        <v>301386600.93737602</v>
      </c>
      <c r="M38" s="490">
        <f ca="1">'Yoy Assets Working'!AB30</f>
        <v>7.398738993180369E-2</v>
      </c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>
        <f t="shared" si="0"/>
        <v>76</v>
      </c>
      <c r="AB38" s="425">
        <f t="shared" si="3"/>
        <v>17579433.173748426</v>
      </c>
      <c r="AC38" s="425">
        <f t="shared" si="4"/>
        <v>249926002.7917611</v>
      </c>
      <c r="AD38" s="161">
        <f t="shared" si="2"/>
        <v>51460598.145614937</v>
      </c>
      <c r="AE38" s="489">
        <f t="shared" si="1"/>
        <v>0</v>
      </c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</row>
    <row r="39" spans="1:83" s="10" customFormat="1" ht="17.399999999999999" customHeight="1" x14ac:dyDescent="0.3">
      <c r="A39" s="7"/>
      <c r="B39" s="86">
        <v>77</v>
      </c>
      <c r="C39" s="87">
        <v>2053</v>
      </c>
      <c r="D39" s="8">
        <v>84000</v>
      </c>
      <c r="E39" s="468">
        <v>19076507.827648301</v>
      </c>
      <c r="F39" s="96">
        <v>0</v>
      </c>
      <c r="G39" s="8">
        <v>0</v>
      </c>
      <c r="H39" s="8">
        <v>18992507.827648301</v>
      </c>
      <c r="I39" s="466">
        <v>243634837.18713897</v>
      </c>
      <c r="J39" s="466">
        <v>53200422.546906322</v>
      </c>
      <c r="K39" s="466">
        <v>0</v>
      </c>
      <c r="L39" s="8">
        <v>296835259.73404527</v>
      </c>
      <c r="M39" s="490">
        <f ca="1">'Yoy Assets Working'!AB31</f>
        <v>7.3439185931936171E-2</v>
      </c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>
        <f t="shared" si="0"/>
        <v>77</v>
      </c>
      <c r="AB39" s="425">
        <f t="shared" si="3"/>
        <v>18992507.827648301</v>
      </c>
      <c r="AC39" s="425">
        <f t="shared" si="4"/>
        <v>243634837.18713897</v>
      </c>
      <c r="AD39" s="161">
        <f t="shared" si="2"/>
        <v>53200422.546906322</v>
      </c>
      <c r="AE39" s="489">
        <f t="shared" si="1"/>
        <v>0</v>
      </c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</row>
    <row r="40" spans="1:83" s="10" customFormat="1" ht="17.399999999999999" customHeight="1" x14ac:dyDescent="0.3">
      <c r="A40" s="7"/>
      <c r="B40" s="86">
        <v>78</v>
      </c>
      <c r="C40" s="87">
        <v>2054</v>
      </c>
      <c r="D40" s="8">
        <v>84000</v>
      </c>
      <c r="E40" s="468">
        <v>20602628.453860171</v>
      </c>
      <c r="F40" s="96">
        <v>0</v>
      </c>
      <c r="G40" s="8">
        <v>0</v>
      </c>
      <c r="H40" s="8">
        <v>20518628.453860171</v>
      </c>
      <c r="I40" s="466">
        <v>235387600.21360913</v>
      </c>
      <c r="J40" s="466">
        <v>55002242.003082588</v>
      </c>
      <c r="K40" s="466">
        <v>0</v>
      </c>
      <c r="L40" s="8">
        <v>290389842.21669173</v>
      </c>
      <c r="M40" s="490">
        <f ca="1">'Yoy Assets Working'!AB32</f>
        <v>7.281685387617412E-2</v>
      </c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>
        <f t="shared" si="0"/>
        <v>78</v>
      </c>
      <c r="AB40" s="425">
        <f t="shared" si="3"/>
        <v>20518628.453860171</v>
      </c>
      <c r="AC40" s="425">
        <f t="shared" si="4"/>
        <v>235387600.21360913</v>
      </c>
      <c r="AD40" s="161">
        <f t="shared" si="2"/>
        <v>55002242.003082588</v>
      </c>
      <c r="AE40" s="489">
        <f t="shared" si="1"/>
        <v>0</v>
      </c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</row>
    <row r="41" spans="1:83" s="10" customFormat="1" ht="17.399999999999999" customHeight="1" x14ac:dyDescent="0.3">
      <c r="A41" s="7"/>
      <c r="B41" s="86">
        <v>79</v>
      </c>
      <c r="C41" s="87">
        <v>2055</v>
      </c>
      <c r="D41" s="8">
        <v>84000</v>
      </c>
      <c r="E41" s="468">
        <v>22250838.730168987</v>
      </c>
      <c r="F41" s="96">
        <v>0</v>
      </c>
      <c r="G41" s="8">
        <v>0</v>
      </c>
      <c r="H41" s="8">
        <v>22166838.730168987</v>
      </c>
      <c r="I41" s="466">
        <v>224947903.36502934</v>
      </c>
      <c r="J41" s="466">
        <v>56868406.381932601</v>
      </c>
      <c r="K41" s="466">
        <v>0</v>
      </c>
      <c r="L41" s="8">
        <v>281816309.74696195</v>
      </c>
      <c r="M41" s="490">
        <f ca="1">'Yoy Assets Working'!AB33</f>
        <v>7.2154448456592413E-2</v>
      </c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>
        <f t="shared" si="0"/>
        <v>79</v>
      </c>
      <c r="AB41" s="425">
        <f t="shared" si="3"/>
        <v>22166838.730168987</v>
      </c>
      <c r="AC41" s="425">
        <f t="shared" si="4"/>
        <v>224947903.36502934</v>
      </c>
      <c r="AD41" s="161">
        <f t="shared" si="2"/>
        <v>56868406.381932601</v>
      </c>
      <c r="AE41" s="489">
        <f t="shared" si="1"/>
        <v>0</v>
      </c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</row>
    <row r="42" spans="1:83" s="10" customFormat="1" ht="17.399999999999999" customHeight="1" x14ac:dyDescent="0.3">
      <c r="A42" s="7"/>
      <c r="B42" s="86">
        <v>80</v>
      </c>
      <c r="C42" s="87">
        <v>2056</v>
      </c>
      <c r="D42" s="8">
        <v>84000</v>
      </c>
      <c r="E42" s="468">
        <v>24030905.828582503</v>
      </c>
      <c r="F42" s="96">
        <v>0</v>
      </c>
      <c r="G42" s="8">
        <v>0</v>
      </c>
      <c r="H42" s="8">
        <v>23946905.828582503</v>
      </c>
      <c r="I42" s="466">
        <v>212056052.40095142</v>
      </c>
      <c r="J42" s="466">
        <v>58801360.548085988</v>
      </c>
      <c r="K42" s="466">
        <v>0</v>
      </c>
      <c r="L42" s="8">
        <v>270857412.94903743</v>
      </c>
      <c r="M42" s="490">
        <f ca="1">'Yoy Assets Working'!AB34</f>
        <v>7.1401439406960671E-2</v>
      </c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>
        <f t="shared" si="0"/>
        <v>80</v>
      </c>
      <c r="AB42" s="425">
        <f t="shared" si="3"/>
        <v>23946905.828582503</v>
      </c>
      <c r="AC42" s="425">
        <f t="shared" si="4"/>
        <v>212056052.40095142</v>
      </c>
      <c r="AD42" s="161">
        <f t="shared" si="2"/>
        <v>58801360.548085988</v>
      </c>
      <c r="AE42" s="489">
        <f t="shared" si="1"/>
        <v>0</v>
      </c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</row>
    <row r="43" spans="1:83" s="10" customFormat="1" ht="17.399999999999999" customHeight="1" x14ac:dyDescent="0.3">
      <c r="A43" s="7"/>
      <c r="B43" s="86">
        <v>81</v>
      </c>
      <c r="C43" s="87">
        <v>2057</v>
      </c>
      <c r="D43" s="8">
        <v>84000</v>
      </c>
      <c r="E43" s="468">
        <v>25953378.294869103</v>
      </c>
      <c r="F43" s="96">
        <v>0</v>
      </c>
      <c r="G43" s="8">
        <v>0</v>
      </c>
      <c r="H43" s="8">
        <v>25869378.294869103</v>
      </c>
      <c r="I43" s="466">
        <v>196426941.18191683</v>
      </c>
      <c r="J43" s="466">
        <v>60803648.437958747</v>
      </c>
      <c r="K43" s="466">
        <v>0</v>
      </c>
      <c r="L43" s="8">
        <v>257230589.61987558</v>
      </c>
      <c r="M43" s="490">
        <f ca="1">'Yoy Assets Working'!AB35</f>
        <v>7.0534092096356193E-2</v>
      </c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>
        <f t="shared" si="0"/>
        <v>81</v>
      </c>
      <c r="AB43" s="425">
        <f t="shared" si="3"/>
        <v>25869378.294869103</v>
      </c>
      <c r="AC43" s="425">
        <f t="shared" si="4"/>
        <v>196426941.18191683</v>
      </c>
      <c r="AD43" s="161">
        <f t="shared" si="2"/>
        <v>60803648.437958747</v>
      </c>
      <c r="AE43" s="489">
        <f t="shared" si="1"/>
        <v>0</v>
      </c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</row>
    <row r="44" spans="1:83" s="10" customFormat="1" ht="17.399999999999999" customHeight="1" x14ac:dyDescent="0.3">
      <c r="A44" s="7"/>
      <c r="B44" s="86">
        <v>82</v>
      </c>
      <c r="C44" s="87">
        <v>2058</v>
      </c>
      <c r="D44" s="8">
        <v>84000</v>
      </c>
      <c r="E44" s="468">
        <v>28029648.558458634</v>
      </c>
      <c r="F44" s="96">
        <v>0</v>
      </c>
      <c r="G44" s="8">
        <v>0</v>
      </c>
      <c r="H44" s="8">
        <v>27945648.558458634</v>
      </c>
      <c r="I44" s="466">
        <v>177747763.7177484</v>
      </c>
      <c r="J44" s="466">
        <v>62877917.318199202</v>
      </c>
      <c r="K44" s="466">
        <v>0</v>
      </c>
      <c r="L44" s="8">
        <v>240625681.03594762</v>
      </c>
      <c r="M44" s="490">
        <f ca="1">'Yoy Assets Working'!AB36</f>
        <v>6.9548760941602381E-2</v>
      </c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>
        <f t="shared" si="0"/>
        <v>82</v>
      </c>
      <c r="AB44" s="425">
        <f t="shared" ref="AB44:AB87" si="5">MIN(AC44,IF(AND(I43&lt;0,I42&lt;0,I41&lt;0),0,H44))</f>
        <v>27945648.558458634</v>
      </c>
      <c r="AC44" s="425">
        <f t="shared" si="4"/>
        <v>177747763.7177484</v>
      </c>
      <c r="AD44" s="161">
        <f t="shared" si="2"/>
        <v>62877917.318199202</v>
      </c>
      <c r="AE44" s="489">
        <f t="shared" si="1"/>
        <v>0</v>
      </c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</row>
    <row r="45" spans="1:83" s="10" customFormat="1" ht="17.399999999999999" customHeight="1" x14ac:dyDescent="0.3">
      <c r="A45" s="7"/>
      <c r="B45" s="86">
        <v>83</v>
      </c>
      <c r="C45" s="87">
        <v>2059</v>
      </c>
      <c r="D45" s="8">
        <v>84000</v>
      </c>
      <c r="E45" s="468">
        <v>30272020.443135325</v>
      </c>
      <c r="F45" s="96">
        <v>0</v>
      </c>
      <c r="G45" s="8">
        <v>0</v>
      </c>
      <c r="H45" s="8">
        <v>30188020.443135325</v>
      </c>
      <c r="I45" s="466">
        <v>155675529.15471679</v>
      </c>
      <c r="J45" s="466">
        <v>65026922.236201957</v>
      </c>
      <c r="K45" s="466">
        <v>0</v>
      </c>
      <c r="L45" s="8">
        <v>220702451.39091873</v>
      </c>
      <c r="M45" s="490">
        <f ca="1">'Yoy Assets Working'!AB37</f>
        <v>6.842700501795218E-2</v>
      </c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>
        <f t="shared" si="0"/>
        <v>83</v>
      </c>
      <c r="AB45" s="425">
        <f t="shared" si="5"/>
        <v>30188020.443135325</v>
      </c>
      <c r="AC45" s="425">
        <f t="shared" si="4"/>
        <v>155675529.15471679</v>
      </c>
      <c r="AD45" s="161">
        <f t="shared" si="2"/>
        <v>65026922.236201957</v>
      </c>
      <c r="AE45" s="489">
        <f t="shared" si="1"/>
        <v>0</v>
      </c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</row>
    <row r="46" spans="1:83" s="10" customFormat="1" ht="17.399999999999999" customHeight="1" x14ac:dyDescent="0.3">
      <c r="A46" s="7"/>
      <c r="B46" s="86">
        <v>84</v>
      </c>
      <c r="C46" s="87">
        <v>2060</v>
      </c>
      <c r="D46" s="8">
        <v>84000</v>
      </c>
      <c r="E46" s="468">
        <v>32693782.078586154</v>
      </c>
      <c r="F46" s="96">
        <v>0</v>
      </c>
      <c r="G46" s="8">
        <v>0</v>
      </c>
      <c r="H46" s="8">
        <v>32609782.078586154</v>
      </c>
      <c r="I46" s="466">
        <v>129834363.1653178</v>
      </c>
      <c r="J46" s="466">
        <v>67253530.671667635</v>
      </c>
      <c r="K46" s="466">
        <v>0</v>
      </c>
      <c r="L46" s="8">
        <v>197087893.83698544</v>
      </c>
      <c r="M46" s="490">
        <f ca="1">'Yoy Assets Working'!AB38</f>
        <v>6.7146132274875314E-2</v>
      </c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>
        <f t="shared" si="0"/>
        <v>84</v>
      </c>
      <c r="AB46" s="425">
        <f t="shared" si="5"/>
        <v>32609782.078586154</v>
      </c>
      <c r="AC46" s="425">
        <f t="shared" si="4"/>
        <v>129834363.1653178</v>
      </c>
      <c r="AD46" s="161">
        <f t="shared" si="2"/>
        <v>67253530.671667635</v>
      </c>
      <c r="AE46" s="489">
        <f t="shared" si="1"/>
        <v>0</v>
      </c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</row>
    <row r="47" spans="1:83" s="10" customFormat="1" ht="17.399999999999999" customHeight="1" x14ac:dyDescent="0.3">
      <c r="A47" s="7"/>
      <c r="B47" s="86">
        <v>85</v>
      </c>
      <c r="C47" s="87">
        <v>2061</v>
      </c>
      <c r="D47" s="8">
        <v>84000</v>
      </c>
      <c r="E47" s="468">
        <v>35309284.644873053</v>
      </c>
      <c r="F47" s="96">
        <v>0</v>
      </c>
      <c r="G47" s="8">
        <v>0</v>
      </c>
      <c r="H47" s="8">
        <v>35225284.644873053</v>
      </c>
      <c r="I47" s="466">
        <v>99812577.839069203</v>
      </c>
      <c r="J47" s="466">
        <v>69560727.398616254</v>
      </c>
      <c r="K47" s="466">
        <v>0</v>
      </c>
      <c r="L47" s="8">
        <v>169373305.23768544</v>
      </c>
      <c r="M47" s="490">
        <f ca="1">'Yoy Assets Working'!AB39</f>
        <v>6.5677904854269845E-2</v>
      </c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>
        <f t="shared" si="0"/>
        <v>85</v>
      </c>
      <c r="AB47" s="425">
        <f t="shared" si="5"/>
        <v>35225284.644873053</v>
      </c>
      <c r="AC47" s="425">
        <f t="shared" si="4"/>
        <v>99812577.839069203</v>
      </c>
      <c r="AD47" s="161">
        <f t="shared" si="2"/>
        <v>69560727.398616254</v>
      </c>
      <c r="AE47" s="489">
        <f t="shared" si="1"/>
        <v>0</v>
      </c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</row>
    <row r="48" spans="1:83" s="10" customFormat="1" ht="17.399999999999999" customHeight="1" x14ac:dyDescent="0.3">
      <c r="A48" s="7"/>
      <c r="B48" s="86">
        <v>86</v>
      </c>
      <c r="C48" s="87">
        <v>2062</v>
      </c>
      <c r="D48" s="8">
        <v>84000</v>
      </c>
      <c r="E48" s="468">
        <v>38134027.416462898</v>
      </c>
      <c r="F48" s="96">
        <v>0</v>
      </c>
      <c r="G48" s="8">
        <v>0</v>
      </c>
      <c r="H48" s="8">
        <v>38050027.416462898</v>
      </c>
      <c r="I48" s="466">
        <v>65159490.69584965</v>
      </c>
      <c r="J48" s="466">
        <v>71951619.567713261</v>
      </c>
      <c r="K48" s="466">
        <v>0</v>
      </c>
      <c r="L48" s="8">
        <v>137111110.26356292</v>
      </c>
      <c r="M48" s="490">
        <f ca="1">'Yoy Assets Working'!AB40</f>
        <v>6.3986740603421091E-2</v>
      </c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>
        <f t="shared" si="0"/>
        <v>86</v>
      </c>
      <c r="AB48" s="425">
        <f t="shared" si="5"/>
        <v>38050027.416462898</v>
      </c>
      <c r="AC48" s="425">
        <f t="shared" si="4"/>
        <v>65159490.69584965</v>
      </c>
      <c r="AD48" s="161">
        <f t="shared" si="2"/>
        <v>71951619.567713261</v>
      </c>
      <c r="AE48" s="489">
        <f t="shared" si="1"/>
        <v>0</v>
      </c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</row>
    <row r="49" spans="1:88" s="10" customFormat="1" ht="17.399999999999999" customHeight="1" x14ac:dyDescent="0.3">
      <c r="A49" s="7"/>
      <c r="B49" s="86">
        <v>87</v>
      </c>
      <c r="C49" s="87">
        <v>2063</v>
      </c>
      <c r="D49" s="8">
        <v>84000</v>
      </c>
      <c r="E49" s="468">
        <v>41184749.609779932</v>
      </c>
      <c r="F49" s="96">
        <v>0</v>
      </c>
      <c r="G49" s="8">
        <v>0</v>
      </c>
      <c r="H49" s="8">
        <v>41100749.609779932</v>
      </c>
      <c r="I49" s="466">
        <v>25381971.845803551</v>
      </c>
      <c r="J49" s="466">
        <v>74429442.019240111</v>
      </c>
      <c r="K49" s="466">
        <v>0</v>
      </c>
      <c r="L49" s="8">
        <v>99811413.86504367</v>
      </c>
      <c r="M49" s="490">
        <f ca="1">'Yoy Assets Working'!AB41</f>
        <v>6.202716618110999E-2</v>
      </c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>
        <f t="shared" si="0"/>
        <v>87</v>
      </c>
      <c r="AB49" s="425">
        <f t="shared" si="5"/>
        <v>25381971.845803551</v>
      </c>
      <c r="AC49" s="425">
        <f t="shared" si="4"/>
        <v>25381971.845803551</v>
      </c>
      <c r="AD49" s="161">
        <f t="shared" si="2"/>
        <v>74429442.019240111</v>
      </c>
      <c r="AE49" s="489">
        <f t="shared" si="1"/>
        <v>0</v>
      </c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</row>
    <row r="50" spans="1:88" s="10" customFormat="1" ht="17.399999999999999" customHeight="1" x14ac:dyDescent="0.3">
      <c r="A50" s="7"/>
      <c r="B50" s="86">
        <v>88</v>
      </c>
      <c r="C50" s="87">
        <v>2064</v>
      </c>
      <c r="D50" s="8">
        <v>84000</v>
      </c>
      <c r="E50" s="468">
        <v>44479529.578562327</v>
      </c>
      <c r="F50" s="96">
        <v>0</v>
      </c>
      <c r="G50" s="8">
        <v>0</v>
      </c>
      <c r="H50" s="8">
        <v>44395529.578562327</v>
      </c>
      <c r="I50" s="466">
        <v>0</v>
      </c>
      <c r="J50" s="466">
        <v>76997562.837537542</v>
      </c>
      <c r="K50" s="466">
        <v>0</v>
      </c>
      <c r="L50" s="8">
        <v>76997562.837537542</v>
      </c>
      <c r="M50" s="490">
        <f ca="1">'Yoy Assets Working'!AB42</f>
        <v>5.9740131320109233E-2</v>
      </c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>
        <f t="shared" si="0"/>
        <v>88</v>
      </c>
      <c r="AB50" s="425">
        <f t="shared" si="5"/>
        <v>0</v>
      </c>
      <c r="AC50" s="425">
        <f t="shared" si="4"/>
        <v>0</v>
      </c>
      <c r="AD50" s="161">
        <f t="shared" si="2"/>
        <v>76997562.837537542</v>
      </c>
      <c r="AE50" s="489">
        <f t="shared" si="1"/>
        <v>0</v>
      </c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</row>
    <row r="51" spans="1:88" s="10" customFormat="1" ht="17.399999999999999" customHeight="1" x14ac:dyDescent="0.3">
      <c r="A51" s="7"/>
      <c r="B51" s="86">
        <v>89</v>
      </c>
      <c r="C51" s="87">
        <v>2065</v>
      </c>
      <c r="D51" s="8">
        <v>84000</v>
      </c>
      <c r="E51" s="468">
        <v>48037891.944847323</v>
      </c>
      <c r="F51" s="96">
        <v>0</v>
      </c>
      <c r="G51" s="8">
        <v>0</v>
      </c>
      <c r="H51" s="8">
        <v>47953891.944847323</v>
      </c>
      <c r="I51" s="466">
        <v>0</v>
      </c>
      <c r="J51" s="466">
        <v>79659489.158269912</v>
      </c>
      <c r="K51" s="466">
        <v>0</v>
      </c>
      <c r="L51" s="8">
        <v>79659489.158269912</v>
      </c>
      <c r="M51" s="490">
        <f ca="1">'Yoy Assets Working'!AB43</f>
        <v>5.7047542279272445E-2</v>
      </c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>
        <f t="shared" si="0"/>
        <v>89</v>
      </c>
      <c r="AB51" s="425">
        <f t="shared" si="5"/>
        <v>0</v>
      </c>
      <c r="AC51" s="425">
        <f t="shared" si="4"/>
        <v>0</v>
      </c>
      <c r="AD51" s="161">
        <f t="shared" si="2"/>
        <v>79659489.158269912</v>
      </c>
      <c r="AE51" s="489">
        <f t="shared" si="1"/>
        <v>0</v>
      </c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</row>
    <row r="52" spans="1:88" s="10" customFormat="1" ht="17.399999999999999" customHeight="1" x14ac:dyDescent="0.3">
      <c r="A52" s="7"/>
      <c r="B52" s="86">
        <v>90</v>
      </c>
      <c r="C52" s="87">
        <v>2066</v>
      </c>
      <c r="D52" s="8">
        <v>84000</v>
      </c>
      <c r="E52" s="468">
        <v>51880923.300435111</v>
      </c>
      <c r="F52" s="96">
        <v>0</v>
      </c>
      <c r="G52" s="8">
        <v>0</v>
      </c>
      <c r="H52" s="8">
        <v>51796923.300435111</v>
      </c>
      <c r="I52" s="466">
        <v>0</v>
      </c>
      <c r="J52" s="466">
        <v>82418873.240404546</v>
      </c>
      <c r="K52" s="466">
        <v>0</v>
      </c>
      <c r="L52" s="8">
        <v>82418873.240404546</v>
      </c>
      <c r="M52" s="490">
        <f ca="1">'Yoy Assets Working'!AB44</f>
        <v>5.4387861976349483E-2</v>
      </c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>
        <f t="shared" si="0"/>
        <v>90</v>
      </c>
      <c r="AB52" s="425">
        <f t="shared" si="5"/>
        <v>0</v>
      </c>
      <c r="AC52" s="425">
        <f t="shared" si="4"/>
        <v>0</v>
      </c>
      <c r="AD52" s="161">
        <f t="shared" si="2"/>
        <v>82418873.240404546</v>
      </c>
      <c r="AE52" s="489">
        <f t="shared" si="1"/>
        <v>0</v>
      </c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</row>
    <row r="53" spans="1:88" s="10" customFormat="1" ht="17.399999999999999" customHeight="1" x14ac:dyDescent="0.3">
      <c r="A53" s="7"/>
      <c r="B53" s="86">
        <v>91</v>
      </c>
      <c r="C53" s="87">
        <v>2067</v>
      </c>
      <c r="D53" s="8">
        <v>84000</v>
      </c>
      <c r="E53" s="468">
        <v>56031397.164469905</v>
      </c>
      <c r="F53" s="96">
        <v>0</v>
      </c>
      <c r="G53" s="8">
        <v>0</v>
      </c>
      <c r="H53" s="8">
        <v>55947397.164469905</v>
      </c>
      <c r="I53" s="466">
        <v>0</v>
      </c>
      <c r="J53" s="466">
        <v>85279518.815372556</v>
      </c>
      <c r="K53" s="466">
        <v>0</v>
      </c>
      <c r="L53" s="8">
        <v>85279518.815372556</v>
      </c>
      <c r="M53" s="490">
        <f ca="1">'Yoy Assets Working'!AB45</f>
        <v>5.4405745569175358E-2</v>
      </c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>
        <f t="shared" si="0"/>
        <v>91</v>
      </c>
      <c r="AB53" s="425">
        <f t="shared" si="5"/>
        <v>0</v>
      </c>
      <c r="AC53" s="425">
        <f t="shared" si="4"/>
        <v>0</v>
      </c>
      <c r="AD53" s="161">
        <f t="shared" si="2"/>
        <v>85279518.815372556</v>
      </c>
      <c r="AE53" s="489">
        <f t="shared" si="1"/>
        <v>0</v>
      </c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</row>
    <row r="54" spans="1:88" s="10" customFormat="1" ht="17.399999999999999" customHeight="1" x14ac:dyDescent="0.3">
      <c r="A54" s="7"/>
      <c r="B54" s="86">
        <v>92</v>
      </c>
      <c r="C54" s="87">
        <v>2068</v>
      </c>
      <c r="D54" s="8">
        <v>84000</v>
      </c>
      <c r="E54" s="468">
        <v>60513908.937627502</v>
      </c>
      <c r="F54" s="96">
        <v>0</v>
      </c>
      <c r="G54" s="8">
        <v>0</v>
      </c>
      <c r="H54" s="8">
        <v>60429908.937627502</v>
      </c>
      <c r="I54" s="466">
        <v>0</v>
      </c>
      <c r="J54" s="466">
        <v>88245387.726477399</v>
      </c>
      <c r="K54" s="466">
        <v>0</v>
      </c>
      <c r="L54" s="8">
        <v>88245387.726477399</v>
      </c>
      <c r="M54" s="490">
        <f ca="1">'Yoy Assets Working'!AB46</f>
        <v>5.4424274556224866E-2</v>
      </c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>
        <f t="shared" si="0"/>
        <v>92</v>
      </c>
      <c r="AB54" s="425">
        <f t="shared" si="5"/>
        <v>0</v>
      </c>
      <c r="AC54" s="425">
        <f t="shared" si="4"/>
        <v>0</v>
      </c>
      <c r="AD54" s="161">
        <f t="shared" si="2"/>
        <v>88245387.726477399</v>
      </c>
      <c r="AE54" s="489">
        <f t="shared" si="1"/>
        <v>0</v>
      </c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</row>
    <row r="55" spans="1:88" s="10" customFormat="1" ht="17.399999999999999" customHeight="1" x14ac:dyDescent="0.3">
      <c r="A55" s="7"/>
      <c r="B55" s="86">
        <v>93</v>
      </c>
      <c r="C55" s="87">
        <v>2069</v>
      </c>
      <c r="D55" s="8">
        <v>84000</v>
      </c>
      <c r="E55" s="468">
        <v>65355021.65263772</v>
      </c>
      <c r="F55" s="96">
        <v>0</v>
      </c>
      <c r="G55" s="8">
        <v>0</v>
      </c>
      <c r="H55" s="8">
        <v>65271021.65263772</v>
      </c>
      <c r="I55" s="466">
        <v>0</v>
      </c>
      <c r="J55" s="466">
        <v>91320606.872247577</v>
      </c>
      <c r="K55" s="466">
        <v>0</v>
      </c>
      <c r="L55" s="8">
        <v>91320606.872247577</v>
      </c>
      <c r="M55" s="490">
        <f ca="1">'Yoy Assets Working'!AB47</f>
        <v>5.4443664711021016E-2</v>
      </c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>
        <f t="shared" si="0"/>
        <v>93</v>
      </c>
      <c r="AB55" s="425">
        <f t="shared" si="5"/>
        <v>0</v>
      </c>
      <c r="AC55" s="425">
        <f t="shared" si="4"/>
        <v>0</v>
      </c>
      <c r="AD55" s="161">
        <f t="shared" si="2"/>
        <v>91320606.872247577</v>
      </c>
      <c r="AE55" s="489">
        <f t="shared" si="1"/>
        <v>0</v>
      </c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</row>
    <row r="56" spans="1:88" s="10" customFormat="1" ht="17.399999999999999" customHeight="1" x14ac:dyDescent="0.3">
      <c r="A56" s="7"/>
      <c r="B56" s="86">
        <v>94</v>
      </c>
      <c r="C56" s="87">
        <v>2070</v>
      </c>
      <c r="D56" s="8">
        <v>84000</v>
      </c>
      <c r="E56" s="468">
        <v>70583423.384848729</v>
      </c>
      <c r="F56" s="96">
        <v>0</v>
      </c>
      <c r="G56" s="8">
        <v>0</v>
      </c>
      <c r="H56" s="8">
        <v>70499423.384848729</v>
      </c>
      <c r="I56" s="466">
        <v>0</v>
      </c>
      <c r="J56" s="466">
        <v>94509475.46808964</v>
      </c>
      <c r="K56" s="466">
        <v>0</v>
      </c>
      <c r="L56" s="8">
        <v>94509475.46808964</v>
      </c>
      <c r="M56" s="490">
        <f ca="1">'Yoy Assets Working'!AB48</f>
        <v>5.4464203804337773E-2</v>
      </c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>
        <f t="shared" si="0"/>
        <v>94</v>
      </c>
      <c r="AB56" s="425">
        <f t="shared" si="5"/>
        <v>0</v>
      </c>
      <c r="AC56" s="425">
        <f t="shared" si="4"/>
        <v>0</v>
      </c>
      <c r="AD56" s="161">
        <f t="shared" si="2"/>
        <v>94509475.46808964</v>
      </c>
      <c r="AE56" s="489">
        <f t="shared" si="1"/>
        <v>0</v>
      </c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</row>
    <row r="57" spans="1:88" s="10" customFormat="1" ht="17.399999999999999" customHeight="1" x14ac:dyDescent="0.3">
      <c r="A57" s="7"/>
      <c r="B57" s="86">
        <v>95</v>
      </c>
      <c r="C57" s="87">
        <v>2071</v>
      </c>
      <c r="D57" s="8">
        <v>84000</v>
      </c>
      <c r="E57" s="468">
        <v>76230097.255636647</v>
      </c>
      <c r="F57" s="96">
        <v>0</v>
      </c>
      <c r="G57" s="8">
        <v>0</v>
      </c>
      <c r="H57" s="8">
        <v>76146097.255636647</v>
      </c>
      <c r="I57" s="466">
        <v>0</v>
      </c>
      <c r="J57" s="466">
        <v>97816472.641290709</v>
      </c>
      <c r="K57" s="466">
        <v>0</v>
      </c>
      <c r="L57" s="8">
        <v>97816472.641290709</v>
      </c>
      <c r="M57" s="490">
        <f ca="1">'Yoy Assets Working'!AB49</f>
        <v>5.4486285400195379E-2</v>
      </c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>
        <f t="shared" si="0"/>
        <v>95</v>
      </c>
      <c r="AB57" s="425">
        <f t="shared" si="5"/>
        <v>0</v>
      </c>
      <c r="AC57" s="425">
        <f t="shared" si="4"/>
        <v>0</v>
      </c>
      <c r="AD57" s="161">
        <f t="shared" si="2"/>
        <v>97816472.641290709</v>
      </c>
      <c r="AE57" s="489">
        <f t="shared" si="1"/>
        <v>0</v>
      </c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</row>
    <row r="58" spans="1:88" s="10" customFormat="1" ht="17.399999999999999" customHeight="1" x14ac:dyDescent="0.3">
      <c r="A58" s="7"/>
      <c r="B58" s="86">
        <v>96</v>
      </c>
      <c r="C58" s="87">
        <v>2072</v>
      </c>
      <c r="D58" s="8">
        <v>84000</v>
      </c>
      <c r="E58" s="468">
        <v>82328505.036087587</v>
      </c>
      <c r="F58" s="96">
        <v>0</v>
      </c>
      <c r="G58" s="8">
        <v>0</v>
      </c>
      <c r="H58" s="8">
        <v>82244505.036087587</v>
      </c>
      <c r="I58" s="466">
        <v>0</v>
      </c>
      <c r="J58" s="466">
        <v>101246265.37514573</v>
      </c>
      <c r="K58" s="466">
        <v>0</v>
      </c>
      <c r="L58" s="8">
        <v>101246265.37514573</v>
      </c>
      <c r="M58" s="490">
        <f ca="1">'Yoy Assets Working'!AB50</f>
        <v>5.451046362070544E-2</v>
      </c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>
        <f t="shared" si="0"/>
        <v>96</v>
      </c>
      <c r="AB58" s="425">
        <f t="shared" si="5"/>
        <v>0</v>
      </c>
      <c r="AC58" s="425">
        <f t="shared" si="4"/>
        <v>0</v>
      </c>
      <c r="AD58" s="161">
        <f t="shared" si="2"/>
        <v>101246265.37514573</v>
      </c>
      <c r="AE58" s="489">
        <f t="shared" si="1"/>
        <v>0</v>
      </c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</row>
    <row r="59" spans="1:88" s="10" customFormat="1" ht="17.399999999999999" customHeight="1" x14ac:dyDescent="0.3">
      <c r="A59" s="7"/>
      <c r="B59" s="86">
        <v>97</v>
      </c>
      <c r="C59" s="87">
        <v>2073</v>
      </c>
      <c r="D59" s="8">
        <v>84000</v>
      </c>
      <c r="E59" s="468">
        <v>88914785.438974574</v>
      </c>
      <c r="F59" s="96">
        <v>0</v>
      </c>
      <c r="G59" s="8">
        <v>0</v>
      </c>
      <c r="H59" s="8">
        <v>88830785.438974574</v>
      </c>
      <c r="I59" s="466">
        <v>0</v>
      </c>
      <c r="J59" s="466">
        <v>104803716.81874722</v>
      </c>
      <c r="K59" s="466">
        <v>0</v>
      </c>
      <c r="L59" s="8">
        <v>104803716.81874722</v>
      </c>
      <c r="M59" s="490">
        <f ca="1">'Yoy Assets Working'!AB51</f>
        <v>5.4537545810327992E-2</v>
      </c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>
        <f t="shared" si="0"/>
        <v>97</v>
      </c>
      <c r="AB59" s="425">
        <f t="shared" si="5"/>
        <v>0</v>
      </c>
      <c r="AC59" s="425">
        <f t="shared" si="4"/>
        <v>0</v>
      </c>
      <c r="AD59" s="161">
        <f t="shared" si="2"/>
        <v>104803716.81874722</v>
      </c>
      <c r="AE59" s="489">
        <f t="shared" si="1"/>
        <v>0</v>
      </c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</row>
    <row r="60" spans="1:88" s="10" customFormat="1" ht="17.399999999999999" customHeight="1" x14ac:dyDescent="0.3">
      <c r="A60" s="7"/>
      <c r="B60" s="86">
        <v>98</v>
      </c>
      <c r="C60" s="87">
        <v>2074</v>
      </c>
      <c r="D60" s="8">
        <v>84000</v>
      </c>
      <c r="E60" s="468">
        <v>96027968.274092555</v>
      </c>
      <c r="F60" s="96">
        <v>0</v>
      </c>
      <c r="G60" s="8">
        <v>0</v>
      </c>
      <c r="H60" s="8">
        <v>95943968.274092555</v>
      </c>
      <c r="I60" s="466">
        <v>0</v>
      </c>
      <c r="J60" s="466">
        <v>108493894.97977409</v>
      </c>
      <c r="K60" s="466">
        <v>0</v>
      </c>
      <c r="L60" s="8">
        <v>108493894.97977409</v>
      </c>
      <c r="M60" s="490">
        <f ca="1">'Yoy Assets Working'!AB52</f>
        <v>5.4568757689871662E-2</v>
      </c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>
        <f t="shared" si="0"/>
        <v>98</v>
      </c>
      <c r="AB60" s="425">
        <f t="shared" si="5"/>
        <v>0</v>
      </c>
      <c r="AC60" s="425">
        <f t="shared" si="4"/>
        <v>0</v>
      </c>
      <c r="AD60" s="161">
        <f t="shared" si="2"/>
        <v>108493894.97977409</v>
      </c>
      <c r="AE60" s="489">
        <f t="shared" si="1"/>
        <v>0</v>
      </c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</row>
    <row r="61" spans="1:88" ht="17.25" customHeight="1" x14ac:dyDescent="0.3">
      <c r="A61" s="82"/>
      <c r="B61" s="86">
        <v>99</v>
      </c>
      <c r="C61" s="87">
        <v>2075</v>
      </c>
      <c r="D61" s="8">
        <v>84000</v>
      </c>
      <c r="E61" s="468">
        <v>103710205.73601997</v>
      </c>
      <c r="F61" s="96">
        <v>0</v>
      </c>
      <c r="G61" s="8">
        <v>0</v>
      </c>
      <c r="H61" s="8">
        <v>103626205.73601997</v>
      </c>
      <c r="I61" s="466">
        <v>0</v>
      </c>
      <c r="J61" s="466">
        <v>112322081.818455</v>
      </c>
      <c r="K61" s="466">
        <v>0</v>
      </c>
      <c r="L61" s="8">
        <v>112322081.818455</v>
      </c>
      <c r="M61" s="490">
        <f ca="1">'Yoy Assets Working'!AB53</f>
        <v>5.4606057080315379E-2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9">
        <f t="shared" si="0"/>
        <v>99</v>
      </c>
      <c r="AB61" s="425">
        <f t="shared" si="5"/>
        <v>0</v>
      </c>
      <c r="AC61" s="425">
        <f t="shared" si="4"/>
        <v>0</v>
      </c>
      <c r="AD61" s="161">
        <f t="shared" si="2"/>
        <v>112322081.818455</v>
      </c>
      <c r="AE61" s="489">
        <f t="shared" si="1"/>
        <v>0</v>
      </c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</row>
    <row r="62" spans="1:88" ht="17.25" customHeight="1" x14ac:dyDescent="0.3">
      <c r="A62" s="82"/>
      <c r="B62" s="86">
        <v>100</v>
      </c>
      <c r="C62" s="87">
        <v>2076</v>
      </c>
      <c r="D62" s="8">
        <v>84000</v>
      </c>
      <c r="E62" s="468">
        <v>112007022.19490159</v>
      </c>
      <c r="F62" s="96">
        <v>0</v>
      </c>
      <c r="G62" s="8">
        <v>0</v>
      </c>
      <c r="H62" s="8">
        <v>111923022.19490159</v>
      </c>
      <c r="I62" s="466">
        <v>0</v>
      </c>
      <c r="J62" s="466">
        <v>116293782.76176071</v>
      </c>
      <c r="K62" s="466">
        <v>0</v>
      </c>
      <c r="L62" s="8">
        <v>116293782.76176071</v>
      </c>
      <c r="M62" s="490">
        <f ca="1">'Yoy Assets Working'!AB54</f>
        <v>5.4652779626930777E-2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9">
        <f t="shared" si="0"/>
        <v>100</v>
      </c>
      <c r="AB62" s="425">
        <f t="shared" si="5"/>
        <v>0</v>
      </c>
      <c r="AC62" s="425">
        <f t="shared" si="4"/>
        <v>0</v>
      </c>
      <c r="AD62" s="161">
        <f t="shared" si="2"/>
        <v>116293782.76176071</v>
      </c>
      <c r="AE62" s="489">
        <f t="shared" si="1"/>
        <v>0</v>
      </c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</row>
    <row r="63" spans="1:88" ht="17.25" customHeight="1" x14ac:dyDescent="0.3">
      <c r="A63" s="82"/>
      <c r="B63" s="86">
        <v>101</v>
      </c>
      <c r="C63" s="87">
        <v>2077</v>
      </c>
      <c r="D63" s="8">
        <v>84000</v>
      </c>
      <c r="E63" s="468">
        <v>120967583.9704937</v>
      </c>
      <c r="F63" s="96">
        <v>0</v>
      </c>
      <c r="G63" s="8">
        <v>0</v>
      </c>
      <c r="H63" s="8">
        <v>120883583.9704937</v>
      </c>
      <c r="I63" s="466">
        <v>0</v>
      </c>
      <c r="J63" s="466">
        <v>120414736.65780321</v>
      </c>
      <c r="K63" s="466">
        <v>0</v>
      </c>
      <c r="L63" s="8">
        <v>120414736.65780321</v>
      </c>
      <c r="M63" s="490">
        <f ca="1">'Yoy Assets Working'!AB55</f>
        <v>5.4715114204647287E-2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9">
        <f t="shared" si="0"/>
        <v>101</v>
      </c>
      <c r="AB63" s="425">
        <f t="shared" si="5"/>
        <v>0</v>
      </c>
      <c r="AC63" s="425">
        <f t="shared" si="4"/>
        <v>0</v>
      </c>
      <c r="AD63" s="161">
        <f t="shared" si="2"/>
        <v>120414736.65780321</v>
      </c>
      <c r="AE63" s="489">
        <f t="shared" si="1"/>
        <v>0</v>
      </c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</row>
    <row r="64" spans="1:88" ht="17.25" customHeight="1" x14ac:dyDescent="0.3">
      <c r="A64" s="82"/>
      <c r="B64" s="86">
        <v>102</v>
      </c>
      <c r="C64" s="87">
        <v>2078</v>
      </c>
      <c r="D64" s="8">
        <v>84000</v>
      </c>
      <c r="E64" s="468">
        <v>130644990.68813318</v>
      </c>
      <c r="F64" s="96">
        <v>0</v>
      </c>
      <c r="G64" s="8">
        <v>0</v>
      </c>
      <c r="H64" s="8">
        <v>130560990.68813318</v>
      </c>
      <c r="I64" s="466">
        <v>0</v>
      </c>
      <c r="J64" s="466">
        <v>124690926.19138646</v>
      </c>
      <c r="K64" s="466">
        <v>0</v>
      </c>
      <c r="L64" s="8">
        <v>124690926.19138646</v>
      </c>
      <c r="M64" s="490">
        <f ca="1">'Yoy Assets Working'!AB56</f>
        <v>5.4805990648252985E-2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9">
        <f t="shared" si="0"/>
        <v>102</v>
      </c>
      <c r="AB64" s="425">
        <f t="shared" si="5"/>
        <v>0</v>
      </c>
      <c r="AC64" s="425">
        <f t="shared" si="4"/>
        <v>0</v>
      </c>
      <c r="AD64" s="161">
        <f t="shared" si="2"/>
        <v>124690926.19138646</v>
      </c>
      <c r="AE64" s="489">
        <f t="shared" si="1"/>
        <v>0</v>
      </c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</row>
    <row r="65" spans="1:88" ht="17.25" customHeight="1" x14ac:dyDescent="0.3">
      <c r="A65" s="82"/>
      <c r="B65" s="86">
        <v>103</v>
      </c>
      <c r="C65" s="87">
        <v>2079</v>
      </c>
      <c r="D65" s="8">
        <v>84000</v>
      </c>
      <c r="E65" s="468">
        <v>141096589.94318387</v>
      </c>
      <c r="F65" s="96">
        <v>0</v>
      </c>
      <c r="G65" s="8">
        <v>0</v>
      </c>
      <c r="H65" s="8">
        <v>141012589.94318387</v>
      </c>
      <c r="I65" s="466">
        <v>0</v>
      </c>
      <c r="J65" s="466">
        <v>129128588.78266968</v>
      </c>
      <c r="K65" s="466">
        <v>0</v>
      </c>
      <c r="L65" s="8">
        <v>129128588.78266968</v>
      </c>
      <c r="M65" s="490">
        <f ca="1">'Yoy Assets Working'!AB57</f>
        <v>5.495770505252226E-2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9">
        <f t="shared" si="0"/>
        <v>103</v>
      </c>
      <c r="AB65" s="425">
        <f t="shared" si="5"/>
        <v>0</v>
      </c>
      <c r="AC65" s="425">
        <f t="shared" si="4"/>
        <v>0</v>
      </c>
      <c r="AD65" s="161">
        <f t="shared" si="2"/>
        <v>129128588.78266968</v>
      </c>
      <c r="AE65" s="489">
        <f t="shared" si="1"/>
        <v>0</v>
      </c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</row>
    <row r="66" spans="1:88" ht="17.25" customHeight="1" x14ac:dyDescent="0.3">
      <c r="A66" s="82"/>
      <c r="B66" s="86">
        <v>104</v>
      </c>
      <c r="C66" s="87">
        <v>2080</v>
      </c>
      <c r="D66" s="8">
        <v>84000</v>
      </c>
      <c r="E66" s="468">
        <v>152384317.13863859</v>
      </c>
      <c r="F66" s="96">
        <v>0</v>
      </c>
      <c r="G66" s="8">
        <v>0</v>
      </c>
      <c r="H66" s="8">
        <v>152300317.13863859</v>
      </c>
      <c r="I66" s="466">
        <v>0</v>
      </c>
      <c r="J66" s="466">
        <v>133734227.99196848</v>
      </c>
      <c r="K66" s="466">
        <v>0</v>
      </c>
      <c r="L66" s="8">
        <v>133734227.99196848</v>
      </c>
      <c r="M66" s="490">
        <f ca="1">'Yoy Assets Working'!AB58</f>
        <v>5.5249347667287417E-2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9">
        <f t="shared" si="0"/>
        <v>104</v>
      </c>
      <c r="AB66" s="425">
        <f t="shared" si="5"/>
        <v>0</v>
      </c>
      <c r="AC66" s="425">
        <f t="shared" si="4"/>
        <v>0</v>
      </c>
      <c r="AD66" s="161">
        <f t="shared" si="2"/>
        <v>133734227.99196848</v>
      </c>
      <c r="AE66" s="489">
        <f t="shared" si="1"/>
        <v>0</v>
      </c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</row>
    <row r="67" spans="1:88" ht="16.2" customHeight="1" x14ac:dyDescent="0.3">
      <c r="A67" s="82"/>
      <c r="B67" s="86">
        <v>105</v>
      </c>
      <c r="C67" s="87">
        <v>2081</v>
      </c>
      <c r="D67" s="8">
        <v>84000</v>
      </c>
      <c r="E67" s="96">
        <v>164575062.50972965</v>
      </c>
      <c r="F67" s="469">
        <v>0</v>
      </c>
      <c r="G67" s="8">
        <v>0</v>
      </c>
      <c r="H67" s="8">
        <v>164491062.50972965</v>
      </c>
      <c r="I67" s="466">
        <v>0</v>
      </c>
      <c r="J67" s="466">
        <v>138514625.45483714</v>
      </c>
      <c r="K67" s="466">
        <v>0</v>
      </c>
      <c r="L67" s="8">
        <v>138514625.45483714</v>
      </c>
      <c r="M67" s="490">
        <f ca="1">'Yoy Assets Working'!AB59</f>
        <v>5.555540028686054E-2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9">
        <f t="shared" si="0"/>
        <v>105</v>
      </c>
      <c r="AB67" s="425">
        <f t="shared" si="5"/>
        <v>0</v>
      </c>
      <c r="AC67" s="425">
        <f t="shared" si="4"/>
        <v>0</v>
      </c>
      <c r="AD67" s="161">
        <f t="shared" si="2"/>
        <v>138514625.45483714</v>
      </c>
      <c r="AE67" s="489">
        <f t="shared" si="1"/>
        <v>0</v>
      </c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</row>
    <row r="68" spans="1:88" ht="16.2" customHeight="1" x14ac:dyDescent="0.3">
      <c r="A68" s="82"/>
      <c r="B68" s="86"/>
      <c r="C68" s="87"/>
      <c r="D68" s="8"/>
      <c r="E68" s="469"/>
      <c r="F68" s="96"/>
      <c r="G68" s="8"/>
      <c r="H68" s="8"/>
      <c r="I68" s="466"/>
      <c r="J68" s="466"/>
      <c r="K68" s="466"/>
      <c r="L68" s="8"/>
      <c r="M68" s="490">
        <f ca="1">'Yoy Assets Working'!AB60</f>
        <v>0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9">
        <f t="shared" si="0"/>
        <v>0</v>
      </c>
      <c r="AB68" s="425">
        <f t="shared" si="5"/>
        <v>0</v>
      </c>
      <c r="AC68" s="425">
        <f t="shared" si="4"/>
        <v>0</v>
      </c>
      <c r="AD68" s="161">
        <f t="shared" si="2"/>
        <v>0</v>
      </c>
      <c r="AE68" s="489">
        <f t="shared" si="1"/>
        <v>0</v>
      </c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</row>
    <row r="69" spans="1:88" ht="16.2" customHeight="1" x14ac:dyDescent="0.3">
      <c r="A69" s="82"/>
      <c r="B69" s="86"/>
      <c r="C69" s="87"/>
      <c r="D69" s="8"/>
      <c r="E69" s="468"/>
      <c r="F69" s="96"/>
      <c r="G69" s="8"/>
      <c r="H69" s="8"/>
      <c r="I69" s="466"/>
      <c r="J69" s="466"/>
      <c r="K69" s="466"/>
      <c r="L69" s="8"/>
      <c r="M69" s="490">
        <f ca="1">'Yoy Assets Working'!AB61</f>
        <v>0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9">
        <f t="shared" si="0"/>
        <v>0</v>
      </c>
      <c r="AB69" s="425">
        <f t="shared" si="5"/>
        <v>0</v>
      </c>
      <c r="AC69" s="425">
        <f t="shared" si="4"/>
        <v>0</v>
      </c>
      <c r="AD69" s="161">
        <f t="shared" si="2"/>
        <v>0</v>
      </c>
      <c r="AE69" s="489">
        <f t="shared" si="1"/>
        <v>0</v>
      </c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</row>
    <row r="70" spans="1:88" ht="16.2" customHeight="1" x14ac:dyDescent="0.3">
      <c r="A70" s="82"/>
      <c r="B70" s="86"/>
      <c r="C70" s="87"/>
      <c r="D70" s="8"/>
      <c r="E70" s="468"/>
      <c r="F70" s="96"/>
      <c r="G70" s="8"/>
      <c r="H70" s="8"/>
      <c r="I70" s="466"/>
      <c r="J70" s="466"/>
      <c r="K70" s="466"/>
      <c r="L70" s="8"/>
      <c r="M70" s="490">
        <f ca="1">'Yoy Assets Working'!AB62</f>
        <v>0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9">
        <f t="shared" si="0"/>
        <v>0</v>
      </c>
      <c r="AB70" s="425">
        <f t="shared" si="5"/>
        <v>0</v>
      </c>
      <c r="AC70" s="425">
        <f t="shared" si="4"/>
        <v>0</v>
      </c>
      <c r="AD70" s="161">
        <f t="shared" si="2"/>
        <v>0</v>
      </c>
      <c r="AE70" s="489">
        <f t="shared" si="1"/>
        <v>0</v>
      </c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</row>
    <row r="71" spans="1:88" ht="16.2" customHeight="1" x14ac:dyDescent="0.3">
      <c r="A71" s="82"/>
      <c r="B71" s="86"/>
      <c r="C71" s="87"/>
      <c r="D71" s="8"/>
      <c r="E71" s="468"/>
      <c r="F71" s="96"/>
      <c r="G71" s="8"/>
      <c r="H71" s="8"/>
      <c r="I71" s="466"/>
      <c r="J71" s="466"/>
      <c r="K71" s="466"/>
      <c r="L71" s="8"/>
      <c r="M71" s="490">
        <f ca="1">'Yoy Assets Working'!AB63</f>
        <v>0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9">
        <f t="shared" si="0"/>
        <v>0</v>
      </c>
      <c r="AB71" s="425">
        <f t="shared" si="5"/>
        <v>0</v>
      </c>
      <c r="AC71" s="425">
        <f t="shared" si="4"/>
        <v>0</v>
      </c>
      <c r="AD71" s="161">
        <f t="shared" si="2"/>
        <v>0</v>
      </c>
      <c r="AE71" s="489">
        <f t="shared" si="1"/>
        <v>0</v>
      </c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</row>
    <row r="72" spans="1:88" ht="16.2" customHeight="1" x14ac:dyDescent="0.3">
      <c r="A72" s="82"/>
      <c r="B72" s="86"/>
      <c r="C72" s="87"/>
      <c r="D72" s="8"/>
      <c r="E72" s="468"/>
      <c r="F72" s="96"/>
      <c r="G72" s="8"/>
      <c r="H72" s="8"/>
      <c r="I72" s="466"/>
      <c r="J72" s="466"/>
      <c r="K72" s="466"/>
      <c r="L72" s="8"/>
      <c r="M72" s="490">
        <f ca="1">'Yoy Assets Working'!AB64</f>
        <v>0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9">
        <f t="shared" si="0"/>
        <v>0</v>
      </c>
      <c r="AB72" s="425">
        <f t="shared" si="5"/>
        <v>0</v>
      </c>
      <c r="AC72" s="425">
        <f t="shared" si="4"/>
        <v>0</v>
      </c>
      <c r="AD72" s="161">
        <f t="shared" si="2"/>
        <v>0</v>
      </c>
      <c r="AE72" s="489">
        <f t="shared" si="1"/>
        <v>0</v>
      </c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</row>
    <row r="73" spans="1:88" ht="16.2" customHeight="1" x14ac:dyDescent="0.3">
      <c r="A73" s="82"/>
      <c r="B73" s="86"/>
      <c r="C73" s="87"/>
      <c r="D73" s="8"/>
      <c r="E73" s="468"/>
      <c r="F73" s="96"/>
      <c r="G73" s="8"/>
      <c r="H73" s="8"/>
      <c r="I73" s="466"/>
      <c r="J73" s="466"/>
      <c r="K73" s="466"/>
      <c r="L73" s="8"/>
      <c r="M73" s="490">
        <f ca="1">'Yoy Assets Working'!AB65</f>
        <v>0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9">
        <f t="shared" si="0"/>
        <v>0</v>
      </c>
      <c r="AB73" s="425">
        <f t="shared" si="5"/>
        <v>0</v>
      </c>
      <c r="AC73" s="425">
        <f t="shared" si="4"/>
        <v>0</v>
      </c>
      <c r="AD73" s="161">
        <f t="shared" si="2"/>
        <v>0</v>
      </c>
      <c r="AE73" s="489">
        <f t="shared" si="1"/>
        <v>0</v>
      </c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</row>
    <row r="74" spans="1:88" ht="15.6" customHeight="1" x14ac:dyDescent="0.3">
      <c r="A74" s="82"/>
      <c r="B74" s="86"/>
      <c r="C74" s="87"/>
      <c r="D74" s="8"/>
      <c r="E74" s="468"/>
      <c r="F74" s="96"/>
      <c r="G74" s="8"/>
      <c r="H74" s="8"/>
      <c r="I74" s="466"/>
      <c r="J74" s="466"/>
      <c r="K74" s="466"/>
      <c r="L74" s="8"/>
      <c r="M74" s="490">
        <f ca="1">'Yoy Assets Working'!AB66</f>
        <v>0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9">
        <f t="shared" si="0"/>
        <v>0</v>
      </c>
      <c r="AB74" s="425">
        <f t="shared" si="5"/>
        <v>0</v>
      </c>
      <c r="AC74" s="425">
        <f t="shared" si="4"/>
        <v>0</v>
      </c>
      <c r="AD74" s="161">
        <f t="shared" si="2"/>
        <v>0</v>
      </c>
      <c r="AE74" s="489">
        <f t="shared" si="1"/>
        <v>0</v>
      </c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</row>
    <row r="75" spans="1:88" ht="15.6" customHeight="1" x14ac:dyDescent="0.3">
      <c r="A75" s="82"/>
      <c r="B75" s="86"/>
      <c r="C75" s="87"/>
      <c r="D75" s="8"/>
      <c r="E75" s="468"/>
      <c r="F75" s="96"/>
      <c r="G75" s="8"/>
      <c r="H75" s="8"/>
      <c r="I75" s="466"/>
      <c r="J75" s="466"/>
      <c r="K75" s="466"/>
      <c r="L75" s="8"/>
      <c r="M75" s="490">
        <f ca="1">'Yoy Assets Working'!AB67</f>
        <v>0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9">
        <f t="shared" ref="AA75:AA87" si="6">B75</f>
        <v>0</v>
      </c>
      <c r="AB75" s="425">
        <f t="shared" si="5"/>
        <v>0</v>
      </c>
      <c r="AC75" s="425">
        <f t="shared" si="4"/>
        <v>0</v>
      </c>
      <c r="AD75" s="161">
        <f t="shared" si="2"/>
        <v>0</v>
      </c>
      <c r="AE75" s="489">
        <f t="shared" si="1"/>
        <v>0</v>
      </c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</row>
    <row r="76" spans="1:88" ht="15.6" customHeight="1" x14ac:dyDescent="0.3">
      <c r="A76" s="82"/>
      <c r="B76" s="86"/>
      <c r="C76" s="87"/>
      <c r="D76" s="8"/>
      <c r="E76" s="468"/>
      <c r="F76" s="96"/>
      <c r="G76" s="8"/>
      <c r="H76" s="8"/>
      <c r="I76" s="466"/>
      <c r="J76" s="466"/>
      <c r="K76" s="466"/>
      <c r="L76" s="8"/>
      <c r="M76" s="490">
        <f ca="1">'Yoy Assets Working'!AB68</f>
        <v>0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9">
        <f t="shared" si="6"/>
        <v>0</v>
      </c>
      <c r="AB76" s="425">
        <f t="shared" si="5"/>
        <v>0</v>
      </c>
      <c r="AC76" s="425">
        <f t="shared" si="4"/>
        <v>0</v>
      </c>
      <c r="AD76" s="161">
        <f t="shared" si="2"/>
        <v>0</v>
      </c>
      <c r="AE76" s="489">
        <f t="shared" si="2"/>
        <v>0</v>
      </c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</row>
    <row r="77" spans="1:88" ht="15.6" customHeight="1" x14ac:dyDescent="0.3">
      <c r="A77" s="82"/>
      <c r="B77" s="86"/>
      <c r="C77" s="87"/>
      <c r="D77" s="8"/>
      <c r="E77" s="468"/>
      <c r="F77" s="96"/>
      <c r="G77" s="8"/>
      <c r="H77" s="8"/>
      <c r="I77" s="466"/>
      <c r="J77" s="466"/>
      <c r="K77" s="466"/>
      <c r="L77" s="8"/>
      <c r="M77" s="490">
        <f ca="1">'Yoy Assets Working'!AB69</f>
        <v>0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9">
        <f t="shared" si="6"/>
        <v>0</v>
      </c>
      <c r="AB77" s="425">
        <f t="shared" si="5"/>
        <v>0</v>
      </c>
      <c r="AC77" s="425">
        <f t="shared" si="4"/>
        <v>0</v>
      </c>
      <c r="AD77" s="161">
        <f t="shared" ref="AD77:AE87" si="7">J77</f>
        <v>0</v>
      </c>
      <c r="AE77" s="489">
        <f t="shared" si="7"/>
        <v>0</v>
      </c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</row>
    <row r="78" spans="1:88" ht="15.6" customHeight="1" x14ac:dyDescent="0.3">
      <c r="A78" s="82"/>
      <c r="B78" s="86"/>
      <c r="C78" s="87"/>
      <c r="D78" s="8"/>
      <c r="E78" s="468"/>
      <c r="F78" s="96"/>
      <c r="G78" s="8"/>
      <c r="H78" s="8"/>
      <c r="I78" s="466"/>
      <c r="J78" s="466"/>
      <c r="K78" s="466"/>
      <c r="L78" s="8"/>
      <c r="M78" s="490">
        <f ca="1">'Yoy Assets Working'!AB70</f>
        <v>0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9">
        <f t="shared" si="6"/>
        <v>0</v>
      </c>
      <c r="AB78" s="425">
        <f t="shared" si="5"/>
        <v>0</v>
      </c>
      <c r="AC78" s="425">
        <f t="shared" ref="AC78:AC87" si="8">IF(AND(I77&lt;0,I76&lt;0,I75&lt;0),0,I78)</f>
        <v>0</v>
      </c>
      <c r="AD78" s="161">
        <f t="shared" si="7"/>
        <v>0</v>
      </c>
      <c r="AE78" s="489">
        <f t="shared" si="7"/>
        <v>0</v>
      </c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</row>
    <row r="79" spans="1:88" ht="15.6" customHeight="1" x14ac:dyDescent="0.3">
      <c r="A79" s="82"/>
      <c r="B79" s="86"/>
      <c r="C79" s="87"/>
      <c r="D79" s="8"/>
      <c r="E79" s="468"/>
      <c r="F79" s="96"/>
      <c r="G79" s="8"/>
      <c r="H79" s="8"/>
      <c r="I79" s="466"/>
      <c r="J79" s="466"/>
      <c r="K79" s="466"/>
      <c r="L79" s="8"/>
      <c r="M79" s="490">
        <f ca="1">'Yoy Assets Working'!AB71</f>
        <v>0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9">
        <f t="shared" si="6"/>
        <v>0</v>
      </c>
      <c r="AB79" s="425">
        <f t="shared" si="5"/>
        <v>0</v>
      </c>
      <c r="AC79" s="425">
        <f t="shared" si="8"/>
        <v>0</v>
      </c>
      <c r="AD79" s="161">
        <f t="shared" si="7"/>
        <v>0</v>
      </c>
      <c r="AE79" s="489">
        <f t="shared" si="7"/>
        <v>0</v>
      </c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</row>
    <row r="80" spans="1:88" ht="15.6" customHeight="1" x14ac:dyDescent="0.3">
      <c r="A80" s="82"/>
      <c r="B80" s="86"/>
      <c r="C80" s="87"/>
      <c r="D80" s="8"/>
      <c r="E80" s="468"/>
      <c r="F80" s="96"/>
      <c r="G80" s="8"/>
      <c r="H80" s="8"/>
      <c r="I80" s="466"/>
      <c r="J80" s="466"/>
      <c r="K80" s="466"/>
      <c r="L80" s="8"/>
      <c r="M80" s="490">
        <f ca="1">'Yoy Assets Working'!AB72</f>
        <v>0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9">
        <f t="shared" si="6"/>
        <v>0</v>
      </c>
      <c r="AB80" s="425">
        <f t="shared" si="5"/>
        <v>0</v>
      </c>
      <c r="AC80" s="425">
        <f t="shared" si="8"/>
        <v>0</v>
      </c>
      <c r="AD80" s="161">
        <f t="shared" si="7"/>
        <v>0</v>
      </c>
      <c r="AE80" s="489">
        <f t="shared" si="7"/>
        <v>0</v>
      </c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</row>
    <row r="81" spans="1:88" ht="15.6" customHeight="1" x14ac:dyDescent="0.3">
      <c r="A81" s="82"/>
      <c r="B81" s="86"/>
      <c r="C81" s="87"/>
      <c r="D81" s="8"/>
      <c r="E81" s="468"/>
      <c r="F81" s="96"/>
      <c r="G81" s="8"/>
      <c r="H81" s="8"/>
      <c r="I81" s="466"/>
      <c r="J81" s="466"/>
      <c r="K81" s="466"/>
      <c r="L81" s="8"/>
      <c r="M81" s="490">
        <f ca="1">'Yoy Assets Working'!AB73</f>
        <v>0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9">
        <f t="shared" si="6"/>
        <v>0</v>
      </c>
      <c r="AB81" s="425">
        <f t="shared" si="5"/>
        <v>0</v>
      </c>
      <c r="AC81" s="425">
        <f t="shared" si="8"/>
        <v>0</v>
      </c>
      <c r="AD81" s="161">
        <f t="shared" si="7"/>
        <v>0</v>
      </c>
      <c r="AE81" s="489">
        <f t="shared" si="7"/>
        <v>0</v>
      </c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</row>
    <row r="82" spans="1:88" ht="15.6" customHeight="1" x14ac:dyDescent="0.3">
      <c r="A82" s="82"/>
      <c r="B82" s="86"/>
      <c r="C82" s="87"/>
      <c r="D82" s="8"/>
      <c r="E82" s="468"/>
      <c r="F82" s="96"/>
      <c r="G82" s="8"/>
      <c r="H82" s="8"/>
      <c r="I82" s="466"/>
      <c r="J82" s="466"/>
      <c r="K82" s="466"/>
      <c r="L82" s="8"/>
      <c r="M82" s="490">
        <f ca="1">'Yoy Assets Working'!AB74</f>
        <v>0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9">
        <f t="shared" si="6"/>
        <v>0</v>
      </c>
      <c r="AB82" s="425">
        <f t="shared" si="5"/>
        <v>0</v>
      </c>
      <c r="AC82" s="425">
        <f t="shared" si="8"/>
        <v>0</v>
      </c>
      <c r="AD82" s="161">
        <f t="shared" si="7"/>
        <v>0</v>
      </c>
      <c r="AE82" s="489">
        <f t="shared" si="7"/>
        <v>0</v>
      </c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</row>
    <row r="83" spans="1:88" ht="15.6" customHeight="1" x14ac:dyDescent="0.3">
      <c r="A83" s="82"/>
      <c r="B83" s="86"/>
      <c r="C83" s="87"/>
      <c r="D83" s="8"/>
      <c r="E83" s="468"/>
      <c r="F83" s="96"/>
      <c r="G83" s="8"/>
      <c r="H83" s="8"/>
      <c r="I83" s="466"/>
      <c r="J83" s="466"/>
      <c r="K83" s="466"/>
      <c r="L83" s="8"/>
      <c r="M83" s="490">
        <f ca="1">'Yoy Assets Working'!AB75</f>
        <v>0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9">
        <f t="shared" si="6"/>
        <v>0</v>
      </c>
      <c r="AB83" s="425">
        <f t="shared" si="5"/>
        <v>0</v>
      </c>
      <c r="AC83" s="425">
        <f t="shared" si="8"/>
        <v>0</v>
      </c>
      <c r="AD83" s="161">
        <f t="shared" si="7"/>
        <v>0</v>
      </c>
      <c r="AE83" s="489">
        <f t="shared" si="7"/>
        <v>0</v>
      </c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</row>
    <row r="84" spans="1:88" ht="15.6" customHeight="1" x14ac:dyDescent="0.3">
      <c r="A84" s="82"/>
      <c r="B84" s="86"/>
      <c r="C84" s="87"/>
      <c r="D84" s="8"/>
      <c r="E84" s="468"/>
      <c r="F84" s="96"/>
      <c r="G84" s="8"/>
      <c r="H84" s="8"/>
      <c r="I84" s="466"/>
      <c r="J84" s="466"/>
      <c r="K84" s="466"/>
      <c r="L84" s="8"/>
      <c r="M84" s="490">
        <f ca="1">'Yoy Assets Working'!AB76</f>
        <v>0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9">
        <f t="shared" si="6"/>
        <v>0</v>
      </c>
      <c r="AB84" s="425">
        <f t="shared" si="5"/>
        <v>0</v>
      </c>
      <c r="AC84" s="425">
        <f t="shared" si="8"/>
        <v>0</v>
      </c>
      <c r="AD84" s="161">
        <f t="shared" si="7"/>
        <v>0</v>
      </c>
      <c r="AE84" s="489">
        <f t="shared" si="7"/>
        <v>0</v>
      </c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</row>
    <row r="85" spans="1:88" ht="15.6" customHeight="1" x14ac:dyDescent="0.3">
      <c r="A85" s="82"/>
      <c r="B85" s="86"/>
      <c r="C85" s="87"/>
      <c r="D85" s="8"/>
      <c r="E85" s="468"/>
      <c r="F85" s="96"/>
      <c r="G85" s="8"/>
      <c r="H85" s="8"/>
      <c r="I85" s="466"/>
      <c r="J85" s="466"/>
      <c r="K85" s="466"/>
      <c r="L85" s="8"/>
      <c r="M85" s="490">
        <f ca="1">'Yoy Assets Working'!AB77</f>
        <v>0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9">
        <f t="shared" si="6"/>
        <v>0</v>
      </c>
      <c r="AB85" s="425">
        <f t="shared" si="5"/>
        <v>0</v>
      </c>
      <c r="AC85" s="425">
        <f t="shared" si="8"/>
        <v>0</v>
      </c>
      <c r="AD85" s="161">
        <f t="shared" si="7"/>
        <v>0</v>
      </c>
      <c r="AE85" s="489">
        <f t="shared" si="7"/>
        <v>0</v>
      </c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</row>
    <row r="86" spans="1:88" ht="15.6" customHeight="1" x14ac:dyDescent="0.3">
      <c r="A86" s="82"/>
      <c r="B86" s="86"/>
      <c r="C86" s="87"/>
      <c r="D86" s="8"/>
      <c r="E86" s="468"/>
      <c r="F86" s="96"/>
      <c r="G86" s="8"/>
      <c r="H86" s="8"/>
      <c r="I86" s="466"/>
      <c r="J86" s="466"/>
      <c r="K86" s="466"/>
      <c r="L86" s="8"/>
      <c r="M86" s="490">
        <f ca="1">'Yoy Assets Working'!AB78</f>
        <v>0</v>
      </c>
      <c r="Q86" s="1"/>
      <c r="R86" s="1"/>
      <c r="S86" s="1"/>
      <c r="T86" s="1"/>
      <c r="U86" s="1"/>
      <c r="V86" s="1"/>
      <c r="W86" s="1"/>
      <c r="X86" s="1"/>
      <c r="Y86" s="1"/>
      <c r="Z86" s="1"/>
      <c r="AA86" s="9">
        <f t="shared" si="6"/>
        <v>0</v>
      </c>
      <c r="AB86" s="425">
        <f t="shared" si="5"/>
        <v>0</v>
      </c>
      <c r="AC86" s="425">
        <f t="shared" si="8"/>
        <v>0</v>
      </c>
      <c r="AD86" s="161">
        <f t="shared" si="7"/>
        <v>0</v>
      </c>
      <c r="AE86" s="489">
        <f t="shared" si="7"/>
        <v>0</v>
      </c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</row>
    <row r="87" spans="1:88" ht="15.6" customHeight="1" x14ac:dyDescent="0.3">
      <c r="A87" s="82"/>
      <c r="B87" s="86"/>
      <c r="C87" s="87"/>
      <c r="D87" s="8"/>
      <c r="E87" s="468"/>
      <c r="F87" s="96"/>
      <c r="G87" s="8"/>
      <c r="H87" s="8"/>
      <c r="I87" s="466"/>
      <c r="J87" s="466"/>
      <c r="K87" s="466"/>
      <c r="L87" s="8"/>
      <c r="M87" s="490">
        <f ca="1">'Yoy Assets Working'!AB79</f>
        <v>0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9">
        <f t="shared" si="6"/>
        <v>0</v>
      </c>
      <c r="AB87" s="425">
        <f t="shared" si="5"/>
        <v>0</v>
      </c>
      <c r="AC87" s="425">
        <f t="shared" si="8"/>
        <v>0</v>
      </c>
      <c r="AD87" s="161">
        <f t="shared" si="7"/>
        <v>0</v>
      </c>
      <c r="AE87" s="489">
        <f t="shared" si="7"/>
        <v>0</v>
      </c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</row>
    <row r="88" spans="1:88" x14ac:dyDescent="0.3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Q88" s="1"/>
      <c r="R88" s="1"/>
      <c r="S88" s="1"/>
      <c r="T88" s="1"/>
      <c r="U88" s="1"/>
      <c r="V88" s="1"/>
      <c r="W88" s="1"/>
      <c r="X88" s="1"/>
      <c r="Y88" s="1"/>
      <c r="Z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</row>
    <row r="89" spans="1:88" x14ac:dyDescent="0.3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Q89" s="1"/>
      <c r="R89" s="1"/>
      <c r="S89" s="1"/>
      <c r="T89" s="1"/>
      <c r="U89" s="1"/>
      <c r="V89" s="1"/>
      <c r="W89" s="1"/>
      <c r="X89" s="1"/>
      <c r="Y89" s="1"/>
      <c r="Z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</row>
    <row r="90" spans="1:88" x14ac:dyDescent="0.3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Q90" s="1"/>
      <c r="R90" s="1"/>
      <c r="S90" s="1"/>
      <c r="T90" s="1"/>
      <c r="U90" s="1"/>
      <c r="V90" s="1"/>
      <c r="W90" s="1"/>
      <c r="X90" s="1"/>
      <c r="Y90" s="1"/>
      <c r="Z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</row>
    <row r="91" spans="1:88" x14ac:dyDescent="0.3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Q91" s="1"/>
      <c r="R91" s="1"/>
      <c r="S91" s="1"/>
      <c r="T91" s="1"/>
      <c r="U91" s="1"/>
      <c r="V91" s="1"/>
      <c r="W91" s="1"/>
      <c r="X91" s="1"/>
      <c r="Y91" s="1"/>
      <c r="Z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</row>
    <row r="92" spans="1:88" x14ac:dyDescent="0.3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Q92" s="1"/>
      <c r="R92" s="1"/>
      <c r="S92" s="1"/>
      <c r="T92" s="1"/>
      <c r="U92" s="1"/>
      <c r="V92" s="1"/>
      <c r="W92" s="1"/>
      <c r="X92" s="1"/>
      <c r="Y92" s="1"/>
      <c r="Z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</row>
    <row r="93" spans="1:88" x14ac:dyDescent="0.3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Q93" s="1"/>
      <c r="R93" s="1"/>
      <c r="S93" s="1"/>
      <c r="T93" s="1"/>
      <c r="U93" s="1"/>
      <c r="V93" s="1"/>
      <c r="W93" s="1"/>
      <c r="X93" s="1"/>
      <c r="Y93" s="1"/>
      <c r="Z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</row>
    <row r="94" spans="1:88" x14ac:dyDescent="0.3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Q94" s="1"/>
      <c r="R94" s="1"/>
      <c r="S94" s="1"/>
      <c r="T94" s="1"/>
      <c r="U94" s="1"/>
      <c r="V94" s="1"/>
      <c r="W94" s="1"/>
      <c r="X94" s="1"/>
      <c r="Y94" s="1"/>
      <c r="Z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</row>
    <row r="95" spans="1:88" x14ac:dyDescent="0.3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Q95" s="1"/>
      <c r="R95" s="1"/>
      <c r="S95" s="1"/>
      <c r="T95" s="1"/>
      <c r="U95" s="1"/>
      <c r="V95" s="1"/>
      <c r="W95" s="1"/>
      <c r="X95" s="1"/>
      <c r="Y95" s="1"/>
      <c r="Z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</row>
    <row r="96" spans="1:88" x14ac:dyDescent="0.3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Q96" s="1"/>
      <c r="R96" s="1"/>
      <c r="S96" s="1"/>
      <c r="T96" s="1"/>
      <c r="U96" s="1"/>
      <c r="V96" s="1"/>
      <c r="W96" s="1"/>
      <c r="X96" s="1"/>
      <c r="Y96" s="1"/>
      <c r="Z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</row>
    <row r="97" spans="2:88" x14ac:dyDescent="0.3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Q97" s="1"/>
      <c r="R97" s="1"/>
      <c r="S97" s="1"/>
      <c r="T97" s="1"/>
      <c r="U97" s="1"/>
      <c r="V97" s="1"/>
      <c r="W97" s="1"/>
      <c r="X97" s="1"/>
      <c r="Y97" s="1"/>
      <c r="Z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</row>
    <row r="98" spans="2:88" x14ac:dyDescent="0.3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Q98" s="1"/>
      <c r="R98" s="1"/>
      <c r="S98" s="1"/>
      <c r="T98" s="1"/>
      <c r="U98" s="1"/>
      <c r="V98" s="1"/>
      <c r="W98" s="1"/>
      <c r="X98" s="1"/>
      <c r="Y98" s="1"/>
      <c r="Z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</row>
    <row r="99" spans="2:88" x14ac:dyDescent="0.3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Q99" s="1"/>
      <c r="R99" s="1"/>
      <c r="S99" s="1"/>
      <c r="T99" s="1"/>
      <c r="U99" s="1"/>
      <c r="V99" s="1"/>
      <c r="W99" s="1"/>
      <c r="X99" s="1"/>
      <c r="Y99" s="1"/>
      <c r="Z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</row>
    <row r="100" spans="2:88" x14ac:dyDescent="0.3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</row>
    <row r="101" spans="2:88" x14ac:dyDescent="0.3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</row>
    <row r="102" spans="2:88" x14ac:dyDescent="0.3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</row>
    <row r="103" spans="2:88" x14ac:dyDescent="0.3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</row>
    <row r="104" spans="2:88" x14ac:dyDescent="0.3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</row>
    <row r="105" spans="2:88" x14ac:dyDescent="0.3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</row>
    <row r="106" spans="2:88" x14ac:dyDescent="0.3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</row>
    <row r="107" spans="2:88" x14ac:dyDescent="0.3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</row>
    <row r="108" spans="2:88" x14ac:dyDescent="0.3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</row>
    <row r="109" spans="2:88" x14ac:dyDescent="0.3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</row>
    <row r="110" spans="2:88" x14ac:dyDescent="0.3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</row>
    <row r="111" spans="2:88" x14ac:dyDescent="0.3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</row>
    <row r="112" spans="2:88" x14ac:dyDescent="0.3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</row>
    <row r="113" spans="2:88" x14ac:dyDescent="0.3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</row>
    <row r="114" spans="2:88" x14ac:dyDescent="0.3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</row>
    <row r="115" spans="2:88" x14ac:dyDescent="0.3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</row>
    <row r="116" spans="2:88" x14ac:dyDescent="0.3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</row>
    <row r="117" spans="2:88" x14ac:dyDescent="0.3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</row>
    <row r="118" spans="2:88" x14ac:dyDescent="0.3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</row>
    <row r="119" spans="2:88" x14ac:dyDescent="0.3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</row>
    <row r="120" spans="2:88" x14ac:dyDescent="0.3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</row>
    <row r="121" spans="2:88" x14ac:dyDescent="0.3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</row>
    <row r="122" spans="2:88" x14ac:dyDescent="0.3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</row>
    <row r="123" spans="2:88" x14ac:dyDescent="0.3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</row>
    <row r="124" spans="2:88" x14ac:dyDescent="0.3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</row>
    <row r="125" spans="2:88" x14ac:dyDescent="0.3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</row>
    <row r="126" spans="2:88" x14ac:dyDescent="0.3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</row>
    <row r="127" spans="2:88" x14ac:dyDescent="0.3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</row>
    <row r="128" spans="2:88" x14ac:dyDescent="0.3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</row>
    <row r="129" spans="2:88" x14ac:dyDescent="0.3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</row>
    <row r="130" spans="2:88" x14ac:dyDescent="0.3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</row>
    <row r="131" spans="2:88" x14ac:dyDescent="0.3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</row>
    <row r="132" spans="2:88" x14ac:dyDescent="0.3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</row>
    <row r="133" spans="2:88" x14ac:dyDescent="0.3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</row>
    <row r="134" spans="2:88" x14ac:dyDescent="0.3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</row>
    <row r="135" spans="2:88" x14ac:dyDescent="0.3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</row>
    <row r="136" spans="2:88" x14ac:dyDescent="0.3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</row>
    <row r="137" spans="2:88" x14ac:dyDescent="0.3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</row>
    <row r="138" spans="2:88" x14ac:dyDescent="0.3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</row>
    <row r="139" spans="2:88" x14ac:dyDescent="0.3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</row>
    <row r="140" spans="2:88" x14ac:dyDescent="0.3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</row>
    <row r="141" spans="2:88" x14ac:dyDescent="0.3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</row>
    <row r="142" spans="2:88" x14ac:dyDescent="0.3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</row>
    <row r="143" spans="2:88" x14ac:dyDescent="0.3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</row>
    <row r="144" spans="2:88" x14ac:dyDescent="0.3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</row>
    <row r="145" spans="2:88" x14ac:dyDescent="0.3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</row>
    <row r="146" spans="2:88" x14ac:dyDescent="0.3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</row>
    <row r="147" spans="2:88" x14ac:dyDescent="0.3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</row>
    <row r="148" spans="2:88" x14ac:dyDescent="0.3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</row>
    <row r="149" spans="2:88" x14ac:dyDescent="0.3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</row>
    <row r="150" spans="2:88" x14ac:dyDescent="0.3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</row>
    <row r="151" spans="2:88" x14ac:dyDescent="0.3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</row>
    <row r="152" spans="2:88" x14ac:dyDescent="0.3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</row>
    <row r="153" spans="2:88" x14ac:dyDescent="0.3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</row>
    <row r="154" spans="2:88" x14ac:dyDescent="0.3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</row>
    <row r="155" spans="2:88" x14ac:dyDescent="0.3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</row>
    <row r="156" spans="2:88" x14ac:dyDescent="0.3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</row>
    <row r="157" spans="2:88" x14ac:dyDescent="0.3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</row>
    <row r="158" spans="2:88" x14ac:dyDescent="0.3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</row>
    <row r="159" spans="2:88" x14ac:dyDescent="0.3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</row>
    <row r="160" spans="2:88" x14ac:dyDescent="0.3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</row>
    <row r="161" spans="2:88" x14ac:dyDescent="0.3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</row>
    <row r="162" spans="2:88" x14ac:dyDescent="0.3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</row>
    <row r="163" spans="2:88" x14ac:dyDescent="0.3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</row>
    <row r="164" spans="2:88" x14ac:dyDescent="0.3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</row>
    <row r="165" spans="2:88" x14ac:dyDescent="0.3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</row>
    <row r="166" spans="2:88" x14ac:dyDescent="0.3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</row>
    <row r="167" spans="2:88" x14ac:dyDescent="0.3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</row>
    <row r="168" spans="2:88" x14ac:dyDescent="0.3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</row>
    <row r="169" spans="2:88" x14ac:dyDescent="0.3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</row>
    <row r="170" spans="2:88" x14ac:dyDescent="0.3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</row>
    <row r="171" spans="2:88" x14ac:dyDescent="0.3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</row>
    <row r="172" spans="2:88" x14ac:dyDescent="0.3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</row>
    <row r="173" spans="2:88" x14ac:dyDescent="0.3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</row>
    <row r="174" spans="2:88" x14ac:dyDescent="0.3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</row>
    <row r="175" spans="2:88" x14ac:dyDescent="0.3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</row>
    <row r="176" spans="2:88" x14ac:dyDescent="0.3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</row>
    <row r="177" spans="2:88" x14ac:dyDescent="0.3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</row>
    <row r="178" spans="2:88" x14ac:dyDescent="0.3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</row>
    <row r="179" spans="2:88" x14ac:dyDescent="0.3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</row>
    <row r="180" spans="2:88" x14ac:dyDescent="0.3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</row>
    <row r="181" spans="2:88" x14ac:dyDescent="0.3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</row>
    <row r="182" spans="2:88" x14ac:dyDescent="0.3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</row>
    <row r="183" spans="2:88" x14ac:dyDescent="0.3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</row>
    <row r="184" spans="2:88" x14ac:dyDescent="0.3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</row>
    <row r="185" spans="2:88" x14ac:dyDescent="0.3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</row>
    <row r="186" spans="2:88" x14ac:dyDescent="0.3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</row>
    <row r="187" spans="2:88" x14ac:dyDescent="0.3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</row>
    <row r="188" spans="2:88" x14ac:dyDescent="0.3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</row>
    <row r="189" spans="2:88" x14ac:dyDescent="0.3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</row>
    <row r="190" spans="2:88" x14ac:dyDescent="0.3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</row>
    <row r="191" spans="2:88" x14ac:dyDescent="0.3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</row>
    <row r="192" spans="2:88" x14ac:dyDescent="0.3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</row>
    <row r="193" spans="2:88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</row>
    <row r="194" spans="2:88" x14ac:dyDescent="0.3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</row>
    <row r="195" spans="2:88" x14ac:dyDescent="0.3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</row>
    <row r="196" spans="2:88" x14ac:dyDescent="0.3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</row>
    <row r="197" spans="2:88" x14ac:dyDescent="0.3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</row>
    <row r="198" spans="2:88" x14ac:dyDescent="0.3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</row>
    <row r="199" spans="2:88" x14ac:dyDescent="0.3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</row>
    <row r="200" spans="2:88" x14ac:dyDescent="0.3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</row>
    <row r="201" spans="2:88" x14ac:dyDescent="0.3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</row>
    <row r="202" spans="2:88" x14ac:dyDescent="0.3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</row>
    <row r="203" spans="2:88" x14ac:dyDescent="0.3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</row>
    <row r="204" spans="2:88" x14ac:dyDescent="0.3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</row>
    <row r="205" spans="2:88" x14ac:dyDescent="0.3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</row>
    <row r="206" spans="2:88" x14ac:dyDescent="0.3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</row>
    <row r="207" spans="2:88" x14ac:dyDescent="0.3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</row>
    <row r="208" spans="2:88" x14ac:dyDescent="0.3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</row>
    <row r="209" spans="2:88" x14ac:dyDescent="0.3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</row>
    <row r="210" spans="2:88" x14ac:dyDescent="0.3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</row>
    <row r="211" spans="2:88" x14ac:dyDescent="0.3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</row>
    <row r="212" spans="2:88" x14ac:dyDescent="0.3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</row>
    <row r="213" spans="2:88" x14ac:dyDescent="0.3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</row>
    <row r="214" spans="2:88" x14ac:dyDescent="0.3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</row>
    <row r="215" spans="2:88" x14ac:dyDescent="0.3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</row>
    <row r="216" spans="2:88" x14ac:dyDescent="0.3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</row>
    <row r="217" spans="2:88" x14ac:dyDescent="0.3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</row>
    <row r="218" spans="2:88" x14ac:dyDescent="0.3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</row>
    <row r="219" spans="2:88" x14ac:dyDescent="0.3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</row>
    <row r="220" spans="2:88" x14ac:dyDescent="0.3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</row>
    <row r="221" spans="2:88" x14ac:dyDescent="0.3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</row>
    <row r="222" spans="2:88" x14ac:dyDescent="0.3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</row>
    <row r="223" spans="2:88" x14ac:dyDescent="0.3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</row>
    <row r="224" spans="2:88" x14ac:dyDescent="0.3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</row>
    <row r="225" spans="2:88" x14ac:dyDescent="0.3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</row>
    <row r="226" spans="2:88" x14ac:dyDescent="0.3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</row>
    <row r="227" spans="2:88" x14ac:dyDescent="0.3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</row>
    <row r="228" spans="2:88" x14ac:dyDescent="0.3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</row>
    <row r="229" spans="2:88" x14ac:dyDescent="0.3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</row>
    <row r="230" spans="2:88" x14ac:dyDescent="0.3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</row>
    <row r="231" spans="2:88" x14ac:dyDescent="0.3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</row>
    <row r="232" spans="2:88" x14ac:dyDescent="0.3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</row>
    <row r="233" spans="2:88" x14ac:dyDescent="0.3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</row>
    <row r="234" spans="2:88" x14ac:dyDescent="0.3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</row>
    <row r="235" spans="2:88" x14ac:dyDescent="0.3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</row>
    <row r="236" spans="2:88" x14ac:dyDescent="0.3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</row>
    <row r="237" spans="2:88" x14ac:dyDescent="0.3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</row>
    <row r="238" spans="2:88" x14ac:dyDescent="0.3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</row>
    <row r="239" spans="2:88" x14ac:dyDescent="0.3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</row>
    <row r="240" spans="2:88" x14ac:dyDescent="0.3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</row>
    <row r="241" spans="2:88" x14ac:dyDescent="0.3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</row>
    <row r="242" spans="2:88" x14ac:dyDescent="0.3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</row>
    <row r="243" spans="2:88" x14ac:dyDescent="0.3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</row>
    <row r="244" spans="2:88" x14ac:dyDescent="0.3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</row>
    <row r="245" spans="2:88" x14ac:dyDescent="0.3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</row>
    <row r="246" spans="2:88" x14ac:dyDescent="0.3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</row>
    <row r="247" spans="2:88" x14ac:dyDescent="0.3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</row>
    <row r="248" spans="2:88" x14ac:dyDescent="0.3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</row>
    <row r="249" spans="2:88" x14ac:dyDescent="0.3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</row>
    <row r="250" spans="2:88" x14ac:dyDescent="0.3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</row>
    <row r="251" spans="2:88" x14ac:dyDescent="0.3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</row>
    <row r="252" spans="2:88" x14ac:dyDescent="0.3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</row>
    <row r="253" spans="2:88" x14ac:dyDescent="0.3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</row>
    <row r="254" spans="2:88" x14ac:dyDescent="0.3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</row>
    <row r="255" spans="2:88" x14ac:dyDescent="0.3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</row>
    <row r="256" spans="2:88" x14ac:dyDescent="0.3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</row>
    <row r="257" spans="2:88" x14ac:dyDescent="0.3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</row>
    <row r="258" spans="2:88" x14ac:dyDescent="0.3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</row>
    <row r="259" spans="2:88" x14ac:dyDescent="0.3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</row>
    <row r="260" spans="2:88" x14ac:dyDescent="0.3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</row>
    <row r="261" spans="2:88" x14ac:dyDescent="0.3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</row>
    <row r="262" spans="2:88" x14ac:dyDescent="0.3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</row>
    <row r="263" spans="2:88" x14ac:dyDescent="0.3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</row>
    <row r="264" spans="2:88" x14ac:dyDescent="0.3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</row>
    <row r="265" spans="2:88" x14ac:dyDescent="0.3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</row>
    <row r="266" spans="2:88" x14ac:dyDescent="0.3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</row>
    <row r="267" spans="2:88" x14ac:dyDescent="0.3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</row>
    <row r="268" spans="2:88" x14ac:dyDescent="0.3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</row>
    <row r="269" spans="2:88" x14ac:dyDescent="0.3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</row>
    <row r="270" spans="2:88" x14ac:dyDescent="0.3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</row>
    <row r="271" spans="2:88" x14ac:dyDescent="0.3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</row>
    <row r="272" spans="2:88" x14ac:dyDescent="0.3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</row>
    <row r="273" spans="2:88" x14ac:dyDescent="0.3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</row>
    <row r="274" spans="2:88" x14ac:dyDescent="0.3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</row>
    <row r="275" spans="2:88" x14ac:dyDescent="0.3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</row>
    <row r="276" spans="2:88" x14ac:dyDescent="0.3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</row>
    <row r="277" spans="2:88" x14ac:dyDescent="0.3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</row>
    <row r="278" spans="2:88" x14ac:dyDescent="0.3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</row>
    <row r="279" spans="2:88" x14ac:dyDescent="0.3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</row>
    <row r="280" spans="2:88" x14ac:dyDescent="0.3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</row>
    <row r="281" spans="2:88" x14ac:dyDescent="0.3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</row>
    <row r="282" spans="2:88" x14ac:dyDescent="0.3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</row>
    <row r="283" spans="2:88" x14ac:dyDescent="0.3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</row>
    <row r="284" spans="2:88" x14ac:dyDescent="0.3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</row>
    <row r="285" spans="2:88" x14ac:dyDescent="0.3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</row>
    <row r="286" spans="2:88" x14ac:dyDescent="0.3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</row>
    <row r="287" spans="2:88" x14ac:dyDescent="0.3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</row>
    <row r="288" spans="2:88" x14ac:dyDescent="0.3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</row>
    <row r="289" spans="2:88" x14ac:dyDescent="0.3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</row>
    <row r="290" spans="2:88" x14ac:dyDescent="0.3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</row>
    <row r="291" spans="2:88" x14ac:dyDescent="0.3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</row>
    <row r="292" spans="2:88" x14ac:dyDescent="0.3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</row>
    <row r="293" spans="2:88" x14ac:dyDescent="0.3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</row>
    <row r="294" spans="2:88" x14ac:dyDescent="0.3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</row>
    <row r="295" spans="2:88" x14ac:dyDescent="0.3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</row>
    <row r="296" spans="2:88" x14ac:dyDescent="0.3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</row>
    <row r="297" spans="2:88" x14ac:dyDescent="0.3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</row>
    <row r="298" spans="2:88" x14ac:dyDescent="0.3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</row>
    <row r="299" spans="2:88" x14ac:dyDescent="0.3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</row>
    <row r="300" spans="2:88" x14ac:dyDescent="0.3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</row>
    <row r="301" spans="2:88" x14ac:dyDescent="0.3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</row>
    <row r="302" spans="2:88" x14ac:dyDescent="0.3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</row>
    <row r="303" spans="2:88" x14ac:dyDescent="0.3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</row>
    <row r="304" spans="2:88" x14ac:dyDescent="0.3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</row>
    <row r="305" spans="2:88" x14ac:dyDescent="0.3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</row>
    <row r="306" spans="2:88" x14ac:dyDescent="0.3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</row>
    <row r="307" spans="2:88" x14ac:dyDescent="0.3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</row>
    <row r="308" spans="2:88" x14ac:dyDescent="0.3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</row>
    <row r="309" spans="2:88" x14ac:dyDescent="0.3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</row>
    <row r="310" spans="2:88" x14ac:dyDescent="0.3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</row>
    <row r="311" spans="2:88" x14ac:dyDescent="0.3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</row>
    <row r="312" spans="2:88" x14ac:dyDescent="0.3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</row>
    <row r="313" spans="2:88" x14ac:dyDescent="0.3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</row>
    <row r="314" spans="2:88" x14ac:dyDescent="0.3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</row>
    <row r="315" spans="2:88" x14ac:dyDescent="0.3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</row>
    <row r="316" spans="2:88" x14ac:dyDescent="0.3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</row>
    <row r="317" spans="2:88" x14ac:dyDescent="0.3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</row>
    <row r="318" spans="2:88" x14ac:dyDescent="0.3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</row>
    <row r="319" spans="2:88" x14ac:dyDescent="0.3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</row>
    <row r="320" spans="2:88" x14ac:dyDescent="0.3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</row>
    <row r="321" spans="2:88" x14ac:dyDescent="0.3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</row>
    <row r="322" spans="2:88" x14ac:dyDescent="0.3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</row>
    <row r="323" spans="2:88" x14ac:dyDescent="0.3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</row>
    <row r="324" spans="2:88" x14ac:dyDescent="0.3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</row>
    <row r="325" spans="2:88" x14ac:dyDescent="0.3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</row>
    <row r="326" spans="2:88" x14ac:dyDescent="0.3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</row>
    <row r="327" spans="2:88" x14ac:dyDescent="0.3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</row>
    <row r="328" spans="2:88" x14ac:dyDescent="0.3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</row>
    <row r="329" spans="2:88" x14ac:dyDescent="0.3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</row>
    <row r="330" spans="2:88" x14ac:dyDescent="0.3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</row>
    <row r="331" spans="2:88" x14ac:dyDescent="0.3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</row>
    <row r="332" spans="2:88" x14ac:dyDescent="0.3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</row>
    <row r="333" spans="2:88" x14ac:dyDescent="0.3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</row>
    <row r="334" spans="2:88" x14ac:dyDescent="0.3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</row>
    <row r="335" spans="2:88" x14ac:dyDescent="0.3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</row>
    <row r="336" spans="2:88" x14ac:dyDescent="0.3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</row>
    <row r="337" spans="2:88" x14ac:dyDescent="0.3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</row>
    <row r="338" spans="2:88" x14ac:dyDescent="0.3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</row>
    <row r="339" spans="2:88" x14ac:dyDescent="0.3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</row>
    <row r="340" spans="2:88" x14ac:dyDescent="0.3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</row>
    <row r="341" spans="2:88" x14ac:dyDescent="0.3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</row>
    <row r="342" spans="2:88" x14ac:dyDescent="0.3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</row>
    <row r="343" spans="2:88" x14ac:dyDescent="0.3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</row>
    <row r="344" spans="2:88" x14ac:dyDescent="0.3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</row>
    <row r="345" spans="2:88" x14ac:dyDescent="0.3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</row>
    <row r="346" spans="2:88" x14ac:dyDescent="0.3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</row>
    <row r="347" spans="2:88" x14ac:dyDescent="0.3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</row>
    <row r="348" spans="2:88" x14ac:dyDescent="0.3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</row>
    <row r="349" spans="2:88" x14ac:dyDescent="0.3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</row>
    <row r="350" spans="2:88" x14ac:dyDescent="0.3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</row>
    <row r="351" spans="2:88" x14ac:dyDescent="0.3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</row>
    <row r="352" spans="2:88" x14ac:dyDescent="0.3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</row>
    <row r="353" spans="2:88" x14ac:dyDescent="0.3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</row>
    <row r="354" spans="2:88" x14ac:dyDescent="0.3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</row>
    <row r="355" spans="2:88" x14ac:dyDescent="0.3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</row>
    <row r="356" spans="2:88" x14ac:dyDescent="0.3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</row>
    <row r="357" spans="2:88" x14ac:dyDescent="0.3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</row>
    <row r="358" spans="2:88" x14ac:dyDescent="0.3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</row>
    <row r="359" spans="2:88" x14ac:dyDescent="0.3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</row>
    <row r="360" spans="2:88" x14ac:dyDescent="0.3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</row>
    <row r="361" spans="2:88" x14ac:dyDescent="0.3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</row>
    <row r="362" spans="2:88" x14ac:dyDescent="0.3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</row>
    <row r="363" spans="2:88" x14ac:dyDescent="0.3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</row>
    <row r="364" spans="2:88" x14ac:dyDescent="0.3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</row>
    <row r="365" spans="2:88" x14ac:dyDescent="0.3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</row>
    <row r="366" spans="2:88" x14ac:dyDescent="0.3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</row>
    <row r="367" spans="2:88" x14ac:dyDescent="0.3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</row>
    <row r="368" spans="2:88" x14ac:dyDescent="0.3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</row>
    <row r="369" spans="2:88" x14ac:dyDescent="0.3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</row>
    <row r="370" spans="2:88" x14ac:dyDescent="0.3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</row>
    <row r="371" spans="2:88" x14ac:dyDescent="0.3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</row>
    <row r="372" spans="2:88" x14ac:dyDescent="0.3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</row>
    <row r="373" spans="2:88" x14ac:dyDescent="0.3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</row>
    <row r="374" spans="2:88" x14ac:dyDescent="0.3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</row>
    <row r="375" spans="2:88" x14ac:dyDescent="0.3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</row>
    <row r="376" spans="2:88" x14ac:dyDescent="0.3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</row>
    <row r="377" spans="2:88" x14ac:dyDescent="0.3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</row>
    <row r="378" spans="2:88" x14ac:dyDescent="0.3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</row>
    <row r="379" spans="2:88" x14ac:dyDescent="0.3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</row>
    <row r="380" spans="2:88" x14ac:dyDescent="0.3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</row>
    <row r="381" spans="2:88" x14ac:dyDescent="0.3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</row>
    <row r="382" spans="2:88" x14ac:dyDescent="0.3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</row>
    <row r="383" spans="2:88" x14ac:dyDescent="0.3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</row>
    <row r="384" spans="2:88" x14ac:dyDescent="0.3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</row>
    <row r="385" spans="2:88" x14ac:dyDescent="0.3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</row>
    <row r="386" spans="2:88" x14ac:dyDescent="0.3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</row>
    <row r="387" spans="2:88" x14ac:dyDescent="0.3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</row>
    <row r="388" spans="2:88" x14ac:dyDescent="0.3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</row>
    <row r="389" spans="2:88" x14ac:dyDescent="0.3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</row>
    <row r="390" spans="2:88" x14ac:dyDescent="0.3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</row>
    <row r="391" spans="2:88" x14ac:dyDescent="0.3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</row>
    <row r="392" spans="2:88" x14ac:dyDescent="0.3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</row>
    <row r="393" spans="2:88" x14ac:dyDescent="0.3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</row>
    <row r="394" spans="2:88" x14ac:dyDescent="0.3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</row>
    <row r="395" spans="2:88" x14ac:dyDescent="0.3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</row>
    <row r="396" spans="2:88" x14ac:dyDescent="0.3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</row>
    <row r="397" spans="2:88" x14ac:dyDescent="0.3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</row>
    <row r="398" spans="2:88" x14ac:dyDescent="0.3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</row>
    <row r="399" spans="2:88" x14ac:dyDescent="0.3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</row>
    <row r="400" spans="2:88" x14ac:dyDescent="0.3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</row>
    <row r="401" spans="2:88" x14ac:dyDescent="0.3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</row>
    <row r="402" spans="2:88" x14ac:dyDescent="0.3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</row>
    <row r="403" spans="2:88" x14ac:dyDescent="0.3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</row>
    <row r="404" spans="2:88" x14ac:dyDescent="0.3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</row>
    <row r="405" spans="2:88" x14ac:dyDescent="0.3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</row>
    <row r="406" spans="2:88" x14ac:dyDescent="0.3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</row>
    <row r="407" spans="2:88" x14ac:dyDescent="0.3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</row>
    <row r="408" spans="2:88" x14ac:dyDescent="0.3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</row>
    <row r="409" spans="2:88" x14ac:dyDescent="0.3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</row>
    <row r="410" spans="2:88" x14ac:dyDescent="0.3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</row>
    <row r="411" spans="2:88" x14ac:dyDescent="0.3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</row>
    <row r="412" spans="2:88" x14ac:dyDescent="0.3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</row>
    <row r="413" spans="2:88" x14ac:dyDescent="0.3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</row>
    <row r="414" spans="2:88" x14ac:dyDescent="0.3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</row>
    <row r="415" spans="2:88" x14ac:dyDescent="0.3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</row>
    <row r="416" spans="2:88" x14ac:dyDescent="0.3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</row>
    <row r="417" spans="2:88" x14ac:dyDescent="0.3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</row>
    <row r="418" spans="2:88" x14ac:dyDescent="0.3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</row>
    <row r="419" spans="2:88" x14ac:dyDescent="0.3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</row>
    <row r="420" spans="2:88" x14ac:dyDescent="0.3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</row>
    <row r="421" spans="2:88" x14ac:dyDescent="0.3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</row>
    <row r="422" spans="2:88" x14ac:dyDescent="0.3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</row>
    <row r="423" spans="2:88" x14ac:dyDescent="0.3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</row>
    <row r="424" spans="2:88" x14ac:dyDescent="0.3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</row>
    <row r="425" spans="2:88" x14ac:dyDescent="0.3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</row>
    <row r="426" spans="2:88" x14ac:dyDescent="0.3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</row>
    <row r="427" spans="2:88" x14ac:dyDescent="0.3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</row>
    <row r="428" spans="2:88" x14ac:dyDescent="0.3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</row>
    <row r="429" spans="2:88" x14ac:dyDescent="0.3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</row>
    <row r="430" spans="2:88" x14ac:dyDescent="0.3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</row>
    <row r="431" spans="2:88" x14ac:dyDescent="0.3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</row>
    <row r="432" spans="2:88" x14ac:dyDescent="0.3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</row>
    <row r="433" spans="2:88" x14ac:dyDescent="0.3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</row>
    <row r="434" spans="2:88" x14ac:dyDescent="0.3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</row>
    <row r="435" spans="2:88" x14ac:dyDescent="0.3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</row>
    <row r="436" spans="2:88" x14ac:dyDescent="0.3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</row>
    <row r="437" spans="2:88" x14ac:dyDescent="0.3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</row>
    <row r="438" spans="2:88" x14ac:dyDescent="0.3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</row>
    <row r="439" spans="2:88" x14ac:dyDescent="0.3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</row>
    <row r="440" spans="2:88" x14ac:dyDescent="0.3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</row>
    <row r="441" spans="2:88" x14ac:dyDescent="0.3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</row>
    <row r="442" spans="2:88" x14ac:dyDescent="0.3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</row>
    <row r="443" spans="2:88" x14ac:dyDescent="0.3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</row>
    <row r="444" spans="2:88" x14ac:dyDescent="0.3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</row>
    <row r="445" spans="2:88" x14ac:dyDescent="0.3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</row>
    <row r="446" spans="2:88" x14ac:dyDescent="0.3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</row>
    <row r="447" spans="2:88" x14ac:dyDescent="0.3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</row>
    <row r="448" spans="2:88" x14ac:dyDescent="0.3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</row>
    <row r="449" spans="2:88" x14ac:dyDescent="0.3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</row>
    <row r="450" spans="2:88" x14ac:dyDescent="0.3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</row>
    <row r="451" spans="2:88" x14ac:dyDescent="0.3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</row>
    <row r="452" spans="2:88" x14ac:dyDescent="0.3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</row>
    <row r="453" spans="2:88" x14ac:dyDescent="0.3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</row>
    <row r="454" spans="2:88" x14ac:dyDescent="0.3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</row>
    <row r="455" spans="2:88" x14ac:dyDescent="0.3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</row>
    <row r="456" spans="2:88" x14ac:dyDescent="0.3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</row>
    <row r="457" spans="2:88" x14ac:dyDescent="0.3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</row>
    <row r="458" spans="2:88" x14ac:dyDescent="0.3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</row>
    <row r="459" spans="2:88" x14ac:dyDescent="0.3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</row>
    <row r="460" spans="2:88" x14ac:dyDescent="0.3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</row>
    <row r="461" spans="2:88" x14ac:dyDescent="0.3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</row>
    <row r="462" spans="2:88" x14ac:dyDescent="0.3">
      <c r="B462" s="1"/>
      <c r="C462" s="1"/>
      <c r="D462" s="1"/>
      <c r="E462" s="1"/>
      <c r="F462" s="1"/>
      <c r="G462" s="1"/>
      <c r="H462" s="1"/>
      <c r="I462" s="1"/>
      <c r="J462" s="1"/>
      <c r="K462" s="1"/>
    </row>
    <row r="463" spans="2:88" x14ac:dyDescent="0.3">
      <c r="B463" s="1"/>
      <c r="C463" s="1"/>
      <c r="D463" s="1"/>
      <c r="E463" s="1"/>
      <c r="F463" s="1"/>
      <c r="G463" s="1"/>
      <c r="H463" s="1"/>
      <c r="I463" s="1"/>
      <c r="J463" s="1"/>
      <c r="K463" s="1"/>
    </row>
    <row r="464" spans="2:88" x14ac:dyDescent="0.3">
      <c r="B464" s="1"/>
      <c r="C464" s="1"/>
      <c r="D464" s="1"/>
      <c r="E464" s="1"/>
      <c r="F464" s="1"/>
      <c r="G464" s="1"/>
      <c r="H464" s="1"/>
      <c r="I464" s="1"/>
      <c r="J464" s="1"/>
      <c r="K464" s="1"/>
    </row>
    <row r="465" spans="2:11" x14ac:dyDescent="0.3">
      <c r="B465" s="1"/>
      <c r="C465" s="1"/>
      <c r="D465" s="1"/>
      <c r="E465" s="1"/>
      <c r="F465" s="1"/>
      <c r="G465" s="1"/>
      <c r="H465" s="1"/>
      <c r="I465" s="1"/>
      <c r="J465" s="1"/>
      <c r="K465" s="1"/>
    </row>
    <row r="466" spans="2:11" x14ac:dyDescent="0.3">
      <c r="B466" s="1"/>
      <c r="C466" s="1"/>
      <c r="D466" s="1"/>
      <c r="E466" s="1"/>
      <c r="F466" s="1"/>
      <c r="G466" s="1"/>
      <c r="H466" s="1"/>
      <c r="I466" s="1"/>
      <c r="J466" s="1"/>
      <c r="K466" s="1"/>
    </row>
    <row r="467" spans="2:11" x14ac:dyDescent="0.3">
      <c r="B467" s="1"/>
      <c r="C467" s="1"/>
      <c r="D467" s="1"/>
      <c r="E467" s="1"/>
      <c r="F467" s="1"/>
      <c r="G467" s="1"/>
      <c r="H467" s="1"/>
      <c r="I467" s="1"/>
      <c r="J467" s="1"/>
      <c r="K467" s="1"/>
    </row>
    <row r="468" spans="2:11" x14ac:dyDescent="0.3">
      <c r="B468" s="1"/>
      <c r="C468" s="1"/>
      <c r="D468" s="1"/>
      <c r="E468" s="1"/>
      <c r="F468" s="1"/>
      <c r="G468" s="1"/>
      <c r="H468" s="1"/>
      <c r="I468" s="1"/>
      <c r="J468" s="1"/>
      <c r="K468" s="1"/>
    </row>
    <row r="469" spans="2:11" x14ac:dyDescent="0.3">
      <c r="B469" s="1"/>
      <c r="C469" s="1"/>
      <c r="D469" s="1"/>
      <c r="E469" s="1"/>
      <c r="F469" s="1"/>
      <c r="G469" s="1"/>
      <c r="H469" s="1"/>
      <c r="I469" s="1"/>
      <c r="J469" s="1"/>
      <c r="K469" s="1"/>
    </row>
    <row r="470" spans="2:11" x14ac:dyDescent="0.3">
      <c r="B470" s="1"/>
      <c r="C470" s="1"/>
      <c r="D470" s="1"/>
      <c r="E470" s="1"/>
      <c r="F470" s="1"/>
      <c r="G470" s="1"/>
      <c r="H470" s="1"/>
      <c r="I470" s="1"/>
      <c r="J470" s="1"/>
      <c r="K470" s="1"/>
    </row>
    <row r="471" spans="2:11" x14ac:dyDescent="0.3">
      <c r="B471" s="1"/>
      <c r="C471" s="1"/>
      <c r="D471" s="1"/>
      <c r="E471" s="1"/>
      <c r="F471" s="1"/>
      <c r="G471" s="1"/>
      <c r="H471" s="1"/>
      <c r="I471" s="1"/>
      <c r="J471" s="1"/>
      <c r="K471" s="1"/>
    </row>
    <row r="472" spans="2:11" x14ac:dyDescent="0.3">
      <c r="B472" s="1"/>
      <c r="C472" s="1"/>
      <c r="D472" s="1"/>
      <c r="E472" s="1"/>
      <c r="F472" s="1"/>
      <c r="G472" s="1"/>
      <c r="H472" s="1"/>
      <c r="I472" s="1"/>
      <c r="J472" s="1"/>
      <c r="K472" s="1"/>
    </row>
    <row r="473" spans="2:11" x14ac:dyDescent="0.3">
      <c r="B473" s="1"/>
      <c r="C473" s="1"/>
      <c r="D473" s="1"/>
      <c r="E473" s="1"/>
      <c r="F473" s="1"/>
      <c r="G473" s="1"/>
      <c r="H473" s="1"/>
      <c r="I473" s="1"/>
      <c r="J473" s="1"/>
      <c r="K473" s="1"/>
    </row>
    <row r="474" spans="2:11" x14ac:dyDescent="0.3">
      <c r="B474" s="1"/>
      <c r="C474" s="1"/>
      <c r="D474" s="1"/>
      <c r="E474" s="1"/>
      <c r="F474" s="1"/>
      <c r="G474" s="1"/>
      <c r="H474" s="1"/>
      <c r="I474" s="1"/>
      <c r="J474" s="1"/>
      <c r="K474" s="1"/>
    </row>
    <row r="475" spans="2:11" x14ac:dyDescent="0.3">
      <c r="B475" s="1"/>
      <c r="C475" s="1"/>
      <c r="D475" s="1"/>
      <c r="E475" s="1"/>
      <c r="F475" s="1"/>
      <c r="G475" s="1"/>
      <c r="H475" s="1"/>
      <c r="I475" s="1"/>
      <c r="J475" s="1"/>
      <c r="K475" s="1"/>
    </row>
    <row r="476" spans="2:11" x14ac:dyDescent="0.3">
      <c r="B476" s="1"/>
      <c r="C476" s="1"/>
      <c r="D476" s="1"/>
      <c r="E476" s="1"/>
      <c r="F476" s="1"/>
      <c r="G476" s="1"/>
      <c r="H476" s="1"/>
      <c r="I476" s="1"/>
      <c r="J476" s="1"/>
      <c r="K476" s="1"/>
    </row>
  </sheetData>
  <mergeCells count="6">
    <mergeCell ref="B2:L2"/>
    <mergeCell ref="B4:C4"/>
    <mergeCell ref="E4:J7"/>
    <mergeCell ref="B5:C5"/>
    <mergeCell ref="B6:C6"/>
    <mergeCell ref="B7:C7"/>
  </mergeCells>
  <hyperlinks>
    <hyperlink ref="B5:C5" location="Budget!A1" display="Income in 2023" xr:uid="{FAFC089A-8674-4F2F-BFF9-0EC35A392091}"/>
    <hyperlink ref="B6:C6" location="Budget!A1" display="Expenses in 2023" xr:uid="{63A62FED-95B1-4311-81AC-A04B671C1A36}"/>
    <hyperlink ref="B4:C4" location="Networth!A1" display="Wealth in 2023" xr:uid="{DE2D8E94-3ACC-4125-B9D0-7DA375D79329}"/>
    <hyperlink ref="K4" location="WAR!A1" display="Growth Rate of Wealth" xr:uid="{AB74448E-C691-4A9E-9663-20813CADDF1B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B32AA-DCD5-4D7F-9C3B-1D698F6BEDB0}">
  <sheetPr codeName="Sheet16"/>
  <dimension ref="A1:CJ456"/>
  <sheetViews>
    <sheetView zoomScale="95" zoomScaleNormal="100" workbookViewId="0">
      <selection activeCell="F9" sqref="F9"/>
    </sheetView>
  </sheetViews>
  <sheetFormatPr defaultColWidth="9.109375" defaultRowHeight="14.4" x14ac:dyDescent="0.3"/>
  <cols>
    <col min="1" max="1" width="2.88671875" style="1" customWidth="1"/>
    <col min="2" max="2" width="10.33203125" customWidth="1"/>
    <col min="3" max="3" width="14" customWidth="1"/>
    <col min="4" max="4" width="20.44140625" customWidth="1"/>
    <col min="5" max="6" width="19.88671875" customWidth="1"/>
    <col min="7" max="7" width="20.6640625" customWidth="1"/>
    <col min="8" max="9" width="21" customWidth="1"/>
    <col min="10" max="11" width="20.6640625" customWidth="1"/>
    <col min="12" max="12" width="20.33203125" customWidth="1"/>
    <col min="13" max="13" width="8" bestFit="1" customWidth="1"/>
    <col min="14" max="14" width="11.88671875" style="1" customWidth="1"/>
    <col min="15" max="16" width="8.88671875" style="1"/>
    <col min="27" max="27" width="8.88671875" style="1"/>
    <col min="28" max="28" width="17.33203125" style="1" bestFit="1" customWidth="1"/>
    <col min="29" max="29" width="20.6640625" style="1" customWidth="1"/>
    <col min="30" max="30" width="11.33203125" bestFit="1" customWidth="1"/>
  </cols>
  <sheetData>
    <row r="1" spans="1:88" s="1" customFormat="1" ht="9" customHeight="1" thickBot="1" x14ac:dyDescent="0.35"/>
    <row r="2" spans="1:88" ht="27.6" customHeight="1" thickTop="1" thickBot="1" x14ac:dyDescent="0.35">
      <c r="B2" s="679" t="s">
        <v>380</v>
      </c>
      <c r="C2" s="680"/>
      <c r="D2" s="680"/>
      <c r="E2" s="680"/>
      <c r="F2" s="680"/>
      <c r="G2" s="680"/>
      <c r="H2" s="680"/>
      <c r="I2" s="680"/>
      <c r="J2" s="680"/>
      <c r="K2" s="680"/>
      <c r="L2" s="681"/>
      <c r="M2" s="1"/>
      <c r="Q2" s="1"/>
      <c r="R2" s="1"/>
      <c r="S2" s="1"/>
      <c r="T2" s="1"/>
      <c r="U2" s="1"/>
      <c r="V2" s="1"/>
      <c r="W2" s="1"/>
      <c r="X2" s="1"/>
      <c r="Y2" s="1"/>
      <c r="Z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</row>
    <row r="3" spans="1:88" ht="20.100000000000001" customHeight="1" thickTop="1" thickBot="1" x14ac:dyDescent="0.35">
      <c r="B3" s="456"/>
      <c r="C3" s="457"/>
      <c r="D3" s="457"/>
      <c r="E3" s="457"/>
      <c r="F3" s="457"/>
      <c r="G3" s="457"/>
      <c r="H3" s="457"/>
      <c r="I3" s="457"/>
      <c r="J3" s="457"/>
      <c r="K3" s="457"/>
      <c r="L3" s="501"/>
      <c r="M3" s="459"/>
      <c r="Q3" s="1"/>
      <c r="R3" s="1"/>
      <c r="S3" s="1"/>
      <c r="T3" s="1"/>
      <c r="U3" s="1"/>
      <c r="V3" s="1"/>
      <c r="W3" s="1"/>
      <c r="X3" s="1"/>
      <c r="Y3" s="1"/>
      <c r="Z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</row>
    <row r="4" spans="1:88" ht="33" customHeight="1" thickTop="1" x14ac:dyDescent="0.3">
      <c r="A4" s="162"/>
      <c r="B4" s="682" t="s">
        <v>381</v>
      </c>
      <c r="C4" s="683"/>
      <c r="D4" s="197">
        <f>Networth!G33</f>
        <v>66194949</v>
      </c>
      <c r="E4" s="684" t="s">
        <v>397</v>
      </c>
      <c r="F4" s="685"/>
      <c r="G4" s="685"/>
      <c r="H4" s="685"/>
      <c r="I4" s="685"/>
      <c r="J4" s="686"/>
      <c r="K4" s="492" t="s">
        <v>383</v>
      </c>
      <c r="L4" s="199">
        <f>'WAR - Rev'!C30</f>
        <v>7.5674563704248798E-2</v>
      </c>
      <c r="M4" s="1"/>
      <c r="Q4" s="1"/>
      <c r="R4" s="1"/>
      <c r="S4" s="1"/>
      <c r="T4" s="1"/>
      <c r="U4" s="1"/>
      <c r="V4" s="1"/>
      <c r="W4" s="1"/>
      <c r="X4" s="1"/>
      <c r="Y4" s="1"/>
      <c r="Z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</row>
    <row r="5" spans="1:88" ht="33" customHeight="1" x14ac:dyDescent="0.3">
      <c r="A5" s="162"/>
      <c r="B5" s="682" t="s">
        <v>384</v>
      </c>
      <c r="C5" s="683"/>
      <c r="D5" s="196">
        <f>'Yearly Budget'!B21</f>
        <v>12278664</v>
      </c>
      <c r="E5" s="687"/>
      <c r="F5" s="688"/>
      <c r="G5" s="688"/>
      <c r="H5" s="688"/>
      <c r="I5" s="688"/>
      <c r="J5" s="689"/>
      <c r="K5" s="508" t="s">
        <v>385</v>
      </c>
      <c r="L5" s="89">
        <f>Budget!Z20</f>
        <v>7.896405667587289E-2</v>
      </c>
      <c r="M5" s="1"/>
      <c r="Q5" s="1"/>
      <c r="R5" s="1"/>
      <c r="S5" s="1"/>
      <c r="T5" s="1"/>
      <c r="U5" s="1"/>
      <c r="V5" s="1"/>
      <c r="W5" s="1"/>
      <c r="X5" s="1"/>
      <c r="Y5" s="1"/>
      <c r="Z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</row>
    <row r="6" spans="1:88" ht="33" customHeight="1" x14ac:dyDescent="0.3">
      <c r="A6" s="162"/>
      <c r="B6" s="682" t="s">
        <v>386</v>
      </c>
      <c r="C6" s="683"/>
      <c r="D6" s="196">
        <f>'Yearly Budget'!B54</f>
        <v>3626183</v>
      </c>
      <c r="E6" s="687"/>
      <c r="F6" s="688"/>
      <c r="G6" s="688"/>
      <c r="H6" s="688"/>
      <c r="I6" s="688"/>
      <c r="J6" s="689"/>
      <c r="K6" s="509" t="s">
        <v>387</v>
      </c>
      <c r="L6" s="195">
        <f>Budget!Z139</f>
        <v>7.9999999999999988E-2</v>
      </c>
      <c r="M6" s="1"/>
      <c r="Q6" s="1"/>
      <c r="R6" s="1"/>
      <c r="S6" s="1"/>
      <c r="T6" s="1"/>
      <c r="U6" s="1"/>
      <c r="V6" s="1"/>
      <c r="W6" s="1"/>
      <c r="X6" s="1"/>
      <c r="Y6" s="1"/>
      <c r="Z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</row>
    <row r="7" spans="1:88" ht="33" customHeight="1" thickBot="1" x14ac:dyDescent="0.35">
      <c r="A7" s="162"/>
      <c r="B7" s="695" t="s">
        <v>388</v>
      </c>
      <c r="C7" s="696"/>
      <c r="D7" s="510">
        <v>55</v>
      </c>
      <c r="E7" s="690"/>
      <c r="F7" s="691"/>
      <c r="G7" s="691"/>
      <c r="H7" s="691"/>
      <c r="I7" s="691"/>
      <c r="J7" s="692"/>
      <c r="K7" s="97" t="s">
        <v>389</v>
      </c>
      <c r="L7" s="91" t="s">
        <v>42</v>
      </c>
      <c r="M7" s="1"/>
      <c r="Q7" s="1"/>
      <c r="R7" s="1"/>
      <c r="S7" s="1"/>
      <c r="T7" s="1"/>
      <c r="U7" s="1"/>
      <c r="V7" s="1"/>
      <c r="W7" s="1"/>
      <c r="X7" s="1"/>
      <c r="Y7" s="1"/>
      <c r="Z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</row>
    <row r="8" spans="1:88" ht="18.899999999999999" customHeight="1" thickTop="1" thickBot="1" x14ac:dyDescent="0.35">
      <c r="B8" s="105"/>
      <c r="C8" s="106"/>
      <c r="D8" s="107"/>
      <c r="E8" s="101"/>
      <c r="F8" s="101"/>
      <c r="G8" s="1"/>
      <c r="H8" s="108"/>
      <c r="I8" s="108"/>
      <c r="J8" s="458"/>
      <c r="K8" s="1"/>
      <c r="L8" s="1"/>
      <c r="M8" s="193"/>
      <c r="N8" s="193"/>
      <c r="Q8" s="1"/>
      <c r="R8" s="1"/>
      <c r="S8" s="1"/>
      <c r="T8" s="1"/>
      <c r="U8" s="1"/>
      <c r="V8" s="1"/>
      <c r="W8" s="1"/>
      <c r="X8" s="1"/>
      <c r="Y8" s="1"/>
      <c r="Z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</row>
    <row r="9" spans="1:88" s="6" customFormat="1" ht="73.2" thickTop="1" thickBot="1" x14ac:dyDescent="0.35">
      <c r="A9" s="83"/>
      <c r="B9" s="2" t="s">
        <v>204</v>
      </c>
      <c r="C9" s="3" t="s">
        <v>168</v>
      </c>
      <c r="D9" s="3" t="s">
        <v>339</v>
      </c>
      <c r="E9" s="3" t="s">
        <v>342</v>
      </c>
      <c r="F9" s="84" t="s">
        <v>167</v>
      </c>
      <c r="G9" s="4" t="s">
        <v>106</v>
      </c>
      <c r="H9" s="94" t="s">
        <v>370</v>
      </c>
      <c r="I9" s="573" t="s">
        <v>390</v>
      </c>
      <c r="J9" s="573" t="s">
        <v>391</v>
      </c>
      <c r="K9" s="465" t="s">
        <v>83</v>
      </c>
      <c r="L9" s="5" t="s">
        <v>392</v>
      </c>
      <c r="M9" s="491" t="s">
        <v>393</v>
      </c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427" t="s">
        <v>204</v>
      </c>
      <c r="AB9" s="54" t="s">
        <v>370</v>
      </c>
      <c r="AC9" s="5" t="s">
        <v>394</v>
      </c>
      <c r="AD9" s="5" t="s">
        <v>395</v>
      </c>
      <c r="AE9" s="83" t="s">
        <v>83</v>
      </c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83"/>
      <c r="BU9" s="83"/>
      <c r="BV9" s="83"/>
      <c r="BW9" s="83"/>
      <c r="BX9" s="83"/>
      <c r="BY9" s="83"/>
      <c r="BZ9" s="83"/>
      <c r="CA9" s="83"/>
      <c r="CB9" s="83"/>
      <c r="CC9" s="83"/>
      <c r="CD9" s="83"/>
      <c r="CE9" s="83"/>
    </row>
    <row r="10" spans="1:88" s="6" customFormat="1" ht="15" thickTop="1" x14ac:dyDescent="0.3">
      <c r="A10" s="83"/>
      <c r="B10" s="497" t="s">
        <v>396</v>
      </c>
      <c r="C10" s="500">
        <f>'Cashflow Working'!B3</f>
        <v>2025</v>
      </c>
      <c r="D10" s="499"/>
      <c r="E10" s="493"/>
      <c r="F10" s="499"/>
      <c r="G10" s="494"/>
      <c r="H10" s="495"/>
      <c r="I10" s="574">
        <f>Networth!G16</f>
        <v>15994949</v>
      </c>
      <c r="J10" s="575">
        <f>Networth!G31</f>
        <v>50200000</v>
      </c>
      <c r="K10" s="466">
        <f>Networth!G40</f>
        <v>1138560</v>
      </c>
      <c r="L10" s="487">
        <f t="shared" ref="L10:L67" si="0">I10+J10-K10</f>
        <v>65056389</v>
      </c>
      <c r="M10" s="491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427"/>
      <c r="AB10" s="54"/>
      <c r="AC10" s="496"/>
      <c r="AD10" s="496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83"/>
      <c r="BU10" s="83"/>
      <c r="BV10" s="83"/>
      <c r="BW10" s="83"/>
      <c r="BX10" s="83"/>
      <c r="BY10" s="83"/>
      <c r="BZ10" s="83"/>
      <c r="CA10" s="83"/>
      <c r="CB10" s="83"/>
      <c r="CC10" s="83"/>
      <c r="CD10" s="83"/>
      <c r="CE10" s="83"/>
    </row>
    <row r="11" spans="1:88" s="10" customFormat="1" ht="17.399999999999999" customHeight="1" x14ac:dyDescent="0.3">
      <c r="A11" s="7"/>
      <c r="B11" s="498">
        <f>'Yearly Budget'!B1</f>
        <v>49</v>
      </c>
      <c r="C11" s="498">
        <f>'Cashflow Working'!B3</f>
        <v>2025</v>
      </c>
      <c r="D11" s="8">
        <f>'Cashflow Working'!L3</f>
        <v>12278664</v>
      </c>
      <c r="E11" s="469">
        <f>'Cashflow Working'!J3-F11</f>
        <v>3626183</v>
      </c>
      <c r="F11" s="96">
        <f>'Yearly Budget'!B$68</f>
        <v>0</v>
      </c>
      <c r="G11" s="487">
        <f>IF(working!F2&lt;0,working!G2,SUM(working!F2:H2))</f>
        <v>8652481</v>
      </c>
      <c r="H11" s="487">
        <f>IF((D11-E11)&gt;0,0,-(D11-E11-working!G2))+F11</f>
        <v>0</v>
      </c>
      <c r="I11" s="574">
        <f ca="1">'Yoy WAR OG'!N4</f>
        <v>19096671.884999998</v>
      </c>
      <c r="J11" s="575">
        <f ca="1">'Yoy WAR OG'!O4</f>
        <v>60760032</v>
      </c>
      <c r="K11" s="466">
        <f ca="1">'Loan Amortization'!CX3</f>
        <v>651043.57811891346</v>
      </c>
      <c r="L11" s="487">
        <f t="shared" ca="1" si="0"/>
        <v>79205660.30688107</v>
      </c>
      <c r="M11" s="490">
        <f ca="1">'Yoy Assets Working'!AB3</f>
        <v>7.7247271034482423E-2</v>
      </c>
      <c r="N11" s="63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>
        <f t="shared" ref="AA11:AA42" si="1">B11</f>
        <v>49</v>
      </c>
      <c r="AB11" s="425">
        <f>H11</f>
        <v>0</v>
      </c>
      <c r="AC11" s="426">
        <f ca="1">I11</f>
        <v>19096671.884999998</v>
      </c>
      <c r="AD11" s="161">
        <f ca="1">J11</f>
        <v>60760032</v>
      </c>
      <c r="AE11" s="489">
        <f ca="1">K11</f>
        <v>651043.57811891346</v>
      </c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</row>
    <row r="12" spans="1:88" s="10" customFormat="1" ht="17.399999999999999" customHeight="1" x14ac:dyDescent="0.3">
      <c r="A12" s="7"/>
      <c r="B12" s="86">
        <f>B11+1</f>
        <v>50</v>
      </c>
      <c r="C12" s="498">
        <f>'Cashflow Working'!B4</f>
        <v>2026</v>
      </c>
      <c r="D12" s="8">
        <f>'Cashflow Working'!L4</f>
        <v>13248237.120000001</v>
      </c>
      <c r="E12" s="468">
        <f ca="1">'Cashflow Working'!J4-F12</f>
        <v>3613881.3200000003</v>
      </c>
      <c r="F12" s="96">
        <f>'Yearly Budget'!C$68</f>
        <v>0</v>
      </c>
      <c r="G12" s="8">
        <f ca="1">IF(working!F3&lt;0,working!G3,SUM(working!F3:H3))</f>
        <v>9634355.8000000007</v>
      </c>
      <c r="H12" s="8">
        <f ca="1">IF((D12-E12)&gt;0,0,-(D12-E12-working!G3))+F12</f>
        <v>0</v>
      </c>
      <c r="I12" s="575">
        <f ca="1">'Yoy WAR OG'!N5</f>
        <v>27713637.438309252</v>
      </c>
      <c r="J12" s="575">
        <f ca="1">'Yoy WAR OG'!O5</f>
        <v>67946134.695615754</v>
      </c>
      <c r="K12" s="466">
        <f ca="1">'Loan Amortization'!CX4</f>
        <v>118323.79165416726</v>
      </c>
      <c r="L12" s="8">
        <f t="shared" ca="1" si="0"/>
        <v>95541448.342270836</v>
      </c>
      <c r="M12" s="490">
        <f ca="1">'Yoy Assets Working'!AB4</f>
        <v>7.8596709783690474E-2</v>
      </c>
      <c r="N12" s="112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>
        <f t="shared" si="1"/>
        <v>50</v>
      </c>
      <c r="AB12" s="425">
        <f ca="1">H12</f>
        <v>0</v>
      </c>
      <c r="AC12" s="426">
        <f ca="1">I12</f>
        <v>27713637.438309252</v>
      </c>
      <c r="AD12" s="161">
        <f ca="1">J12</f>
        <v>67946134.695615754</v>
      </c>
      <c r="AE12" s="489">
        <f t="shared" ref="AE12:AE67" ca="1" si="2">K12</f>
        <v>118323.79165416726</v>
      </c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</row>
    <row r="13" spans="1:88" s="10" customFormat="1" ht="17.399999999999999" customHeight="1" x14ac:dyDescent="0.3">
      <c r="A13" s="7"/>
      <c r="B13" s="86">
        <f t="shared" ref="B13:B67" si="3">B12+1</f>
        <v>51</v>
      </c>
      <c r="C13" s="498">
        <f>'Cashflow Working'!B5</f>
        <v>2027</v>
      </c>
      <c r="D13" s="8">
        <f>'Cashflow Working'!L5</f>
        <v>14295076.089600002</v>
      </c>
      <c r="E13" s="468">
        <f ca="1">'Cashflow Working'!J5-F13</f>
        <v>4093971.5056000003</v>
      </c>
      <c r="F13" s="96">
        <f>'Yearly Budget'!D$68</f>
        <v>0</v>
      </c>
      <c r="G13" s="8">
        <f ca="1">IF(working!F4&lt;0,working!G4,SUM(working!F4:H4))</f>
        <v>10201104.584000003</v>
      </c>
      <c r="H13" s="8">
        <f ca="1">IF((D13-E13)&gt;0,0,-(D13-E13-working!G4))+F13</f>
        <v>0</v>
      </c>
      <c r="I13" s="575">
        <f ca="1">'Yoy WAR OG'!N6</f>
        <v>37561788.758835085</v>
      </c>
      <c r="J13" s="575">
        <f ca="1">'Yoy WAR OG'!O6</f>
        <v>75817631.307473987</v>
      </c>
      <c r="K13" s="466">
        <f ca="1">'Loan Amortization'!CX5</f>
        <v>0</v>
      </c>
      <c r="L13" s="8">
        <f t="shared" ca="1" si="0"/>
        <v>113379420.06630906</v>
      </c>
      <c r="M13" s="490">
        <f ca="1">'Yoy Assets Working'!AB5</f>
        <v>7.9734136272839151E-2</v>
      </c>
      <c r="N13" s="48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>
        <f t="shared" si="1"/>
        <v>51</v>
      </c>
      <c r="AB13" s="425">
        <f ca="1">IF(AND(I12&lt;0,I11&lt;0),0,H13)</f>
        <v>0</v>
      </c>
      <c r="AC13" s="425">
        <f ca="1">IF(AND(I12&lt;0,I11&lt;0),0,I13)</f>
        <v>37561788.758835085</v>
      </c>
      <c r="AD13" s="161">
        <f t="shared" ref="AD13:AD44" ca="1" si="4">J13</f>
        <v>75817631.307473987</v>
      </c>
      <c r="AE13" s="489">
        <f t="shared" ca="1" si="2"/>
        <v>0</v>
      </c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</row>
    <row r="14" spans="1:88" s="10" customFormat="1" ht="17.399999999999999" customHeight="1" x14ac:dyDescent="0.3">
      <c r="A14" s="7"/>
      <c r="B14" s="86">
        <f t="shared" si="3"/>
        <v>52</v>
      </c>
      <c r="C14" s="498">
        <f>'Cashflow Working'!B6</f>
        <v>2028</v>
      </c>
      <c r="D14" s="8">
        <f>'Cashflow Working'!L6</f>
        <v>15425347.176768001</v>
      </c>
      <c r="E14" s="468">
        <f ca="1">'Cashflow Working'!J6-F14</f>
        <v>4144130.8267000713</v>
      </c>
      <c r="F14" s="96">
        <f>'Yearly Budget'!E$68</f>
        <v>0</v>
      </c>
      <c r="G14" s="8">
        <f ca="1">IF(working!F5&lt;0,working!G5,SUM(working!F5:H5))</f>
        <v>11281216.35006793</v>
      </c>
      <c r="H14" s="8">
        <f ca="1">IF((D14-E14)&gt;0,0,-(D14-E14-working!G5))+F14</f>
        <v>0</v>
      </c>
      <c r="I14" s="575">
        <f ca="1">'Yoy WAR OG'!N7</f>
        <v>49261449.730870277</v>
      </c>
      <c r="J14" s="575">
        <f ca="1">'Yoy WAR OG'!O7</f>
        <v>84439396.815609291</v>
      </c>
      <c r="K14" s="466">
        <f ca="1">'Loan Amortization'!CX5</f>
        <v>0</v>
      </c>
      <c r="L14" s="8">
        <f t="shared" ca="1" si="0"/>
        <v>133700846.54647957</v>
      </c>
      <c r="M14" s="490">
        <f ca="1">'Yoy Assets Working'!AB6</f>
        <v>8.0740812479321147E-2</v>
      </c>
      <c r="N14" s="48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>
        <f t="shared" si="1"/>
        <v>52</v>
      </c>
      <c r="AB14" s="425">
        <f ca="1">MIN(AC14,IF(AND(I13&lt;0,I12&lt;0,I11&lt;0),0,H14))</f>
        <v>0</v>
      </c>
      <c r="AC14" s="425">
        <f ca="1">IF(AND(I13&lt;0,I12&lt;0,I11&lt;0),0,I14)</f>
        <v>49261449.730870277</v>
      </c>
      <c r="AD14" s="161">
        <f t="shared" ca="1" si="4"/>
        <v>84439396.815609291</v>
      </c>
      <c r="AE14" s="489">
        <f t="shared" ca="1" si="2"/>
        <v>0</v>
      </c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</row>
    <row r="15" spans="1:88" s="10" customFormat="1" ht="17.399999999999999" customHeight="1" x14ac:dyDescent="0.3">
      <c r="A15" s="7"/>
      <c r="B15" s="86">
        <f t="shared" si="3"/>
        <v>53</v>
      </c>
      <c r="C15" s="498">
        <f>'Cashflow Working'!B7</f>
        <v>2029</v>
      </c>
      <c r="D15" s="8">
        <f>'Cashflow Working'!L7</f>
        <v>16645709.200909443</v>
      </c>
      <c r="E15" s="468">
        <f ca="1">'Cashflow Working'!J7-F15</f>
        <v>4070320.0185318412</v>
      </c>
      <c r="F15" s="96">
        <f>'Yearly Budget'!F$68</f>
        <v>3509575.6800000006</v>
      </c>
      <c r="G15" s="8">
        <f ca="1">IF(working!F6&lt;0,working!G6,SUM(working!F6:H6))</f>
        <v>12575389.182377603</v>
      </c>
      <c r="H15" s="8">
        <f ca="1">IF((D15-E15)&gt;0,0,-(D15-E15-working!G6))+F15</f>
        <v>3509575.6800000006</v>
      </c>
      <c r="I15" s="575">
        <f ca="1">'Yoy WAR OG'!N8</f>
        <v>59679402.861409239</v>
      </c>
      <c r="J15" s="575">
        <f ca="1">'Yoy WAR OG'!O8</f>
        <v>93882372.16678372</v>
      </c>
      <c r="K15" s="466">
        <f ca="1">'Loan Amortization'!CX6</f>
        <v>0</v>
      </c>
      <c r="L15" s="8">
        <f t="shared" ca="1" si="0"/>
        <v>153561775.02819297</v>
      </c>
      <c r="M15" s="490">
        <f ca="1">'Yoy Assets Working'!AB7</f>
        <v>8.1500844264240258E-2</v>
      </c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>
        <f t="shared" si="1"/>
        <v>53</v>
      </c>
      <c r="AB15" s="425">
        <f t="shared" ref="AB15:AB67" ca="1" si="5">MIN(AC15,IF(AND(I14&lt;0,I13&lt;0,I12&lt;0),0,H15))</f>
        <v>3509575.6800000006</v>
      </c>
      <c r="AC15" s="425">
        <f t="shared" ref="AC15:AC45" ca="1" si="6">IF(AND(I14&lt;0,I13&lt;0,I12&lt;0),0,I15)</f>
        <v>59679402.861409239</v>
      </c>
      <c r="AD15" s="161">
        <f t="shared" ca="1" si="4"/>
        <v>93882372.16678372</v>
      </c>
      <c r="AE15" s="489">
        <f t="shared" ca="1" si="2"/>
        <v>0</v>
      </c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</row>
    <row r="16" spans="1:88" s="10" customFormat="1" ht="17.399999999999999" customHeight="1" x14ac:dyDescent="0.3">
      <c r="A16" s="7"/>
      <c r="B16" s="86">
        <f t="shared" si="3"/>
        <v>54</v>
      </c>
      <c r="C16" s="498">
        <f>'Cashflow Working'!B8</f>
        <v>2030</v>
      </c>
      <c r="D16" s="8">
        <f>'Cashflow Working'!L8</f>
        <v>17963352.899482198</v>
      </c>
      <c r="E16" s="468">
        <f ca="1">'Cashflow Working'!J8-F16</f>
        <v>4376291.7000143863</v>
      </c>
      <c r="F16" s="96">
        <f>'Yearly Budget'!G$68</f>
        <v>15242699.450199999</v>
      </c>
      <c r="G16" s="8">
        <f ca="1">IF(working!F7&lt;0,working!G7,SUM(working!F7:H7))</f>
        <v>13587061.199467812</v>
      </c>
      <c r="H16" s="8">
        <f ca="1">IF((D16-E16)&gt;0,0,-(D16-E16-working!G7))+F16</f>
        <v>15242699.450199999</v>
      </c>
      <c r="I16" s="575">
        <f ca="1">'Yoy WAR OG'!N9</f>
        <v>59859689.22230196</v>
      </c>
      <c r="J16" s="575">
        <f ca="1">'Yoy WAR OG'!O9</f>
        <v>115816866.542317</v>
      </c>
      <c r="K16" s="466">
        <f ca="1">'Loan Amortization'!CX7</f>
        <v>0</v>
      </c>
      <c r="L16" s="8">
        <f t="shared" ca="1" si="0"/>
        <v>175676555.76461896</v>
      </c>
      <c r="M16" s="490">
        <f ca="1">'Yoy Assets Working'!AB8</f>
        <v>7.8941975652965041E-2</v>
      </c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>
        <f t="shared" si="1"/>
        <v>54</v>
      </c>
      <c r="AB16" s="425">
        <f t="shared" ca="1" si="5"/>
        <v>15242699.450199999</v>
      </c>
      <c r="AC16" s="425">
        <f t="shared" ca="1" si="6"/>
        <v>59859689.22230196</v>
      </c>
      <c r="AD16" s="161">
        <f t="shared" ca="1" si="4"/>
        <v>115816866.542317</v>
      </c>
      <c r="AE16" s="489">
        <f t="shared" ca="1" si="2"/>
        <v>0</v>
      </c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</row>
    <row r="17" spans="1:83" s="10" customFormat="1" ht="17.399999999999999" customHeight="1" x14ac:dyDescent="0.3">
      <c r="A17" s="7"/>
      <c r="B17" s="86">
        <f t="shared" si="3"/>
        <v>55</v>
      </c>
      <c r="C17" s="498">
        <f>'Cashflow Working'!B9</f>
        <v>2031</v>
      </c>
      <c r="D17" s="8">
        <f>'Cashflow Working'!L9</f>
        <v>19386043.442065779</v>
      </c>
      <c r="E17" s="468">
        <f ca="1">'Cashflow Working'!J9-F17</f>
        <v>4706741.1160155404</v>
      </c>
      <c r="F17" s="96">
        <f>'Yearly Budget'!H$68</f>
        <v>3795957.0554880011</v>
      </c>
      <c r="G17" s="8">
        <f ca="1">IF(working!F8&lt;0,working!G8,SUM(working!F8:H8))</f>
        <v>14679302.326050239</v>
      </c>
      <c r="H17" s="8">
        <f ca="1">IF((D17-E17)&gt;0,0,-(D17-E17-working!G8))+F17</f>
        <v>3795957.0554880011</v>
      </c>
      <c r="I17" s="575">
        <f ca="1">'Yoy WAR OG'!N10</f>
        <v>160623723.57864654</v>
      </c>
      <c r="J17" s="575">
        <f ca="1">'Yoy WAR OG'!O10</f>
        <v>32335327.783955738</v>
      </c>
      <c r="K17" s="466">
        <f ca="1">'Loan Amortization'!CX8</f>
        <v>0</v>
      </c>
      <c r="L17" s="8">
        <f t="shared" ca="1" si="0"/>
        <v>192959051.36260229</v>
      </c>
      <c r="M17" s="490">
        <f ca="1">'Yoy Assets Working'!AB9</f>
        <v>7.4771296882161914E-2</v>
      </c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>
        <f t="shared" si="1"/>
        <v>55</v>
      </c>
      <c r="AB17" s="425">
        <f t="shared" ca="1" si="5"/>
        <v>3795957.0554880011</v>
      </c>
      <c r="AC17" s="425">
        <f t="shared" ca="1" si="6"/>
        <v>160623723.57864654</v>
      </c>
      <c r="AD17" s="161">
        <f t="shared" ca="1" si="4"/>
        <v>32335327.783955738</v>
      </c>
      <c r="AE17" s="489">
        <f t="shared" ca="1" si="2"/>
        <v>0</v>
      </c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</row>
    <row r="18" spans="1:83" s="10" customFormat="1" ht="17.399999999999999" customHeight="1" x14ac:dyDescent="0.3">
      <c r="A18" s="7"/>
      <c r="B18" s="86">
        <f t="shared" si="3"/>
        <v>56</v>
      </c>
      <c r="C18" s="498">
        <f>'Cashflow Working'!B10</f>
        <v>2032</v>
      </c>
      <c r="D18" s="8">
        <f>'Cashflow Working'!L10</f>
        <v>7915069.478446357</v>
      </c>
      <c r="E18" s="468">
        <f ca="1">'Cashflow Working'!J10-F18</f>
        <v>3875349.137468046</v>
      </c>
      <c r="F18" s="96">
        <f>'Yearly Budget'!I$68</f>
        <v>3947795.3377075209</v>
      </c>
      <c r="G18" s="8">
        <f ca="1">IF(working!F9&lt;0,working!G9,SUM(working!F9:H9))</f>
        <v>4039720.3409783109</v>
      </c>
      <c r="H18" s="8">
        <f ca="1">IF((D18-E18)&gt;0,0,-(D18-E18-working!G9))+F18</f>
        <v>3947795.3377075209</v>
      </c>
      <c r="I18" s="575">
        <f ca="1">'Yoy WAR OG'!N11</f>
        <v>173631000.81306082</v>
      </c>
      <c r="J18" s="575">
        <f ca="1">'Yoy WAR OG'!O11</f>
        <v>33632667.674843773</v>
      </c>
      <c r="K18" s="466">
        <f ca="1">'Loan Amortization'!CX9</f>
        <v>0</v>
      </c>
      <c r="L18" s="8">
        <f t="shared" ca="1" si="0"/>
        <v>207263668.48790461</v>
      </c>
      <c r="M18" s="490">
        <f ca="1">'Yoy Assets Working'!AB10</f>
        <v>7.4485890929061216E-2</v>
      </c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>
        <f t="shared" si="1"/>
        <v>56</v>
      </c>
      <c r="AB18" s="425">
        <f t="shared" ca="1" si="5"/>
        <v>3947795.3377075209</v>
      </c>
      <c r="AC18" s="425">
        <f t="shared" ca="1" si="6"/>
        <v>173631000.81306082</v>
      </c>
      <c r="AD18" s="161">
        <f t="shared" ca="1" si="4"/>
        <v>33632667.674843773</v>
      </c>
      <c r="AE18" s="489">
        <f t="shared" ca="1" si="2"/>
        <v>0</v>
      </c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</row>
    <row r="19" spans="1:83" s="10" customFormat="1" ht="17.399999999999999" customHeight="1" x14ac:dyDescent="0.3">
      <c r="A19" s="7"/>
      <c r="B19" s="86">
        <f t="shared" si="3"/>
        <v>57</v>
      </c>
      <c r="C19" s="498">
        <f>'Cashflow Working'!B11</f>
        <v>2033</v>
      </c>
      <c r="D19" s="8">
        <f>'Cashflow Working'!L11</f>
        <v>17526556.282029878</v>
      </c>
      <c r="E19" s="468">
        <f ca="1">'Cashflow Working'!J11-F19</f>
        <v>4185377.0684654904</v>
      </c>
      <c r="F19" s="96">
        <f>'Yearly Budget'!J$68</f>
        <v>0</v>
      </c>
      <c r="G19" s="8">
        <f ca="1">IF(working!F10&lt;0,working!G10,SUM(working!F10:H10))</f>
        <v>13341179.213564388</v>
      </c>
      <c r="H19" s="8">
        <f ca="1">IF((D19-E19)&gt;0,0,-(D19-E19-working!G10))+F19</f>
        <v>0</v>
      </c>
      <c r="I19" s="575">
        <f ca="1">'Yoy WAR OG'!N12</f>
        <v>201108660.63296288</v>
      </c>
      <c r="J19" s="575">
        <f ca="1">'Yoy WAR OG'!O12</f>
        <v>34990430.26605165</v>
      </c>
      <c r="K19" s="466">
        <f ca="1">'Loan Amortization'!CX10</f>
        <v>0</v>
      </c>
      <c r="L19" s="8">
        <f t="shared" ca="1" si="0"/>
        <v>236099090.89901453</v>
      </c>
      <c r="M19" s="490">
        <f ca="1">'Yoy Assets Working'!AB11</f>
        <v>7.4918532092934711E-2</v>
      </c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>
        <f t="shared" si="1"/>
        <v>57</v>
      </c>
      <c r="AB19" s="425">
        <f t="shared" ca="1" si="5"/>
        <v>0</v>
      </c>
      <c r="AC19" s="425">
        <f t="shared" ca="1" si="6"/>
        <v>201108660.63296288</v>
      </c>
      <c r="AD19" s="161">
        <f t="shared" ca="1" si="4"/>
        <v>34990430.26605165</v>
      </c>
      <c r="AE19" s="489">
        <f t="shared" ca="1" si="2"/>
        <v>0</v>
      </c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</row>
    <row r="20" spans="1:83" s="10" customFormat="1" ht="17.399999999999999" customHeight="1" x14ac:dyDescent="0.3">
      <c r="A20" s="7"/>
      <c r="B20" s="86">
        <f t="shared" si="3"/>
        <v>58</v>
      </c>
      <c r="C20" s="498">
        <f>'Cashflow Working'!B12</f>
        <v>2034</v>
      </c>
      <c r="D20" s="8">
        <f>'Cashflow Working'!L12</f>
        <v>8440342.4680239093</v>
      </c>
      <c r="E20" s="468">
        <f ca="1">'Cashflow Working'!J12-F20</f>
        <v>4520207.2339427304</v>
      </c>
      <c r="F20" s="96">
        <f>'Yearly Budget'!K$68</f>
        <v>0</v>
      </c>
      <c r="G20" s="8">
        <f ca="1">IF(working!F11&lt;0,working!G11,SUM(working!F11:H11))</f>
        <v>3920135.2340811789</v>
      </c>
      <c r="H20" s="8">
        <f ca="1">IF((D20-E20)&gt;0,0,-(D20-E20-working!G11))+F20</f>
        <v>0</v>
      </c>
      <c r="I20" s="575">
        <f ca="1">'Yoy WAR OG'!N13</f>
        <v>221317683.29563767</v>
      </c>
      <c r="J20" s="575">
        <f ca="1">'Yoy WAR OG'!O13</f>
        <v>36411863.058819346</v>
      </c>
      <c r="K20" s="466">
        <f ca="1">'Loan Amortization'!CX11</f>
        <v>0</v>
      </c>
      <c r="L20" s="8">
        <f t="shared" ca="1" si="0"/>
        <v>257729546.35445702</v>
      </c>
      <c r="M20" s="490">
        <f ca="1">'Yoy Assets Working'!AB12</f>
        <v>7.5651526073458361E-2</v>
      </c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>
        <f t="shared" si="1"/>
        <v>58</v>
      </c>
      <c r="AB20" s="425">
        <f t="shared" ca="1" si="5"/>
        <v>0</v>
      </c>
      <c r="AC20" s="425">
        <f t="shared" ca="1" si="6"/>
        <v>221317683.29563767</v>
      </c>
      <c r="AD20" s="161">
        <f t="shared" ca="1" si="4"/>
        <v>36411863.058819346</v>
      </c>
      <c r="AE20" s="489">
        <f t="shared" ca="1" si="2"/>
        <v>0</v>
      </c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</row>
    <row r="21" spans="1:83" s="10" customFormat="1" ht="17.399999999999999" customHeight="1" x14ac:dyDescent="0.3">
      <c r="A21" s="7"/>
      <c r="B21" s="86">
        <f t="shared" si="3"/>
        <v>59</v>
      </c>
      <c r="C21" s="498">
        <f>'Cashflow Working'!B13</f>
        <v>2035</v>
      </c>
      <c r="D21" s="8">
        <f>'Cashflow Working'!L13</f>
        <v>8876150.633069044</v>
      </c>
      <c r="E21" s="468">
        <f ca="1">'Cashflow Working'!J13-F21</f>
        <v>4881823.812658146</v>
      </c>
      <c r="F21" s="96">
        <f>'Yearly Budget'!L$68</f>
        <v>4317849.9945455752</v>
      </c>
      <c r="G21" s="8">
        <f ca="1">IF(working!F12&lt;0,working!G12,SUM(working!F12:H12))</f>
        <v>3994326.820410898</v>
      </c>
      <c r="H21" s="8">
        <f ca="1">IF((D21-E21)&gt;0,0,-(D21-E21-working!G12))+F21</f>
        <v>4317849.9945455752</v>
      </c>
      <c r="I21" s="575">
        <f ca="1">'Yoy WAR OG'!N14</f>
        <v>238985455.00259063</v>
      </c>
      <c r="J21" s="575">
        <f ca="1">'Yoy WAR OG'!O14</f>
        <v>37900407.899089128</v>
      </c>
      <c r="K21" s="466">
        <f ca="1">'Loan Amortization'!CX12</f>
        <v>0</v>
      </c>
      <c r="L21" s="8">
        <f t="shared" ca="1" si="0"/>
        <v>276885862.90167975</v>
      </c>
      <c r="M21" s="490">
        <f ca="1">'Yoy Assets Working'!AB13</f>
        <v>7.6501375559575147E-2</v>
      </c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>
        <f t="shared" si="1"/>
        <v>59</v>
      </c>
      <c r="AB21" s="425">
        <f t="shared" ca="1" si="5"/>
        <v>4317849.9945455752</v>
      </c>
      <c r="AC21" s="425">
        <f t="shared" ca="1" si="6"/>
        <v>238985455.00259063</v>
      </c>
      <c r="AD21" s="161">
        <f t="shared" ca="1" si="4"/>
        <v>37900407.899089128</v>
      </c>
      <c r="AE21" s="489">
        <f t="shared" ca="1" si="2"/>
        <v>0</v>
      </c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</row>
    <row r="22" spans="1:83" s="10" customFormat="1" ht="17.399999999999999" customHeight="1" x14ac:dyDescent="0.3">
      <c r="A22" s="7"/>
      <c r="B22" s="86">
        <f t="shared" si="3"/>
        <v>60</v>
      </c>
      <c r="C22" s="498">
        <f>'Cashflow Working'!B14</f>
        <v>2036</v>
      </c>
      <c r="D22" s="8">
        <f>'Cashflow Working'!L14</f>
        <v>8635696.7905815691</v>
      </c>
      <c r="E22" s="468">
        <f ca="1">'Cashflow Working'!J14-F22</f>
        <v>5272369.7176708002</v>
      </c>
      <c r="F22" s="96">
        <f>'Yearly Budget'!M$68</f>
        <v>1165819.4985273054</v>
      </c>
      <c r="G22" s="8">
        <f ca="1">IF(working!F13&lt;0,working!G13,SUM(working!F13:H13))</f>
        <v>3363327.0729107689</v>
      </c>
      <c r="H22" s="8">
        <f ca="1">IF((D22-E22)&gt;0,0,-(D22-E22-working!G13))+F22</f>
        <v>1165819.4985273054</v>
      </c>
      <c r="I22" s="575">
        <f ca="1">'Yoy WAR OG'!N15</f>
        <v>260854151.61134252</v>
      </c>
      <c r="J22" s="575">
        <f ca="1">'Yoy WAR OG'!O15</f>
        <v>39459713.416335598</v>
      </c>
      <c r="K22" s="466">
        <f ca="1">'Loan Amortization'!CX13</f>
        <v>0</v>
      </c>
      <c r="L22" s="8">
        <f t="shared" ca="1" si="0"/>
        <v>300313865.02767813</v>
      </c>
      <c r="M22" s="490">
        <f ca="1">'Yoy Assets Working'!AB14</f>
        <v>7.740144007249021E-2</v>
      </c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>
        <f t="shared" si="1"/>
        <v>60</v>
      </c>
      <c r="AB22" s="425">
        <f t="shared" ca="1" si="5"/>
        <v>1165819.4985273054</v>
      </c>
      <c r="AC22" s="425">
        <f t="shared" ca="1" si="6"/>
        <v>260854151.61134252</v>
      </c>
      <c r="AD22" s="161">
        <f t="shared" ca="1" si="4"/>
        <v>39459713.416335598</v>
      </c>
      <c r="AE22" s="489">
        <f t="shared" ca="1" si="2"/>
        <v>0</v>
      </c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</row>
    <row r="23" spans="1:83" s="10" customFormat="1" ht="17.399999999999999" customHeight="1" x14ac:dyDescent="0.3">
      <c r="A23" s="7"/>
      <c r="B23" s="86">
        <f t="shared" si="3"/>
        <v>61</v>
      </c>
      <c r="C23" s="498">
        <f>'Cashflow Working'!B15</f>
        <v>2037</v>
      </c>
      <c r="D23" s="8">
        <f>'Cashflow Working'!L15</f>
        <v>9063281.6301106457</v>
      </c>
      <c r="E23" s="468">
        <f ca="1">'Cashflow Working'!J15-F23</f>
        <v>5694159.2950844644</v>
      </c>
      <c r="F23" s="96">
        <f>'Yearly Budget'!N$68</f>
        <v>0</v>
      </c>
      <c r="G23" s="8">
        <f ca="1">IF(working!F14&lt;0,working!G14,SUM(working!F14:H14))</f>
        <v>3369122.3350261813</v>
      </c>
      <c r="H23" s="8">
        <f ca="1">IF((D23-E23)&gt;0,0,-(D23-E23-working!G14))+F23</f>
        <v>0</v>
      </c>
      <c r="I23" s="575">
        <f ca="1">'Yoy WAR OG'!N16</f>
        <v>285547513.68449384</v>
      </c>
      <c r="J23" s="575">
        <f ca="1">'Yoy WAR OG'!O16</f>
        <v>41093648.289360508</v>
      </c>
      <c r="K23" s="466">
        <f ca="1">'Loan Amortization'!CX14</f>
        <v>0</v>
      </c>
      <c r="L23" s="8">
        <f t="shared" ca="1" si="0"/>
        <v>326641161.97385436</v>
      </c>
      <c r="M23" s="490">
        <f ca="1">'Yoy Assets Working'!AB15</f>
        <v>7.7122697670208601E-2</v>
      </c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>
        <f t="shared" si="1"/>
        <v>61</v>
      </c>
      <c r="AB23" s="425">
        <f t="shared" ca="1" si="5"/>
        <v>0</v>
      </c>
      <c r="AC23" s="425">
        <f t="shared" ca="1" si="6"/>
        <v>285547513.68449384</v>
      </c>
      <c r="AD23" s="161">
        <f t="shared" ca="1" si="4"/>
        <v>41093648.289360508</v>
      </c>
      <c r="AE23" s="489">
        <f t="shared" ca="1" si="2"/>
        <v>0</v>
      </c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</row>
    <row r="24" spans="1:83" s="10" customFormat="1" ht="17.399999999999999" customHeight="1" x14ac:dyDescent="0.3">
      <c r="A24" s="7"/>
      <c r="B24" s="86">
        <f t="shared" si="3"/>
        <v>62</v>
      </c>
      <c r="C24" s="498">
        <f>'Cashflow Working'!B16</f>
        <v>2038</v>
      </c>
      <c r="D24" s="8">
        <f>'Cashflow Working'!L16</f>
        <v>9512245.7116161808</v>
      </c>
      <c r="E24" s="468">
        <f ca="1">'Cashflow Working'!J16-F24</f>
        <v>6149692.0386912227</v>
      </c>
      <c r="F24" s="96">
        <f>'Yearly Budget'!O$68</f>
        <v>0</v>
      </c>
      <c r="G24" s="8">
        <f ca="1">IF(working!F15&lt;0,working!G15,SUM(working!F15:H15))</f>
        <v>3362553.6729249582</v>
      </c>
      <c r="H24" s="8">
        <f ca="1">IF((D24-E24)&gt;0,0,-(D24-E24-working!G15))+F24</f>
        <v>0</v>
      </c>
      <c r="I24" s="575">
        <f ca="1">'Yoy WAR OG'!N17</f>
        <v>312072928.97028512</v>
      </c>
      <c r="J24" s="575">
        <f ca="1">'Yoy WAR OG'!O17</f>
        <v>42806315.395187572</v>
      </c>
      <c r="K24" s="466">
        <f ca="1">'Loan Amortization'!CX15</f>
        <v>0</v>
      </c>
      <c r="L24" s="8">
        <f t="shared" ca="1" si="0"/>
        <v>354879244.36547267</v>
      </c>
      <c r="M24" s="490">
        <f ca="1">'Yoy Assets Working'!AB16</f>
        <v>7.6833780567628338E-2</v>
      </c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>
        <f t="shared" si="1"/>
        <v>62</v>
      </c>
      <c r="AB24" s="425">
        <f t="shared" ca="1" si="5"/>
        <v>0</v>
      </c>
      <c r="AC24" s="425">
        <f t="shared" ca="1" si="6"/>
        <v>312072928.97028512</v>
      </c>
      <c r="AD24" s="161">
        <f t="shared" ca="1" si="4"/>
        <v>42806315.395187572</v>
      </c>
      <c r="AE24" s="489">
        <f t="shared" ca="1" si="2"/>
        <v>0</v>
      </c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</row>
    <row r="25" spans="1:83" s="10" customFormat="1" ht="17.399999999999999" customHeight="1" x14ac:dyDescent="0.3">
      <c r="A25" s="7"/>
      <c r="B25" s="86">
        <f t="shared" si="3"/>
        <v>63</v>
      </c>
      <c r="C25" s="498">
        <f>'Cashflow Working'!B17</f>
        <v>2039</v>
      </c>
      <c r="D25" s="8">
        <f>'Cashflow Working'!L17</f>
        <v>84000</v>
      </c>
      <c r="E25" s="468">
        <f ca="1">'Cashflow Working'!J17-F25</f>
        <v>6641667.4017865211</v>
      </c>
      <c r="F25" s="96">
        <f>'Yearly Budget'!P$68</f>
        <v>0</v>
      </c>
      <c r="G25" s="8">
        <f ca="1">IF(working!F16&lt;0,working!G16,SUM(working!F16:H16))</f>
        <v>0</v>
      </c>
      <c r="H25" s="8">
        <f ca="1">IF((D25-E25)&gt;0,0,-(D25-E25-working!G16))+F25</f>
        <v>6557667.4017865211</v>
      </c>
      <c r="I25" s="575">
        <f ca="1">'Yoy WAR OG'!N18</f>
        <v>330204096.09796357</v>
      </c>
      <c r="J25" s="575">
        <f ca="1">'Yoy WAR OG'!O18</f>
        <v>44602066.901047364</v>
      </c>
      <c r="K25" s="466">
        <f ca="1">'Loan Amortization'!CX16</f>
        <v>0</v>
      </c>
      <c r="L25" s="8">
        <f t="shared" ca="1" si="0"/>
        <v>374806162.99901092</v>
      </c>
      <c r="M25" s="490">
        <f ca="1">'Yoy Assets Working'!AB17</f>
        <v>7.683325729339667E-2</v>
      </c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>
        <f t="shared" si="1"/>
        <v>63</v>
      </c>
      <c r="AB25" s="425">
        <f t="shared" ca="1" si="5"/>
        <v>6557667.4017865211</v>
      </c>
      <c r="AC25" s="425">
        <f t="shared" ca="1" si="6"/>
        <v>330204096.09796357</v>
      </c>
      <c r="AD25" s="161">
        <f t="shared" ca="1" si="4"/>
        <v>44602066.901047364</v>
      </c>
      <c r="AE25" s="489">
        <f t="shared" ca="1" si="2"/>
        <v>0</v>
      </c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</row>
    <row r="26" spans="1:83" s="10" customFormat="1" ht="17.399999999999999" customHeight="1" x14ac:dyDescent="0.3">
      <c r="A26" s="7"/>
      <c r="B26" s="86">
        <f t="shared" si="3"/>
        <v>64</v>
      </c>
      <c r="C26" s="498">
        <f>'Cashflow Working'!B18</f>
        <v>2040</v>
      </c>
      <c r="D26" s="8">
        <f>'Cashflow Working'!L18</f>
        <v>84000</v>
      </c>
      <c r="E26" s="468">
        <f ca="1">'Cashflow Working'!J18-F26</f>
        <v>7173000.7939294428</v>
      </c>
      <c r="F26" s="96">
        <f>'Yearly Budget'!Q$68</f>
        <v>0</v>
      </c>
      <c r="G26" s="8">
        <f ca="1">IF(working!F17&lt;0,working!G17,SUM(working!F17:H17))</f>
        <v>0</v>
      </c>
      <c r="H26" s="8">
        <f ca="1">IF((D26-E26)&gt;0,0,-(D26-E26-working!G17))+F26</f>
        <v>7089000.7939294428</v>
      </c>
      <c r="I26" s="575">
        <f ca="1">'Yoy WAR OG'!N19</f>
        <v>349183782.80777323</v>
      </c>
      <c r="J26" s="575">
        <f ca="1">'Yoy WAR OG'!O19</f>
        <v>46485520.363563813</v>
      </c>
      <c r="K26" s="466">
        <f ca="1">'Loan Amortization'!CX17</f>
        <v>0</v>
      </c>
      <c r="L26" s="8">
        <f t="shared" ca="1" si="0"/>
        <v>395669303.17133707</v>
      </c>
      <c r="M26" s="490">
        <f ca="1">'Yoy Assets Working'!AB18</f>
        <v>7.6809673916509849E-2</v>
      </c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>
        <f t="shared" si="1"/>
        <v>64</v>
      </c>
      <c r="AB26" s="425">
        <f t="shared" ca="1" si="5"/>
        <v>7089000.7939294428</v>
      </c>
      <c r="AC26" s="425">
        <f t="shared" ca="1" si="6"/>
        <v>349183782.80777323</v>
      </c>
      <c r="AD26" s="161">
        <f t="shared" ca="1" si="4"/>
        <v>46485520.363563813</v>
      </c>
      <c r="AE26" s="489">
        <f t="shared" ca="1" si="2"/>
        <v>0</v>
      </c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</row>
    <row r="27" spans="1:83" s="10" customFormat="1" ht="17.399999999999999" customHeight="1" x14ac:dyDescent="0.3">
      <c r="A27" s="7"/>
      <c r="B27" s="86">
        <f t="shared" si="3"/>
        <v>65</v>
      </c>
      <c r="C27" s="498">
        <f>'Cashflow Working'!B19</f>
        <v>2041</v>
      </c>
      <c r="D27" s="8">
        <f>'Cashflow Working'!L19</f>
        <v>84000</v>
      </c>
      <c r="E27" s="468">
        <f ca="1">'Cashflow Working'!J19-F27</f>
        <v>7746840.8574437993</v>
      </c>
      <c r="F27" s="96">
        <f>'Yearly Budget'!R$68</f>
        <v>0</v>
      </c>
      <c r="G27" s="8">
        <f ca="1">IF(working!F18&lt;0,working!G18,SUM(working!F18:H18))</f>
        <v>0</v>
      </c>
      <c r="H27" s="8">
        <f ca="1">IF((D27-E27)&gt;0,0,-(D27-E27-working!G18))+F27</f>
        <v>7662840.8574437993</v>
      </c>
      <c r="I27" s="575">
        <f ca="1">'Yoy WAR OG'!N20</f>
        <v>369022304.98374987</v>
      </c>
      <c r="J27" s="575">
        <f ca="1">'Yoy WAR OG'!O20</f>
        <v>48461575.903660297</v>
      </c>
      <c r="K27" s="466">
        <f ca="1">'Loan Amortization'!CX18</f>
        <v>0</v>
      </c>
      <c r="L27" s="8">
        <f t="shared" ca="1" si="0"/>
        <v>417483880.88741016</v>
      </c>
      <c r="M27" s="490">
        <f ca="1">'Yoy Assets Working'!AB19</f>
        <v>7.6761633991162814E-2</v>
      </c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>
        <f t="shared" si="1"/>
        <v>65</v>
      </c>
      <c r="AB27" s="425">
        <f t="shared" ca="1" si="5"/>
        <v>7662840.8574437993</v>
      </c>
      <c r="AC27" s="425">
        <f t="shared" ca="1" si="6"/>
        <v>369022304.98374987</v>
      </c>
      <c r="AD27" s="161">
        <f t="shared" ca="1" si="4"/>
        <v>48461575.903660297</v>
      </c>
      <c r="AE27" s="489">
        <f t="shared" ca="1" si="2"/>
        <v>0</v>
      </c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</row>
    <row r="28" spans="1:83" s="10" customFormat="1" ht="17.399999999999999" customHeight="1" x14ac:dyDescent="0.3">
      <c r="A28" s="7"/>
      <c r="B28" s="86">
        <f t="shared" si="3"/>
        <v>66</v>
      </c>
      <c r="C28" s="498">
        <f>'Cashflow Working'!B20</f>
        <v>2042</v>
      </c>
      <c r="D28" s="8">
        <f>'Cashflow Working'!L20</f>
        <v>84000</v>
      </c>
      <c r="E28" s="468">
        <f ca="1">'Cashflow Working'!J20-F28</f>
        <v>8366588.126039302</v>
      </c>
      <c r="F28" s="96">
        <f>'Yearly Budget'!S$68</f>
        <v>0</v>
      </c>
      <c r="G28" s="8">
        <f ca="1">IF(working!F19&lt;0,working!G19,SUM(working!F19:H19))</f>
        <v>0</v>
      </c>
      <c r="H28" s="8">
        <f ca="1">IF((D28-E28)&gt;0,0,-(D28-E28-working!G19))+F28</f>
        <v>8282588.126039302</v>
      </c>
      <c r="I28" s="575">
        <f ca="1">'Yoy WAR OG'!N21</f>
        <v>389724947.3844521</v>
      </c>
      <c r="J28" s="575">
        <f ca="1">'Yoy WAR OG'!O21</f>
        <v>50535434.530414551</v>
      </c>
      <c r="K28" s="466">
        <f ca="1">'Loan Amortization'!CX19</f>
        <v>0</v>
      </c>
      <c r="L28" s="8">
        <f t="shared" ca="1" si="0"/>
        <v>440260381.91486669</v>
      </c>
      <c r="M28" s="490">
        <f ca="1">'Yoy Assets Working'!AB20</f>
        <v>7.6687575864838028E-2</v>
      </c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>
        <f t="shared" si="1"/>
        <v>66</v>
      </c>
      <c r="AB28" s="425">
        <f t="shared" ca="1" si="5"/>
        <v>8282588.126039302</v>
      </c>
      <c r="AC28" s="425">
        <f t="shared" ca="1" si="6"/>
        <v>389724947.3844521</v>
      </c>
      <c r="AD28" s="161">
        <f t="shared" ca="1" si="4"/>
        <v>50535434.530414551</v>
      </c>
      <c r="AE28" s="489">
        <f t="shared" ca="1" si="2"/>
        <v>0</v>
      </c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</row>
    <row r="29" spans="1:83" s="10" customFormat="1" ht="17.399999999999999" customHeight="1" x14ac:dyDescent="0.3">
      <c r="A29" s="7"/>
      <c r="B29" s="86">
        <f t="shared" si="3"/>
        <v>67</v>
      </c>
      <c r="C29" s="498">
        <f>'Cashflow Working'!B21</f>
        <v>2043</v>
      </c>
      <c r="D29" s="8">
        <f>'Cashflow Working'!L21</f>
        <v>84000</v>
      </c>
      <c r="E29" s="468">
        <f ca="1">'Cashflow Working'!J21-F29</f>
        <v>9035915.1761224475</v>
      </c>
      <c r="F29" s="96">
        <f>'Yearly Budget'!T$68</f>
        <v>0</v>
      </c>
      <c r="G29" s="8">
        <f ca="1">IF(working!F20&lt;0,working!G20,SUM(working!F20:H20))</f>
        <v>0</v>
      </c>
      <c r="H29" s="8">
        <f ca="1">IF((D29-E29)&gt;0,0,-(D29-E29-working!G20))+F29</f>
        <v>8951915.1761224475</v>
      </c>
      <c r="I29" s="575">
        <f ca="1">'Yoy WAR OG'!N22</f>
        <v>411290943.11992896</v>
      </c>
      <c r="J29" s="575">
        <f ca="1">'Yoy WAR OG'!O22</f>
        <v>52712617.692128748</v>
      </c>
      <c r="K29" s="466">
        <f ca="1">'Loan Amortization'!CX20</f>
        <v>0</v>
      </c>
      <c r="L29" s="8">
        <f t="shared" ca="1" si="0"/>
        <v>464003560.81205773</v>
      </c>
      <c r="M29" s="490">
        <f ca="1">'Yoy Assets Working'!AB21</f>
        <v>7.6585748072921817E-2</v>
      </c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>
        <f t="shared" si="1"/>
        <v>67</v>
      </c>
      <c r="AB29" s="425">
        <f t="shared" ca="1" si="5"/>
        <v>8951915.1761224475</v>
      </c>
      <c r="AC29" s="425">
        <f t="shared" ca="1" si="6"/>
        <v>411290943.11992896</v>
      </c>
      <c r="AD29" s="161">
        <f t="shared" ca="1" si="4"/>
        <v>52712617.692128748</v>
      </c>
      <c r="AE29" s="489">
        <f t="shared" ca="1" si="2"/>
        <v>0</v>
      </c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</row>
    <row r="30" spans="1:83" s="10" customFormat="1" ht="17.399999999999999" customHeight="1" x14ac:dyDescent="0.3">
      <c r="A30" s="7"/>
      <c r="B30" s="86">
        <f t="shared" si="3"/>
        <v>68</v>
      </c>
      <c r="C30" s="498">
        <f>'Cashflow Working'!B22</f>
        <v>2044</v>
      </c>
      <c r="D30" s="8">
        <f>'Cashflow Working'!L22</f>
        <v>84000</v>
      </c>
      <c r="E30" s="468">
        <f ca="1">'Cashflow Working'!J22-F30</f>
        <v>9758788.3902122453</v>
      </c>
      <c r="F30" s="96">
        <f>'Yearly Budget'!U$68</f>
        <v>0</v>
      </c>
      <c r="G30" s="8">
        <f ca="1">IF(working!F21&lt;0,working!G21,SUM(working!F21:H21))</f>
        <v>0</v>
      </c>
      <c r="H30" s="8">
        <f ca="1">IF((D30-E30)&gt;0,0,-(D30-E30-working!G21))+F30</f>
        <v>9674788.3902122453</v>
      </c>
      <c r="I30" s="575">
        <f ca="1">'Yoy WAR OG'!N23</f>
        <v>433712304.94259906</v>
      </c>
      <c r="J30" s="575">
        <f ca="1">'Yoy WAR OG'!O23</f>
        <v>54998988.138266817</v>
      </c>
      <c r="K30" s="466">
        <f ca="1">'Loan Amortization'!CX21</f>
        <v>0</v>
      </c>
      <c r="L30" s="8">
        <f t="shared" ca="1" si="0"/>
        <v>488711293.08086586</v>
      </c>
      <c r="M30" s="490">
        <f ca="1">'Yoy Assets Working'!AB22</f>
        <v>7.6454180278403283E-2</v>
      </c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>
        <f t="shared" si="1"/>
        <v>68</v>
      </c>
      <c r="AB30" s="425">
        <f t="shared" ca="1" si="5"/>
        <v>9674788.3902122453</v>
      </c>
      <c r="AC30" s="425">
        <f t="shared" ca="1" si="6"/>
        <v>433712304.94259906</v>
      </c>
      <c r="AD30" s="161">
        <f t="shared" ca="1" si="4"/>
        <v>54998988.138266817</v>
      </c>
      <c r="AE30" s="489">
        <f t="shared" ca="1" si="2"/>
        <v>0</v>
      </c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</row>
    <row r="31" spans="1:83" s="10" customFormat="1" ht="17.399999999999999" customHeight="1" x14ac:dyDescent="0.3">
      <c r="A31" s="7"/>
      <c r="B31" s="86">
        <f t="shared" si="3"/>
        <v>69</v>
      </c>
      <c r="C31" s="498">
        <f>'Cashflow Working'!B23</f>
        <v>2045</v>
      </c>
      <c r="D31" s="8">
        <f>'Cashflow Working'!L23</f>
        <v>84000</v>
      </c>
      <c r="E31" s="468">
        <f ca="1">'Cashflow Working'!J23-F31</f>
        <v>10539491.461429223</v>
      </c>
      <c r="F31" s="96">
        <f>'Yearly Budget'!V$68</f>
        <v>0</v>
      </c>
      <c r="G31" s="8">
        <f ca="1">IF(working!F22&lt;0,working!G22,SUM(working!F22:H22))</f>
        <v>0</v>
      </c>
      <c r="H31" s="8">
        <f ca="1">IF((D31-E31)&gt;0,0,-(D31-E31-working!G22))+F31</f>
        <v>10455491.461429223</v>
      </c>
      <c r="I31" s="575">
        <f ca="1">'Yoy WAR OG'!N24</f>
        <v>456972489.25645071</v>
      </c>
      <c r="J31" s="575">
        <f ca="1">'Yoy WAR OG'!O24</f>
        <v>57400772.181669831</v>
      </c>
      <c r="K31" s="466">
        <f ca="1">'Loan Amortization'!CX22</f>
        <v>0</v>
      </c>
      <c r="L31" s="8">
        <f t="shared" ca="1" si="0"/>
        <v>514373261.43812054</v>
      </c>
      <c r="M31" s="490">
        <f ca="1">'Yoy Assets Working'!AB23</f>
        <v>7.6290648782702641E-2</v>
      </c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>
        <f t="shared" si="1"/>
        <v>69</v>
      </c>
      <c r="AB31" s="425">
        <f t="shared" ca="1" si="5"/>
        <v>10455491.461429223</v>
      </c>
      <c r="AC31" s="425">
        <f t="shared" ca="1" si="6"/>
        <v>456972489.25645071</v>
      </c>
      <c r="AD31" s="161">
        <f t="shared" ca="1" si="4"/>
        <v>57400772.181669831</v>
      </c>
      <c r="AE31" s="489">
        <f t="shared" ca="1" si="2"/>
        <v>0</v>
      </c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</row>
    <row r="32" spans="1:83" s="10" customFormat="1" ht="17.399999999999999" customHeight="1" x14ac:dyDescent="0.3">
      <c r="A32" s="7"/>
      <c r="B32" s="86">
        <f t="shared" si="3"/>
        <v>70</v>
      </c>
      <c r="C32" s="498">
        <f>'Cashflow Working'!B24</f>
        <v>2046</v>
      </c>
      <c r="D32" s="8">
        <f>'Cashflow Working'!L24</f>
        <v>84000</v>
      </c>
      <c r="E32" s="468">
        <f ca="1">'Cashflow Working'!J24-F32</f>
        <v>11382650.778343562</v>
      </c>
      <c r="F32" s="96">
        <f>'Yearly Budget'!W$68</f>
        <v>0</v>
      </c>
      <c r="G32" s="8">
        <f ca="1">IF(working!F23&lt;0,working!G23,SUM(working!F23:H23))</f>
        <v>0</v>
      </c>
      <c r="H32" s="8">
        <f ca="1">IF((D32-E32)&gt;0,0,-(D32-E32-working!G23))+F32</f>
        <v>11298650.778343562</v>
      </c>
      <c r="I32" s="575">
        <f ca="1">'Yoy WAR OG'!N25</f>
        <v>481044871.42920709</v>
      </c>
      <c r="J32" s="575">
        <f ca="1">'Yoy WAR OG'!O25</f>
        <v>59924583.456617646</v>
      </c>
      <c r="K32" s="466">
        <f ca="1">'Loan Amortization'!CX23</f>
        <v>0</v>
      </c>
      <c r="L32" s="8">
        <f t="shared" ca="1" si="0"/>
        <v>540969454.88582468</v>
      </c>
      <c r="M32" s="490">
        <f ca="1">'Yoy Assets Working'!AB24</f>
        <v>7.6092635382153814E-2</v>
      </c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>
        <f t="shared" si="1"/>
        <v>70</v>
      </c>
      <c r="AB32" s="425">
        <f t="shared" ca="1" si="5"/>
        <v>11298650.778343562</v>
      </c>
      <c r="AC32" s="425">
        <f t="shared" ca="1" si="6"/>
        <v>481044871.42920709</v>
      </c>
      <c r="AD32" s="161">
        <f t="shared" ca="1" si="4"/>
        <v>59924583.456617646</v>
      </c>
      <c r="AE32" s="489">
        <f t="shared" ca="1" si="2"/>
        <v>0</v>
      </c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</row>
    <row r="33" spans="1:83" s="10" customFormat="1" ht="17.399999999999999" customHeight="1" x14ac:dyDescent="0.3">
      <c r="A33" s="7"/>
      <c r="B33" s="86">
        <f t="shared" si="3"/>
        <v>71</v>
      </c>
      <c r="C33" s="498">
        <f>'Cashflow Working'!B25</f>
        <v>2047</v>
      </c>
      <c r="D33" s="8">
        <f>'Cashflow Working'!L25</f>
        <v>84000</v>
      </c>
      <c r="E33" s="468">
        <f ca="1">'Cashflow Working'!J25-F33</f>
        <v>12293262.840611048</v>
      </c>
      <c r="F33" s="96">
        <f>'Yearly Budget'!X$68</f>
        <v>0</v>
      </c>
      <c r="G33" s="8">
        <f ca="1">IF(working!F24&lt;0,working!G24,SUM(working!F24:H24))</f>
        <v>0</v>
      </c>
      <c r="H33" s="8">
        <f ca="1">IF((D33-E33)&gt;0,0,-(D33-E33-working!G24))+F33</f>
        <v>12209262.840611048</v>
      </c>
      <c r="I33" s="575">
        <f ca="1">'Yoy WAR OG'!N26</f>
        <v>505891008.39985043</v>
      </c>
      <c r="J33" s="575">
        <f ca="1">'Yoy WAR OG'!O26</f>
        <v>62577448.274888337</v>
      </c>
      <c r="K33" s="466">
        <f ca="1">'Loan Amortization'!CX24</f>
        <v>0</v>
      </c>
      <c r="L33" s="8">
        <f t="shared" ca="1" si="0"/>
        <v>568468456.67473876</v>
      </c>
      <c r="M33" s="490">
        <f ca="1">'Yoy Assets Working'!AB25</f>
        <v>7.585727801770141E-2</v>
      </c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>
        <f t="shared" si="1"/>
        <v>71</v>
      </c>
      <c r="AB33" s="425">
        <f t="shared" ca="1" si="5"/>
        <v>12209262.840611048</v>
      </c>
      <c r="AC33" s="425">
        <f t="shared" ca="1" si="6"/>
        <v>505891008.39985043</v>
      </c>
      <c r="AD33" s="161">
        <f t="shared" ca="1" si="4"/>
        <v>62577448.274888337</v>
      </c>
      <c r="AE33" s="489">
        <f t="shared" ca="1" si="2"/>
        <v>0</v>
      </c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</row>
    <row r="34" spans="1:83" s="10" customFormat="1" ht="17.399999999999999" customHeight="1" x14ac:dyDescent="0.3">
      <c r="A34" s="7"/>
      <c r="B34" s="86">
        <f t="shared" si="3"/>
        <v>72</v>
      </c>
      <c r="C34" s="498">
        <f>'Cashflow Working'!B26</f>
        <v>2048</v>
      </c>
      <c r="D34" s="8">
        <f>'Cashflow Working'!L26</f>
        <v>84000</v>
      </c>
      <c r="E34" s="468">
        <f ca="1">'Cashflow Working'!J26-F34</f>
        <v>13276723.867859932</v>
      </c>
      <c r="F34" s="96">
        <f>'Yearly Budget'!Y$68</f>
        <v>0</v>
      </c>
      <c r="G34" s="8">
        <f ca="1">IF(working!F25&lt;0,working!G25,SUM(working!F25:H25))</f>
        <v>0</v>
      </c>
      <c r="H34" s="8">
        <f ca="1">IF((D34-E34)&gt;0,0,-(D34-E34-working!G25))+F34</f>
        <v>13192723.867859932</v>
      </c>
      <c r="I34" s="575">
        <f ca="1">'Yoy WAR OG'!N27</f>
        <v>531458661.67783761</v>
      </c>
      <c r="J34" s="575">
        <f ca="1">'Yoy WAR OG'!O27</f>
        <v>65366832.689007275</v>
      </c>
      <c r="K34" s="466">
        <f ca="1">'Loan Amortization'!CX25</f>
        <v>0</v>
      </c>
      <c r="L34" s="8">
        <f t="shared" ca="1" si="0"/>
        <v>596825494.36684489</v>
      </c>
      <c r="M34" s="490">
        <f ca="1">'Yoy Assets Working'!AB26</f>
        <v>7.5581311236956605E-2</v>
      </c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>
        <f t="shared" si="1"/>
        <v>72</v>
      </c>
      <c r="AB34" s="425">
        <f t="shared" ca="1" si="5"/>
        <v>13192723.867859932</v>
      </c>
      <c r="AC34" s="425">
        <f t="shared" ca="1" si="6"/>
        <v>531458661.67783761</v>
      </c>
      <c r="AD34" s="161">
        <f t="shared" ca="1" si="4"/>
        <v>65366832.689007275</v>
      </c>
      <c r="AE34" s="489">
        <f t="shared" ca="1" si="2"/>
        <v>0</v>
      </c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</row>
    <row r="35" spans="1:83" s="10" customFormat="1" ht="17.399999999999999" customHeight="1" x14ac:dyDescent="0.3">
      <c r="A35" s="7"/>
      <c r="B35" s="86">
        <f t="shared" si="3"/>
        <v>73</v>
      </c>
      <c r="C35" s="498">
        <f>'Cashflow Working'!B27</f>
        <v>2049</v>
      </c>
      <c r="D35" s="8">
        <f>'Cashflow Working'!L27</f>
        <v>84000</v>
      </c>
      <c r="E35" s="468">
        <f ca="1">'Cashflow Working'!J27-F35</f>
        <v>14338861.777288727</v>
      </c>
      <c r="F35" s="96">
        <f>'Yearly Budget'!Z$68</f>
        <v>0</v>
      </c>
      <c r="G35" s="8">
        <f ca="1">IF(working!F26&lt;0,working!G26,SUM(working!F26:H26))</f>
        <v>0</v>
      </c>
      <c r="H35" s="8">
        <f ca="1">IF((D35-E35)&gt;0,0,-(D35-E35-working!G26))+F35</f>
        <v>14254861.777288727</v>
      </c>
      <c r="I35" s="575">
        <f ca="1">'Yoy WAR OG'!N28</f>
        <v>557679550.59555471</v>
      </c>
      <c r="J35" s="575">
        <f ca="1">'Yoy WAR OG'!O28</f>
        <v>68300671.379404917</v>
      </c>
      <c r="K35" s="466">
        <f ca="1">'Loan Amortization'!CX26</f>
        <v>0</v>
      </c>
      <c r="L35" s="8">
        <f t="shared" ca="1" si="0"/>
        <v>625980221.97495961</v>
      </c>
      <c r="M35" s="490">
        <f ca="1">'Yoy Assets Working'!AB27</f>
        <v>7.5260993921649547E-2</v>
      </c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>
        <f t="shared" si="1"/>
        <v>73</v>
      </c>
      <c r="AB35" s="425">
        <f t="shared" ca="1" si="5"/>
        <v>14254861.777288727</v>
      </c>
      <c r="AC35" s="425">
        <f t="shared" ca="1" si="6"/>
        <v>557679550.59555471</v>
      </c>
      <c r="AD35" s="161">
        <f t="shared" ca="1" si="4"/>
        <v>68300671.379404917</v>
      </c>
      <c r="AE35" s="489">
        <f t="shared" ca="1" si="2"/>
        <v>0</v>
      </c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</row>
    <row r="36" spans="1:83" s="10" customFormat="1" ht="17.399999999999999" customHeight="1" x14ac:dyDescent="0.3">
      <c r="A36" s="7"/>
      <c r="B36" s="86">
        <f t="shared" si="3"/>
        <v>74</v>
      </c>
      <c r="C36" s="498">
        <f>'Cashflow Working'!B28</f>
        <v>2050</v>
      </c>
      <c r="D36" s="8">
        <f>'Cashflow Working'!L28</f>
        <v>84000</v>
      </c>
      <c r="E36" s="468">
        <f ca="1">'Cashflow Working'!J28-F36</f>
        <v>15485970.719471829</v>
      </c>
      <c r="F36" s="96">
        <f>'Yearly Budget'!AA$68</f>
        <v>0</v>
      </c>
      <c r="G36" s="8">
        <f ca="1">IF(working!F27&lt;0,working!G27,SUM(working!F27:H27))</f>
        <v>0</v>
      </c>
      <c r="H36" s="8">
        <f ca="1">IF((D36-E36)&gt;0,0,-(D36-E36-working!G27))+F36</f>
        <v>15401970.719471829</v>
      </c>
      <c r="I36" s="575">
        <f ca="1">'Yoy WAR OG'!N29</f>
        <v>584466802.0632</v>
      </c>
      <c r="J36" s="575">
        <f ca="1">'Yoy WAR OG'!O29</f>
        <v>71387398.490251705</v>
      </c>
      <c r="K36" s="466">
        <f ca="1">'Loan Amortization'!CX27</f>
        <v>0</v>
      </c>
      <c r="L36" s="8">
        <f t="shared" ca="1" si="0"/>
        <v>655854200.55345166</v>
      </c>
      <c r="M36" s="490">
        <f ca="1">'Yoy Assets Working'!AB28</f>
        <v>7.4892020978726187E-2</v>
      </c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>
        <f t="shared" si="1"/>
        <v>74</v>
      </c>
      <c r="AB36" s="425">
        <f t="shared" ca="1" si="5"/>
        <v>15401970.719471829</v>
      </c>
      <c r="AC36" s="425">
        <f t="shared" ca="1" si="6"/>
        <v>584466802.0632</v>
      </c>
      <c r="AD36" s="161">
        <f t="shared" ca="1" si="4"/>
        <v>71387398.490251705</v>
      </c>
      <c r="AE36" s="489">
        <f t="shared" ca="1" si="2"/>
        <v>0</v>
      </c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</row>
    <row r="37" spans="1:83" s="10" customFormat="1" ht="17.399999999999999" customHeight="1" x14ac:dyDescent="0.3">
      <c r="A37" s="7"/>
      <c r="B37" s="86">
        <f t="shared" si="3"/>
        <v>75</v>
      </c>
      <c r="C37" s="498">
        <f>'Cashflow Working'!B29</f>
        <v>2051</v>
      </c>
      <c r="D37" s="8">
        <f>'Cashflow Working'!L29</f>
        <v>84000</v>
      </c>
      <c r="E37" s="468">
        <f ca="1">'Cashflow Working'!J29-F37</f>
        <v>16724848.377029575</v>
      </c>
      <c r="F37" s="96">
        <f>'Yearly Budget'!AB$68</f>
        <v>0</v>
      </c>
      <c r="G37" s="8">
        <f ca="1">IF(working!F28&lt;0,working!G28,SUM(working!F28:H28))</f>
        <v>0</v>
      </c>
      <c r="H37" s="8">
        <f ca="1">IF((D37-E37)&gt;0,0,-(D37-E37-working!G28))+F37</f>
        <v>16640848.377029575</v>
      </c>
      <c r="I37" s="575">
        <f ca="1">'Yoy WAR OG'!N30</f>
        <v>611712059.04209149</v>
      </c>
      <c r="J37" s="575">
        <f ca="1">'Yoy WAR OG'!O30</f>
        <v>74635980.547345504</v>
      </c>
      <c r="K37" s="466">
        <f ca="1">'Loan Amortization'!CX28</f>
        <v>0</v>
      </c>
      <c r="L37" s="8">
        <f t="shared" ca="1" si="0"/>
        <v>686348039.58943701</v>
      </c>
      <c r="M37" s="490">
        <f ca="1">'Yoy Assets Working'!AB29</f>
        <v>7.4469414677292484E-2</v>
      </c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>
        <f t="shared" si="1"/>
        <v>75</v>
      </c>
      <c r="AB37" s="425">
        <f t="shared" ca="1" si="5"/>
        <v>16640848.377029575</v>
      </c>
      <c r="AC37" s="425">
        <f t="shared" ca="1" si="6"/>
        <v>611712059.04209149</v>
      </c>
      <c r="AD37" s="161">
        <f t="shared" ca="1" si="4"/>
        <v>74635980.547345504</v>
      </c>
      <c r="AE37" s="489">
        <f t="shared" ca="1" si="2"/>
        <v>0</v>
      </c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</row>
    <row r="38" spans="1:83" s="10" customFormat="1" ht="17.399999999999999" customHeight="1" x14ac:dyDescent="0.3">
      <c r="A38" s="7"/>
      <c r="B38" s="86">
        <f t="shared" si="3"/>
        <v>76</v>
      </c>
      <c r="C38" s="498">
        <f>'Cashflow Working'!B30</f>
        <v>2052</v>
      </c>
      <c r="D38" s="8">
        <f>'Cashflow Working'!L30</f>
        <v>84000</v>
      </c>
      <c r="E38" s="468">
        <f ca="1">'Cashflow Working'!J30-F38</f>
        <v>18062836.247191936</v>
      </c>
      <c r="F38" s="96">
        <f>'Yearly Budget'!AC$68</f>
        <v>0</v>
      </c>
      <c r="G38" s="8">
        <f ca="1">IF(working!F29&lt;0,working!G29,SUM(working!F29:H29))</f>
        <v>0</v>
      </c>
      <c r="H38" s="8">
        <f ca="1">IF((D38-E38)&gt;0,0,-(D38-E38-working!G29))+F38</f>
        <v>17978836.247191936</v>
      </c>
      <c r="I38" s="575">
        <f ca="1">'Yoy WAR OG'!N31</f>
        <v>639282205.45022094</v>
      </c>
      <c r="J38" s="575">
        <f ca="1">'Yoy WAR OG'!O31</f>
        <v>78055951.600631237</v>
      </c>
      <c r="K38" s="466">
        <f ca="1">'Loan Amortization'!CX29</f>
        <v>0</v>
      </c>
      <c r="L38" s="8">
        <f t="shared" ca="1" si="0"/>
        <v>717338157.05085218</v>
      </c>
      <c r="M38" s="490">
        <f ca="1">'Yoy Assets Working'!AB30</f>
        <v>7.398738993180369E-2</v>
      </c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>
        <f t="shared" si="1"/>
        <v>76</v>
      </c>
      <c r="AB38" s="425">
        <f t="shared" ca="1" si="5"/>
        <v>17978836.247191936</v>
      </c>
      <c r="AC38" s="425">
        <f t="shared" ca="1" si="6"/>
        <v>639282205.45022094</v>
      </c>
      <c r="AD38" s="161">
        <f t="shared" ca="1" si="4"/>
        <v>78055951.600631237</v>
      </c>
      <c r="AE38" s="489">
        <f t="shared" ca="1" si="2"/>
        <v>0</v>
      </c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</row>
    <row r="39" spans="1:83" s="10" customFormat="1" ht="17.399999999999999" customHeight="1" x14ac:dyDescent="0.3">
      <c r="A39" s="7"/>
      <c r="B39" s="86">
        <f t="shared" si="3"/>
        <v>77</v>
      </c>
      <c r="C39" s="498">
        <f>'Cashflow Working'!B31</f>
        <v>2053</v>
      </c>
      <c r="D39" s="8">
        <f>'Cashflow Working'!L31</f>
        <v>84000</v>
      </c>
      <c r="E39" s="468">
        <f ca="1">'Cashflow Working'!J31-F39</f>
        <v>19507863.146967296</v>
      </c>
      <c r="F39" s="96">
        <f>'Yearly Budget'!AD$68</f>
        <v>0</v>
      </c>
      <c r="G39" s="8">
        <f ca="1">IF(working!F30&lt;0,working!G30,SUM(working!F30:H30))</f>
        <v>0</v>
      </c>
      <c r="H39" s="8">
        <f ca="1">IF((D39-E39)&gt;0,0,-(D39-E39-working!G30))+F39</f>
        <v>19423863.146967296</v>
      </c>
      <c r="I39" s="575">
        <f ca="1">'Yoy WAR OG'!N32</f>
        <v>667015660.18910646</v>
      </c>
      <c r="J39" s="575">
        <f ca="1">'Yoy WAR OG'!O32</f>
        <v>81657450.743773758</v>
      </c>
      <c r="K39" s="466">
        <f ca="1">'Loan Amortization'!CX30</f>
        <v>0</v>
      </c>
      <c r="L39" s="8">
        <f t="shared" ca="1" si="0"/>
        <v>748673110.93288016</v>
      </c>
      <c r="M39" s="490">
        <f ca="1">'Yoy Assets Working'!AB31</f>
        <v>7.3439185931936171E-2</v>
      </c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>
        <f t="shared" si="1"/>
        <v>77</v>
      </c>
      <c r="AB39" s="425">
        <f t="shared" ca="1" si="5"/>
        <v>19423863.146967296</v>
      </c>
      <c r="AC39" s="425">
        <f t="shared" ca="1" si="6"/>
        <v>667015660.18910646</v>
      </c>
      <c r="AD39" s="161">
        <f t="shared" ca="1" si="4"/>
        <v>81657450.743773758</v>
      </c>
      <c r="AE39" s="489">
        <f t="shared" ca="1" si="2"/>
        <v>0</v>
      </c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</row>
    <row r="40" spans="1:83" s="10" customFormat="1" ht="17.399999999999999" customHeight="1" x14ac:dyDescent="0.3">
      <c r="A40" s="7"/>
      <c r="B40" s="86">
        <f t="shared" si="3"/>
        <v>78</v>
      </c>
      <c r="C40" s="498">
        <f>'Cashflow Working'!B32</f>
        <v>2054</v>
      </c>
      <c r="D40" s="8">
        <f>'Cashflow Working'!L32</f>
        <v>84000</v>
      </c>
      <c r="E40" s="468">
        <f ca="1">'Cashflow Working'!J32-F40</f>
        <v>21068492.19872468</v>
      </c>
      <c r="F40" s="96">
        <f>'Yearly Budget'!AE$68</f>
        <v>0</v>
      </c>
      <c r="G40" s="8">
        <f ca="1">IF(working!F31&lt;0,working!G31,SUM(working!F31:H31))</f>
        <v>0</v>
      </c>
      <c r="H40" s="8">
        <f ca="1">IF((D40-E40)&gt;0,0,-(D40-E40-working!G31))+F40</f>
        <v>20984492.19872468</v>
      </c>
      <c r="I40" s="575">
        <f ca="1">'Yoy WAR OG'!N33</f>
        <v>694718187.37400329</v>
      </c>
      <c r="J40" s="575">
        <f ca="1">'Yoy WAR OG'!O33</f>
        <v>85451262.173730761</v>
      </c>
      <c r="K40" s="466">
        <f ca="1">'Loan Amortization'!CX31</f>
        <v>0</v>
      </c>
      <c r="L40" s="8">
        <f t="shared" ca="1" si="0"/>
        <v>780169449.54773402</v>
      </c>
      <c r="M40" s="490">
        <f ca="1">'Yoy Assets Working'!AB32</f>
        <v>7.281685387617412E-2</v>
      </c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>
        <f t="shared" si="1"/>
        <v>78</v>
      </c>
      <c r="AB40" s="425">
        <f t="shared" ca="1" si="5"/>
        <v>20984492.19872468</v>
      </c>
      <c r="AC40" s="425">
        <f t="shared" ca="1" si="6"/>
        <v>694718187.37400329</v>
      </c>
      <c r="AD40" s="161">
        <f t="shared" ca="1" si="4"/>
        <v>85451262.173730761</v>
      </c>
      <c r="AE40" s="489">
        <f t="shared" ca="1" si="2"/>
        <v>0</v>
      </c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</row>
    <row r="41" spans="1:83" s="10" customFormat="1" ht="17.399999999999999" customHeight="1" x14ac:dyDescent="0.3">
      <c r="A41" s="7"/>
      <c r="B41" s="86">
        <f t="shared" si="3"/>
        <v>79</v>
      </c>
      <c r="C41" s="498">
        <f>'Cashflow Working'!B33</f>
        <v>2055</v>
      </c>
      <c r="D41" s="8">
        <f>'Cashflow Working'!L33</f>
        <v>84000</v>
      </c>
      <c r="E41" s="468">
        <f ca="1">'Cashflow Working'!J33-F41</f>
        <v>22753971.574622657</v>
      </c>
      <c r="F41" s="96">
        <f>'Yearly Budget'!AF$68</f>
        <v>0</v>
      </c>
      <c r="G41" s="8">
        <f ca="1">IF(working!F32&lt;0,working!G32,SUM(working!F32:H32))</f>
        <v>0</v>
      </c>
      <c r="H41" s="8">
        <f ca="1">IF((D41-E41)&gt;0,0,-(D41-E41-working!G32))+F41</f>
        <v>22669971.574622657</v>
      </c>
      <c r="I41" s="575">
        <f ca="1">'Yoy WAR OG'!N34</f>
        <v>722190440.57213581</v>
      </c>
      <c r="J41" s="575">
        <f ca="1">'Yoy WAR OG'!O34</f>
        <v>89448857.964526147</v>
      </c>
      <c r="K41" s="466">
        <f ca="1">'Loan Amortization'!CX32</f>
        <v>0</v>
      </c>
      <c r="L41" s="8">
        <f t="shared" ca="1" si="0"/>
        <v>811639298.53666198</v>
      </c>
      <c r="M41" s="490">
        <f ca="1">'Yoy Assets Working'!AB33</f>
        <v>7.2154448456592413E-2</v>
      </c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>
        <f t="shared" si="1"/>
        <v>79</v>
      </c>
      <c r="AB41" s="425">
        <f t="shared" ca="1" si="5"/>
        <v>22669971.574622657</v>
      </c>
      <c r="AC41" s="425">
        <f t="shared" ca="1" si="6"/>
        <v>722190440.57213581</v>
      </c>
      <c r="AD41" s="161">
        <f t="shared" ca="1" si="4"/>
        <v>89448857.964526147</v>
      </c>
      <c r="AE41" s="489">
        <f t="shared" ca="1" si="2"/>
        <v>0</v>
      </c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</row>
    <row r="42" spans="1:83" s="10" customFormat="1" ht="17.399999999999999" customHeight="1" x14ac:dyDescent="0.3">
      <c r="A42" s="7"/>
      <c r="B42" s="86">
        <f t="shared" si="3"/>
        <v>80</v>
      </c>
      <c r="C42" s="498">
        <f>'Cashflow Working'!B34</f>
        <v>2056</v>
      </c>
      <c r="D42" s="8">
        <f>'Cashflow Working'!L34</f>
        <v>84000</v>
      </c>
      <c r="E42" s="468">
        <f ca="1">'Cashflow Working'!J34-F42</f>
        <v>24574289.300592475</v>
      </c>
      <c r="F42" s="96">
        <f>'Yearly Budget'!AG$68</f>
        <v>0</v>
      </c>
      <c r="G42" s="8">
        <f ca="1">IF(working!F33&lt;0,working!G33,SUM(working!F33:H33))</f>
        <v>0</v>
      </c>
      <c r="H42" s="8">
        <f ca="1">IF((D42-E42)&gt;0,0,-(D42-E42-working!G33))+F42</f>
        <v>24490289.300592475</v>
      </c>
      <c r="I42" s="575">
        <f ca="1">'Yoy WAR OG'!N35</f>
        <v>749165974.84396899</v>
      </c>
      <c r="J42" s="575">
        <f ca="1">'Yoy WAR OG'!O35</f>
        <v>93662443.741461068</v>
      </c>
      <c r="K42" s="466">
        <f ca="1">'Loan Amortization'!CX33</f>
        <v>0</v>
      </c>
      <c r="L42" s="8">
        <f t="shared" ca="1" si="0"/>
        <v>842828418.58543003</v>
      </c>
      <c r="M42" s="490">
        <f ca="1">'Yoy Assets Working'!AB34</f>
        <v>7.1401439406960671E-2</v>
      </c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>
        <f t="shared" si="1"/>
        <v>80</v>
      </c>
      <c r="AB42" s="425">
        <f t="shared" ca="1" si="5"/>
        <v>24490289.300592475</v>
      </c>
      <c r="AC42" s="425">
        <f t="shared" ca="1" si="6"/>
        <v>749165974.84396899</v>
      </c>
      <c r="AD42" s="161">
        <f t="shared" ca="1" si="4"/>
        <v>93662443.741461068</v>
      </c>
      <c r="AE42" s="489">
        <f t="shared" ca="1" si="2"/>
        <v>0</v>
      </c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</row>
    <row r="43" spans="1:83" s="10" customFormat="1" ht="17.399999999999999" customHeight="1" x14ac:dyDescent="0.3">
      <c r="A43" s="7"/>
      <c r="B43" s="86">
        <f t="shared" si="3"/>
        <v>81</v>
      </c>
      <c r="C43" s="498">
        <f>'Cashflow Working'!B35</f>
        <v>2057</v>
      </c>
      <c r="D43" s="8">
        <f>'Cashflow Working'!L35</f>
        <v>84000</v>
      </c>
      <c r="E43" s="468">
        <f ca="1">'Cashflow Working'!J35-F43</f>
        <v>25953378.294869103</v>
      </c>
      <c r="F43" s="96">
        <f>'Yearly Budget'!AH$68</f>
        <v>0</v>
      </c>
      <c r="G43" s="8">
        <f ca="1">IF(working!F34&lt;0,working!G34,SUM(working!F34:H34))</f>
        <v>0</v>
      </c>
      <c r="H43" s="8">
        <f ca="1">IF((D43-E43)&gt;0,0,-(D43-E43-working!G34))+F43</f>
        <v>25869378.294869103</v>
      </c>
      <c r="I43" s="575">
        <f ca="1">'Yoy WAR OG'!N36</f>
        <v>775950038.1651926</v>
      </c>
      <c r="J43" s="575">
        <f ca="1">'Yoy WAR OG'!O36</f>
        <v>98105007.45487009</v>
      </c>
      <c r="K43" s="466">
        <f ca="1">'Loan Amortization'!CX34</f>
        <v>0</v>
      </c>
      <c r="L43" s="8">
        <f t="shared" ca="1" si="0"/>
        <v>874055045.62006271</v>
      </c>
      <c r="M43" s="490">
        <f ca="1">'Yoy Assets Working'!AB35</f>
        <v>7.0534092096356193E-2</v>
      </c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>
        <f t="shared" ref="AA43:AA67" si="7">B43</f>
        <v>81</v>
      </c>
      <c r="AB43" s="425">
        <f t="shared" ca="1" si="5"/>
        <v>25869378.294869103</v>
      </c>
      <c r="AC43" s="425">
        <f t="shared" ca="1" si="6"/>
        <v>775950038.1651926</v>
      </c>
      <c r="AD43" s="161">
        <f t="shared" ca="1" si="4"/>
        <v>98105007.45487009</v>
      </c>
      <c r="AE43" s="489">
        <f t="shared" ca="1" si="2"/>
        <v>0</v>
      </c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</row>
    <row r="44" spans="1:83" s="10" customFormat="1" ht="17.399999999999999" customHeight="1" x14ac:dyDescent="0.3">
      <c r="A44" s="7"/>
      <c r="B44" s="86">
        <f t="shared" si="3"/>
        <v>82</v>
      </c>
      <c r="C44" s="498">
        <f>'Cashflow Working'!B36</f>
        <v>2058</v>
      </c>
      <c r="D44" s="8">
        <f>'Cashflow Working'!L36</f>
        <v>84000</v>
      </c>
      <c r="E44" s="468">
        <f ca="1">'Cashflow Working'!J36-F44</f>
        <v>28029648.558458634</v>
      </c>
      <c r="F44" s="96">
        <f>'Yearly Budget'!AI$68</f>
        <v>0</v>
      </c>
      <c r="G44" s="8">
        <f ca="1">IF(working!F35&lt;0,working!G35,SUM(working!F35:H35))</f>
        <v>0</v>
      </c>
      <c r="H44" s="8">
        <f ca="1">IF((D44-E44)&gt;0,0,-(D44-E44-working!G35))+F44</f>
        <v>27945648.558458634</v>
      </c>
      <c r="I44" s="575">
        <f ca="1">'Yoy WAR OG'!N37</f>
        <v>801639155.99532259</v>
      </c>
      <c r="J44" s="575">
        <f ca="1">'Yoy WAR OG'!O37</f>
        <v>102790371.46629433</v>
      </c>
      <c r="K44" s="466">
        <f ca="1">'Loan Amortization'!CX35</f>
        <v>0</v>
      </c>
      <c r="L44" s="8">
        <f t="shared" ca="1" si="0"/>
        <v>904429527.46161687</v>
      </c>
      <c r="M44" s="490">
        <f ca="1">'Yoy Assets Working'!AB36</f>
        <v>6.9548760941602381E-2</v>
      </c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>
        <f t="shared" si="7"/>
        <v>82</v>
      </c>
      <c r="AB44" s="425">
        <f t="shared" ca="1" si="5"/>
        <v>27945648.558458634</v>
      </c>
      <c r="AC44" s="425">
        <f t="shared" ca="1" si="6"/>
        <v>801639155.99532259</v>
      </c>
      <c r="AD44" s="161">
        <f t="shared" ca="1" si="4"/>
        <v>102790371.46629433</v>
      </c>
      <c r="AE44" s="489">
        <f t="shared" ca="1" si="2"/>
        <v>0</v>
      </c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</row>
    <row r="45" spans="1:83" s="10" customFormat="1" ht="17.399999999999999" customHeight="1" x14ac:dyDescent="0.3">
      <c r="A45" s="7"/>
      <c r="B45" s="86">
        <f t="shared" si="3"/>
        <v>83</v>
      </c>
      <c r="C45" s="498">
        <f>'Cashflow Working'!B37</f>
        <v>2059</v>
      </c>
      <c r="D45" s="8">
        <f>'Cashflow Working'!L37</f>
        <v>84000</v>
      </c>
      <c r="E45" s="468">
        <f ca="1">'Cashflow Working'!J37-F45</f>
        <v>30272020.443135325</v>
      </c>
      <c r="F45" s="96">
        <f>'Yearly Budget'!AJ$68</f>
        <v>0</v>
      </c>
      <c r="G45" s="8">
        <f ca="1">IF(working!F36&lt;0,working!G36,SUM(working!F36:H36))</f>
        <v>0</v>
      </c>
      <c r="H45" s="8">
        <f ca="1">IF((D45-E45)&gt;0,0,-(D45-E45-working!G36))+F45</f>
        <v>30188020.443135325</v>
      </c>
      <c r="I45" s="575">
        <f ca="1">'Yoy WAR OG'!N38</f>
        <v>825812480.05793178</v>
      </c>
      <c r="J45" s="575">
        <f ca="1">'Yoy WAR OG'!O38</f>
        <v>107733248.17466375</v>
      </c>
      <c r="K45" s="466">
        <f ca="1">'Loan Amortization'!CX36</f>
        <v>0</v>
      </c>
      <c r="L45" s="8">
        <f t="shared" ca="1" si="0"/>
        <v>933545728.23259556</v>
      </c>
      <c r="M45" s="490">
        <f ca="1">'Yoy Assets Working'!AB37</f>
        <v>6.842700501795218E-2</v>
      </c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>
        <f t="shared" si="7"/>
        <v>83</v>
      </c>
      <c r="AB45" s="425">
        <f t="shared" ca="1" si="5"/>
        <v>30188020.443135325</v>
      </c>
      <c r="AC45" s="425">
        <f t="shared" ca="1" si="6"/>
        <v>825812480.05793178</v>
      </c>
      <c r="AD45" s="161">
        <f t="shared" ref="AD45:AD67" ca="1" si="8">J45</f>
        <v>107733248.17466375</v>
      </c>
      <c r="AE45" s="489">
        <f t="shared" ca="1" si="2"/>
        <v>0</v>
      </c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</row>
    <row r="46" spans="1:83" s="10" customFormat="1" ht="17.399999999999999" customHeight="1" x14ac:dyDescent="0.3">
      <c r="A46" s="7"/>
      <c r="B46" s="86">
        <f t="shared" si="3"/>
        <v>84</v>
      </c>
      <c r="C46" s="498">
        <f>'Cashflow Working'!B38</f>
        <v>2060</v>
      </c>
      <c r="D46" s="8">
        <f>'Cashflow Working'!L38</f>
        <v>84000</v>
      </c>
      <c r="E46" s="468">
        <f ca="1">'Cashflow Working'!J38-F46</f>
        <v>32693782.078586154</v>
      </c>
      <c r="F46" s="96">
        <f>'Yearly Budget'!AK$68</f>
        <v>0</v>
      </c>
      <c r="G46" s="8">
        <f ca="1">IF(working!F37&lt;0,working!G37,SUM(working!F37:H37))</f>
        <v>0</v>
      </c>
      <c r="H46" s="8">
        <f ca="1">IF((D46-E46)&gt;0,0,-(D46-E46-working!G37))+F46</f>
        <v>32609782.078586154</v>
      </c>
      <c r="I46" s="575">
        <f ca="1">'Yoy WAR OG'!N39</f>
        <v>847980095.43621969</v>
      </c>
      <c r="J46" s="575">
        <f ca="1">'Yoy WAR OG'!O39</f>
        <v>112949299.42582175</v>
      </c>
      <c r="K46" s="466">
        <f ca="1">'Loan Amortization'!CX37</f>
        <v>0</v>
      </c>
      <c r="L46" s="8">
        <f t="shared" ca="1" si="0"/>
        <v>960929394.86204147</v>
      </c>
      <c r="M46" s="490">
        <f ca="1">'Yoy Assets Working'!AB38</f>
        <v>6.7146132274875314E-2</v>
      </c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>
        <f t="shared" si="7"/>
        <v>84</v>
      </c>
      <c r="AB46" s="425">
        <f t="shared" ca="1" si="5"/>
        <v>32609782.078586154</v>
      </c>
      <c r="AC46" s="425">
        <f t="shared" ref="AC46:AC67" ca="1" si="9">IF(AND(I45&lt;0,I44&lt;0,I43&lt;0),0,I46)</f>
        <v>847980095.43621969</v>
      </c>
      <c r="AD46" s="161">
        <f t="shared" ca="1" si="8"/>
        <v>112949299.42582175</v>
      </c>
      <c r="AE46" s="489">
        <f t="shared" ca="1" si="2"/>
        <v>0</v>
      </c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</row>
    <row r="47" spans="1:83" s="10" customFormat="1" ht="17.399999999999999" customHeight="1" x14ac:dyDescent="0.3">
      <c r="A47" s="7"/>
      <c r="B47" s="86">
        <f t="shared" si="3"/>
        <v>85</v>
      </c>
      <c r="C47" s="498">
        <f>'Cashflow Working'!B39</f>
        <v>2061</v>
      </c>
      <c r="D47" s="8">
        <f>'Cashflow Working'!L39</f>
        <v>84000</v>
      </c>
      <c r="E47" s="468">
        <f ca="1">'Cashflow Working'!J39-F47</f>
        <v>35309284.644873053</v>
      </c>
      <c r="F47" s="96">
        <f>'Yearly Budget'!AL$68</f>
        <v>0</v>
      </c>
      <c r="G47" s="8">
        <f ca="1">IF(working!F38&lt;0,working!G38,SUM(working!F38:H38))</f>
        <v>0</v>
      </c>
      <c r="H47" s="8">
        <f ca="1">IF((D47-E47)&gt;0,0,-(D47-E47-working!G38))+F47</f>
        <v>35225284.644873053</v>
      </c>
      <c r="I47" s="575">
        <f ca="1">'Yoy WAR OG'!N40</f>
        <v>867573670.62182379</v>
      </c>
      <c r="J47" s="575">
        <f ca="1">'Yoy WAR OG'!O40</f>
        <v>118455199.96556115</v>
      </c>
      <c r="K47" s="466">
        <f ca="1">'Loan Amortization'!CX38</f>
        <v>0</v>
      </c>
      <c r="L47" s="8">
        <f t="shared" ca="1" si="0"/>
        <v>986028870.58738494</v>
      </c>
      <c r="M47" s="490">
        <f ca="1">'Yoy Assets Working'!AB39</f>
        <v>6.5677904854269845E-2</v>
      </c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>
        <f t="shared" si="7"/>
        <v>85</v>
      </c>
      <c r="AB47" s="425">
        <f t="shared" ca="1" si="5"/>
        <v>35225284.644873053</v>
      </c>
      <c r="AC47" s="425">
        <f t="shared" ca="1" si="9"/>
        <v>867573670.62182379</v>
      </c>
      <c r="AD47" s="161">
        <f t="shared" ca="1" si="8"/>
        <v>118455199.96556115</v>
      </c>
      <c r="AE47" s="489">
        <f t="shared" ca="1" si="2"/>
        <v>0</v>
      </c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</row>
    <row r="48" spans="1:83" s="10" customFormat="1" ht="17.399999999999999" customHeight="1" x14ac:dyDescent="0.3">
      <c r="A48" s="7"/>
      <c r="B48" s="86">
        <f t="shared" si="3"/>
        <v>86</v>
      </c>
      <c r="C48" s="498">
        <f>'Cashflow Working'!B40</f>
        <v>2062</v>
      </c>
      <c r="D48" s="8">
        <f>'Cashflow Working'!L40</f>
        <v>84000</v>
      </c>
      <c r="E48" s="468">
        <f ca="1">'Cashflow Working'!J40-F48</f>
        <v>38134027.416462898</v>
      </c>
      <c r="F48" s="96">
        <f>'Yearly Budget'!AM$68</f>
        <v>0</v>
      </c>
      <c r="G48" s="8">
        <f ca="1">IF(working!F39&lt;0,working!G39,SUM(working!F39:H39))</f>
        <v>0</v>
      </c>
      <c r="H48" s="8">
        <f ca="1">IF((D48-E48)&gt;0,0,-(D48-E48-working!G39))+F48</f>
        <v>38050027.416462898</v>
      </c>
      <c r="I48" s="575">
        <f ca="1">'Yoy WAR OG'!N41</f>
        <v>883935942.66785276</v>
      </c>
      <c r="J48" s="575">
        <f ca="1">'Yoy WAR OG'!O41</f>
        <v>124268705.21434432</v>
      </c>
      <c r="K48" s="466">
        <f ca="1">'Loan Amortization'!CX39</f>
        <v>0</v>
      </c>
      <c r="L48" s="8">
        <f t="shared" ca="1" si="0"/>
        <v>1008204647.8821971</v>
      </c>
      <c r="M48" s="490">
        <f ca="1">'Yoy Assets Working'!AB40</f>
        <v>6.3986740603421091E-2</v>
      </c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>
        <f t="shared" si="7"/>
        <v>86</v>
      </c>
      <c r="AB48" s="425">
        <f t="shared" ca="1" si="5"/>
        <v>38050027.416462898</v>
      </c>
      <c r="AC48" s="425">
        <f t="shared" ca="1" si="9"/>
        <v>883935942.66785276</v>
      </c>
      <c r="AD48" s="161">
        <f t="shared" ca="1" si="8"/>
        <v>124268705.21434432</v>
      </c>
      <c r="AE48" s="489">
        <f t="shared" ca="1" si="2"/>
        <v>0</v>
      </c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</row>
    <row r="49" spans="1:88" s="10" customFormat="1" ht="17.399999999999999" customHeight="1" x14ac:dyDescent="0.3">
      <c r="A49" s="7"/>
      <c r="B49" s="86">
        <f t="shared" si="3"/>
        <v>87</v>
      </c>
      <c r="C49" s="498">
        <f>'Cashflow Working'!B41</f>
        <v>2063</v>
      </c>
      <c r="D49" s="8">
        <f>'Cashflow Working'!L41</f>
        <v>84000</v>
      </c>
      <c r="E49" s="468">
        <f ca="1">'Cashflow Working'!J41-F49</f>
        <v>41184749.609779932</v>
      </c>
      <c r="F49" s="96">
        <f>'Yearly Budget'!AN$68</f>
        <v>0</v>
      </c>
      <c r="G49" s="8">
        <f ca="1">IF(working!F40&lt;0,working!G40,SUM(working!F40:H40))</f>
        <v>0</v>
      </c>
      <c r="H49" s="8">
        <f ca="1">IF((D49-E49)&gt;0,0,-(D49-E49-working!G40))+F49</f>
        <v>41100749.609779932</v>
      </c>
      <c r="I49" s="575">
        <f ca="1">'Yoy WAR OG'!N42</f>
        <v>896308898.60497904</v>
      </c>
      <c r="J49" s="575">
        <f ca="1">'Yoy WAR OG'!O42</f>
        <v>130408723.66113536</v>
      </c>
      <c r="K49" s="466">
        <f ca="1">'Loan Amortization'!CX40</f>
        <v>0</v>
      </c>
      <c r="L49" s="8">
        <f t="shared" ca="1" si="0"/>
        <v>1026717622.2661144</v>
      </c>
      <c r="M49" s="490">
        <f ca="1">'Yoy Assets Working'!AB41</f>
        <v>6.202716618110999E-2</v>
      </c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>
        <f t="shared" si="7"/>
        <v>87</v>
      </c>
      <c r="AB49" s="425">
        <f t="shared" ca="1" si="5"/>
        <v>41100749.609779932</v>
      </c>
      <c r="AC49" s="425">
        <f t="shared" ca="1" si="9"/>
        <v>896308898.60497904</v>
      </c>
      <c r="AD49" s="161">
        <f t="shared" ca="1" si="8"/>
        <v>130408723.66113536</v>
      </c>
      <c r="AE49" s="489">
        <f t="shared" ca="1" si="2"/>
        <v>0</v>
      </c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</row>
    <row r="50" spans="1:88" s="10" customFormat="1" ht="17.399999999999999" customHeight="1" x14ac:dyDescent="0.3">
      <c r="A50" s="7"/>
      <c r="B50" s="86">
        <f t="shared" si="3"/>
        <v>88</v>
      </c>
      <c r="C50" s="498">
        <f>'Cashflow Working'!B42</f>
        <v>2064</v>
      </c>
      <c r="D50" s="8">
        <f>'Cashflow Working'!L42</f>
        <v>84000</v>
      </c>
      <c r="E50" s="468">
        <f ca="1">'Cashflow Working'!J42-F50</f>
        <v>44479529.578562327</v>
      </c>
      <c r="F50" s="96">
        <f>'Yearly Budget'!AO$68</f>
        <v>0</v>
      </c>
      <c r="G50" s="8">
        <f ca="1">IF(working!F41&lt;0,working!G41,SUM(working!F41:H41))</f>
        <v>0</v>
      </c>
      <c r="H50" s="8">
        <f ca="1">IF((D50-E50)&gt;0,0,-(D50-E50-working!G41))+F50</f>
        <v>44395529.578562327</v>
      </c>
      <c r="I50" s="575">
        <f ca="1">'Yoy WAR OG'!N43</f>
        <v>903820498.16221595</v>
      </c>
      <c r="J50" s="575">
        <f ca="1">'Yoy WAR OG'!O43</f>
        <v>136895394.19436547</v>
      </c>
      <c r="K50" s="466">
        <f ca="1">'Loan Amortization'!CX41</f>
        <v>0</v>
      </c>
      <c r="L50" s="8">
        <f t="shared" ca="1" si="0"/>
        <v>1040715892.3565814</v>
      </c>
      <c r="M50" s="490">
        <f ca="1">'Yoy Assets Working'!AB42</f>
        <v>5.9740131320109233E-2</v>
      </c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>
        <f t="shared" si="7"/>
        <v>88</v>
      </c>
      <c r="AB50" s="425">
        <f t="shared" ca="1" si="5"/>
        <v>44395529.578562327</v>
      </c>
      <c r="AC50" s="425">
        <f t="shared" ca="1" si="9"/>
        <v>903820498.16221595</v>
      </c>
      <c r="AD50" s="161">
        <f t="shared" ca="1" si="8"/>
        <v>136895394.19436547</v>
      </c>
      <c r="AE50" s="489">
        <f t="shared" ca="1" si="2"/>
        <v>0</v>
      </c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</row>
    <row r="51" spans="1:88" s="10" customFormat="1" ht="17.399999999999999" customHeight="1" x14ac:dyDescent="0.3">
      <c r="A51" s="7"/>
      <c r="B51" s="86">
        <f t="shared" si="3"/>
        <v>89</v>
      </c>
      <c r="C51" s="498">
        <f>'Cashflow Working'!B43</f>
        <v>2065</v>
      </c>
      <c r="D51" s="8">
        <f>'Cashflow Working'!L43</f>
        <v>84000</v>
      </c>
      <c r="E51" s="468">
        <f ca="1">'Cashflow Working'!J43-F51</f>
        <v>48037891.944847323</v>
      </c>
      <c r="F51" s="96">
        <f>'Yearly Budget'!AP$68</f>
        <v>0</v>
      </c>
      <c r="G51" s="8">
        <f ca="1">IF(working!F42&lt;0,working!G42,SUM(working!F42:H42))</f>
        <v>0</v>
      </c>
      <c r="H51" s="8">
        <f ca="1">IF((D51-E51)&gt;0,0,-(D51-E51-working!G42))+F51</f>
        <v>47953891.944847323</v>
      </c>
      <c r="I51" s="575">
        <f ca="1">'Yoy WAR OG'!N44</f>
        <v>905469764.87695277</v>
      </c>
      <c r="J51" s="575">
        <f ca="1">'Yoy WAR OG'!O44</f>
        <v>143750168.71007577</v>
      </c>
      <c r="K51" s="466">
        <f ca="1">'Loan Amortization'!CX42</f>
        <v>0</v>
      </c>
      <c r="L51" s="8">
        <f t="shared" ca="1" si="0"/>
        <v>1049219933.5870285</v>
      </c>
      <c r="M51" s="490">
        <f ca="1">'Yoy Assets Working'!AB43</f>
        <v>5.7047542279272445E-2</v>
      </c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>
        <f t="shared" si="7"/>
        <v>89</v>
      </c>
      <c r="AB51" s="425">
        <f t="shared" ca="1" si="5"/>
        <v>47953891.944847323</v>
      </c>
      <c r="AC51" s="425">
        <f t="shared" ca="1" si="9"/>
        <v>905469764.87695277</v>
      </c>
      <c r="AD51" s="161">
        <f t="shared" ca="1" si="8"/>
        <v>143750168.71007577</v>
      </c>
      <c r="AE51" s="489">
        <f t="shared" ca="1" si="2"/>
        <v>0</v>
      </c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</row>
    <row r="52" spans="1:88" s="10" customFormat="1" ht="17.399999999999999" customHeight="1" x14ac:dyDescent="0.3">
      <c r="A52" s="7"/>
      <c r="B52" s="86">
        <f t="shared" si="3"/>
        <v>90</v>
      </c>
      <c r="C52" s="498">
        <f>'Cashflow Working'!B44</f>
        <v>2066</v>
      </c>
      <c r="D52" s="8">
        <f>'Cashflow Working'!L44</f>
        <v>84000</v>
      </c>
      <c r="E52" s="468">
        <f ca="1">'Cashflow Working'!J44-F52</f>
        <v>51880923.300435111</v>
      </c>
      <c r="F52" s="96">
        <f>'Yearly Budget'!AQ$68</f>
        <v>0</v>
      </c>
      <c r="G52" s="8">
        <f ca="1">IF(working!F43&lt;0,working!G43,SUM(working!F43:H43))</f>
        <v>0</v>
      </c>
      <c r="H52" s="8">
        <f ca="1">IF((D52-E52)&gt;0,0,-(D52-E52-working!G43))+F52</f>
        <v>51796923.300435111</v>
      </c>
      <c r="I52" s="575">
        <f ca="1">'Yoy WAR OG'!N45</f>
        <v>900624847.86322618</v>
      </c>
      <c r="J52" s="575">
        <f ca="1">'Yoy WAR OG'!O45</f>
        <v>150995900.36083683</v>
      </c>
      <c r="K52" s="466">
        <f ca="1">'Loan Amortization'!CX43</f>
        <v>0</v>
      </c>
      <c r="L52" s="8">
        <f t="shared" ca="1" si="0"/>
        <v>1051620748.224063</v>
      </c>
      <c r="M52" s="490">
        <f ca="1">'Yoy Assets Working'!AB44</f>
        <v>5.4387861976349483E-2</v>
      </c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>
        <f t="shared" si="7"/>
        <v>90</v>
      </c>
      <c r="AB52" s="425">
        <f t="shared" ca="1" si="5"/>
        <v>51796923.300435111</v>
      </c>
      <c r="AC52" s="425">
        <f t="shared" ca="1" si="9"/>
        <v>900624847.86322618</v>
      </c>
      <c r="AD52" s="161">
        <f t="shared" ca="1" si="8"/>
        <v>150995900.36083683</v>
      </c>
      <c r="AE52" s="489">
        <f t="shared" ca="1" si="2"/>
        <v>0</v>
      </c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</row>
    <row r="53" spans="1:88" s="10" customFormat="1" ht="17.399999999999999" customHeight="1" x14ac:dyDescent="0.3">
      <c r="A53" s="7"/>
      <c r="B53" s="86">
        <f t="shared" si="3"/>
        <v>91</v>
      </c>
      <c r="C53" s="498">
        <f>'Cashflow Working'!B45</f>
        <v>2067</v>
      </c>
      <c r="D53" s="8">
        <f>'Cashflow Working'!L45</f>
        <v>84000</v>
      </c>
      <c r="E53" s="468">
        <f ca="1">'Cashflow Working'!J45-F53</f>
        <v>56031397.164469905</v>
      </c>
      <c r="F53" s="96">
        <f>'Yearly Budget'!AR$68</f>
        <v>0</v>
      </c>
      <c r="G53" s="8">
        <f ca="1">IF(working!F44&lt;0,working!G44,SUM(working!F44:H44))</f>
        <v>0</v>
      </c>
      <c r="H53" s="8">
        <f ca="1">IF((D53-E53)&gt;0,0,-(D53-E53-working!G44))+F53</f>
        <v>55947397.164469905</v>
      </c>
      <c r="I53" s="575">
        <f ca="1">'Yoy WAR OG'!N46</f>
        <v>891134710.48718774</v>
      </c>
      <c r="J53" s="575">
        <f ca="1">'Yoy WAR OG'!O46</f>
        <v>158656937.8342351</v>
      </c>
      <c r="K53" s="466">
        <f ca="1">'Loan Amortization'!CX44</f>
        <v>0</v>
      </c>
      <c r="L53" s="8">
        <f t="shared" ca="1" si="0"/>
        <v>1049791648.3214228</v>
      </c>
      <c r="M53" s="490">
        <f ca="1">'Yoy Assets Working'!AB45</f>
        <v>5.4405745569175358E-2</v>
      </c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>
        <f t="shared" si="7"/>
        <v>91</v>
      </c>
      <c r="AB53" s="425">
        <f t="shared" ca="1" si="5"/>
        <v>55947397.164469905</v>
      </c>
      <c r="AC53" s="425">
        <f t="shared" ca="1" si="9"/>
        <v>891134710.48718774</v>
      </c>
      <c r="AD53" s="161">
        <f t="shared" ca="1" si="8"/>
        <v>158656937.8342351</v>
      </c>
      <c r="AE53" s="489">
        <f t="shared" ca="1" si="2"/>
        <v>0</v>
      </c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</row>
    <row r="54" spans="1:88" s="10" customFormat="1" ht="17.399999999999999" customHeight="1" x14ac:dyDescent="0.3">
      <c r="A54" s="7"/>
      <c r="B54" s="86">
        <f t="shared" si="3"/>
        <v>92</v>
      </c>
      <c r="C54" s="498">
        <f>'Cashflow Working'!B46</f>
        <v>2068</v>
      </c>
      <c r="D54" s="8">
        <f>'Cashflow Working'!L46</f>
        <v>84000</v>
      </c>
      <c r="E54" s="468">
        <f ca="1">'Cashflow Working'!J46-F54</f>
        <v>60513908.937627502</v>
      </c>
      <c r="F54" s="96">
        <f>'Yearly Budget'!AS$68</f>
        <v>0</v>
      </c>
      <c r="G54" s="8">
        <f ca="1">IF(working!F45&lt;0,working!G45,SUM(working!F45:H45))</f>
        <v>0</v>
      </c>
      <c r="H54" s="8">
        <f ca="1">IF((D54-E54)&gt;0,0,-(D54-E54-working!G45))+F54</f>
        <v>60429908.937627502</v>
      </c>
      <c r="I54" s="575">
        <f ca="1">'Yoy WAR OG'!N47</f>
        <v>876393565.63478589</v>
      </c>
      <c r="J54" s="575">
        <f ca="1">'Yoy WAR OG'!O47</f>
        <v>166759226.07666034</v>
      </c>
      <c r="K54" s="466">
        <f ca="1">'Loan Amortization'!CX45</f>
        <v>0</v>
      </c>
      <c r="L54" s="8">
        <f t="shared" ca="1" si="0"/>
        <v>1043152791.7114463</v>
      </c>
      <c r="M54" s="490">
        <f ca="1">'Yoy Assets Working'!AB46</f>
        <v>5.4424274556224866E-2</v>
      </c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>
        <f t="shared" si="7"/>
        <v>92</v>
      </c>
      <c r="AB54" s="425">
        <f t="shared" ca="1" si="5"/>
        <v>60429908.937627502</v>
      </c>
      <c r="AC54" s="425">
        <f t="shared" ca="1" si="9"/>
        <v>876393565.63478589</v>
      </c>
      <c r="AD54" s="161">
        <f t="shared" ca="1" si="8"/>
        <v>166759226.07666034</v>
      </c>
      <c r="AE54" s="489">
        <f t="shared" ca="1" si="2"/>
        <v>0</v>
      </c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</row>
    <row r="55" spans="1:88" s="10" customFormat="1" ht="17.399999999999999" customHeight="1" x14ac:dyDescent="0.3">
      <c r="A55" s="7"/>
      <c r="B55" s="86">
        <f t="shared" si="3"/>
        <v>93</v>
      </c>
      <c r="C55" s="498">
        <f>'Cashflow Working'!B47</f>
        <v>2069</v>
      </c>
      <c r="D55" s="8">
        <f>'Cashflow Working'!L47</f>
        <v>84000</v>
      </c>
      <c r="E55" s="468">
        <f ca="1">'Cashflow Working'!J47-F55</f>
        <v>65355021.65263772</v>
      </c>
      <c r="F55" s="96">
        <f>'Yearly Budget'!AT$68</f>
        <v>0</v>
      </c>
      <c r="G55" s="8">
        <f ca="1">IF(working!F46&lt;0,working!G46,SUM(working!F46:H46))</f>
        <v>0</v>
      </c>
      <c r="H55" s="8">
        <f ca="1">IF((D55-E55)&gt;0,0,-(D55-E55-working!G46))+F55</f>
        <v>65271021.65263772</v>
      </c>
      <c r="I55" s="575">
        <f ca="1">'Yoy WAR OG'!N48</f>
        <v>855734283.90116632</v>
      </c>
      <c r="J55" s="575">
        <f ca="1">'Yoy WAR OG'!O48</f>
        <v>175330413.90694332</v>
      </c>
      <c r="K55" s="466">
        <f ca="1">'Loan Amortization'!CX46</f>
        <v>0</v>
      </c>
      <c r="L55" s="8">
        <f t="shared" ca="1" si="0"/>
        <v>1031064697.8081096</v>
      </c>
      <c r="M55" s="490">
        <f ca="1">'Yoy Assets Working'!AB47</f>
        <v>5.4443664711021016E-2</v>
      </c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>
        <f t="shared" si="7"/>
        <v>93</v>
      </c>
      <c r="AB55" s="425">
        <f t="shared" ca="1" si="5"/>
        <v>65271021.65263772</v>
      </c>
      <c r="AC55" s="425">
        <f t="shared" ca="1" si="9"/>
        <v>855734283.90116632</v>
      </c>
      <c r="AD55" s="161">
        <f t="shared" ca="1" si="8"/>
        <v>175330413.90694332</v>
      </c>
      <c r="AE55" s="489">
        <f t="shared" ca="1" si="2"/>
        <v>0</v>
      </c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</row>
    <row r="56" spans="1:88" s="10" customFormat="1" ht="17.399999999999999" customHeight="1" x14ac:dyDescent="0.3">
      <c r="A56" s="7"/>
      <c r="B56" s="86">
        <f t="shared" si="3"/>
        <v>94</v>
      </c>
      <c r="C56" s="498">
        <f>'Cashflow Working'!B48</f>
        <v>2070</v>
      </c>
      <c r="D56" s="8">
        <f>'Cashflow Working'!L48</f>
        <v>84000</v>
      </c>
      <c r="E56" s="468">
        <f ca="1">'Cashflow Working'!J48-F56</f>
        <v>70583423.384848729</v>
      </c>
      <c r="F56" s="96">
        <f>'Yearly Budget'!AU$68</f>
        <v>0</v>
      </c>
      <c r="G56" s="8">
        <f ca="1">IF(working!F47&lt;0,working!G47,SUM(working!F47:H47))</f>
        <v>0</v>
      </c>
      <c r="H56" s="8">
        <f ca="1">IF((D56-E56)&gt;0,0,-(D56-E56-working!G47))+F56</f>
        <v>70499423.384848729</v>
      </c>
      <c r="I56" s="575">
        <f ca="1">'Yoy WAR OG'!N49</f>
        <v>828422777.844715</v>
      </c>
      <c r="J56" s="575">
        <f ca="1">'Yoy WAR OG'!O49</f>
        <v>184399968.9952141</v>
      </c>
      <c r="K56" s="466">
        <f ca="1">'Loan Amortization'!CX47</f>
        <v>0</v>
      </c>
      <c r="L56" s="8">
        <f t="shared" ca="1" si="0"/>
        <v>1012822746.8399291</v>
      </c>
      <c r="M56" s="490">
        <f ca="1">'Yoy Assets Working'!AB48</f>
        <v>5.4464203804337773E-2</v>
      </c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>
        <f t="shared" si="7"/>
        <v>94</v>
      </c>
      <c r="AB56" s="425">
        <f t="shared" ca="1" si="5"/>
        <v>70499423.384848729</v>
      </c>
      <c r="AC56" s="425">
        <f t="shared" ca="1" si="9"/>
        <v>828422777.844715</v>
      </c>
      <c r="AD56" s="161">
        <f t="shared" ca="1" si="8"/>
        <v>184399968.9952141</v>
      </c>
      <c r="AE56" s="489">
        <f t="shared" ca="1" si="2"/>
        <v>0</v>
      </c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</row>
    <row r="57" spans="1:88" s="10" customFormat="1" ht="17.399999999999999" customHeight="1" x14ac:dyDescent="0.3">
      <c r="A57" s="7"/>
      <c r="B57" s="86">
        <f t="shared" si="3"/>
        <v>95</v>
      </c>
      <c r="C57" s="498">
        <f>'Cashflow Working'!B49</f>
        <v>2071</v>
      </c>
      <c r="D57" s="8">
        <f>'Cashflow Working'!L49</f>
        <v>84000</v>
      </c>
      <c r="E57" s="468">
        <f ca="1">'Cashflow Working'!J49-F57</f>
        <v>76230097.255636647</v>
      </c>
      <c r="F57" s="96">
        <f>'Yearly Budget'!AV$68</f>
        <v>0</v>
      </c>
      <c r="G57" s="8">
        <f ca="1">IF(working!F48&lt;0,working!G48,SUM(working!F48:H48))</f>
        <v>0</v>
      </c>
      <c r="H57" s="8">
        <f ca="1">IF((D57-E57)&gt;0,0,-(D57-E57-working!G48))+F57</f>
        <v>76146097.255636647</v>
      </c>
      <c r="I57" s="575">
        <f ca="1">'Yoy WAR OG'!N50</f>
        <v>793651898.02147758</v>
      </c>
      <c r="J57" s="575">
        <f ca="1">'Yoy WAR OG'!O50</f>
        <v>193999300.71531388</v>
      </c>
      <c r="K57" s="466">
        <f ca="1">'Loan Amortization'!CX48</f>
        <v>0</v>
      </c>
      <c r="L57" s="8">
        <f t="shared" ca="1" si="0"/>
        <v>987651198.73679149</v>
      </c>
      <c r="M57" s="490">
        <f ca="1">'Yoy Assets Working'!AB49</f>
        <v>5.4486285400195379E-2</v>
      </c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>
        <f t="shared" si="7"/>
        <v>95</v>
      </c>
      <c r="AB57" s="425">
        <f t="shared" ca="1" si="5"/>
        <v>76146097.255636647</v>
      </c>
      <c r="AC57" s="425">
        <f t="shared" ca="1" si="9"/>
        <v>793651898.02147758</v>
      </c>
      <c r="AD57" s="161">
        <f t="shared" ca="1" si="8"/>
        <v>193999300.71531388</v>
      </c>
      <c r="AE57" s="489">
        <f t="shared" ca="1" si="2"/>
        <v>0</v>
      </c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</row>
    <row r="58" spans="1:88" s="10" customFormat="1" ht="17.399999999999999" customHeight="1" x14ac:dyDescent="0.3">
      <c r="A58" s="7"/>
      <c r="B58" s="86">
        <f t="shared" si="3"/>
        <v>96</v>
      </c>
      <c r="C58" s="498">
        <f>'Cashflow Working'!B50</f>
        <v>2072</v>
      </c>
      <c r="D58" s="8">
        <f>'Cashflow Working'!L50</f>
        <v>84000</v>
      </c>
      <c r="E58" s="468">
        <f ca="1">'Cashflow Working'!J50-F58</f>
        <v>82328505.036087587</v>
      </c>
      <c r="F58" s="96">
        <f>'Yearly Budget'!AW$68</f>
        <v>0</v>
      </c>
      <c r="G58" s="8">
        <f ca="1">IF(working!F49&lt;0,working!G49,SUM(working!F49:H49))</f>
        <v>0</v>
      </c>
      <c r="H58" s="8">
        <f ca="1">IF((D58-E58)&gt;0,0,-(D58-E58-working!G49))+F58</f>
        <v>82244505.036087587</v>
      </c>
      <c r="I58" s="575">
        <f ca="1">'Yoy WAR OG'!N51</f>
        <v>750534799.59958637</v>
      </c>
      <c r="J58" s="575">
        <f ca="1">'Yoy WAR OG'!O51</f>
        <v>204161891.41435054</v>
      </c>
      <c r="K58" s="466">
        <f ca="1">'Loan Amortization'!CX49</f>
        <v>0</v>
      </c>
      <c r="L58" s="8">
        <f t="shared" ca="1" si="0"/>
        <v>954696691.01393688</v>
      </c>
      <c r="M58" s="490">
        <f ca="1">'Yoy Assets Working'!AB50</f>
        <v>5.451046362070544E-2</v>
      </c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>
        <f t="shared" si="7"/>
        <v>96</v>
      </c>
      <c r="AB58" s="425">
        <f t="shared" ca="1" si="5"/>
        <v>82244505.036087587</v>
      </c>
      <c r="AC58" s="425">
        <f t="shared" ca="1" si="9"/>
        <v>750534799.59958637</v>
      </c>
      <c r="AD58" s="161">
        <f t="shared" ca="1" si="8"/>
        <v>204161891.41435054</v>
      </c>
      <c r="AE58" s="489">
        <f t="shared" ca="1" si="2"/>
        <v>0</v>
      </c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</row>
    <row r="59" spans="1:88" s="10" customFormat="1" ht="17.399999999999999" customHeight="1" x14ac:dyDescent="0.3">
      <c r="A59" s="7"/>
      <c r="B59" s="86">
        <f t="shared" si="3"/>
        <v>97</v>
      </c>
      <c r="C59" s="498">
        <f>'Cashflow Working'!B51</f>
        <v>2073</v>
      </c>
      <c r="D59" s="8">
        <f>'Cashflow Working'!L51</f>
        <v>84000</v>
      </c>
      <c r="E59" s="468">
        <f ca="1">'Cashflow Working'!J51-F59</f>
        <v>88914785.438974574</v>
      </c>
      <c r="F59" s="96">
        <f>'Yearly Budget'!AX$68</f>
        <v>0</v>
      </c>
      <c r="G59" s="8">
        <f ca="1">IF(working!F50&lt;0,working!G50,SUM(working!F50:H50))</f>
        <v>0</v>
      </c>
      <c r="H59" s="8">
        <f ca="1">IF((D59-E59)&gt;0,0,-(D59-E59-working!G50))+F59</f>
        <v>88830785.438974574</v>
      </c>
      <c r="I59" s="575">
        <f ca="1">'Yoy WAR OG'!N52</f>
        <v>698097734.93944538</v>
      </c>
      <c r="J59" s="575">
        <f ca="1">'Yoy WAR OG'!O52</f>
        <v>214923436.68069637</v>
      </c>
      <c r="K59" s="466">
        <f ca="1">'Loan Amortization'!CX50</f>
        <v>0</v>
      </c>
      <c r="L59" s="8">
        <f t="shared" ca="1" si="0"/>
        <v>913021171.62014174</v>
      </c>
      <c r="M59" s="490">
        <f ca="1">'Yoy Assets Working'!AB51</f>
        <v>5.4537545810327992E-2</v>
      </c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>
        <f t="shared" si="7"/>
        <v>97</v>
      </c>
      <c r="AB59" s="425">
        <f t="shared" ca="1" si="5"/>
        <v>88830785.438974574</v>
      </c>
      <c r="AC59" s="425">
        <f t="shared" ca="1" si="9"/>
        <v>698097734.93944538</v>
      </c>
      <c r="AD59" s="161">
        <f t="shared" ca="1" si="8"/>
        <v>214923436.68069637</v>
      </c>
      <c r="AE59" s="489">
        <f t="shared" ca="1" si="2"/>
        <v>0</v>
      </c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</row>
    <row r="60" spans="1:88" s="10" customFormat="1" ht="17.399999999999999" customHeight="1" x14ac:dyDescent="0.3">
      <c r="A60" s="7"/>
      <c r="B60" s="86">
        <f t="shared" si="3"/>
        <v>98</v>
      </c>
      <c r="C60" s="498">
        <f>'Cashflow Working'!B52</f>
        <v>2074</v>
      </c>
      <c r="D60" s="8">
        <f>'Cashflow Working'!L52</f>
        <v>84000</v>
      </c>
      <c r="E60" s="468">
        <f ca="1">'Cashflow Working'!J52-F60</f>
        <v>96027968.274092555</v>
      </c>
      <c r="F60" s="96">
        <f>'Yearly Budget'!AY$68</f>
        <v>0</v>
      </c>
      <c r="G60" s="8">
        <f ca="1">IF(working!F51&lt;0,working!G51,SUM(working!F51:H51))</f>
        <v>0</v>
      </c>
      <c r="H60" s="8">
        <f ca="1">IF((D60-E60)&gt;0,0,-(D60-E60-working!G51))+F60</f>
        <v>95943968.274092555</v>
      </c>
      <c r="I60" s="575">
        <f ca="1">'Yoy WAR OG'!N53</f>
        <v>635272223.83194721</v>
      </c>
      <c r="J60" s="575">
        <f ca="1">'Yoy WAR OG'!O53</f>
        <v>226321995.23205969</v>
      </c>
      <c r="K60" s="466">
        <f ca="1">'Loan Amortization'!CX51</f>
        <v>0</v>
      </c>
      <c r="L60" s="8">
        <f t="shared" ca="1" si="0"/>
        <v>861594219.06400692</v>
      </c>
      <c r="M60" s="490">
        <f ca="1">'Yoy Assets Working'!AB52</f>
        <v>5.4568757689871662E-2</v>
      </c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>
        <f t="shared" si="7"/>
        <v>98</v>
      </c>
      <c r="AB60" s="425">
        <f t="shared" ca="1" si="5"/>
        <v>95943968.274092555</v>
      </c>
      <c r="AC60" s="425">
        <f t="shared" ca="1" si="9"/>
        <v>635272223.83194721</v>
      </c>
      <c r="AD60" s="161">
        <f t="shared" ca="1" si="8"/>
        <v>226321995.23205969</v>
      </c>
      <c r="AE60" s="489">
        <f t="shared" ca="1" si="2"/>
        <v>0</v>
      </c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</row>
    <row r="61" spans="1:88" ht="17.25" customHeight="1" x14ac:dyDescent="0.3">
      <c r="A61" s="82"/>
      <c r="B61" s="86">
        <f t="shared" si="3"/>
        <v>99</v>
      </c>
      <c r="C61" s="498">
        <f>'Cashflow Working'!B53</f>
        <v>2075</v>
      </c>
      <c r="D61" s="8">
        <f>'Cashflow Working'!L53</f>
        <v>84000</v>
      </c>
      <c r="E61" s="468">
        <f ca="1">'Cashflow Working'!J53-F61</f>
        <v>103710205.73601997</v>
      </c>
      <c r="F61" s="96">
        <f>'Yearly Budget'!AZ$68</f>
        <v>0</v>
      </c>
      <c r="G61" s="8">
        <f ca="1">IF(working!F52&lt;0,working!G52,SUM(working!F52:H52))</f>
        <v>0</v>
      </c>
      <c r="H61" s="8">
        <f ca="1">IF((D61-E61)&gt;0,0,-(D61-E61-working!G52))+F61</f>
        <v>103626205.73601997</v>
      </c>
      <c r="I61" s="575">
        <f ca="1">'Yoy WAR OG'!N54</f>
        <v>560886549.09120321</v>
      </c>
      <c r="J61" s="575">
        <f ca="1">'Yoy WAR OG'!O54</f>
        <v>238398149.08840057</v>
      </c>
      <c r="K61" s="466">
        <f ca="1">'Loan Amortization'!CX52</f>
        <v>0</v>
      </c>
      <c r="L61" s="8">
        <f t="shared" ca="1" si="0"/>
        <v>799284698.17960382</v>
      </c>
      <c r="M61" s="490">
        <f ca="1">'Yoy Assets Working'!AB53</f>
        <v>5.4606057080315379E-2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9">
        <f t="shared" si="7"/>
        <v>99</v>
      </c>
      <c r="AB61" s="425">
        <f t="shared" ca="1" si="5"/>
        <v>103626205.73601997</v>
      </c>
      <c r="AC61" s="425">
        <f t="shared" ca="1" si="9"/>
        <v>560886549.09120321</v>
      </c>
      <c r="AD61" s="161">
        <f t="shared" ca="1" si="8"/>
        <v>238398149.08840057</v>
      </c>
      <c r="AE61" s="489">
        <f t="shared" ca="1" si="2"/>
        <v>0</v>
      </c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</row>
    <row r="62" spans="1:88" ht="17.25" customHeight="1" x14ac:dyDescent="0.3">
      <c r="A62" s="82"/>
      <c r="B62" s="86">
        <f t="shared" si="3"/>
        <v>100</v>
      </c>
      <c r="C62" s="498">
        <f>'Cashflow Working'!B54</f>
        <v>2076</v>
      </c>
      <c r="D62" s="8">
        <f>'Cashflow Working'!L54</f>
        <v>84000</v>
      </c>
      <c r="E62" s="468">
        <f ca="1">'Cashflow Working'!J54-F62</f>
        <v>112007022.19490159</v>
      </c>
      <c r="F62" s="96">
        <f>'Yearly Budget'!BA$68</f>
        <v>0</v>
      </c>
      <c r="G62" s="8">
        <f ca="1">IF(working!F53&lt;0,working!G53,SUM(working!F53:H53))</f>
        <v>0</v>
      </c>
      <c r="H62" s="8">
        <f ca="1">IF((D62-E62)&gt;0,0,-(D62-E62-working!G53))+F62</f>
        <v>111923022.19490159</v>
      </c>
      <c r="I62" s="575">
        <f ca="1">'Yoy WAR OG'!N55</f>
        <v>473656520.87559819</v>
      </c>
      <c r="J62" s="575">
        <f ca="1">'Yoy WAR OG'!O55</f>
        <v>251195174.74060249</v>
      </c>
      <c r="K62" s="466">
        <f ca="1">'Loan Amortization'!CX53</f>
        <v>0</v>
      </c>
      <c r="L62" s="8">
        <f t="shared" ca="1" si="0"/>
        <v>724851695.61620069</v>
      </c>
      <c r="M62" s="490">
        <f ca="1">'Yoy Assets Working'!AB54</f>
        <v>5.4652779626930777E-2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9">
        <f t="shared" si="7"/>
        <v>100</v>
      </c>
      <c r="AB62" s="425">
        <f t="shared" ca="1" si="5"/>
        <v>111923022.19490159</v>
      </c>
      <c r="AC62" s="425">
        <f t="shared" ca="1" si="9"/>
        <v>473656520.87559819</v>
      </c>
      <c r="AD62" s="161">
        <f t="shared" ca="1" si="8"/>
        <v>251195174.74060249</v>
      </c>
      <c r="AE62" s="489">
        <f t="shared" ca="1" si="2"/>
        <v>0</v>
      </c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</row>
    <row r="63" spans="1:88" ht="17.25" customHeight="1" x14ac:dyDescent="0.3">
      <c r="A63" s="82"/>
      <c r="B63" s="86">
        <f t="shared" si="3"/>
        <v>101</v>
      </c>
      <c r="C63" s="498">
        <f>'Cashflow Working'!B55</f>
        <v>2077</v>
      </c>
      <c r="D63" s="8">
        <f>'Cashflow Working'!L55</f>
        <v>84000</v>
      </c>
      <c r="E63" s="468">
        <f ca="1">'Cashflow Working'!J55-F63</f>
        <v>120967583.9704937</v>
      </c>
      <c r="F63" s="96">
        <f>'Yearly Budget'!BB$68</f>
        <v>0</v>
      </c>
      <c r="G63" s="8">
        <f ca="1">IF(working!F54&lt;0,working!G54,SUM(working!F54:H54))</f>
        <v>0</v>
      </c>
      <c r="H63" s="8">
        <f ca="1">IF((D63-E63)&gt;0,0,-(D63-E63-working!G54))+F63</f>
        <v>120883583.9704937</v>
      </c>
      <c r="I63" s="575">
        <f ca="1">'Yoy WAR OG'!N56</f>
        <v>372175448.43488526</v>
      </c>
      <c r="J63" s="575">
        <f ca="1">'Yoy WAR OG'!O56</f>
        <v>264759226.07516393</v>
      </c>
      <c r="K63" s="466">
        <f ca="1">'Loan Amortization'!CX54</f>
        <v>0</v>
      </c>
      <c r="L63" s="8">
        <f t="shared" ca="1" si="0"/>
        <v>636934674.51004922</v>
      </c>
      <c r="M63" s="490">
        <f ca="1">'Yoy Assets Working'!AB55</f>
        <v>5.4715114204647287E-2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9">
        <f t="shared" si="7"/>
        <v>101</v>
      </c>
      <c r="AB63" s="425">
        <f t="shared" ca="1" si="5"/>
        <v>120883583.9704937</v>
      </c>
      <c r="AC63" s="425">
        <f t="shared" ca="1" si="9"/>
        <v>372175448.43488526</v>
      </c>
      <c r="AD63" s="161">
        <f t="shared" ca="1" si="8"/>
        <v>264759226.07516393</v>
      </c>
      <c r="AE63" s="489">
        <f t="shared" ca="1" si="2"/>
        <v>0</v>
      </c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</row>
    <row r="64" spans="1:88" ht="17.25" customHeight="1" x14ac:dyDescent="0.3">
      <c r="A64" s="82"/>
      <c r="B64" s="86">
        <f t="shared" si="3"/>
        <v>102</v>
      </c>
      <c r="C64" s="498">
        <f>'Cashflow Working'!B56</f>
        <v>2078</v>
      </c>
      <c r="D64" s="8">
        <f>'Cashflow Working'!L56</f>
        <v>84000</v>
      </c>
      <c r="E64" s="468">
        <f ca="1">'Cashflow Working'!J56-F64</f>
        <v>130644990.68813318</v>
      </c>
      <c r="F64" s="96">
        <f>'Yearly Budget'!BC$68</f>
        <v>0</v>
      </c>
      <c r="G64" s="8">
        <f ca="1">IF(working!F55&lt;0,working!G55,SUM(working!F55:H55))</f>
        <v>0</v>
      </c>
      <c r="H64" s="8">
        <f ca="1">IF((D64-E64)&gt;0,0,-(D64-E64-working!G55))+F64</f>
        <v>130560990.68813318</v>
      </c>
      <c r="I64" s="575">
        <f ca="1">'Yoy WAR OG'!N57</f>
        <v>254903252.92282343</v>
      </c>
      <c r="J64" s="575">
        <f ca="1">'Yoy WAR OG'!O57</f>
        <v>279139529.86796248</v>
      </c>
      <c r="K64" s="466">
        <f ca="1">'Loan Amortization'!CX55</f>
        <v>0</v>
      </c>
      <c r="L64" s="8">
        <f t="shared" ca="1" si="0"/>
        <v>534042782.79078591</v>
      </c>
      <c r="M64" s="490">
        <f ca="1">'Yoy Assets Working'!AB56</f>
        <v>5.4805990648252985E-2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9">
        <f t="shared" si="7"/>
        <v>102</v>
      </c>
      <c r="AB64" s="425">
        <f t="shared" ca="1" si="5"/>
        <v>130560990.68813318</v>
      </c>
      <c r="AC64" s="425">
        <f t="shared" ca="1" si="9"/>
        <v>254903252.92282343</v>
      </c>
      <c r="AD64" s="161">
        <f t="shared" ca="1" si="8"/>
        <v>279139529.86796248</v>
      </c>
      <c r="AE64" s="489">
        <f t="shared" ca="1" si="2"/>
        <v>0</v>
      </c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</row>
    <row r="65" spans="1:88" ht="17.25" customHeight="1" x14ac:dyDescent="0.3">
      <c r="A65" s="82"/>
      <c r="B65" s="86">
        <f t="shared" si="3"/>
        <v>103</v>
      </c>
      <c r="C65" s="498">
        <f>'Cashflow Working'!B57</f>
        <v>2079</v>
      </c>
      <c r="D65" s="8">
        <f>'Cashflow Working'!L57</f>
        <v>84000</v>
      </c>
      <c r="E65" s="468">
        <f ca="1">'Cashflow Working'!J57-F65</f>
        <v>141096589.94318387</v>
      </c>
      <c r="F65" s="96">
        <f>'Yearly Budget'!BD$68</f>
        <v>0</v>
      </c>
      <c r="G65" s="8">
        <f ca="1">IF(working!F56&lt;0,working!G56,SUM(working!F56:H56))</f>
        <v>0</v>
      </c>
      <c r="H65" s="8">
        <f ca="1">IF((D65-E65)&gt;0,0,-(D65-E65-working!G56))+F65</f>
        <v>141012589.94318387</v>
      </c>
      <c r="I65" s="575">
        <f ca="1">'Yoy WAR OG'!N58</f>
        <v>120154649.44351973</v>
      </c>
      <c r="J65" s="575">
        <f ca="1">'Yoy WAR OG'!O58</f>
        <v>294388594.71660602</v>
      </c>
      <c r="K65" s="466">
        <f ca="1">'Loan Amortization'!CX56</f>
        <v>0</v>
      </c>
      <c r="L65" s="8">
        <f t="shared" ca="1" si="0"/>
        <v>414543244.16012573</v>
      </c>
      <c r="M65" s="490">
        <f ca="1">'Yoy Assets Working'!AB57</f>
        <v>5.495770505252226E-2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9">
        <f t="shared" si="7"/>
        <v>103</v>
      </c>
      <c r="AB65" s="425">
        <f t="shared" ca="1" si="5"/>
        <v>120154649.44351973</v>
      </c>
      <c r="AC65" s="425">
        <f t="shared" ca="1" si="9"/>
        <v>120154649.44351973</v>
      </c>
      <c r="AD65" s="161">
        <f t="shared" ca="1" si="8"/>
        <v>294388594.71660602</v>
      </c>
      <c r="AE65" s="489">
        <f t="shared" ca="1" si="2"/>
        <v>0</v>
      </c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</row>
    <row r="66" spans="1:88" ht="17.25" customHeight="1" x14ac:dyDescent="0.3">
      <c r="A66" s="82"/>
      <c r="B66" s="86">
        <f t="shared" si="3"/>
        <v>104</v>
      </c>
      <c r="C66" s="498">
        <f>'Cashflow Working'!B58</f>
        <v>2080</v>
      </c>
      <c r="D66" s="8">
        <f>'Cashflow Working'!L58</f>
        <v>84000</v>
      </c>
      <c r="E66" s="468">
        <f ca="1">'Cashflow Working'!J58-F66</f>
        <v>152384317.13863859</v>
      </c>
      <c r="F66" s="96">
        <f>'Yearly Budget'!BE$68</f>
        <v>0</v>
      </c>
      <c r="G66" s="8">
        <f ca="1">IF(working!F57&lt;0,working!G57,SUM(working!F57:H57))</f>
        <v>0</v>
      </c>
      <c r="H66" s="8">
        <f ca="1">IF((D66-E66)&gt;0,0,-(D66-E66-working!G57))+F66</f>
        <v>152300317.13863859</v>
      </c>
      <c r="I66" s="575">
        <f ca="1">'Yoy WAR OG'!N59</f>
        <v>0</v>
      </c>
      <c r="J66" s="575">
        <f ca="1">'Yoy WAR OG'!O59</f>
        <v>310562434.34128034</v>
      </c>
      <c r="K66" s="466">
        <f ca="1">'Loan Amortization'!CX57</f>
        <v>0</v>
      </c>
      <c r="L66" s="8">
        <f t="shared" ca="1" si="0"/>
        <v>310562434.34128034</v>
      </c>
      <c r="M66" s="490">
        <f ca="1">'Yoy Assets Working'!AB58</f>
        <v>5.5249347667287417E-2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9">
        <f t="shared" si="7"/>
        <v>104</v>
      </c>
      <c r="AB66" s="425">
        <f t="shared" ca="1" si="5"/>
        <v>0</v>
      </c>
      <c r="AC66" s="425">
        <f t="shared" ca="1" si="9"/>
        <v>0</v>
      </c>
      <c r="AD66" s="161">
        <f t="shared" ca="1" si="8"/>
        <v>310562434.34128034</v>
      </c>
      <c r="AE66" s="489">
        <f t="shared" ca="1" si="2"/>
        <v>0</v>
      </c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</row>
    <row r="67" spans="1:88" ht="16.2" customHeight="1" x14ac:dyDescent="0.3">
      <c r="A67" s="82"/>
      <c r="B67" s="86">
        <f t="shared" si="3"/>
        <v>105</v>
      </c>
      <c r="C67" s="498">
        <f>'Cashflow Working'!B59</f>
        <v>2081</v>
      </c>
      <c r="D67" s="8">
        <f>'Cashflow Working'!L59</f>
        <v>84000</v>
      </c>
      <c r="E67" s="96">
        <f ca="1">'Cashflow Working'!J59-F67</f>
        <v>164575062.50972965</v>
      </c>
      <c r="F67" s="469">
        <f>'Yearly Budget'!BF$68</f>
        <v>0</v>
      </c>
      <c r="G67" s="8">
        <f ca="1">IF(working!F58&lt;0,working!G58,SUM(working!F58:H58))</f>
        <v>0</v>
      </c>
      <c r="H67" s="8">
        <f ca="1">IF((D67-E67)&gt;0,0,-(D67-E67-working!G58))+F67</f>
        <v>164491062.50972965</v>
      </c>
      <c r="I67" s="575">
        <f ca="1">'Yoy WAR OG'!N60</f>
        <v>0</v>
      </c>
      <c r="J67" s="575">
        <f ca="1">'Yoy WAR OG'!O60</f>
        <v>327720806.24860084</v>
      </c>
      <c r="K67" s="466">
        <f ca="1">'Loan Amortization'!CX58</f>
        <v>0</v>
      </c>
      <c r="L67" s="8">
        <f t="shared" ca="1" si="0"/>
        <v>327720806.24860084</v>
      </c>
      <c r="M67" s="490">
        <f ca="1">'Yoy Assets Working'!AB59</f>
        <v>5.555540028686054E-2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9">
        <f t="shared" si="7"/>
        <v>105</v>
      </c>
      <c r="AB67" s="425">
        <f t="shared" ca="1" si="5"/>
        <v>0</v>
      </c>
      <c r="AC67" s="425">
        <f t="shared" ca="1" si="9"/>
        <v>0</v>
      </c>
      <c r="AD67" s="161">
        <f t="shared" ca="1" si="8"/>
        <v>327720806.24860084</v>
      </c>
      <c r="AE67" s="489">
        <f t="shared" ca="1" si="2"/>
        <v>0</v>
      </c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</row>
    <row r="68" spans="1:88" x14ac:dyDescent="0.3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Q68" s="1"/>
      <c r="R68" s="1"/>
      <c r="S68" s="1"/>
      <c r="T68" s="1"/>
      <c r="U68" s="1"/>
      <c r="V68" s="1"/>
      <c r="W68" s="1"/>
      <c r="X68" s="1"/>
      <c r="Y68" s="1"/>
      <c r="Z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</row>
    <row r="69" spans="1:88" x14ac:dyDescent="0.3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Q69" s="1"/>
      <c r="R69" s="1"/>
      <c r="S69" s="1"/>
      <c r="T69" s="1"/>
      <c r="U69" s="1"/>
      <c r="V69" s="1"/>
      <c r="W69" s="1"/>
      <c r="X69" s="1"/>
      <c r="Y69" s="1"/>
      <c r="Z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</row>
    <row r="70" spans="1:88" x14ac:dyDescent="0.3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Q70" s="1"/>
      <c r="R70" s="1"/>
      <c r="S70" s="1"/>
      <c r="T70" s="1"/>
      <c r="U70" s="1"/>
      <c r="V70" s="1"/>
      <c r="W70" s="1"/>
      <c r="X70" s="1"/>
      <c r="Y70" s="1"/>
      <c r="Z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</row>
    <row r="71" spans="1:88" x14ac:dyDescent="0.3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Q71" s="1"/>
      <c r="R71" s="1"/>
      <c r="S71" s="1"/>
      <c r="T71" s="1"/>
      <c r="U71" s="1"/>
      <c r="V71" s="1"/>
      <c r="W71" s="1"/>
      <c r="X71" s="1"/>
      <c r="Y71" s="1"/>
      <c r="Z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</row>
    <row r="72" spans="1:88" x14ac:dyDescent="0.3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Q72" s="1"/>
      <c r="R72" s="1"/>
      <c r="S72" s="1"/>
      <c r="T72" s="1"/>
      <c r="U72" s="1"/>
      <c r="V72" s="1"/>
      <c r="W72" s="1"/>
      <c r="X72" s="1"/>
      <c r="Y72" s="1"/>
      <c r="Z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</row>
    <row r="73" spans="1:88" x14ac:dyDescent="0.3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Q73" s="1"/>
      <c r="R73" s="1"/>
      <c r="S73" s="1"/>
      <c r="T73" s="1"/>
      <c r="U73" s="1"/>
      <c r="V73" s="1"/>
      <c r="W73" s="1"/>
      <c r="X73" s="1"/>
      <c r="Y73" s="1"/>
      <c r="Z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</row>
    <row r="74" spans="1:88" x14ac:dyDescent="0.3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Q74" s="1"/>
      <c r="R74" s="1"/>
      <c r="S74" s="1"/>
      <c r="T74" s="1"/>
      <c r="U74" s="1"/>
      <c r="V74" s="1"/>
      <c r="W74" s="1"/>
      <c r="X74" s="1"/>
      <c r="Y74" s="1"/>
      <c r="Z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</row>
    <row r="75" spans="1:88" x14ac:dyDescent="0.3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Q75" s="1"/>
      <c r="R75" s="1"/>
      <c r="S75" s="1"/>
      <c r="T75" s="1"/>
      <c r="U75" s="1"/>
      <c r="V75" s="1"/>
      <c r="W75" s="1"/>
      <c r="X75" s="1"/>
      <c r="Y75" s="1"/>
      <c r="Z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</row>
    <row r="76" spans="1:88" x14ac:dyDescent="0.3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Q76" s="1"/>
      <c r="R76" s="1"/>
      <c r="S76" s="1"/>
      <c r="T76" s="1"/>
      <c r="U76" s="1"/>
      <c r="V76" s="1"/>
      <c r="W76" s="1"/>
      <c r="X76" s="1"/>
      <c r="Y76" s="1"/>
      <c r="Z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</row>
    <row r="77" spans="1:88" x14ac:dyDescent="0.3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Q77" s="1"/>
      <c r="R77" s="1"/>
      <c r="S77" s="1"/>
      <c r="T77" s="1"/>
      <c r="U77" s="1"/>
      <c r="V77" s="1"/>
      <c r="W77" s="1"/>
      <c r="X77" s="1"/>
      <c r="Y77" s="1"/>
      <c r="Z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</row>
    <row r="78" spans="1:88" x14ac:dyDescent="0.3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Q78" s="1"/>
      <c r="R78" s="1"/>
      <c r="S78" s="1"/>
      <c r="T78" s="1"/>
      <c r="U78" s="1"/>
      <c r="V78" s="1"/>
      <c r="W78" s="1"/>
      <c r="X78" s="1"/>
      <c r="Y78" s="1"/>
      <c r="Z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</row>
    <row r="79" spans="1:88" x14ac:dyDescent="0.3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Q79" s="1"/>
      <c r="R79" s="1"/>
      <c r="S79" s="1"/>
      <c r="T79" s="1"/>
      <c r="U79" s="1"/>
      <c r="V79" s="1"/>
      <c r="W79" s="1"/>
      <c r="X79" s="1"/>
      <c r="Y79" s="1"/>
      <c r="Z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</row>
    <row r="80" spans="1:88" x14ac:dyDescent="0.3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Q80" s="1"/>
      <c r="R80" s="1"/>
      <c r="S80" s="1"/>
      <c r="T80" s="1"/>
      <c r="U80" s="1"/>
      <c r="V80" s="1"/>
      <c r="W80" s="1"/>
      <c r="X80" s="1"/>
      <c r="Y80" s="1"/>
      <c r="Z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</row>
    <row r="81" spans="2:88" x14ac:dyDescent="0.3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Q81" s="1"/>
      <c r="R81" s="1"/>
      <c r="S81" s="1"/>
      <c r="T81" s="1"/>
      <c r="U81" s="1"/>
      <c r="V81" s="1"/>
      <c r="W81" s="1"/>
      <c r="X81" s="1"/>
      <c r="Y81" s="1"/>
      <c r="Z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</row>
    <row r="82" spans="2:88" x14ac:dyDescent="0.3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Q82" s="1"/>
      <c r="R82" s="1"/>
      <c r="S82" s="1"/>
      <c r="T82" s="1"/>
      <c r="U82" s="1"/>
      <c r="V82" s="1"/>
      <c r="W82" s="1"/>
      <c r="X82" s="1"/>
      <c r="Y82" s="1"/>
      <c r="Z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</row>
    <row r="83" spans="2:88" x14ac:dyDescent="0.3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Q83" s="1"/>
      <c r="R83" s="1"/>
      <c r="S83" s="1"/>
      <c r="T83" s="1"/>
      <c r="U83" s="1"/>
      <c r="V83" s="1"/>
      <c r="W83" s="1"/>
      <c r="X83" s="1"/>
      <c r="Y83" s="1"/>
      <c r="Z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</row>
    <row r="84" spans="2:88" x14ac:dyDescent="0.3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Q84" s="1"/>
      <c r="R84" s="1"/>
      <c r="S84" s="1"/>
      <c r="T84" s="1"/>
      <c r="U84" s="1"/>
      <c r="V84" s="1"/>
      <c r="W84" s="1"/>
      <c r="X84" s="1"/>
      <c r="Y84" s="1"/>
      <c r="Z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</row>
    <row r="85" spans="2:88" x14ac:dyDescent="0.3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Q85" s="1"/>
      <c r="R85" s="1"/>
      <c r="S85" s="1"/>
      <c r="T85" s="1"/>
      <c r="U85" s="1"/>
      <c r="V85" s="1"/>
      <c r="W85" s="1"/>
      <c r="X85" s="1"/>
      <c r="Y85" s="1"/>
      <c r="Z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</row>
    <row r="86" spans="2:88" x14ac:dyDescent="0.3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Q86" s="1"/>
      <c r="R86" s="1"/>
      <c r="S86" s="1"/>
      <c r="T86" s="1"/>
      <c r="U86" s="1"/>
      <c r="V86" s="1"/>
      <c r="W86" s="1"/>
      <c r="X86" s="1"/>
      <c r="Y86" s="1"/>
      <c r="Z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</row>
    <row r="87" spans="2:88" x14ac:dyDescent="0.3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Q87" s="1"/>
      <c r="R87" s="1"/>
      <c r="S87" s="1"/>
      <c r="T87" s="1"/>
      <c r="U87" s="1"/>
      <c r="V87" s="1"/>
      <c r="W87" s="1"/>
      <c r="X87" s="1"/>
      <c r="Y87" s="1"/>
      <c r="Z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</row>
    <row r="88" spans="2:88" x14ac:dyDescent="0.3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Q88" s="1"/>
      <c r="R88" s="1"/>
      <c r="S88" s="1"/>
      <c r="T88" s="1"/>
      <c r="U88" s="1"/>
      <c r="V88" s="1"/>
      <c r="W88" s="1"/>
      <c r="X88" s="1"/>
      <c r="Y88" s="1"/>
      <c r="Z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</row>
    <row r="89" spans="2:88" x14ac:dyDescent="0.3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Q89" s="1"/>
      <c r="R89" s="1"/>
      <c r="S89" s="1"/>
      <c r="T89" s="1"/>
      <c r="U89" s="1"/>
      <c r="V89" s="1"/>
      <c r="W89" s="1"/>
      <c r="X89" s="1"/>
      <c r="Y89" s="1"/>
      <c r="Z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</row>
    <row r="90" spans="2:88" x14ac:dyDescent="0.3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Q90" s="1"/>
      <c r="R90" s="1"/>
      <c r="S90" s="1"/>
      <c r="T90" s="1"/>
      <c r="U90" s="1"/>
      <c r="V90" s="1"/>
      <c r="W90" s="1"/>
      <c r="X90" s="1"/>
      <c r="Y90" s="1"/>
      <c r="Z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</row>
    <row r="91" spans="2:88" x14ac:dyDescent="0.3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Q91" s="1"/>
      <c r="R91" s="1"/>
      <c r="S91" s="1"/>
      <c r="T91" s="1"/>
      <c r="U91" s="1"/>
      <c r="V91" s="1"/>
      <c r="W91" s="1"/>
      <c r="X91" s="1"/>
      <c r="Y91" s="1"/>
      <c r="Z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</row>
    <row r="92" spans="2:88" x14ac:dyDescent="0.3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Q92" s="1"/>
      <c r="R92" s="1"/>
      <c r="S92" s="1"/>
      <c r="T92" s="1"/>
      <c r="U92" s="1"/>
      <c r="V92" s="1"/>
      <c r="W92" s="1"/>
      <c r="X92" s="1"/>
      <c r="Y92" s="1"/>
      <c r="Z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</row>
    <row r="93" spans="2:88" x14ac:dyDescent="0.3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Q93" s="1"/>
      <c r="R93" s="1"/>
      <c r="S93" s="1"/>
      <c r="T93" s="1"/>
      <c r="U93" s="1"/>
      <c r="V93" s="1"/>
      <c r="W93" s="1"/>
      <c r="X93" s="1"/>
      <c r="Y93" s="1"/>
      <c r="Z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</row>
    <row r="94" spans="2:88" x14ac:dyDescent="0.3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Q94" s="1"/>
      <c r="R94" s="1"/>
      <c r="S94" s="1"/>
      <c r="T94" s="1"/>
      <c r="U94" s="1"/>
      <c r="V94" s="1"/>
      <c r="W94" s="1"/>
      <c r="X94" s="1"/>
      <c r="Y94" s="1"/>
      <c r="Z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</row>
    <row r="95" spans="2:88" x14ac:dyDescent="0.3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Q95" s="1"/>
      <c r="R95" s="1"/>
      <c r="S95" s="1"/>
      <c r="T95" s="1"/>
      <c r="U95" s="1"/>
      <c r="V95" s="1"/>
      <c r="W95" s="1"/>
      <c r="X95" s="1"/>
      <c r="Y95" s="1"/>
      <c r="Z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</row>
    <row r="96" spans="2:88" x14ac:dyDescent="0.3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Q96" s="1"/>
      <c r="R96" s="1"/>
      <c r="S96" s="1"/>
      <c r="T96" s="1"/>
      <c r="U96" s="1"/>
      <c r="V96" s="1"/>
      <c r="W96" s="1"/>
      <c r="X96" s="1"/>
      <c r="Y96" s="1"/>
      <c r="Z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</row>
    <row r="97" spans="2:88" x14ac:dyDescent="0.3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Q97" s="1"/>
      <c r="R97" s="1"/>
      <c r="S97" s="1"/>
      <c r="T97" s="1"/>
      <c r="U97" s="1"/>
      <c r="V97" s="1"/>
      <c r="W97" s="1"/>
      <c r="X97" s="1"/>
      <c r="Y97" s="1"/>
      <c r="Z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</row>
    <row r="98" spans="2:88" x14ac:dyDescent="0.3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Q98" s="1"/>
      <c r="R98" s="1"/>
      <c r="S98" s="1"/>
      <c r="T98" s="1"/>
      <c r="U98" s="1"/>
      <c r="V98" s="1"/>
      <c r="W98" s="1"/>
      <c r="X98" s="1"/>
      <c r="Y98" s="1"/>
      <c r="Z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</row>
    <row r="99" spans="2:88" x14ac:dyDescent="0.3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Q99" s="1"/>
      <c r="R99" s="1"/>
      <c r="S99" s="1"/>
      <c r="T99" s="1"/>
      <c r="U99" s="1"/>
      <c r="V99" s="1"/>
      <c r="W99" s="1"/>
      <c r="X99" s="1"/>
      <c r="Y99" s="1"/>
      <c r="Z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</row>
    <row r="100" spans="2:88" x14ac:dyDescent="0.3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</row>
    <row r="101" spans="2:88" x14ac:dyDescent="0.3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</row>
    <row r="102" spans="2:88" x14ac:dyDescent="0.3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</row>
    <row r="103" spans="2:88" x14ac:dyDescent="0.3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</row>
    <row r="104" spans="2:88" x14ac:dyDescent="0.3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</row>
    <row r="105" spans="2:88" x14ac:dyDescent="0.3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</row>
    <row r="106" spans="2:88" x14ac:dyDescent="0.3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</row>
    <row r="107" spans="2:88" x14ac:dyDescent="0.3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</row>
    <row r="108" spans="2:88" x14ac:dyDescent="0.3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</row>
    <row r="109" spans="2:88" x14ac:dyDescent="0.3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</row>
    <row r="110" spans="2:88" x14ac:dyDescent="0.3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</row>
    <row r="111" spans="2:88" x14ac:dyDescent="0.3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</row>
    <row r="112" spans="2:88" x14ac:dyDescent="0.3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</row>
    <row r="113" spans="2:88" x14ac:dyDescent="0.3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</row>
    <row r="114" spans="2:88" x14ac:dyDescent="0.3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</row>
    <row r="115" spans="2:88" x14ac:dyDescent="0.3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</row>
    <row r="116" spans="2:88" x14ac:dyDescent="0.3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</row>
    <row r="117" spans="2:88" x14ac:dyDescent="0.3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</row>
    <row r="118" spans="2:88" x14ac:dyDescent="0.3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</row>
    <row r="119" spans="2:88" x14ac:dyDescent="0.3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</row>
    <row r="120" spans="2:88" x14ac:dyDescent="0.3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</row>
    <row r="121" spans="2:88" x14ac:dyDescent="0.3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</row>
    <row r="122" spans="2:88" x14ac:dyDescent="0.3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</row>
    <row r="123" spans="2:88" x14ac:dyDescent="0.3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</row>
    <row r="124" spans="2:88" x14ac:dyDescent="0.3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</row>
    <row r="125" spans="2:88" x14ac:dyDescent="0.3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</row>
    <row r="126" spans="2:88" x14ac:dyDescent="0.3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</row>
    <row r="127" spans="2:88" x14ac:dyDescent="0.3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</row>
    <row r="128" spans="2:88" x14ac:dyDescent="0.3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</row>
    <row r="129" spans="2:88" x14ac:dyDescent="0.3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</row>
    <row r="130" spans="2:88" x14ac:dyDescent="0.3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</row>
    <row r="131" spans="2:88" x14ac:dyDescent="0.3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</row>
    <row r="132" spans="2:88" x14ac:dyDescent="0.3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</row>
    <row r="133" spans="2:88" x14ac:dyDescent="0.3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</row>
    <row r="134" spans="2:88" x14ac:dyDescent="0.3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</row>
    <row r="135" spans="2:88" x14ac:dyDescent="0.3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</row>
    <row r="136" spans="2:88" x14ac:dyDescent="0.3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</row>
    <row r="137" spans="2:88" x14ac:dyDescent="0.3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</row>
    <row r="138" spans="2:88" x14ac:dyDescent="0.3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</row>
    <row r="139" spans="2:88" x14ac:dyDescent="0.3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</row>
    <row r="140" spans="2:88" x14ac:dyDescent="0.3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</row>
    <row r="141" spans="2:88" x14ac:dyDescent="0.3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</row>
    <row r="142" spans="2:88" x14ac:dyDescent="0.3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</row>
    <row r="143" spans="2:88" x14ac:dyDescent="0.3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</row>
    <row r="144" spans="2:88" x14ac:dyDescent="0.3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</row>
    <row r="145" spans="2:88" x14ac:dyDescent="0.3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</row>
    <row r="146" spans="2:88" x14ac:dyDescent="0.3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</row>
    <row r="147" spans="2:88" x14ac:dyDescent="0.3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</row>
    <row r="148" spans="2:88" x14ac:dyDescent="0.3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</row>
    <row r="149" spans="2:88" x14ac:dyDescent="0.3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</row>
    <row r="150" spans="2:88" x14ac:dyDescent="0.3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</row>
    <row r="151" spans="2:88" x14ac:dyDescent="0.3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</row>
    <row r="152" spans="2:88" x14ac:dyDescent="0.3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</row>
    <row r="153" spans="2:88" x14ac:dyDescent="0.3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</row>
    <row r="154" spans="2:88" x14ac:dyDescent="0.3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</row>
    <row r="155" spans="2:88" x14ac:dyDescent="0.3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</row>
    <row r="156" spans="2:88" x14ac:dyDescent="0.3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</row>
    <row r="157" spans="2:88" x14ac:dyDescent="0.3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</row>
    <row r="158" spans="2:88" x14ac:dyDescent="0.3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</row>
    <row r="159" spans="2:88" x14ac:dyDescent="0.3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</row>
    <row r="160" spans="2:88" x14ac:dyDescent="0.3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</row>
    <row r="161" spans="2:88" x14ac:dyDescent="0.3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</row>
    <row r="162" spans="2:88" x14ac:dyDescent="0.3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</row>
    <row r="163" spans="2:88" x14ac:dyDescent="0.3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</row>
    <row r="164" spans="2:88" x14ac:dyDescent="0.3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</row>
    <row r="165" spans="2:88" x14ac:dyDescent="0.3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</row>
    <row r="166" spans="2:88" x14ac:dyDescent="0.3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</row>
    <row r="167" spans="2:88" x14ac:dyDescent="0.3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</row>
    <row r="168" spans="2:88" x14ac:dyDescent="0.3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</row>
    <row r="169" spans="2:88" x14ac:dyDescent="0.3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</row>
    <row r="170" spans="2:88" x14ac:dyDescent="0.3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</row>
    <row r="171" spans="2:88" x14ac:dyDescent="0.3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</row>
    <row r="172" spans="2:88" x14ac:dyDescent="0.3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</row>
    <row r="173" spans="2:88" x14ac:dyDescent="0.3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</row>
    <row r="174" spans="2:88" x14ac:dyDescent="0.3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</row>
    <row r="175" spans="2:88" x14ac:dyDescent="0.3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</row>
    <row r="176" spans="2:88" x14ac:dyDescent="0.3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</row>
    <row r="177" spans="2:88" x14ac:dyDescent="0.3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</row>
    <row r="178" spans="2:88" x14ac:dyDescent="0.3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</row>
    <row r="179" spans="2:88" x14ac:dyDescent="0.3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</row>
    <row r="180" spans="2:88" x14ac:dyDescent="0.3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</row>
    <row r="181" spans="2:88" x14ac:dyDescent="0.3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</row>
    <row r="182" spans="2:88" x14ac:dyDescent="0.3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</row>
    <row r="183" spans="2:88" x14ac:dyDescent="0.3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</row>
    <row r="184" spans="2:88" x14ac:dyDescent="0.3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</row>
    <row r="185" spans="2:88" x14ac:dyDescent="0.3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</row>
    <row r="186" spans="2:88" x14ac:dyDescent="0.3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</row>
    <row r="187" spans="2:88" x14ac:dyDescent="0.3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</row>
    <row r="188" spans="2:88" x14ac:dyDescent="0.3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</row>
    <row r="189" spans="2:88" x14ac:dyDescent="0.3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</row>
    <row r="190" spans="2:88" x14ac:dyDescent="0.3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</row>
    <row r="191" spans="2:88" x14ac:dyDescent="0.3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</row>
    <row r="192" spans="2:88" x14ac:dyDescent="0.3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</row>
    <row r="193" spans="2:88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</row>
    <row r="194" spans="2:88" x14ac:dyDescent="0.3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</row>
    <row r="195" spans="2:88" x14ac:dyDescent="0.3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</row>
    <row r="196" spans="2:88" x14ac:dyDescent="0.3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</row>
    <row r="197" spans="2:88" x14ac:dyDescent="0.3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</row>
    <row r="198" spans="2:88" x14ac:dyDescent="0.3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</row>
    <row r="199" spans="2:88" x14ac:dyDescent="0.3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</row>
    <row r="200" spans="2:88" x14ac:dyDescent="0.3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</row>
    <row r="201" spans="2:88" x14ac:dyDescent="0.3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</row>
    <row r="202" spans="2:88" x14ac:dyDescent="0.3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</row>
    <row r="203" spans="2:88" x14ac:dyDescent="0.3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</row>
    <row r="204" spans="2:88" x14ac:dyDescent="0.3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</row>
    <row r="205" spans="2:88" x14ac:dyDescent="0.3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</row>
    <row r="206" spans="2:88" x14ac:dyDescent="0.3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</row>
    <row r="207" spans="2:88" x14ac:dyDescent="0.3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</row>
    <row r="208" spans="2:88" x14ac:dyDescent="0.3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</row>
    <row r="209" spans="2:88" x14ac:dyDescent="0.3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</row>
    <row r="210" spans="2:88" x14ac:dyDescent="0.3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</row>
    <row r="211" spans="2:88" x14ac:dyDescent="0.3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</row>
    <row r="212" spans="2:88" x14ac:dyDescent="0.3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</row>
    <row r="213" spans="2:88" x14ac:dyDescent="0.3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</row>
    <row r="214" spans="2:88" x14ac:dyDescent="0.3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</row>
    <row r="215" spans="2:88" x14ac:dyDescent="0.3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</row>
    <row r="216" spans="2:88" x14ac:dyDescent="0.3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</row>
    <row r="217" spans="2:88" x14ac:dyDescent="0.3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</row>
    <row r="218" spans="2:88" x14ac:dyDescent="0.3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</row>
    <row r="219" spans="2:88" x14ac:dyDescent="0.3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</row>
    <row r="220" spans="2:88" x14ac:dyDescent="0.3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</row>
    <row r="221" spans="2:88" x14ac:dyDescent="0.3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</row>
    <row r="222" spans="2:88" x14ac:dyDescent="0.3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</row>
    <row r="223" spans="2:88" x14ac:dyDescent="0.3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</row>
    <row r="224" spans="2:88" x14ac:dyDescent="0.3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</row>
    <row r="225" spans="2:88" x14ac:dyDescent="0.3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</row>
    <row r="226" spans="2:88" x14ac:dyDescent="0.3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</row>
    <row r="227" spans="2:88" x14ac:dyDescent="0.3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</row>
    <row r="228" spans="2:88" x14ac:dyDescent="0.3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</row>
    <row r="229" spans="2:88" x14ac:dyDescent="0.3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</row>
    <row r="230" spans="2:88" x14ac:dyDescent="0.3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</row>
    <row r="231" spans="2:88" x14ac:dyDescent="0.3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</row>
    <row r="232" spans="2:88" x14ac:dyDescent="0.3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</row>
    <row r="233" spans="2:88" x14ac:dyDescent="0.3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</row>
    <row r="234" spans="2:88" x14ac:dyDescent="0.3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</row>
    <row r="235" spans="2:88" x14ac:dyDescent="0.3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</row>
    <row r="236" spans="2:88" x14ac:dyDescent="0.3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</row>
    <row r="237" spans="2:88" x14ac:dyDescent="0.3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</row>
    <row r="238" spans="2:88" x14ac:dyDescent="0.3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</row>
    <row r="239" spans="2:88" x14ac:dyDescent="0.3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</row>
    <row r="240" spans="2:88" x14ac:dyDescent="0.3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</row>
    <row r="241" spans="2:88" x14ac:dyDescent="0.3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</row>
    <row r="242" spans="2:88" x14ac:dyDescent="0.3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</row>
    <row r="243" spans="2:88" x14ac:dyDescent="0.3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</row>
    <row r="244" spans="2:88" x14ac:dyDescent="0.3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</row>
    <row r="245" spans="2:88" x14ac:dyDescent="0.3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</row>
    <row r="246" spans="2:88" x14ac:dyDescent="0.3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</row>
    <row r="247" spans="2:88" x14ac:dyDescent="0.3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</row>
    <row r="248" spans="2:88" x14ac:dyDescent="0.3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</row>
    <row r="249" spans="2:88" x14ac:dyDescent="0.3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</row>
    <row r="250" spans="2:88" x14ac:dyDescent="0.3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</row>
    <row r="251" spans="2:88" x14ac:dyDescent="0.3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</row>
    <row r="252" spans="2:88" x14ac:dyDescent="0.3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</row>
    <row r="253" spans="2:88" x14ac:dyDescent="0.3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</row>
    <row r="254" spans="2:88" x14ac:dyDescent="0.3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</row>
    <row r="255" spans="2:88" x14ac:dyDescent="0.3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</row>
    <row r="256" spans="2:88" x14ac:dyDescent="0.3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</row>
    <row r="257" spans="2:88" x14ac:dyDescent="0.3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</row>
    <row r="258" spans="2:88" x14ac:dyDescent="0.3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</row>
    <row r="259" spans="2:88" x14ac:dyDescent="0.3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</row>
    <row r="260" spans="2:88" x14ac:dyDescent="0.3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</row>
    <row r="261" spans="2:88" x14ac:dyDescent="0.3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</row>
    <row r="262" spans="2:88" x14ac:dyDescent="0.3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</row>
    <row r="263" spans="2:88" x14ac:dyDescent="0.3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</row>
    <row r="264" spans="2:88" x14ac:dyDescent="0.3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</row>
    <row r="265" spans="2:88" x14ac:dyDescent="0.3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</row>
    <row r="266" spans="2:88" x14ac:dyDescent="0.3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</row>
    <row r="267" spans="2:88" x14ac:dyDescent="0.3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</row>
    <row r="268" spans="2:88" x14ac:dyDescent="0.3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</row>
    <row r="269" spans="2:88" x14ac:dyDescent="0.3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</row>
    <row r="270" spans="2:88" x14ac:dyDescent="0.3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</row>
    <row r="271" spans="2:88" x14ac:dyDescent="0.3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</row>
    <row r="272" spans="2:88" x14ac:dyDescent="0.3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</row>
    <row r="273" spans="2:88" x14ac:dyDescent="0.3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</row>
    <row r="274" spans="2:88" x14ac:dyDescent="0.3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</row>
    <row r="275" spans="2:88" x14ac:dyDescent="0.3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</row>
    <row r="276" spans="2:88" x14ac:dyDescent="0.3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</row>
    <row r="277" spans="2:88" x14ac:dyDescent="0.3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</row>
    <row r="278" spans="2:88" x14ac:dyDescent="0.3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</row>
    <row r="279" spans="2:88" x14ac:dyDescent="0.3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</row>
    <row r="280" spans="2:88" x14ac:dyDescent="0.3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</row>
    <row r="281" spans="2:88" x14ac:dyDescent="0.3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</row>
    <row r="282" spans="2:88" x14ac:dyDescent="0.3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</row>
    <row r="283" spans="2:88" x14ac:dyDescent="0.3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</row>
    <row r="284" spans="2:88" x14ac:dyDescent="0.3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</row>
    <row r="285" spans="2:88" x14ac:dyDescent="0.3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</row>
    <row r="286" spans="2:88" x14ac:dyDescent="0.3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</row>
    <row r="287" spans="2:88" x14ac:dyDescent="0.3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</row>
    <row r="288" spans="2:88" x14ac:dyDescent="0.3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</row>
    <row r="289" spans="2:88" x14ac:dyDescent="0.3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</row>
    <row r="290" spans="2:88" x14ac:dyDescent="0.3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</row>
    <row r="291" spans="2:88" x14ac:dyDescent="0.3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</row>
    <row r="292" spans="2:88" x14ac:dyDescent="0.3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</row>
    <row r="293" spans="2:88" x14ac:dyDescent="0.3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</row>
    <row r="294" spans="2:88" x14ac:dyDescent="0.3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</row>
    <row r="295" spans="2:88" x14ac:dyDescent="0.3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</row>
    <row r="296" spans="2:88" x14ac:dyDescent="0.3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</row>
    <row r="297" spans="2:88" x14ac:dyDescent="0.3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</row>
    <row r="298" spans="2:88" x14ac:dyDescent="0.3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</row>
    <row r="299" spans="2:88" x14ac:dyDescent="0.3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</row>
    <row r="300" spans="2:88" x14ac:dyDescent="0.3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</row>
    <row r="301" spans="2:88" x14ac:dyDescent="0.3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</row>
    <row r="302" spans="2:88" x14ac:dyDescent="0.3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</row>
    <row r="303" spans="2:88" x14ac:dyDescent="0.3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</row>
    <row r="304" spans="2:88" x14ac:dyDescent="0.3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</row>
    <row r="305" spans="2:88" x14ac:dyDescent="0.3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</row>
    <row r="306" spans="2:88" x14ac:dyDescent="0.3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</row>
    <row r="307" spans="2:88" x14ac:dyDescent="0.3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</row>
    <row r="308" spans="2:88" x14ac:dyDescent="0.3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</row>
    <row r="309" spans="2:88" x14ac:dyDescent="0.3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</row>
    <row r="310" spans="2:88" x14ac:dyDescent="0.3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</row>
    <row r="311" spans="2:88" x14ac:dyDescent="0.3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</row>
    <row r="312" spans="2:88" x14ac:dyDescent="0.3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</row>
    <row r="313" spans="2:88" x14ac:dyDescent="0.3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</row>
    <row r="314" spans="2:88" x14ac:dyDescent="0.3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</row>
    <row r="315" spans="2:88" x14ac:dyDescent="0.3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</row>
    <row r="316" spans="2:88" x14ac:dyDescent="0.3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</row>
    <row r="317" spans="2:88" x14ac:dyDescent="0.3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</row>
    <row r="318" spans="2:88" x14ac:dyDescent="0.3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</row>
    <row r="319" spans="2:88" x14ac:dyDescent="0.3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</row>
    <row r="320" spans="2:88" x14ac:dyDescent="0.3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</row>
    <row r="321" spans="2:88" x14ac:dyDescent="0.3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</row>
    <row r="322" spans="2:88" x14ac:dyDescent="0.3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</row>
    <row r="323" spans="2:88" x14ac:dyDescent="0.3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</row>
    <row r="324" spans="2:88" x14ac:dyDescent="0.3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</row>
    <row r="325" spans="2:88" x14ac:dyDescent="0.3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</row>
    <row r="326" spans="2:88" x14ac:dyDescent="0.3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</row>
    <row r="327" spans="2:88" x14ac:dyDescent="0.3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</row>
    <row r="328" spans="2:88" x14ac:dyDescent="0.3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</row>
    <row r="329" spans="2:88" x14ac:dyDescent="0.3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</row>
    <row r="330" spans="2:88" x14ac:dyDescent="0.3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</row>
    <row r="331" spans="2:88" x14ac:dyDescent="0.3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</row>
    <row r="332" spans="2:88" x14ac:dyDescent="0.3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</row>
    <row r="333" spans="2:88" x14ac:dyDescent="0.3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</row>
    <row r="334" spans="2:88" x14ac:dyDescent="0.3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</row>
    <row r="335" spans="2:88" x14ac:dyDescent="0.3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</row>
    <row r="336" spans="2:88" x14ac:dyDescent="0.3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</row>
    <row r="337" spans="2:88" x14ac:dyDescent="0.3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</row>
    <row r="338" spans="2:88" x14ac:dyDescent="0.3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</row>
    <row r="339" spans="2:88" x14ac:dyDescent="0.3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</row>
    <row r="340" spans="2:88" x14ac:dyDescent="0.3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</row>
    <row r="341" spans="2:88" x14ac:dyDescent="0.3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</row>
    <row r="342" spans="2:88" x14ac:dyDescent="0.3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</row>
    <row r="343" spans="2:88" x14ac:dyDescent="0.3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</row>
    <row r="344" spans="2:88" x14ac:dyDescent="0.3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</row>
    <row r="345" spans="2:88" x14ac:dyDescent="0.3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</row>
    <row r="346" spans="2:88" x14ac:dyDescent="0.3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</row>
    <row r="347" spans="2:88" x14ac:dyDescent="0.3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</row>
    <row r="348" spans="2:88" x14ac:dyDescent="0.3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</row>
    <row r="349" spans="2:88" x14ac:dyDescent="0.3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</row>
    <row r="350" spans="2:88" x14ac:dyDescent="0.3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</row>
    <row r="351" spans="2:88" x14ac:dyDescent="0.3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</row>
    <row r="352" spans="2:88" x14ac:dyDescent="0.3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</row>
    <row r="353" spans="2:88" x14ac:dyDescent="0.3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</row>
    <row r="354" spans="2:88" x14ac:dyDescent="0.3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</row>
    <row r="355" spans="2:88" x14ac:dyDescent="0.3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</row>
    <row r="356" spans="2:88" x14ac:dyDescent="0.3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</row>
    <row r="357" spans="2:88" x14ac:dyDescent="0.3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</row>
    <row r="358" spans="2:88" x14ac:dyDescent="0.3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</row>
    <row r="359" spans="2:88" x14ac:dyDescent="0.3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</row>
    <row r="360" spans="2:88" x14ac:dyDescent="0.3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</row>
    <row r="361" spans="2:88" x14ac:dyDescent="0.3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</row>
    <row r="362" spans="2:88" x14ac:dyDescent="0.3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</row>
    <row r="363" spans="2:88" x14ac:dyDescent="0.3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</row>
    <row r="364" spans="2:88" x14ac:dyDescent="0.3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</row>
    <row r="365" spans="2:88" x14ac:dyDescent="0.3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</row>
    <row r="366" spans="2:88" x14ac:dyDescent="0.3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</row>
    <row r="367" spans="2:88" x14ac:dyDescent="0.3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</row>
    <row r="368" spans="2:88" x14ac:dyDescent="0.3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</row>
    <row r="369" spans="2:88" x14ac:dyDescent="0.3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</row>
    <row r="370" spans="2:88" x14ac:dyDescent="0.3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</row>
    <row r="371" spans="2:88" x14ac:dyDescent="0.3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</row>
    <row r="372" spans="2:88" x14ac:dyDescent="0.3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</row>
    <row r="373" spans="2:88" x14ac:dyDescent="0.3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</row>
    <row r="374" spans="2:88" x14ac:dyDescent="0.3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</row>
    <row r="375" spans="2:88" x14ac:dyDescent="0.3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</row>
    <row r="376" spans="2:88" x14ac:dyDescent="0.3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</row>
    <row r="377" spans="2:88" x14ac:dyDescent="0.3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</row>
    <row r="378" spans="2:88" x14ac:dyDescent="0.3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</row>
    <row r="379" spans="2:88" x14ac:dyDescent="0.3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</row>
    <row r="380" spans="2:88" x14ac:dyDescent="0.3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</row>
    <row r="381" spans="2:88" x14ac:dyDescent="0.3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</row>
    <row r="382" spans="2:88" x14ac:dyDescent="0.3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</row>
    <row r="383" spans="2:88" x14ac:dyDescent="0.3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</row>
    <row r="384" spans="2:88" x14ac:dyDescent="0.3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</row>
    <row r="385" spans="2:88" x14ac:dyDescent="0.3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</row>
    <row r="386" spans="2:88" x14ac:dyDescent="0.3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</row>
    <row r="387" spans="2:88" x14ac:dyDescent="0.3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</row>
    <row r="388" spans="2:88" x14ac:dyDescent="0.3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</row>
    <row r="389" spans="2:88" x14ac:dyDescent="0.3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</row>
    <row r="390" spans="2:88" x14ac:dyDescent="0.3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</row>
    <row r="391" spans="2:88" x14ac:dyDescent="0.3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</row>
    <row r="392" spans="2:88" x14ac:dyDescent="0.3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</row>
    <row r="393" spans="2:88" x14ac:dyDescent="0.3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</row>
    <row r="394" spans="2:88" x14ac:dyDescent="0.3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</row>
    <row r="395" spans="2:88" x14ac:dyDescent="0.3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</row>
    <row r="396" spans="2:88" x14ac:dyDescent="0.3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</row>
    <row r="397" spans="2:88" x14ac:dyDescent="0.3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</row>
    <row r="398" spans="2:88" x14ac:dyDescent="0.3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</row>
    <row r="399" spans="2:88" x14ac:dyDescent="0.3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</row>
    <row r="400" spans="2:88" x14ac:dyDescent="0.3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</row>
    <row r="401" spans="2:88" x14ac:dyDescent="0.3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</row>
    <row r="402" spans="2:88" x14ac:dyDescent="0.3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</row>
    <row r="403" spans="2:88" x14ac:dyDescent="0.3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</row>
    <row r="404" spans="2:88" x14ac:dyDescent="0.3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</row>
    <row r="405" spans="2:88" x14ac:dyDescent="0.3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</row>
    <row r="406" spans="2:88" x14ac:dyDescent="0.3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</row>
    <row r="407" spans="2:88" x14ac:dyDescent="0.3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</row>
    <row r="408" spans="2:88" x14ac:dyDescent="0.3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</row>
    <row r="409" spans="2:88" x14ac:dyDescent="0.3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</row>
    <row r="410" spans="2:88" x14ac:dyDescent="0.3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</row>
    <row r="411" spans="2:88" x14ac:dyDescent="0.3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</row>
    <row r="412" spans="2:88" x14ac:dyDescent="0.3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</row>
    <row r="413" spans="2:88" x14ac:dyDescent="0.3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</row>
    <row r="414" spans="2:88" x14ac:dyDescent="0.3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</row>
    <row r="415" spans="2:88" x14ac:dyDescent="0.3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</row>
    <row r="416" spans="2:88" x14ac:dyDescent="0.3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</row>
    <row r="417" spans="2:88" x14ac:dyDescent="0.3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</row>
    <row r="418" spans="2:88" x14ac:dyDescent="0.3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</row>
    <row r="419" spans="2:88" x14ac:dyDescent="0.3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</row>
    <row r="420" spans="2:88" x14ac:dyDescent="0.3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</row>
    <row r="421" spans="2:88" x14ac:dyDescent="0.3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</row>
    <row r="422" spans="2:88" x14ac:dyDescent="0.3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</row>
    <row r="423" spans="2:88" x14ac:dyDescent="0.3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</row>
    <row r="424" spans="2:88" x14ac:dyDescent="0.3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</row>
    <row r="425" spans="2:88" x14ac:dyDescent="0.3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</row>
    <row r="426" spans="2:88" x14ac:dyDescent="0.3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</row>
    <row r="427" spans="2:88" x14ac:dyDescent="0.3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</row>
    <row r="428" spans="2:88" x14ac:dyDescent="0.3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</row>
    <row r="429" spans="2:88" x14ac:dyDescent="0.3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</row>
    <row r="430" spans="2:88" x14ac:dyDescent="0.3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</row>
    <row r="431" spans="2:88" x14ac:dyDescent="0.3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</row>
    <row r="432" spans="2:88" x14ac:dyDescent="0.3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</row>
    <row r="433" spans="2:88" x14ac:dyDescent="0.3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</row>
    <row r="434" spans="2:88" x14ac:dyDescent="0.3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</row>
    <row r="435" spans="2:88" x14ac:dyDescent="0.3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</row>
    <row r="436" spans="2:88" x14ac:dyDescent="0.3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</row>
    <row r="437" spans="2:88" x14ac:dyDescent="0.3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</row>
    <row r="438" spans="2:88" x14ac:dyDescent="0.3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</row>
    <row r="439" spans="2:88" x14ac:dyDescent="0.3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</row>
    <row r="440" spans="2:88" x14ac:dyDescent="0.3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</row>
    <row r="441" spans="2:88" x14ac:dyDescent="0.3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</row>
    <row r="442" spans="2:88" x14ac:dyDescent="0.3">
      <c r="B442" s="1"/>
      <c r="C442" s="1"/>
      <c r="D442" s="1"/>
      <c r="E442" s="1"/>
      <c r="F442" s="1"/>
      <c r="G442" s="1"/>
      <c r="H442" s="1"/>
      <c r="I442" s="1"/>
      <c r="J442" s="1"/>
      <c r="K442" s="1"/>
    </row>
    <row r="443" spans="2:88" x14ac:dyDescent="0.3">
      <c r="B443" s="1"/>
      <c r="C443" s="1"/>
      <c r="D443" s="1"/>
      <c r="E443" s="1"/>
      <c r="F443" s="1"/>
      <c r="G443" s="1"/>
      <c r="H443" s="1"/>
      <c r="I443" s="1"/>
      <c r="J443" s="1"/>
      <c r="K443" s="1"/>
    </row>
    <row r="444" spans="2:88" x14ac:dyDescent="0.3">
      <c r="B444" s="1"/>
      <c r="C444" s="1"/>
      <c r="D444" s="1"/>
      <c r="E444" s="1"/>
      <c r="F444" s="1"/>
      <c r="G444" s="1"/>
      <c r="H444" s="1"/>
      <c r="I444" s="1"/>
      <c r="J444" s="1"/>
      <c r="K444" s="1"/>
    </row>
    <row r="445" spans="2:88" x14ac:dyDescent="0.3">
      <c r="B445" s="1"/>
      <c r="C445" s="1"/>
      <c r="D445" s="1"/>
      <c r="E445" s="1"/>
      <c r="F445" s="1"/>
      <c r="G445" s="1"/>
      <c r="H445" s="1"/>
      <c r="I445" s="1"/>
      <c r="J445" s="1"/>
      <c r="K445" s="1"/>
    </row>
    <row r="446" spans="2:88" x14ac:dyDescent="0.3">
      <c r="B446" s="1"/>
      <c r="C446" s="1"/>
      <c r="D446" s="1"/>
      <c r="E446" s="1"/>
      <c r="F446" s="1"/>
      <c r="G446" s="1"/>
      <c r="H446" s="1"/>
      <c r="I446" s="1"/>
      <c r="J446" s="1"/>
      <c r="K446" s="1"/>
    </row>
    <row r="447" spans="2:88" x14ac:dyDescent="0.3">
      <c r="B447" s="1"/>
      <c r="C447" s="1"/>
      <c r="D447" s="1"/>
      <c r="E447" s="1"/>
      <c r="F447" s="1"/>
      <c r="G447" s="1"/>
      <c r="H447" s="1"/>
      <c r="I447" s="1"/>
      <c r="J447" s="1"/>
      <c r="K447" s="1"/>
    </row>
    <row r="448" spans="2:88" x14ac:dyDescent="0.3">
      <c r="B448" s="1"/>
      <c r="C448" s="1"/>
      <c r="D448" s="1"/>
      <c r="E448" s="1"/>
      <c r="F448" s="1"/>
      <c r="G448" s="1"/>
      <c r="H448" s="1"/>
      <c r="I448" s="1"/>
      <c r="J448" s="1"/>
      <c r="K448" s="1"/>
    </row>
    <row r="449" spans="2:11" x14ac:dyDescent="0.3">
      <c r="B449" s="1"/>
      <c r="C449" s="1"/>
      <c r="D449" s="1"/>
      <c r="E449" s="1"/>
      <c r="F449" s="1"/>
      <c r="G449" s="1"/>
      <c r="H449" s="1"/>
      <c r="I449" s="1"/>
      <c r="J449" s="1"/>
      <c r="K449" s="1"/>
    </row>
    <row r="450" spans="2:11" x14ac:dyDescent="0.3">
      <c r="B450" s="1"/>
      <c r="C450" s="1"/>
      <c r="D450" s="1"/>
      <c r="E450" s="1"/>
      <c r="F450" s="1"/>
      <c r="G450" s="1"/>
      <c r="H450" s="1"/>
      <c r="I450" s="1"/>
      <c r="J450" s="1"/>
      <c r="K450" s="1"/>
    </row>
    <row r="451" spans="2:11" x14ac:dyDescent="0.3">
      <c r="B451" s="1"/>
      <c r="C451" s="1"/>
      <c r="D451" s="1"/>
      <c r="E451" s="1"/>
      <c r="F451" s="1"/>
      <c r="G451" s="1"/>
      <c r="H451" s="1"/>
      <c r="I451" s="1"/>
      <c r="J451" s="1"/>
      <c r="K451" s="1"/>
    </row>
    <row r="452" spans="2:11" x14ac:dyDescent="0.3">
      <c r="B452" s="1"/>
      <c r="C452" s="1"/>
      <c r="D452" s="1"/>
      <c r="E452" s="1"/>
      <c r="F452" s="1"/>
      <c r="G452" s="1"/>
      <c r="H452" s="1"/>
      <c r="I452" s="1"/>
      <c r="J452" s="1"/>
      <c r="K452" s="1"/>
    </row>
    <row r="453" spans="2:11" x14ac:dyDescent="0.3">
      <c r="B453" s="1"/>
      <c r="C453" s="1"/>
      <c r="D453" s="1"/>
      <c r="E453" s="1"/>
      <c r="F453" s="1"/>
      <c r="G453" s="1"/>
      <c r="H453" s="1"/>
      <c r="I453" s="1"/>
      <c r="J453" s="1"/>
      <c r="K453" s="1"/>
    </row>
    <row r="454" spans="2:11" x14ac:dyDescent="0.3">
      <c r="B454" s="1"/>
      <c r="C454" s="1"/>
      <c r="D454" s="1"/>
      <c r="E454" s="1"/>
      <c r="F454" s="1"/>
      <c r="G454" s="1"/>
      <c r="H454" s="1"/>
      <c r="I454" s="1"/>
      <c r="J454" s="1"/>
      <c r="K454" s="1"/>
    </row>
    <row r="455" spans="2:11" x14ac:dyDescent="0.3">
      <c r="B455" s="1"/>
      <c r="C455" s="1"/>
      <c r="D455" s="1"/>
      <c r="E455" s="1"/>
      <c r="F455" s="1"/>
      <c r="G455" s="1"/>
      <c r="H455" s="1"/>
      <c r="I455" s="1"/>
      <c r="J455" s="1"/>
      <c r="K455" s="1"/>
    </row>
    <row r="456" spans="2:11" x14ac:dyDescent="0.3">
      <c r="B456" s="1"/>
      <c r="C456" s="1"/>
      <c r="D456" s="1"/>
      <c r="E456" s="1"/>
      <c r="F456" s="1"/>
      <c r="G456" s="1"/>
      <c r="H456" s="1"/>
      <c r="I456" s="1"/>
      <c r="J456" s="1"/>
      <c r="K456" s="1"/>
    </row>
  </sheetData>
  <mergeCells count="6">
    <mergeCell ref="B2:L2"/>
    <mergeCell ref="B7:C7"/>
    <mergeCell ref="B4:C4"/>
    <mergeCell ref="B5:C5"/>
    <mergeCell ref="B6:C6"/>
    <mergeCell ref="E4:J7"/>
  </mergeCells>
  <hyperlinks>
    <hyperlink ref="B5:C5" location="Budget!A1" display="Income in 2023" xr:uid="{B59FF9BD-7D2D-45C9-A6AB-D32367FCAC66}"/>
    <hyperlink ref="B6:C6" location="Budget!A1" display="Expenses in 2023" xr:uid="{FE8C3713-A1B7-4E14-BF4F-7367B32257D6}"/>
    <hyperlink ref="B4:C4" location="Networth!A1" display="Wealth in 2023" xr:uid="{7C143030-343F-4145-AA8A-D52670E243CB}"/>
    <hyperlink ref="K4" location="WAR!A1" display="Growth Rate of Wealth" xr:uid="{368738A0-0CBA-446E-A2BC-73D28D07995C}"/>
    <hyperlink ref="K5" location="Budget!M4" display="Income Increase Rate" xr:uid="{63FBB02C-EBC2-414F-ABF3-CB66481EB7B0}"/>
    <hyperlink ref="K6" location="Budget!J129" display="Expense Increase Rate" xr:uid="{FE32E056-EEAC-4289-83CB-CD9995BD5BBA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30846-CE10-463E-AA94-D1B40A32E33F}">
  <sheetPr codeName="Sheet10"/>
  <dimension ref="A1:L78"/>
  <sheetViews>
    <sheetView workbookViewId="0">
      <selection activeCell="G2" sqref="G2:G78"/>
    </sheetView>
  </sheetViews>
  <sheetFormatPr defaultRowHeight="14.4" x14ac:dyDescent="0.3"/>
  <cols>
    <col min="2" max="2" width="11.33203125" customWidth="1"/>
    <col min="3" max="3" width="27.88671875" bestFit="1" customWidth="1"/>
    <col min="4" max="4" width="18.33203125" customWidth="1"/>
    <col min="5" max="6" width="18.44140625" customWidth="1"/>
    <col min="7" max="7" width="22.109375" bestFit="1" customWidth="1"/>
    <col min="8" max="8" width="20.33203125" customWidth="1"/>
    <col min="9" max="9" width="15" customWidth="1"/>
    <col min="10" max="10" width="10.33203125" hidden="1" customWidth="1"/>
    <col min="11" max="11" width="31.6640625" customWidth="1"/>
    <col min="12" max="12" width="9.44140625" bestFit="1" customWidth="1"/>
  </cols>
  <sheetData>
    <row r="1" spans="1:12" s="93" customFormat="1" ht="17.25" customHeight="1" x14ac:dyDescent="0.3">
      <c r="A1" s="93" t="s">
        <v>204</v>
      </c>
      <c r="B1" s="93" t="s">
        <v>168</v>
      </c>
      <c r="C1" s="93" t="s">
        <v>398</v>
      </c>
      <c r="D1" s="93" t="s">
        <v>399</v>
      </c>
      <c r="E1" s="93" t="s">
        <v>149</v>
      </c>
      <c r="F1" s="103" t="s">
        <v>400</v>
      </c>
      <c r="G1" s="103" t="s">
        <v>401</v>
      </c>
      <c r="H1" s="103" t="s">
        <v>402</v>
      </c>
      <c r="I1" s="103" t="s">
        <v>199</v>
      </c>
      <c r="J1" s="103" t="s">
        <v>342</v>
      </c>
      <c r="K1" s="93" t="s">
        <v>403</v>
      </c>
      <c r="L1" s="93" t="s">
        <v>404</v>
      </c>
    </row>
    <row r="2" spans="1:12" s="90" customFormat="1" ht="17.25" customHeight="1" x14ac:dyDescent="0.3">
      <c r="A2" s="90">
        <f>'Yearly Budget'!B1</f>
        <v>49</v>
      </c>
      <c r="B2" s="90">
        <f>'Cashflow Working'!B3</f>
        <v>2025</v>
      </c>
      <c r="C2" s="92">
        <f>WAR!L9</f>
        <v>66194949</v>
      </c>
      <c r="D2" s="194">
        <f>'NWGC - SCENARIOS'!$L$4</f>
        <v>7.5674563704248798E-2</v>
      </c>
      <c r="E2" s="104">
        <f>(working!C2-'NWGC - SCENARIOS'!H11)*D2</f>
        <v>5009273.8850000007</v>
      </c>
      <c r="F2" s="104">
        <f>IF(('NWGC - SCENARIOS'!D11-'NWGC - SCENARIOS'!E11)&lt;0,0,('NWGC - SCENARIOS'!D11-'NWGC - SCENARIOS'!E11-G2))</f>
        <v>5975149</v>
      </c>
      <c r="G2" s="92">
        <f>'Yoy WAR OG'!EM4+'Yoy WAR OG'!ES4+'Yoy WAR OG'!EY4+'Yoy WAR OG'!CW4</f>
        <v>2677332</v>
      </c>
      <c r="H2" s="92"/>
      <c r="I2" s="88">
        <f>'Cashflow Working'!K3</f>
        <v>0</v>
      </c>
      <c r="J2" s="90">
        <f>IFERROR(IF(A2&gt;='NWGC - SCENARIOS'!D7,'NWGC - SCENARIOS'!#REF!,0),0)</f>
        <v>0</v>
      </c>
      <c r="K2" s="92">
        <f>C2+E2+'NWGC - SCENARIOS'!G11-'NWGC - SCENARIOS'!H11</f>
        <v>79856703.885000005</v>
      </c>
    </row>
    <row r="3" spans="1:12" s="90" customFormat="1" ht="17.25" customHeight="1" x14ac:dyDescent="0.3">
      <c r="A3" s="90">
        <f>A2+1</f>
        <v>50</v>
      </c>
      <c r="B3" s="90">
        <f>'Cashflow Working'!B4</f>
        <v>2026</v>
      </c>
      <c r="C3" s="92">
        <f t="shared" ref="C3:C34" si="0">K2</f>
        <v>79856703.885000005</v>
      </c>
      <c r="D3" s="194">
        <f>'NWGC - SCENARIOS'!$L$4</f>
        <v>7.5674563704248798E-2</v>
      </c>
      <c r="E3" s="104">
        <f ca="1">(working!C3-'NWGC - SCENARIOS'!H12)*D3</f>
        <v>6043121.2253567651</v>
      </c>
      <c r="F3" s="104">
        <f ca="1">IF(('NWGC - SCENARIOS'!D12-'NWGC - SCENARIOS'!E12)&lt;0,0,('NWGC - SCENARIOS'!D12-'NWGC - SCENARIOS'!E12-G3))</f>
        <v>6851738.4963842463</v>
      </c>
      <c r="G3" s="92">
        <f>'Yoy WAR OG'!EM5+'Yoy WAR OG'!ES5+'Yoy WAR OG'!EY5+'Yoy WAR OG'!CW5</f>
        <v>2782617.3036157549</v>
      </c>
      <c r="H3" s="92"/>
      <c r="I3" s="88">
        <f>'Cashflow Working'!K4</f>
        <v>0</v>
      </c>
      <c r="J3" s="104">
        <f>IFERROR(IF(A3&gt;='NWGC - SCENARIOS'!$D$7,('NWGC - SCENARIOS'!#REF!*(1+'NWGC - SCENARIOS'!#REF!)^(B3-2020)),0),0)</f>
        <v>0</v>
      </c>
      <c r="K3" s="92">
        <f ca="1">C3+E3+'NWGC - SCENARIOS'!G12-'NWGC - SCENARIOS'!H12</f>
        <v>95534180.910356775</v>
      </c>
    </row>
    <row r="4" spans="1:12" s="90" customFormat="1" ht="17.25" customHeight="1" x14ac:dyDescent="0.3">
      <c r="A4" s="90">
        <f t="shared" ref="A4:A67" si="1">A3+1</f>
        <v>51</v>
      </c>
      <c r="B4" s="90">
        <f>'Cashflow Working'!B5</f>
        <v>2027</v>
      </c>
      <c r="C4" s="92">
        <f t="shared" ca="1" si="0"/>
        <v>95534180.910356775</v>
      </c>
      <c r="D4" s="194">
        <f>'NWGC - SCENARIOS'!$L$4</f>
        <v>7.5674563704248798E-2</v>
      </c>
      <c r="E4" s="104">
        <f ca="1">(working!C4-'NWGC - SCENARIOS'!H13)*D4</f>
        <v>7229507.4592340235</v>
      </c>
      <c r="F4" s="104">
        <f ca="1">IF(('NWGC - SCENARIOS'!D13-'NWGC - SCENARIOS'!E13)&lt;0,0,('NWGC - SCENARIOS'!D13-'NWGC - SCENARIOS'!E13-G4))</f>
        <v>7304888.2220866419</v>
      </c>
      <c r="G4" s="92">
        <f>'Yoy WAR OG'!EM6+'Yoy WAR OG'!ES6+'Yoy WAR OG'!EY6+'Yoy WAR OG'!CW6</f>
        <v>2896216.3619133607</v>
      </c>
      <c r="H4" s="92"/>
      <c r="I4" s="88">
        <f>'Cashflow Working'!K5</f>
        <v>0</v>
      </c>
      <c r="J4" s="104">
        <f>IFERROR(IF(A4&gt;='NWGC - SCENARIOS'!$D$7,('NWGC - SCENARIOS'!#REF!*(1+'NWGC - SCENARIOS'!#REF!)^(B4-2020)),0),0)</f>
        <v>0</v>
      </c>
      <c r="K4" s="92">
        <f ca="1">C4+E4+'NWGC - SCENARIOS'!G13-'NWGC - SCENARIOS'!H13</f>
        <v>112964792.95359081</v>
      </c>
    </row>
    <row r="5" spans="1:12" s="90" customFormat="1" ht="17.25" customHeight="1" x14ac:dyDescent="0.3">
      <c r="A5" s="90">
        <f t="shared" si="1"/>
        <v>52</v>
      </c>
      <c r="B5" s="90">
        <f>'Cashflow Working'!B6</f>
        <v>2028</v>
      </c>
      <c r="C5" s="92">
        <f t="shared" ca="1" si="0"/>
        <v>112964792.95359081</v>
      </c>
      <c r="D5" s="194">
        <f>'NWGC - SCENARIOS'!$L$4</f>
        <v>7.5674563704248798E-2</v>
      </c>
      <c r="E5" s="104">
        <f ca="1">(working!C5-'NWGC - SCENARIOS'!H14)*D5</f>
        <v>8548561.4207037836</v>
      </c>
      <c r="F5" s="104">
        <f ca="1">IF(('NWGC - SCENARIOS'!D14-'NWGC - SCENARIOS'!E14)&lt;0,0,('NWGC - SCENARIOS'!D14-'NWGC - SCENARIOS'!E14-G5))</f>
        <v>8262430.6873792261</v>
      </c>
      <c r="G5" s="92">
        <f>'Yoy WAR OG'!EM7+'Yoy WAR OG'!ES7+'Yoy WAR OG'!EY7+'Yoy WAR OG'!CW7</f>
        <v>3018785.6626887047</v>
      </c>
      <c r="H5" s="92"/>
      <c r="I5" s="88">
        <f>'Cashflow Working'!K6</f>
        <v>0</v>
      </c>
      <c r="J5" s="104">
        <f>IFERROR(IF(A5&gt;='NWGC - SCENARIOS'!$D$7,('NWGC - SCENARIOS'!#REF!*(1+'NWGC - SCENARIOS'!#REF!)^(B5-2020)),0),0)</f>
        <v>0</v>
      </c>
      <c r="K5" s="92">
        <f ca="1">C5+E5+'NWGC - SCENARIOS'!G14-'NWGC - SCENARIOS'!H14</f>
        <v>132794570.72436252</v>
      </c>
    </row>
    <row r="6" spans="1:12" s="90" customFormat="1" ht="17.25" customHeight="1" x14ac:dyDescent="0.3">
      <c r="A6" s="90">
        <f t="shared" si="1"/>
        <v>53</v>
      </c>
      <c r="B6" s="90">
        <f>'Cashflow Working'!B7</f>
        <v>2029</v>
      </c>
      <c r="C6" s="92">
        <f t="shared" ca="1" si="0"/>
        <v>132794570.72436252</v>
      </c>
      <c r="D6" s="194">
        <f>'NWGC - SCENARIOS'!$L$4</f>
        <v>7.5674563704248798E-2</v>
      </c>
      <c r="E6" s="104">
        <f ca="1">(working!C6-'NWGC - SCENARIOS'!H15)*D6</f>
        <v>9783585.5934881009</v>
      </c>
      <c r="F6" s="104">
        <f ca="1">IF(('NWGC - SCENARIOS'!D15-'NWGC - SCENARIOS'!E15)&lt;0,0,('NWGC - SCENARIOS'!D15-'NWGC - SCENARIOS'!E15-G6))</f>
        <v>9424355.6497004069</v>
      </c>
      <c r="G6" s="92">
        <f>'Yoy WAR OG'!EM8+'Yoy WAR OG'!ES8+'Yoy WAR OG'!EY8+'Yoy WAR OG'!CW8</f>
        <v>3151033.532677195</v>
      </c>
      <c r="H6" s="92"/>
      <c r="I6" s="88">
        <f>'Cashflow Working'!K7</f>
        <v>0</v>
      </c>
      <c r="J6" s="104">
        <f>IFERROR(IF(A6&gt;='NWGC - SCENARIOS'!$D$7,('NWGC - SCENARIOS'!#REF!*(1+'NWGC - SCENARIOS'!#REF!)^(B6-2020)),0),0)</f>
        <v>0</v>
      </c>
      <c r="K6" s="92">
        <f ca="1">C6+E6+'NWGC - SCENARIOS'!G15-'NWGC - SCENARIOS'!H15</f>
        <v>151643969.82022822</v>
      </c>
    </row>
    <row r="7" spans="1:12" s="90" customFormat="1" ht="17.25" customHeight="1" x14ac:dyDescent="0.3">
      <c r="A7" s="90">
        <f t="shared" si="1"/>
        <v>54</v>
      </c>
      <c r="B7" s="90">
        <f>'Cashflow Working'!B8</f>
        <v>2030</v>
      </c>
      <c r="C7" s="92">
        <f t="shared" ca="1" si="0"/>
        <v>151643969.82022822</v>
      </c>
      <c r="D7" s="194">
        <f>'NWGC - SCENARIOS'!$L$4</f>
        <v>7.5674563704248798E-2</v>
      </c>
      <c r="E7" s="104">
        <f ca="1">(working!C7-'NWGC - SCENARIOS'!H16)*D7</f>
        <v>10322106.623957165</v>
      </c>
      <c r="F7" s="104">
        <f ca="1">IF(('NWGC - SCENARIOS'!D16-'NWGC - SCENARIOS'!E16)&lt;0,0,('NWGC - SCENARIOS'!D16-'NWGC - SCENARIOS'!E16-G7))</f>
        <v>10293336.968501091</v>
      </c>
      <c r="G7" s="92">
        <f>'Yoy WAR OG'!EM9+'Yoy WAR OG'!ES9+'Yoy WAR OG'!EY9+'Yoy WAR OG'!CW9</f>
        <v>3293724.2309667198</v>
      </c>
      <c r="H7" s="92"/>
      <c r="I7" s="88">
        <f>'Cashflow Working'!K8</f>
        <v>0</v>
      </c>
      <c r="J7" s="104">
        <f>IFERROR(IF(A7&gt;='NWGC - SCENARIOS'!$D$7,('NWGC - SCENARIOS'!#REF!*(1+'NWGC - SCENARIOS'!#REF!)^(B7-2020)),0),0)</f>
        <v>0</v>
      </c>
      <c r="K7" s="92">
        <f ca="1">C7+E7+'NWGC - SCENARIOS'!G16-'NWGC - SCENARIOS'!H16</f>
        <v>160310438.19345319</v>
      </c>
    </row>
    <row r="8" spans="1:12" s="90" customFormat="1" ht="17.25" customHeight="1" x14ac:dyDescent="0.3">
      <c r="A8" s="90">
        <f t="shared" si="1"/>
        <v>55</v>
      </c>
      <c r="B8" s="90">
        <f>'Cashflow Working'!B9</f>
        <v>2031</v>
      </c>
      <c r="C8" s="92">
        <f t="shared" ca="1" si="0"/>
        <v>160310438.19345319</v>
      </c>
      <c r="D8" s="194">
        <f>'NWGC - SCENARIOS'!$L$4</f>
        <v>7.5674563704248798E-2</v>
      </c>
      <c r="E8" s="104">
        <f ca="1">(working!C8-'NWGC - SCENARIOS'!H17)*D8</f>
        <v>11844165.073512394</v>
      </c>
      <c r="F8" s="104">
        <f ca="1">IF(('NWGC - SCENARIOS'!D17-'NWGC - SCENARIOS'!E17)&lt;0,0,('NWGC - SCENARIOS'!D17-'NWGC - SCENARIOS'!E17-G8))</f>
        <v>14679302.326050239</v>
      </c>
      <c r="G8" s="92">
        <f>'Yoy WAR OG'!EM10+'Yoy WAR OG'!ES10+'Yoy WAR OG'!EY10+'Yoy WAR OG'!CW10</f>
        <v>0</v>
      </c>
      <c r="H8" s="92"/>
      <c r="I8" s="88">
        <f>'Cashflow Working'!K9</f>
        <v>0</v>
      </c>
      <c r="J8" s="104">
        <f>IFERROR(IF(A8&gt;='NWGC - SCENARIOS'!$D$7,('NWGC - SCENARIOS'!#REF!*(1+'NWGC - SCENARIOS'!#REF!)^(B8-2020)),0),0)</f>
        <v>0</v>
      </c>
      <c r="K8" s="92">
        <f ca="1">C8+E8+'NWGC - SCENARIOS'!G17-'NWGC - SCENARIOS'!H17</f>
        <v>183037948.53752786</v>
      </c>
    </row>
    <row r="9" spans="1:12" s="90" customFormat="1" ht="17.25" customHeight="1" x14ac:dyDescent="0.3">
      <c r="A9" s="90">
        <f t="shared" si="1"/>
        <v>56</v>
      </c>
      <c r="B9" s="90">
        <f>'Cashflow Working'!B10</f>
        <v>2032</v>
      </c>
      <c r="C9" s="92">
        <f t="shared" ca="1" si="0"/>
        <v>183037948.53752786</v>
      </c>
      <c r="D9" s="194">
        <f>'NWGC - SCENARIOS'!$L$4</f>
        <v>7.5674563704248798E-2</v>
      </c>
      <c r="E9" s="104">
        <f ca="1">(working!C9-'NWGC - SCENARIOS'!H18)*D9</f>
        <v>13552569.207123481</v>
      </c>
      <c r="F9" s="104">
        <f ca="1">IF(('NWGC - SCENARIOS'!D18-'NWGC - SCENARIOS'!E18)&lt;0,0,('NWGC - SCENARIOS'!D18-'NWGC - SCENARIOS'!E18-G9))</f>
        <v>4039720.3409783109</v>
      </c>
      <c r="G9" s="92">
        <f>'Yoy WAR OG'!EM11+'Yoy WAR OG'!ES11+'Yoy WAR OG'!EY11+'Yoy WAR OG'!CW11</f>
        <v>0</v>
      </c>
      <c r="H9" s="92"/>
      <c r="I9" s="88">
        <f>'Cashflow Working'!K10</f>
        <v>0</v>
      </c>
      <c r="J9" s="104">
        <f>IFERROR(IF(A9&gt;='NWGC - SCENARIOS'!$D$7,('NWGC - SCENARIOS'!#REF!*(1+'NWGC - SCENARIOS'!#REF!)^(B9-2020)),0),0)</f>
        <v>0</v>
      </c>
      <c r="K9" s="92">
        <f ca="1">C9+E9+'NWGC - SCENARIOS'!G18-'NWGC - SCENARIOS'!H18</f>
        <v>196682442.74792215</v>
      </c>
    </row>
    <row r="10" spans="1:12" s="90" customFormat="1" ht="17.25" customHeight="1" x14ac:dyDescent="0.3">
      <c r="A10" s="90">
        <f t="shared" si="1"/>
        <v>57</v>
      </c>
      <c r="B10" s="90">
        <f>'Cashflow Working'!B11</f>
        <v>2033</v>
      </c>
      <c r="C10" s="92">
        <f t="shared" ca="1" si="0"/>
        <v>196682442.74792215</v>
      </c>
      <c r="D10" s="194">
        <f>'NWGC - SCENARIOS'!$L$4</f>
        <v>7.5674563704248798E-2</v>
      </c>
      <c r="E10" s="104">
        <f ca="1">(working!C10-'NWGC - SCENARIOS'!H19)*D10</f>
        <v>14883858.043234902</v>
      </c>
      <c r="F10" s="104">
        <f ca="1">IF(('NWGC - SCENARIOS'!D19-'NWGC - SCENARIOS'!E19)&lt;0,0,('NWGC - SCENARIOS'!D19-'NWGC - SCENARIOS'!E19-G10))</f>
        <v>13341179.213564388</v>
      </c>
      <c r="G10" s="92">
        <f>'Yoy WAR OG'!EM12+'Yoy WAR OG'!ES12+'Yoy WAR OG'!EY12+'Yoy WAR OG'!CW12</f>
        <v>0</v>
      </c>
      <c r="H10" s="92"/>
      <c r="I10" s="88">
        <f>'Cashflow Working'!K11</f>
        <v>0</v>
      </c>
      <c r="J10" s="104">
        <f>IFERROR(IF(A10&gt;='NWGC - SCENARIOS'!$D$7,('NWGC - SCENARIOS'!#REF!*(1+'NWGC - SCENARIOS'!#REF!)^(B10-2020)),0),0)</f>
        <v>0</v>
      </c>
      <c r="K10" s="92">
        <f ca="1">C10+E10+'NWGC - SCENARIOS'!G19-'NWGC - SCENARIOS'!H19</f>
        <v>224907480.00472146</v>
      </c>
    </row>
    <row r="11" spans="1:12" s="90" customFormat="1" ht="17.25" customHeight="1" x14ac:dyDescent="0.3">
      <c r="A11" s="90">
        <f t="shared" si="1"/>
        <v>58</v>
      </c>
      <c r="B11" s="90">
        <f>'Cashflow Working'!B12</f>
        <v>2034</v>
      </c>
      <c r="C11" s="92">
        <f t="shared" ca="1" si="0"/>
        <v>224907480.00472146</v>
      </c>
      <c r="D11" s="194">
        <f>'NWGC - SCENARIOS'!$L$4</f>
        <v>7.5674563704248798E-2</v>
      </c>
      <c r="E11" s="104">
        <f ca="1">(working!C11-'NWGC - SCENARIOS'!H20)*D11</f>
        <v>17019775.423179358</v>
      </c>
      <c r="F11" s="104">
        <f ca="1">IF(('NWGC - SCENARIOS'!D20-'NWGC - SCENARIOS'!E20)&lt;0,0,('NWGC - SCENARIOS'!D20-'NWGC - SCENARIOS'!E20-G11))</f>
        <v>3920135.2340811789</v>
      </c>
      <c r="G11" s="92">
        <f>'Yoy WAR OG'!EM13+'Yoy WAR OG'!ES13+'Yoy WAR OG'!EY13+'Yoy WAR OG'!CW13</f>
        <v>0</v>
      </c>
      <c r="H11" s="92"/>
      <c r="I11" s="88">
        <f>'Cashflow Working'!K12</f>
        <v>0</v>
      </c>
      <c r="J11" s="104">
        <f>IFERROR(IF(A11&gt;='NWGC - SCENARIOS'!$D$7,('NWGC - SCENARIOS'!#REF!*(1+'NWGC - SCENARIOS'!#REF!)^(B11-2020)),0),0)</f>
        <v>0</v>
      </c>
      <c r="K11" s="92">
        <f ca="1">C11+E11+'NWGC - SCENARIOS'!G20-'NWGC - SCENARIOS'!H20</f>
        <v>245847390.661982</v>
      </c>
    </row>
    <row r="12" spans="1:12" s="90" customFormat="1" ht="17.25" customHeight="1" x14ac:dyDescent="0.3">
      <c r="A12" s="90">
        <f t="shared" si="1"/>
        <v>59</v>
      </c>
      <c r="B12" s="90">
        <f>'Cashflow Working'!B13</f>
        <v>2035</v>
      </c>
      <c r="C12" s="92">
        <f t="shared" ca="1" si="0"/>
        <v>245847390.661982</v>
      </c>
      <c r="D12" s="194">
        <f>'NWGC - SCENARIOS'!$L$4</f>
        <v>7.5674563704248798E-2</v>
      </c>
      <c r="E12" s="104">
        <f ca="1">(working!C12-'NWGC - SCENARIOS'!H21)*D12</f>
        <v>18277642.611695867</v>
      </c>
      <c r="F12" s="104">
        <f ca="1">IF(('NWGC - SCENARIOS'!D21-'NWGC - SCENARIOS'!E21)&lt;0,0,('NWGC - SCENARIOS'!D21-'NWGC - SCENARIOS'!E21-G12))</f>
        <v>3994326.820410898</v>
      </c>
      <c r="G12" s="92">
        <f>'Yoy WAR OG'!EM14+'Yoy WAR OG'!ES14+'Yoy WAR OG'!EY14+'Yoy WAR OG'!CW14</f>
        <v>0</v>
      </c>
      <c r="H12" s="92"/>
      <c r="I12" s="88">
        <f>'Cashflow Working'!K13</f>
        <v>0</v>
      </c>
      <c r="J12" s="104">
        <f>IFERROR(IF(A12&gt;='NWGC - SCENARIOS'!$D$7,('NWGC - SCENARIOS'!#REF!*(1+'NWGC - SCENARIOS'!#REF!)^(B12-2020)),0),0)</f>
        <v>0</v>
      </c>
      <c r="K12" s="92">
        <f ca="1">C12+E12+'NWGC - SCENARIOS'!G21-'NWGC - SCENARIOS'!H21</f>
        <v>263801510.09954318</v>
      </c>
    </row>
    <row r="13" spans="1:12" s="90" customFormat="1" ht="17.25" customHeight="1" x14ac:dyDescent="0.3">
      <c r="A13" s="90">
        <f t="shared" si="1"/>
        <v>60</v>
      </c>
      <c r="B13" s="90">
        <f>'Cashflow Working'!B14</f>
        <v>2036</v>
      </c>
      <c r="C13" s="92">
        <f t="shared" ca="1" si="0"/>
        <v>263801510.09954318</v>
      </c>
      <c r="D13" s="194">
        <f>'NWGC - SCENARIOS'!$L$4</f>
        <v>7.5674563704248798E-2</v>
      </c>
      <c r="E13" s="104">
        <f ca="1">(working!C13-'NWGC - SCENARIOS'!H22)*D13</f>
        <v>19874841.299395952</v>
      </c>
      <c r="F13" s="104">
        <f ca="1">IF(('NWGC - SCENARIOS'!D22-'NWGC - SCENARIOS'!E22)&lt;0,0,('NWGC - SCENARIOS'!D22-'NWGC - SCENARIOS'!E22-G13))</f>
        <v>3363327.0729107689</v>
      </c>
      <c r="G13" s="92">
        <f>'Yoy WAR OG'!EM15+'Yoy WAR OG'!ES15+'Yoy WAR OG'!EY15+'Yoy WAR OG'!CW15</f>
        <v>0</v>
      </c>
      <c r="H13" s="92"/>
      <c r="I13" s="88">
        <f>'Cashflow Working'!K14</f>
        <v>0</v>
      </c>
      <c r="J13" s="104">
        <f>IFERROR(IF(A13&gt;='NWGC - SCENARIOS'!$D$7,('NWGC - SCENARIOS'!#REF!*(1+'NWGC - SCENARIOS'!#REF!)^(B13-2020)),0),0)</f>
        <v>0</v>
      </c>
      <c r="K13" s="92">
        <f ca="1">C13+E13+'NWGC - SCENARIOS'!G22-'NWGC - SCENARIOS'!H22</f>
        <v>285873858.97332263</v>
      </c>
    </row>
    <row r="14" spans="1:12" s="90" customFormat="1" ht="17.25" customHeight="1" x14ac:dyDescent="0.3">
      <c r="A14" s="90">
        <f t="shared" si="1"/>
        <v>61</v>
      </c>
      <c r="B14" s="90">
        <f>'Cashflow Working'!B15</f>
        <v>2037</v>
      </c>
      <c r="C14" s="92">
        <f t="shared" ca="1" si="0"/>
        <v>285873858.97332263</v>
      </c>
      <c r="D14" s="194">
        <f>'NWGC - SCENARIOS'!$L$4</f>
        <v>7.5674563704248798E-2</v>
      </c>
      <c r="E14" s="104">
        <f ca="1">(working!C14-'NWGC - SCENARIOS'!H23)*D14</f>
        <v>21633379.552256141</v>
      </c>
      <c r="F14" s="104">
        <f ca="1">IF(('NWGC - SCENARIOS'!D23-'NWGC - SCENARIOS'!E23)&lt;0,0,('NWGC - SCENARIOS'!D23-'NWGC - SCENARIOS'!E23-G14))</f>
        <v>3369122.3350261813</v>
      </c>
      <c r="G14" s="92">
        <f>'Yoy WAR OG'!EM16+'Yoy WAR OG'!ES16+'Yoy WAR OG'!EY16+'Yoy WAR OG'!CW16</f>
        <v>0</v>
      </c>
      <c r="H14" s="92"/>
      <c r="I14" s="88">
        <f>'Cashflow Working'!K15</f>
        <v>0</v>
      </c>
      <c r="J14" s="104">
        <f>IFERROR(IF(A14&gt;='NWGC - SCENARIOS'!$D$7,('NWGC - SCENARIOS'!#REF!*(1+'NWGC - SCENARIOS'!#REF!)^(B14-2020)),0),0)</f>
        <v>0</v>
      </c>
      <c r="K14" s="92">
        <f ca="1">C14+E14+'NWGC - SCENARIOS'!G23-'NWGC - SCENARIOS'!H23</f>
        <v>310876360.860605</v>
      </c>
    </row>
    <row r="15" spans="1:12" s="90" customFormat="1" ht="17.25" customHeight="1" x14ac:dyDescent="0.3">
      <c r="A15" s="90">
        <f t="shared" si="1"/>
        <v>62</v>
      </c>
      <c r="B15" s="90">
        <f>'Cashflow Working'!B16</f>
        <v>2038</v>
      </c>
      <c r="C15" s="92">
        <f t="shared" ca="1" si="0"/>
        <v>310876360.860605</v>
      </c>
      <c r="D15" s="194">
        <f>'NWGC - SCENARIOS'!$L$4</f>
        <v>7.5674563704248798E-2</v>
      </c>
      <c r="E15" s="104">
        <f ca="1">(working!C15-'NWGC - SCENARIOS'!H24)*D15</f>
        <v>23525432.974090893</v>
      </c>
      <c r="F15" s="104">
        <f ca="1">IF(('NWGC - SCENARIOS'!D24-'NWGC - SCENARIOS'!E24)&lt;0,0,('NWGC - SCENARIOS'!D24-'NWGC - SCENARIOS'!E24-G15))</f>
        <v>3362553.6729249582</v>
      </c>
      <c r="G15" s="92">
        <f>'Yoy WAR OG'!EM17+'Yoy WAR OG'!ES17+'Yoy WAR OG'!EY17+'Yoy WAR OG'!CW17</f>
        <v>0</v>
      </c>
      <c r="H15" s="92"/>
      <c r="I15" s="88">
        <f>'Cashflow Working'!K16</f>
        <v>0</v>
      </c>
      <c r="J15" s="104">
        <f>IFERROR(IF(A15&gt;='NWGC - SCENARIOS'!$D$7,('NWGC - SCENARIOS'!#REF!*(1+'NWGC - SCENARIOS'!#REF!)^(B15-2020)),0),0)</f>
        <v>0</v>
      </c>
      <c r="K15" s="92">
        <f ca="1">C15+E15+'NWGC - SCENARIOS'!G24-'NWGC - SCENARIOS'!H24</f>
        <v>337764347.50762081</v>
      </c>
    </row>
    <row r="16" spans="1:12" s="90" customFormat="1" ht="17.25" customHeight="1" x14ac:dyDescent="0.3">
      <c r="A16" s="90">
        <f t="shared" si="1"/>
        <v>63</v>
      </c>
      <c r="B16" s="90">
        <f>'Cashflow Working'!B17</f>
        <v>2039</v>
      </c>
      <c r="C16" s="92">
        <f t="shared" ca="1" si="0"/>
        <v>337764347.50762081</v>
      </c>
      <c r="D16" s="194">
        <f>'NWGC - SCENARIOS'!$L$4</f>
        <v>7.5674563704248798E-2</v>
      </c>
      <c r="E16" s="104">
        <f ca="1">(working!C16-'NWGC - SCENARIOS'!H25)*D16</f>
        <v>25063921.012941711</v>
      </c>
      <c r="F16" s="104">
        <f ca="1">IF(('NWGC - SCENARIOS'!D25-'NWGC - SCENARIOS'!E25)&lt;0,0,('NWGC - SCENARIOS'!D25-'NWGC - SCENARIOS'!E25-G16))</f>
        <v>0</v>
      </c>
      <c r="G16" s="92">
        <f>'Yoy WAR OG'!EM18+'Yoy WAR OG'!ES18+'Yoy WAR OG'!EY18+'Yoy WAR OG'!CW18</f>
        <v>0</v>
      </c>
      <c r="H16" s="92"/>
      <c r="I16" s="88">
        <f>'Cashflow Working'!K17</f>
        <v>0</v>
      </c>
      <c r="J16" s="104">
        <f>IFERROR(IF(A16&gt;='NWGC - SCENARIOS'!$D$7,('NWGC - SCENARIOS'!#REF!*(1+'NWGC - SCENARIOS'!#REF!)^(B16-2020)),0),0)</f>
        <v>0</v>
      </c>
      <c r="K16" s="92">
        <f ca="1">C16+E16+'NWGC - SCENARIOS'!G25-'NWGC - SCENARIOS'!H25</f>
        <v>356270601.11877602</v>
      </c>
    </row>
    <row r="17" spans="1:11" s="90" customFormat="1" ht="17.25" customHeight="1" x14ac:dyDescent="0.3">
      <c r="A17" s="90">
        <f t="shared" si="1"/>
        <v>64</v>
      </c>
      <c r="B17" s="90">
        <f>'Cashflow Working'!B18</f>
        <v>2040</v>
      </c>
      <c r="C17" s="92">
        <f t="shared" ca="1" si="0"/>
        <v>356270601.11877602</v>
      </c>
      <c r="D17" s="194">
        <f>'NWGC - SCENARIOS'!$L$4</f>
        <v>7.5674563704248798E-2</v>
      </c>
      <c r="E17" s="104">
        <f ca="1">(working!C17-'NWGC - SCENARIOS'!H26)*D17</f>
        <v>26424165.258134145</v>
      </c>
      <c r="F17" s="104">
        <f ca="1">IF(('NWGC - SCENARIOS'!D26-'NWGC - SCENARIOS'!E26)&lt;0,0,('NWGC - SCENARIOS'!D26-'NWGC - SCENARIOS'!E26-G17))</f>
        <v>0</v>
      </c>
      <c r="G17" s="92">
        <f>'Yoy WAR OG'!EM19+'Yoy WAR OG'!ES19+'Yoy WAR OG'!EY19+'Yoy WAR OG'!CW19</f>
        <v>0</v>
      </c>
      <c r="H17" s="92"/>
      <c r="I17" s="88">
        <f>'Cashflow Working'!K18</f>
        <v>0</v>
      </c>
      <c r="J17" s="104">
        <f>IFERROR(IF(A17&gt;='NWGC - SCENARIOS'!$D$7,('NWGC - SCENARIOS'!#REF!*(1+'NWGC - SCENARIOS'!#REF!)^(B17-2020)),0),0)</f>
        <v>0</v>
      </c>
      <c r="K17" s="92">
        <f ca="1">C17+E17+'NWGC - SCENARIOS'!G26-'NWGC - SCENARIOS'!H26</f>
        <v>375605765.58298069</v>
      </c>
    </row>
    <row r="18" spans="1:11" s="90" customFormat="1" ht="17.25" customHeight="1" x14ac:dyDescent="0.3">
      <c r="A18" s="90">
        <f t="shared" si="1"/>
        <v>65</v>
      </c>
      <c r="B18" s="90">
        <f>'Cashflow Working'!B19</f>
        <v>2041</v>
      </c>
      <c r="C18" s="92">
        <f t="shared" ca="1" si="0"/>
        <v>375605765.58298069</v>
      </c>
      <c r="D18" s="194">
        <f>'NWGC - SCENARIOS'!$L$4</f>
        <v>7.5674563704248798E-2</v>
      </c>
      <c r="E18" s="104">
        <f ca="1">(working!C18-'NWGC - SCENARIOS'!H27)*D18</f>
        <v>27843920.296670262</v>
      </c>
      <c r="F18" s="104">
        <f ca="1">IF(('NWGC - SCENARIOS'!D27-'NWGC - SCENARIOS'!E27)&lt;0,0,('NWGC - SCENARIOS'!D27-'NWGC - SCENARIOS'!E27-G18))</f>
        <v>0</v>
      </c>
      <c r="G18" s="92">
        <f>'Yoy WAR OG'!EM20+'Yoy WAR OG'!ES20+'Yoy WAR OG'!EY20+'Yoy WAR OG'!CW20</f>
        <v>0</v>
      </c>
      <c r="H18" s="92"/>
      <c r="I18" s="88">
        <f>'Cashflow Working'!K19</f>
        <v>0</v>
      </c>
      <c r="J18" s="104">
        <f>IFERROR(IF(A18&gt;='NWGC - SCENARIOS'!$D$7,('NWGC - SCENARIOS'!#REF!*(1+'NWGC - SCENARIOS'!#REF!)^(B18-2020)),0),0)</f>
        <v>0</v>
      </c>
      <c r="K18" s="92">
        <f ca="1">C18+E18+'NWGC - SCENARIOS'!G27-'NWGC - SCENARIOS'!H27</f>
        <v>395786845.02220714</v>
      </c>
    </row>
    <row r="19" spans="1:11" s="90" customFormat="1" ht="17.25" customHeight="1" x14ac:dyDescent="0.3">
      <c r="A19" s="90">
        <f t="shared" si="1"/>
        <v>66</v>
      </c>
      <c r="B19" s="90">
        <f>'Cashflow Working'!B20</f>
        <v>2042</v>
      </c>
      <c r="C19" s="92">
        <f t="shared" ca="1" si="0"/>
        <v>395786845.02220714</v>
      </c>
      <c r="D19" s="194">
        <f>'NWGC - SCENARIOS'!$L$4</f>
        <v>7.5674563704248798E-2</v>
      </c>
      <c r="E19" s="104">
        <f ca="1">(working!C19-'NWGC - SCENARIOS'!H28)*D19</f>
        <v>29324215.574156642</v>
      </c>
      <c r="F19" s="104">
        <f ca="1">IF(('NWGC - SCENARIOS'!D28-'NWGC - SCENARIOS'!E28)&lt;0,0,('NWGC - SCENARIOS'!D28-'NWGC - SCENARIOS'!E28-G19))</f>
        <v>0</v>
      </c>
      <c r="G19" s="92">
        <f>'Yoy WAR OG'!EM21+'Yoy WAR OG'!ES21+'Yoy WAR OG'!EY21+'Yoy WAR OG'!CW21</f>
        <v>0</v>
      </c>
      <c r="H19" s="92"/>
      <c r="I19" s="88">
        <f>'Cashflow Working'!K20</f>
        <v>0</v>
      </c>
      <c r="J19" s="104">
        <f>IFERROR(IF(A19&gt;='NWGC - SCENARIOS'!$D$7+1,('NWGC - SCENARIOS'!#REF!*(1+'NWGC - SCENARIOS'!#REF!)^(B19-2020)),0),0)</f>
        <v>0</v>
      </c>
      <c r="K19" s="92">
        <f ca="1">C19+E19+'NWGC - SCENARIOS'!G28-'NWGC - SCENARIOS'!H28</f>
        <v>416828472.47032446</v>
      </c>
    </row>
    <row r="20" spans="1:11" s="90" customFormat="1" ht="17.25" customHeight="1" x14ac:dyDescent="0.3">
      <c r="A20" s="90">
        <f t="shared" si="1"/>
        <v>67</v>
      </c>
      <c r="B20" s="90">
        <f>'Cashflow Working'!B21</f>
        <v>2043</v>
      </c>
      <c r="C20" s="92">
        <f t="shared" ca="1" si="0"/>
        <v>416828472.47032446</v>
      </c>
      <c r="D20" s="194">
        <f>'NWGC - SCENARIOS'!$L$4</f>
        <v>7.5674563704248798E-2</v>
      </c>
      <c r="E20" s="104">
        <f ca="1">(working!C20-'NWGC - SCENARIOS'!H29)*D20</f>
        <v>30865880.518429775</v>
      </c>
      <c r="F20" s="104">
        <f ca="1">IF(('NWGC - SCENARIOS'!D29-'NWGC - SCENARIOS'!E29)&lt;0,0,('NWGC - SCENARIOS'!D29-'NWGC - SCENARIOS'!E29-G20))</f>
        <v>0</v>
      </c>
      <c r="G20" s="92">
        <f>'Yoy WAR OG'!EM22+'Yoy WAR OG'!ES22+'Yoy WAR OG'!EY22+'Yoy WAR OG'!CW22</f>
        <v>0</v>
      </c>
      <c r="H20" s="92"/>
      <c r="I20" s="88">
        <f>'Cashflow Working'!K21</f>
        <v>0</v>
      </c>
      <c r="J20" s="104">
        <f>IFERROR(IF(A20&gt;='NWGC - SCENARIOS'!$D$7,('NWGC - SCENARIOS'!#REF!*(1+'NWGC - SCENARIOS'!#REF!)^(B20-2020)),0),0)</f>
        <v>0</v>
      </c>
      <c r="K20" s="92">
        <f ca="1">C20+E20+'NWGC - SCENARIOS'!G29-'NWGC - SCENARIOS'!H29</f>
        <v>438742437.81263179</v>
      </c>
    </row>
    <row r="21" spans="1:11" s="90" customFormat="1" ht="17.25" customHeight="1" x14ac:dyDescent="0.3">
      <c r="A21" s="90">
        <f t="shared" si="1"/>
        <v>68</v>
      </c>
      <c r="B21" s="90">
        <f>'Cashflow Working'!B22</f>
        <v>2044</v>
      </c>
      <c r="C21" s="92">
        <f t="shared" ca="1" si="0"/>
        <v>438742437.81263179</v>
      </c>
      <c r="D21" s="194">
        <f>'NWGC - SCENARIOS'!$L$4</f>
        <v>7.5674563704248798E-2</v>
      </c>
      <c r="E21" s="104">
        <f ca="1">(working!C21-'NWGC - SCENARIOS'!H30)*D21</f>
        <v>32469507.16964918</v>
      </c>
      <c r="F21" s="104">
        <f ca="1">IF(('NWGC - SCENARIOS'!D30-'NWGC - SCENARIOS'!E30)&lt;0,0,('NWGC - SCENARIOS'!D30-'NWGC - SCENARIOS'!E30-G21))</f>
        <v>0</v>
      </c>
      <c r="G21" s="92">
        <f>'Yoy WAR OG'!EM23+'Yoy WAR OG'!ES23+'Yoy WAR OG'!EY23+'Yoy WAR OG'!CW23</f>
        <v>0</v>
      </c>
      <c r="H21" s="92"/>
      <c r="I21" s="88">
        <f>'Cashflow Working'!K22</f>
        <v>0</v>
      </c>
      <c r="J21" s="104">
        <f>IFERROR(IF(A21&gt;='NWGC - SCENARIOS'!$D$7,('NWGC - SCENARIOS'!#REF!*(1+'NWGC - SCENARIOS'!#REF!)^(B21-2020)),0),0)</f>
        <v>0</v>
      </c>
      <c r="K21" s="92">
        <f ca="1">C21+E21+'NWGC - SCENARIOS'!G30-'NWGC - SCENARIOS'!H30</f>
        <v>461537156.59206873</v>
      </c>
    </row>
    <row r="22" spans="1:11" s="90" customFormat="1" ht="17.25" customHeight="1" x14ac:dyDescent="0.3">
      <c r="A22" s="90">
        <f t="shared" si="1"/>
        <v>69</v>
      </c>
      <c r="B22" s="90">
        <f>'Cashflow Working'!B23</f>
        <v>2045</v>
      </c>
      <c r="C22" s="92">
        <f t="shared" ca="1" si="0"/>
        <v>461537156.59206873</v>
      </c>
      <c r="D22" s="194">
        <f>'NWGC - SCENARIOS'!$L$4</f>
        <v>7.5674563704248798E-2</v>
      </c>
      <c r="E22" s="104">
        <f ca="1">(working!C22-'NWGC - SCENARIOS'!H31)*D22</f>
        <v>34135408.203747205</v>
      </c>
      <c r="F22" s="104">
        <f ca="1">IF(('NWGC - SCENARIOS'!D31-'NWGC - SCENARIOS'!E31)&lt;0,0,('NWGC - SCENARIOS'!D31-'NWGC - SCENARIOS'!E31-G22))</f>
        <v>0</v>
      </c>
      <c r="G22" s="92">
        <f>'Yoy WAR OG'!EM24+'Yoy WAR OG'!ES24+'Yoy WAR OG'!EY24+'Yoy WAR OG'!CW24</f>
        <v>0</v>
      </c>
      <c r="H22" s="92"/>
      <c r="I22" s="88">
        <f>'Cashflow Working'!K23</f>
        <v>0</v>
      </c>
      <c r="J22" s="104">
        <f>IFERROR(IF(A22&gt;='NWGC - SCENARIOS'!$D$7,('NWGC - SCENARIOS'!#REF!*(1+'NWGC - SCENARIOS'!#REF!)^(B22-2020)),0),0)</f>
        <v>0</v>
      </c>
      <c r="K22" s="92">
        <f ca="1">C22+E22+'NWGC - SCENARIOS'!G31-'NWGC - SCENARIOS'!H31</f>
        <v>485217073.33438671</v>
      </c>
    </row>
    <row r="23" spans="1:11" s="90" customFormat="1" ht="17.25" customHeight="1" x14ac:dyDescent="0.3">
      <c r="A23" s="90">
        <f t="shared" si="1"/>
        <v>70</v>
      </c>
      <c r="B23" s="90">
        <f>'Cashflow Working'!B24</f>
        <v>2046</v>
      </c>
      <c r="C23" s="92">
        <f t="shared" ca="1" si="0"/>
        <v>485217073.33438671</v>
      </c>
      <c r="D23" s="194">
        <f>'NWGC - SCENARIOS'!$L$4</f>
        <v>7.5674563704248798E-2</v>
      </c>
      <c r="E23" s="104">
        <f ca="1">(working!C23-'NWGC - SCENARIOS'!H32)*D23</f>
        <v>35863569.858334385</v>
      </c>
      <c r="F23" s="104">
        <f ca="1">IF(('NWGC - SCENARIOS'!D32-'NWGC - SCENARIOS'!E32)&lt;0,0,('NWGC - SCENARIOS'!D32-'NWGC - SCENARIOS'!E32-G23))</f>
        <v>0</v>
      </c>
      <c r="G23" s="92">
        <f>'Yoy WAR OG'!EM25+'Yoy WAR OG'!ES25+'Yoy WAR OG'!EY25+'Yoy WAR OG'!CW25</f>
        <v>0</v>
      </c>
      <c r="H23" s="92"/>
      <c r="I23" s="88">
        <f>'Cashflow Working'!K24</f>
        <v>0</v>
      </c>
      <c r="J23" s="104">
        <f>IFERROR(IF(A23&gt;='NWGC - SCENARIOS'!$D$7,('NWGC - SCENARIOS'!#REF!*(1+'NWGC - SCENARIOS'!#REF!)^(B23-2020)),0),0)</f>
        <v>0</v>
      </c>
      <c r="K23" s="92">
        <f ca="1">C23+E23+'NWGC - SCENARIOS'!G32-'NWGC - SCENARIOS'!H32</f>
        <v>509781992.41437751</v>
      </c>
    </row>
    <row r="24" spans="1:11" s="90" customFormat="1" ht="17.25" customHeight="1" x14ac:dyDescent="0.3">
      <c r="A24" s="90">
        <f t="shared" si="1"/>
        <v>71</v>
      </c>
      <c r="B24" s="90">
        <f>'Cashflow Working'!B25</f>
        <v>2047</v>
      </c>
      <c r="C24" s="92">
        <f t="shared" ca="1" si="0"/>
        <v>509781992.41437751</v>
      </c>
      <c r="D24" s="194">
        <f>'NWGC - SCENARIOS'!$L$4</f>
        <v>7.5674563704248798E-2</v>
      </c>
      <c r="E24" s="104">
        <f ca="1">(working!C24-'NWGC - SCENARIOS'!H33)*D24</f>
        <v>37653599.221626952</v>
      </c>
      <c r="F24" s="104">
        <f ca="1">IF(('NWGC - SCENARIOS'!D33-'NWGC - SCENARIOS'!E33)&lt;0,0,('NWGC - SCENARIOS'!D33-'NWGC - SCENARIOS'!E33-G24))</f>
        <v>0</v>
      </c>
      <c r="G24" s="92">
        <f>'Yoy WAR OG'!EM26+'Yoy WAR OG'!ES26+'Yoy WAR OG'!EY26+'Yoy WAR OG'!CW26</f>
        <v>0</v>
      </c>
      <c r="H24" s="92"/>
      <c r="I24" s="88">
        <f>'Cashflow Working'!K25</f>
        <v>0</v>
      </c>
      <c r="J24" s="104">
        <f>IFERROR(IF(A24&gt;='NWGC - SCENARIOS'!$D$7,('NWGC - SCENARIOS'!#REF!*(1+'NWGC - SCENARIOS'!#REF!)^(B24-2020)),0),0)</f>
        <v>0</v>
      </c>
      <c r="K24" s="92">
        <f ca="1">C24+E24+'NWGC - SCENARIOS'!G33-'NWGC - SCENARIOS'!H33</f>
        <v>535226328.79539341</v>
      </c>
    </row>
    <row r="25" spans="1:11" s="90" customFormat="1" ht="17.25" customHeight="1" x14ac:dyDescent="0.3">
      <c r="A25" s="90">
        <f t="shared" si="1"/>
        <v>72</v>
      </c>
      <c r="B25" s="90">
        <f>'Cashflow Working'!B26</f>
        <v>2048</v>
      </c>
      <c r="C25" s="92">
        <f t="shared" ca="1" si="0"/>
        <v>535226328.79539341</v>
      </c>
      <c r="D25" s="194">
        <f>'NWGC - SCENARIOS'!$L$4</f>
        <v>7.5674563704248798E-2</v>
      </c>
      <c r="E25" s="104">
        <f ca="1">(working!C25-'NWGC - SCENARIOS'!H34)*D25</f>
        <v>39504665.291847281</v>
      </c>
      <c r="F25" s="104">
        <f ca="1">IF(('NWGC - SCENARIOS'!D34-'NWGC - SCENARIOS'!E34)&lt;0,0,('NWGC - SCENARIOS'!D34-'NWGC - SCENARIOS'!E34-G25))</f>
        <v>0</v>
      </c>
      <c r="G25" s="92">
        <f>'Yoy WAR OG'!EM27+'Yoy WAR OG'!ES27+'Yoy WAR OG'!EY27+'Yoy WAR OG'!CW27</f>
        <v>0</v>
      </c>
      <c r="H25" s="92"/>
      <c r="I25" s="88">
        <f>'Cashflow Working'!K26</f>
        <v>0</v>
      </c>
      <c r="J25" s="104">
        <f>IFERROR(IF(A25&gt;='NWGC - SCENARIOS'!$D$7,('NWGC - SCENARIOS'!#REF!*(1+'NWGC - SCENARIOS'!#REF!)^(B25-2020)),0),0)</f>
        <v>0</v>
      </c>
      <c r="K25" s="92">
        <f ca="1">C25+E25+'NWGC - SCENARIOS'!G34-'NWGC - SCENARIOS'!H34</f>
        <v>561538270.21938074</v>
      </c>
    </row>
    <row r="26" spans="1:11" s="90" customFormat="1" ht="17.25" customHeight="1" x14ac:dyDescent="0.3">
      <c r="A26" s="90">
        <f t="shared" si="1"/>
        <v>73</v>
      </c>
      <c r="B26" s="90">
        <f>'Cashflow Working'!B27</f>
        <v>2049</v>
      </c>
      <c r="C26" s="92">
        <f t="shared" ca="1" si="0"/>
        <v>561538270.21938074</v>
      </c>
      <c r="D26" s="194">
        <f>'NWGC - SCENARIOS'!$L$4</f>
        <v>7.5674563704248798E-2</v>
      </c>
      <c r="E26" s="104">
        <f ca="1">(working!C26-'NWGC - SCENARIOS'!H35)*D26</f>
        <v>41415433.156429507</v>
      </c>
      <c r="F26" s="104">
        <f ca="1">IF(('NWGC - SCENARIOS'!D35-'NWGC - SCENARIOS'!E35)&lt;0,0,('NWGC - SCENARIOS'!D35-'NWGC - SCENARIOS'!E35-G26))</f>
        <v>0</v>
      </c>
      <c r="G26" s="92">
        <f>'Yoy WAR OG'!EM28+'Yoy WAR OG'!ES28+'Yoy WAR OG'!EY28+'Yoy WAR OG'!CW28</f>
        <v>0</v>
      </c>
      <c r="H26" s="92"/>
      <c r="I26" s="88">
        <f>'Cashflow Working'!K27</f>
        <v>0</v>
      </c>
      <c r="J26" s="104">
        <f>IFERROR(IF(A26&gt;='NWGC - SCENARIOS'!$D$7,('NWGC - SCENARIOS'!#REF!*(1+'NWGC - SCENARIOS'!#REF!)^(B26-2020)),0),0)</f>
        <v>0</v>
      </c>
      <c r="K26" s="92">
        <f ca="1">C26+E26+'NWGC - SCENARIOS'!G35-'NWGC - SCENARIOS'!H35</f>
        <v>588698841.59852159</v>
      </c>
    </row>
    <row r="27" spans="1:11" s="90" customFormat="1" ht="17.25" customHeight="1" x14ac:dyDescent="0.3">
      <c r="A27" s="90">
        <f t="shared" si="1"/>
        <v>74</v>
      </c>
      <c r="B27" s="90">
        <f>'Cashflow Working'!B28</f>
        <v>2050</v>
      </c>
      <c r="C27" s="92">
        <f t="shared" ca="1" si="0"/>
        <v>588698841.59852159</v>
      </c>
      <c r="D27" s="194">
        <f>'NWGC - SCENARIOS'!$L$4</f>
        <v>7.5674563704248798E-2</v>
      </c>
      <c r="E27" s="104">
        <f ca="1">(working!C27-'NWGC - SCENARIOS'!H36)*D27</f>
        <v>43383990.57678315</v>
      </c>
      <c r="F27" s="104">
        <f ca="1">IF(('NWGC - SCENARIOS'!D36-'NWGC - SCENARIOS'!E36)&lt;0,0,('NWGC - SCENARIOS'!D36-'NWGC - SCENARIOS'!E36-G27))</f>
        <v>0</v>
      </c>
      <c r="G27" s="92">
        <f>'Yoy WAR OG'!EM29+'Yoy WAR OG'!ES29+'Yoy WAR OG'!EY29+'Yoy WAR OG'!CW29</f>
        <v>0</v>
      </c>
      <c r="H27" s="92"/>
      <c r="I27" s="88">
        <f>'Cashflow Working'!K28</f>
        <v>0</v>
      </c>
      <c r="J27" s="104">
        <f>IFERROR(IF(A27&gt;='NWGC - SCENARIOS'!$D$7,('NWGC - SCENARIOS'!#REF!*(1+'NWGC - SCENARIOS'!#REF!)^(B27-2020)),0),0)</f>
        <v>0</v>
      </c>
      <c r="K27" s="92">
        <f ca="1">C27+E27+'NWGC - SCENARIOS'!G36-'NWGC - SCENARIOS'!H36</f>
        <v>616680861.45583296</v>
      </c>
    </row>
    <row r="28" spans="1:11" s="90" customFormat="1" ht="17.25" customHeight="1" x14ac:dyDescent="0.3">
      <c r="A28" s="90">
        <f t="shared" si="1"/>
        <v>75</v>
      </c>
      <c r="B28" s="90">
        <f>'Cashflow Working'!B29</f>
        <v>2051</v>
      </c>
      <c r="C28" s="92">
        <f t="shared" ca="1" si="0"/>
        <v>616680861.45583296</v>
      </c>
      <c r="D28" s="194">
        <f>'NWGC - SCENARIOS'!$L$4</f>
        <v>7.5674563704248798E-2</v>
      </c>
      <c r="E28" s="104">
        <f ca="1">(working!C28-'NWGC - SCENARIOS'!H37)*D28</f>
        <v>45407766.194830194</v>
      </c>
      <c r="F28" s="104">
        <f ca="1">IF(('NWGC - SCENARIOS'!D37-'NWGC - SCENARIOS'!E37)&lt;0,0,('NWGC - SCENARIOS'!D37-'NWGC - SCENARIOS'!E37-G28))</f>
        <v>0</v>
      </c>
      <c r="G28" s="92">
        <f>'Yoy WAR OG'!EM30+'Yoy WAR OG'!ES30+'Yoy WAR OG'!EY30+'Yoy WAR OG'!CW30</f>
        <v>0</v>
      </c>
      <c r="H28" s="92"/>
      <c r="I28" s="88">
        <f>'Cashflow Working'!K29</f>
        <v>0</v>
      </c>
      <c r="J28" s="104">
        <f>IFERROR(IF(A28&gt;='NWGC - SCENARIOS'!$D$7,('NWGC - SCENARIOS'!#REF!*(1+'NWGC - SCENARIOS'!#REF!)^(B28-2020)),0),0)</f>
        <v>0</v>
      </c>
      <c r="K28" s="92">
        <f ca="1">C28+E28+'NWGC - SCENARIOS'!G37-'NWGC - SCENARIOS'!H37</f>
        <v>645447779.2736336</v>
      </c>
    </row>
    <row r="29" spans="1:11" s="90" customFormat="1" ht="17.25" customHeight="1" x14ac:dyDescent="0.3">
      <c r="A29" s="90">
        <f t="shared" si="1"/>
        <v>76</v>
      </c>
      <c r="B29" s="90">
        <f>'Cashflow Working'!B30</f>
        <v>2052</v>
      </c>
      <c r="C29" s="92">
        <f t="shared" ca="1" si="0"/>
        <v>645447779.2736336</v>
      </c>
      <c r="D29" s="194">
        <f>'NWGC - SCENARIOS'!$L$4</f>
        <v>7.5674563704248798E-2</v>
      </c>
      <c r="E29" s="104">
        <f ca="1">(working!C29-'NWGC - SCENARIOS'!H38)*D29</f>
        <v>47483438.50149212</v>
      </c>
      <c r="F29" s="104">
        <f ca="1">IF(('NWGC - SCENARIOS'!D38-'NWGC - SCENARIOS'!E38)&lt;0,0,('NWGC - SCENARIOS'!D38-'NWGC - SCENARIOS'!E38-G29))</f>
        <v>0</v>
      </c>
      <c r="G29" s="92">
        <f>'Yoy WAR OG'!EM31+'Yoy WAR OG'!ES31+'Yoy WAR OG'!EY31+'Yoy WAR OG'!CW31</f>
        <v>0</v>
      </c>
      <c r="H29" s="92"/>
      <c r="I29" s="88">
        <f>'Cashflow Working'!K30</f>
        <v>0</v>
      </c>
      <c r="J29" s="104">
        <f>IFERROR(IF(A29&gt;='NWGC - SCENARIOS'!$D$7,('NWGC - SCENARIOS'!#REF!*(1+'NWGC - SCENARIOS'!#REF!)^(B29-2020)),0),0)</f>
        <v>0</v>
      </c>
      <c r="K29" s="92">
        <f ca="1">C29+E29+'NWGC - SCENARIOS'!G38-'NWGC - SCENARIOS'!H38</f>
        <v>674952381.52793384</v>
      </c>
    </row>
    <row r="30" spans="1:11" s="90" customFormat="1" ht="17.25" customHeight="1" x14ac:dyDescent="0.3">
      <c r="A30" s="90">
        <f t="shared" si="1"/>
        <v>77</v>
      </c>
      <c r="B30" s="90">
        <f>'Cashflow Working'!B31</f>
        <v>2053</v>
      </c>
      <c r="C30" s="92">
        <f t="shared" ca="1" si="0"/>
        <v>674952381.52793384</v>
      </c>
      <c r="D30" s="194">
        <f>'NWGC - SCENARIOS'!$L$4</f>
        <v>7.5674563704248798E-2</v>
      </c>
      <c r="E30" s="104">
        <f ca="1">(working!C30-'NWGC - SCENARIOS'!H39)*D30</f>
        <v>49606834.624172285</v>
      </c>
      <c r="F30" s="104">
        <f ca="1">IF(('NWGC - SCENARIOS'!D39-'NWGC - SCENARIOS'!E39)&lt;0,0,('NWGC - SCENARIOS'!D39-'NWGC - SCENARIOS'!E39-G30))</f>
        <v>0</v>
      </c>
      <c r="G30" s="92">
        <f>'Yoy WAR OG'!EM32+'Yoy WAR OG'!ES32+'Yoy WAR OG'!EY32+'Yoy WAR OG'!CW32</f>
        <v>0</v>
      </c>
      <c r="H30" s="92"/>
      <c r="I30" s="88">
        <f>'Cashflow Working'!K31</f>
        <v>0</v>
      </c>
      <c r="J30" s="104">
        <f>IFERROR(IF(A30&gt;='NWGC - SCENARIOS'!$D$7,('NWGC - SCENARIOS'!#REF!*(1+'NWGC - SCENARIOS'!#REF!)^(B30-2020)),0),0)</f>
        <v>0</v>
      </c>
      <c r="K30" s="92">
        <f ca="1">C30+E30+'NWGC - SCENARIOS'!G39-'NWGC - SCENARIOS'!H39</f>
        <v>705135353.00513887</v>
      </c>
    </row>
    <row r="31" spans="1:11" s="90" customFormat="1" ht="17.25" customHeight="1" x14ac:dyDescent="0.3">
      <c r="A31" s="90">
        <f t="shared" si="1"/>
        <v>78</v>
      </c>
      <c r="B31" s="90">
        <f>'Cashflow Working'!B32</f>
        <v>2054</v>
      </c>
      <c r="C31" s="92">
        <f t="shared" ca="1" si="0"/>
        <v>705135353.00513887</v>
      </c>
      <c r="D31" s="194">
        <f>'NWGC - SCENARIOS'!$L$4</f>
        <v>7.5674563704248798E-2</v>
      </c>
      <c r="E31" s="104">
        <f ca="1">(working!C31-'NWGC - SCENARIOS'!H40)*D31</f>
        <v>51772817.899411649</v>
      </c>
      <c r="F31" s="104">
        <f ca="1">IF(('NWGC - SCENARIOS'!D40-'NWGC - SCENARIOS'!E40)&lt;0,0,('NWGC - SCENARIOS'!D40-'NWGC - SCENARIOS'!E40-G31))</f>
        <v>0</v>
      </c>
      <c r="G31" s="92">
        <f>'Yoy WAR OG'!EM33+'Yoy WAR OG'!ES33+'Yoy WAR OG'!EY33+'Yoy WAR OG'!CW33</f>
        <v>0</v>
      </c>
      <c r="H31" s="92"/>
      <c r="I31" s="88">
        <f>'Cashflow Working'!K32</f>
        <v>0</v>
      </c>
      <c r="J31" s="104">
        <f>IFERROR(IF(A31&gt;='NWGC - SCENARIOS'!$D$7,('NWGC - SCENARIOS'!#REF!*(1+'NWGC - SCENARIOS'!#REF!)^(B31-2020)),0),0)</f>
        <v>0</v>
      </c>
      <c r="K31" s="92">
        <f ca="1">C31+E31+'NWGC - SCENARIOS'!G40-'NWGC - SCENARIOS'!H40</f>
        <v>735923678.70582592</v>
      </c>
    </row>
    <row r="32" spans="1:11" s="90" customFormat="1" ht="17.25" customHeight="1" x14ac:dyDescent="0.3">
      <c r="A32" s="90">
        <f t="shared" si="1"/>
        <v>79</v>
      </c>
      <c r="B32" s="90">
        <f>'Cashflow Working'!B33</f>
        <v>2055</v>
      </c>
      <c r="C32" s="92">
        <f t="shared" ca="1" si="0"/>
        <v>735923678.70582592</v>
      </c>
      <c r="D32" s="194">
        <f>'NWGC - SCENARIOS'!$L$4</f>
        <v>7.5674563704248798E-2</v>
      </c>
      <c r="E32" s="104">
        <f ca="1">(working!C32-'NWGC - SCENARIOS'!H41)*D32</f>
        <v>53975163.097591862</v>
      </c>
      <c r="F32" s="104">
        <f ca="1">IF(('NWGC - SCENARIOS'!D41-'NWGC - SCENARIOS'!E41)&lt;0,0,('NWGC - SCENARIOS'!D41-'NWGC - SCENARIOS'!E41-G32))</f>
        <v>0</v>
      </c>
      <c r="G32" s="92">
        <f>'Yoy WAR OG'!EM34+'Yoy WAR OG'!ES34+'Yoy WAR OG'!EY34+'Yoy WAR OG'!CW34</f>
        <v>0</v>
      </c>
      <c r="H32" s="92"/>
      <c r="I32" s="88">
        <f>'Cashflow Working'!K33</f>
        <v>0</v>
      </c>
      <c r="J32" s="104">
        <f>IFERROR(IF(A32&gt;='NWGC - SCENARIOS'!$D$7,('NWGC - SCENARIOS'!#REF!*(1+'NWGC - SCENARIOS'!#REF!)^(B32-2020)),0),0)</f>
        <v>0</v>
      </c>
      <c r="K32" s="92">
        <f ca="1">C32+E32+'NWGC - SCENARIOS'!G41-'NWGC - SCENARIOS'!H41</f>
        <v>767228870.22879517</v>
      </c>
    </row>
    <row r="33" spans="1:11" s="90" customFormat="1" ht="17.25" customHeight="1" x14ac:dyDescent="0.3">
      <c r="A33" s="90">
        <f t="shared" si="1"/>
        <v>80</v>
      </c>
      <c r="B33" s="90">
        <f>'Cashflow Working'!B34</f>
        <v>2056</v>
      </c>
      <c r="C33" s="92">
        <f t="shared" ca="1" si="0"/>
        <v>767228870.22879517</v>
      </c>
      <c r="D33" s="194">
        <f>'NWGC - SCENARIOS'!$L$4</f>
        <v>7.5674563704248798E-2</v>
      </c>
      <c r="E33" s="104">
        <f ca="1">(working!C33-'NWGC - SCENARIOS'!H42)*D33</f>
        <v>56206418.058054633</v>
      </c>
      <c r="F33" s="104">
        <f ca="1">IF(('NWGC - SCENARIOS'!D42-'NWGC - SCENARIOS'!E42)&lt;0,0,('NWGC - SCENARIOS'!D42-'NWGC - SCENARIOS'!E42-G33))</f>
        <v>0</v>
      </c>
      <c r="G33" s="92">
        <f>'Yoy WAR OG'!EM35+'Yoy WAR OG'!ES35+'Yoy WAR OG'!EY35+'Yoy WAR OG'!CW35</f>
        <v>0</v>
      </c>
      <c r="H33" s="92"/>
      <c r="I33" s="88">
        <f>'Cashflow Working'!K34</f>
        <v>0</v>
      </c>
      <c r="J33" s="104">
        <f>IFERROR(IF(A33&gt;='NWGC - SCENARIOS'!$D$7,('NWGC - SCENARIOS'!#REF!*(1+'NWGC - SCENARIOS'!#REF!)^(B33-2020)),0),0)</f>
        <v>0</v>
      </c>
      <c r="K33" s="92">
        <f ca="1">C33+E33+'NWGC - SCENARIOS'!G42-'NWGC - SCENARIOS'!H42</f>
        <v>798944998.98625743</v>
      </c>
    </row>
    <row r="34" spans="1:11" s="90" customFormat="1" ht="17.25" customHeight="1" x14ac:dyDescent="0.3">
      <c r="A34" s="90">
        <f t="shared" si="1"/>
        <v>81</v>
      </c>
      <c r="B34" s="90">
        <f>'Cashflow Working'!B35</f>
        <v>2057</v>
      </c>
      <c r="C34" s="92">
        <f t="shared" ca="1" si="0"/>
        <v>798944998.98625743</v>
      </c>
      <c r="D34" s="194">
        <f>'NWGC - SCENARIOS'!$L$4</f>
        <v>7.5674563704248798E-2</v>
      </c>
      <c r="E34" s="104">
        <f ca="1">(working!C34-'NWGC - SCENARIOS'!H43)*D34</f>
        <v>58502160.30621215</v>
      </c>
      <c r="F34" s="104">
        <f ca="1">IF(('NWGC - SCENARIOS'!D43-'NWGC - SCENARIOS'!E43)&lt;0,0,('NWGC - SCENARIOS'!D43-'NWGC - SCENARIOS'!E43-G34))</f>
        <v>0</v>
      </c>
      <c r="G34" s="92">
        <f>'Yoy WAR OG'!EM36+'Yoy WAR OG'!ES36+'Yoy WAR OG'!EY36+'Yoy WAR OG'!CW36</f>
        <v>0</v>
      </c>
      <c r="H34" s="92"/>
      <c r="I34" s="88">
        <f>'Cashflow Working'!K35</f>
        <v>0</v>
      </c>
      <c r="J34" s="104">
        <f>IFERROR(IF(A34&gt;='NWGC - SCENARIOS'!$D$7,('NWGC - SCENARIOS'!#REF!*(1+'NWGC - SCENARIOS'!#REF!)^(B34-2020)),0),0)</f>
        <v>0</v>
      </c>
      <c r="K34" s="92">
        <f ca="1">C34+E34+'NWGC - SCENARIOS'!G43-'NWGC - SCENARIOS'!H43</f>
        <v>831577780.99760056</v>
      </c>
    </row>
    <row r="35" spans="1:11" s="90" customFormat="1" ht="17.25" customHeight="1" x14ac:dyDescent="0.3">
      <c r="A35" s="90">
        <f t="shared" si="1"/>
        <v>82</v>
      </c>
      <c r="B35" s="90">
        <f>'Cashflow Working'!B36</f>
        <v>2058</v>
      </c>
      <c r="C35" s="92">
        <f t="shared" ref="C35:C53" ca="1" si="2">K34</f>
        <v>831577780.99760056</v>
      </c>
      <c r="D35" s="194">
        <f>'NWGC - SCENARIOS'!$L$4</f>
        <v>7.5674563704248798E-2</v>
      </c>
      <c r="E35" s="104">
        <f ca="1">(working!C35-'NWGC - SCENARIOS'!H44)*D35</f>
        <v>60814511.001047149</v>
      </c>
      <c r="F35" s="104">
        <f ca="1">IF(('NWGC - SCENARIOS'!D44-'NWGC - SCENARIOS'!E44)&lt;0,0,('NWGC - SCENARIOS'!D44-'NWGC - SCENARIOS'!E44-G35))</f>
        <v>0</v>
      </c>
      <c r="G35" s="92">
        <f>'Yoy WAR OG'!EM37+'Yoy WAR OG'!ES37+'Yoy WAR OG'!EY37+'Yoy WAR OG'!CW37</f>
        <v>0</v>
      </c>
      <c r="H35" s="92"/>
      <c r="I35" s="88">
        <f>'Cashflow Working'!K36</f>
        <v>0</v>
      </c>
      <c r="J35" s="104">
        <f>IFERROR(IF(A35&gt;='NWGC - SCENARIOS'!$D$7,('NWGC - SCENARIOS'!#REF!*(1+'NWGC - SCENARIOS'!#REF!)^(B35-2020)),0),0)</f>
        <v>0</v>
      </c>
      <c r="K35" s="92">
        <f ca="1">C35+E35+'NWGC - SCENARIOS'!G44-'NWGC - SCENARIOS'!H44</f>
        <v>864446643.440189</v>
      </c>
    </row>
    <row r="36" spans="1:11" s="90" customFormat="1" ht="17.25" customHeight="1" x14ac:dyDescent="0.3">
      <c r="A36" s="90">
        <f t="shared" si="1"/>
        <v>83</v>
      </c>
      <c r="B36" s="90">
        <f>'Cashflow Working'!B37</f>
        <v>2059</v>
      </c>
      <c r="C36" s="92">
        <f t="shared" ca="1" si="2"/>
        <v>864446643.440189</v>
      </c>
      <c r="D36" s="194">
        <f>'NWGC - SCENARIOS'!$L$4</f>
        <v>7.5674563704248798E-2</v>
      </c>
      <c r="E36" s="104">
        <f ca="1">(working!C36-'NWGC - SCENARIOS'!H45)*D36</f>
        <v>63132157.311809413</v>
      </c>
      <c r="F36" s="104">
        <f ca="1">IF(('NWGC - SCENARIOS'!D45-'NWGC - SCENARIOS'!E45)&lt;0,0,('NWGC - SCENARIOS'!D45-'NWGC - SCENARIOS'!E45-G36))</f>
        <v>0</v>
      </c>
      <c r="G36" s="92">
        <f>'Yoy WAR OG'!EM38+'Yoy WAR OG'!ES38+'Yoy WAR OG'!EY38+'Yoy WAR OG'!CW38</f>
        <v>0</v>
      </c>
      <c r="H36" s="92"/>
      <c r="I36" s="88">
        <f>'Cashflow Working'!K37</f>
        <v>0</v>
      </c>
      <c r="J36" s="104">
        <f>IFERROR(IF(A36&gt;='NWGC - SCENARIOS'!$D$7,('NWGC - SCENARIOS'!#REF!*(1+'NWGC - SCENARIOS'!#REF!)^(B36-2020)),0),0)</f>
        <v>0</v>
      </c>
      <c r="K36" s="92">
        <f ca="1">C36+E36+'NWGC - SCENARIOS'!G45-'NWGC - SCENARIOS'!H45</f>
        <v>897390780.30886304</v>
      </c>
    </row>
    <row r="37" spans="1:11" s="90" customFormat="1" ht="17.25" customHeight="1" x14ac:dyDescent="0.3">
      <c r="A37" s="90">
        <f t="shared" si="1"/>
        <v>84</v>
      </c>
      <c r="B37" s="90">
        <f>'Cashflow Working'!B38</f>
        <v>2060</v>
      </c>
      <c r="C37" s="92">
        <f t="shared" ca="1" si="2"/>
        <v>897390780.30886304</v>
      </c>
      <c r="D37" s="194">
        <f>'NWGC - SCENARIOS'!$L$4</f>
        <v>7.5674563704248798E-2</v>
      </c>
      <c r="E37" s="104">
        <f ca="1">(working!C37-'NWGC - SCENARIOS'!H46)*D37</f>
        <v>65441924.740800962</v>
      </c>
      <c r="F37" s="104">
        <f ca="1">IF(('NWGC - SCENARIOS'!D46-'NWGC - SCENARIOS'!E46)&lt;0,0,('NWGC - SCENARIOS'!D46-'NWGC - SCENARIOS'!E46-G37))</f>
        <v>0</v>
      </c>
      <c r="G37" s="92">
        <f>'Yoy WAR OG'!EM39+'Yoy WAR OG'!ES39+'Yoy WAR OG'!EY39+'Yoy WAR OG'!CW39</f>
        <v>0</v>
      </c>
      <c r="H37" s="92"/>
      <c r="I37" s="88">
        <f>'Cashflow Working'!K38</f>
        <v>0</v>
      </c>
      <c r="J37" s="104">
        <f>IFERROR(IF(A37&gt;='NWGC - SCENARIOS'!$D$7,('NWGC - SCENARIOS'!#REF!*(1+'NWGC - SCENARIOS'!#REF!)^(B37-2020)),0),0)</f>
        <v>0</v>
      </c>
      <c r="K37" s="92">
        <f ca="1">C37+E37+'NWGC - SCENARIOS'!G46-'NWGC - SCENARIOS'!H46</f>
        <v>930222922.97107792</v>
      </c>
    </row>
    <row r="38" spans="1:11" s="90" customFormat="1" ht="17.25" customHeight="1" x14ac:dyDescent="0.3">
      <c r="A38" s="90">
        <f t="shared" si="1"/>
        <v>85</v>
      </c>
      <c r="B38" s="90">
        <f>'Cashflow Working'!B39</f>
        <v>2061</v>
      </c>
      <c r="C38" s="92">
        <f t="shared" ca="1" si="2"/>
        <v>930222922.97107792</v>
      </c>
      <c r="D38" s="194">
        <f>'NWGC - SCENARIOS'!$L$4</f>
        <v>7.5674563704248798E-2</v>
      </c>
      <c r="E38" s="104">
        <f ca="1">(working!C38-'NWGC - SCENARIOS'!H47)*D38</f>
        <v>67728555.796668619</v>
      </c>
      <c r="F38" s="104">
        <f ca="1">IF(('NWGC - SCENARIOS'!D47-'NWGC - SCENARIOS'!E47)&lt;0,0,('NWGC - SCENARIOS'!D47-'NWGC - SCENARIOS'!E47-G38))</f>
        <v>0</v>
      </c>
      <c r="G38" s="92">
        <f>'Yoy WAR OG'!EM40+'Yoy WAR OG'!ES40+'Yoy WAR OG'!EY40+'Yoy WAR OG'!CW40</f>
        <v>0</v>
      </c>
      <c r="H38" s="92"/>
      <c r="I38" s="88">
        <f>'Cashflow Working'!K39</f>
        <v>0</v>
      </c>
      <c r="J38" s="104">
        <f>IFERROR(IF(A38&gt;='NWGC - SCENARIOS'!$D$7,('NWGC - SCENARIOS'!#REF!*(1+'NWGC - SCENARIOS'!#REF!)^(B38-2020)),0),0)</f>
        <v>0</v>
      </c>
      <c r="K38" s="92">
        <f ca="1">C38+E38+'NWGC - SCENARIOS'!G47-'NWGC - SCENARIOS'!H47</f>
        <v>962726194.12287354</v>
      </c>
    </row>
    <row r="39" spans="1:11" s="90" customFormat="1" ht="17.25" customHeight="1" x14ac:dyDescent="0.3">
      <c r="A39" s="90">
        <f t="shared" si="1"/>
        <v>86</v>
      </c>
      <c r="B39" s="90">
        <f>'Cashflow Working'!B40</f>
        <v>2062</v>
      </c>
      <c r="C39" s="92">
        <f t="shared" ca="1" si="2"/>
        <v>962726194.12287354</v>
      </c>
      <c r="D39" s="194">
        <f>'NWGC - SCENARIOS'!$L$4</f>
        <v>7.5674563704248798E-2</v>
      </c>
      <c r="E39" s="104">
        <f ca="1">(working!C39-'NWGC - SCENARIOS'!H48)*D39</f>
        <v>69974465.483224854</v>
      </c>
      <c r="F39" s="104">
        <f ca="1">IF(('NWGC - SCENARIOS'!D48-'NWGC - SCENARIOS'!E48)&lt;0,0,('NWGC - SCENARIOS'!D48-'NWGC - SCENARIOS'!E48-G39))</f>
        <v>0</v>
      </c>
      <c r="G39" s="92">
        <f>'Yoy WAR OG'!EM41+'Yoy WAR OG'!ES41+'Yoy WAR OG'!EY41+'Yoy WAR OG'!CW41</f>
        <v>0</v>
      </c>
      <c r="H39" s="92"/>
      <c r="I39" s="88">
        <f>'Cashflow Working'!K40</f>
        <v>0</v>
      </c>
      <c r="J39" s="104">
        <f>IFERROR(IF(A39&gt;='NWGC - SCENARIOS'!$D$7,('NWGC - SCENARIOS'!#REF!*(1+'NWGC - SCENARIOS'!#REF!)^(B39-2020)),0),0)</f>
        <v>0</v>
      </c>
      <c r="K39" s="92">
        <f ca="1">C39+E39+'NWGC - SCENARIOS'!G48-'NWGC - SCENARIOS'!H48</f>
        <v>994650632.18963552</v>
      </c>
    </row>
    <row r="40" spans="1:11" s="90" customFormat="1" ht="17.25" customHeight="1" x14ac:dyDescent="0.3">
      <c r="A40" s="90">
        <f t="shared" si="1"/>
        <v>87</v>
      </c>
      <c r="B40" s="90">
        <f>'Cashflow Working'!B41</f>
        <v>2063</v>
      </c>
      <c r="C40" s="92">
        <f t="shared" ca="1" si="2"/>
        <v>994650632.18963552</v>
      </c>
      <c r="D40" s="194">
        <f>'NWGC - SCENARIOS'!$L$4</f>
        <v>7.5674563704248798E-2</v>
      </c>
      <c r="E40" s="104">
        <f ca="1">(working!C40-'NWGC - SCENARIOS'!H49)*D40</f>
        <v>72159471.334468246</v>
      </c>
      <c r="F40" s="104">
        <f ca="1">IF(('NWGC - SCENARIOS'!D49-'NWGC - SCENARIOS'!E49)&lt;0,0,('NWGC - SCENARIOS'!D49-'NWGC - SCENARIOS'!E49-G40))</f>
        <v>0</v>
      </c>
      <c r="G40" s="92">
        <f>'Yoy WAR OG'!EM42+'Yoy WAR OG'!ES42+'Yoy WAR OG'!EY42+'Yoy WAR OG'!CW42</f>
        <v>0</v>
      </c>
      <c r="H40" s="92"/>
      <c r="I40" s="88">
        <f>'Cashflow Working'!K41</f>
        <v>0</v>
      </c>
      <c r="J40" s="104">
        <f>IFERROR(IF(A40&gt;='NWGC - SCENARIOS'!$D$7,('NWGC - SCENARIOS'!#REF!*(1+'NWGC - SCENARIOS'!#REF!)^(B40-2020)),0),0)</f>
        <v>0</v>
      </c>
      <c r="K40" s="92">
        <f ca="1">C40+E40+'NWGC - SCENARIOS'!G49-'NWGC - SCENARIOS'!H49</f>
        <v>1025709353.9143238</v>
      </c>
    </row>
    <row r="41" spans="1:11" s="90" customFormat="1" ht="17.25" customHeight="1" x14ac:dyDescent="0.3">
      <c r="A41" s="90">
        <f t="shared" si="1"/>
        <v>88</v>
      </c>
      <c r="B41" s="90">
        <f>'Cashflow Working'!B42</f>
        <v>2064</v>
      </c>
      <c r="C41" s="92">
        <f t="shared" ca="1" si="2"/>
        <v>1025709353.9143238</v>
      </c>
      <c r="D41" s="194">
        <f>'NWGC - SCENARIOS'!$L$4</f>
        <v>7.5674563704248798E-2</v>
      </c>
      <c r="E41" s="104">
        <f ca="1">(working!C41-'NWGC - SCENARIOS'!H50)*D41</f>
        <v>74260495.5135566</v>
      </c>
      <c r="F41" s="104">
        <f ca="1">IF(('NWGC - SCENARIOS'!D50-'NWGC - SCENARIOS'!E50)&lt;0,0,('NWGC - SCENARIOS'!D50-'NWGC - SCENARIOS'!E50-G41))</f>
        <v>0</v>
      </c>
      <c r="G41" s="92">
        <f>'Yoy WAR OG'!EM43+'Yoy WAR OG'!ES43+'Yoy WAR OG'!EY43+'Yoy WAR OG'!CW43</f>
        <v>0</v>
      </c>
      <c r="H41" s="92"/>
      <c r="I41" s="88">
        <f>'Cashflow Working'!K42</f>
        <v>0</v>
      </c>
      <c r="J41" s="104">
        <f>IFERROR(IF(A41&gt;='NWGC - SCENARIOS'!$D$7,('NWGC - SCENARIOS'!#REF!*(1+'NWGC - SCENARIOS'!#REF!)^(B41-2020)),0),0)</f>
        <v>0</v>
      </c>
      <c r="K41" s="92">
        <f ca="1">C41+E41+'NWGC - SCENARIOS'!G50-'NWGC - SCENARIOS'!H50</f>
        <v>1055574319.8493179</v>
      </c>
    </row>
    <row r="42" spans="1:11" s="90" customFormat="1" ht="17.25" customHeight="1" x14ac:dyDescent="0.3">
      <c r="A42" s="90">
        <f t="shared" si="1"/>
        <v>89</v>
      </c>
      <c r="B42" s="90">
        <f>'Cashflow Working'!B43</f>
        <v>2065</v>
      </c>
      <c r="C42" s="92">
        <f t="shared" ca="1" si="2"/>
        <v>1055574319.8493179</v>
      </c>
      <c r="D42" s="194">
        <f>'NWGC - SCENARIOS'!$L$4</f>
        <v>7.5674563704248798E-2</v>
      </c>
      <c r="E42" s="104">
        <f ca="1">(working!C42-'NWGC - SCENARIOS'!H51)*D42</f>
        <v>76251236.261159286</v>
      </c>
      <c r="F42" s="104">
        <f ca="1">IF(('NWGC - SCENARIOS'!D51-'NWGC - SCENARIOS'!E51)&lt;0,0,('NWGC - SCENARIOS'!D51-'NWGC - SCENARIOS'!E51-G42))</f>
        <v>0</v>
      </c>
      <c r="G42" s="92">
        <f>'Yoy WAR OG'!EM44+'Yoy WAR OG'!ES44+'Yoy WAR OG'!EY44+'Yoy WAR OG'!CW44</f>
        <v>0</v>
      </c>
      <c r="H42" s="92"/>
      <c r="I42" s="88">
        <f>'Cashflow Working'!K43</f>
        <v>0</v>
      </c>
      <c r="J42" s="104" t="e">
        <f>'Cashflow Working'!#REF!</f>
        <v>#REF!</v>
      </c>
      <c r="K42" s="92">
        <f ca="1">C42+E42+'NWGC - SCENARIOS'!G51-'NWGC - SCENARIOS'!H51</f>
        <v>1083871664.1656299</v>
      </c>
    </row>
    <row r="43" spans="1:11" s="90" customFormat="1" ht="17.25" customHeight="1" x14ac:dyDescent="0.3">
      <c r="A43" s="90">
        <f t="shared" si="1"/>
        <v>90</v>
      </c>
      <c r="B43" s="90">
        <f>'Cashflow Working'!B44</f>
        <v>2066</v>
      </c>
      <c r="C43" s="92">
        <f t="shared" ca="1" si="2"/>
        <v>1083871664.1656299</v>
      </c>
      <c r="D43" s="194">
        <f>'NWGC - SCENARIOS'!$L$4</f>
        <v>7.5674563704248798E-2</v>
      </c>
      <c r="E43" s="104">
        <f ca="1">(working!C43-'NWGC - SCENARIOS'!H52)*D43</f>
        <v>78101805.725149259</v>
      </c>
      <c r="F43" s="104">
        <f ca="1">IF(('NWGC - SCENARIOS'!D52-'NWGC - SCENARIOS'!E52)&lt;0,0,('NWGC - SCENARIOS'!D52-'NWGC - SCENARIOS'!E52-G43))</f>
        <v>0</v>
      </c>
      <c r="G43" s="92">
        <f>'Yoy WAR OG'!EM45+'Yoy WAR OG'!ES45+'Yoy WAR OG'!EY45+'Yoy WAR OG'!CW45</f>
        <v>0</v>
      </c>
      <c r="H43" s="92"/>
      <c r="I43" s="88">
        <f>'Cashflow Working'!K44</f>
        <v>0</v>
      </c>
      <c r="J43" s="104" t="e">
        <f>'Cashflow Working'!#REF!</f>
        <v>#REF!</v>
      </c>
      <c r="K43" s="92">
        <f ca="1">C43+E43+'NWGC - SCENARIOS'!G52-'NWGC - SCENARIOS'!H52</f>
        <v>1110176546.590344</v>
      </c>
    </row>
    <row r="44" spans="1:11" s="90" customFormat="1" ht="17.25" customHeight="1" x14ac:dyDescent="0.3">
      <c r="A44" s="90">
        <f t="shared" si="1"/>
        <v>91</v>
      </c>
      <c r="B44" s="90">
        <f>'Cashflow Working'!B45</f>
        <v>2067</v>
      </c>
      <c r="C44" s="92">
        <f t="shared" ca="1" si="2"/>
        <v>1110176546.590344</v>
      </c>
      <c r="D44" s="194">
        <f>'NWGC - SCENARIOS'!$L$4</f>
        <v>7.5674563704248798E-2</v>
      </c>
      <c r="E44" s="104">
        <f ca="1">(working!C44-'NWGC - SCENARIOS'!H53)*D44</f>
        <v>79778330.927104324</v>
      </c>
      <c r="F44" s="104">
        <f ca="1">IF(('NWGC - SCENARIOS'!D53-'NWGC - SCENARIOS'!E53)&lt;0,0,('NWGC - SCENARIOS'!D53-'NWGC - SCENARIOS'!E53-G44))</f>
        <v>0</v>
      </c>
      <c r="G44" s="92">
        <f>'Yoy WAR OG'!EM46+'Yoy WAR OG'!ES46+'Yoy WAR OG'!EY46+'Yoy WAR OG'!CW46</f>
        <v>0</v>
      </c>
      <c r="H44" s="92"/>
      <c r="I44" s="88">
        <f>'Cashflow Working'!K45</f>
        <v>0</v>
      </c>
      <c r="J44" s="104" t="e">
        <f>'Cashflow Working'!#REF!</f>
        <v>#REF!</v>
      </c>
      <c r="K44" s="92">
        <f ca="1">C44+E44+'NWGC - SCENARIOS'!G53-'NWGC - SCENARIOS'!H53</f>
        <v>1134007480.3529782</v>
      </c>
    </row>
    <row r="45" spans="1:11" s="90" customFormat="1" ht="17.25" customHeight="1" x14ac:dyDescent="0.3">
      <c r="A45" s="90">
        <f t="shared" si="1"/>
        <v>92</v>
      </c>
      <c r="B45" s="90">
        <f>'Cashflow Working'!B46</f>
        <v>2068</v>
      </c>
      <c r="C45" s="92">
        <f t="shared" ca="1" si="2"/>
        <v>1134007480.3529782</v>
      </c>
      <c r="D45" s="194">
        <f>'NWGC - SCENARIOS'!$L$4</f>
        <v>7.5674563704248798E-2</v>
      </c>
      <c r="E45" s="104">
        <f ca="1">(working!C45-'NWGC - SCENARIOS'!H54)*D45</f>
        <v>81242514.319523662</v>
      </c>
      <c r="F45" s="104">
        <f ca="1">IF(('NWGC - SCENARIOS'!D54-'NWGC - SCENARIOS'!E54)&lt;0,0,('NWGC - SCENARIOS'!D54-'NWGC - SCENARIOS'!E54-G45))</f>
        <v>0</v>
      </c>
      <c r="G45" s="92">
        <f>'Yoy WAR OG'!EM47+'Yoy WAR OG'!ES47+'Yoy WAR OG'!EY47+'Yoy WAR OG'!CW47</f>
        <v>0</v>
      </c>
      <c r="H45" s="92"/>
      <c r="I45" s="88">
        <f>'Cashflow Working'!K46</f>
        <v>0</v>
      </c>
      <c r="J45" s="104" t="e">
        <f>'Cashflow Working'!#REF!</f>
        <v>#REF!</v>
      </c>
      <c r="K45" s="92">
        <f ca="1">C45+E45+'NWGC - SCENARIOS'!G54-'NWGC - SCENARIOS'!H54</f>
        <v>1154820085.7348742</v>
      </c>
    </row>
    <row r="46" spans="1:11" s="90" customFormat="1" ht="17.25" customHeight="1" x14ac:dyDescent="0.3">
      <c r="A46" s="90">
        <f t="shared" si="1"/>
        <v>93</v>
      </c>
      <c r="B46" s="90">
        <f>'Cashflow Working'!B47</f>
        <v>2069</v>
      </c>
      <c r="C46" s="92">
        <f t="shared" ca="1" si="2"/>
        <v>1154820085.7348742</v>
      </c>
      <c r="D46" s="194">
        <f>'NWGC - SCENARIOS'!$L$4</f>
        <v>7.5674563704248798E-2</v>
      </c>
      <c r="E46" s="104">
        <f ca="1">(working!C46-'NWGC - SCENARIOS'!H55)*D46</f>
        <v>82451150.058795869</v>
      </c>
      <c r="F46" s="104">
        <f ca="1">IF(('NWGC - SCENARIOS'!D55-'NWGC - SCENARIOS'!E55)&lt;0,0,('NWGC - SCENARIOS'!D55-'NWGC - SCENARIOS'!E55-G46))</f>
        <v>0</v>
      </c>
      <c r="G46" s="92">
        <f>'Yoy WAR OG'!EM48+'Yoy WAR OG'!ES48+'Yoy WAR OG'!EY48+'Yoy WAR OG'!CW48</f>
        <v>0</v>
      </c>
      <c r="H46" s="92"/>
      <c r="I46" s="88">
        <f>'Cashflow Working'!K47</f>
        <v>0</v>
      </c>
      <c r="J46" s="104" t="e">
        <f>'Cashflow Working'!#REF!</f>
        <v>#REF!</v>
      </c>
      <c r="K46" s="92">
        <f ca="1">C46+E46+'NWGC - SCENARIOS'!G55-'NWGC - SCENARIOS'!H55</f>
        <v>1172000214.1410325</v>
      </c>
    </row>
    <row r="47" spans="1:11" s="90" customFormat="1" ht="17.25" customHeight="1" x14ac:dyDescent="0.3">
      <c r="A47" s="90">
        <f t="shared" si="1"/>
        <v>94</v>
      </c>
      <c r="B47" s="90">
        <f>'Cashflow Working'!B48</f>
        <v>2070</v>
      </c>
      <c r="C47" s="92">
        <f t="shared" ca="1" si="2"/>
        <v>1172000214.1410325</v>
      </c>
      <c r="D47" s="194">
        <f>'NWGC - SCENARIOS'!$L$4</f>
        <v>7.5674563704248798E-2</v>
      </c>
      <c r="E47" s="104">
        <f ca="1">(working!C47-'NWGC - SCENARIOS'!H56)*D47</f>
        <v>83355591.760359243</v>
      </c>
      <c r="F47" s="104">
        <f ca="1">IF(('NWGC - SCENARIOS'!D56-'NWGC - SCENARIOS'!E56)&lt;0,0,('NWGC - SCENARIOS'!D56-'NWGC - SCENARIOS'!E56-G47))</f>
        <v>0</v>
      </c>
      <c r="G47" s="92">
        <f>'Yoy WAR OG'!EM49+'Yoy WAR OG'!ES49+'Yoy WAR OG'!EY49+'Yoy WAR OG'!CW49</f>
        <v>0</v>
      </c>
      <c r="H47" s="92"/>
      <c r="I47" s="88">
        <f>'Cashflow Working'!K48</f>
        <v>0</v>
      </c>
      <c r="J47" s="104" t="e">
        <f>'Cashflow Working'!#REF!</f>
        <v>#REF!</v>
      </c>
      <c r="K47" s="92">
        <f ca="1">C47+E47+'NWGC - SCENARIOS'!G56-'NWGC - SCENARIOS'!H56</f>
        <v>1184856382.5165429</v>
      </c>
    </row>
    <row r="48" spans="1:11" s="90" customFormat="1" ht="17.25" customHeight="1" x14ac:dyDescent="0.3">
      <c r="A48" s="90">
        <f t="shared" si="1"/>
        <v>95</v>
      </c>
      <c r="B48" s="90">
        <f>'Cashflow Working'!B49</f>
        <v>2071</v>
      </c>
      <c r="C48" s="92">
        <f t="shared" ca="1" si="2"/>
        <v>1184856382.5165429</v>
      </c>
      <c r="D48" s="194">
        <f>'NWGC - SCENARIOS'!$L$4</f>
        <v>7.5674563704248798E-2</v>
      </c>
      <c r="E48" s="104">
        <f ca="1">(working!C48-'NWGC - SCENARIOS'!H57)*D48</f>
        <v>83901167.111532301</v>
      </c>
      <c r="F48" s="104">
        <f ca="1">IF(('NWGC - SCENARIOS'!D57-'NWGC - SCENARIOS'!E57)&lt;0,0,('NWGC - SCENARIOS'!D57-'NWGC - SCENARIOS'!E57-G48))</f>
        <v>0</v>
      </c>
      <c r="G48" s="92">
        <f>'Yoy WAR OG'!EM50+'Yoy WAR OG'!ES50+'Yoy WAR OG'!EY50+'Yoy WAR OG'!CW50</f>
        <v>0</v>
      </c>
      <c r="H48" s="92"/>
      <c r="I48" s="88">
        <f>'Cashflow Working'!K49</f>
        <v>0</v>
      </c>
      <c r="J48" s="104" t="e">
        <f>'Cashflow Working'!#REF!</f>
        <v>#REF!</v>
      </c>
      <c r="K48" s="92">
        <f ca="1">C48+E48+'NWGC - SCENARIOS'!G57-'NWGC - SCENARIOS'!H57</f>
        <v>1192611452.3724384</v>
      </c>
    </row>
    <row r="49" spans="1:11" s="90" customFormat="1" ht="17.25" customHeight="1" x14ac:dyDescent="0.3">
      <c r="A49" s="90">
        <f t="shared" si="1"/>
        <v>96</v>
      </c>
      <c r="B49" s="90">
        <f>'Cashflow Working'!B50</f>
        <v>2072</v>
      </c>
      <c r="C49" s="92">
        <f t="shared" ca="1" si="2"/>
        <v>1192611452.3724384</v>
      </c>
      <c r="D49" s="194">
        <f>'NWGC - SCENARIOS'!$L$4</f>
        <v>7.5674563704248798E-2</v>
      </c>
      <c r="E49" s="104">
        <f ca="1">(working!C49-'NWGC - SCENARIOS'!H58)*D49</f>
        <v>84026534.291296959</v>
      </c>
      <c r="F49" s="104">
        <f ca="1">IF(('NWGC - SCENARIOS'!D58-'NWGC - SCENARIOS'!E58)&lt;0,0,('NWGC - SCENARIOS'!D58-'NWGC - SCENARIOS'!E58-G49))</f>
        <v>0</v>
      </c>
      <c r="G49" s="92">
        <f>'Yoy WAR OG'!EM51+'Yoy WAR OG'!ES51+'Yoy WAR OG'!EY51+'Yoy WAR OG'!CW51</f>
        <v>0</v>
      </c>
      <c r="H49" s="92"/>
      <c r="I49" s="88">
        <f>'Cashflow Working'!K50</f>
        <v>0</v>
      </c>
      <c r="J49" s="104" t="e">
        <f>'Cashflow Working'!#REF!</f>
        <v>#REF!</v>
      </c>
      <c r="K49" s="92">
        <f ca="1">C49+E49+'NWGC - SCENARIOS'!G58-'NWGC - SCENARIOS'!H58</f>
        <v>1194393481.6276479</v>
      </c>
    </row>
    <row r="50" spans="1:11" s="90" customFormat="1" ht="17.25" customHeight="1" x14ac:dyDescent="0.3">
      <c r="A50" s="90">
        <f t="shared" si="1"/>
        <v>97</v>
      </c>
      <c r="B50" s="90">
        <f>'Cashflow Working'!B51</f>
        <v>2073</v>
      </c>
      <c r="C50" s="92">
        <f t="shared" ca="1" si="2"/>
        <v>1194393481.6276479</v>
      </c>
      <c r="D50" s="194">
        <f>'NWGC - SCENARIOS'!$L$4</f>
        <v>7.5674563704248798E-2</v>
      </c>
      <c r="E50" s="104">
        <f ca="1">(working!C50-'NWGC - SCENARIOS'!H59)*D50</f>
        <v>83662974.681770816</v>
      </c>
      <c r="F50" s="104">
        <f ca="1">IF(('NWGC - SCENARIOS'!D59-'NWGC - SCENARIOS'!E59)&lt;0,0,('NWGC - SCENARIOS'!D59-'NWGC - SCENARIOS'!E59-G50))</f>
        <v>0</v>
      </c>
      <c r="G50" s="92">
        <f>'Yoy WAR OG'!EM52+'Yoy WAR OG'!ES52+'Yoy WAR OG'!EY52+'Yoy WAR OG'!CW52</f>
        <v>0</v>
      </c>
      <c r="H50" s="92"/>
      <c r="I50" s="88">
        <f>'Cashflow Working'!K51</f>
        <v>0</v>
      </c>
      <c r="J50" s="104" t="e">
        <f>'Cashflow Working'!#REF!</f>
        <v>#REF!</v>
      </c>
      <c r="K50" s="92">
        <f ca="1">C50+E50+'NWGC - SCENARIOS'!G59-'NWGC - SCENARIOS'!H59</f>
        <v>1189225670.8704441</v>
      </c>
    </row>
    <row r="51" spans="1:11" s="90" customFormat="1" ht="17.25" customHeight="1" x14ac:dyDescent="0.3">
      <c r="A51" s="90">
        <f t="shared" si="1"/>
        <v>98</v>
      </c>
      <c r="B51" s="90">
        <f>'Cashflow Working'!B52</f>
        <v>2074</v>
      </c>
      <c r="C51" s="92">
        <f t="shared" ca="1" si="2"/>
        <v>1189225670.8704441</v>
      </c>
      <c r="D51" s="194">
        <f>'NWGC - SCENARIOS'!$L$4</f>
        <v>7.5674563704248798E-2</v>
      </c>
      <c r="E51" s="104">
        <f ca="1">(working!C51-'NWGC - SCENARIOS'!H60)*D51</f>
        <v>82733615.849817201</v>
      </c>
      <c r="F51" s="104">
        <f ca="1">IF(('NWGC - SCENARIOS'!D60-'NWGC - SCENARIOS'!E60)&lt;0,0,('NWGC - SCENARIOS'!D60-'NWGC - SCENARIOS'!E60-G51))</f>
        <v>0</v>
      </c>
      <c r="G51" s="92">
        <f>'Yoy WAR OG'!EM53+'Yoy WAR OG'!ES53+'Yoy WAR OG'!EY53+'Yoy WAR OG'!CW53</f>
        <v>0</v>
      </c>
      <c r="H51" s="92"/>
      <c r="I51" s="88">
        <f>'Cashflow Working'!K52</f>
        <v>0</v>
      </c>
      <c r="J51" s="104" t="e">
        <f>'Cashflow Working'!#REF!</f>
        <v>#REF!</v>
      </c>
      <c r="K51" s="92">
        <f ca="1">C51+E51+'NWGC - SCENARIOS'!G60-'NWGC - SCENARIOS'!H60</f>
        <v>1176015318.4461689</v>
      </c>
    </row>
    <row r="52" spans="1:11" s="90" customFormat="1" ht="17.25" customHeight="1" x14ac:dyDescent="0.3">
      <c r="A52" s="90">
        <f t="shared" si="1"/>
        <v>99</v>
      </c>
      <c r="B52" s="90">
        <f>'Cashflow Working'!B53</f>
        <v>2075</v>
      </c>
      <c r="C52" s="92">
        <f t="shared" ca="1" si="2"/>
        <v>1176015318.4461689</v>
      </c>
      <c r="D52" s="194">
        <f>'NWGC - SCENARIOS'!$L$4</f>
        <v>7.5674563704248798E-2</v>
      </c>
      <c r="E52" s="104">
        <f ca="1">(working!C52-'NWGC - SCENARIOS'!H61)*D52</f>
        <v>81152578.225527003</v>
      </c>
      <c r="F52" s="104">
        <f ca="1">IF(('NWGC - SCENARIOS'!D61-'NWGC - SCENARIOS'!E61)&lt;0,0,('NWGC - SCENARIOS'!D61-'NWGC - SCENARIOS'!E61-G52))</f>
        <v>0</v>
      </c>
      <c r="G52" s="92">
        <f>'Yoy WAR OG'!EM54+'Yoy WAR OG'!ES54+'Yoy WAR OG'!EY54+'Yoy WAR OG'!CW54</f>
        <v>0</v>
      </c>
      <c r="H52" s="92"/>
      <c r="I52" s="88">
        <f>'Cashflow Working'!K53</f>
        <v>0</v>
      </c>
      <c r="J52" s="104" t="e">
        <f>'Cashflow Working'!#REF!</f>
        <v>#REF!</v>
      </c>
      <c r="K52" s="92">
        <f ca="1">C52+E52+'NWGC - SCENARIOS'!G61-'NWGC - SCENARIOS'!H61</f>
        <v>1153541690.9356761</v>
      </c>
    </row>
    <row r="53" spans="1:11" s="90" customFormat="1" ht="17.25" customHeight="1" x14ac:dyDescent="0.3">
      <c r="A53" s="90">
        <f t="shared" si="1"/>
        <v>100</v>
      </c>
      <c r="B53" s="90">
        <f>'Cashflow Working'!B54</f>
        <v>2076</v>
      </c>
      <c r="C53" s="92">
        <f t="shared" ca="1" si="2"/>
        <v>1153541690.9356761</v>
      </c>
      <c r="D53" s="194">
        <f>'NWGC - SCENARIOS'!$L$4</f>
        <v>7.5674563704248798E-2</v>
      </c>
      <c r="E53" s="104">
        <f ca="1">(working!C53-'NWGC - SCENARIOS'!H62)*D53</f>
        <v>78824038.303158566</v>
      </c>
      <c r="F53" s="104">
        <f ca="1">IF(('NWGC - SCENARIOS'!D62-'NWGC - SCENARIOS'!E62)&lt;0,0,('NWGC - SCENARIOS'!D62-'NWGC - SCENARIOS'!E62-G53))</f>
        <v>0</v>
      </c>
      <c r="G53" s="92">
        <f>'Yoy WAR OG'!EM55+'Yoy WAR OG'!ES55+'Yoy WAR OG'!EY55+'Yoy WAR OG'!CW55</f>
        <v>0</v>
      </c>
      <c r="H53" s="92"/>
      <c r="I53" s="88">
        <f>'Cashflow Working'!K54</f>
        <v>0</v>
      </c>
      <c r="J53" s="104" t="e">
        <f>'Cashflow Working'!#REF!</f>
        <v>#REF!</v>
      </c>
      <c r="K53" s="92">
        <f ca="1">C53+E53+'NWGC - SCENARIOS'!G62-'NWGC - SCENARIOS'!H62</f>
        <v>1120442707.0439329</v>
      </c>
    </row>
    <row r="54" spans="1:11" s="90" customFormat="1" ht="17.25" customHeight="1" x14ac:dyDescent="0.3">
      <c r="A54" s="90">
        <f t="shared" si="1"/>
        <v>101</v>
      </c>
      <c r="B54" s="90">
        <f>'Cashflow Working'!B55</f>
        <v>2077</v>
      </c>
      <c r="C54" s="92">
        <f t="shared" ref="C54:C60" ca="1" si="3">K53</f>
        <v>1120442707.0439329</v>
      </c>
      <c r="D54" s="194">
        <f>'NWGC - SCENARIOS'!$L$4</f>
        <v>7.5674563704248798E-2</v>
      </c>
      <c r="E54" s="104">
        <f ca="1">(working!C54-'NWGC - SCENARIOS'!H63)*D54</f>
        <v>75641200.535184041</v>
      </c>
      <c r="F54" s="104">
        <f ca="1">IF(('NWGC - SCENARIOS'!D63-'NWGC - SCENARIOS'!E63)&lt;0,0,('NWGC - SCENARIOS'!D63-'NWGC - SCENARIOS'!E63-G54))</f>
        <v>0</v>
      </c>
      <c r="G54" s="92">
        <f>'Yoy WAR OG'!EM56+'Yoy WAR OG'!ES56+'Yoy WAR OG'!EY56+'Yoy WAR OG'!CW56</f>
        <v>0</v>
      </c>
      <c r="H54" s="92"/>
      <c r="I54" s="88">
        <f>'Cashflow Working'!K55</f>
        <v>0</v>
      </c>
      <c r="J54" s="104" t="e">
        <f>'Cashflow Working'!#REF!</f>
        <v>#REF!</v>
      </c>
      <c r="K54" s="92">
        <f ca="1">C54+E54+'NWGC - SCENARIOS'!G63-'NWGC - SCENARIOS'!H63</f>
        <v>1075200323.6086233</v>
      </c>
    </row>
    <row r="55" spans="1:11" x14ac:dyDescent="0.3">
      <c r="A55" s="90">
        <f t="shared" si="1"/>
        <v>102</v>
      </c>
      <c r="B55" s="90">
        <f>'Cashflow Working'!B56</f>
        <v>2078</v>
      </c>
      <c r="C55" s="92">
        <f t="shared" ca="1" si="3"/>
        <v>1075200323.6086233</v>
      </c>
      <c r="D55" s="194">
        <f>'NWGC - SCENARIOS'!$L$4</f>
        <v>7.5674563704248798E-2</v>
      </c>
      <c r="E55" s="104">
        <f ca="1">(working!C55-'NWGC - SCENARIOS'!H64)*D55</f>
        <v>71485169.376630709</v>
      </c>
      <c r="F55" s="104">
        <f ca="1">IF(('NWGC - SCENARIOS'!D64-'NWGC - SCENARIOS'!E64)&lt;0,0,('NWGC - SCENARIOS'!D64-'NWGC - SCENARIOS'!E64-G55))</f>
        <v>0</v>
      </c>
      <c r="G55" s="92">
        <f>'Yoy WAR OG'!EM57+'Yoy WAR OG'!ES57+'Yoy WAR OG'!EY57+'Yoy WAR OG'!CW57</f>
        <v>0</v>
      </c>
      <c r="H55" s="92"/>
      <c r="I55" s="88">
        <f>'Cashflow Working'!K56</f>
        <v>0</v>
      </c>
      <c r="J55" s="104" t="e">
        <f>'Cashflow Working'!#REF!</f>
        <v>#REF!</v>
      </c>
      <c r="K55" s="92">
        <f ca="1">C55+E55+'NWGC - SCENARIOS'!G64-'NWGC - SCENARIOS'!H64</f>
        <v>1016124502.2971208</v>
      </c>
    </row>
    <row r="56" spans="1:11" x14ac:dyDescent="0.3">
      <c r="A56" s="90">
        <f t="shared" si="1"/>
        <v>103</v>
      </c>
      <c r="B56" s="90">
        <f>'Cashflow Working'!B57</f>
        <v>2079</v>
      </c>
      <c r="C56" s="92">
        <f t="shared" ca="1" si="3"/>
        <v>1016124502.2971208</v>
      </c>
      <c r="D56" s="194">
        <f>'NWGC - SCENARIOS'!$L$4</f>
        <v>7.5674563704248798E-2</v>
      </c>
      <c r="E56" s="104">
        <f ca="1">(working!C56-'NWGC - SCENARIOS'!H65)*D56</f>
        <v>66223712.159774989</v>
      </c>
      <c r="F56" s="104">
        <f ca="1">IF(('NWGC - SCENARIOS'!D65-'NWGC - SCENARIOS'!E65)&lt;0,0,('NWGC - SCENARIOS'!D65-'NWGC - SCENARIOS'!E65-G56))</f>
        <v>0</v>
      </c>
      <c r="G56" s="92">
        <f>'Yoy WAR OG'!EM58+'Yoy WAR OG'!ES58+'Yoy WAR OG'!EY58+'Yoy WAR OG'!CW58</f>
        <v>0</v>
      </c>
      <c r="H56" s="92"/>
      <c r="I56" s="88">
        <f>'Cashflow Working'!K57</f>
        <v>0</v>
      </c>
      <c r="J56" s="104" t="e">
        <f>'Cashflow Working'!#REF!</f>
        <v>#REF!</v>
      </c>
      <c r="K56" s="92">
        <f ca="1">C56+E56+'NWGC - SCENARIOS'!G65-'NWGC - SCENARIOS'!H65</f>
        <v>941335624.51371193</v>
      </c>
    </row>
    <row r="57" spans="1:11" x14ac:dyDescent="0.3">
      <c r="A57" s="90">
        <f t="shared" si="1"/>
        <v>104</v>
      </c>
      <c r="B57" s="90">
        <f>'Cashflow Working'!B58</f>
        <v>2080</v>
      </c>
      <c r="C57" s="92">
        <f t="shared" ca="1" si="3"/>
        <v>941335624.51371193</v>
      </c>
      <c r="D57" s="194">
        <f>'NWGC - SCENARIOS'!$L$4</f>
        <v>7.5674563704248798E-2</v>
      </c>
      <c r="E57" s="104">
        <f ca="1">(working!C57-'NWGC - SCENARIOS'!H66)*D57</f>
        <v>59709902.632856518</v>
      </c>
      <c r="F57" s="104">
        <f ca="1">IF(('NWGC - SCENARIOS'!D66-'NWGC - SCENARIOS'!E66)&lt;0,0,('NWGC - SCENARIOS'!D66-'NWGC - SCENARIOS'!E66-G57))</f>
        <v>0</v>
      </c>
      <c r="G57" s="92">
        <f>'Yoy WAR OG'!EM59+'Yoy WAR OG'!ES59+'Yoy WAR OG'!EY59+'Yoy WAR OG'!CW59</f>
        <v>0</v>
      </c>
      <c r="H57" s="92"/>
      <c r="I57" s="88">
        <f>'Cashflow Working'!K58</f>
        <v>0</v>
      </c>
      <c r="J57" s="104" t="e">
        <f>'Cashflow Working'!#REF!</f>
        <v>#REF!</v>
      </c>
      <c r="K57" s="92">
        <f ca="1">C57+E57+'NWGC - SCENARIOS'!G66-'NWGC - SCENARIOS'!H66</f>
        <v>848745210.0079298</v>
      </c>
    </row>
    <row r="58" spans="1:11" x14ac:dyDescent="0.3">
      <c r="A58" s="90">
        <f t="shared" si="1"/>
        <v>105</v>
      </c>
      <c r="B58" s="90">
        <f>'Cashflow Working'!B59</f>
        <v>2081</v>
      </c>
      <c r="C58" s="92">
        <f t="shared" ca="1" si="3"/>
        <v>848745210.0079298</v>
      </c>
      <c r="D58" s="194">
        <f>'NWGC - SCENARIOS'!$L$4</f>
        <v>7.5674563704248798E-2</v>
      </c>
      <c r="E58" s="104">
        <f ca="1">(working!C58-'NWGC - SCENARIOS'!H67)*D58</f>
        <v>51780634.074749</v>
      </c>
      <c r="F58" s="104">
        <f ca="1">IF(('NWGC - SCENARIOS'!D67-'NWGC - SCENARIOS'!E67)&lt;0,0,('NWGC - SCENARIOS'!D67-'NWGC - SCENARIOS'!E67-G58))</f>
        <v>0</v>
      </c>
      <c r="G58" s="92">
        <f>'Yoy WAR OG'!EM60+'Yoy WAR OG'!ES60+'Yoy WAR OG'!EY60+'Yoy WAR OG'!CW60</f>
        <v>0</v>
      </c>
      <c r="H58" s="92"/>
      <c r="I58" s="88">
        <f>'Cashflow Working'!K59</f>
        <v>0</v>
      </c>
      <c r="J58" s="104" t="e">
        <f>'Cashflow Working'!#REF!</f>
        <v>#REF!</v>
      </c>
      <c r="K58" s="92">
        <f ca="1">C58+E58+'NWGC - SCENARIOS'!G67-'NWGC - SCENARIOS'!H67</f>
        <v>736034781.57294917</v>
      </c>
    </row>
    <row r="59" spans="1:11" x14ac:dyDescent="0.3">
      <c r="A59" s="90">
        <f t="shared" si="1"/>
        <v>106</v>
      </c>
      <c r="B59" s="90" t="e">
        <f>'Cashflow Working'!#REF!</f>
        <v>#REF!</v>
      </c>
      <c r="C59" s="92">
        <f t="shared" ca="1" si="3"/>
        <v>736034781.57294917</v>
      </c>
      <c r="D59" s="194">
        <f>'NWGC - SCENARIOS'!$L$4</f>
        <v>7.5674563704248798E-2</v>
      </c>
      <c r="E59" s="104" t="e">
        <f ca="1">(working!C59-'NWGC - SCENARIOS'!#REF!)*D59</f>
        <v>#REF!</v>
      </c>
      <c r="F59" s="104" t="e">
        <f>IF(('NWGC - SCENARIOS'!#REF!-'NWGC - SCENARIOS'!#REF!)&lt;0,0,('NWGC - SCENARIOS'!#REF!-'NWGC - SCENARIOS'!#REF!-G59))</f>
        <v>#REF!</v>
      </c>
      <c r="G59" s="92">
        <f>'Yoy WAR OG'!EM61+'Yoy WAR OG'!ES61+'Yoy WAR OG'!EY61+'Yoy WAR OG'!CW61</f>
        <v>0</v>
      </c>
      <c r="H59" s="92"/>
      <c r="I59" s="88" t="e">
        <f>'Cashflow Working'!#REF!</f>
        <v>#REF!</v>
      </c>
      <c r="J59" s="104" t="e">
        <f>'Cashflow Working'!#REF!</f>
        <v>#REF!</v>
      </c>
      <c r="K59" s="92" t="e">
        <f ca="1">C59+E59+'NWGC - SCENARIOS'!#REF!-'NWGC - SCENARIOS'!#REF!</f>
        <v>#REF!</v>
      </c>
    </row>
    <row r="60" spans="1:11" x14ac:dyDescent="0.3">
      <c r="A60" s="90">
        <f t="shared" si="1"/>
        <v>107</v>
      </c>
      <c r="B60" s="90" t="e">
        <f>'Cashflow Working'!#REF!</f>
        <v>#REF!</v>
      </c>
      <c r="C60" s="92" t="e">
        <f t="shared" ca="1" si="3"/>
        <v>#REF!</v>
      </c>
      <c r="D60" s="194">
        <f>'NWGC - SCENARIOS'!$L$4</f>
        <v>7.5674563704248798E-2</v>
      </c>
      <c r="E60" s="104" t="e">
        <f ca="1">(working!C60-'NWGC - SCENARIOS'!#REF!)*D60</f>
        <v>#REF!</v>
      </c>
      <c r="F60" s="104" t="e">
        <f>IF(('NWGC - SCENARIOS'!#REF!-'NWGC - SCENARIOS'!#REF!)&lt;0,0,('NWGC - SCENARIOS'!#REF!-'NWGC - SCENARIOS'!#REF!-G60))</f>
        <v>#REF!</v>
      </c>
      <c r="G60" s="92">
        <f>'Yoy WAR OG'!EM62+'Yoy WAR OG'!ES62+'Yoy WAR OG'!EY62+'Yoy WAR OG'!CW62</f>
        <v>0</v>
      </c>
      <c r="H60" s="92"/>
      <c r="I60" s="88" t="e">
        <f>'Cashflow Working'!#REF!</f>
        <v>#REF!</v>
      </c>
      <c r="J60" s="104" t="e">
        <f>'Cashflow Working'!#REF!</f>
        <v>#REF!</v>
      </c>
      <c r="K60" s="92" t="e">
        <f ca="1">C60+E60+'NWGC - SCENARIOS'!#REF!-'NWGC - SCENARIOS'!#REF!</f>
        <v>#REF!</v>
      </c>
    </row>
    <row r="61" spans="1:11" x14ac:dyDescent="0.3">
      <c r="A61" s="90">
        <f t="shared" si="1"/>
        <v>108</v>
      </c>
      <c r="B61" s="90" t="e">
        <f>'Cashflow Working'!#REF!</f>
        <v>#REF!</v>
      </c>
      <c r="C61" s="92" t="e">
        <f t="shared" ref="C61:C62" ca="1" si="4">K60</f>
        <v>#REF!</v>
      </c>
      <c r="D61" s="194">
        <f>'NWGC - SCENARIOS'!$L$4</f>
        <v>7.5674563704248798E-2</v>
      </c>
      <c r="E61" s="104" t="e">
        <f ca="1">(working!C61-'NWGC - SCENARIOS'!#REF!)*D61</f>
        <v>#REF!</v>
      </c>
      <c r="F61" s="104" t="e">
        <f>IF(('NWGC - SCENARIOS'!#REF!-'NWGC - SCENARIOS'!#REF!)&lt;0,0,('NWGC - SCENARIOS'!#REF!-'NWGC - SCENARIOS'!#REF!-G61))</f>
        <v>#REF!</v>
      </c>
      <c r="G61" s="92">
        <f>'Yoy WAR OG'!EM63+'Yoy WAR OG'!ES63+'Yoy WAR OG'!EY63+'Yoy WAR OG'!CW63</f>
        <v>0</v>
      </c>
      <c r="H61" s="92"/>
      <c r="I61" s="88" t="e">
        <f>'Cashflow Working'!#REF!</f>
        <v>#REF!</v>
      </c>
      <c r="J61" s="104" t="e">
        <f>'Cashflow Working'!#REF!</f>
        <v>#REF!</v>
      </c>
      <c r="K61" s="92" t="e">
        <f ca="1">C61+E61+'NWGC - SCENARIOS'!#REF!-'NWGC - SCENARIOS'!#REF!</f>
        <v>#REF!</v>
      </c>
    </row>
    <row r="62" spans="1:11" x14ac:dyDescent="0.3">
      <c r="A62" s="90">
        <f t="shared" si="1"/>
        <v>109</v>
      </c>
      <c r="B62" s="90" t="e">
        <f>'Cashflow Working'!#REF!</f>
        <v>#REF!</v>
      </c>
      <c r="C62" s="92" t="e">
        <f t="shared" ca="1" si="4"/>
        <v>#REF!</v>
      </c>
      <c r="D62" s="194">
        <f>'NWGC - SCENARIOS'!$L$4</f>
        <v>7.5674563704248798E-2</v>
      </c>
      <c r="E62" s="104" t="e">
        <f ca="1">(working!C62-'NWGC - SCENARIOS'!#REF!)*D62</f>
        <v>#REF!</v>
      </c>
      <c r="F62" s="104" t="e">
        <f>IF(('NWGC - SCENARIOS'!#REF!-'NWGC - SCENARIOS'!#REF!)&lt;0,0,('NWGC - SCENARIOS'!#REF!-'NWGC - SCENARIOS'!#REF!-G62))</f>
        <v>#REF!</v>
      </c>
      <c r="G62" s="92">
        <f>'Yoy WAR OG'!EM64+'Yoy WAR OG'!ES64+'Yoy WAR OG'!EY64+'Yoy WAR OG'!CW64</f>
        <v>0</v>
      </c>
      <c r="H62" s="92"/>
      <c r="I62" s="88" t="e">
        <f>'Cashflow Working'!#REF!</f>
        <v>#REF!</v>
      </c>
      <c r="J62" s="104" t="e">
        <f>'Cashflow Working'!#REF!</f>
        <v>#REF!</v>
      </c>
      <c r="K62" s="92" t="e">
        <f ca="1">C62+E62+'NWGC - SCENARIOS'!#REF!-'NWGC - SCENARIOS'!#REF!</f>
        <v>#REF!</v>
      </c>
    </row>
    <row r="63" spans="1:11" x14ac:dyDescent="0.3">
      <c r="A63" s="90">
        <f t="shared" si="1"/>
        <v>110</v>
      </c>
      <c r="B63" s="90" t="e">
        <f>'Cashflow Working'!#REF!</f>
        <v>#REF!</v>
      </c>
      <c r="C63" s="92" t="e">
        <f t="shared" ref="C63:C78" ca="1" si="5">K62</f>
        <v>#REF!</v>
      </c>
      <c r="D63" s="194">
        <f>'NWGC - SCENARIOS'!$L$4</f>
        <v>7.5674563704248798E-2</v>
      </c>
      <c r="E63" s="104" t="e">
        <f ca="1">(working!C63-'NWGC - SCENARIOS'!#REF!)*D63</f>
        <v>#REF!</v>
      </c>
      <c r="F63" s="104" t="e">
        <f>IF(('NWGC - SCENARIOS'!#REF!-'NWGC - SCENARIOS'!#REF!)&lt;0,0,('NWGC - SCENARIOS'!#REF!-'NWGC - SCENARIOS'!#REF!-G63))</f>
        <v>#REF!</v>
      </c>
      <c r="G63" s="92">
        <f>'Yoy WAR OG'!EM65+'Yoy WAR OG'!ES65+'Yoy WAR OG'!EY65+'Yoy WAR OG'!CW65</f>
        <v>0</v>
      </c>
      <c r="H63" s="92"/>
      <c r="I63" s="88" t="e">
        <f>'Cashflow Working'!#REF!</f>
        <v>#REF!</v>
      </c>
      <c r="J63" s="104" t="e">
        <f>'Cashflow Working'!#REF!</f>
        <v>#REF!</v>
      </c>
      <c r="K63" s="92" t="e">
        <f ca="1">C63+E63+'NWGC - SCENARIOS'!#REF!-'NWGC - SCENARIOS'!#REF!</f>
        <v>#REF!</v>
      </c>
    </row>
    <row r="64" spans="1:11" x14ac:dyDescent="0.3">
      <c r="A64" s="90">
        <f t="shared" si="1"/>
        <v>111</v>
      </c>
      <c r="B64" s="90" t="e">
        <f>'Cashflow Working'!#REF!</f>
        <v>#REF!</v>
      </c>
      <c r="C64" s="92" t="e">
        <f t="shared" ca="1" si="5"/>
        <v>#REF!</v>
      </c>
      <c r="D64" s="194">
        <f>'NWGC - SCENARIOS'!$L$4</f>
        <v>7.5674563704248798E-2</v>
      </c>
      <c r="E64" s="104" t="e">
        <f ca="1">(working!C64-'NWGC - SCENARIOS'!#REF!)*D64</f>
        <v>#REF!</v>
      </c>
      <c r="F64" s="104" t="e">
        <f>IF(('NWGC - SCENARIOS'!#REF!-'NWGC - SCENARIOS'!#REF!)&lt;0,0,('NWGC - SCENARIOS'!#REF!-'NWGC - SCENARIOS'!#REF!-G64))</f>
        <v>#REF!</v>
      </c>
      <c r="G64" s="92">
        <f>'Yoy WAR OG'!EM66+'Yoy WAR OG'!ES66+'Yoy WAR OG'!EY66+'Yoy WAR OG'!CW66</f>
        <v>0</v>
      </c>
      <c r="H64" s="92"/>
      <c r="I64" s="88" t="e">
        <f>'Cashflow Working'!#REF!</f>
        <v>#REF!</v>
      </c>
      <c r="J64" s="104" t="e">
        <f>'Cashflow Working'!#REF!</f>
        <v>#REF!</v>
      </c>
      <c r="K64" s="92" t="e">
        <f ca="1">C64+E64+'NWGC - SCENARIOS'!#REF!-'NWGC - SCENARIOS'!#REF!</f>
        <v>#REF!</v>
      </c>
    </row>
    <row r="65" spans="1:11" x14ac:dyDescent="0.3">
      <c r="A65" s="90">
        <f t="shared" si="1"/>
        <v>112</v>
      </c>
      <c r="B65" s="90" t="e">
        <f>'Cashflow Working'!#REF!</f>
        <v>#REF!</v>
      </c>
      <c r="C65" s="92" t="e">
        <f t="shared" ca="1" si="5"/>
        <v>#REF!</v>
      </c>
      <c r="D65" s="194">
        <f>'NWGC - SCENARIOS'!$L$4</f>
        <v>7.5674563704248798E-2</v>
      </c>
      <c r="E65" s="104" t="e">
        <f ca="1">(working!C65-'NWGC - SCENARIOS'!#REF!)*D65</f>
        <v>#REF!</v>
      </c>
      <c r="F65" s="104" t="e">
        <f>IF(('NWGC - SCENARIOS'!#REF!-'NWGC - SCENARIOS'!#REF!)&lt;0,0,('NWGC - SCENARIOS'!#REF!-'NWGC - SCENARIOS'!#REF!-G65))</f>
        <v>#REF!</v>
      </c>
      <c r="G65" s="92">
        <f>'Yoy WAR OG'!EM67+'Yoy WAR OG'!ES67+'Yoy WAR OG'!EY67+'Yoy WAR OG'!CW67</f>
        <v>0</v>
      </c>
      <c r="H65" s="92"/>
      <c r="I65" s="88" t="e">
        <f>'Cashflow Working'!#REF!</f>
        <v>#REF!</v>
      </c>
      <c r="J65" s="104" t="e">
        <f>'Cashflow Working'!#REF!</f>
        <v>#REF!</v>
      </c>
      <c r="K65" s="92" t="e">
        <f ca="1">C65+E65+'NWGC - SCENARIOS'!#REF!-'NWGC - SCENARIOS'!#REF!</f>
        <v>#REF!</v>
      </c>
    </row>
    <row r="66" spans="1:11" x14ac:dyDescent="0.3">
      <c r="A66" s="90">
        <f t="shared" si="1"/>
        <v>113</v>
      </c>
      <c r="B66" s="90" t="e">
        <f>'Cashflow Working'!#REF!</f>
        <v>#REF!</v>
      </c>
      <c r="C66" s="92" t="e">
        <f t="shared" ca="1" si="5"/>
        <v>#REF!</v>
      </c>
      <c r="D66" s="194">
        <f>'NWGC - SCENARIOS'!$L$4</f>
        <v>7.5674563704248798E-2</v>
      </c>
      <c r="E66" s="104" t="e">
        <f ca="1">(working!C66-'NWGC - SCENARIOS'!#REF!)*D66</f>
        <v>#REF!</v>
      </c>
      <c r="F66" s="104" t="e">
        <f>IF(('NWGC - SCENARIOS'!#REF!-'NWGC - SCENARIOS'!#REF!)&lt;0,0,('NWGC - SCENARIOS'!#REF!-'NWGC - SCENARIOS'!#REF!-G66))</f>
        <v>#REF!</v>
      </c>
      <c r="G66" s="92">
        <f>'Yoy WAR OG'!EM68+'Yoy WAR OG'!ES68+'Yoy WAR OG'!EY68+'Yoy WAR OG'!CW68</f>
        <v>0</v>
      </c>
      <c r="H66" s="92"/>
      <c r="I66" s="88" t="e">
        <f>'Cashflow Working'!#REF!</f>
        <v>#REF!</v>
      </c>
      <c r="J66" s="104" t="e">
        <f>'Cashflow Working'!#REF!</f>
        <v>#REF!</v>
      </c>
      <c r="K66" s="92" t="e">
        <f ca="1">C66+E66+'NWGC - SCENARIOS'!#REF!-'NWGC - SCENARIOS'!#REF!</f>
        <v>#REF!</v>
      </c>
    </row>
    <row r="67" spans="1:11" x14ac:dyDescent="0.3">
      <c r="A67" s="90">
        <f t="shared" si="1"/>
        <v>114</v>
      </c>
      <c r="B67" s="90" t="e">
        <f>'Cashflow Working'!#REF!</f>
        <v>#REF!</v>
      </c>
      <c r="C67" s="92" t="e">
        <f t="shared" ca="1" si="5"/>
        <v>#REF!</v>
      </c>
      <c r="D67" s="194">
        <f>'NWGC - SCENARIOS'!$L$4</f>
        <v>7.5674563704248798E-2</v>
      </c>
      <c r="E67" s="104" t="e">
        <f ca="1">(working!C67-'NWGC - SCENARIOS'!#REF!)*D67</f>
        <v>#REF!</v>
      </c>
      <c r="F67" s="104" t="e">
        <f>IF(('NWGC - SCENARIOS'!#REF!-'NWGC - SCENARIOS'!#REF!)&lt;0,0,('NWGC - SCENARIOS'!#REF!-'NWGC - SCENARIOS'!#REF!-G67))</f>
        <v>#REF!</v>
      </c>
      <c r="G67" s="92">
        <f>'Yoy WAR OG'!EM69+'Yoy WAR OG'!ES69+'Yoy WAR OG'!EY69+'Yoy WAR OG'!CW69</f>
        <v>0</v>
      </c>
      <c r="H67" s="92"/>
      <c r="I67" s="88" t="e">
        <f>'Cashflow Working'!#REF!</f>
        <v>#REF!</v>
      </c>
      <c r="J67" s="104" t="e">
        <f>'Cashflow Working'!#REF!</f>
        <v>#REF!</v>
      </c>
      <c r="K67" s="92" t="e">
        <f ca="1">C67+E67+'NWGC - SCENARIOS'!#REF!-'NWGC - SCENARIOS'!#REF!</f>
        <v>#REF!</v>
      </c>
    </row>
    <row r="68" spans="1:11" x14ac:dyDescent="0.3">
      <c r="A68" s="90">
        <f t="shared" ref="A68:A78" si="6">A67+1</f>
        <v>115</v>
      </c>
      <c r="B68" s="90" t="e">
        <f>'Cashflow Working'!#REF!</f>
        <v>#REF!</v>
      </c>
      <c r="C68" s="92" t="e">
        <f t="shared" ca="1" si="5"/>
        <v>#REF!</v>
      </c>
      <c r="D68" s="194">
        <f>'NWGC - SCENARIOS'!$L$4</f>
        <v>7.5674563704248798E-2</v>
      </c>
      <c r="E68" s="104" t="e">
        <f ca="1">(working!C68-'NWGC - SCENARIOS'!#REF!)*D68</f>
        <v>#REF!</v>
      </c>
      <c r="F68" s="104" t="e">
        <f>IF(('NWGC - SCENARIOS'!#REF!-'NWGC - SCENARIOS'!#REF!)&lt;0,0,('NWGC - SCENARIOS'!#REF!-'NWGC - SCENARIOS'!#REF!-G68))</f>
        <v>#REF!</v>
      </c>
      <c r="G68" s="92">
        <f>'Yoy WAR OG'!EM70+'Yoy WAR OG'!ES70+'Yoy WAR OG'!EY70+'Yoy WAR OG'!CW70</f>
        <v>0</v>
      </c>
      <c r="H68" s="92"/>
      <c r="I68" s="88" t="e">
        <f>'Cashflow Working'!#REF!</f>
        <v>#REF!</v>
      </c>
      <c r="J68" s="104" t="e">
        <f>'Cashflow Working'!#REF!</f>
        <v>#REF!</v>
      </c>
      <c r="K68" s="92" t="e">
        <f ca="1">C68+E68+'NWGC - SCENARIOS'!#REF!-'NWGC - SCENARIOS'!#REF!</f>
        <v>#REF!</v>
      </c>
    </row>
    <row r="69" spans="1:11" x14ac:dyDescent="0.3">
      <c r="A69" s="90">
        <f t="shared" si="6"/>
        <v>116</v>
      </c>
      <c r="B69" s="90" t="e">
        <f>'Cashflow Working'!#REF!</f>
        <v>#REF!</v>
      </c>
      <c r="C69" s="92" t="e">
        <f t="shared" ca="1" si="5"/>
        <v>#REF!</v>
      </c>
      <c r="D69" s="194">
        <f>'NWGC - SCENARIOS'!$L$4</f>
        <v>7.5674563704248798E-2</v>
      </c>
      <c r="E69" s="104" t="e">
        <f ca="1">(working!C69-'NWGC - SCENARIOS'!#REF!)*D69</f>
        <v>#REF!</v>
      </c>
      <c r="F69" s="104" t="e">
        <f>IF(('NWGC - SCENARIOS'!#REF!-'NWGC - SCENARIOS'!#REF!)&lt;0,0,('NWGC - SCENARIOS'!#REF!-'NWGC - SCENARIOS'!#REF!-G69))</f>
        <v>#REF!</v>
      </c>
      <c r="G69" s="92">
        <f>'Yoy WAR OG'!EM71+'Yoy WAR OG'!ES71+'Yoy WAR OG'!EY71+'Yoy WAR OG'!CW71</f>
        <v>0</v>
      </c>
      <c r="H69" s="92"/>
      <c r="I69" s="88" t="e">
        <f>'Cashflow Working'!#REF!</f>
        <v>#REF!</v>
      </c>
      <c r="J69" s="104" t="e">
        <f>'Cashflow Working'!#REF!</f>
        <v>#REF!</v>
      </c>
      <c r="K69" s="92" t="e">
        <f ca="1">C69+E69+'NWGC - SCENARIOS'!#REF!-'NWGC - SCENARIOS'!#REF!</f>
        <v>#REF!</v>
      </c>
    </row>
    <row r="70" spans="1:11" x14ac:dyDescent="0.3">
      <c r="A70" s="90">
        <f t="shared" si="6"/>
        <v>117</v>
      </c>
      <c r="B70" s="90" t="e">
        <f>'Cashflow Working'!#REF!</f>
        <v>#REF!</v>
      </c>
      <c r="C70" s="92" t="e">
        <f t="shared" ca="1" si="5"/>
        <v>#REF!</v>
      </c>
      <c r="D70" s="194">
        <f>'NWGC - SCENARIOS'!$L$4</f>
        <v>7.5674563704248798E-2</v>
      </c>
      <c r="E70" s="104" t="e">
        <f ca="1">(working!C70-'NWGC - SCENARIOS'!#REF!)*D70</f>
        <v>#REF!</v>
      </c>
      <c r="F70" s="104" t="e">
        <f>IF(('NWGC - SCENARIOS'!#REF!-'NWGC - SCENARIOS'!#REF!)&lt;0,0,('NWGC - SCENARIOS'!#REF!-'NWGC - SCENARIOS'!#REF!-G70))</f>
        <v>#REF!</v>
      </c>
      <c r="G70" s="92">
        <f>'Yoy WAR OG'!EM72+'Yoy WAR OG'!ES72+'Yoy WAR OG'!EY72+'Yoy WAR OG'!CW72</f>
        <v>0</v>
      </c>
      <c r="H70" s="92"/>
      <c r="I70" s="88" t="e">
        <f>'Cashflow Working'!#REF!</f>
        <v>#REF!</v>
      </c>
      <c r="J70" s="104" t="e">
        <f>'Cashflow Working'!#REF!</f>
        <v>#REF!</v>
      </c>
      <c r="K70" s="92" t="e">
        <f ca="1">C70+E70+'NWGC - SCENARIOS'!#REF!-'NWGC - SCENARIOS'!#REF!</f>
        <v>#REF!</v>
      </c>
    </row>
    <row r="71" spans="1:11" x14ac:dyDescent="0.3">
      <c r="A71" s="90">
        <f t="shared" si="6"/>
        <v>118</v>
      </c>
      <c r="B71" s="90" t="e">
        <f>'Cashflow Working'!#REF!</f>
        <v>#REF!</v>
      </c>
      <c r="C71" s="92" t="e">
        <f t="shared" ca="1" si="5"/>
        <v>#REF!</v>
      </c>
      <c r="D71" s="194">
        <f>'NWGC - SCENARIOS'!$L$4</f>
        <v>7.5674563704248798E-2</v>
      </c>
      <c r="E71" s="104" t="e">
        <f ca="1">(working!C71-'NWGC - SCENARIOS'!#REF!)*D71</f>
        <v>#REF!</v>
      </c>
      <c r="F71" s="104" t="e">
        <f>IF(('NWGC - SCENARIOS'!#REF!-'NWGC - SCENARIOS'!#REF!)&lt;0,0,('NWGC - SCENARIOS'!#REF!-'NWGC - SCENARIOS'!#REF!-G71))</f>
        <v>#REF!</v>
      </c>
      <c r="G71" s="92">
        <f>'Yoy WAR OG'!EM73+'Yoy WAR OG'!ES73+'Yoy WAR OG'!EY73+'Yoy WAR OG'!CW73</f>
        <v>0</v>
      </c>
      <c r="H71" s="92"/>
      <c r="I71" s="88" t="e">
        <f>'Cashflow Working'!#REF!</f>
        <v>#REF!</v>
      </c>
      <c r="J71" s="104" t="e">
        <f>'Cashflow Working'!#REF!</f>
        <v>#REF!</v>
      </c>
      <c r="K71" s="92" t="e">
        <f ca="1">C71+E71+'NWGC - SCENARIOS'!#REF!-'NWGC - SCENARIOS'!#REF!</f>
        <v>#REF!</v>
      </c>
    </row>
    <row r="72" spans="1:11" x14ac:dyDescent="0.3">
      <c r="A72" s="90">
        <f t="shared" si="6"/>
        <v>119</v>
      </c>
      <c r="B72" s="90" t="e">
        <f>'Cashflow Working'!#REF!</f>
        <v>#REF!</v>
      </c>
      <c r="C72" s="92" t="e">
        <f t="shared" ca="1" si="5"/>
        <v>#REF!</v>
      </c>
      <c r="D72" s="194">
        <f>'NWGC - SCENARIOS'!$L$4</f>
        <v>7.5674563704248798E-2</v>
      </c>
      <c r="E72" s="104" t="e">
        <f ca="1">(working!C72-'NWGC - SCENARIOS'!#REF!)*D72</f>
        <v>#REF!</v>
      </c>
      <c r="F72" s="104" t="e">
        <f>IF(('NWGC - SCENARIOS'!#REF!-'NWGC - SCENARIOS'!#REF!)&lt;0,0,('NWGC - SCENARIOS'!#REF!-'NWGC - SCENARIOS'!#REF!-G72))</f>
        <v>#REF!</v>
      </c>
      <c r="G72" s="92">
        <f>'Yoy WAR OG'!EM74+'Yoy WAR OG'!ES74+'Yoy WAR OG'!EY74+'Yoy WAR OG'!CW74</f>
        <v>0</v>
      </c>
      <c r="H72" s="92"/>
      <c r="I72" s="88" t="e">
        <f>'Cashflow Working'!#REF!</f>
        <v>#REF!</v>
      </c>
      <c r="J72" s="104" t="e">
        <f>'Cashflow Working'!#REF!</f>
        <v>#REF!</v>
      </c>
      <c r="K72" s="92" t="e">
        <f ca="1">C72+E72+'NWGC - SCENARIOS'!#REF!-'NWGC - SCENARIOS'!#REF!</f>
        <v>#REF!</v>
      </c>
    </row>
    <row r="73" spans="1:11" x14ac:dyDescent="0.3">
      <c r="A73" s="90">
        <f t="shared" si="6"/>
        <v>120</v>
      </c>
      <c r="B73" s="90" t="e">
        <f>'Cashflow Working'!#REF!</f>
        <v>#REF!</v>
      </c>
      <c r="C73" s="92" t="e">
        <f t="shared" ca="1" si="5"/>
        <v>#REF!</v>
      </c>
      <c r="D73" s="194">
        <f>'NWGC - SCENARIOS'!$L$4</f>
        <v>7.5674563704248798E-2</v>
      </c>
      <c r="E73" s="104" t="e">
        <f ca="1">(working!C73-'NWGC - SCENARIOS'!#REF!)*D73</f>
        <v>#REF!</v>
      </c>
      <c r="F73" s="104" t="e">
        <f>IF(('NWGC - SCENARIOS'!#REF!-'NWGC - SCENARIOS'!#REF!)&lt;0,0,('NWGC - SCENARIOS'!#REF!-'NWGC - SCENARIOS'!#REF!-G73))</f>
        <v>#REF!</v>
      </c>
      <c r="G73" s="92">
        <f>'Yoy WAR OG'!EM75+'Yoy WAR OG'!ES75+'Yoy WAR OG'!EY75+'Yoy WAR OG'!CW75</f>
        <v>0</v>
      </c>
      <c r="H73" s="92"/>
      <c r="I73" s="88" t="e">
        <f>'Cashflow Working'!#REF!</f>
        <v>#REF!</v>
      </c>
      <c r="J73" s="104" t="e">
        <f>'Cashflow Working'!#REF!</f>
        <v>#REF!</v>
      </c>
      <c r="K73" s="92" t="e">
        <f ca="1">C73+E73+'NWGC - SCENARIOS'!#REF!-'NWGC - SCENARIOS'!#REF!</f>
        <v>#REF!</v>
      </c>
    </row>
    <row r="74" spans="1:11" x14ac:dyDescent="0.3">
      <c r="A74" s="90">
        <f t="shared" si="6"/>
        <v>121</v>
      </c>
      <c r="B74" s="90" t="e">
        <f>'Cashflow Working'!#REF!</f>
        <v>#REF!</v>
      </c>
      <c r="C74" s="92" t="e">
        <f t="shared" ca="1" si="5"/>
        <v>#REF!</v>
      </c>
      <c r="D74" s="194">
        <f>'NWGC - SCENARIOS'!$L$4</f>
        <v>7.5674563704248798E-2</v>
      </c>
      <c r="E74" s="104" t="e">
        <f ca="1">(working!C74-'NWGC - SCENARIOS'!#REF!)*D74</f>
        <v>#REF!</v>
      </c>
      <c r="F74" s="104" t="e">
        <f>IF(('NWGC - SCENARIOS'!#REF!-'NWGC - SCENARIOS'!#REF!)&lt;0,0,('NWGC - SCENARIOS'!#REF!-'NWGC - SCENARIOS'!#REF!-G74))</f>
        <v>#REF!</v>
      </c>
      <c r="G74" s="92">
        <f>'Yoy WAR OG'!EM76+'Yoy WAR OG'!ES76+'Yoy WAR OG'!EY76+'Yoy WAR OG'!CW76</f>
        <v>0</v>
      </c>
      <c r="H74" s="92"/>
      <c r="I74" s="88" t="e">
        <f>'Cashflow Working'!#REF!</f>
        <v>#REF!</v>
      </c>
      <c r="J74" s="104" t="e">
        <f>'Cashflow Working'!#REF!</f>
        <v>#REF!</v>
      </c>
      <c r="K74" s="92" t="e">
        <f ca="1">C74+E74+'NWGC - SCENARIOS'!#REF!-'NWGC - SCENARIOS'!#REF!</f>
        <v>#REF!</v>
      </c>
    </row>
    <row r="75" spans="1:11" x14ac:dyDescent="0.3">
      <c r="A75" s="90">
        <f t="shared" si="6"/>
        <v>122</v>
      </c>
      <c r="B75" s="90" t="e">
        <f>'Cashflow Working'!#REF!</f>
        <v>#REF!</v>
      </c>
      <c r="C75" s="92" t="e">
        <f t="shared" ca="1" si="5"/>
        <v>#REF!</v>
      </c>
      <c r="D75" s="194">
        <f>'NWGC - SCENARIOS'!$L$4</f>
        <v>7.5674563704248798E-2</v>
      </c>
      <c r="E75" s="104" t="e">
        <f ca="1">(working!C75-'NWGC - SCENARIOS'!#REF!)*D75</f>
        <v>#REF!</v>
      </c>
      <c r="F75" s="104" t="e">
        <f>IF(('NWGC - SCENARIOS'!#REF!-'NWGC - SCENARIOS'!#REF!)&lt;0,0,('NWGC - SCENARIOS'!#REF!-'NWGC - SCENARIOS'!#REF!-G75))</f>
        <v>#REF!</v>
      </c>
      <c r="G75" s="92">
        <f>'Yoy WAR OG'!EM77+'Yoy WAR OG'!ES77+'Yoy WAR OG'!EY77+'Yoy WAR OG'!CW77</f>
        <v>0</v>
      </c>
      <c r="H75" s="92"/>
      <c r="I75" s="88" t="e">
        <f>'Cashflow Working'!#REF!</f>
        <v>#REF!</v>
      </c>
      <c r="J75" s="104" t="e">
        <f>'Cashflow Working'!#REF!</f>
        <v>#REF!</v>
      </c>
      <c r="K75" s="92" t="e">
        <f ca="1">C75+E75+'NWGC - SCENARIOS'!#REF!-'NWGC - SCENARIOS'!#REF!</f>
        <v>#REF!</v>
      </c>
    </row>
    <row r="76" spans="1:11" x14ac:dyDescent="0.3">
      <c r="A76" s="90">
        <f t="shared" si="6"/>
        <v>123</v>
      </c>
      <c r="B76" s="90" t="e">
        <f>'Cashflow Working'!#REF!</f>
        <v>#REF!</v>
      </c>
      <c r="C76" s="92" t="e">
        <f t="shared" ca="1" si="5"/>
        <v>#REF!</v>
      </c>
      <c r="D76" s="194">
        <f>'NWGC - SCENARIOS'!$L$4</f>
        <v>7.5674563704248798E-2</v>
      </c>
      <c r="E76" s="104" t="e">
        <f ca="1">(working!C76-'NWGC - SCENARIOS'!#REF!)*D76</f>
        <v>#REF!</v>
      </c>
      <c r="F76" s="104" t="e">
        <f>IF(('NWGC - SCENARIOS'!#REF!-'NWGC - SCENARIOS'!#REF!)&lt;0,0,('NWGC - SCENARIOS'!#REF!-'NWGC - SCENARIOS'!#REF!-G76))</f>
        <v>#REF!</v>
      </c>
      <c r="G76" s="92">
        <f>'Yoy WAR OG'!EM78+'Yoy WAR OG'!ES78+'Yoy WAR OG'!EY78+'Yoy WAR OG'!CW78</f>
        <v>0</v>
      </c>
      <c r="H76" s="92"/>
      <c r="I76" s="88" t="e">
        <f>'Cashflow Working'!#REF!</f>
        <v>#REF!</v>
      </c>
      <c r="J76" s="104" t="e">
        <f>'Cashflow Working'!#REF!</f>
        <v>#REF!</v>
      </c>
      <c r="K76" s="92" t="e">
        <f ca="1">C76+E76+'NWGC - SCENARIOS'!#REF!-'NWGC - SCENARIOS'!#REF!</f>
        <v>#REF!</v>
      </c>
    </row>
    <row r="77" spans="1:11" x14ac:dyDescent="0.3">
      <c r="A77" s="90">
        <f t="shared" si="6"/>
        <v>124</v>
      </c>
      <c r="B77" s="90" t="e">
        <f>'Cashflow Working'!#REF!</f>
        <v>#REF!</v>
      </c>
      <c r="C77" s="92" t="e">
        <f t="shared" ca="1" si="5"/>
        <v>#REF!</v>
      </c>
      <c r="D77" s="194">
        <f>'NWGC - SCENARIOS'!$L$4</f>
        <v>7.5674563704248798E-2</v>
      </c>
      <c r="E77" s="104" t="e">
        <f ca="1">(working!C77-'NWGC - SCENARIOS'!#REF!)*D77</f>
        <v>#REF!</v>
      </c>
      <c r="F77" s="104" t="e">
        <f>IF(('NWGC - SCENARIOS'!#REF!-'NWGC - SCENARIOS'!#REF!)&lt;0,0,('NWGC - SCENARIOS'!#REF!-'NWGC - SCENARIOS'!#REF!-G77))</f>
        <v>#REF!</v>
      </c>
      <c r="G77" s="92">
        <f>'Yoy WAR OG'!EM79+'Yoy WAR OG'!ES79+'Yoy WAR OG'!EY79+'Yoy WAR OG'!CW79</f>
        <v>0</v>
      </c>
      <c r="H77" s="92"/>
      <c r="I77" s="88" t="e">
        <f>'Cashflow Working'!#REF!</f>
        <v>#REF!</v>
      </c>
      <c r="J77" s="104" t="e">
        <f>'Cashflow Working'!#REF!</f>
        <v>#REF!</v>
      </c>
      <c r="K77" s="92" t="e">
        <f ca="1">C77+E77+'NWGC - SCENARIOS'!#REF!-'NWGC - SCENARIOS'!#REF!</f>
        <v>#REF!</v>
      </c>
    </row>
    <row r="78" spans="1:11" x14ac:dyDescent="0.3">
      <c r="A78" s="90">
        <f t="shared" si="6"/>
        <v>125</v>
      </c>
      <c r="B78" s="90" t="e">
        <f>'Cashflow Working'!#REF!</f>
        <v>#REF!</v>
      </c>
      <c r="C78" s="92" t="e">
        <f t="shared" ca="1" si="5"/>
        <v>#REF!</v>
      </c>
      <c r="D78" s="194">
        <f>'NWGC - SCENARIOS'!$L$4</f>
        <v>7.5674563704248798E-2</v>
      </c>
      <c r="E78" s="104" t="e">
        <f ca="1">(working!C78-'NWGC - SCENARIOS'!#REF!)*D78</f>
        <v>#REF!</v>
      </c>
      <c r="F78" s="104" t="e">
        <f>IF(('NWGC - SCENARIOS'!#REF!-'NWGC - SCENARIOS'!#REF!)&lt;0,0,('NWGC - SCENARIOS'!#REF!-'NWGC - SCENARIOS'!#REF!-G78))</f>
        <v>#REF!</v>
      </c>
      <c r="G78" s="92">
        <f>'Yoy WAR OG'!EM80+'Yoy WAR OG'!ES80+'Yoy WAR OG'!EY80+'Yoy WAR OG'!CW80</f>
        <v>0</v>
      </c>
      <c r="H78" s="92"/>
      <c r="I78" s="88" t="e">
        <f>'Cashflow Working'!#REF!</f>
        <v>#REF!</v>
      </c>
      <c r="J78" s="104" t="e">
        <f>'Cashflow Working'!#REF!</f>
        <v>#REF!</v>
      </c>
      <c r="K78" s="92" t="e">
        <f ca="1">C78+E78+'NWGC - SCENARIOS'!#REF!-'NWGC - SCENARIOS'!#REF!</f>
        <v>#REF!</v>
      </c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EC34B-D2FA-4775-8251-FEF48347CE62}">
  <sheetPr codeName="Sheet26"/>
  <dimension ref="A1:V13"/>
  <sheetViews>
    <sheetView workbookViewId="0">
      <selection activeCell="G11" sqref="G11"/>
    </sheetView>
  </sheetViews>
  <sheetFormatPr defaultColWidth="8.88671875" defaultRowHeight="14.4" outlineLevelRow="1" outlineLevelCol="1" x14ac:dyDescent="0.3"/>
  <cols>
    <col min="1" max="1" width="1" style="1" customWidth="1"/>
    <col min="2" max="3" width="8.88671875" style="1"/>
    <col min="4" max="4" width="13.33203125" style="1" customWidth="1"/>
    <col min="5" max="5" width="2.33203125" style="1" customWidth="1"/>
    <col min="6" max="6" width="19.33203125" style="1" customWidth="1"/>
    <col min="7" max="7" width="11.88671875" style="1" customWidth="1"/>
    <col min="8" max="8" width="1.88671875" style="1" customWidth="1"/>
    <col min="9" max="22" width="8.88671875" style="1" customWidth="1" outlineLevel="1"/>
    <col min="23" max="16384" width="8.88671875" style="1"/>
  </cols>
  <sheetData>
    <row r="1" spans="1:7" ht="5.4" customHeight="1" x14ac:dyDescent="0.3"/>
    <row r="2" spans="1:7" ht="35.4" customHeight="1" thickBot="1" x14ac:dyDescent="0.35">
      <c r="B2" s="703" t="s">
        <v>405</v>
      </c>
      <c r="C2" s="703"/>
      <c r="D2" s="703"/>
      <c r="E2" s="703"/>
      <c r="F2" s="703"/>
      <c r="G2" s="703"/>
    </row>
    <row r="3" spans="1:7" ht="42.6" customHeight="1" x14ac:dyDescent="0.3">
      <c r="A3" s="60"/>
      <c r="B3" s="699" t="s">
        <v>406</v>
      </c>
      <c r="C3" s="700"/>
      <c r="D3" s="293"/>
      <c r="F3" s="294" t="s">
        <v>383</v>
      </c>
      <c r="G3" s="295">
        <v>0</v>
      </c>
    </row>
    <row r="4" spans="1:7" ht="42" customHeight="1" x14ac:dyDescent="0.3">
      <c r="A4" s="60"/>
      <c r="B4" s="701" t="s">
        <v>407</v>
      </c>
      <c r="C4" s="702"/>
      <c r="D4" s="290"/>
      <c r="F4" s="85" t="s">
        <v>385</v>
      </c>
      <c r="G4" s="296">
        <v>0.08</v>
      </c>
    </row>
    <row r="5" spans="1:7" ht="42" customHeight="1" x14ac:dyDescent="0.3">
      <c r="A5" s="60"/>
      <c r="B5" s="701" t="s">
        <v>408</v>
      </c>
      <c r="C5" s="702"/>
      <c r="D5" s="291"/>
      <c r="F5" s="59" t="s">
        <v>387</v>
      </c>
      <c r="G5" s="296">
        <v>0.08</v>
      </c>
    </row>
    <row r="6" spans="1:7" ht="42" customHeight="1" thickBot="1" x14ac:dyDescent="0.35">
      <c r="A6" s="60"/>
      <c r="B6" s="697" t="s">
        <v>388</v>
      </c>
      <c r="C6" s="698"/>
      <c r="D6" s="292">
        <v>60</v>
      </c>
      <c r="F6" s="297" t="s">
        <v>389</v>
      </c>
      <c r="G6" s="298" t="s">
        <v>42</v>
      </c>
    </row>
    <row r="7" spans="1:7" ht="6.6" customHeight="1" x14ac:dyDescent="0.3"/>
    <row r="8" spans="1:7" ht="5.4" customHeight="1" outlineLevel="1" x14ac:dyDescent="0.3"/>
    <row r="9" spans="1:7" ht="31.2" customHeight="1" outlineLevel="1" thickBot="1" x14ac:dyDescent="0.35">
      <c r="B9" s="703" t="s">
        <v>409</v>
      </c>
      <c r="C9" s="703"/>
      <c r="D9" s="703"/>
      <c r="E9" s="703"/>
      <c r="F9" s="703"/>
      <c r="G9" s="703"/>
    </row>
    <row r="10" spans="1:7" ht="42" customHeight="1" outlineLevel="1" x14ac:dyDescent="0.3">
      <c r="A10" s="60"/>
      <c r="B10" s="699" t="s">
        <v>406</v>
      </c>
      <c r="C10" s="700"/>
      <c r="D10" s="293"/>
      <c r="F10" s="294" t="s">
        <v>383</v>
      </c>
      <c r="G10" s="295">
        <v>8.8400000000000006E-2</v>
      </c>
    </row>
    <row r="11" spans="1:7" ht="42" customHeight="1" outlineLevel="1" x14ac:dyDescent="0.3">
      <c r="A11" s="60"/>
      <c r="B11" s="701" t="s">
        <v>407</v>
      </c>
      <c r="C11" s="702"/>
      <c r="D11" s="290"/>
      <c r="F11" s="85" t="s">
        <v>385</v>
      </c>
      <c r="G11" s="296">
        <v>0.08</v>
      </c>
    </row>
    <row r="12" spans="1:7" ht="42" customHeight="1" outlineLevel="1" x14ac:dyDescent="0.3">
      <c r="A12" s="60"/>
      <c r="B12" s="701" t="s">
        <v>408</v>
      </c>
      <c r="C12" s="702"/>
      <c r="D12" s="291"/>
      <c r="F12" s="59" t="s">
        <v>387</v>
      </c>
      <c r="G12" s="296">
        <v>0.08</v>
      </c>
    </row>
    <row r="13" spans="1:7" ht="42.6" customHeight="1" outlineLevel="1" thickBot="1" x14ac:dyDescent="0.35">
      <c r="A13" s="60"/>
      <c r="B13" s="697" t="s">
        <v>388</v>
      </c>
      <c r="C13" s="698"/>
      <c r="D13" s="292">
        <v>60</v>
      </c>
      <c r="F13" s="297" t="s">
        <v>389</v>
      </c>
      <c r="G13" s="298" t="s">
        <v>42</v>
      </c>
    </row>
  </sheetData>
  <mergeCells count="10">
    <mergeCell ref="B2:G2"/>
    <mergeCell ref="B9:G9"/>
    <mergeCell ref="B10:C10"/>
    <mergeCell ref="B11:C11"/>
    <mergeCell ref="B12:C12"/>
    <mergeCell ref="B13:C13"/>
    <mergeCell ref="B3:C3"/>
    <mergeCell ref="B4:C4"/>
    <mergeCell ref="B5:C5"/>
    <mergeCell ref="B6:C6"/>
  </mergeCell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D02DB-744A-4030-9995-7CD2A11027BB}">
  <sheetPr codeName="Sheet17"/>
  <dimension ref="B1:M22"/>
  <sheetViews>
    <sheetView workbookViewId="0">
      <selection activeCell="L4" sqref="L4:L5"/>
    </sheetView>
  </sheetViews>
  <sheetFormatPr defaultColWidth="9.109375" defaultRowHeight="14.4" x14ac:dyDescent="0.3"/>
  <cols>
    <col min="1" max="1" width="2.44140625" style="1" customWidth="1"/>
    <col min="2" max="2" width="25.6640625" style="1" customWidth="1"/>
    <col min="3" max="3" width="16.88671875" style="1" customWidth="1"/>
    <col min="4" max="4" width="2.88671875" style="1" customWidth="1"/>
    <col min="5" max="5" width="27.88671875" style="1" customWidth="1"/>
    <col min="6" max="6" width="13.6640625" style="1" customWidth="1"/>
    <col min="7" max="7" width="2.88671875" style="1" customWidth="1"/>
    <col min="8" max="8" width="16.44140625" style="1" customWidth="1"/>
    <col min="9" max="9" width="4.88671875" style="1" customWidth="1"/>
    <col min="10" max="10" width="2.44140625" style="1" customWidth="1"/>
    <col min="11" max="11" width="22" style="1" customWidth="1"/>
    <col min="12" max="12" width="21.33203125" style="1" customWidth="1"/>
    <col min="13" max="13" width="14.88671875" style="1" bestFit="1" customWidth="1"/>
    <col min="14" max="16384" width="9.109375" style="1"/>
  </cols>
  <sheetData>
    <row r="1" spans="2:13" ht="9.75" customHeight="1" x14ac:dyDescent="0.3"/>
    <row r="2" spans="2:13" ht="17.25" customHeight="1" x14ac:dyDescent="0.3">
      <c r="B2" s="708" t="s">
        <v>410</v>
      </c>
      <c r="C2" s="708"/>
      <c r="D2" s="708"/>
      <c r="E2" s="708"/>
      <c r="F2" s="708"/>
      <c r="G2" s="708"/>
      <c r="H2" s="708"/>
      <c r="I2" s="708"/>
      <c r="J2" s="708"/>
      <c r="K2" s="708"/>
      <c r="L2" s="708"/>
    </row>
    <row r="3" spans="2:13" ht="9.75" customHeight="1" thickBot="1" x14ac:dyDescent="0.35"/>
    <row r="4" spans="2:13" ht="20.25" customHeight="1" x14ac:dyDescent="0.3">
      <c r="B4" s="135" t="s">
        <v>411</v>
      </c>
      <c r="C4" s="136">
        <f>2500000+500000+1506876</f>
        <v>4506876</v>
      </c>
      <c r="D4" s="137"/>
      <c r="E4" s="135" t="s">
        <v>412</v>
      </c>
      <c r="F4" s="138">
        <v>0.8</v>
      </c>
      <c r="G4" s="139"/>
      <c r="H4" s="135" t="s">
        <v>413</v>
      </c>
      <c r="I4" s="205">
        <v>0.08</v>
      </c>
      <c r="K4" s="704" t="s">
        <v>414</v>
      </c>
      <c r="L4" s="706">
        <f>(((NPV('HLV Calc'!I5,'HLV Working'!G3:G58))+'HLV Working'!G2)-((NPV('HLV Calc'!I5,'HLV Working'!F2:F58))))-C4-C5+F5</f>
        <v>29190633.440238386</v>
      </c>
      <c r="M4" s="424">
        <f>(((NPV('HLV Calc'!I5,'HLV Working'!E3:E58))+'HLV Working'!E2)-NPV('HLV Calc'!I5,'HLV Working'!D2:D58))-C5+F5</f>
        <v>33697509.440238386</v>
      </c>
    </row>
    <row r="5" spans="2:13" ht="21" customHeight="1" thickBot="1" x14ac:dyDescent="0.35">
      <c r="B5" s="140" t="s">
        <v>415</v>
      </c>
      <c r="C5" s="141">
        <f>Networth!G33-Networth!G19</f>
        <v>57694949</v>
      </c>
      <c r="D5" s="137"/>
      <c r="E5" s="140" t="s">
        <v>416</v>
      </c>
      <c r="F5" s="141">
        <f>Networth!G40</f>
        <v>1138560</v>
      </c>
      <c r="G5" s="139"/>
      <c r="H5" s="140" t="s">
        <v>149</v>
      </c>
      <c r="I5" s="206">
        <v>0.09</v>
      </c>
      <c r="J5" s="72"/>
      <c r="K5" s="705"/>
      <c r="L5" s="707"/>
      <c r="M5" s="72"/>
    </row>
    <row r="6" spans="2:13" x14ac:dyDescent="0.3">
      <c r="L6" s="207"/>
    </row>
    <row r="19" spans="3:5" x14ac:dyDescent="0.3">
      <c r="C19" s="133"/>
      <c r="D19" s="133"/>
    </row>
    <row r="20" spans="3:5" x14ac:dyDescent="0.3">
      <c r="C20" s="133"/>
      <c r="D20" s="133"/>
    </row>
    <row r="22" spans="3:5" x14ac:dyDescent="0.3">
      <c r="E22" s="134"/>
    </row>
  </sheetData>
  <mergeCells count="3">
    <mergeCell ref="K4:K5"/>
    <mergeCell ref="L4:L5"/>
    <mergeCell ref="B2:L2"/>
  </mergeCell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02A36-604C-4F78-BD08-23FC31D4848B}">
  <sheetPr codeName="Sheet18"/>
  <dimension ref="A1:I58"/>
  <sheetViews>
    <sheetView workbookViewId="0">
      <selection activeCell="M55" sqref="M55"/>
    </sheetView>
  </sheetViews>
  <sheetFormatPr defaultRowHeight="14.4" x14ac:dyDescent="0.3"/>
  <cols>
    <col min="3" max="3" width="20.109375" customWidth="1"/>
    <col min="4" max="4" width="17" customWidth="1"/>
    <col min="5" max="6" width="16.5546875" customWidth="1"/>
    <col min="7" max="7" width="16.88671875" customWidth="1"/>
    <col min="8" max="8" width="34" bestFit="1" customWidth="1"/>
    <col min="9" max="9" width="38.33203125" bestFit="1" customWidth="1"/>
  </cols>
  <sheetData>
    <row r="1" spans="1:9" x14ac:dyDescent="0.3">
      <c r="A1" t="s">
        <v>168</v>
      </c>
      <c r="B1" t="s">
        <v>204</v>
      </c>
      <c r="C1" t="s">
        <v>417</v>
      </c>
      <c r="D1" t="s">
        <v>339</v>
      </c>
      <c r="E1" t="s">
        <v>342</v>
      </c>
      <c r="F1" t="s">
        <v>201</v>
      </c>
      <c r="G1" t="s">
        <v>165</v>
      </c>
      <c r="H1" t="s">
        <v>149</v>
      </c>
      <c r="I1" t="s">
        <v>418</v>
      </c>
    </row>
    <row r="2" spans="1:9" x14ac:dyDescent="0.3">
      <c r="A2">
        <f>'Yearly Budget'!B1</f>
        <v>49</v>
      </c>
      <c r="B2">
        <f>'Yearly Budget'!B2</f>
        <v>2025</v>
      </c>
      <c r="C2" s="58">
        <f>('HLV Calc'!C4+'HLV Calc'!C5)-'HLV Calc'!F5</f>
        <v>61063265</v>
      </c>
      <c r="D2">
        <f>SUM('Yearly Budget'!B$36:B$38)</f>
        <v>0</v>
      </c>
      <c r="E2">
        <f>'Yearly Budget'!B$85</f>
        <v>2248983.2000000002</v>
      </c>
      <c r="F2" s="58">
        <f>IF((D2-E2)&gt;0,(D2-E2),0)</f>
        <v>0</v>
      </c>
      <c r="G2" s="58">
        <f>IF((D2-E2)&gt;0,0,-(D2-E2))</f>
        <v>2248983.2000000002</v>
      </c>
      <c r="H2" s="58">
        <f>(C2-G2)*('HLV Calc'!$I$5)</f>
        <v>5293285.3619999997</v>
      </c>
      <c r="I2" s="58">
        <f>(C2-G2+H2)+F2</f>
        <v>64107567.162</v>
      </c>
    </row>
    <row r="3" spans="1:9" x14ac:dyDescent="0.3">
      <c r="A3">
        <f t="shared" ref="A3:A34" si="0">A2+1</f>
        <v>50</v>
      </c>
      <c r="B3">
        <f t="shared" ref="B3:B34" si="1">B2+1</f>
        <v>2026</v>
      </c>
      <c r="C3" s="58">
        <f>I2</f>
        <v>64107567.162</v>
      </c>
      <c r="D3">
        <f>SUM('Yearly Budget'!C$36:C$38)</f>
        <v>0</v>
      </c>
      <c r="E3">
        <f>'Yearly Budget'!C$85</f>
        <v>2428901.8560000001</v>
      </c>
      <c r="F3" s="58">
        <f t="shared" ref="F3:F57" si="2">IF((D3-E3)&gt;0,(D3-E3),0)</f>
        <v>0</v>
      </c>
      <c r="G3" s="58">
        <f t="shared" ref="G3:G57" si="3">IF((D3-E3)&gt;0,0,-(D3-E3))</f>
        <v>2428901.8560000001</v>
      </c>
      <c r="H3" s="58">
        <f>(C3-G3)*('HLV Calc'!$I$5)</f>
        <v>5551079.8775399998</v>
      </c>
      <c r="I3" s="58">
        <f t="shared" ref="I3:I57" si="4">(C3-G3+H3)+F3</f>
        <v>67229745.183540002</v>
      </c>
    </row>
    <row r="4" spans="1:9" x14ac:dyDescent="0.3">
      <c r="A4">
        <f t="shared" si="0"/>
        <v>51</v>
      </c>
      <c r="B4">
        <f t="shared" si="1"/>
        <v>2027</v>
      </c>
      <c r="C4" s="58">
        <f t="shared" ref="C4:C58" si="5">I3</f>
        <v>67229745.183540002</v>
      </c>
      <c r="D4">
        <f>SUM('Yearly Budget'!D$36:D$38)</f>
        <v>0</v>
      </c>
      <c r="E4">
        <f>'Yearly Budget'!D$85</f>
        <v>2623214.0044800001</v>
      </c>
      <c r="F4" s="58">
        <f t="shared" si="2"/>
        <v>0</v>
      </c>
      <c r="G4" s="58">
        <f t="shared" si="3"/>
        <v>2623214.0044800001</v>
      </c>
      <c r="H4" s="58">
        <f>(C4-G4)*('HLV Calc'!$I$5)</f>
        <v>5814587.8061154</v>
      </c>
      <c r="I4" s="58">
        <f t="shared" si="4"/>
        <v>70421118.985175401</v>
      </c>
    </row>
    <row r="5" spans="1:9" x14ac:dyDescent="0.3">
      <c r="A5">
        <f t="shared" si="0"/>
        <v>52</v>
      </c>
      <c r="B5">
        <f t="shared" si="1"/>
        <v>2028</v>
      </c>
      <c r="C5" s="58">
        <f t="shared" si="5"/>
        <v>70421118.985175401</v>
      </c>
      <c r="D5">
        <f>SUM('Yearly Budget'!E$36:E$38)</f>
        <v>0</v>
      </c>
      <c r="E5">
        <f>'Yearly Budget'!E$85</f>
        <v>2833071.1248384006</v>
      </c>
      <c r="F5" s="58">
        <f t="shared" si="2"/>
        <v>0</v>
      </c>
      <c r="G5" s="58">
        <f t="shared" si="3"/>
        <v>2833071.1248384006</v>
      </c>
      <c r="H5" s="58">
        <f>(C5-G5)*('HLV Calc'!$I$5)</f>
        <v>6082924.3074303297</v>
      </c>
      <c r="I5" s="58">
        <f t="shared" si="4"/>
        <v>73670972.167767331</v>
      </c>
    </row>
    <row r="6" spans="1:9" x14ac:dyDescent="0.3">
      <c r="A6">
        <f t="shared" si="0"/>
        <v>53</v>
      </c>
      <c r="B6">
        <f t="shared" si="1"/>
        <v>2029</v>
      </c>
      <c r="C6" s="58">
        <f t="shared" si="5"/>
        <v>73670972.167767331</v>
      </c>
      <c r="D6">
        <f>SUM('Yearly Budget'!F$36:F$38)</f>
        <v>0</v>
      </c>
      <c r="E6">
        <f>'Yearly Budget'!F$85</f>
        <v>5867377.3588254731</v>
      </c>
      <c r="F6" s="58">
        <f t="shared" si="2"/>
        <v>0</v>
      </c>
      <c r="G6" s="58">
        <f t="shared" si="3"/>
        <v>5867377.3588254731</v>
      </c>
      <c r="H6" s="58">
        <f>(C6-G6)*('HLV Calc'!$I$5)</f>
        <v>6102323.5328047667</v>
      </c>
      <c r="I6" s="58">
        <f t="shared" si="4"/>
        <v>73905918.341746628</v>
      </c>
    </row>
    <row r="7" spans="1:9" x14ac:dyDescent="0.3">
      <c r="A7">
        <f t="shared" si="0"/>
        <v>54</v>
      </c>
      <c r="B7">
        <f t="shared" si="1"/>
        <v>2030</v>
      </c>
      <c r="C7" s="58">
        <f t="shared" si="5"/>
        <v>73905918.341746628</v>
      </c>
      <c r="D7">
        <f>SUM('Yearly Budget'!G$36:G$38)</f>
        <v>0</v>
      </c>
      <c r="E7">
        <f>'Yearly Budget'!G$85</f>
        <v>3304494.1600115104</v>
      </c>
      <c r="F7" s="58">
        <f t="shared" si="2"/>
        <v>0</v>
      </c>
      <c r="G7" s="58">
        <f t="shared" si="3"/>
        <v>3304494.1600115104</v>
      </c>
      <c r="H7" s="58">
        <f>(C7-G7)*('HLV Calc'!$I$5)</f>
        <v>6354128.1763561601</v>
      </c>
      <c r="I7" s="58">
        <f t="shared" si="4"/>
        <v>76955552.35809128</v>
      </c>
    </row>
    <row r="8" spans="1:9" x14ac:dyDescent="0.3">
      <c r="A8">
        <f t="shared" si="0"/>
        <v>55</v>
      </c>
      <c r="B8">
        <f t="shared" si="1"/>
        <v>2031</v>
      </c>
      <c r="C8" s="58">
        <f t="shared" si="5"/>
        <v>76955552.35809128</v>
      </c>
      <c r="D8">
        <f>SUM('Yearly Budget'!H$36:H$38)</f>
        <v>0</v>
      </c>
      <c r="E8">
        <f>'Yearly Budget'!H$85</f>
        <v>6605619.337202834</v>
      </c>
      <c r="F8" s="58">
        <f t="shared" si="2"/>
        <v>0</v>
      </c>
      <c r="G8" s="58">
        <f t="shared" si="3"/>
        <v>6605619.337202834</v>
      </c>
      <c r="H8" s="58">
        <f>(C8-G8)*('HLV Calc'!$I$5)</f>
        <v>6331493.97187996</v>
      </c>
      <c r="I8" s="58">
        <f t="shared" si="4"/>
        <v>76681426.992768407</v>
      </c>
    </row>
    <row r="9" spans="1:9" x14ac:dyDescent="0.3">
      <c r="A9">
        <f t="shared" si="0"/>
        <v>56</v>
      </c>
      <c r="B9">
        <f t="shared" si="1"/>
        <v>2032</v>
      </c>
      <c r="C9" s="58">
        <f t="shared" si="5"/>
        <v>76681426.992768407</v>
      </c>
      <c r="D9">
        <f>SUM('Yearly Budget'!I$36:I$38)</f>
        <v>0</v>
      </c>
      <c r="E9">
        <f>'Yearly Budget'!I$85</f>
        <v>6258515.5801404547</v>
      </c>
      <c r="F9" s="58">
        <f t="shared" si="2"/>
        <v>0</v>
      </c>
      <c r="G9" s="58">
        <f t="shared" si="3"/>
        <v>6258515.5801404547</v>
      </c>
      <c r="H9" s="58">
        <f>(C9-G9)*('HLV Calc'!$I$5)</f>
        <v>6338062.0271365149</v>
      </c>
      <c r="I9" s="58">
        <f t="shared" si="4"/>
        <v>76760973.43976447</v>
      </c>
    </row>
    <row r="10" spans="1:9" x14ac:dyDescent="0.3">
      <c r="A10">
        <f t="shared" si="0"/>
        <v>57</v>
      </c>
      <c r="B10">
        <f t="shared" si="1"/>
        <v>2033</v>
      </c>
      <c r="C10" s="58">
        <f t="shared" si="5"/>
        <v>76760973.43976447</v>
      </c>
      <c r="D10">
        <f>SUM('Yearly Budget'!J$36:J$38)</f>
        <v>0</v>
      </c>
      <c r="E10">
        <f>'Yearly Budget'!J$85</f>
        <v>3348301.654772392</v>
      </c>
      <c r="F10" s="58">
        <f t="shared" si="2"/>
        <v>0</v>
      </c>
      <c r="G10" s="58">
        <f t="shared" si="3"/>
        <v>3348301.654772392</v>
      </c>
      <c r="H10" s="58">
        <f>(C10-G10)*('HLV Calc'!$I$5)</f>
        <v>6607140.4606492873</v>
      </c>
      <c r="I10" s="58">
        <f t="shared" si="4"/>
        <v>80019812.245641366</v>
      </c>
    </row>
    <row r="11" spans="1:9" x14ac:dyDescent="0.3">
      <c r="A11">
        <f t="shared" si="0"/>
        <v>58</v>
      </c>
      <c r="B11">
        <f t="shared" si="1"/>
        <v>2034</v>
      </c>
      <c r="C11" s="58">
        <f t="shared" si="5"/>
        <v>80019812.245641366</v>
      </c>
      <c r="D11">
        <f>SUM('Yearly Budget'!K$36:K$38)</f>
        <v>0</v>
      </c>
      <c r="E11">
        <f>'Yearly Budget'!K$85</f>
        <v>3616165.7871541842</v>
      </c>
      <c r="F11" s="58">
        <f t="shared" si="2"/>
        <v>0</v>
      </c>
      <c r="G11" s="58">
        <f t="shared" si="3"/>
        <v>3616165.7871541842</v>
      </c>
      <c r="H11" s="58">
        <f>(C11-G11)*('HLV Calc'!$I$5)</f>
        <v>6876328.1812638463</v>
      </c>
      <c r="I11" s="58">
        <f t="shared" si="4"/>
        <v>83279974.639751032</v>
      </c>
    </row>
    <row r="12" spans="1:9" x14ac:dyDescent="0.3">
      <c r="A12">
        <f t="shared" si="0"/>
        <v>59</v>
      </c>
      <c r="B12">
        <f t="shared" si="1"/>
        <v>2035</v>
      </c>
      <c r="C12" s="58">
        <f t="shared" si="5"/>
        <v>83279974.639751032</v>
      </c>
      <c r="D12">
        <f>SUM('Yearly Budget'!L$36:L$38)</f>
        <v>0</v>
      </c>
      <c r="E12">
        <f>'Yearly Budget'!L$85</f>
        <v>7359739.0457629794</v>
      </c>
      <c r="F12" s="58">
        <f t="shared" si="2"/>
        <v>0</v>
      </c>
      <c r="G12" s="58">
        <f t="shared" si="3"/>
        <v>7359739.0457629794</v>
      </c>
      <c r="H12" s="58">
        <f>(C12-G12)*('HLV Calc'!$I$5)</f>
        <v>6832821.2034589238</v>
      </c>
      <c r="I12" s="58">
        <f t="shared" si="4"/>
        <v>82753056.797446966</v>
      </c>
    </row>
    <row r="13" spans="1:9" x14ac:dyDescent="0.3">
      <c r="A13">
        <f t="shared" si="0"/>
        <v>60</v>
      </c>
      <c r="B13">
        <f t="shared" si="1"/>
        <v>2036</v>
      </c>
      <c r="C13" s="58">
        <f t="shared" si="5"/>
        <v>82753056.797446966</v>
      </c>
      <c r="D13">
        <f>SUM('Yearly Budget'!M$36:M$38)</f>
        <v>0</v>
      </c>
      <c r="E13">
        <f>'Yearly Budget'!M$85</f>
        <v>5150551.372958485</v>
      </c>
      <c r="F13" s="58">
        <f t="shared" si="2"/>
        <v>0</v>
      </c>
      <c r="G13" s="58">
        <f t="shared" si="3"/>
        <v>5150551.372958485</v>
      </c>
      <c r="H13" s="58">
        <f>(C13-G13)*('HLV Calc'!$I$5)</f>
        <v>6984225.4882039633</v>
      </c>
      <c r="I13" s="58">
        <f t="shared" si="4"/>
        <v>84586730.912692443</v>
      </c>
    </row>
    <row r="14" spans="1:9" x14ac:dyDescent="0.3">
      <c r="A14">
        <f t="shared" si="0"/>
        <v>61</v>
      </c>
      <c r="B14">
        <f t="shared" si="1"/>
        <v>2037</v>
      </c>
      <c r="C14" s="58">
        <f t="shared" si="5"/>
        <v>84586730.912692443</v>
      </c>
      <c r="D14">
        <f>SUM('Yearly Budget'!N$36:N$38)</f>
        <v>0</v>
      </c>
      <c r="E14">
        <f>'Yearly Budget'!N$85</f>
        <v>4555327.4360675719</v>
      </c>
      <c r="F14" s="58">
        <f t="shared" si="2"/>
        <v>0</v>
      </c>
      <c r="G14" s="58">
        <f t="shared" si="3"/>
        <v>4555327.4360675719</v>
      </c>
      <c r="H14" s="58">
        <f>(C14-G14)*('HLV Calc'!$I$5)</f>
        <v>7202826.3128962386</v>
      </c>
      <c r="I14" s="58">
        <f t="shared" si="4"/>
        <v>87234229.789521113</v>
      </c>
    </row>
    <row r="15" spans="1:9" x14ac:dyDescent="0.3">
      <c r="A15">
        <f t="shared" si="0"/>
        <v>62</v>
      </c>
      <c r="B15">
        <f t="shared" si="1"/>
        <v>2038</v>
      </c>
      <c r="C15" s="58">
        <f t="shared" si="5"/>
        <v>87234229.789521113</v>
      </c>
      <c r="D15">
        <f>SUM('Yearly Budget'!O$36:O$38)</f>
        <v>0</v>
      </c>
      <c r="E15">
        <f>'Yearly Budget'!O$85</f>
        <v>4919753.6309529785</v>
      </c>
      <c r="F15" s="58">
        <f t="shared" si="2"/>
        <v>0</v>
      </c>
      <c r="G15" s="58">
        <f t="shared" si="3"/>
        <v>4919753.6309529785</v>
      </c>
      <c r="H15" s="58">
        <f>(C15-G15)*('HLV Calc'!$I$5)</f>
        <v>7408302.8542711316</v>
      </c>
      <c r="I15" s="58">
        <f t="shared" si="4"/>
        <v>89722779.012839258</v>
      </c>
    </row>
    <row r="16" spans="1:9" x14ac:dyDescent="0.3">
      <c r="A16">
        <f t="shared" si="0"/>
        <v>63</v>
      </c>
      <c r="B16">
        <f t="shared" si="1"/>
        <v>2039</v>
      </c>
      <c r="C16" s="58">
        <f t="shared" si="5"/>
        <v>89722779.012839258</v>
      </c>
      <c r="D16">
        <f>SUM('Yearly Budget'!P$36:P$38)</f>
        <v>0</v>
      </c>
      <c r="E16">
        <f>'Yearly Budget'!P$85</f>
        <v>5313333.9214292178</v>
      </c>
      <c r="F16" s="58">
        <f t="shared" si="2"/>
        <v>0</v>
      </c>
      <c r="G16" s="58">
        <f t="shared" si="3"/>
        <v>5313333.9214292178</v>
      </c>
      <c r="H16" s="58">
        <f>(C16-G16)*('HLV Calc'!$I$5)</f>
        <v>7596850.058226903</v>
      </c>
      <c r="I16" s="58">
        <f t="shared" si="4"/>
        <v>92006295.149636939</v>
      </c>
    </row>
    <row r="17" spans="1:9" x14ac:dyDescent="0.3">
      <c r="A17">
        <f t="shared" si="0"/>
        <v>64</v>
      </c>
      <c r="B17">
        <f t="shared" si="1"/>
        <v>2040</v>
      </c>
      <c r="C17" s="58">
        <f t="shared" si="5"/>
        <v>92006295.149636939</v>
      </c>
      <c r="D17">
        <f>SUM('Yearly Budget'!Q$36:Q$38)</f>
        <v>0</v>
      </c>
      <c r="E17">
        <f>'Yearly Budget'!Q$85</f>
        <v>5738400.6351435548</v>
      </c>
      <c r="F17" s="58">
        <f t="shared" si="2"/>
        <v>0</v>
      </c>
      <c r="G17" s="58">
        <f t="shared" si="3"/>
        <v>5738400.6351435548</v>
      </c>
      <c r="H17" s="58">
        <f>(C17-G17)*('HLV Calc'!$I$5)</f>
        <v>7764110.5063044047</v>
      </c>
      <c r="I17" s="58">
        <f t="shared" si="4"/>
        <v>94032005.020797789</v>
      </c>
    </row>
    <row r="18" spans="1:9" x14ac:dyDescent="0.3">
      <c r="A18">
        <f t="shared" si="0"/>
        <v>65</v>
      </c>
      <c r="B18">
        <f t="shared" si="1"/>
        <v>2041</v>
      </c>
      <c r="C18" s="58">
        <f t="shared" si="5"/>
        <v>94032005.020797789</v>
      </c>
      <c r="D18">
        <f>SUM('Yearly Budget'!R$36:R$38)</f>
        <v>0</v>
      </c>
      <c r="E18">
        <f>'Yearly Budget'!R$85</f>
        <v>6197472.6859550392</v>
      </c>
      <c r="F18" s="58">
        <f t="shared" si="2"/>
        <v>0</v>
      </c>
      <c r="G18" s="58">
        <f t="shared" si="3"/>
        <v>6197472.6859550392</v>
      </c>
      <c r="H18" s="58">
        <f>(C18-G18)*('HLV Calc'!$I$5)</f>
        <v>7905107.9101358475</v>
      </c>
      <c r="I18" s="58">
        <f t="shared" si="4"/>
        <v>95739640.244978607</v>
      </c>
    </row>
    <row r="19" spans="1:9" x14ac:dyDescent="0.3">
      <c r="A19">
        <f t="shared" si="0"/>
        <v>66</v>
      </c>
      <c r="B19">
        <f t="shared" si="1"/>
        <v>2042</v>
      </c>
      <c r="C19" s="58">
        <f t="shared" si="5"/>
        <v>95739640.244978607</v>
      </c>
      <c r="D19">
        <f>SUM('Yearly Budget'!S$36:S$38)</f>
        <v>0</v>
      </c>
      <c r="E19">
        <f>'Yearly Budget'!S$85</f>
        <v>6693270.500831441</v>
      </c>
      <c r="F19" s="58">
        <f t="shared" si="2"/>
        <v>0</v>
      </c>
      <c r="G19" s="58">
        <f t="shared" si="3"/>
        <v>6693270.500831441</v>
      </c>
      <c r="H19" s="58">
        <f>(C19-G19)*('HLV Calc'!$I$5)</f>
        <v>8014173.2769732447</v>
      </c>
      <c r="I19" s="58">
        <f t="shared" si="4"/>
        <v>97060543.021120414</v>
      </c>
    </row>
    <row r="20" spans="1:9" x14ac:dyDescent="0.3">
      <c r="A20">
        <f t="shared" si="0"/>
        <v>67</v>
      </c>
      <c r="B20">
        <f t="shared" si="1"/>
        <v>2043</v>
      </c>
      <c r="C20" s="58">
        <f t="shared" si="5"/>
        <v>97060543.021120414</v>
      </c>
      <c r="D20">
        <f>SUM('Yearly Budget'!T$36:T$38)</f>
        <v>0</v>
      </c>
      <c r="E20">
        <f>'Yearly Budget'!T$85</f>
        <v>7228732.1408979576</v>
      </c>
      <c r="F20" s="58">
        <f t="shared" si="2"/>
        <v>0</v>
      </c>
      <c r="G20" s="58">
        <f t="shared" si="3"/>
        <v>7228732.1408979576</v>
      </c>
      <c r="H20" s="58">
        <f>(C20-G20)*('HLV Calc'!$I$5)</f>
        <v>8084862.9792200206</v>
      </c>
      <c r="I20" s="58">
        <f t="shared" si="4"/>
        <v>97916673.859442472</v>
      </c>
    </row>
    <row r="21" spans="1:9" x14ac:dyDescent="0.3">
      <c r="A21">
        <f t="shared" si="0"/>
        <v>68</v>
      </c>
      <c r="B21">
        <f t="shared" si="1"/>
        <v>2044</v>
      </c>
      <c r="C21" s="58">
        <f t="shared" si="5"/>
        <v>97916673.859442472</v>
      </c>
      <c r="D21">
        <f>SUM('Yearly Budget'!U$36:U$38)</f>
        <v>0</v>
      </c>
      <c r="E21">
        <f>'Yearly Budget'!U$85</f>
        <v>7807030.7121697962</v>
      </c>
      <c r="F21" s="58">
        <f t="shared" si="2"/>
        <v>0</v>
      </c>
      <c r="G21" s="58">
        <f t="shared" si="3"/>
        <v>7807030.7121697962</v>
      </c>
      <c r="H21" s="58">
        <f>(C21-G21)*('HLV Calc'!$I$5)</f>
        <v>8109867.8832545402</v>
      </c>
      <c r="I21" s="58">
        <f t="shared" si="4"/>
        <v>98219511.030527219</v>
      </c>
    </row>
    <row r="22" spans="1:9" x14ac:dyDescent="0.3">
      <c r="A22">
        <f t="shared" si="0"/>
        <v>69</v>
      </c>
      <c r="B22">
        <f t="shared" si="1"/>
        <v>2045</v>
      </c>
      <c r="C22" s="58">
        <f t="shared" si="5"/>
        <v>98219511.030527219</v>
      </c>
      <c r="D22">
        <f>SUM('Yearly Budget'!V$36:V$38)</f>
        <v>0</v>
      </c>
      <c r="E22">
        <f>'Yearly Budget'!V$85</f>
        <v>8431593.1691433787</v>
      </c>
      <c r="F22" s="58">
        <f t="shared" si="2"/>
        <v>0</v>
      </c>
      <c r="G22" s="58">
        <f t="shared" si="3"/>
        <v>8431593.1691433787</v>
      </c>
      <c r="H22" s="58">
        <f>(C22-G22)*('HLV Calc'!$I$5)</f>
        <v>8080912.6075245449</v>
      </c>
      <c r="I22" s="58">
        <f t="shared" si="4"/>
        <v>97868830.468908384</v>
      </c>
    </row>
    <row r="23" spans="1:9" x14ac:dyDescent="0.3">
      <c r="A23">
        <f t="shared" si="0"/>
        <v>70</v>
      </c>
      <c r="B23">
        <f t="shared" si="1"/>
        <v>2046</v>
      </c>
      <c r="C23" s="58">
        <f t="shared" si="5"/>
        <v>97868830.468908384</v>
      </c>
      <c r="D23">
        <f>SUM('Yearly Budget'!W$36:W$38)</f>
        <v>0</v>
      </c>
      <c r="E23">
        <f>'Yearly Budget'!W$85</f>
        <v>9106120.6226748507</v>
      </c>
      <c r="F23" s="58">
        <f t="shared" si="2"/>
        <v>0</v>
      </c>
      <c r="G23" s="58">
        <f t="shared" si="3"/>
        <v>9106120.6226748507</v>
      </c>
      <c r="H23" s="58">
        <f>(C23-G23)*('HLV Calc'!$I$5)</f>
        <v>7988643.8861610172</v>
      </c>
      <c r="I23" s="58">
        <f t="shared" si="4"/>
        <v>96751353.732394546</v>
      </c>
    </row>
    <row r="24" spans="1:9" x14ac:dyDescent="0.3">
      <c r="A24">
        <f t="shared" si="0"/>
        <v>71</v>
      </c>
      <c r="B24">
        <f t="shared" si="1"/>
        <v>2047</v>
      </c>
      <c r="C24" s="58">
        <f t="shared" si="5"/>
        <v>96751353.732394546</v>
      </c>
      <c r="D24">
        <f>SUM('Yearly Budget'!X$36:X$38)</f>
        <v>0</v>
      </c>
      <c r="E24">
        <f>'Yearly Budget'!X$85</f>
        <v>9834610.2724888381</v>
      </c>
      <c r="F24" s="58">
        <f t="shared" si="2"/>
        <v>0</v>
      </c>
      <c r="G24" s="58">
        <f t="shared" si="3"/>
        <v>9834610.2724888381</v>
      </c>
      <c r="H24" s="58">
        <f>(C24-G24)*('HLV Calc'!$I$5)</f>
        <v>7822506.9113915144</v>
      </c>
      <c r="I24" s="58">
        <f t="shared" si="4"/>
        <v>94739250.371297225</v>
      </c>
    </row>
    <row r="25" spans="1:9" x14ac:dyDescent="0.3">
      <c r="A25">
        <f t="shared" si="0"/>
        <v>72</v>
      </c>
      <c r="B25">
        <f t="shared" si="1"/>
        <v>2048</v>
      </c>
      <c r="C25" s="58">
        <f t="shared" si="5"/>
        <v>94739250.371297225</v>
      </c>
      <c r="D25">
        <f>SUM('Yearly Budget'!Y$36:Y$38)</f>
        <v>0</v>
      </c>
      <c r="E25">
        <f>'Yearly Budget'!Y$85</f>
        <v>10621379.094287947</v>
      </c>
      <c r="F25" s="58">
        <f t="shared" si="2"/>
        <v>0</v>
      </c>
      <c r="G25" s="58">
        <f t="shared" si="3"/>
        <v>10621379.094287947</v>
      </c>
      <c r="H25" s="58">
        <f>(C25-G25)*('HLV Calc'!$I$5)</f>
        <v>7570608.4149308344</v>
      </c>
      <c r="I25" s="58">
        <f t="shared" si="4"/>
        <v>91688479.691940114</v>
      </c>
    </row>
    <row r="26" spans="1:9" x14ac:dyDescent="0.3">
      <c r="A26">
        <f t="shared" si="0"/>
        <v>73</v>
      </c>
      <c r="B26">
        <f t="shared" si="1"/>
        <v>2049</v>
      </c>
      <c r="C26" s="58">
        <f t="shared" si="5"/>
        <v>91688479.691940114</v>
      </c>
      <c r="D26">
        <f>SUM('Yearly Budget'!Z$36:Z$38)</f>
        <v>0</v>
      </c>
      <c r="E26">
        <f>'Yearly Budget'!Z$85</f>
        <v>11471089.421830982</v>
      </c>
      <c r="F26" s="58">
        <f t="shared" si="2"/>
        <v>0</v>
      </c>
      <c r="G26" s="58">
        <f t="shared" si="3"/>
        <v>11471089.421830982</v>
      </c>
      <c r="H26" s="58">
        <f>(C26-G26)*('HLV Calc'!$I$5)</f>
        <v>7219565.124309822</v>
      </c>
      <c r="I26" s="58">
        <f t="shared" si="4"/>
        <v>87436955.394418955</v>
      </c>
    </row>
    <row r="27" spans="1:9" x14ac:dyDescent="0.3">
      <c r="A27">
        <f t="shared" si="0"/>
        <v>74</v>
      </c>
      <c r="B27">
        <f t="shared" si="1"/>
        <v>2050</v>
      </c>
      <c r="C27" s="58">
        <f t="shared" si="5"/>
        <v>87436955.394418955</v>
      </c>
      <c r="D27">
        <f>SUM('Yearly Budget'!AA$36:AA$38)</f>
        <v>0</v>
      </c>
      <c r="E27">
        <f>'Yearly Budget'!AA$85</f>
        <v>12388776.575577462</v>
      </c>
      <c r="F27" s="58">
        <f t="shared" si="2"/>
        <v>0</v>
      </c>
      <c r="G27" s="58">
        <f t="shared" si="3"/>
        <v>12388776.575577462</v>
      </c>
      <c r="H27" s="58">
        <f>(C27-G27)*('HLV Calc'!$I$5)</f>
        <v>6754336.0936957337</v>
      </c>
      <c r="I27" s="58">
        <f t="shared" si="4"/>
        <v>81802514.912537217</v>
      </c>
    </row>
    <row r="28" spans="1:9" x14ac:dyDescent="0.3">
      <c r="A28">
        <f t="shared" si="0"/>
        <v>75</v>
      </c>
      <c r="B28">
        <f t="shared" si="1"/>
        <v>2051</v>
      </c>
      <c r="C28" s="58">
        <f t="shared" si="5"/>
        <v>81802514.912537217</v>
      </c>
      <c r="D28">
        <f>SUM('Yearly Budget'!AB$36:AB$38)</f>
        <v>0</v>
      </c>
      <c r="E28">
        <f>'Yearly Budget'!AB$85</f>
        <v>13379878.70162366</v>
      </c>
      <c r="F28" s="58">
        <f t="shared" si="2"/>
        <v>0</v>
      </c>
      <c r="G28" s="58">
        <f t="shared" si="3"/>
        <v>13379878.70162366</v>
      </c>
      <c r="H28" s="58">
        <f>(C28-G28)*('HLV Calc'!$I$5)</f>
        <v>6158037.2589822197</v>
      </c>
      <c r="I28" s="58">
        <f t="shared" si="4"/>
        <v>74580673.46989578</v>
      </c>
    </row>
    <row r="29" spans="1:9" x14ac:dyDescent="0.3">
      <c r="A29">
        <f t="shared" si="0"/>
        <v>76</v>
      </c>
      <c r="B29">
        <f t="shared" si="1"/>
        <v>2052</v>
      </c>
      <c r="C29" s="58">
        <f t="shared" si="5"/>
        <v>74580673.46989578</v>
      </c>
      <c r="D29">
        <f>SUM('Yearly Budget'!AC$36:AC$38)</f>
        <v>0</v>
      </c>
      <c r="E29">
        <f>'Yearly Budget'!AC$85</f>
        <v>14450268.997753551</v>
      </c>
      <c r="F29" s="58">
        <f t="shared" si="2"/>
        <v>0</v>
      </c>
      <c r="G29" s="58">
        <f t="shared" si="3"/>
        <v>14450268.997753551</v>
      </c>
      <c r="H29" s="58">
        <f>(C29-G29)*('HLV Calc'!$I$5)</f>
        <v>5411736.4024927998</v>
      </c>
      <c r="I29" s="58">
        <f t="shared" si="4"/>
        <v>65542140.874635026</v>
      </c>
    </row>
    <row r="30" spans="1:9" x14ac:dyDescent="0.3">
      <c r="A30">
        <f t="shared" si="0"/>
        <v>77</v>
      </c>
      <c r="B30">
        <f t="shared" si="1"/>
        <v>2053</v>
      </c>
      <c r="C30" s="58">
        <f t="shared" si="5"/>
        <v>65542140.874635026</v>
      </c>
      <c r="D30">
        <f>SUM('Yearly Budget'!AD$36:AD$38)</f>
        <v>0</v>
      </c>
      <c r="E30">
        <f>'Yearly Budget'!AD$85</f>
        <v>15606290.517573835</v>
      </c>
      <c r="F30" s="58">
        <f t="shared" si="2"/>
        <v>0</v>
      </c>
      <c r="G30" s="58">
        <f t="shared" si="3"/>
        <v>15606290.517573835</v>
      </c>
      <c r="H30" s="58">
        <f>(C30-G30)*('HLV Calc'!$I$5)</f>
        <v>4494226.5321355071</v>
      </c>
      <c r="I30" s="58">
        <f t="shared" si="4"/>
        <v>54430076.889196701</v>
      </c>
    </row>
    <row r="31" spans="1:9" x14ac:dyDescent="0.3">
      <c r="A31">
        <f t="shared" si="0"/>
        <v>78</v>
      </c>
      <c r="B31">
        <f t="shared" si="1"/>
        <v>2054</v>
      </c>
      <c r="C31" s="58">
        <f t="shared" si="5"/>
        <v>54430076.889196701</v>
      </c>
      <c r="D31">
        <f>SUM('Yearly Budget'!AE$36:AE$38)</f>
        <v>0</v>
      </c>
      <c r="E31">
        <f>'Yearly Budget'!AE$85</f>
        <v>16854793.758979745</v>
      </c>
      <c r="F31" s="58">
        <f t="shared" si="2"/>
        <v>0</v>
      </c>
      <c r="G31" s="58">
        <f t="shared" si="3"/>
        <v>16854793.758979745</v>
      </c>
      <c r="H31" s="58">
        <f>(C31-G31)*('HLV Calc'!$I$5)</f>
        <v>3381775.481719526</v>
      </c>
      <c r="I31" s="58">
        <f t="shared" si="4"/>
        <v>40957058.61193648</v>
      </c>
    </row>
    <row r="32" spans="1:9" x14ac:dyDescent="0.3">
      <c r="A32">
        <f t="shared" si="0"/>
        <v>79</v>
      </c>
      <c r="B32">
        <f t="shared" si="1"/>
        <v>2055</v>
      </c>
      <c r="C32" s="58">
        <f t="shared" si="5"/>
        <v>40957058.61193648</v>
      </c>
      <c r="D32">
        <f>SUM('Yearly Budget'!AF$36:AF$38)</f>
        <v>0</v>
      </c>
      <c r="E32">
        <f>'Yearly Budget'!AF$85</f>
        <v>18203177.259698126</v>
      </c>
      <c r="F32" s="58">
        <f t="shared" si="2"/>
        <v>0</v>
      </c>
      <c r="G32" s="58">
        <f t="shared" si="3"/>
        <v>18203177.259698126</v>
      </c>
      <c r="H32" s="58">
        <f>(C32-G32)*('HLV Calc'!$I$5)</f>
        <v>2047849.3217014517</v>
      </c>
      <c r="I32" s="58">
        <f t="shared" si="4"/>
        <v>24801730.673939805</v>
      </c>
    </row>
    <row r="33" spans="1:9" x14ac:dyDescent="0.3">
      <c r="A33">
        <f t="shared" si="0"/>
        <v>80</v>
      </c>
      <c r="B33">
        <f t="shared" si="1"/>
        <v>2056</v>
      </c>
      <c r="C33" s="58">
        <f t="shared" si="5"/>
        <v>24801730.673939805</v>
      </c>
      <c r="D33">
        <f>SUM('Yearly Budget'!AG$36:AG$38)</f>
        <v>0</v>
      </c>
      <c r="E33">
        <f>'Yearly Budget'!AG$85</f>
        <v>19659431.440473981</v>
      </c>
      <c r="F33" s="58">
        <f t="shared" si="2"/>
        <v>0</v>
      </c>
      <c r="G33" s="58">
        <f t="shared" si="3"/>
        <v>19659431.440473981</v>
      </c>
      <c r="H33" s="58">
        <f>(C33-G33)*('HLV Calc'!$I$5)</f>
        <v>462806.93101192417</v>
      </c>
      <c r="I33" s="58">
        <f t="shared" si="4"/>
        <v>5605106.1644777488</v>
      </c>
    </row>
    <row r="34" spans="1:9" x14ac:dyDescent="0.3">
      <c r="A34">
        <f t="shared" si="0"/>
        <v>81</v>
      </c>
      <c r="B34">
        <f t="shared" si="1"/>
        <v>2057</v>
      </c>
      <c r="C34" s="58">
        <f t="shared" si="5"/>
        <v>5605106.1644777488</v>
      </c>
      <c r="D34">
        <f>SUM('Yearly Budget'!AH$36:AH$38)</f>
        <v>0</v>
      </c>
      <c r="E34">
        <f>'Yearly Budget'!AH$85</f>
        <v>20762702.635895289</v>
      </c>
      <c r="F34" s="58">
        <f t="shared" si="2"/>
        <v>0</v>
      </c>
      <c r="G34" s="58">
        <f t="shared" si="3"/>
        <v>20762702.635895289</v>
      </c>
      <c r="H34" s="58">
        <f>(C34-G34)*('HLV Calc'!$I$5)</f>
        <v>-1364183.6824275786</v>
      </c>
      <c r="I34" s="58">
        <f t="shared" si="4"/>
        <v>-16521780.15384512</v>
      </c>
    </row>
    <row r="35" spans="1:9" x14ac:dyDescent="0.3">
      <c r="A35">
        <f t="shared" ref="A35:A58" si="6">A34+1</f>
        <v>82</v>
      </c>
      <c r="B35">
        <f t="shared" ref="B35:B58" si="7">B34+1</f>
        <v>2058</v>
      </c>
      <c r="C35" s="58">
        <f t="shared" si="5"/>
        <v>-16521780.15384512</v>
      </c>
      <c r="D35">
        <f>SUM('Yearly Budget'!AI$36:AI$38)</f>
        <v>0</v>
      </c>
      <c r="E35">
        <f>'Yearly Budget'!AI$85</f>
        <v>22423718.846766911</v>
      </c>
      <c r="F35" s="58">
        <f t="shared" si="2"/>
        <v>0</v>
      </c>
      <c r="G35" s="58">
        <f t="shared" si="3"/>
        <v>22423718.846766911</v>
      </c>
      <c r="H35" s="58">
        <f>(C35-G35)*('HLV Calc'!$I$5)</f>
        <v>-3505094.9100550832</v>
      </c>
      <c r="I35" s="58">
        <f t="shared" si="4"/>
        <v>-42450593.910667121</v>
      </c>
    </row>
    <row r="36" spans="1:9" x14ac:dyDescent="0.3">
      <c r="A36">
        <f t="shared" si="6"/>
        <v>83</v>
      </c>
      <c r="B36">
        <f t="shared" si="7"/>
        <v>2059</v>
      </c>
      <c r="C36" s="58">
        <f t="shared" si="5"/>
        <v>-42450593.910667121</v>
      </c>
      <c r="D36">
        <f>SUM('Yearly Budget'!AJ$36:AJ$38)</f>
        <v>0</v>
      </c>
      <c r="E36">
        <f>'Yearly Budget'!AJ$85</f>
        <v>24217616.354508262</v>
      </c>
      <c r="F36" s="58">
        <f t="shared" si="2"/>
        <v>0</v>
      </c>
      <c r="G36" s="58">
        <f t="shared" si="3"/>
        <v>24217616.354508262</v>
      </c>
      <c r="H36" s="58">
        <f>(C36-G36)*('HLV Calc'!$I$5)</f>
        <v>-6000138.9238657849</v>
      </c>
      <c r="I36" s="58">
        <f t="shared" si="4"/>
        <v>-72668349.189041167</v>
      </c>
    </row>
    <row r="37" spans="1:9" x14ac:dyDescent="0.3">
      <c r="A37">
        <f t="shared" si="6"/>
        <v>84</v>
      </c>
      <c r="B37">
        <f t="shared" si="7"/>
        <v>2060</v>
      </c>
      <c r="C37" s="58">
        <f t="shared" si="5"/>
        <v>-72668349.189041167</v>
      </c>
      <c r="D37">
        <f>SUM('Yearly Budget'!AK$36:AK$38)</f>
        <v>0</v>
      </c>
      <c r="E37">
        <f>'Yearly Budget'!AK$85</f>
        <v>26155025.662868924</v>
      </c>
      <c r="F37" s="58">
        <f t="shared" si="2"/>
        <v>0</v>
      </c>
      <c r="G37" s="58">
        <f t="shared" si="3"/>
        <v>26155025.662868924</v>
      </c>
      <c r="H37" s="58">
        <f>(C37-G37)*('HLV Calc'!$I$5)</f>
        <v>-8894103.7366719078</v>
      </c>
      <c r="I37" s="58">
        <f t="shared" si="4"/>
        <v>-107717478.58858199</v>
      </c>
    </row>
    <row r="38" spans="1:9" x14ac:dyDescent="0.3">
      <c r="A38">
        <f t="shared" si="6"/>
        <v>85</v>
      </c>
      <c r="B38">
        <f t="shared" si="7"/>
        <v>2061</v>
      </c>
      <c r="C38" s="58">
        <f t="shared" si="5"/>
        <v>-107717478.58858199</v>
      </c>
      <c r="D38">
        <f>SUM('Yearly Budget'!AL$36:AL$38)</f>
        <v>0</v>
      </c>
      <c r="E38">
        <f>'Yearly Budget'!AL$85</f>
        <v>28247427.715898447</v>
      </c>
      <c r="F38" s="58">
        <f t="shared" si="2"/>
        <v>0</v>
      </c>
      <c r="G38" s="58">
        <f t="shared" si="3"/>
        <v>28247427.715898447</v>
      </c>
      <c r="H38" s="58">
        <f>(C38-G38)*('HLV Calc'!$I$5)</f>
        <v>-12236841.567403238</v>
      </c>
      <c r="I38" s="58">
        <f t="shared" si="4"/>
        <v>-148201747.87188366</v>
      </c>
    </row>
    <row r="39" spans="1:9" x14ac:dyDescent="0.3">
      <c r="A39">
        <f t="shared" si="6"/>
        <v>86</v>
      </c>
      <c r="B39">
        <f t="shared" si="7"/>
        <v>2062</v>
      </c>
      <c r="C39" s="58">
        <f t="shared" si="5"/>
        <v>-148201747.87188366</v>
      </c>
      <c r="D39">
        <f>SUM('Yearly Budget'!AM$36:AM$38)</f>
        <v>0</v>
      </c>
      <c r="E39">
        <f>'Yearly Budget'!AM$85</f>
        <v>30507221.933170322</v>
      </c>
      <c r="F39" s="58">
        <f t="shared" si="2"/>
        <v>0</v>
      </c>
      <c r="G39" s="58">
        <f t="shared" si="3"/>
        <v>30507221.933170322</v>
      </c>
      <c r="H39" s="58">
        <f>(C39-G39)*('HLV Calc'!$I$5)</f>
        <v>-16083807.282454858</v>
      </c>
      <c r="I39" s="58">
        <f t="shared" si="4"/>
        <v>-194792777.08750883</v>
      </c>
    </row>
    <row r="40" spans="1:9" x14ac:dyDescent="0.3">
      <c r="A40">
        <f t="shared" si="6"/>
        <v>87</v>
      </c>
      <c r="B40">
        <f t="shared" si="7"/>
        <v>2063</v>
      </c>
      <c r="C40" s="58">
        <f t="shared" si="5"/>
        <v>-194792777.08750883</v>
      </c>
      <c r="D40">
        <f>SUM('Yearly Budget'!AN$36:AN$38)</f>
        <v>0</v>
      </c>
      <c r="E40">
        <f>'Yearly Budget'!AN$85</f>
        <v>32947799.687823948</v>
      </c>
      <c r="F40" s="58">
        <f t="shared" si="2"/>
        <v>0</v>
      </c>
      <c r="G40" s="58">
        <f t="shared" si="3"/>
        <v>32947799.687823948</v>
      </c>
      <c r="H40" s="58">
        <f>(C40-G40)*('HLV Calc'!$I$5)</f>
        <v>-20496651.909779951</v>
      </c>
      <c r="I40" s="58">
        <f t="shared" si="4"/>
        <v>-248237228.68511271</v>
      </c>
    </row>
    <row r="41" spans="1:9" x14ac:dyDescent="0.3">
      <c r="A41">
        <f t="shared" si="6"/>
        <v>88</v>
      </c>
      <c r="B41">
        <f t="shared" si="7"/>
        <v>2064</v>
      </c>
      <c r="C41" s="58">
        <f t="shared" si="5"/>
        <v>-248237228.68511271</v>
      </c>
      <c r="D41">
        <f>SUM('Yearly Budget'!AO$36:AO$38)</f>
        <v>0</v>
      </c>
      <c r="E41">
        <f>'Yearly Budget'!AO$85</f>
        <v>35583623.662849858</v>
      </c>
      <c r="F41" s="58">
        <f t="shared" si="2"/>
        <v>0</v>
      </c>
      <c r="G41" s="58">
        <f t="shared" si="3"/>
        <v>35583623.662849858</v>
      </c>
      <c r="H41" s="58">
        <f>(C41-G41)*('HLV Calc'!$I$5)</f>
        <v>-25543876.71131663</v>
      </c>
      <c r="I41" s="58">
        <f t="shared" si="4"/>
        <v>-309364729.0592792</v>
      </c>
    </row>
    <row r="42" spans="1:9" x14ac:dyDescent="0.3">
      <c r="A42">
        <f t="shared" si="6"/>
        <v>89</v>
      </c>
      <c r="B42">
        <f t="shared" si="7"/>
        <v>2065</v>
      </c>
      <c r="C42" s="58">
        <f t="shared" si="5"/>
        <v>-309364729.0592792</v>
      </c>
      <c r="D42">
        <f>SUM('Yearly Budget'!AP$36:AP$38)</f>
        <v>0</v>
      </c>
      <c r="E42">
        <f>'Yearly Budget'!AP$85</f>
        <v>38430313.555877857</v>
      </c>
      <c r="F42" s="58">
        <f t="shared" si="2"/>
        <v>0</v>
      </c>
      <c r="G42" s="58">
        <f t="shared" si="3"/>
        <v>38430313.555877857</v>
      </c>
      <c r="H42" s="58">
        <f>(C42-G42)*('HLV Calc'!$I$5)</f>
        <v>-31301553.835364133</v>
      </c>
      <c r="I42" s="58">
        <f t="shared" si="4"/>
        <v>-379096596.45052123</v>
      </c>
    </row>
    <row r="43" spans="1:9" x14ac:dyDescent="0.3">
      <c r="A43">
        <f t="shared" si="6"/>
        <v>90</v>
      </c>
      <c r="B43">
        <f t="shared" si="7"/>
        <v>2066</v>
      </c>
      <c r="C43" s="58">
        <f t="shared" si="5"/>
        <v>-379096596.45052123</v>
      </c>
      <c r="D43">
        <f>SUM('Yearly Budget'!AQ$36:AQ$38)</f>
        <v>0</v>
      </c>
      <c r="E43">
        <f>'Yearly Budget'!AQ$85</f>
        <v>41504738.640348092</v>
      </c>
      <c r="F43" s="58">
        <f t="shared" si="2"/>
        <v>0</v>
      </c>
      <c r="G43" s="58">
        <f t="shared" si="3"/>
        <v>41504738.640348092</v>
      </c>
      <c r="H43" s="58">
        <f>(C43-G43)*('HLV Calc'!$I$5)</f>
        <v>-37854120.158178233</v>
      </c>
      <c r="I43" s="58">
        <f t="shared" si="4"/>
        <v>-458455455.24904752</v>
      </c>
    </row>
    <row r="44" spans="1:9" x14ac:dyDescent="0.3">
      <c r="A44">
        <f t="shared" si="6"/>
        <v>91</v>
      </c>
      <c r="B44">
        <f t="shared" si="7"/>
        <v>2067</v>
      </c>
      <c r="C44" s="58">
        <f t="shared" si="5"/>
        <v>-458455455.24904752</v>
      </c>
      <c r="D44">
        <f>SUM('Yearly Budget'!AR$36:AR$38)</f>
        <v>0</v>
      </c>
      <c r="E44">
        <f>'Yearly Budget'!AR$85</f>
        <v>44825117.731575929</v>
      </c>
      <c r="F44" s="58">
        <f t="shared" si="2"/>
        <v>0</v>
      </c>
      <c r="G44" s="58">
        <f t="shared" si="3"/>
        <v>44825117.731575929</v>
      </c>
      <c r="H44" s="58">
        <f>(C44-G44)*('HLV Calc'!$I$5)</f>
        <v>-45295251.56825611</v>
      </c>
      <c r="I44" s="58">
        <f t="shared" si="4"/>
        <v>-548575824.5488795</v>
      </c>
    </row>
    <row r="45" spans="1:9" x14ac:dyDescent="0.3">
      <c r="A45">
        <f t="shared" si="6"/>
        <v>92</v>
      </c>
      <c r="B45">
        <f t="shared" si="7"/>
        <v>2068</v>
      </c>
      <c r="C45" s="58">
        <f t="shared" si="5"/>
        <v>-548575824.5488795</v>
      </c>
      <c r="D45">
        <f>SUM('Yearly Budget'!AS$36:AS$38)</f>
        <v>0</v>
      </c>
      <c r="E45">
        <f>'Yearly Budget'!AS$85</f>
        <v>48411127.150102004</v>
      </c>
      <c r="F45" s="58">
        <f t="shared" si="2"/>
        <v>0</v>
      </c>
      <c r="G45" s="58">
        <f t="shared" si="3"/>
        <v>48411127.150102004</v>
      </c>
      <c r="H45" s="58">
        <f>(C45-G45)*('HLV Calc'!$I$5)</f>
        <v>-53728825.652908333</v>
      </c>
      <c r="I45" s="58">
        <f t="shared" si="4"/>
        <v>-650715777.35188985</v>
      </c>
    </row>
    <row r="46" spans="1:9" x14ac:dyDescent="0.3">
      <c r="A46">
        <f t="shared" si="6"/>
        <v>93</v>
      </c>
      <c r="B46">
        <f t="shared" si="7"/>
        <v>2069</v>
      </c>
      <c r="C46" s="58">
        <f t="shared" si="5"/>
        <v>-650715777.35188985</v>
      </c>
      <c r="D46">
        <f>SUM('Yearly Budget'!AT$36:AT$38)</f>
        <v>0</v>
      </c>
      <c r="E46">
        <f>'Yearly Budget'!AT$85</f>
        <v>52284017.322110176</v>
      </c>
      <c r="F46" s="58">
        <f t="shared" si="2"/>
        <v>0</v>
      </c>
      <c r="G46" s="58">
        <f t="shared" si="3"/>
        <v>52284017.322110176</v>
      </c>
      <c r="H46" s="58">
        <f>(C46-G46)*('HLV Calc'!$I$5)</f>
        <v>-63269981.520659998</v>
      </c>
      <c r="I46" s="58">
        <f t="shared" si="4"/>
        <v>-766269776.19466007</v>
      </c>
    </row>
    <row r="47" spans="1:9" x14ac:dyDescent="0.3">
      <c r="A47">
        <f t="shared" si="6"/>
        <v>94</v>
      </c>
      <c r="B47">
        <f t="shared" si="7"/>
        <v>2070</v>
      </c>
      <c r="C47" s="58">
        <f t="shared" si="5"/>
        <v>-766269776.19466007</v>
      </c>
      <c r="D47">
        <f>SUM('Yearly Budget'!AU$36:AU$38)</f>
        <v>0</v>
      </c>
      <c r="E47">
        <f>'Yearly Budget'!AU$85</f>
        <v>56466738.707878985</v>
      </c>
      <c r="F47" s="58">
        <f t="shared" si="2"/>
        <v>0</v>
      </c>
      <c r="G47" s="58">
        <f t="shared" si="3"/>
        <v>56466738.707878985</v>
      </c>
      <c r="H47" s="58">
        <f>(C47-G47)*('HLV Calc'!$I$5)</f>
        <v>-74046286.341228515</v>
      </c>
      <c r="I47" s="58">
        <f t="shared" si="4"/>
        <v>-896782801.2437675</v>
      </c>
    </row>
    <row r="48" spans="1:9" x14ac:dyDescent="0.3">
      <c r="A48">
        <f t="shared" si="6"/>
        <v>95</v>
      </c>
      <c r="B48">
        <f t="shared" si="7"/>
        <v>2071</v>
      </c>
      <c r="C48" s="58">
        <f t="shared" si="5"/>
        <v>-896782801.2437675</v>
      </c>
      <c r="D48">
        <f>SUM('Yearly Budget'!AV$36:AV$38)</f>
        <v>0</v>
      </c>
      <c r="E48">
        <f>'Yearly Budget'!AV$85</f>
        <v>60984077.804509319</v>
      </c>
      <c r="F48" s="58">
        <f t="shared" si="2"/>
        <v>0</v>
      </c>
      <c r="G48" s="58">
        <f t="shared" si="3"/>
        <v>60984077.804509319</v>
      </c>
      <c r="H48" s="58">
        <f>(C48-G48)*('HLV Calc'!$I$5)</f>
        <v>-86199019.11434491</v>
      </c>
      <c r="I48" s="58">
        <f t="shared" si="4"/>
        <v>-1043965898.1626217</v>
      </c>
    </row>
    <row r="49" spans="1:9" x14ac:dyDescent="0.3">
      <c r="A49">
        <f t="shared" si="6"/>
        <v>96</v>
      </c>
      <c r="B49">
        <f t="shared" si="7"/>
        <v>2072</v>
      </c>
      <c r="C49" s="58">
        <f t="shared" si="5"/>
        <v>-1043965898.1626217</v>
      </c>
      <c r="D49">
        <f>SUM('Yearly Budget'!AW$36:AW$38)</f>
        <v>0</v>
      </c>
      <c r="E49">
        <f>'Yearly Budget'!AW$85</f>
        <v>65862804.028870061</v>
      </c>
      <c r="F49" s="58">
        <f t="shared" si="2"/>
        <v>0</v>
      </c>
      <c r="G49" s="58">
        <f t="shared" si="3"/>
        <v>65862804.028870061</v>
      </c>
      <c r="H49" s="58">
        <f>(C49-G49)*('HLV Calc'!$I$5)</f>
        <v>-99884583.197234258</v>
      </c>
      <c r="I49" s="58">
        <f t="shared" si="4"/>
        <v>-1209713285.388726</v>
      </c>
    </row>
    <row r="50" spans="1:9" x14ac:dyDescent="0.3">
      <c r="A50">
        <f t="shared" si="6"/>
        <v>97</v>
      </c>
      <c r="B50">
        <f t="shared" si="7"/>
        <v>2073</v>
      </c>
      <c r="C50" s="58">
        <f t="shared" si="5"/>
        <v>-1209713285.388726</v>
      </c>
      <c r="D50">
        <f>SUM('Yearly Budget'!AX$36:AX$38)</f>
        <v>0</v>
      </c>
      <c r="E50">
        <f>'Yearly Budget'!AX$85</f>
        <v>71131828.351179659</v>
      </c>
      <c r="F50" s="58">
        <f t="shared" si="2"/>
        <v>0</v>
      </c>
      <c r="G50" s="58">
        <f t="shared" si="3"/>
        <v>71131828.351179659</v>
      </c>
      <c r="H50" s="58">
        <f>(C50-G50)*('HLV Calc'!$I$5)</f>
        <v>-115276060.2365915</v>
      </c>
      <c r="I50" s="58">
        <f t="shared" si="4"/>
        <v>-1396121173.9764972</v>
      </c>
    </row>
    <row r="51" spans="1:9" x14ac:dyDescent="0.3">
      <c r="A51">
        <f t="shared" si="6"/>
        <v>98</v>
      </c>
      <c r="B51">
        <f t="shared" si="7"/>
        <v>2074</v>
      </c>
      <c r="C51" s="58">
        <f t="shared" si="5"/>
        <v>-1396121173.9764972</v>
      </c>
      <c r="D51">
        <f>SUM('Yearly Budget'!AY$36:AY$38)</f>
        <v>0</v>
      </c>
      <c r="E51">
        <f>'Yearly Budget'!AY$85</f>
        <v>76822374.61927405</v>
      </c>
      <c r="F51" s="58">
        <f t="shared" si="2"/>
        <v>0</v>
      </c>
      <c r="G51" s="58">
        <f t="shared" si="3"/>
        <v>76822374.61927405</v>
      </c>
      <c r="H51" s="58">
        <f>(C51-G51)*('HLV Calc'!$I$5)</f>
        <v>-132564919.37361941</v>
      </c>
      <c r="I51" s="58">
        <f t="shared" si="4"/>
        <v>-1605508467.9693906</v>
      </c>
    </row>
    <row r="52" spans="1:9" x14ac:dyDescent="0.3">
      <c r="A52">
        <f t="shared" si="6"/>
        <v>99</v>
      </c>
      <c r="B52">
        <f t="shared" si="7"/>
        <v>2075</v>
      </c>
      <c r="C52" s="58">
        <f t="shared" si="5"/>
        <v>-1605508467.9693906</v>
      </c>
      <c r="D52">
        <f>SUM('Yearly Budget'!AZ$36:AZ$38)</f>
        <v>0</v>
      </c>
      <c r="E52">
        <f>'Yearly Budget'!AZ$85</f>
        <v>82968164.588815972</v>
      </c>
      <c r="F52" s="58">
        <f t="shared" si="2"/>
        <v>0</v>
      </c>
      <c r="G52" s="58">
        <f t="shared" si="3"/>
        <v>82968164.588815972</v>
      </c>
      <c r="H52" s="58">
        <f>(C52-G52)*('HLV Calc'!$I$5)</f>
        <v>-151962896.93023857</v>
      </c>
      <c r="I52" s="58">
        <f t="shared" si="4"/>
        <v>-1840439529.488445</v>
      </c>
    </row>
    <row r="53" spans="1:9" x14ac:dyDescent="0.3">
      <c r="A53">
        <f t="shared" si="6"/>
        <v>100</v>
      </c>
      <c r="B53">
        <f t="shared" si="7"/>
        <v>2076</v>
      </c>
      <c r="C53" s="58">
        <f t="shared" si="5"/>
        <v>-1840439529.488445</v>
      </c>
      <c r="D53">
        <f>SUM('Yearly Budget'!BA$36:BA$38)</f>
        <v>0</v>
      </c>
      <c r="E53">
        <f>'Yearly Budget'!BA$85</f>
        <v>89605617.75592126</v>
      </c>
      <c r="F53" s="58">
        <f t="shared" si="2"/>
        <v>0</v>
      </c>
      <c r="G53" s="58">
        <f t="shared" si="3"/>
        <v>89605617.75592126</v>
      </c>
      <c r="H53" s="58">
        <f>(C53-G53)*('HLV Calc'!$I$5)</f>
        <v>-173704063.25199297</v>
      </c>
      <c r="I53" s="58">
        <f t="shared" si="4"/>
        <v>-2103749210.4963593</v>
      </c>
    </row>
    <row r="54" spans="1:9" x14ac:dyDescent="0.3">
      <c r="A54">
        <f t="shared" si="6"/>
        <v>101</v>
      </c>
      <c r="B54">
        <f t="shared" si="7"/>
        <v>2077</v>
      </c>
      <c r="C54" s="58">
        <f t="shared" si="5"/>
        <v>-2103749210.4963593</v>
      </c>
      <c r="D54">
        <f>SUM('Yearly Budget'!BB$36:BB$38)</f>
        <v>0</v>
      </c>
      <c r="E54">
        <f>'Yearly Budget'!BB$85</f>
        <v>96774067.176394984</v>
      </c>
      <c r="F54" s="58">
        <f t="shared" si="2"/>
        <v>0</v>
      </c>
      <c r="G54" s="58">
        <f t="shared" si="3"/>
        <v>96774067.176394984</v>
      </c>
      <c r="H54" s="58">
        <f>(C54-G54)*('HLV Calc'!$I$5)</f>
        <v>-198047094.99054787</v>
      </c>
      <c r="I54" s="58">
        <f t="shared" si="4"/>
        <v>-2398570372.6633019</v>
      </c>
    </row>
    <row r="55" spans="1:9" x14ac:dyDescent="0.3">
      <c r="A55">
        <f t="shared" si="6"/>
        <v>102</v>
      </c>
      <c r="B55">
        <f t="shared" si="7"/>
        <v>2078</v>
      </c>
      <c r="C55" s="58">
        <f t="shared" si="5"/>
        <v>-2398570372.6633019</v>
      </c>
      <c r="D55">
        <f>SUM('Yearly Budget'!BC$36:BC$38)</f>
        <v>0</v>
      </c>
      <c r="E55">
        <f>'Yearly Budget'!BC$85</f>
        <v>104515992.55050655</v>
      </c>
      <c r="F55" s="58">
        <f t="shared" si="2"/>
        <v>0</v>
      </c>
      <c r="G55" s="58">
        <f t="shared" si="3"/>
        <v>104515992.55050655</v>
      </c>
      <c r="H55" s="58">
        <f>(C55-G55)*('HLV Calc'!$I$5)</f>
        <v>-225277772.86924276</v>
      </c>
      <c r="I55" s="58">
        <f t="shared" si="4"/>
        <v>-2728364138.0830512</v>
      </c>
    </row>
    <row r="56" spans="1:9" x14ac:dyDescent="0.3">
      <c r="A56">
        <f t="shared" si="6"/>
        <v>103</v>
      </c>
      <c r="B56">
        <f t="shared" si="7"/>
        <v>2079</v>
      </c>
      <c r="C56" s="58">
        <f t="shared" si="5"/>
        <v>-2728364138.0830512</v>
      </c>
      <c r="D56">
        <f>SUM('Yearly Budget'!BD$36:BD$38)</f>
        <v>0</v>
      </c>
      <c r="E56">
        <f>'Yearly Budget'!BD$85</f>
        <v>112877271.95454709</v>
      </c>
      <c r="F56" s="58">
        <f t="shared" si="2"/>
        <v>0</v>
      </c>
      <c r="G56" s="58">
        <f t="shared" si="3"/>
        <v>112877271.95454709</v>
      </c>
      <c r="H56" s="58">
        <f>(C56-G56)*('HLV Calc'!$I$5)</f>
        <v>-255711726.90338382</v>
      </c>
      <c r="I56" s="58">
        <f t="shared" si="4"/>
        <v>-3096953136.9409819</v>
      </c>
    </row>
    <row r="57" spans="1:9" x14ac:dyDescent="0.3">
      <c r="A57">
        <f t="shared" si="6"/>
        <v>104</v>
      </c>
      <c r="B57">
        <f t="shared" si="7"/>
        <v>2080</v>
      </c>
      <c r="C57" s="58">
        <f t="shared" si="5"/>
        <v>-3096953136.9409819</v>
      </c>
      <c r="D57">
        <f>SUM('Yearly Budget'!BE$36:BE$38)</f>
        <v>0</v>
      </c>
      <c r="E57">
        <f>'Yearly Budget'!BE$85</f>
        <v>121907453.71091087</v>
      </c>
      <c r="F57" s="58">
        <f t="shared" si="2"/>
        <v>0</v>
      </c>
      <c r="G57" s="58">
        <f t="shared" si="3"/>
        <v>121907453.71091087</v>
      </c>
      <c r="H57" s="58">
        <f>(C57-G57)*('HLV Calc'!$I$5)</f>
        <v>-289697453.15867031</v>
      </c>
      <c r="I57" s="58">
        <f t="shared" si="4"/>
        <v>-3508558043.8105631</v>
      </c>
    </row>
    <row r="58" spans="1:9" x14ac:dyDescent="0.3">
      <c r="A58">
        <f t="shared" si="6"/>
        <v>105</v>
      </c>
      <c r="B58">
        <f t="shared" si="7"/>
        <v>2081</v>
      </c>
      <c r="C58" s="58">
        <f t="shared" si="5"/>
        <v>-3508558043.8105631</v>
      </c>
      <c r="D58">
        <f>SUM('Yearly Budget'!BF$36:BF$38)</f>
        <v>0</v>
      </c>
      <c r="E58">
        <f>'Yearly Budget'!BF$85</f>
        <v>131660050.00778377</v>
      </c>
      <c r="F58" s="58">
        <f t="shared" ref="F58" si="8">IF((D58-E58)&gt;0,(D58-E58),0)</f>
        <v>0</v>
      </c>
      <c r="G58" s="58">
        <f t="shared" ref="G58" si="9">IF((D58-E58)&gt;0,0,-(D58-E58))</f>
        <v>131660050.00778377</v>
      </c>
      <c r="H58" s="58">
        <f>(C58-G58)*('HLV Calc'!$I$5)</f>
        <v>-327619628.4436512</v>
      </c>
      <c r="I58" s="58">
        <f t="shared" ref="I58" si="10">(C58-G58+H58)+F58</f>
        <v>-3967837722.2619982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D1AC2-E9F1-4CAE-9F70-0663C56ACAF2}">
  <sheetPr codeName="Sheet27"/>
  <dimension ref="B2:GN36"/>
  <sheetViews>
    <sheetView workbookViewId="0">
      <selection sqref="A1:XFD1048576"/>
    </sheetView>
  </sheetViews>
  <sheetFormatPr defaultColWidth="8.6640625" defaultRowHeight="14.4" x14ac:dyDescent="0.3"/>
  <cols>
    <col min="1" max="1" width="8.6640625" style="1"/>
    <col min="2" max="2" width="51.44140625" style="1" customWidth="1"/>
    <col min="3" max="3" width="15" style="1" bestFit="1" customWidth="1"/>
    <col min="4" max="4" width="13.5546875" style="1" customWidth="1"/>
    <col min="5" max="5" width="15.109375" style="1" customWidth="1"/>
    <col min="6" max="6" width="8.6640625" style="1"/>
    <col min="7" max="7" width="11.109375" style="1" customWidth="1"/>
    <col min="8" max="8" width="10.44140625" style="1" customWidth="1"/>
    <col min="9" max="9" width="11" style="1" customWidth="1"/>
    <col min="10" max="16384" width="8.6640625" style="1"/>
  </cols>
  <sheetData>
    <row r="2" spans="2:9" ht="21.6" thickBot="1" x14ac:dyDescent="0.35">
      <c r="B2" s="709" t="s">
        <v>419</v>
      </c>
      <c r="C2" s="709"/>
      <c r="D2" s="709"/>
      <c r="E2" s="709"/>
      <c r="F2" s="709"/>
      <c r="G2" s="709"/>
      <c r="H2" s="709"/>
      <c r="I2" s="709"/>
    </row>
    <row r="3" spans="2:9" ht="15.6" thickTop="1" thickBot="1" x14ac:dyDescent="0.35">
      <c r="B3" s="191"/>
      <c r="C3" s="191"/>
      <c r="D3" s="191"/>
      <c r="E3" s="320"/>
      <c r="F3" s="191"/>
      <c r="G3" s="191"/>
      <c r="H3" s="191"/>
      <c r="I3" s="191"/>
    </row>
    <row r="4" spans="2:9" ht="18" thickTop="1" x14ac:dyDescent="0.35">
      <c r="B4" s="321" t="s">
        <v>420</v>
      </c>
      <c r="C4" s="710" t="s">
        <v>421</v>
      </c>
      <c r="D4" s="711"/>
      <c r="G4" s="322"/>
      <c r="H4" s="323" t="s">
        <v>422</v>
      </c>
      <c r="I4" s="417" t="e">
        <f ca="1">IF((C4)=0,"",(TODAY()-HLOOKUP(C4,'Personal Details'!4:12,9,FALSE))/365)</f>
        <v>#N/A</v>
      </c>
    </row>
    <row r="5" spans="2:9" ht="15" thickBot="1" x14ac:dyDescent="0.35">
      <c r="B5" s="324"/>
      <c r="C5" s="325"/>
      <c r="D5" s="325"/>
      <c r="E5" s="324"/>
      <c r="F5" s="324"/>
      <c r="G5" s="324"/>
      <c r="H5" s="324"/>
      <c r="I5" s="324"/>
    </row>
    <row r="6" spans="2:9" ht="18.600000000000001" customHeight="1" thickTop="1" x14ac:dyDescent="0.3">
      <c r="B6" s="326" t="s">
        <v>423</v>
      </c>
      <c r="C6" s="327" t="s">
        <v>424</v>
      </c>
      <c r="D6" s="327" t="s">
        <v>425</v>
      </c>
      <c r="E6" s="327" t="s">
        <v>426</v>
      </c>
      <c r="F6" s="328" t="s">
        <v>427</v>
      </c>
      <c r="G6" s="329" t="s">
        <v>428</v>
      </c>
      <c r="H6" s="330" t="s">
        <v>150</v>
      </c>
      <c r="I6" s="331" t="s">
        <v>429</v>
      </c>
    </row>
    <row r="7" spans="2:9" ht="17.100000000000001" customHeight="1" x14ac:dyDescent="0.3">
      <c r="B7" s="332" t="s">
        <v>430</v>
      </c>
      <c r="C7" s="333" t="e">
        <f ca="1">IF(I4&lt;=35,"Yes","")</f>
        <v>#N/A</v>
      </c>
      <c r="D7" s="333" t="e">
        <f ca="1">IF(AND($I$4&gt;35,$I$4&lt;46),"Yes","")</f>
        <v>#N/A</v>
      </c>
      <c r="E7" s="333" t="e">
        <f ca="1">IF(AND($I$4&gt;45,$I$4&lt;56),"Yes","")</f>
        <v>#N/A</v>
      </c>
      <c r="F7" s="334" t="e">
        <f ca="1">IF(AND($I$4&gt;55,$I$4&lt;66),"Yes","")</f>
        <v>#N/A</v>
      </c>
      <c r="G7" s="335" t="e">
        <f ca="1">IF(C7="Yes",25,IF(D7="Yes",50,IF(E7="Yes",75,IF(F7="Yes",100))))</f>
        <v>#N/A</v>
      </c>
      <c r="H7" s="336">
        <v>0.2</v>
      </c>
      <c r="I7" s="337" t="e">
        <f ca="1">G7*H7</f>
        <v>#N/A</v>
      </c>
    </row>
    <row r="8" spans="2:9" ht="15" thickBot="1" x14ac:dyDescent="0.35">
      <c r="B8" s="338"/>
      <c r="C8" s="339" t="s">
        <v>431</v>
      </c>
      <c r="D8" s="340" t="s">
        <v>431</v>
      </c>
      <c r="E8" s="340" t="s">
        <v>431</v>
      </c>
      <c r="F8" s="341" t="s">
        <v>431</v>
      </c>
      <c r="G8" s="342"/>
      <c r="H8" s="343"/>
      <c r="I8" s="342"/>
    </row>
    <row r="9" spans="2:9" ht="18.600000000000001" customHeight="1" thickTop="1" x14ac:dyDescent="0.3">
      <c r="B9" s="344" t="s">
        <v>432</v>
      </c>
      <c r="C9" s="712" t="s">
        <v>433</v>
      </c>
      <c r="D9" s="345"/>
      <c r="E9" s="286"/>
      <c r="F9" s="346"/>
      <c r="G9" s="714">
        <f>IF(C9="Metro",100,IF(C9="Non-Metro",50,0))</f>
        <v>100</v>
      </c>
      <c r="H9" s="716">
        <v>0.2</v>
      </c>
      <c r="I9" s="714">
        <f>G9*H9</f>
        <v>20</v>
      </c>
    </row>
    <row r="10" spans="2:9" ht="17.399999999999999" customHeight="1" x14ac:dyDescent="0.3">
      <c r="B10" s="347" t="s">
        <v>434</v>
      </c>
      <c r="C10" s="713"/>
      <c r="D10" s="348"/>
      <c r="E10" s="286"/>
      <c r="F10" s="346"/>
      <c r="G10" s="715"/>
      <c r="H10" s="717"/>
      <c r="I10" s="715"/>
    </row>
    <row r="11" spans="2:9" ht="15" thickBot="1" x14ac:dyDescent="0.35">
      <c r="B11" s="349"/>
      <c r="C11" s="350" t="s">
        <v>431</v>
      </c>
      <c r="D11" s="351"/>
      <c r="E11" s="351"/>
      <c r="F11" s="352"/>
      <c r="G11" s="353"/>
      <c r="H11" s="354"/>
      <c r="I11" s="355"/>
    </row>
    <row r="12" spans="2:9" ht="19.5" customHeight="1" thickTop="1" x14ac:dyDescent="0.3">
      <c r="B12" s="356" t="s">
        <v>435</v>
      </c>
      <c r="C12" s="721" t="s">
        <v>431</v>
      </c>
      <c r="D12" s="286"/>
      <c r="E12" s="286"/>
      <c r="F12" s="346"/>
      <c r="G12" s="714">
        <f>IF(C12="Yes",100,IF(C12="No",0,0))</f>
        <v>100</v>
      </c>
      <c r="H12" s="724">
        <v>0.2</v>
      </c>
      <c r="I12" s="726">
        <f>G12*H12</f>
        <v>20</v>
      </c>
    </row>
    <row r="13" spans="2:9" ht="17.100000000000001" customHeight="1" x14ac:dyDescent="0.3">
      <c r="B13" s="357" t="s">
        <v>436</v>
      </c>
      <c r="C13" s="722"/>
      <c r="D13" s="286"/>
      <c r="E13" s="286"/>
      <c r="F13" s="346"/>
      <c r="G13" s="723"/>
      <c r="H13" s="725"/>
      <c r="I13" s="723"/>
    </row>
    <row r="14" spans="2:9" ht="15" thickBot="1" x14ac:dyDescent="0.35">
      <c r="B14" s="358"/>
      <c r="C14" s="359" t="s">
        <v>431</v>
      </c>
      <c r="D14" s="359" t="s">
        <v>431</v>
      </c>
      <c r="E14" s="360" t="s">
        <v>431</v>
      </c>
      <c r="F14" s="346"/>
      <c r="G14" s="342"/>
      <c r="H14" s="343"/>
      <c r="I14" s="342"/>
    </row>
    <row r="15" spans="2:9" ht="18.899999999999999" customHeight="1" thickTop="1" x14ac:dyDescent="0.3">
      <c r="B15" s="361" t="s">
        <v>437</v>
      </c>
      <c r="C15" s="362" t="s">
        <v>34</v>
      </c>
      <c r="D15" s="363" t="s">
        <v>33</v>
      </c>
      <c r="E15" s="192"/>
      <c r="F15" s="364"/>
      <c r="G15" s="727">
        <f>IF(AND(C16="Yes",D16="Yes"),100,IF(C16="Yes",50,IF(D16="Yes",50,0)))</f>
        <v>0</v>
      </c>
      <c r="H15" s="716">
        <v>0.2</v>
      </c>
      <c r="I15" s="714">
        <f>G15*H15</f>
        <v>0</v>
      </c>
    </row>
    <row r="16" spans="2:9" ht="15.9" customHeight="1" x14ac:dyDescent="0.3">
      <c r="B16" s="357" t="s">
        <v>438</v>
      </c>
      <c r="C16" s="365" t="s">
        <v>439</v>
      </c>
      <c r="D16" s="366" t="s">
        <v>439</v>
      </c>
      <c r="E16" s="286"/>
      <c r="F16" s="364"/>
      <c r="G16" s="728"/>
      <c r="H16" s="717"/>
      <c r="I16" s="715"/>
    </row>
    <row r="17" spans="2:196" ht="15" thickBot="1" x14ac:dyDescent="0.35">
      <c r="B17" s="367"/>
      <c r="C17" s="339" t="s">
        <v>431</v>
      </c>
      <c r="D17" s="368" t="s">
        <v>431</v>
      </c>
      <c r="E17" s="369" t="s">
        <v>431</v>
      </c>
      <c r="F17" s="370" t="s">
        <v>431</v>
      </c>
      <c r="G17" s="371"/>
      <c r="H17" s="372"/>
      <c r="I17" s="371"/>
    </row>
    <row r="18" spans="2:196" ht="32.4" customHeight="1" thickTop="1" x14ac:dyDescent="0.3">
      <c r="B18" s="373" t="s">
        <v>440</v>
      </c>
      <c r="C18" s="374" t="s">
        <v>441</v>
      </c>
      <c r="D18" s="374" t="s">
        <v>442</v>
      </c>
      <c r="E18" s="374" t="s">
        <v>443</v>
      </c>
      <c r="F18" s="375" t="s">
        <v>444</v>
      </c>
      <c r="G18" s="714">
        <f>IF(AND(C19="Yes",D19="Yes",E19="Yes",F19="Yes"),100,IF(AND(C19="Yes",D19="Yes",E19="Yes"),75,IF(AND(C19="Yes",D19="Yes",F19="Yes"),75,IF(AND(C19="Yes",E19="Yes",F19="Yes"),75,IF(AND(D19="Yes",E19="Yes",F19="Yes"),75,IF(AND(C19="Yes",D19="Yes"),50,IF(AND(C19="Yes",E19="Yes"),50,IF(AND(C19="Yes",F19="Yes"),50,IF(AND(D19="Yes",E19="Yes"),50,IF(AND(D19="Yes",F19="Yes"),50,IF(AND(E19="Yes",F19="Yes"),50,IF(C19="Yes",25,IF(D19="Yes",25,IF(E19="Yes",25,IF(F19="Yes",25,0)))))))))))))))</f>
        <v>25</v>
      </c>
      <c r="H18" s="716">
        <v>0.2</v>
      </c>
      <c r="I18" s="714">
        <f>G18*H18</f>
        <v>5</v>
      </c>
      <c r="GN18" s="1" t="s">
        <v>433</v>
      </c>
    </row>
    <row r="19" spans="2:196" ht="20.100000000000001" customHeight="1" thickBot="1" x14ac:dyDescent="0.35">
      <c r="B19" s="376" t="s">
        <v>445</v>
      </c>
      <c r="C19" s="377" t="s">
        <v>439</v>
      </c>
      <c r="D19" s="378" t="s">
        <v>431</v>
      </c>
      <c r="E19" s="378" t="s">
        <v>439</v>
      </c>
      <c r="F19" s="379" t="s">
        <v>439</v>
      </c>
      <c r="G19" s="718"/>
      <c r="H19" s="733"/>
      <c r="I19" s="718"/>
      <c r="GN19" s="1" t="s">
        <v>446</v>
      </c>
    </row>
    <row r="20" spans="2:196" ht="15" thickTop="1" x14ac:dyDescent="0.3">
      <c r="B20" s="380"/>
      <c r="C20" s="191"/>
      <c r="D20" s="191"/>
      <c r="E20" s="191"/>
      <c r="F20" s="191"/>
      <c r="G20" s="191"/>
      <c r="H20" s="191"/>
      <c r="I20" s="380"/>
      <c r="GN20" s="1" t="s">
        <v>431</v>
      </c>
    </row>
    <row r="21" spans="2:196" ht="15.6" x14ac:dyDescent="0.3">
      <c r="B21" s="191"/>
      <c r="C21" s="191"/>
      <c r="D21" s="191"/>
      <c r="E21" s="191"/>
      <c r="F21" s="191"/>
      <c r="G21" s="381" t="s">
        <v>447</v>
      </c>
      <c r="H21" s="382" t="e">
        <f ca="1">(SUM(I7:I18))</f>
        <v>#N/A</v>
      </c>
      <c r="I21" s="286"/>
      <c r="GN21" s="1" t="s">
        <v>448</v>
      </c>
    </row>
    <row r="22" spans="2:196" x14ac:dyDescent="0.3">
      <c r="B22" s="191"/>
      <c r="C22" s="191"/>
      <c r="D22" s="191"/>
      <c r="E22" s="191"/>
      <c r="F22" s="191"/>
      <c r="G22" s="191"/>
      <c r="H22" s="191"/>
      <c r="I22" s="191"/>
    </row>
    <row r="23" spans="2:196" ht="20.399999999999999" x14ac:dyDescent="0.3">
      <c r="B23" s="191"/>
      <c r="C23" s="191"/>
      <c r="D23" s="191"/>
      <c r="E23" s="191"/>
      <c r="F23" s="191"/>
      <c r="G23" s="383" t="s">
        <v>449</v>
      </c>
      <c r="H23" s="719" t="e">
        <f ca="1">IF(H21&lt;=50,"Low Risk",IF(H21&lt;=75,"Medium Risk",IF(H21&gt;75,"High Risk","No Data")))</f>
        <v>#N/A</v>
      </c>
      <c r="I23" s="719"/>
      <c r="CE23" s="1" t="s">
        <v>433</v>
      </c>
    </row>
    <row r="24" spans="2:196" x14ac:dyDescent="0.3">
      <c r="CE24" s="1" t="s">
        <v>450</v>
      </c>
    </row>
    <row r="25" spans="2:196" x14ac:dyDescent="0.3">
      <c r="CE25" s="1" t="s">
        <v>431</v>
      </c>
    </row>
    <row r="26" spans="2:196" ht="21" thickBot="1" x14ac:dyDescent="0.35">
      <c r="B26" s="191"/>
      <c r="C26" s="191"/>
      <c r="D26" s="191"/>
      <c r="E26" s="720" t="str">
        <f>IF(AND(D27=TRUE,G27=TRUE),"Please Select either of the options ! ","")</f>
        <v/>
      </c>
      <c r="F26" s="720"/>
      <c r="G26" s="384"/>
      <c r="H26" s="385"/>
      <c r="CE26" s="1" t="s">
        <v>439</v>
      </c>
    </row>
    <row r="27" spans="2:196" ht="18" customHeight="1" thickBot="1" x14ac:dyDescent="0.35">
      <c r="B27" s="729" t="s">
        <v>451</v>
      </c>
      <c r="C27" s="419" t="s">
        <v>452</v>
      </c>
      <c r="D27" s="420" t="s">
        <v>453</v>
      </c>
      <c r="E27" s="720"/>
      <c r="F27" s="720"/>
      <c r="G27" s="386" t="b">
        <v>0</v>
      </c>
      <c r="H27" s="191"/>
    </row>
    <row r="28" spans="2:196" ht="18" customHeight="1" thickBot="1" x14ac:dyDescent="0.35">
      <c r="B28" s="730"/>
      <c r="C28" s="421" t="e">
        <f ca="1">IF(AND(H21&gt;29,H21&lt;50),500000,IF(AND(H21&gt;49,H21&lt;75),1000000,IF(AND(H21&gt;75,H21&lt;101),1500000,)))</f>
        <v>#N/A</v>
      </c>
      <c r="D28" s="422" t="e">
        <f ca="1">IF(AND(H21&gt;29,H21&lt;50),2000000,IF(AND(H21&gt;49,H21&lt;75),5000000,IF(AND(H21&gt;75,H21&lt;101),5000000,)))</f>
        <v>#N/A</v>
      </c>
      <c r="E28" s="418"/>
      <c r="F28" s="418"/>
      <c r="G28" s="386"/>
      <c r="H28" s="191"/>
    </row>
    <row r="30" spans="2:196" ht="15" thickBot="1" x14ac:dyDescent="0.35"/>
    <row r="31" spans="2:196" ht="21.6" thickBot="1" x14ac:dyDescent="0.35">
      <c r="B31" s="423" t="s">
        <v>454</v>
      </c>
      <c r="C31" s="731">
        <f>MROUND(Budget!D139,500000)</f>
        <v>3500000</v>
      </c>
      <c r="D31" s="732"/>
    </row>
    <row r="32" spans="2:196" ht="15.6" x14ac:dyDescent="0.3">
      <c r="B32" s="387" t="s">
        <v>455</v>
      </c>
    </row>
    <row r="34" spans="2:4" ht="15" thickBot="1" x14ac:dyDescent="0.35"/>
    <row r="35" spans="2:4" ht="21.6" thickBot="1" x14ac:dyDescent="0.35">
      <c r="B35" s="388" t="s">
        <v>456</v>
      </c>
      <c r="C35" s="731">
        <f>MROUND(Budget!D139*2,5000000)</f>
        <v>5000000</v>
      </c>
      <c r="D35" s="732"/>
    </row>
    <row r="36" spans="2:4" ht="15.6" x14ac:dyDescent="0.3">
      <c r="B36" s="387" t="s">
        <v>457</v>
      </c>
    </row>
  </sheetData>
  <mergeCells count="21">
    <mergeCell ref="B27:B28"/>
    <mergeCell ref="C31:D31"/>
    <mergeCell ref="C35:D35"/>
    <mergeCell ref="G18:G19"/>
    <mergeCell ref="H18:H19"/>
    <mergeCell ref="I18:I19"/>
    <mergeCell ref="H23:I23"/>
    <mergeCell ref="E26:F27"/>
    <mergeCell ref="C12:C13"/>
    <mergeCell ref="G12:G13"/>
    <mergeCell ref="H12:H13"/>
    <mergeCell ref="I12:I13"/>
    <mergeCell ref="G15:G16"/>
    <mergeCell ref="H15:H16"/>
    <mergeCell ref="I15:I16"/>
    <mergeCell ref="B2:I2"/>
    <mergeCell ref="C4:D4"/>
    <mergeCell ref="C9:C10"/>
    <mergeCell ref="G9:G10"/>
    <mergeCell ref="H9:H10"/>
    <mergeCell ref="I9:I10"/>
  </mergeCells>
  <conditionalFormatting sqref="H26">
    <cfRule type="containsText" dxfId="5" priority="1" stopIfTrue="1" operator="containsText" text="High Risk">
      <formula>NOT(ISERROR(FIND(UPPER("High Risk"),UPPER(H26))))</formula>
      <formula>"High Risk"</formula>
    </cfRule>
    <cfRule type="containsText" dxfId="4" priority="2" stopIfTrue="1" operator="containsText" text="Medium Risk">
      <formula>NOT(ISERROR(FIND(UPPER("Medium Risk"),UPPER(H26))))</formula>
      <formula>"Medium Risk"</formula>
    </cfRule>
    <cfRule type="containsText" dxfId="3" priority="3" stopIfTrue="1" operator="containsText" text="Low Risk">
      <formula>NOT(ISERROR(FIND(UPPER("Low Risk"),UPPER(H26))))</formula>
      <formula>"Low Risk"</formula>
    </cfRule>
  </conditionalFormatting>
  <conditionalFormatting sqref="H23:I23">
    <cfRule type="containsText" dxfId="2" priority="4" stopIfTrue="1" operator="containsText" text="High Risk">
      <formula>NOT(ISERROR(FIND(UPPER("High Risk"),UPPER(H23))))</formula>
      <formula>"High Risk"</formula>
    </cfRule>
    <cfRule type="containsText" dxfId="1" priority="5" stopIfTrue="1" operator="containsText" text="Medium Risk">
      <formula>NOT(ISERROR(FIND(UPPER("Medium Risk"),UPPER(H23))))</formula>
      <formula>"Medium Risk"</formula>
    </cfRule>
    <cfRule type="containsText" dxfId="0" priority="6" stopIfTrue="1" operator="containsText" text="Low Risk">
      <formula>NOT(ISERROR(FIND(UPPER("Low Risk"),UPPER(H23))))</formula>
      <formula>"Low Risk"</formula>
    </cfRule>
  </conditionalFormatting>
  <dataValidations count="2">
    <dataValidation type="list" allowBlank="1" showInputMessage="1" showErrorMessage="1" sqref="C9:C10" xr:uid="{92E59F75-9256-4B83-B545-2A8AA42FF9BB}">
      <formula1>$CE$23:$CE$24</formula1>
    </dataValidation>
    <dataValidation type="list" allowBlank="1" showInputMessage="1" showErrorMessage="1" sqref="C12:C13 C16:D16 C19:F19" xr:uid="{CE8A0074-FDFA-4FA9-8BB4-39469561DE54}">
      <formula1>$CE$25:$CE$26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D644B-14D2-42E6-B111-EA04A38AF604}">
          <x14:formula1>
            <xm:f>'Personal Details'!$F$1:$F$2</xm:f>
          </x14:formula1>
          <xm:sqref>C4:D4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D0A3D-687F-4C7B-9BF3-D44D0DB932C2}">
  <sheetPr codeName="Sheet28"/>
  <dimension ref="A1"/>
  <sheetViews>
    <sheetView workbookViewId="0">
      <selection activeCell="P19" sqref="P19"/>
    </sheetView>
  </sheetViews>
  <sheetFormatPr defaultColWidth="8.88671875" defaultRowHeight="14.4" x14ac:dyDescent="0.3"/>
  <cols>
    <col min="1" max="16384" width="8.88671875" style="1"/>
  </cols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C14C9-8193-4CBD-8993-D11F33866DB7}">
  <sheetPr codeName="Sheet29"/>
  <dimension ref="A1:M25"/>
  <sheetViews>
    <sheetView topLeftCell="G1" workbookViewId="0">
      <selection activeCell="L2" sqref="L2"/>
    </sheetView>
  </sheetViews>
  <sheetFormatPr defaultRowHeight="14.4" x14ac:dyDescent="0.3"/>
  <cols>
    <col min="1" max="1" width="19.109375" bestFit="1" customWidth="1"/>
    <col min="2" max="2" width="63.33203125" bestFit="1" customWidth="1"/>
    <col min="3" max="3" width="67" bestFit="1" customWidth="1"/>
    <col min="7" max="7" width="10" bestFit="1" customWidth="1"/>
    <col min="11" max="11" width="18.5546875" bestFit="1" customWidth="1"/>
  </cols>
  <sheetData>
    <row r="1" spans="1:13" x14ac:dyDescent="0.3">
      <c r="A1" s="299" t="s">
        <v>458</v>
      </c>
      <c r="B1" s="300"/>
      <c r="C1" s="300"/>
      <c r="D1" s="300"/>
      <c r="E1" s="300"/>
      <c r="L1" t="s">
        <v>459</v>
      </c>
      <c r="M1" t="s">
        <v>460</v>
      </c>
    </row>
    <row r="2" spans="1:13" x14ac:dyDescent="0.3">
      <c r="A2" s="301" t="s">
        <v>461</v>
      </c>
      <c r="B2" s="301" t="s">
        <v>462</v>
      </c>
      <c r="C2" s="301" t="s">
        <v>463</v>
      </c>
      <c r="D2" s="302">
        <v>0.3</v>
      </c>
      <c r="E2" s="300"/>
      <c r="G2" s="200">
        <f>'HLV Calc'!C4/'HLV Calc'!M4</f>
        <v>0.13374507715452447</v>
      </c>
      <c r="H2">
        <f>IF(G2&lt;20.01%,0,IF(AND(G2&gt;20%,G2&lt;40.01%),2,IF(AND(G2&gt;40%,G2&lt;60.01%),4,IF(AND(G2&gt;60%,G2&lt;80.01%),6,IF(AND(G2&gt;80%,G2&lt;100.01%),8,IF(G2&gt;100%,10,0))))))</f>
        <v>0</v>
      </c>
      <c r="K2" t="s">
        <v>464</v>
      </c>
      <c r="L2" t="e">
        <f>'WoW - Working'!H24</f>
        <v>#REF!</v>
      </c>
      <c r="M2">
        <v>10</v>
      </c>
    </row>
    <row r="3" spans="1:13" x14ac:dyDescent="0.3">
      <c r="A3" s="301" t="s">
        <v>465</v>
      </c>
      <c r="B3" s="301" t="s">
        <v>466</v>
      </c>
      <c r="C3" s="301" t="s">
        <v>463</v>
      </c>
      <c r="D3" s="302">
        <v>0.3</v>
      </c>
      <c r="E3" s="300"/>
      <c r="G3" s="200">
        <f>0/2500000</f>
        <v>0</v>
      </c>
      <c r="H3">
        <f t="shared" ref="H3:H5" si="0">IF(G3&lt;20.01%,0,IF(AND(G3&gt;20%,G3&lt;40.01%),2,IF(AND(G3&gt;40%,G3&lt;60.01%),4,IF(AND(G3&gt;60%,G3&lt;80.01%),6,IF(AND(G3&gt;80%,G3&lt;100.01%),8,IF(G3&gt;100%,10,0))))))</f>
        <v>0</v>
      </c>
      <c r="K3" t="s">
        <v>467</v>
      </c>
      <c r="L3">
        <f>'WoW - Working'!H16</f>
        <v>0</v>
      </c>
      <c r="M3">
        <v>10</v>
      </c>
    </row>
    <row r="4" spans="1:13" x14ac:dyDescent="0.3">
      <c r="A4" s="301" t="s">
        <v>468</v>
      </c>
      <c r="B4" s="301" t="s">
        <v>469</v>
      </c>
      <c r="C4" s="301" t="s">
        <v>463</v>
      </c>
      <c r="D4" s="302">
        <v>0.2</v>
      </c>
      <c r="E4" s="300"/>
      <c r="G4" s="200">
        <f>0/(Budget!D139*2)</f>
        <v>0</v>
      </c>
      <c r="H4">
        <f t="shared" si="0"/>
        <v>0</v>
      </c>
      <c r="K4" t="s">
        <v>470</v>
      </c>
      <c r="L4">
        <f>'WoW - Working'!H12</f>
        <v>6.8000000000000007</v>
      </c>
      <c r="M4">
        <v>10</v>
      </c>
    </row>
    <row r="5" spans="1:13" x14ac:dyDescent="0.3">
      <c r="A5" s="301" t="s">
        <v>471</v>
      </c>
      <c r="B5" s="301" t="s">
        <v>472</v>
      </c>
      <c r="C5" s="301" t="s">
        <v>463</v>
      </c>
      <c r="D5" s="302">
        <v>0.2</v>
      </c>
      <c r="E5" s="300"/>
      <c r="G5" s="200">
        <f>0/Budget!D139</f>
        <v>0</v>
      </c>
      <c r="H5">
        <f t="shared" si="0"/>
        <v>0</v>
      </c>
      <c r="K5" t="s">
        <v>473</v>
      </c>
      <c r="L5">
        <v>0</v>
      </c>
      <c r="M5">
        <v>10</v>
      </c>
    </row>
    <row r="6" spans="1:13" x14ac:dyDescent="0.3">
      <c r="A6" s="300"/>
      <c r="B6" s="300"/>
      <c r="C6" s="300"/>
      <c r="D6" s="300"/>
      <c r="E6" s="300"/>
      <c r="H6" s="319">
        <f>SUMPRODUCT(H2:H5,D2:D5)</f>
        <v>0</v>
      </c>
      <c r="K6" t="s">
        <v>474</v>
      </c>
      <c r="L6" t="e">
        <f>'WoW - Working'!H22</f>
        <v>#REF!</v>
      </c>
      <c r="M6">
        <v>10</v>
      </c>
    </row>
    <row r="7" spans="1:13" x14ac:dyDescent="0.3">
      <c r="A7" s="299" t="s">
        <v>475</v>
      </c>
      <c r="B7" s="301" t="s">
        <v>135</v>
      </c>
      <c r="C7" s="300"/>
      <c r="D7" s="300"/>
      <c r="E7" s="300"/>
      <c r="K7" t="s">
        <v>476</v>
      </c>
      <c r="L7">
        <f>'WoW - Working'!H6</f>
        <v>0</v>
      </c>
      <c r="M7">
        <v>10</v>
      </c>
    </row>
    <row r="8" spans="1:13" x14ac:dyDescent="0.3">
      <c r="A8" s="301" t="s">
        <v>477</v>
      </c>
      <c r="B8" s="301" t="s">
        <v>478</v>
      </c>
      <c r="C8" s="301" t="s">
        <v>479</v>
      </c>
      <c r="D8" s="302">
        <v>0.2</v>
      </c>
      <c r="E8" s="300"/>
      <c r="G8" s="200">
        <f>Budget!D151/Budget!D21</f>
        <v>0.30419832320519563</v>
      </c>
      <c r="H8">
        <f>IF(G8&lt;20.01%,0,IF(AND(G8&gt;20%,G8&lt;40.01%),4,IF(AND(G8&gt;40%,G8&lt;60.01%),6,IF(AND(G8&gt;60%,G8&lt;80.01%),8,IF(AND(G8&gt;80%,G8&lt;100.01%),10,IF(G8&gt;100%,10,0))))))</f>
        <v>4</v>
      </c>
    </row>
    <row r="9" spans="1:13" x14ac:dyDescent="0.3">
      <c r="A9" s="301" t="s">
        <v>92</v>
      </c>
      <c r="B9" s="301" t="s">
        <v>480</v>
      </c>
      <c r="C9" s="301" t="s">
        <v>481</v>
      </c>
      <c r="D9" s="302">
        <v>0.2</v>
      </c>
      <c r="E9" s="300"/>
      <c r="G9" s="200">
        <f>Budget!D138/Budget!D21</f>
        <v>4.6363350279802429E-2</v>
      </c>
      <c r="H9">
        <f>IF(G9=0%,10,IF(AND(G9&gt;0.01%,G9&lt;20.01%),9,IF(AND(G9&gt;20%,G9&lt;40.01%),7,IF(AND(G9&gt;40%,G9&lt;60.01%),5,IF(AND(G9&gt;60%,G9&lt;80.01%),2,IF(AND(G9&gt;80%,G9&lt;100.01%),0,IF(G9&gt;100%,0,0)))))))</f>
        <v>9</v>
      </c>
    </row>
    <row r="10" spans="1:13" x14ac:dyDescent="0.3">
      <c r="A10" s="301" t="s">
        <v>106</v>
      </c>
      <c r="B10" s="301" t="s">
        <v>482</v>
      </c>
      <c r="C10" s="301" t="s">
        <v>479</v>
      </c>
      <c r="D10" s="302">
        <v>0.3</v>
      </c>
      <c r="E10" s="300"/>
      <c r="G10" s="200">
        <f>Budget!D149/Budget!D21</f>
        <v>0.40047777184879396</v>
      </c>
      <c r="H10">
        <f>IF(G10&lt;20.01%,0,IF(AND(G10&gt;20%,G10&lt;40.01%),4,IF(AND(G10&gt;40%,G10&lt;60.01%),6,IF(AND(G10&gt;60%,G10&lt;80.01%),8,IF(AND(G10&gt;80%,G10&lt;100.01%),10,IF(G10&gt;100%,10,0))))))</f>
        <v>6</v>
      </c>
    </row>
    <row r="11" spans="1:13" x14ac:dyDescent="0.3">
      <c r="A11" s="301" t="s">
        <v>483</v>
      </c>
      <c r="B11" s="301" t="s">
        <v>484</v>
      </c>
      <c r="C11" s="301" t="s">
        <v>485</v>
      </c>
      <c r="D11" s="302">
        <v>0.3</v>
      </c>
      <c r="E11" s="300"/>
      <c r="G11" s="200">
        <f>(Networth!C4+Networth!C5)/(Budget!D139/2)</f>
        <v>0.82731621652850951</v>
      </c>
      <c r="H11">
        <f t="shared" ref="H11" si="1">IF(G11&lt;20.01%,0,IF(AND(G11&gt;20%,G11&lt;40.01%),2,IF(AND(G11&gt;40%,G11&lt;60.01%),4,IF(AND(G11&gt;60%,G11&lt;80.01%),6,IF(AND(G11&gt;80%,G11&lt;100.01%),8,IF(G11&gt;100%,10,0))))))</f>
        <v>8</v>
      </c>
    </row>
    <row r="12" spans="1:13" x14ac:dyDescent="0.3">
      <c r="A12" s="300"/>
      <c r="B12" s="300"/>
      <c r="C12" s="300"/>
      <c r="D12" s="300"/>
      <c r="E12" s="300"/>
      <c r="H12" s="319">
        <f>SUMPRODUCT(H8:H11,D8:D11)</f>
        <v>6.8000000000000007</v>
      </c>
    </row>
    <row r="13" spans="1:13" x14ac:dyDescent="0.3">
      <c r="A13" s="299" t="s">
        <v>486</v>
      </c>
      <c r="B13" s="300"/>
      <c r="C13" s="300"/>
      <c r="D13" s="300"/>
      <c r="E13" s="300"/>
    </row>
    <row r="14" spans="1:13" x14ac:dyDescent="0.3">
      <c r="A14" s="314"/>
      <c r="B14" s="301"/>
      <c r="C14" s="300"/>
      <c r="D14" s="311"/>
      <c r="E14" s="300"/>
    </row>
    <row r="15" spans="1:13" x14ac:dyDescent="0.3">
      <c r="A15" s="301" t="s">
        <v>111</v>
      </c>
      <c r="B15" s="301" t="s">
        <v>487</v>
      </c>
      <c r="C15" s="301" t="s">
        <v>488</v>
      </c>
      <c r="D15" s="302">
        <v>1</v>
      </c>
      <c r="E15" s="300" t="s">
        <v>489</v>
      </c>
      <c r="G15" s="313">
        <f>WAR!N9</f>
        <v>7.5674563704248785E-2</v>
      </c>
      <c r="H15">
        <f>IF(G15&lt;8.01%,0,IF(AND(G15&gt;8%,G15&lt;9.01%),2,IF(AND(G15&gt;9%,G15&lt;10.01%),4,IF(AND(G15&gt;10%,G15&lt;11.01%),6,IF(AND(G15&gt;11%,G15&lt;12.01%),8,IF(G15&gt;12%,10,0))))))</f>
        <v>0</v>
      </c>
    </row>
    <row r="16" spans="1:13" x14ac:dyDescent="0.3">
      <c r="A16" s="303"/>
      <c r="B16" s="300"/>
      <c r="C16" s="300"/>
      <c r="D16" s="300"/>
      <c r="E16" s="300"/>
      <c r="H16" s="319">
        <f>SUMPRODUCT(H14:H15,D14:D15)</f>
        <v>0</v>
      </c>
    </row>
    <row r="17" spans="1:8" x14ac:dyDescent="0.3">
      <c r="A17" s="304"/>
      <c r="B17" s="305"/>
      <c r="C17" s="300"/>
      <c r="D17" s="300"/>
      <c r="E17" s="300"/>
    </row>
    <row r="18" spans="1:8" ht="172.8" x14ac:dyDescent="0.3">
      <c r="A18" s="315" t="s">
        <v>474</v>
      </c>
      <c r="B18" s="307" t="s">
        <v>490</v>
      </c>
      <c r="C18" s="308" t="s">
        <v>491</v>
      </c>
      <c r="D18" s="302">
        <v>0.2</v>
      </c>
      <c r="E18" s="300" t="s">
        <v>492</v>
      </c>
      <c r="F18" s="317" t="s">
        <v>493</v>
      </c>
      <c r="G18" s="200">
        <f>Networth!G16/Networth!G33</f>
        <v>0.24163398026033678</v>
      </c>
      <c r="H18">
        <f>IF(G18&lt;20.01%,0,IF(AND(G18&gt;20%,G18&lt;40.01%),2,IF(AND(G18&gt;40%,G18&lt;60.01%),5,IF(AND(G18&gt;60%,G18&lt;80.01%),8,IF(G18&gt;80%,10,0)))))</f>
        <v>2</v>
      </c>
    </row>
    <row r="19" spans="1:8" ht="144" x14ac:dyDescent="0.3">
      <c r="A19" s="304"/>
      <c r="B19" s="316" t="s">
        <v>494</v>
      </c>
      <c r="C19" s="318" t="s">
        <v>495</v>
      </c>
      <c r="D19" s="302">
        <v>0.3</v>
      </c>
      <c r="E19" s="300" t="s">
        <v>496</v>
      </c>
      <c r="F19" s="317" t="s">
        <v>497</v>
      </c>
      <c r="G19" s="200" t="e">
        <f>(#REF!/28.29%)</f>
        <v>#REF!</v>
      </c>
      <c r="H19" t="e">
        <f>IF(G19&lt;20.01%,9,IF(AND(G19&gt;20%,G19&lt;40.01%),8,IF(AND(G19&gt;40%,G19&lt;60.01%),7,IF(AND(G19&gt;60%,G19&lt;80.01%),5,IF(AND(G19&gt;80%,G19&lt;100.01%),3,IF(G19&gt;100%,10,0))))))</f>
        <v>#REF!</v>
      </c>
    </row>
    <row r="20" spans="1:8" ht="43.2" x14ac:dyDescent="0.3">
      <c r="A20" s="304"/>
      <c r="B20" s="307" t="s">
        <v>498</v>
      </c>
      <c r="C20" s="318" t="s">
        <v>499</v>
      </c>
      <c r="D20" s="302">
        <v>0.1</v>
      </c>
      <c r="E20" s="300" t="s">
        <v>492</v>
      </c>
      <c r="G20">
        <f>COUNTIF(WAR!G4:G35,"&gt;20%")</f>
        <v>0</v>
      </c>
      <c r="H20">
        <f>IF(G20=0,10,0)</f>
        <v>10</v>
      </c>
    </row>
    <row r="21" spans="1:8" x14ac:dyDescent="0.3">
      <c r="A21" s="304"/>
      <c r="B21" s="301" t="s">
        <v>500</v>
      </c>
      <c r="C21" s="301" t="s">
        <v>501</v>
      </c>
      <c r="D21" s="302">
        <v>0.4</v>
      </c>
      <c r="E21" s="300" t="s">
        <v>492</v>
      </c>
      <c r="G21" s="200" t="e">
        <f>(WAR!N9-#REF!)/(1+#REF!)</f>
        <v>#REF!</v>
      </c>
      <c r="H21" t="e">
        <f>IF(G21&gt;2%,10,IF(AND(G21&gt;1%,G21&lt;2.001%),7,IF(AND(G21&gt;0.5%,G21&lt;1.001%),4,IF(G21&lt;0.501%,0))))</f>
        <v>#REF!</v>
      </c>
    </row>
    <row r="22" spans="1:8" x14ac:dyDescent="0.3">
      <c r="A22" s="304"/>
      <c r="B22" s="309"/>
      <c r="C22" s="310"/>
      <c r="D22" s="300"/>
      <c r="E22" s="300"/>
      <c r="H22" s="319" t="e">
        <f>SUMPRODUCT(H18:H21,D18:D21)</f>
        <v>#REF!</v>
      </c>
    </row>
    <row r="23" spans="1:8" x14ac:dyDescent="0.3">
      <c r="A23" s="304"/>
      <c r="B23" s="309"/>
      <c r="C23" s="310"/>
      <c r="D23" s="300"/>
      <c r="E23" s="300"/>
    </row>
    <row r="24" spans="1:8" ht="43.2" x14ac:dyDescent="0.3">
      <c r="A24" s="306" t="s">
        <v>502</v>
      </c>
      <c r="B24" s="307" t="s">
        <v>503</v>
      </c>
      <c r="C24" s="318" t="s">
        <v>504</v>
      </c>
      <c r="D24" s="311">
        <v>1</v>
      </c>
      <c r="E24" s="300"/>
      <c r="G24" s="58" t="e">
        <f>MIN(#REF!)-1</f>
        <v>#REF!</v>
      </c>
      <c r="H24" s="319" t="e">
        <f>IF(G24=100,10,IF(AND(G24&gt;95,G24&lt;100),9,IF(AND(G24&gt;90,G24&lt;96),8,IF(AND(G24&gt;85,G24&lt;91),7,IF(AND(G24&gt;80,G24&lt;86),6,IF(AND(G24&gt;75,G24&lt;81),5,IF(AND(G24&gt;70,G24&lt;76),3,IF(AND(G24&gt;60,G24&lt;71),2,IF(G24&lt;61,0)))))))))</f>
        <v>#REF!</v>
      </c>
    </row>
    <row r="25" spans="1:8" x14ac:dyDescent="0.3">
      <c r="A25" s="306" t="s">
        <v>473</v>
      </c>
      <c r="B25" s="312" t="s">
        <v>505</v>
      </c>
      <c r="C25" s="300"/>
      <c r="D25" s="300"/>
      <c r="E25" s="300"/>
      <c r="H25" s="319">
        <v>2</v>
      </c>
    </row>
  </sheetData>
  <pageMargins left="0.7" right="0.7" top="0.75" bottom="0.75" header="0.3" footer="0.3"/>
  <pageSetup paperSize="9" orientation="portrait" r:id="rId1"/>
  <ignoredErrors>
    <ignoredError sqref="H9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4</vt:i4>
      </vt:variant>
    </vt:vector>
  </HeadingPairs>
  <TitlesOfParts>
    <vt:vector size="34" baseType="lpstr">
      <vt:lpstr>Assets</vt:lpstr>
      <vt:lpstr>Personal Details</vt:lpstr>
      <vt:lpstr>Assumptions</vt:lpstr>
      <vt:lpstr>Networth</vt:lpstr>
      <vt:lpstr>Loan Amortization</vt:lpstr>
      <vt:lpstr>WAR</vt:lpstr>
      <vt:lpstr>WAR - Rev</vt:lpstr>
      <vt:lpstr>YoY WAR</vt:lpstr>
      <vt:lpstr>YoY Assets</vt:lpstr>
      <vt:lpstr>Key Life Events</vt:lpstr>
      <vt:lpstr>LIFE EVENTS</vt:lpstr>
      <vt:lpstr>Sheet2</vt:lpstr>
      <vt:lpstr>Accumulation Chart</vt:lpstr>
      <vt:lpstr>Budget</vt:lpstr>
      <vt:lpstr>Yearly Budget</vt:lpstr>
      <vt:lpstr>Cashflow Working</vt:lpstr>
      <vt:lpstr>Yearly Budget (Pie)</vt:lpstr>
      <vt:lpstr>Cashflow Chart</vt:lpstr>
      <vt:lpstr>Yoy WAR OG</vt:lpstr>
      <vt:lpstr>Withdrawal Working</vt:lpstr>
      <vt:lpstr>Yoy Assets Working</vt:lpstr>
      <vt:lpstr>NWGC - AS IS</vt:lpstr>
      <vt:lpstr>NWGC - SCENARIOS</vt:lpstr>
      <vt:lpstr>working</vt:lpstr>
      <vt:lpstr>NW CHARTS</vt:lpstr>
      <vt:lpstr>HLV Calc</vt:lpstr>
      <vt:lpstr>HLV Working</vt:lpstr>
      <vt:lpstr>Health Insurance</vt:lpstr>
      <vt:lpstr>Wheel of Wealth</vt:lpstr>
      <vt:lpstr>WoW - Working</vt:lpstr>
      <vt:lpstr>Car</vt:lpstr>
      <vt:lpstr>House</vt:lpstr>
      <vt:lpstr>House2</vt:lpstr>
      <vt:lpstr>Land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</dc:creator>
  <cp:keywords/>
  <dc:description/>
  <cp:lastModifiedBy>Somil Gogri</cp:lastModifiedBy>
  <cp:revision/>
  <dcterms:created xsi:type="dcterms:W3CDTF">2020-03-11T22:29:49Z</dcterms:created>
  <dcterms:modified xsi:type="dcterms:W3CDTF">2026-06-23T06:14:21Z</dcterms:modified>
  <cp:category/>
  <cp:contentStatus/>
</cp:coreProperties>
</file>